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Report" sheetId="1" r:id="rId5"/>
    <sheet state="visible" name="Asset Stats Log" sheetId="2" r:id="rId6"/>
    <sheet state="visible" name="Dashboard Raw" sheetId="3" r:id="rId7"/>
    <sheet state="hidden" name="_ChartData_" sheetId="4" r:id="rId8"/>
    <sheet state="hidden" name="_meta_" sheetId="5" r:id="rId9"/>
    <sheet state="visible" name="File Site WO" sheetId="6" r:id="rId10"/>
    <sheet state="visible" name="BOD assign" sheetId="7" r:id="rId11"/>
    <sheet state="visible" name="Chat IDs" sheetId="8" r:id="rId12"/>
    <sheet state="visible" name="Search Log" sheetId="9" r:id="rId13"/>
    <sheet state="visible" name="Progress Team Task and WO" sheetId="10" r:id="rId14"/>
    <sheet state="visible" name="Search Stats" sheetId="11" r:id="rId15"/>
    <sheet state="visible" name="Search information" sheetId="12" r:id="rId16"/>
    <sheet state="visible" name="Config" sheetId="13" r:id="rId17"/>
    <sheet state="visible" name="General" sheetId="14" r:id="rId18"/>
    <sheet state="visible" name="Asset order and request" sheetId="15" r:id="rId19"/>
    <sheet state="visible" name="Task remain" sheetId="16" r:id="rId20"/>
    <sheet state="visible" name="Site down now" sheetId="17" r:id="rId21"/>
    <sheet state="visible" name="Staff" sheetId="18" r:id="rId22"/>
    <sheet state="visible" name="Sum WO" sheetId="19" r:id="rId23"/>
    <sheet state="visible" name="User IDs" sheetId="20" r:id="rId24"/>
    <sheet state="visible" name="Input WO" sheetId="21" r:id="rId25"/>
    <sheet state="visible" name="Input task" sheetId="22" r:id="rId26"/>
    <sheet state="visible" name="SEND_TELEGRAM" sheetId="23" r:id="rId27"/>
  </sheets>
  <definedNames>
    <definedName hidden="1" localSheetId="11" name="_xlnm._FilterDatabase">'Search information'!$A$1:$Z$331</definedName>
    <definedName hidden="1" localSheetId="17" name="_xlnm._FilterDatabase">Staff!$A$1:$BQ$44</definedName>
    <definedName hidden="1" localSheetId="18" name="_xlnm._FilterDatabase">'Sum WO'!$A$3:$AM$212</definedName>
    <definedName hidden="1" localSheetId="19" name="_xlnm._FilterDatabase">'User IDs'!$A$1:$AA$32</definedName>
    <definedName hidden="1" localSheetId="21" name="_xlnm._FilterDatabase">'Input task'!$A$2:$AI$1489</definedName>
  </definedNames>
  <calcPr/>
</workbook>
</file>

<file path=xl/sharedStrings.xml><?xml version="1.0" encoding="utf-8"?>
<sst xmlns="http://schemas.openxmlformats.org/spreadsheetml/2006/main" count="7541" uniqueCount="756">
  <si>
    <t>📊  DASHBOARD BÁO CÁO TNI  —  07/06/2026 23:21</t>
  </si>
  <si>
    <t>Kỳ báo cáo:   3 Ngày (D-2/D-1/HN)   |   7 Ngày liền kề   |   1 Tháng: 21/05/2026 → 07/06/2026</t>
  </si>
  <si>
    <t>→ Dùng sheet 'Dashboard Raw'  +  Data → Add a slicer  để lọc</t>
  </si>
  <si>
    <t>🔍  1.  THỐNG KÊ TÌM KIẾM — TỪNG NGƯỜI</t>
  </si>
  <si>
    <t>STT</t>
  </si>
  <si>
    <t>Họ tên</t>
  </si>
  <si>
    <t>Đội</t>
  </si>
  <si>
    <t>Vai trò</t>
  </si>
  <si>
    <t>3Ngày (D-2/D-1/HN)</t>
  </si>
  <si>
    <t>D-2</t>
  </si>
  <si>
    <t>D-1</t>
  </si>
  <si>
    <t>Hôm nay</t>
  </si>
  <si>
    <t>7 Ngày</t>
  </si>
  <si>
    <t>1 Tháng</t>
  </si>
  <si>
    <t>Aung Lwin Phyo</t>
  </si>
  <si>
    <t>MYT_TNI_TEAM01_Dawei</t>
  </si>
  <si>
    <t>Nhân viên</t>
  </si>
  <si>
    <t>0/0/0</t>
  </si>
  <si>
    <t>Bhone Htet Aung</t>
  </si>
  <si>
    <t>Bone Myat Naing</t>
  </si>
  <si>
    <t>Win Htet Aung</t>
  </si>
  <si>
    <t>Thar Htoo Aung</t>
  </si>
  <si>
    <t>Maung Maung</t>
  </si>
  <si>
    <t>MYT_TNI_TEAM02_Myeik</t>
  </si>
  <si>
    <t>Min Paing Oo</t>
  </si>
  <si>
    <t>Zin Min Shein</t>
  </si>
  <si>
    <t>Ye Lin</t>
  </si>
  <si>
    <t>Wanna Oo</t>
  </si>
  <si>
    <t>Myint Ko Ko Aung</t>
  </si>
  <si>
    <t>MYT_TNI_TEAM03_Bokpyin</t>
  </si>
  <si>
    <t>-</t>
  </si>
  <si>
    <t>MYT_TNI_TEAM04_Kawthoung</t>
  </si>
  <si>
    <t>Tin Naing Lin</t>
  </si>
  <si>
    <t>Aung Myint Myat</t>
  </si>
  <si>
    <t>Tin Maung Win</t>
  </si>
  <si>
    <t>Paing Aung Soe</t>
  </si>
  <si>
    <t>Team Leader</t>
  </si>
  <si>
    <t>Nay Myo Thu</t>
  </si>
  <si>
    <t>Pyae Phyo Zaw</t>
  </si>
  <si>
    <t>Naing Myo Htun</t>
  </si>
  <si>
    <t>TỔNG</t>
  </si>
  <si>
    <t>🏷️  2.  THỐNG KÊ TÌM KIẾM — THEO ĐỘI</t>
  </si>
  <si>
    <t>Tên Đội</t>
  </si>
  <si>
    <t>Số TV</t>
  </si>
  <si>
    <t>📦  3.  THỐNG KÊ ASSET — THEO ĐỘI &amp; LOẠI</t>
  </si>
  <si>
    <t>Loại Asset</t>
  </si>
  <si>
    <t>Tổng</t>
  </si>
  <si>
    <t>Xong</t>
  </si>
  <si>
    <t>% Done</t>
  </si>
  <si>
    <t>Management</t>
  </si>
  <si>
    <t>Move</t>
  </si>
  <si>
    <t>0/1/0</t>
  </si>
  <si>
    <t>Order</t>
  </si>
  <si>
    <t>▶ TỔNG TẤT CẢ TEAM</t>
  </si>
  <si>
    <t>→</t>
  </si>
  <si>
    <t>ALL</t>
  </si>
  <si>
    <t>🔧  4.  TECHNICAL DEP — TASK PROGRESS  (Rows 75-87)</t>
  </si>
  <si>
    <t>Phòng ban</t>
  </si>
  <si>
    <t>Task Tổng</t>
  </si>
  <si>
    <t>Task Xong</t>
  </si>
  <si>
    <t>Còn lại</t>
  </si>
  <si>
    <t>3Day (D-2/D-1/HN)</t>
  </si>
  <si>
    <t>7 Day</t>
  </si>
  <si>
    <t>1 Month</t>
  </si>
  <si>
    <t>Nội dung</t>
  </si>
  <si>
    <t>Admin</t>
  </si>
  <si>
    <t>Finance</t>
  </si>
  <si>
    <t>M&amp;E</t>
  </si>
  <si>
    <t>PM</t>
  </si>
  <si>
    <t>Transmission</t>
  </si>
  <si>
    <t>Date</t>
  </si>
  <si>
    <t>Time</t>
  </si>
  <si>
    <t>Team</t>
  </si>
  <si>
    <t>Team Short</t>
  </si>
  <si>
    <t>Action</t>
  </si>
  <si>
    <t>Total</t>
  </si>
  <si>
    <t>Done</t>
  </si>
  <si>
    <t>Today</t>
  </si>
  <si>
    <t>Yesterday</t>
  </si>
  <si>
    <t>2 Days Ago</t>
  </si>
  <si>
    <t>Week(7d)</t>
  </si>
  <si>
    <t>Month(15d)</t>
  </si>
  <si>
    <t>Done Today</t>
  </si>
  <si>
    <t>Done Yesterday</t>
  </si>
  <si>
    <t>Done 2Days</t>
  </si>
  <si>
    <t>Done Week</t>
  </si>
  <si>
    <t>Done Month</t>
  </si>
  <si>
    <t>Team1(Dawei)</t>
  </si>
  <si>
    <t>Revoke</t>
  </si>
  <si>
    <t>Export</t>
  </si>
  <si>
    <t>Asset Sent</t>
  </si>
  <si>
    <t>Destroys</t>
  </si>
  <si>
    <t>Loss fuel</t>
  </si>
  <si>
    <t>Team2(Myeik)</t>
  </si>
  <si>
    <t>Team3(Bokpyin)</t>
  </si>
  <si>
    <t>Team4(Kawthoung)</t>
  </si>
  <si>
    <t>GRAND TOTAL</t>
  </si>
  <si>
    <t>13/06/2026</t>
  </si>
  <si>
    <t>14/06/2026</t>
  </si>
  <si>
    <t>15/06/2026</t>
  </si>
  <si>
    <t>16/06/2026</t>
  </si>
  <si>
    <t>17/06/2026</t>
  </si>
  <si>
    <t>18/06/2026</t>
  </si>
  <si>
    <t>19/06/2026</t>
  </si>
  <si>
    <t>20/06/2026</t>
  </si>
  <si>
    <t>21/06/2026</t>
  </si>
  <si>
    <t>Inventory oil</t>
  </si>
  <si>
    <t>Inventory water coolant</t>
  </si>
  <si>
    <t>22/06/2026</t>
  </si>
  <si>
    <t>23/06/2026</t>
  </si>
  <si>
    <t>Ngày</t>
  </si>
  <si>
    <t>Loại</t>
  </si>
  <si>
    <t>Tên / Phòng ban</t>
  </si>
  <si>
    <t>Search D-2</t>
  </si>
  <si>
    <t>Search D-1</t>
  </si>
  <si>
    <t>Search HN</t>
  </si>
  <si>
    <t>Search 7Ngày</t>
  </si>
  <si>
    <t>Search 1Tháng</t>
  </si>
  <si>
    <t>Search 3Ngày</t>
  </si>
  <si>
    <t>Asset Loại</t>
  </si>
  <si>
    <t>Asset D-2</t>
  </si>
  <si>
    <t>Asset D-1</t>
  </si>
  <si>
    <t>Asset HN</t>
  </si>
  <si>
    <t>Asset 7Ngày</t>
  </si>
  <si>
    <t>Asset 1Tháng</t>
  </si>
  <si>
    <t>Asset Tổng</t>
  </si>
  <si>
    <t>Asset Done</t>
  </si>
  <si>
    <t>WO/Nội dung</t>
  </si>
  <si>
    <t>*Aung Lwin Phyo-myt_tharhtoo.aung11*: 7-day results: *0* M: 0 /26 - Site: *11* :  &lt;&gt;Month 17day :0 /Close 7day: 0 &lt;=&gt; rank: *21* =Close: *0% &lt;0/0/0 &gt; WO remain : **33** + Assign: *30 =&gt; Task Close Month: 0: 0/0/0* =&gt;  Asset : 3/P: 0 CM : 5/P: 0 M&amp;E : 11/P: 0        *Detail*  : DG Abnormal: TNI0046 - 798, TNI0073 - 1614 : Temperature High: TNI0066 - 3843, TNI0264 - 4539 : DG Run &gt;16H, DG manual TNI0272 06/06/2637, TNI0231 06/06/2637 : Smoke: TNI0073 - 7418, TNI0046 - 747 : Open Door: TNI0265:  +Battery Door: 22/05/2026 16:02 - 356, TNI0073:  +Battery Door: 01/08/2025 10:01 - 7418, TNI0264:  +Battery Door: 03/02/2025 11:20 - 11713 =  Run MDG: TNI0035 *=* Site need refuel: TNI0272_1: R- 0 Refuel: *440*L, TNI0073_1: R- 103 Refuel: *440*L, TNI0231_1: R- 221 Refuel: *440*L</t>
  </si>
  <si>
    <t>*Bhone Htet Aung-myt_bhonehtet.aung*: 7-day results: *0* M: 2 /26 - Site: *13* : 'TNI0271+ TNI0245+ TNI0072+ TNI0070+ TNI0068+ TNI0058+ TNI0050+ TNI0056+ TNI0276+ TNI0062+ TNI0273+ TNI0170+ TNI0214 &lt;&gt;Month 17day :19 /Close 7day: 8 &lt;=&gt; rank: *16* =Close: *44% &lt;0/0/0 &gt; WO remain : **24** + Assign: *25 =&gt; Task Close Month: 0: 0/0/0* =&gt;  Asset : 3/P: 1   PM : 9/P: 0       *Detail* Cell Down: TNI0273 - 111 : DG Abnormal: TNI0170 - 94, TNI0245 - 154, TNI0053 - 323, TNI0214 - 421, TNI0050 - 1276 :  : DG Run &gt;16H, DG manual TNI0170 06/06/2637 : Smoke: TNI0058 - 12145, TNI0214 - 12284, TNI0067 - 12796, TNI0251 - 2059, TNI0060 - 5481 : Open Door: TNI0251:  +Battery Door: 12/03/2026 17:49 - 2059, TNI0070:  +Battery Door: 21/02/2026 11:31 - 2521, TNI0053:  +Door Alarm: 04/09/2025 15:16 - 6597, TNI0214:  +Battery Door: 03/09/2025 12:19 - 6624, TNI0065:  +Battery Door: 28/08/2025 14:39 - 6766, TNI0245:  +Battery Door: 01/08/2025 10:31 - 7418, TNI0273:  Door open alarm: 24/02/2025 08:41 - 11212 =   *=*</t>
  </si>
  <si>
    <t>*Bone Myat Naing-myt_bonemyat.naing1*: 7-day results: *0* M: 4 /26 - Site: *15* : 'TNI0069+ TNI0052+ TNI0071+ TNI0061+ TNI0272+ TNI0257+ TNI0038+ TNI0333+ TNI0041+ TNI0095+ TNI0211+ TNI0328+ TNI0305+ TNI0334+ TNI0051 &lt;&gt;Month 17day :5 /Close 7day: 3 &lt;=&gt; rank: *19* =Close: *15% &lt;0/0/0 &gt; WO remain : **28** + Assign: *16 =&gt; Task Close Month: 0: 0/0/0* =&gt;   CM : 7/P: 0 M&amp;E : 7/P: 0 PM : 1/P: 0       *Detail* Cell Down: TNI0052 - 54, TNI0361 - 101 : DG Abnormal: TNI0051 - 778, TNI0328 - 1402, TNI0211 - 26868 : Temperature High: TNI0306 - 1202, TNI0071 - 3 : DG Run &gt;16H, DG manual TNI0061 06/06/2635, TNI0306 05/06/2650, TNI0031 05/06/2618 : Smoke: TNI0041 - 10942, TNI0069 - 12143, TNI0052 - 26667, TNI0038 - 3045, TNI0306 - 548 : Open Door: TNI0051:  +Door Alarm: 06/05/2026 15:52 - 741, TNI0031:  DG Door: 21/04/2026 15:25 - 1101, TNI0328:  +Door Alarm: 01/11/2023 14:54 +Battery Door: 18/03/2026 15:41 - 1917, TNI0334:  +Door Alarm: 04/03/2026 15:42 - 2253, TNI0038:  +Door Alarm: 30/01/2026 15:46 +Battery Door: 30/01/2026 15:46 - 3045, TNI0361:  Door open alarm: 03/01/2026 06:46 - 3702, TNI0305:  +Door Alarm: 30/10/2025 11:05 - 5257, TNI0306:  +Door Alarm: 04/10/2025 06:25 - 5886, TNI0095:  Door open alarm: 23/09/2025 14:19 - 6142 =  Run MDG: TNI0335_01, TNI0305, TNI0333, TNI0041, TNI0334 *=* Site need refuel: TNI0013_1: R- 73 Refuel: *440*L, TNI0061_1: R- 283 Refuel: *220*L, TNI0038_1: R- 0 Refuel: *440*L, TNI0211_1: R- 0 Refuel: *440*L, TNI0051_1: R- 13 Refuel: *440*L, TNI0031_1: R- 303 Refuel: *220*L, TNI0361_1: R- 312 Refuel: *440*L, TNI0052_1: R- 313 Refuel: *220*L, TNI0306_1: R- 316 Refuel: *440*L</t>
  </si>
  <si>
    <t>*Win Htet Aung-myt_myothant.htoo*: 7-day results: *1* M: 4 /26 - Site: *4* : 'TNI0247+ TNI0197+ TNI0208+ TNI0264_01 &lt;&gt;Month 17day :0 /Close 7day: 0 &lt;=&gt; rank: *21* =Close: *0% &lt;0/0/0 &gt; WO remain : **6** + Assign: *8 =&gt; Task Close Month: 0: 0/0/0* =&gt;    M&amp;E : 1/P: 0 PM : 3/P: 0       *Detail* Cell Down: TNI0115 - 37, TNI0146 - 39 : DG Abnormal: TNI0019 - 300, TNI0216 - 4784 :  :  : Smoke: TNI0216 - 7249, TNI0089 - 9867 : Open Door: TNI0054:  Door open alarm: 19/02/2026 17:27 - 2563, TNI0216:  +Door Alarm: 28/10/2025 10:26 - 5306, TNI0089:  +Battery Door: 21/04/2025 09:10 - 9867 =   *=* Site need refuel: TNI0089_1: R- 276 Refuel: *220*L, TNI0198_1: R- 21 Refuel: *440*L, TNI0019_1: R- 240 Refuel: *220*L</t>
  </si>
  <si>
    <t>*Thar Htoo Aung-myt_phyoko.ko44*: 7-day results: *0* M: 0 /26 - Site: *3* : 'TNI0312+ TNI0198+ TNI0278 &lt;&gt;Month 17day :18 /Close 7day: 12 &lt;=&gt; rank: *14* =Close: *45% &lt;0/2/0 &gt; WO remain : **22** + Assign: *8 =&gt; Task Close Month: 0: 0/0/0* =&gt; Manager : 1/P: 0 Asset : 1/P: 0 CM : 1/P: 0 M&amp;E : 4/P: 0 PM : 1/P: 0       *Detail* Cell Down: TNI0309 - 37, TNI0219 - 40, TNI0322 - 76, TNI0288 - 227 : DG Abnormal: TNI0309 - 36, TNI0319 - 369 : Temperature High: TNI0321 - 2975 : DG Run &gt;16H, DG manual TNI0314 06/06/2638 : Smoke: TNI0322 - 2847, TNI0309 - 9504 : Open Door: TNI0197:  Door open alarm: 26/02/2026 10:44 - 2402, TNI0210:  +Door Alarm: 04/06/2025 10:08 - 8810 =   *=* Site need refuel: TNI0309_1: R- 0 Refuel: *440*L, TNI0319_1: R- 0 Refuel: *440*L, TNI0322_1: R- 150 Refuel: *440*L, TNI0210_1: R- 168 Refuel: *440*L, TNI0321_1: R- 214 Refuel: *440*L, TNI0351_1: R- 85 Refuel: *440*L</t>
  </si>
  <si>
    <t>*Maung Maung-myt_naymyo.thu*: 7-day results: *0* M: 0 /26 - Site: 0 &lt;&gt;Month 17day :2 /Close 7day: 0 &lt;=&gt; rank: *6* =Close: *89% &lt;0/0/0 &gt; WO remain : **2** + Assign: *7 =&gt; Task Close Month: 0: 0/0/0* =&gt;    M&amp;E : 5/P: 0 PM : 2/P: 0       *Detail* Cell Down: TNI0261 - 130 : DG Abnormal: TNI0047 - 855 :  :  : Smoke: TNI0261 - 5084 : Open Door: TNI0261:  +Battery Door: 19/05/2026 15:00 - 429, TNI0024:  Door open alarm: 21/04/2026 07:18 - 1109, TNI0398:  Door open alarm: 09/11/2025 22:13 - 5006, TNI0258:  +Door Alarm: 06/09/2025 14:07 +Battery Door: 16/05/2025 07:00 - 6550, TNI0001:  +Door Alarm: 17/12/2024 18:31 - 12858 =   *=* Site need refuel: TNI0137_1: R- 301 Refuel: *440*L, TNI0001_1: R- 308 Refuel: *440*L</t>
  </si>
  <si>
    <t>*Min Paing Oo-myt_winhtet.aung11*: 7-day results: *0* M: 0 /26 - Site: 0 &lt;&gt;Month 17day :0 /Close 7day: 0 &lt;=&gt; rank: *21* =Close: *0% &lt;0/0/0 &gt; WO remain : **1** + Assign: *4 =&gt; Task Close Month: 0: 0/0/0* =&gt;  Asset : 1/P: 0  M&amp;E : 1/P: 0 PM : 2/P: 0       *Detail* Cell Down: TNI0442 - 37, TNI0234 - 61 : DG Abnormal: TNI0122 - 46, TNI0336 - 85, TNI0289 - 98, TNI0039 - 469, TNI0323 - 687, TNI0090 - 919, TNI0199 - 9671 : Temperature High: TNI0007 - 191 : DG Run &gt;16H, DG manual TNI0291 06/06/2635, TNI0234 06/06/2635, TNI0323 06/06/2637, TNI0291 06/06/260 :  : Open Door: TNI0290:  Door open alarm: 20/04/2025 04:40 - 9896, TNI0165:  Door open alarm: 23/06/2023 11:43 - 25897 =  Run MDG: TNI0410, TNI0388, TNI0442 *=* Site need refuel: TNI0007_1: R- 0 Refuel: *440*L, TNI0323_1: R- 135 Refuel: *440*L, TNI0291_1: R- 274 Refuel: *440*L, TNI0339_1: R- 333 Refuel: *440*L</t>
  </si>
  <si>
    <t>*Zin Min Shein-myt_zinmin.shein*: 7-day results: *0* M: 0 /26 - Site: *11* : 'TNI0021+ TNI0281+ TNI0519+ TNI0379+ TNI0241+ TNI0042+ TNI0268+ TNI0346+ TNI0406+ TNI0262+ TNI0267 &lt;&gt;Month 17day :23 /Close 7day: 19 &lt;=&gt; rank: *9* =Close: *61% &lt;0/1/2 &gt; WO remain : **15** + Assign: *25 =&gt; Task Close Month: 0: 0/0/0* =&gt; Manager : 1/P: 13 Asset : 2/P: 0 CM : 7/P: 0 M&amp;E : 7/P: 2 PM : 8/P: 2       *Detail* Cell Down: TNI0042 - 36 :  :  : DG Run &gt;16H, DG manual TNI0379 06/06/2636 :  : Open Door: TNI0519:  +Door Alarm: 06/06/2026 11:44 - 1, TNI0267:  +Door Alarm: 05/12/2023 17:13 - 21931 =   *=* Site need refuel: TNI0379_1: R- 167 Refuel: *440*L</t>
  </si>
  <si>
    <t>*Ye Lin-myt_ye.lin22*: 7-day results: *0* M: 0 /26 - Site: *11* : 'TNI0381+ TNI0277+ TNI0263+ TNI0034+ TNI0020+ TNI0384+ TNI0371+ TNI0237+ TNI0365+ TNI0260+ TNI0423 &lt;&gt;Month 17day :0 /Close 7day: 0 &lt;=&gt; rank: *21* =Close: *0% &lt;0/0/0 &gt; WO remain : **3** + Assign: *5 =&gt; Task Close Month: 0: 0/0/0* =&gt; Manager : 1/P: 0   M&amp;E : 1/P: 0 PM : 2/P: 0       *Detail*  : DG Abnormal: TNI0260 - 2872 : Temperature High: TNI0263 - 17631 :  : Smoke: TNI0081 - 12386 : Open Door: TNI0381:  Door open alarm: 03/06/2026 13:32 - 71, TNI0020:  +Door Alarm: 14/05/2025 15:13 DG Door: 30/06/2025 16:49 - 8180 =   *=* Site need refuel: TNI0381_1: R- 0 Refuel: *440*L, TNI0384_1: R- 0 Refuel: *440*L, TNI0385_1: R- 60 Refuel: *440*L, TNI0386_1: R- 187 Refuel: *440*L</t>
  </si>
  <si>
    <t>*Wanna Oo-myt_wanna.oo2*: 7-day results: *0* M: 0 /26 - Site: *12* : 'TNI0240+ TNI0030+ TNI0003+ TNI0516+ TNI0252+ TNI0255+ TNI0200+ TNI0370+ TNI0279+ TNI0048+ TNI0161+ TNI0440 &lt;&gt;Month 17day :16 /Close 7day: 16 &lt;=&gt; rank: *8* =Close: *62% &lt;0/0/0 &gt; WO remain : **10** + Assign: *13 =&gt; Task Close Month: 0: 0/0/0* =&gt;   CM : 1/P: 0 M&amp;E : 3/P: 0 PM : 7/P: 0       *Detail* Cell Down: TNI0252 - 35 :  : Temperature High: TNI0003 - 625 : DG Run &gt;16H, DG manual TNI0200 06/06/2637 :  : Open Door: TNI0003:  +Door Alarm: 01/06/2026 13:19 - 119, TNI0252:  +Door Alarm: 18/02/2026 10:24 - 2594 =   *=* Site need refuel: TNI0003_1: R- 256 Refuel: *440*L</t>
  </si>
  <si>
    <t>*Myint Ko Ko Aung-myt_sithu.htun*: 7-day results: *0* M: 0 /26 - Site: *9* : 'TNI0196+ TNI0340+ TNI0310+ TNI0124+ TNI0311+ TNI0136+ TNI0345+ TNI0009+ TNI0343 &lt;&gt;Month 17day :5 /Close 7day: 0 &lt;=&gt; rank: *18* =Close: *30% &lt;2/0/1 &gt; WO remain : **21** + Assign: *18 =&gt; Task Close Month: 1: 0/0/0* =&gt; Manager : 0/P: 13 Asset : 1/P: 0 CM : 6/P: 0 M&amp;E : 3/P: 0 PM : 7/P: 0       *Detail* Cell Down: TNI0004 - 35 :  :  : DG Run &gt;16H, DG manual TNI0004 04/06/2679, TNI0004 04/06/2644 : Smoke: TNI0116 - 2017 : Open Door: TNI0004:  DG Door: 18/06/2025 09:26 - 8475 =  Run MDG: TNI0505 *=* Site need refuel: TNI0212_1: R- 51 Refuel: *440*L</t>
  </si>
  <si>
    <t>*--myt_naingmyo.htun*: 7-day results: *0* M: 0 - Site: 0 &lt;&gt;Month 17day :1 /Close 7day: 0 &lt;=&gt; rank: *11* =Close: *50% &lt;0/0/0 &gt; WO remain : **2** + Assign: *2 =&gt; Task Close Month: 0: 0/0/0* =&gt;     PM : 2/P: 0       *Detail*</t>
  </si>
  <si>
    <t>*Tin Naing Lin-myt_tinnaing.lin11*: 7-day results: *0* M: 0 /26 - Site: *4* : 'TNI0341+ TNI0008+ TNI0105+ TNI0118 &lt;&gt;Month 17day :9 /Close 7day: 7 &lt;=&gt; rank: *14* =Close: *45% &lt;0/2/3 &gt; WO remain : **11** + Assign: *18 =&gt; Task Close Month: 0: 0/0/0* =&gt;  Asset : 5/P: 0 CM : 4/P: 0 M&amp;E : 3/P: 0 PM : 5/P: 0 Construction Projects : 1/P: 0      *Detail*  :  :  : DG Run &gt;16H, DG manual TNI0008 06/06/2636, TNI0118 06/06/2637 :  : Open Door: TNI0209:  +Door Alarm: 27/09/2024 13:27 - 14807 =  Run MDG: TNI0004_01 *=* Site need refuel: TNI0008_1: R- 0 Refuel: *440*L, TNI0105_1: R- 141 Refuel: *440*L, TNI0103_1: R- 161 Refuel: *440*L, TNI0118_1: R- 317 Refuel: *440*L</t>
  </si>
  <si>
    <t>*Aung Myint Myat-myt_kyawnyein.thu*: 7-day results: *0* M: 0 /26 - Site: 0 &lt;&gt;Month 17day :0 /Close 7day: 0 &lt;=&gt; rank: *21* =Close: *0% &lt;0/0/0 &gt; WO remain : **0** + Assign: *0 =&gt; Task Close Month: 0: 0/0/0* =&gt;            *Detail*  :  :  : DG Run &gt;16H, DG manual TNI0227 06/06/2638 :  :  =   *=*</t>
  </si>
  <si>
    <t>*Tin Maung Win-myt_tinmaung.win*: 7-day results: *0* M: 0 /26 - Site: *1* : TNI0233 &lt;&gt;Month 17day :27 /Close 7day: 21 &lt;=&gt; rank: *7* =Close: *71% &lt;0/2/8 &gt; WO remain : **11** + Assign: *22 =&gt; Task Close Month: 0: 0/0/0* =&gt; Manager : 1/P: 0 Asset : 2/P: 0 CM : 2/P: 0 M&amp;E : 7/P: 0 PM : 9/P: 0 Construction Projects : 1/P: 0      *Detail*  :  :  :  :  : Open Door: TNI0123:  +Door Alarm: 03/06/2026 09:38 - 75, TNI0295:  +Door Alarm: 01/06/2026 12:42 - 120, TNI0372:  Door open alarm: 22/07/2023 02:17 - 25210 =  Run MDG: TNI0434 *=* Site need refuel: TNI0015_2: R- 194 Refuel: *440*L, TNI0120_1: R- 147 Refuel: *440*L, TNI0404_1: R- 328 Refuel: *440*L</t>
  </si>
  <si>
    <t>*Team leader 1* :3-Day Result: 11/0/0/0 &lt;=&gt; rank: *3* =Close: *36%* WO remain : *Month 17day :77/Close 7day: 38 &lt;:&gt;  0/ 2 / 0 / 207* + Assign: *172 =&gt; Team leader task Close: 0 All Task Close: 0 : 0 : 0 : 0* =&gt; Manager : TL:0 /1 P:0 Asset : TL:27 /39 P:0 CM : TL:0 /28 P:0  PM : TL:0 /38 P:0  Finance : TL:3 /3 P:0     *Need complete WO and task:* Week 1 =*25%* &lt;&gt; W2 =*50%* &lt;&gt; W3 = *75%*, W4=*100%* @Paing Aung Soe- TL1 *Sent Plan who do which Site: 08/06/26* Also check *daiy result FT* and Update time run *MDG daily SOS* and googel form. &lt;*&gt; *Aung Lwin Phyo-myt_aunglwin.phyo*: 7-day results: *0* M: 0 /26 - Site: *19* : 'TNI0073+ TNI0264+ TNI0201+ TNI0040+ TNI0066+ TNI0046+ TNI0060+ TNI0265+ TNI0054+ TNI0059+ TNI0053+ TNI0067+ TNI0049+ TNI0065+ TNI0014+ TNI0078+ TNI0035+ TNI0018+ TNI0055 &lt;&gt;Month 17day :34 /Close 7day: 15 &lt;=&gt; rank: *10* =Close: *54% &lt;0/0/0 &gt; WO remain : **29** + Assign: *23 =&gt; Task Close Month: 0: 0/0/0* =&gt;  Asset : 3/P: 0 CM : 2/P: 0 M&amp;E : 11/P: 0 PM : 7/P: 0       *Detail*  : DG Abnormal: TNI0046 - 798, TNI0073 - 1614 : Temperature High: TNI0066 - 3843, TNI0264 - 4539 : DG Run &gt;16H, DG manual TNI0272 06/06/2637, TNI0231 06/06/2637 : Smoke: TNI0073 - 7418, TNI0046 - 747 : Open Door: TNI0265:  +Battery Door: 22/05/2026 16:02 - 356, TNI0073:  +Battery Door: 01/08/2025 10:01 - 7418, TNI0264:  +Battery Door: 03/02/2025 11:20 - 11713 =  Run MDG: TNI0035 *=* Site need refuel: TNI0272_1: R- 0 Refuel: *440*L, TNI0073_1: R- 103 Refuel: *440*L, TNI0231_1: R- 221 Refuel: *440*L *&lt;OTHER&gt;* *Aung Lwin Phyo-myt_aungthin.mya*: 7-day results: *0* M: 0 /26 - Site: *8* : 'TNI_tea+ TNI0153_01+ TNI0220+ TNI0153+ TNI0153_02+ TNI0284+ TNI0319+ TNI0213_01 &lt;&gt;Month 17day :1 /Close 7day: 0 &lt;=&gt; rank: *12* =Close: *48% &lt;0/0/0 &gt; WO remain : **13** + Assign: *11 =&gt; Task Close Month: 0: 0/0/0* =&gt;  Asset : 1/P: 0 CM : 2/P: 0 M&amp;E : 5/P: 0 PM : 3/P: 0       *Detail*  : DG Abnormal: TNI0046 - 798, TNI0073 - 1614 : Temperature High: TNI0066 - 3843, TNI0264 - 4539 : DG Run &gt;16H, DG manual TNI0272 06/06/2637, TNI0231 06/06/2637 : Smoke: TNI0073 - 7418, TNI0046 - 747 : Open Door: TNI0265:  +Battery Door: 22/05/2026 16:02 - 356, TNI0073:  +Battery Door: 01/08/2025 10:01 - 7418, TNI0264:  +Battery Door: 03/02/2025 11:20 - 11713 =  Run MDG: TNI0035 *=* Site need refuel: TNI0272_1: R- 0 Refuel: *440*L, TNI0073_1: R- 103 Refuel: *440*L, TNI0231_1: R- 221 Refuel: *440*L *&lt;OTHER&gt;* *Bhone Htet Aung-myt_bhonehtet.aung*: 7-day results: *0* M: 2 /26 - Site: *13* : 'TNI0271+ TNI0245+ TNI0072+ TNI0070+ TNI0068+ TNI0058+ TNI0050+ TNI0056+ TNI0276+ TNI0062+ TNI0273+ TNI0170+ TNI0214 &lt;&gt;Month 17day :19 /Close 7day: 8 &lt;=&gt; rank: *16* =Close: *44% &lt;0/0/0 &gt; WO remain : **24** + Assign: *25 =&gt; Task Close Month: 0: 0/0/0* =&gt;  Asset : 3/P: 1   PM : 9/P: 0       *Detail* Cell Down: TNI0273 - 111 : DG Abnormal: TNI0170 - 94, TNI0245 - 154, TNI0053 - 323, TNI0214 - 421, TNI0050 - 1276 :  : DG Run &gt;16H, DG manual TNI0170 06/06/2637 : Smoke: TNI0058 - 12145, TNI0214 - 12284, TNI0067 - 12796, TNI0251 - 2059, TNI0060 - 5481 : Open Door: TNI0251:  +Battery Door: 12/03/2026 17:49 - 2059, TNI0070:  +Battery Door: 21/02/2026 11:31 - 2521, TNI0053:  +Door Alarm: 04/09/2025 15:16 - 6597, TNI0214:  +Battery Door: 03/09/2025 12:19 - 6624, TNI0065:  +Battery Door: 28/08/2025 14:39 - 6766, TNI0245:  +Battery Door: 01/08/2025 10:31 - 7418, TNI0273:  Door open alarm: 24/02/2025 08:41 - 11212 =   *=*  *&lt;OTHER&gt;* *Bone Myat Naing-myt_bonemyat.naing1*: 7-day results: *0* M: 4 /26 - Site: *15* : 'TNI0069+ TNI0052+ TNI0071+ TNI0061+ TNI0272+ TNI0257+ TNI0038+ TNI0333+ TNI0041+ TNI0095+ TNI0211+ TNI0328+ TNI0305+ TNI0334+ TNI0051 &lt;&gt;Month 17day :5 /Close 7day: 3 &lt;=&gt; rank: *19* =Close: *15% &lt;0/0/0 &gt; WO remain : **28** + Assign: *16 =&gt; Task Close Month: 0: 0/0/0* =&gt;   CM : 7/P: 0 M&amp;E : 7/P: 0 PM : 1/P: 0       *Detail* Cell Down: TNI0052 - 54, TNI0361 - 101 : DG Abnormal: TNI0051 - 778, TNI0328 - 1402, TNI0211 - 26868 : Temperature High: TNI0306 - 1202, TNI0071 - 3 : DG Run &gt;16H, DG manual TNI0061 06/06/2635, TNI0306 05/06/2650, TNI0031 05/06/2618 : Smoke: TNI0041 - 10942, TNI0069 - 12143, TNI0052 - 26667, TNI0038 - 3045, TNI0306 - 548 : Open Door: TNI0051:  +Door Alarm: 06/05/2026 15:52 - 741, TNI0031:  DG Door: 21/04/2026 15:25 - 1101, TNI0328:  +Door Alarm: 01/11/2023 14:54 +Battery Door: 18/03/2026 15:41 - 1917, TNI0334:  +Door Alarm: 04/03/2026 15:42 - 2253, TNI0038:  +Door Alarm: 30/01/2026 15:46 +Battery Door: 30/01/2026 15:46 - 3045, TNI0361:  Door open alarm: 03/01/2026 06:46 - 3702, TNI0305:  +Door Alarm: 30/10/2025 11:05 - 5257, TNI0306:  +Door Alarm: 04/10/2025 06:25 - 5886, TNI0095:  Door open alarm: 23/09/2025 14:19 - 6142 =  Run MDG: TNI0335_01, TNI0305, TNI0333, TNI0041, TNI0334 *=* Site need refuel: TNI0013_1: R- 73 Refuel: *440*L, TNI0061_1: R- 283 Refuel: *220*L, TNI0038_1: R- 0 Refuel: *440*L, TNI0211_1: R- 0 Refuel: *440*L, TNI0051_1: R- 13 Refuel: *440*L, TNI0031_1: R- 303 Refuel: *220*L, TNI0361_1: R- 312 Refuel: *440*L, TNI0052_1: R- 313 Refuel: *220*L, TNI0306_1: R- 316 Refuel: *440*L *&lt;OTHER&gt;* *Win Htet Aung-myt_myothant.htoo*: 7-day results: *1* M: 4 /26 - Site: *4* : 'TNI0247+ TNI0197+ TNI0208+ TNI0264_01 &lt;&gt;Month 17day :0 /Close 7day: 0 &lt;=&gt; rank: *21* =Close: *0% &lt;0/0/0 &gt; WO remain : **6** + Assign: *8 =&gt; Task Close Month: 0: 0/0/0* =&gt;    M&amp;E : 1/P: 0 PM : 3/P: 0       *Detail* Cell Down: TNI0115 - 37, TNI0146 - 39 : DG Abnormal: TNI0019 - 300, TNI0216 - 4784 :  :  : Smoke: TNI0216 - 7249, TNI0089 - 9867 : Open Door: TNI0054:  Door open alarm: 19/02/2026 17:27 - 2563, TNI0216:  +Door Alarm: 28/10/2025 10:26 - 5306, TNI0089:  +Battery Door: 21/04/2025 09:10 - 9867 =   *=* Site need refuel: TNI0089_1: R- 276 Refuel: *220*L, TNI0198_1: R- 21 Refuel: *440*L, TNI0019_1: R- 240 Refuel: *220*L *&lt;OTHER&gt;* *Thar Htoo Aung-myt_phyoko.ko44*: 7-day results: *0* M: 0 /26 - Site: *3* : 'TNI0312+ TNI0198+ TNI0278 &lt;&gt;Month 17day :18 /Close 7day: 12 &lt;=&gt; rank: *14* =Close: *45% &lt;0/2/0 &gt; WO remain : **22** + Assign: *8 =&gt; Task Close Month: 0: 0/0/0* =&gt; Manager : 1/P: 0 Asset : 1/P: 0 CM : 1/P: 0 M&amp;E : 4/P: 0 PM : 1/P: 0       *Detail* Cell Down: TNI0309 - 37, TNI0219 - 40, TNI0322 - 76, TNI0288 - 227 : DG Abnormal: TNI0309 - 36, TNI0319 - 369 : Temperature High: TNI0321 - 2975 : DG Run &gt;16H, DG manual TNI0314 06/06/2638 : Smoke: TNI0322 - 2847, TNI0309 - 9504 : Open Door: TNI0197:  Door open alarm: 26/02/2026 10:44 - 2402, TNI0210:  +Door Alarm: 04/06/2025 10:08 - 8810 =   *=* Site need refuel: TNI0309_1: R- 0 Refuel: *440*L, TNI0319_1: R- 0 Refuel: *440*L, TNI0322_1: R- 150 Refuel: *440*L, TNI0210_1: R- 168 Refuel: *440*L, TNI0321_1: R- 214 Refuel: *440*L, TNI0351_1: R- 85 Refuel: *440*L *&lt;OTHER&gt;* *Aung Lwin Phyo-myt_tharhtoo.aung11*: 7-day results: *0* M: 0 /26 - Site: *11* :  &lt;&gt;Month 17day :0 /Close 7day: 0 &lt;=&gt; rank: *21* =Close: *0% &lt;0/0/0 &gt; WO remain : **33** + Assign: *30 =&gt; Task Close Month: 0: 0/0/0* =&gt;  Asset : 3/P: 0 CM : 5/P: 0 M&amp;E : 11/P: 0        *Detail*  : DG Abnormal: TNI0046 - 798, TNI0073 - 1614 : Temperature High: TNI0066 - 3843, TNI0264 - 4539 : DG Run &gt;16H, DG manual TNI0272 06/06/2637, TNI0231 06/06/2637 : Smoke: TNI0073 - 7418, TNI0046 - 747 : Open Door: TNI0265:  +Battery Door: 22/05/2026 16:02 - 356, TNI0073:  +Battery Door: 01/08/2025 10:01 - 7418, TNI0264:  +Battery Door: 03/02/2025 11:20 - 11713 =  Run MDG: TNI0035 *=* Site need refuel: TNI0272_1: R- 0 Refuel: *440*L, TNI0073_1: R- 103 Refuel: *440*L, TNI0231_1: R- 221 Refuel: *440*L</t>
  </si>
  <si>
    <t>*Team leader 2* :3-Day Result: 6/0/0/1 &lt;=&gt; rank: *2* =Close: *48%* WO remain : *Month 17day :65/Close 7day: 49 &lt;:&gt;  0/ 4 / 2 / 98 Sub Month 17day :0/Close 7day: 0 &lt;:&gt;  0/ 0 / 0 / 12* + Assign: *117 =&gt; Team leader task Close: 0 All Task Close: 0 : 0 : 0 : 0* =&gt; Manager : TL:0 /3 P:0 Asset : TL:14 /20 P:0 CM : TL:0 /14 P:0 M&amp;E : TL:0 /32 P:0   Finance : TL:7 /7 P:0     *Need complete WO and task:* Week 1 =*25%* &lt;&gt; W2 =*50%* &lt;&gt; W3 = *75%*, W4=*100%* @Nay Myo Thu-leader T2-2021 *Sent Plan who do which Site: 08/06/26* Also check *daiy result FT* and Update time run *MDG daily SOS* and googel form. &lt;*&gt; *Maung Maung-myt_maung.maung11*: 7-day results: *0* M: 0 /26 - Site: *15* : 'TNI0232+ TNI0001+ TNI0324+ TNI0261+ TNI0047+ TNI0167+ TNI0258+ TNI0077+ TNI0024+ TNI0270+ TNI0280+ TNI0137+ TNI0026+ TNI0399+ TNI0520 &lt;&gt;Month 17day :13 /Close 7day: 9 &lt;=&gt; rank: *17* =Close: *31% &lt;0/3/0 &gt; WO remain : **29** + Assign: *23 =&gt; Task Close Month: 0: 0/0/0* =&gt; Manager : 1/P: 13 Asset : 2/P: 0 CM : 1/P: 0 M&amp;E : 8/P: 0 PM : 11/P: 0       *Detail* Cell Down: TNI0261 - 130 : DG Abnormal: TNI0047 - 855 :  :  : Smoke: TNI0261 - 5084 : Open Door: TNI0261:  +Battery Door: 19/05/2026 15:00 - 429, TNI0024:  Door open alarm: 21/04/2026 07:18 - 1109, TNI0398:  Door open alarm: 09/11/2025 22:13 - 5006, TNI0258:  +Door Alarm: 06/09/2025 14:07 +Battery Door: 16/05/2025 07:00 - 6550, TNI0001:  +Door Alarm: 17/12/2024 18:31 - 12858 =   *=* Site need refuel: TNI0137_1: R- 301 Refuel: *440*L, TNI0001_1: R- 308 Refuel: *440*L *&lt;OTHER&gt;* *Min Paing Oo-myt_minpaing.oo*: 7-day results: *0* M: 0 /26 - Site: *16* : 'TNI0515+ TNI0166+ TNI0005+ TNI0159+ TNI0075+ TNI0007+ TNI0290+ TNI0291+ TNI0122+ TNI0164+ TNI0039+ TNI0090+ TNI0199+ TNI0234+ TNI0336+ TNI0388 &lt;&gt;Month 17day :0 /Close 7day: 0 &lt;=&gt; rank: *21* =Close: *0% &lt;0/0/0 &gt; WO remain : **9** + Assign: *1 =&gt; Task Close Month: 0: 0/0/0* =&gt;    M&amp;E : 1/P: 0        *Detail* Cell Down: TNI0442 - 37, TNI0234 - 61 : DG Abnormal: TNI0122 - 46, TNI0336 - 85, TNI0289 - 98, TNI0039 - 469, TNI0323 - 687, TNI0090 - 919, TNI0199 - 9671 : Temperature High: TNI0007 - 191 : DG Run &gt;16H, DG manual TNI0291 06/06/2635, TNI0234 06/06/2635, TNI0323 06/06/2637, TNI0291 06/06/260 :  : Open Door: TNI0290:  Door open alarm: 20/04/2025 04:40 - 9896, TNI0165:  Door open alarm: 23/06/2023 11:43 - 25897 =  Run MDG: TNI0410, TNI0388, TNI0442 *=* Site need refuel: TNI0007_1: R- 0 Refuel: *440*L, TNI0323_1: R- 135 Refuel: *440*L, TNI0291_1: R- 274 Refuel: *440*L, TNI0339_1: R- 333 Refuel: *440*L *&lt;OTHER&gt;* *Maung Maung-myt_naymyo.thu*: 7-day results: *0* M: 0 /26 - Site: 0 &lt;&gt;Month 17day :2 /Close 7day: 0 &lt;=&gt; rank: *6* =Close: *89% &lt;0/0/0 &gt; WO remain : **2** + Assign: *7 =&gt; Task Close Month: 0: 0/0/0* =&gt;    M&amp;E : 5/P: 0 PM : 2/P: 0       *Detail* Cell Down: TNI0261 - 130 : DG Abnormal: TNI0047 - 855 :  :  : Smoke: TNI0261 - 5084 : Open Door: TNI0261:  +Battery Door: 19/05/2026 15:00 - 429, TNI0024:  Door open alarm: 21/04/2026 07:18 - 1109, TNI0398:  Door open alarm: 09/11/2025 22:13 - 5006, TNI0258:  +Door Alarm: 06/09/2025 14:07 +Battery Door: 16/05/2025 07:00 - 6550, TNI0001:  +Door Alarm: 17/12/2024 18:31 - 12858 =   *=* Site need refuel: TNI0137_1: R- 301 Refuel: *440*L, TNI0001_1: R- 308 Refuel: *440*L *&lt;OTHER&gt;* *Zin Min Shein-myt_naythurain.oo*: 7-day results: *0* M: 0 /26 - Site: 0 &lt;&gt;Month 17day :0 /Close 7day: 0 &lt;=&gt; rank: *21* =Close: *0% &lt;0/0/0 &gt; WO remain : **3** + Assign: *1 =&gt; Task Close Month: 0: 0/0/0* =&gt;     PM : 1/P: 0       *Detail* Cell Down: TNI0042 - 36 :  :  : DG Run &gt;16H, DG manual TNI0379 06/06/2636 :  : Open Door: TNI0519:  +Door Alarm: 06/06/2026 11:44 - 1, TNI0267:  +Door Alarm: 05/12/2023 17:13 - 21931 =   *=* Site need refuel: TNI0379_1: R- 167 Refuel: *440*L *&lt;OTHER&gt;* *Ye Lin-myt_pyikyaw.aung*: 7-day results: *0* M: 0 /26 - Site: *10* : 'TNI0029+ TNI0413+ TNI0002+ TNI0027+ TNI0449+ TNI0028+ TNI0236+ TNI0248+ TNI0382+ TNI0228 &lt;&gt;Month 17day :11 /Close 7day: 5 &lt;=&gt; rank: *13* =Close: *48% &lt;0/0/0 &gt; WO remain : **12** + Assign: *5 =&gt; Task Close Month: 0: 0/0/0* =&gt;     PM : 4/P: 0       *Detail*  : DG Abnormal: TNI0260 - 2872 : Temperature High: TNI0263 - 17631 :  : Smoke: TNI0081 - 12386 : Open Door: TNI0381:  Door open alarm: 03/06/2026 13:32 - 71, TNI0020:  +Door Alarm: 14/05/2025 15:13 DG Door: 30/06/2025 16:49 - 8180 =   *=* Site need refuel: TNI0381_1: R- 0 Refuel: *440*L, TNI0384_1: R- 0 Refuel: *440*L, TNI0385_1: R- 60 Refuel: *440*L, TNI0386_1: R- 187 Refuel: *440*L *&lt;OTHER&gt;* *Wanna Oo-myt_wanna.oo2*: 7-day results: *0* M: 0 /26 - Site: *12* : 'TNI0240+ TNI0030+ TNI0003+ TNI0516+ TNI0252+ TNI0255+ TNI0200+ TNI0370+ TNI0279+ TNI0048+ TNI0161+ TNI0440 &lt;&gt;Month 17day :16 /Close 7day: 16 &lt;=&gt; rank: *8* =Close: *62% &lt;0/0/0 &gt; WO remain : **10** + Assign: *13 =&gt; Task Close Month: 0: 0/0/0* =&gt;   CM : 1/P: 0 M&amp;E : 3/P: 0 PM : 7/P: 0       *Detail* Cell Down: TNI0252 - 35 :  : Temperature High: TNI0003 - 625 : DG Run &gt;16H, DG manual TNI0200 06/06/2637 :  : Open Door: TNI0003:  +Door Alarm: 01/06/2026 13:19 - 119, TNI0252:  +Door Alarm: 18/02/2026 10:24 - 2594 =   *=* Site need refuel: TNI0003_1: R- 256 Refuel: *440*L *&lt;OTHER&gt;* *Min Paing Oo-myt_winhtet.aung11*: 7-day results: *0* M: 0 /26 - Site: 0 &lt;&gt;Month 17day :0 /Close 7day: 0 &lt;=&gt; rank: *21* =Close: *0% &lt;0/0/0 &gt; WO remain : **1** + Assign: *4 =&gt; Task Close Month: 0: 0/0/0* =&gt;  Asset : 1/P: 0  M&amp;E : 1/P: 0 PM : 2/P: 0       *Detail* Cell Down: TNI0442 - 37, TNI0234 - 61 : DG Abnormal: TNI0122 - 46, TNI0336 - 85, TNI0289 - 98, TNI0039 - 469, TNI0323 - 687, TNI0090 - 919, TNI0199 - 9671 : Temperature High: TNI0007 - 191 : DG Run &gt;16H, DG manual TNI0291 06/06/2635, TNI0234 06/06/2635, TNI0323 06/06/2637, TNI0291 06/06/260 :  : Open Door: TNI0290:  Door open alarm: 20/04/2025 04:40 - 9896, TNI0165:  Door open alarm: 23/06/2023 11:43 - 25897 =  Run MDG: TNI0410, TNI0388, TNI0442 *=* Site need refuel: TNI0007_1: R- 0 Refuel: *440*L, TNI0323_1: R- 135 Refuel: *440*L, TNI0291_1: R- 274 Refuel: *440*L, TNI0339_1: R- 333 Refuel: *440*L *&lt;OTHER&gt;* *Ye Lin-myt_ye.lin22*: 7-day results: *0* M: 0 /26 - Site: *11* : 'TNI0381+ TNI0277+ TNI0263+ TNI0034+ TNI0020+ TNI0384+ TNI0371+ TNI0237+ TNI0365+ TNI0260+ TNI0423 &lt;&gt;Month 17day :0 /Close 7day: 0 &lt;=&gt; rank: *21* =Close: *0% &lt;0/0/0 &gt; WO remain : **3** + Assign: *5 =&gt; Task Close Month: 0: 0/0/0* =&gt; Manager : 1/P: 0   M&amp;E : 1/P: 0 PM : 2/P: 0       *Detail*  : DG Abnormal: TNI0260 - 2872 : Temperature High: TNI0263 - 17631 :  : Smoke: TNI0081 - 12386 : Open Door: TNI0381:  Door open alarm: 03/06/2026 13:32 - 71, TNI0020:  +Door Alarm: 14/05/2025 15:13 DG Door: 30/06/2025 16:49 - 8180 =   *=* Site need refuel: TNI0381_1: R- 0 Refuel: *440*L, TNI0384_1: R- 0 Refuel: *440*L, TNI0385_1: R- 60 Refuel: *440*L, TNI0386_1: R- 187 Refuel: *440*L *&lt;OTHER&gt;* *Zin Min Shein-myt_zinmin.shein*: 7-day results: *0* M: 0 /26 - Site: *11* : 'TNI0021+ TNI0281+ TNI0519+ TNI0379+ TNI0241+ TNI0042+ TNI0268+ TNI0346+ TNI0406+ TNI0262+ TNI0267 &lt;&gt;Month 17day :23 /Close 7day: 19 &lt;=&gt; rank: *9* =Close: *61% &lt;0/1/2 &gt; WO remain : **15** + Assign: *25 =&gt; Task Close Month: 0: 0/0/0* =&gt; Manager : 1/P: 13 Asset : 2/P: 0 CM : 7/P: 0 M&amp;E : 7/P: 2 PM : 8/P: 2       *Detail* Cell Down: TNI0042 - 36 :  :  : DG Run &gt;16H, DG manual TNI0379 06/06/2636 :  : Open Door: TNI0519:  +Door Alarm: 06/06/2026 11:44 - 1, TNI0267:  +Door Alarm: 05/12/2023 17:13 - 21931 =   *=* Site need refuel: TNI0379_1: R- 167 Refuel: *440*L</t>
  </si>
  <si>
    <t>*Team leader 3* :3-Day Result: 4/0/0/0 &lt;=&gt; rank: *4* =Close: *33%* WO remain : *Month 17day :16/Close 7day: 9 &lt;:&gt;  2/ 2 / 4 / 43* + Assign: *60 =&gt; Team leader task Close: 0 All Task Close: 1 : 0 : 0 : 0* =&gt;  Asset : TL:6 /13 P:0 CM : TL:0 /14 P:0 M&amp;E : TL:0 /7 P:0  Construction Projects : TL:0 /1 P:0 Finance : TL:4 /4 P:0     *Need complete WO and task:* Week 1 =*25%* &lt;&gt; W2 =*50%* &lt;&gt; W3 = *75%*, W4=*100%* @Pyae Phyo Zaw-Leader T3-2020 *Sent Plan who do which Site: 08/06/26* Also check *daiy result FT* and Update time run *MDG daily SOS* and googel form. &lt;*&gt; *Myint Ko Ko Aung-myt_myintkoko.aung*: 7-day results: *0* M: 0 /26 - Site: *8* : 'TNI0004+ TNI0116+ TNI0079+ TNI0212+ TNI0156+ TNI0173+ TNI0505+ TNI0418 &lt;&gt;Month 17day :0 /Close 7day: 0 &lt;=&gt; rank: *20* =Close: *8% &lt;0/0/0 &gt; WO remain : **11** + Assign: *9 =&gt; Task Close Month: 0: 0/0/0* =&gt;   CM : 4/P: 0 M&amp;E : 1/P: 0 PM : 4/P: 0       *Detail* Cell Down: TNI0004 - 35 :  :  : DG Run &gt;16H, DG manual TNI0004 04/06/2679, TNI0004 04/06/2644 : Smoke: TNI0116 - 2017 : Open Door: TNI0004:  DG Door: 18/06/2025 09:26 - 8475 =  Run MDG: TNI0505 *=* Site need refuel: TNI0212_1: R- 51 Refuel: *440*L *&lt;OTHER&gt;* *--myt_pyaephyo.zaw*: 7-day results: *0* M: 0 - Site: 0 &lt;&gt;Month 17day :2 /Close 7day: 2 &lt;=&gt; rank: *1* =Close: *100% &lt;0/0/0 &gt; WO remain : **0** + Assign: *0 =&gt; Task Close Month: 0: 0/0/0* =&gt;            *Detail*  *&lt;OTHER&gt;* *Myint Ko Ko Aung-myt_sithu.htun*: 7-day results: *0* M: 0 /26 - Site: *9* : 'TNI0196+ TNI0340+ TNI0310+ TNI0124+ TNI0311+ TNI0136+ TNI0345+ TNI0009+ TNI0343 &lt;&gt;Month 17day :5 /Close 7day: 0 &lt;=&gt; rank: *18* =Close: *30% &lt;2/0/1 &gt; WO remain : **21** + Assign: *18 =&gt; Task Close Month: 1: 0/0/0* =&gt; Manager : 0/P: 13 Asset : 1/P: 0 CM : 6/P: 0 M&amp;E : 3/P: 0 PM : 7/P: 0       *Detail* Cell Down: TNI0004 - 35 :  :  : DG Run &gt;16H, DG manual TNI0004 04/06/2679, TNI0004 04/06/2644 : Smoke: TNI0116 - 2017 : Open Door: TNI0004:  DG Door: 18/06/2025 09:26 - 8475 =  Run MDG: TNI0505 *=* Site need refuel: TNI0212_1: R- 51 Refuel: *440*L *&lt;OTHER&gt;* *Tin Naing Lin-myt_tinnaing.lin11*: 7-day results: *0* M: 0 /26 - Site: *4* : 'TNI0341+ TNI0008+ TNI0105+ TNI0118 &lt;&gt;Month 17day :9 /Close 7day: 7 &lt;=&gt; rank: *14* =Close: *45% &lt;0/2/3 &gt; WO remain : **11** + Assign: *18 =&gt; Task Close Month: 0: 0/0/0* =&gt;  Asset : 5/P: 0 CM : 4/P: 0 M&amp;E : 3/P: 0 PM : 5/P: 0 Construction Projects : 1/P: 0      *Detail*  :  :  : DG Run &gt;16H, DG manual TNI0008 06/06/2636, TNI0118 06/06/2637 :  : Open Door: TNI0209:  +Door Alarm: 27/09/2024 13:27 - 14807 =  Run MDG: TNI0004_01 *=* Site need refuel: TNI0008_1: R- 0 Refuel: *440*L, TNI0105_1: R- 141 Refuel: *440*L, TNI0103_1: R- 161 Refuel: *440*L, TNI0118_1: R- 317 Refuel: *440*L</t>
  </si>
  <si>
    <t>*Team leader 4* :3-Day Result: 3/0/0/0 &lt;=&gt; rank: *1* =Close: *59%* WO remain : *Month 17day :37/Close 7day: 25 &lt;:&gt;  1/ 2 / 9 / 30* + Assign: *55 =&gt; Team leader task Close: 0 All Task Close: 0 : 0 : 0 : 0* =&gt; Manager : TL:1 /2 P:0 Asset : TL:16 /17 P:0 CM : TL:0 /5 P:0 M&amp;E : TL:0 /9 P:0 PM : TL:0 /16 P:0 Construction Projects : TL:0 /1 P:0 Finance : TL:5 /5 P:0     *Need complete WO and task:* Week 1 =*25%* &lt;&gt; W2 =*50%* &lt;&gt; W3 = *75%*, W4=*100%* @Naing Myo Htun-Leader T4 -2021 *Sent Plan who do which Site: 08/06/26* Also check *daiy result FT* and Update time run *MDG daily SOS* and googel form. &lt;*&gt; *Aung Myint Myat-myt_arkar.phyo11*: 7-day results: *0* M: 0 /26 - Site: 0 &lt;&gt;Month 17day :0 /Close 7day: 0 &lt;=&gt; rank: *21* =Close: *0% &lt;0/0/0 &gt; WO remain : **13** + Assign: *5 =&gt; Task Close Month: 0: 0/0/0* =&gt;  Asset : 0/P: 1 CM : 2/P: 0 M&amp;E : 1/P: 0 PM : 2/P: 0       *Detail*  :  :  : DG Run &gt;16H, DG manual TNI0227 06/06/2638 :  :  =   *=*  *&lt;OTHER&gt;* *Aung Myint Myat-myt_khantchaw.nyo*: 7-day results: *0* M: 0 /26 - Site: *7* : 'TNI0012+ TNI0080+ TNI0064+ TNI0032+ TNI0154+ TNI0509+ TNI0350 &lt;&gt;Month 17day :9 /Close 7day: 4 &lt;=&gt; rank: *1* =Close: *100% &lt;1/0/1 &gt; WO remain : **0** + Assign: *5 =&gt; Task Close Month: 0: 0/0/0* =&gt;    M&amp;E : 2/P: 0 PM : 3/P: 0       *Detail*  :  :  : DG Run &gt;16H, DG manual TNI0227 06/06/2638 :  :  =   *=*  *&lt;OTHER&gt;* *Aung Myint Myat-myt_kyawnyein.thu*: 7-day results: *0* M: 0 /26 - Site: 0 &lt;&gt;Month 17day :0 /Close 7day: 0 &lt;=&gt; rank: *21* =Close: *0% &lt;0/0/0 &gt; WO remain : **0** + Assign: *0 =&gt; Task Close Month: 0: 0/0/0* =&gt;            *Detail*  :  :  : DG Run &gt;16H, DG manual TNI0227 06/06/2638 :  :  =   *=*  *&lt;OTHER&gt;* *--myt_naingmyo.htun*: 7-day results: *0* M: 0 - Site: 0 &lt;&gt;Month 17day :1 /Close 7day: 0 &lt;=&gt; rank: *11* =Close: *50% &lt;0/0/0 &gt; WO remain : **2** + Assign: *2 =&gt; Task Close Month: 0: 0/0/0* =&gt;     PM : 2/P: 0       *Detail*  *&lt;OTHER&gt;* *Tin Maung Win-myt_tinmaung.win*: 7-day results: *0* M: 0 /26 - Site: *1* : TNI0233 &lt;&gt;Month 17day :27 /Close 7day: 21 &lt;=&gt; rank: *7* =Close: *71% &lt;0/2/8 &gt; WO remain : **11** + Assign: *22 =&gt; Task Close Month: 0: 0/0/0* =&gt; Manager : 1/P: 0 Asset : 2/P: 0 CM : 2/P: 0 M&amp;E : 7/P: 0 PM : 9/P: 0 Construction Projects : 1/P: 0      *Detail*  :  :  :  :  : Open Door: TNI0123:  +Door Alarm: 03/06/2026 09:38 - 75, TNI0295:  +Door Alarm: 01/06/2026 12:42 - 120, TNI0372:  Door open alarm: 22/07/2023 02:17 - 25210 =  Run MDG: TNI0434 *=* Site need refuel: TNI0015_2: R- 194 Refuel: *440*L, TNI0120_1: R- 147 Refuel: *440*L, TNI0404_1: R- 328 Refuel: *440*L</t>
  </si>
  <si>
    <t>Tổng đội</t>
  </si>
  <si>
    <t>Tất cả</t>
  </si>
  <si>
    <t>Technical Dep</t>
  </si>
  <si>
    <t>Technical</t>
  </si>
  <si>
    <t>Tổng Asset</t>
  </si>
  <si>
    <t>{"s1Start":7,"s1End":25}</t>
  </si>
  <si>
    <t xml:space="preserve"> </t>
  </si>
  <si>
    <t>TNI319</t>
  </si>
  <si>
    <t>Write full name Site TNI0009</t>
  </si>
  <si>
    <t>Check Site Up down run MDG</t>
  </si>
  <si>
    <t>TNI0071</t>
  </si>
  <si>
    <t>TNI0061</t>
  </si>
  <si>
    <t>TNI0038</t>
  </si>
  <si>
    <t>TNI0328</t>
  </si>
  <si>
    <t>TNI0211</t>
  </si>
  <si>
    <t>TNI0198</t>
  </si>
  <si>
    <t>Task</t>
  </si>
  <si>
    <t>WO</t>
  </si>
  <si>
    <t>TEST - Ha Duc Phong</t>
  </si>
  <si>
    <t>@test</t>
  </si>
  <si>
    <t>50 box cable cat6</t>
  </si>
  <si>
    <t>2 switch 24port</t>
  </si>
  <si>
    <t>Server TNI0201 sang TNI0065</t>
  </si>
  <si>
    <t>Ha Duc Phong (TEST)</t>
  </si>
  <si>
    <t>Ha Duc Phong _070756_TNI</t>
  </si>
  <si>
    <t>@Phongha79</t>
  </si>
  <si>
    <t>TNI0002 1 battery start + 1 ATS charger</t>
  </si>
  <si>
    <t>TNI0127 1 RRU</t>
  </si>
  <si>
    <t>Assign</t>
  </si>
  <si>
    <t>Assgin to Backoffice</t>
  </si>
  <si>
    <t>Group Assign</t>
  </si>
  <si>
    <t>Detailed content</t>
  </si>
  <si>
    <t>Date Assign (dd/mm/yyyy)</t>
  </si>
  <si>
    <t>Target Date complete</t>
  </si>
  <si>
    <t>Dep update Progress</t>
  </si>
  <si>
    <t xml:space="preserve"> Dep update Date complete</t>
  </si>
  <si>
    <t xml:space="preserve">Dep leader Note </t>
  </si>
  <si>
    <t xml:space="preserve">Manager Confirm </t>
  </si>
  <si>
    <t>Note ( why Deduction)</t>
  </si>
  <si>
    <t>Auto Count point</t>
  </si>
  <si>
    <t>Chat Title</t>
  </si>
  <si>
    <t>Chat ID</t>
  </si>
  <si>
    <t>Type</t>
  </si>
  <si>
    <t>Registered By</t>
  </si>
  <si>
    <t>thureinnaing</t>
  </si>
  <si>
    <t>private</t>
  </si>
  <si>
    <t>Thu♒</t>
  </si>
  <si>
    <t>PKKo44</t>
  </si>
  <si>
    <t>PK Ko</t>
  </si>
  <si>
    <t>Private</t>
  </si>
  <si>
    <t>ZM</t>
  </si>
  <si>
    <t>DEF</t>
  </si>
  <si>
    <t>User Name</t>
  </si>
  <si>
    <t>User ID</t>
  </si>
  <si>
    <t>TNI Code</t>
  </si>
  <si>
    <t>Khant Chaw Nyo</t>
  </si>
  <si>
    <t>TNI0249</t>
  </si>
  <si>
    <t>TNI0037</t>
  </si>
  <si>
    <t>Phyo Htet Aung</t>
  </si>
  <si>
    <t>♋️P🦀.♋️H🦀.♋️A🦀</t>
  </si>
  <si>
    <t>TNI0276</t>
  </si>
  <si>
    <t>TNI0154</t>
  </si>
  <si>
    <t>U Tin Maung Win</t>
  </si>
  <si>
    <t>TNI0011</t>
  </si>
  <si>
    <t>Naing</t>
  </si>
  <si>
    <t>TNI0202</t>
  </si>
  <si>
    <t>TNI0254</t>
  </si>
  <si>
    <t/>
  </si>
  <si>
    <t>TNI</t>
  </si>
  <si>
    <t>TNI0015</t>
  </si>
  <si>
    <t>TNI0213</t>
  </si>
  <si>
    <t>TNI0272</t>
  </si>
  <si>
    <t>TEST_BOT_RUN</t>
  </si>
  <si>
    <t>TEST_USER_LOCAL</t>
  </si>
  <si>
    <t>TNI0228</t>
  </si>
  <si>
    <t>TEST_USER_VERCEL</t>
  </si>
  <si>
    <t>TNI0394</t>
  </si>
  <si>
    <t>TNI0001</t>
  </si>
  <si>
    <t>TNI0003</t>
  </si>
  <si>
    <t>TNI0005</t>
  </si>
  <si>
    <t>Search Stats (auto-updated)</t>
  </si>
  <si>
    <t>Khant Chaw Nyo &amp; 6361576236 &amp; Day:0/0/3 &amp; Week:3 &amp; Month:3</t>
  </si>
  <si>
    <t>♋️P🦀.♋️H🦀.♋️A🦀 &amp; 5883329989 &amp; Day:0/0/1 &amp; Week:1 &amp; Month:1</t>
  </si>
  <si>
    <t>U Tin Maung Win &amp; 7772056124 &amp; Day:0/0/1 &amp; Week:1 &amp; Month:1</t>
  </si>
  <si>
    <t>Naing &amp; 6558915011 &amp; Day:0/0/5 &amp; Week:5 &amp; Month:5</t>
  </si>
  <si>
    <t>TNI &amp; 6859790680 &amp; Day:0/8/0 &amp; Week:8 &amp; Month:8</t>
  </si>
  <si>
    <t>Sat Dec 30 1899 14:52:00 GMT+0624 (Myanmar Time) &amp; TEST_BOT_RUN &amp; Day:0/0/0 &amp; Week:0 &amp; Month:0</t>
  </si>
  <si>
    <t>TEST_USER_LOCAL &amp; 9999999999 &amp; Day:0/3/0 &amp; Week:3 &amp; Month:3</t>
  </si>
  <si>
    <t>Field Name</t>
  </si>
  <si>
    <t>Name</t>
  </si>
  <si>
    <t>Telegram ID</t>
  </si>
  <si>
    <t>Order:  TNI0011 ..</t>
  </si>
  <si>
    <t>Phong</t>
  </si>
  <si>
    <t>Revoke: TNI0001  Detail</t>
  </si>
  <si>
    <t>Export: TNI0001  Detail</t>
  </si>
  <si>
    <t>Manager</t>
  </si>
  <si>
    <t>Move: Form TNI0001 Detail to TNI0002 Detail</t>
  </si>
  <si>
    <t>Asset Sent: Team 1: 200 pcs Lock</t>
  </si>
  <si>
    <t>Destroys: TNI0038 ( all device task)</t>
  </si>
  <si>
    <t>Loss fuel: TNI0284</t>
  </si>
  <si>
    <t>Inventory oil: Team 3 Sub 1 Remain 50L</t>
  </si>
  <si>
    <t>Inventory water coolant: Team 2 remain 47L</t>
  </si>
  <si>
    <t>Nhan vien</t>
  </si>
  <si>
    <t>Hom nay</t>
  </si>
  <si>
    <t>Hom qua</t>
  </si>
  <si>
    <t>Hom kia</t>
  </si>
  <si>
    <t>Tuan</t>
  </si>
  <si>
    <t>Thang</t>
  </si>
  <si>
    <t>Pyi Kyaw Aung</t>
  </si>
  <si>
    <t>Si Thu Htun</t>
  </si>
  <si>
    <t>TEst2</t>
  </si>
  <si>
    <t>Mr Phong</t>
  </si>
  <si>
    <t>TEst1</t>
  </si>
  <si>
    <t>Mr Ye Lwin</t>
  </si>
  <si>
    <t>TEst3</t>
  </si>
  <si>
    <t>CM</t>
  </si>
  <si>
    <t>No</t>
  </si>
  <si>
    <t>Date Sent</t>
  </si>
  <si>
    <t>Content</t>
  </si>
  <si>
    <t>Asset action done</t>
  </si>
  <si>
    <t>Move: TNI0009 1 card DWDM to Team 4 warehouse</t>
  </si>
  <si>
    <t>Done + 13/06/2026 09:26 (Admin)
Done + 13/06/2026 09:31 (Admin)</t>
  </si>
  <si>
    <t>Order: Sub Team 2 Palaw Closure - 10 pcs
G7 - 50 pcs
13kva fuel filter - 5 pcs
30 kva oil filter - 2 pcs</t>
  </si>
  <si>
    <t>Done + 13/06/2026 09:24 (Admin)</t>
  </si>
  <si>
    <t>Export: TEAM03: TNI0212-TNIM058 20/10/25 = 1.25G , 40km module</t>
  </si>
  <si>
    <t>Order: team03 Rectifer box 3PCS</t>
  </si>
  <si>
    <t>Order: Team 3  closure 10pcs</t>
  </si>
  <si>
    <t>Done + 13/06/2026 09:26 (Admin)</t>
  </si>
  <si>
    <t>Order: TNI0004 DG_1 starter battery 1</t>
  </si>
  <si>
    <t>Done + 13/06/2026 09:25 (Admin)</t>
  </si>
  <si>
    <t>Order: Team 3  TNI0004 DG_1 starter battery 1</t>
  </si>
  <si>
    <t>Done + 13/06/2026 09:30 (Admin)</t>
  </si>
  <si>
    <t>Order: 30 KVA fuel filter 5 PCs oil filter 5 pcs</t>
  </si>
  <si>
    <t>Done + 13/06/2026 09:29 (Admin)</t>
  </si>
  <si>
    <t>Order: Team 3 Bokpyin 
Fuel fliter  8 kva- 5 pcs
13kva - 5 pcs
30 kva  - 2 pcs
Oil fliter 8 kva-5 Pcs
13 kva-5 pcs
30 kva-5 pcs
Air filter 8 kva-5pcs
13 kva-5 pcs 
30 kva-5 pcs</t>
  </si>
  <si>
    <t>Order: Team 3 Bokpyin 
Fuel fliter  8 kva- 1 pcs
30 kva  - 5 pcs
Oil fliter 8kva -5 pcs
12 kva-5 pcs
Air filter 8 kva-5pcs
13 kva-5 pcs 
30 kva-5 pcs</t>
  </si>
  <si>
    <t>18/06/2026 10:11</t>
  </si>
  <si>
    <t>Order:closure 4pscs</t>
  </si>
  <si>
    <t>Done + 18/06/2026 10:23 (Admin)</t>
  </si>
  <si>
    <t>19/06/2026 10:59</t>
  </si>
  <si>
    <t>Move: From TNI0251 to TNI0210   rectifier 1pcs:  take photo clear see serial</t>
  </si>
  <si>
    <t>https://drive.google.com/file/d/1mUaUHxv4pS4DA2UgpjdcrBi66RLdKHf9/view</t>
  </si>
  <si>
    <t>19/06/2026 11:00</t>
  </si>
  <si>
    <t>Order:closure 10pcs</t>
  </si>
  <si>
    <t>Done + 19/06/2026 11:00 (Admin)</t>
  </si>
  <si>
    <t>19/06/2026 12:06</t>
  </si>
  <si>
    <t>[19/06/2026 11:59] TNI: Move: From TNI0251 to TNI0210   rectifier 1pcs:  take photo clear see serial
[19/06/2026 12:02] TNI: Move: From TNI0251 to TNI0210   rectifier 1pcs:  take photo clear see serial</t>
  </si>
  <si>
    <t>19/06/2026 12:12</t>
  </si>
  <si>
    <t>19/06/2026 12:17</t>
  </si>
  <si>
    <t>19/06/2026 12:25</t>
  </si>
  <si>
    <t>19/06/2026 12:30</t>
  </si>
  <si>
    <t>19/06/2026 12:39</t>
  </si>
  <si>
    <t>19/06/2026 13:21</t>
  </si>
  <si>
    <t>19/06/2026 13:36</t>
  </si>
  <si>
    <t>19/06/2026 13:45</t>
  </si>
  <si>
    <t>19/06/2026 13:54</t>
  </si>
  <si>
    <t>19/06/2026 13:57</t>
  </si>
  <si>
    <t>19/06/2026 14:07</t>
  </si>
  <si>
    <t>19/06/2026 14:12</t>
  </si>
  <si>
    <t>19/06/2026 20:10</t>
  </si>
  <si>
    <t>Order: DC low module 10pcs</t>
  </si>
  <si>
    <t>20/06/2026 11:30</t>
  </si>
  <si>
    <t>Order:  TNI0011 ..
Revoke: TNI0001  Detail
Export: TNI0001  Detail
Move: Form TNI0001 Detail to TNI0002 Detail
Asset Sent: Team 1: 200 pcs Lock
Destroys: TNI0038 ( all device task)
Loss fuel: TNI0284</t>
  </si>
  <si>
    <t>20/06/2026 11:31</t>
  </si>
  <si>
    <t>Order: TNI0220  UBBP car  1pcs</t>
  </si>
  <si>
    <t>20/06/2026 11:32</t>
  </si>
  <si>
    <t>https://drive.google.com/file/d/1pw7e-qjWKkwKQjEafSztRGAll3hdtTY6/view</t>
  </si>
  <si>
    <t>https://drive.google.com/file/d/1pNoK2ce62NGQB6JvipRUg0POQRKDJ6R4/view</t>
  </si>
  <si>
    <t>22/06/2026 09:14</t>
  </si>
  <si>
    <t>Inventory oil: Team 3 Sub water coolant 25 L</t>
  </si>
  <si>
    <t>https://drive.google.com/file/d/106idWD_vFyPUrLc4uuJLpGenMrBlKFBs/view</t>
  </si>
  <si>
    <t>22/06/2026 10:35</t>
  </si>
  <si>
    <t>Order: Team 1
Fuel fliter  8 kva- 2 pcs
Oil filter 8 kva- 2 pcs
Fuel fliter 13 kva- 1 pcs
Oil fliter 13kva -1 pcs
Coolant -1 pcs 
Engine oil - 1 pcs</t>
  </si>
  <si>
    <t>Done + 22/06/2026 10:51 (Admin)</t>
  </si>
  <si>
    <t>Order: TNI0328 fan belt 1pcs.</t>
  </si>
  <si>
    <t>Done + 25/06/2026 10:14 (Admin)</t>
  </si>
  <si>
    <t>Order: rectifier PU 1pcs</t>
  </si>
  <si>
    <t>https://drive.google.com/file/d/1HdzxxWTa_daZI7BOfFAmA678Wz7DsEZl/view</t>
  </si>
  <si>
    <t>https://drive.google.com/file/d/1ochxqy62Yq16qn8CBUTxp7b6gqCK-AqP/view</t>
  </si>
  <si>
    <t>https://drive.google.com/file/d/18iR0KF5qto-OrmjeN5KK7l7cRM4zxLTi/view</t>
  </si>
  <si>
    <t>Inventory oil: Sub team 3 remain 50L Oil</t>
  </si>
  <si>
    <t>Order: TNI0049 Air Filter 1pcs
   Oil Filter 1 pcs Fuel Filter 1 pcs</t>
  </si>
  <si>
    <t>Order: TNI00319 13/KVAir Filter 1pcs
   Oil Filter 1 pcs Fuel Filter 1 pcs</t>
  </si>
  <si>
    <t>Order: TNI0210 13/KVAir Filter 1pcs
   Oil Filter 1 pcs Fuel Filter 1 pcs</t>
  </si>
  <si>
    <t>Order: UBBP 1pcs 
CPRI 1pcs
DG battery 1pcs
Rectifier PU 1pcs</t>
  </si>
  <si>
    <t>Order:diode kit 2pcs</t>
  </si>
  <si>
    <t>Order: DG battery for TNI0284</t>
  </si>
  <si>
    <t>Order: TNI0122 dynamo charger</t>
  </si>
  <si>
    <t>Order :  TNI0004 need SC/LC path cord 10m , 2pcs Sub Team 3 for repair main Node</t>
  </si>
  <si>
    <t>Done + 01/07/2026 07:49 (Phong)</t>
  </si>
  <si>
    <t>Move: TNI0394 Cabinet to TNI0035</t>
  </si>
  <si>
    <t>https://drive.google.com/file/d/1pvjKB3BMny0yZY_CeJ1SCM_843fhxK8-/view</t>
  </si>
  <si>
    <t>Revoke: Test</t>
  </si>
  <si>
    <t>Order: tension 100 pcs for cable maintenance TNI0008-TNI0009 and TNI0009-TNI0015</t>
  </si>
  <si>
    <t>Team04 
Order : Engine oil 🛢️ 4 pcs</t>
  </si>
  <si>
    <t>Order:  TNI0011 ..
Revoke: TNI0001  Detail
Export: TNI0001  Detail
Move: Form TNI0001 Detail to TNI0002 Detail
Asset Sent: Team 1: 200 pcs Lock
Destroys: TNI0038 ( all device task)
Loss fuel: TNI0284
Inventory oil: Team 3 Sub 1 Remain 50L
Inventory water coolant: Team 2 remain 47L</t>
  </si>
  <si>
    <t>Order: DG controller at TNI0381</t>
  </si>
  <si>
    <t>Order : Fuel sensor 2pcs for TNI0012</t>
  </si>
  <si>
    <t>Order material list
TNI0309 - 4 nozzles(DG cannot run)
TNI0035 - 1 Rectifier box(temporary take from Mytel)
TNI0211 - CSU(LCD broken)
TNI0306 - 4 SHOTO Battery
TNI0019 - 4 SHOTO Battery 
TNI0309 - need DG starter battery(at site lost)</t>
  </si>
  <si>
    <t>Order: DG starter Battery at TNI0228 ( at site lost)</t>
  </si>
  <si>
    <t>Order: Backup Shoto battery 100Ah 3pcs and diode 3pcs for TNI0401,TNI0434 and TNI0435</t>
  </si>
  <si>
    <t>Order: ATS charger for TNI0047</t>
  </si>
  <si>
    <t>https://drive.google.com/file/d/12WH0AJtyVCrhc_ySMF3QdbozF4ThD4Hq/view</t>
  </si>
  <si>
    <t>Control all</t>
  </si>
  <si>
    <t>BOD</t>
  </si>
  <si>
    <t>Duty Manger</t>
  </si>
  <si>
    <t>Technical dep assign</t>
  </si>
  <si>
    <t>Asset</t>
  </si>
  <si>
    <t>Construction Projects</t>
  </si>
  <si>
    <t>Name systel</t>
  </si>
  <si>
    <t>Group Task</t>
  </si>
  <si>
    <t>CD Assign staff Full Name</t>
  </si>
  <si>
    <t>CD Assign  Site need to do</t>
  </si>
  <si>
    <t>Team leader assign daily sent plan tomorrow at 20H30 daily</t>
  </si>
  <si>
    <t>Plan 26/11/2025</t>
  </si>
  <si>
    <t>TNI0207</t>
  </si>
  <si>
    <t>Team 1</t>
  </si>
  <si>
    <t>TNI0264+TNI0251</t>
  </si>
  <si>
    <t>/</t>
  </si>
  <si>
    <t>TNI0064</t>
  </si>
  <si>
    <t>TNI0017</t>
  </si>
  <si>
    <t>TNI0272+ TNI0331</t>
  </si>
  <si>
    <t>TNI0123</t>
  </si>
  <si>
    <t>TNI0129</t>
  </si>
  <si>
    <t>TNI0063</t>
  </si>
  <si>
    <t>Bhone Htat Aung</t>
  </si>
  <si>
    <t>TNI0072+ TNI0265</t>
  </si>
  <si>
    <t>TNI0012</t>
  </si>
  <si>
    <t>TNI0038+ TNI0072+ TNI0041+ TNI0319+ TNI0265+ TNI0211</t>
  </si>
  <si>
    <t>TNI0324</t>
  </si>
  <si>
    <t>TNI0281</t>
  </si>
  <si>
    <t>TNI0197</t>
  </si>
  <si>
    <t>TNI0201</t>
  </si>
  <si>
    <t>TNI0350</t>
  </si>
  <si>
    <t>TNI0355</t>
  </si>
  <si>
    <t>TNI0019</t>
  </si>
  <si>
    <t>TNI0295</t>
  </si>
  <si>
    <t>TNI0120</t>
  </si>
  <si>
    <t>TNI0057</t>
  </si>
  <si>
    <t>TNI0268</t>
  </si>
  <si>
    <t>TNI0252</t>
  </si>
  <si>
    <t>TNI0242</t>
  </si>
  <si>
    <t>TNI0240</t>
  </si>
  <si>
    <t>TNI0199</t>
  </si>
  <si>
    <t>TNI0090</t>
  </si>
  <si>
    <t>TNI0047</t>
  </si>
  <si>
    <t>TNI0042</t>
  </si>
  <si>
    <t>TNI0040</t>
  </si>
  <si>
    <t>TNI0039</t>
  </si>
  <si>
    <t>TNI0020</t>
  </si>
  <si>
    <t>TNI0007</t>
  </si>
  <si>
    <t>TNI0250</t>
  </si>
  <si>
    <t>TNI0002</t>
  </si>
  <si>
    <t>TNI0013</t>
  </si>
  <si>
    <t>TNI0046</t>
  </si>
  <si>
    <t>TNI0275</t>
  </si>
  <si>
    <t>TNI_ te</t>
  </si>
  <si>
    <t>TNI0146</t>
  </si>
  <si>
    <t>TNI0006</t>
  </si>
  <si>
    <t>TNI0323</t>
  </si>
  <si>
    <t>TNI0251</t>
  </si>
  <si>
    <t>TNI0089</t>
  </si>
  <si>
    <t>TNI0021</t>
  </si>
  <si>
    <t>TNI0232</t>
  </si>
  <si>
    <t>TNI0189</t>
  </si>
  <si>
    <t>0</t>
  </si>
  <si>
    <t>TNI0075</t>
  </si>
  <si>
    <t>TNI0206</t>
  </si>
  <si>
    <t>TNI_tea</t>
  </si>
  <si>
    <t>TNI0031</t>
  </si>
  <si>
    <t>TNI0122</t>
  </si>
  <si>
    <t>TNI0231</t>
  </si>
  <si>
    <t>TNI0201: 8KVA</t>
  </si>
  <si>
    <t>TNI0053</t>
  </si>
  <si>
    <t>TNI0049</t>
  </si>
  <si>
    <t>TNI0426</t>
  </si>
  <si>
    <t>TNI0257</t>
  </si>
  <si>
    <t>TNI0264</t>
  </si>
  <si>
    <t>TNI0381: 8KVA</t>
  </si>
  <si>
    <t>TNI0073</t>
  </si>
  <si>
    <t>TNI0078</t>
  </si>
  <si>
    <t>TNI0035</t>
  </si>
  <si>
    <t>TNI0392</t>
  </si>
  <si>
    <t>TNI0006: 30KVA</t>
  </si>
  <si>
    <t>TNI0153</t>
  </si>
  <si>
    <t>TNI0319: 12KVA</t>
  </si>
  <si>
    <t>TNI0306: 12DKVA</t>
  </si>
  <si>
    <t>TNI0115</t>
  </si>
  <si>
    <t>TNI0147</t>
  </si>
  <si>
    <t>TNI0148</t>
  </si>
  <si>
    <t>TNI0319</t>
  </si>
  <si>
    <t>TNI0170</t>
  </si>
  <si>
    <t>TNI0058</t>
  </si>
  <si>
    <t>TNI0050</t>
  </si>
  <si>
    <t>TNI0018</t>
  </si>
  <si>
    <t>TNI0271</t>
  </si>
  <si>
    <t>TNI0070</t>
  </si>
  <si>
    <t>TNI0068</t>
  </si>
  <si>
    <t>TNI0061: 8KVA</t>
  </si>
  <si>
    <t>TNI0049: 8KVA</t>
  </si>
  <si>
    <t>TNI0150</t>
  </si>
  <si>
    <t>TNI0041: 8KVA</t>
  </si>
  <si>
    <t>TNI0038: 8KVA</t>
  </si>
  <si>
    <t>TNI0208</t>
  </si>
  <si>
    <t>TNI0326</t>
  </si>
  <si>
    <t>TNI0312</t>
  </si>
  <si>
    <t>TNI0273</t>
  </si>
  <si>
    <t>TNI0194</t>
  </si>
  <si>
    <t>TNI0331</t>
  </si>
  <si>
    <t>TNI0424</t>
  </si>
  <si>
    <t>TNI0322</t>
  </si>
  <si>
    <t>TNI0357</t>
  </si>
  <si>
    <t>TNI0185</t>
  </si>
  <si>
    <t>TNI0210</t>
  </si>
  <si>
    <t>TNI0066</t>
  </si>
  <si>
    <t>TNI0069</t>
  </si>
  <si>
    <t>TNI0052: 8KVA</t>
  </si>
  <si>
    <t>TNI0013: 30KVA</t>
  </si>
  <si>
    <t>TNI0227: 12KVA</t>
  </si>
  <si>
    <t>TNI0003: 30KVA</t>
  </si>
  <si>
    <t>TNI0137: 12DKVA</t>
  </si>
  <si>
    <t>TNI0081</t>
  </si>
  <si>
    <t>TNI0236</t>
  </si>
  <si>
    <t>TNI0266</t>
  </si>
  <si>
    <t>TNI0025</t>
  </si>
  <si>
    <t>TNI0280</t>
  </si>
  <si>
    <t>TNI0349</t>
  </si>
  <si>
    <t>TNI0339</t>
  </si>
  <si>
    <t>TNI0291</t>
  </si>
  <si>
    <t>TNI0127</t>
  </si>
  <si>
    <t>TNI0336</t>
  </si>
  <si>
    <t>TNI0248</t>
  </si>
  <si>
    <t>TNI0258</t>
  </si>
  <si>
    <t>TNI0294</t>
  </si>
  <si>
    <t>TNI0261</t>
  </si>
  <si>
    <t>TNI0521</t>
  </si>
  <si>
    <t>TNI0159</t>
  </si>
  <si>
    <t>TNI0116</t>
  </si>
  <si>
    <t>TNI0212: 12KVA</t>
  </si>
  <si>
    <t>TNI0004</t>
  </si>
  <si>
    <t>TNI0179</t>
  </si>
  <si>
    <t>TNI0079</t>
  </si>
  <si>
    <t>TNI0103</t>
  </si>
  <si>
    <t>TNI0105</t>
  </si>
  <si>
    <t>TNI0247</t>
  </si>
  <si>
    <t>TNI0320</t>
  </si>
  <si>
    <t>TNI0277</t>
  </si>
  <si>
    <t>TNI0519: 12DKVA</t>
  </si>
  <si>
    <t>TNI0077</t>
  </si>
  <si>
    <t>TNI0288</t>
  </si>
  <si>
    <t>TNI0072</t>
  </si>
  <si>
    <t>TNI0256</t>
  </si>
  <si>
    <t>TNI0265</t>
  </si>
  <si>
    <t>TNI0321</t>
  </si>
  <si>
    <t>TNI0245</t>
  </si>
  <si>
    <t>TNI0198: 8KVA</t>
  </si>
  <si>
    <t>TNI0312: 12KVA</t>
  </si>
  <si>
    <t>TNI0019: 8KVA</t>
  </si>
  <si>
    <t>TNI0278</t>
  </si>
  <si>
    <t>TNI0009</t>
  </si>
  <si>
    <t>TNI0228: 8KVA</t>
  </si>
  <si>
    <t>TNI0381</t>
  </si>
  <si>
    <t>TNI0036</t>
  </si>
  <si>
    <t>TNI0024</t>
  </si>
  <si>
    <t>TNI0048</t>
  </si>
  <si>
    <t>TNI0413: 12DKVA</t>
  </si>
  <si>
    <t>TNI0241</t>
  </si>
  <si>
    <t>TNI0279</t>
  </si>
  <si>
    <t>TNI0028</t>
  </si>
  <si>
    <t>TNI0091</t>
  </si>
  <si>
    <t>TNI0290</t>
  </si>
  <si>
    <t>TNI0044</t>
  </si>
  <si>
    <t>TNI0239</t>
  </si>
  <si>
    <t>TNI0413</t>
  </si>
  <si>
    <t>TNI_TEA</t>
  </si>
  <si>
    <t>TNI0345</t>
  </si>
  <si>
    <t>TNI0136</t>
  </si>
  <si>
    <t>TNI0341</t>
  </si>
  <si>
    <t>TNI0209</t>
  </si>
  <si>
    <t>TNI0118</t>
  </si>
  <si>
    <t>TNI0008</t>
  </si>
  <si>
    <t>TNI0220</t>
  </si>
  <si>
    <t>TNI0390</t>
  </si>
  <si>
    <t>TNI0309</t>
  </si>
  <si>
    <t>TNI0314</t>
  </si>
  <si>
    <t>TNI0214</t>
  </si>
  <si>
    <t>TNI0305</t>
  </si>
  <si>
    <t>TNI0314: 30KVA</t>
  </si>
  <si>
    <t>TNI0129: 8KVA</t>
  </si>
  <si>
    <t>TNI0351: 12DKVA</t>
  </si>
  <si>
    <t>TNI0351</t>
  </si>
  <si>
    <t>TNI0043</t>
  </si>
  <si>
    <t>TNI0284: 12KVA</t>
  </si>
  <si>
    <t>TNI0283</t>
  </si>
  <si>
    <t>TNI0498</t>
  </si>
  <si>
    <t>TNI0015: 12KVA</t>
  </si>
  <si>
    <t>TNI0243</t>
  </si>
  <si>
    <t>TNI0016</t>
  </si>
  <si>
    <t>TNI0080</t>
  </si>
  <si>
    <t>TNI0229</t>
  </si>
  <si>
    <t>TNI0282</t>
  </si>
  <si>
    <t>TNI0392: 12DKVA</t>
  </si>
  <si>
    <t>TNI0103: 8KVA</t>
  </si>
  <si>
    <t>TNI0105: 8KVA</t>
  </si>
  <si>
    <t>TNI0008: 12KVA</t>
  </si>
  <si>
    <t>TNI0348</t>
  </si>
  <si>
    <t>TNI0292</t>
  </si>
  <si>
    <t>TNI0212</t>
  </si>
  <si>
    <t>TNI0108</t>
  </si>
  <si>
    <t>TNI0164</t>
  </si>
  <si>
    <t>TNI0519</t>
  </si>
  <si>
    <t>TNI0029</t>
  </si>
  <si>
    <t>TNI0516</t>
  </si>
  <si>
    <t>TNI0200: 12KVA</t>
  </si>
  <si>
    <t>TNI0122: 12KVA</t>
  </si>
  <si>
    <t>TNI0200</t>
  </si>
  <si>
    <t>TNI0515</t>
  </si>
  <si>
    <t>TNI0370</t>
  </si>
  <si>
    <t>TNI0520</t>
  </si>
  <si>
    <t>TNI0255</t>
  </si>
  <si>
    <t>TNI0415</t>
  </si>
  <si>
    <t>TNI0371</t>
  </si>
  <si>
    <t xml:space="preserve">Main Team </t>
  </si>
  <si>
    <t>Team 1 Plan Site need finish week 48 =&gt; : 42, Cable Plan need finish week 48 =&gt; : 49, MW Plan need finish week 48 =&gt; : 7</t>
  </si>
  <si>
    <t>Support Team 1 must complete the inventory count before the weekly deadline.</t>
  </si>
  <si>
    <t>Team 1 must work together to conduct an inventory of the warehouse.</t>
  </si>
  <si>
    <t>Inventory NOC-ROT-TOOL VCM-MYTEL Team 1</t>
  </si>
  <si>
    <t>Organize the Branch warehouse and Team 1 warehouse according to 5S guidelines.</t>
  </si>
  <si>
    <t>WO_WFM-OTHERS_20260503_123172952</t>
  </si>
  <si>
    <t>WO_WFM-OTHERS_20260503_123172946</t>
  </si>
  <si>
    <t>WO_WFM-OTHERS_20260503_123172938</t>
  </si>
  <si>
    <t>WO_WFM-OTHERS_20260503_123173150</t>
  </si>
  <si>
    <t>WO_WFM-OTHERS_20260503_123173144</t>
  </si>
  <si>
    <t>WO_WFM-OTHERS_20260503_123172914</t>
  </si>
  <si>
    <t>WO_WFM-OTHERS_20260503_123173129</t>
  </si>
  <si>
    <t>WO_WFM-OTHERS_20260503_123173121</t>
  </si>
  <si>
    <t>WO_WFM-OTHERS_20260503_123173082</t>
  </si>
  <si>
    <t>WO_WFM-OTHERS_20260503_123173077</t>
  </si>
  <si>
    <t>WO_WFM-OTHERS_20260503_123172873</t>
  </si>
  <si>
    <t>WO_WFM-OTHERS_20260503_123172864</t>
  </si>
  <si>
    <t>WO_WFM-OTHERS_20260503_123172860</t>
  </si>
  <si>
    <t>WO_WFM-OTHERS_20260503_123173051</t>
  </si>
  <si>
    <t>WO_WFM-OTHERS_20260503_123172841</t>
  </si>
  <si>
    <t>WO_WFM-OTHERS_20260503_123173044</t>
  </si>
  <si>
    <t>WO_WFM-OTHERS_20260503_123173036</t>
  </si>
  <si>
    <t>WO_WFM-OTHERS_20260503_123172505</t>
  </si>
  <si>
    <t>WO_WFM-OTHERS_20260503_123172491</t>
  </si>
  <si>
    <t>WO_WFM-OTHERS_20260503_123172482</t>
  </si>
  <si>
    <t>Team 1 Recall materials to mytel 10/2025</t>
  </si>
  <si>
    <t>The export and return of goods must be carried out after Team 1 completes the inventory count.</t>
  </si>
  <si>
    <t>TNI0065</t>
  </si>
  <si>
    <t>TNI0067</t>
  </si>
  <si>
    <t>Team 2 Plan Site need finish week 48 =&gt; : 49,Cable Plan need finish week 48 =&gt; : 49,MW Plan need finish week 48 =&gt; : 28</t>
  </si>
  <si>
    <t>Team 2 plan need inentory week 51= Site: 49&amp;=&amp; Cable: 84&amp;=&amp; MW: 49</t>
  </si>
  <si>
    <t>Team 2's supervisor must complete the inventory count before the weekly deadline.</t>
  </si>
  <si>
    <t>Inventory NOC-ROT-TOOL VCM-MYTEL Team 2</t>
  </si>
  <si>
    <t>Team 2 must work together to conduct an inventory of the warehouse.</t>
  </si>
  <si>
    <t>Team 2 Recall materials to mytel 10/2025</t>
  </si>
  <si>
    <t>TNI0166</t>
  </si>
  <si>
    <t>The export and return of goods must be carried out after Team 2 completes the inventory count.</t>
  </si>
  <si>
    <t>TNI0270</t>
  </si>
  <si>
    <t>Team 3 Plan Site need finish week 48 =&gt; : 14,Cable Plan need finish week 48 =&gt; : 21,MW Plan need finish week 48 =&gt; : 0</t>
  </si>
  <si>
    <t>Team 3 plan need inentory week 48= Site: 14&amp;=&amp; Cable: 21&amp;=&amp; MW: 7</t>
  </si>
  <si>
    <t>Inventory NOC-ROT-TOOL VCM-MYTEL Team 3</t>
  </si>
  <si>
    <t>WO_WFM-OTHERS_20260503_123175308</t>
  </si>
  <si>
    <t>Team 3 Recall materials to mytel 10/2025</t>
  </si>
  <si>
    <t xml:space="preserve">Export new pu_2pcs from VCM BRANCH OFFICE, when u received </t>
  </si>
  <si>
    <t>Team 4 Plan Site need finish week 48 =&gt; : 14,Cable Plan need finish week 48 =&gt; : 21,MW Plan need finish week 48 =&gt; : 0</t>
  </si>
  <si>
    <t>Team 4 plan need inentory week 48= Site: 14&amp;=&amp; Cable: 28&amp;=&amp; MW: 7</t>
  </si>
  <si>
    <t>Inventory NOC-ROT-TOOL VCM-MYTEL Team 4</t>
  </si>
  <si>
    <t>WO_WFM-OTHERS_20260503_123175461</t>
  </si>
  <si>
    <t>WO_WFM-OTHERS_20260503_123175301</t>
  </si>
  <si>
    <t>WO_WFM-OTHERS_20260503_123175450</t>
  </si>
  <si>
    <t>WO_WFM-OTHERS_20260503_123175443</t>
  </si>
  <si>
    <t>WO_WFM-OTHERS_20260503_123175431</t>
  </si>
  <si>
    <t>WO_WFM-OTHERS_20260503_123175276</t>
  </si>
  <si>
    <t>WO_WFM-OTHERS_20260503_123173528</t>
  </si>
  <si>
    <t>WO_WFM-OTHERS_20260503_123173517</t>
  </si>
  <si>
    <t>WO_WFM-OTHERS_20260503_123173305</t>
  </si>
  <si>
    <t>WO_WFM-OTHERS_20260503_123173295</t>
  </si>
  <si>
    <t>WO_WFM-OTHERS_20260503_123173488</t>
  </si>
  <si>
    <t>Team 4 Recall materials to mytel 10/2025</t>
  </si>
  <si>
    <t xml:space="preserve">F8 24 Closure _20pcs to VCM BBranch office in system </t>
  </si>
  <si>
    <t>TNI_ROT</t>
  </si>
  <si>
    <t>Need to check Yearly Inventory</t>
  </si>
  <si>
    <t>Team 5 Plan Site need finish week 48 =&gt; : 14,Cable Plan need finish week 48 =&gt; : 7,MW Plan need finish week 48 =&gt; : 7</t>
  </si>
  <si>
    <t>Team 5 plan need inentory week 48= Site: 14&amp;=&amp; Cable: 14&amp;=&amp; MW: 7</t>
  </si>
  <si>
    <t>Team 5 plan need inentory week 51= Site: 21&amp;=&amp; Cable: 21&amp;=&amp; MW: 7</t>
  </si>
  <si>
    <t>Inventory NOC-ROT-TOOL VCM-MYTEL Team 5</t>
  </si>
  <si>
    <t>Team 5 Recall materials to mytel 10/2025</t>
  </si>
  <si>
    <t>TNI0333</t>
  </si>
  <si>
    <t>TNI0041</t>
  </si>
  <si>
    <t>TNI0306</t>
  </si>
  <si>
    <t>TNI0095</t>
  </si>
  <si>
    <t>TNI0237</t>
  </si>
  <si>
    <t>TNI0507</t>
  </si>
  <si>
    <t>TNI0311</t>
  </si>
  <si>
    <t xml:space="preserve"> Car Fuel Payment for Feb 2025</t>
  </si>
  <si>
    <t xml:space="preserve"> Office meter box photo update </t>
  </si>
  <si>
    <t xml:space="preserve">Team 01 advance for EPC </t>
  </si>
  <si>
    <t xml:space="preserve"> Clear for Jan</t>
  </si>
  <si>
    <t xml:space="preserve">Team 1 Office meter box photo update </t>
  </si>
  <si>
    <t>Team 01 Send MDG fuel invoice for Nov</t>
  </si>
  <si>
    <t>Expense Doc and File</t>
  </si>
  <si>
    <t xml:space="preserve">Team 02 &amp; Team 05 advance for EPC </t>
  </si>
  <si>
    <t>Team 02 Send MDG fuel invoice for Oct</t>
  </si>
  <si>
    <t xml:space="preserve">Team 03 advance for EPC </t>
  </si>
  <si>
    <t>Team 03 Send MDG fuel invoice for Oct</t>
  </si>
  <si>
    <t xml:space="preserve">Team 04 advance for EPC </t>
  </si>
  <si>
    <t xml:space="preserve">Team 4 Office meter box photo update </t>
  </si>
  <si>
    <t xml:space="preserve">Team 5 Office meter box photo update </t>
  </si>
  <si>
    <t>Team 05 Send MDG fuel invoice for Oct</t>
  </si>
  <si>
    <t>TNI0051</t>
  </si>
  <si>
    <t>TNI0052</t>
  </si>
  <si>
    <t>TNI0054</t>
  </si>
  <si>
    <t>TNI0060</t>
  </si>
  <si>
    <t>TNI0334</t>
  </si>
  <si>
    <t>TNI0233</t>
  </si>
  <si>
    <t>TNI0365</t>
  </si>
  <si>
    <t>TNI0269</t>
  </si>
  <si>
    <t>TNI0137</t>
  </si>
  <si>
    <t>TNI0284</t>
  </si>
  <si>
    <t>TNI0263</t>
  </si>
  <si>
    <t>TNI0310</t>
  </si>
  <si>
    <t>TNI0244</t>
  </si>
  <si>
    <t>TNI0509</t>
  </si>
  <si>
    <t>TNI0227</t>
  </si>
  <si>
    <t>TNI0289</t>
  </si>
  <si>
    <t>TNI0267</t>
  </si>
  <si>
    <t>TNI0423</t>
  </si>
  <si>
    <t>check island DIA customers what’s materials you need to repair send PWZ to request to HO</t>
  </si>
  <si>
    <t>TNI0055</t>
  </si>
  <si>
    <t>TNI0026</t>
  </si>
  <si>
    <t>TNI0161</t>
  </si>
  <si>
    <t>TNI0346</t>
  </si>
  <si>
    <t>TNI0379</t>
  </si>
  <si>
    <t>TNI0382</t>
  </si>
  <si>
    <t>TNI0384</t>
  </si>
  <si>
    <t>TNI0385</t>
  </si>
  <si>
    <t>TNI0411</t>
  </si>
  <si>
    <t>TNI0399</t>
  </si>
  <si>
    <t>TNI0406</t>
  </si>
  <si>
    <t>TNI0398</t>
  </si>
  <si>
    <t>TNI0440</t>
  </si>
  <si>
    <t>TNI0388</t>
  </si>
  <si>
    <t>TNI0262</t>
  </si>
  <si>
    <t>TNI0260</t>
  </si>
  <si>
    <t>TNI0156</t>
  </si>
  <si>
    <t>TNI0173</t>
  </si>
  <si>
    <t>TNI0343</t>
  </si>
  <si>
    <t>TNI0383</t>
  </si>
  <si>
    <t>TNI0425</t>
  </si>
  <si>
    <t>TNI0417</t>
  </si>
  <si>
    <t>TNI0416</t>
  </si>
  <si>
    <t>TNI0505</t>
  </si>
  <si>
    <t>TNI0418</t>
  </si>
  <si>
    <t>TNI0434</t>
  </si>
  <si>
    <t>TNI0435</t>
  </si>
  <si>
    <t>TNI0404</t>
  </si>
  <si>
    <t>TNI0356</t>
  </si>
  <si>
    <t>TNI0401</t>
  </si>
  <si>
    <t>TNI0032</t>
  </si>
  <si>
    <t>✅ 05/06/2026 13:23</t>
  </si>
  <si>
    <t>❌ Bad Request: chat not found</t>
  </si>
  <si>
    <t>TNI (HR&amp;Finance)</t>
  </si>
  <si>
    <t>✅ 05/06/2026 13:51</t>
  </si>
  <si>
    <t>Htoo Lay Nyaw</t>
  </si>
  <si>
    <t>Thiha Aung</t>
  </si>
  <si>
    <t>Shing Wutt Hmone Oo</t>
  </si>
  <si>
    <t>Zyan</t>
  </si>
  <si>
    <t>Hein Nanda</t>
  </si>
  <si>
    <t>pyae phyo</t>
  </si>
  <si>
    <t>😈 Evil 😈</t>
  </si>
  <si>
    <t>✅ 07/06/2026 07:05</t>
  </si>
  <si>
    <t>Pyi♍️</t>
  </si>
  <si>
    <t>Nyo Gyi</t>
  </si>
  <si>
    <t>U Tin Maung Win U Tin Maung Win</t>
  </si>
  <si>
    <t>paing</t>
  </si>
  <si>
    <t>🥳 🤪</t>
  </si>
  <si>
    <t>Naung ni ni</t>
  </si>
  <si>
    <t>Sithu Htun</t>
  </si>
  <si>
    <t>"Mg Swan "✨🪄⚡ 💗</t>
  </si>
  <si>
    <t>Htet Nay Linn</t>
  </si>
  <si>
    <t>Thar Nge</t>
  </si>
  <si>
    <t>Ryan</t>
  </si>
  <si>
    <t>✅ 05/06/2026 20:10</t>
  </si>
  <si>
    <t>ZM²</t>
  </si>
  <si>
    <t>Maung Maung (DPM031105)</t>
  </si>
  <si>
    <t>Naing Lin</t>
  </si>
  <si>
    <t>Aungaung Aungaun</t>
  </si>
  <si>
    <t>Xuezzy</t>
  </si>
  <si>
    <t>Ye Lwin</t>
  </si>
  <si>
    <t>Aye Min Soe Soe</t>
  </si>
  <si>
    <t>16/06/2026 19:06</t>
  </si>
  <si>
    <t>📲 GỬI TIN NHẮN TELEGRAM HÀNG LOẠT</t>
  </si>
  <si>
    <t>📤 GỬI TIN NHẮN</t>
  </si>
  <si>
    <t>💡 Điền Tên (B) + Nội dung (C) + Chat ID Telegram (D) → Bấm nút GỬI</t>
  </si>
  <si>
    <t>TÊN NHÂN VIÊN</t>
  </si>
  <si>
    <t>NỘI DUNG TIN NHẮN</t>
  </si>
  <si>
    <t>CHAT ID TELEGRAM</t>
  </si>
  <si>
    <t>KẾT QUẢ</t>
  </si>
  <si>
    <t>🗑️ XÓA KẾT QUẢ</t>
  </si>
  <si>
    <t>Text Sent SMS TNI</t>
  </si>
  <si>
    <t>✅ 10/06/2026 17:45</t>
  </si>
  <si>
    <t>📊 THỐNG KÊ</t>
  </si>
  <si>
    <t>✅ Thành công:</t>
  </si>
  <si>
    <t>❌ Thất bại:</t>
  </si>
  <si>
    <t>⚠️ Thiếu Chat ID</t>
  </si>
  <si>
    <t>📋 Tổng có ID:</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</si>
</sst>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mm/dd/yyyy"/>
    <numFmt numFmtId="165" formatCode="dd/mm/yyyy"/>
    <numFmt numFmtId="166" formatCode="hh:mm"/>
    <numFmt numFmtId="167" formatCode="mm/dd/yyyy h:mm"/>
    <numFmt numFmtId="168" formatCode="dd/MM/yyyy"/>
    <numFmt numFmtId="169" formatCode="General"/>
    <numFmt numFmtId="170" formatCode="HH:mm"/>
    <numFmt numFmtId="171" formatCode="#,##0.0"/>
    <numFmt numFmtId="172" formatCode="[$-1010000]d/m/yyyy"/>
    <numFmt numFmtId="173" formatCode="#,##0.000000"/>
    <numFmt numFmtId="174" formatCode="0.000000"/>
    <numFmt numFmtId="175" formatCode="dd/mm/yyyy hh:mm"/>
    <numFmt numFmtId="176" formatCode="d/m/yyyy"/>
    <numFmt numFmtId="177" formatCode="dd/mm/yy"/>
    <numFmt numFmtId="178" formatCode="dd/MM/yyyy H:mm:ss"/>
    <numFmt numFmtId="179" formatCode="dd&quot;/&quot;mm&quot;- &quot;hh&quot;:&quot;mm"/>
    <numFmt numFmtId="180" formatCode="dd\-mm\-yyyy"/>
  </numFmts>
  <fonts count="66">
    <font>
      <sz val="10.0"/>
      <color rgb="FF000000"/>
      <name val="Arial"/>
      <scheme val="minor"/>
    </font>
    <font>
      <b/>
      <sz val="10.0"/>
      <color rgb="FFFFFFFF"/>
      <name val="Arial"/>
    </font>
    <font>
      <sz val="10.0"/>
      <color theme="1"/>
      <name val="Arial"/>
    </font>
    <font>
      <b/>
      <sz val="10.0"/>
      <color theme="1"/>
      <name val="Arial"/>
    </font>
    <font>
      <b/>
      <color rgb="FFFFFFFF"/>
      <name val="Arial"/>
      <scheme val="minor"/>
    </font>
    <font>
      <color theme="1"/>
      <name val="Arial"/>
      <scheme val="minor"/>
    </font>
    <font>
      <color theme="1"/>
      <name val="Arial"/>
    </font>
    <font>
      <b/>
      <color rgb="FF000000"/>
      <name val="Arial"/>
    </font>
    <font/>
    <font>
      <b/>
      <color theme="1"/>
      <name val="Arial"/>
      <scheme val="minor"/>
    </font>
    <font>
      <sz val="12.0"/>
      <color theme="1"/>
      <name val="Arial"/>
    </font>
    <font>
      <b/>
      <u/>
      <sz val="12.0"/>
      <color rgb="FF1155CC"/>
      <name val="Arial"/>
    </font>
    <font>
      <b/>
      <sz val="12.0"/>
      <color rgb="FF990000"/>
      <name val="Arial"/>
    </font>
    <font>
      <b/>
      <sz val="12.0"/>
      <color rgb="FF9900FF"/>
      <name val="Arial"/>
    </font>
    <font>
      <sz val="12.0"/>
      <color theme="1"/>
      <name val="Calibri"/>
    </font>
    <font>
      <b/>
      <sz val="12.0"/>
      <color theme="1"/>
      <name val="Calibri"/>
    </font>
    <font>
      <b/>
      <color rgb="FF0000FF"/>
      <name val="Arial"/>
    </font>
    <font>
      <b/>
      <color theme="1"/>
      <name val="Arial"/>
    </font>
    <font>
      <b/>
      <color rgb="FFFF6D01"/>
      <name val="Arial"/>
    </font>
    <font>
      <b/>
      <sz val="14.0"/>
      <color rgb="FF0000FF"/>
      <name val="Arial"/>
    </font>
    <font>
      <b/>
      <sz val="14.0"/>
      <color rgb="FFFF6D01"/>
      <name val="Arial"/>
    </font>
    <font>
      <b/>
      <sz val="14.0"/>
      <color rgb="FF38761D"/>
      <name val="Arial"/>
    </font>
    <font>
      <color rgb="FFD9D9D9"/>
      <name val="Arial"/>
    </font>
    <font>
      <b/>
      <color rgb="FFEFEFEF"/>
      <name val="Arial"/>
    </font>
    <font>
      <color rgb="FF0000FF"/>
      <name val="Arial"/>
    </font>
    <font>
      <b/>
      <color rgb="FFEA4335"/>
      <name val="Arial"/>
    </font>
    <font>
      <b/>
      <color rgb="FFF3F3F3"/>
      <name val="Arial"/>
    </font>
    <font>
      <b/>
      <color rgb="FFFF0000"/>
      <name val="Arial"/>
    </font>
    <font>
      <b/>
      <color rgb="FF9900FF"/>
      <name val="Arial"/>
    </font>
    <font>
      <b/>
      <sz val="12.0"/>
      <color rgb="FFFF6D01"/>
      <name val="Calibri"/>
    </font>
    <font>
      <b/>
      <color rgb="FF274E13"/>
      <name val="Arial"/>
    </font>
    <font>
      <b/>
      <sz val="12.0"/>
      <color rgb="FF0000FF"/>
      <name val="Calibri"/>
    </font>
    <font>
      <b/>
      <sz val="12.0"/>
      <color rgb="FF9900FF"/>
      <name val="Calibri"/>
    </font>
    <font>
      <b/>
      <color rgb="FFB45F06"/>
      <name val="Arial"/>
    </font>
    <font>
      <b/>
      <color rgb="FF137333"/>
      <name val="Arial"/>
      <scheme val="minor"/>
    </font>
    <font>
      <u/>
      <color rgb="FF0000FF"/>
    </font>
    <font>
      <u/>
      <color rgb="FF0000FF"/>
    </font>
    <font>
      <color theme="1"/>
      <name val="Times New Roman"/>
    </font>
    <font>
      <sz val="8.0"/>
      <color theme="1"/>
      <name val="Times New Roman"/>
    </font>
    <font>
      <u/>
      <color rgb="FF1155CC"/>
      <name val="Times New Roman"/>
    </font>
    <font>
      <sz val="9.0"/>
      <color rgb="FF274E13"/>
      <name val="Times New Roman"/>
    </font>
    <font>
      <sz val="9.0"/>
      <color theme="1"/>
      <name val="Times New Roman"/>
    </font>
    <font>
      <sz val="9.0"/>
      <color rgb="FF0000FF"/>
      <name val="Times New Roman"/>
    </font>
    <font>
      <sz val="9.0"/>
      <color rgb="FFFF0000"/>
      <name val="Times New Roman"/>
    </font>
    <font>
      <sz val="9.0"/>
      <color rgb="FFFF00FF"/>
      <name val="Times New Roman"/>
    </font>
    <font>
      <sz val="9.0"/>
      <color theme="1"/>
      <name val="Arial"/>
    </font>
    <font>
      <color rgb="FFFF0000"/>
      <name val="Arial"/>
    </font>
    <font>
      <sz val="11.0"/>
      <color theme="1"/>
      <name val="Calibri"/>
    </font>
    <font>
      <color rgb="FF000000"/>
      <name val="Arial"/>
      <scheme val="minor"/>
    </font>
    <font>
      <color rgb="FF000000"/>
      <name val="Arial"/>
    </font>
    <font>
      <b/>
      <color rgb="FF000000"/>
      <name val="Arial"/>
      <scheme val="minor"/>
    </font>
    <font>
      <sz val="9.0"/>
      <color rgb="FF000000"/>
      <name val="Arial"/>
    </font>
    <font>
      <color rgb="FF000000"/>
      <name val="Times New Roman"/>
    </font>
    <font>
      <color rgb="FFB71C1C"/>
      <name val="Arial"/>
    </font>
    <font>
      <sz val="10.0"/>
      <color rgb="FFB71C1C"/>
      <name val="Arial"/>
      <scheme val="minor"/>
    </font>
    <font>
      <sz val="11.0"/>
      <color rgb="FF0C343D"/>
      <name val="Calibri"/>
    </font>
    <font>
      <color rgb="FF0C343D"/>
      <name val="Arial"/>
    </font>
    <font>
      <b/>
      <sz val="14.0"/>
      <color rgb="FFFFFFFF"/>
      <name val="Arial"/>
      <scheme val="minor"/>
    </font>
    <font>
      <b/>
      <sz val="13.0"/>
      <color rgb="FFFFFFFF"/>
      <name val="Arial"/>
      <scheme val="minor"/>
    </font>
    <font>
      <sz val="10.0"/>
      <color rgb="FF0D47A1"/>
      <name val="Arial"/>
      <scheme val="minor"/>
    </font>
    <font>
      <b/>
      <sz val="10.0"/>
      <color rgb="FFFFFFFF"/>
      <name val="Arial"/>
      <scheme val="minor"/>
    </font>
    <font>
      <b/>
      <sz val="10.0"/>
      <color theme="1"/>
      <name val="Arial"/>
      <scheme val="minor"/>
    </font>
    <font>
      <sz val="10.0"/>
      <color theme="1"/>
      <name val="Arial"/>
      <scheme val="minor"/>
    </font>
    <font>
      <sz val="10.0"/>
      <color rgb="FF1B5E20"/>
      <name val="Arial"/>
      <scheme val="minor"/>
    </font>
    <font>
      <sz val="10.0"/>
      <color rgb="FFE65100"/>
      <name val="Arial"/>
      <scheme val="minor"/>
    </font>
    <font>
      <sz val="10.0"/>
      <color theme="1"/>
      <name val="Courier New"/>
    </font>
  </fonts>
  <fills count="58">
    <fill>
      <patternFill patternType="none"/>
    </fill>
    <fill>
      <patternFill patternType="lightGray"/>
    </fill>
    <fill>
      <patternFill patternType="solid">
        <fgColor rgb="FF0D47A1"/>
        <bgColor rgb="FF0D47A1"/>
      </patternFill>
    </fill>
    <fill>
      <patternFill patternType="solid">
        <fgColor rgb="FFE8EAF6"/>
        <bgColor rgb="FFE8EAF6"/>
      </patternFill>
    </fill>
    <fill>
      <patternFill patternType="solid">
        <fgColor rgb="FFF5F5F5"/>
        <bgColor rgb="FFF5F5F5"/>
      </patternFill>
    </fill>
    <fill>
      <patternFill patternType="solid">
        <fgColor rgb="FF1B5E20"/>
        <bgColor rgb="FF1B5E20"/>
      </patternFill>
    </fill>
    <fill>
      <patternFill patternType="solid">
        <fgColor rgb="FF2E7D32"/>
        <bgColor rgb="FF2E7D32"/>
      </patternFill>
    </fill>
    <fill>
      <patternFill patternType="solid">
        <fgColor rgb="FFDCEEFB"/>
        <bgColor rgb="FFDCEEFB"/>
      </patternFill>
    </fill>
    <fill>
      <patternFill patternType="solid">
        <fgColor rgb="FFA5D6A7"/>
        <bgColor rgb="FFA5D6A7"/>
      </patternFill>
    </fill>
    <fill>
      <patternFill patternType="solid">
        <fgColor rgb="FF0277BD"/>
        <bgColor rgb="FF0277BD"/>
      </patternFill>
    </fill>
    <fill>
      <patternFill patternType="solid">
        <fgColor rgb="FF0288D1"/>
        <bgColor rgb="FF0288D1"/>
      </patternFill>
    </fill>
    <fill>
      <patternFill patternType="solid">
        <fgColor rgb="FF81D4FA"/>
        <bgColor rgb="FF81D4FA"/>
      </patternFill>
    </fill>
    <fill>
      <patternFill patternType="solid">
        <fgColor rgb="FFBF360C"/>
        <bgColor rgb="FFBF360C"/>
      </patternFill>
    </fill>
    <fill>
      <patternFill patternType="solid">
        <fgColor rgb="FFE64A19"/>
        <bgColor rgb="FFE64A19"/>
      </patternFill>
    </fill>
    <fill>
      <patternFill patternType="solid">
        <fgColor rgb="FFFF8A65"/>
        <bgColor rgb="FFFF8A65"/>
      </patternFill>
    </fill>
    <fill>
      <patternFill patternType="solid">
        <fgColor rgb="FFFFCCBC"/>
        <bgColor rgb="FFFFCCBC"/>
      </patternFill>
    </fill>
    <fill>
      <patternFill patternType="solid">
        <fgColor rgb="FF4A148C"/>
        <bgColor rgb="FF4A148C"/>
      </patternFill>
    </fill>
    <fill>
      <patternFill patternType="solid">
        <fgColor rgb="FF6A1B9A"/>
        <bgColor rgb="FF6A1B9A"/>
      </patternFill>
    </fill>
    <fill>
      <patternFill patternType="solid">
        <fgColor rgb="FFCE93D8"/>
        <bgColor rgb="FFCE93D8"/>
      </patternFill>
    </fill>
    <fill>
      <patternFill patternType="solid">
        <fgColor rgb="FF1565C0"/>
        <bgColor rgb="FF1565C0"/>
      </patternFill>
    </fill>
    <fill>
      <patternFill patternType="solid">
        <fgColor rgb="FFF8F9FA"/>
        <bgColor rgb="FFF8F9FA"/>
      </patternFill>
    </fill>
    <fill>
      <patternFill patternType="solid">
        <fgColor rgb="FFFFFFFF"/>
        <bgColor rgb="FFFFFFFF"/>
      </patternFill>
    </fill>
    <fill>
      <patternFill patternType="solid">
        <fgColor rgb="FFFFF9C4"/>
        <bgColor rgb="FFFFF9C4"/>
      </patternFill>
    </fill>
    <fill>
      <patternFill patternType="solid">
        <fgColor rgb="FF1A237E"/>
        <bgColor rgb="FF1A237E"/>
      </patternFill>
    </fill>
    <fill>
      <patternFill patternType="solid">
        <fgColor rgb="FFD9EAD3"/>
        <bgColor rgb="FFD9EAD3"/>
      </patternFill>
    </fill>
    <fill>
      <patternFill patternType="solid">
        <fgColor rgb="FFFFFF00"/>
        <bgColor rgb="FFFFFF00"/>
      </patternFill>
    </fill>
    <fill>
      <patternFill patternType="solid">
        <fgColor rgb="FFEBF3FB"/>
        <bgColor rgb="FFEBF3FB"/>
      </patternFill>
    </fill>
    <fill>
      <patternFill patternType="solid">
        <fgColor rgb="FFD0E0E3"/>
        <bgColor rgb="FFD0E0E3"/>
      </patternFill>
    </fill>
    <fill>
      <patternFill patternType="solid">
        <fgColor rgb="FF4472C4"/>
        <bgColor rgb="FF4472C4"/>
      </patternFill>
    </fill>
    <fill>
      <patternFill patternType="solid">
        <fgColor rgb="FF34A853"/>
        <bgColor rgb="FF34A853"/>
      </patternFill>
    </fill>
    <fill>
      <patternFill patternType="solid">
        <fgColor rgb="FF4DD0E1"/>
        <bgColor rgb="FF4DD0E1"/>
      </patternFill>
    </fill>
    <fill>
      <patternFill patternType="solid">
        <fgColor rgb="FFE7F9EF"/>
        <bgColor rgb="FFE7F9EF"/>
      </patternFill>
    </fill>
    <fill>
      <patternFill patternType="solid">
        <fgColor rgb="FFF6B26B"/>
        <bgColor rgb="FFF6B26B"/>
      </patternFill>
    </fill>
    <fill>
      <patternFill patternType="solid">
        <fgColor rgb="FF00FFFF"/>
        <bgColor rgb="FF00FFFF"/>
      </patternFill>
    </fill>
    <fill>
      <patternFill patternType="solid">
        <fgColor rgb="FFFFE599"/>
        <bgColor rgb="FFFFE599"/>
      </patternFill>
    </fill>
    <fill>
      <patternFill patternType="solid">
        <fgColor rgb="FFF1C232"/>
        <bgColor rgb="FFF1C232"/>
      </patternFill>
    </fill>
    <fill>
      <patternFill patternType="solid">
        <fgColor rgb="FFCFE2F3"/>
        <bgColor rgb="FFCFE2F3"/>
      </patternFill>
    </fill>
    <fill>
      <patternFill patternType="solid">
        <fgColor rgb="FF00FF00"/>
        <bgColor rgb="FF00FF00"/>
      </patternFill>
    </fill>
    <fill>
      <patternFill patternType="solid">
        <fgColor rgb="FF46BDC6"/>
        <bgColor rgb="FF46BDC6"/>
      </patternFill>
    </fill>
    <fill>
      <patternFill patternType="solid">
        <fgColor rgb="FFE0F7FA"/>
        <bgColor rgb="FFE0F7FA"/>
      </patternFill>
    </fill>
    <fill>
      <patternFill patternType="solid">
        <fgColor rgb="FFB7E1CD"/>
        <bgColor rgb="FFB7E1CD"/>
      </patternFill>
    </fill>
    <fill>
      <patternFill patternType="solid">
        <fgColor rgb="FFFF9900"/>
        <bgColor rgb="FFFF9900"/>
      </patternFill>
    </fill>
    <fill>
      <patternFill patternType="solid">
        <fgColor rgb="FFFCE5CD"/>
        <bgColor rgb="FFFCE5CD"/>
      </patternFill>
    </fill>
    <fill>
      <patternFill patternType="solid">
        <fgColor rgb="FFF4CCCC"/>
        <bgColor rgb="FFF4CCCC"/>
      </patternFill>
    </fill>
    <fill>
      <patternFill patternType="solid">
        <fgColor rgb="FFFAF9F9"/>
        <bgColor rgb="FFFAF9F9"/>
      </patternFill>
    </fill>
    <fill>
      <patternFill patternType="solid">
        <fgColor rgb="FF4285F4"/>
        <bgColor rgb="FF4285F4"/>
      </patternFill>
    </fill>
    <fill>
      <patternFill patternType="solid">
        <fgColor rgb="FFC9DAF8"/>
        <bgColor rgb="FFC9DAF8"/>
      </patternFill>
    </fill>
    <fill>
      <patternFill patternType="solid">
        <fgColor rgb="FFFFF2CC"/>
        <bgColor rgb="FFFFF2CC"/>
      </patternFill>
    </fill>
    <fill>
      <patternFill patternType="solid">
        <fgColor rgb="FFD9D2E9"/>
        <bgColor rgb="FFD9D2E9"/>
      </patternFill>
    </fill>
    <fill>
      <patternFill patternType="solid">
        <fgColor rgb="FFB6D7A8"/>
        <bgColor rgb="FFB6D7A8"/>
      </patternFill>
    </fill>
    <fill>
      <patternFill patternType="solid">
        <fgColor theme="7"/>
        <bgColor theme="7"/>
      </patternFill>
    </fill>
    <fill>
      <patternFill patternType="solid">
        <fgColor rgb="FFFFEBEE"/>
        <bgColor rgb="FFFFEBEE"/>
      </patternFill>
    </fill>
    <fill>
      <patternFill patternType="solid">
        <fgColor rgb="FFE53935"/>
        <bgColor rgb="FFE53935"/>
      </patternFill>
    </fill>
    <fill>
      <patternFill patternType="solid">
        <fgColor rgb="FFE3F2FD"/>
        <bgColor rgb="FFE3F2FD"/>
      </patternFill>
    </fill>
    <fill>
      <patternFill patternType="solid">
        <fgColor rgb="FF1976D2"/>
        <bgColor rgb="FF1976D2"/>
      </patternFill>
    </fill>
    <fill>
      <patternFill patternType="solid">
        <fgColor rgb="FF757575"/>
        <bgColor rgb="FF757575"/>
      </patternFill>
    </fill>
    <fill>
      <patternFill patternType="solid">
        <fgColor rgb="FFE8F5E9"/>
        <bgColor rgb="FFE8F5E9"/>
      </patternFill>
    </fill>
    <fill>
      <patternFill patternType="solid">
        <fgColor rgb="FFFFF8E1"/>
        <bgColor rgb="FFFFF8E1"/>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ck">
        <color rgb="FF0000FF"/>
      </left>
      <right style="thick">
        <color rgb="FF0000FF"/>
      </right>
      <top style="thick">
        <color rgb="FF0000FF"/>
      </top>
      <bottom style="thick">
        <color rgb="FF0000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BDEFB"/>
      </left>
      <right style="thin">
        <color rgb="FFBBDEFB"/>
      </right>
      <top style="thin">
        <color rgb="FFBBDEFB"/>
      </top>
      <bottom style="thin">
        <color rgb="FFBBDEFB"/>
      </bottom>
    </border>
    <border>
      <left style="medium">
        <color rgb="FFB71C1C"/>
      </left>
      <top style="medium">
        <color rgb="FFB71C1C"/>
      </top>
    </border>
    <border>
      <right style="medium">
        <color rgb="FFB71C1C"/>
      </right>
      <top style="medium">
        <color rgb="FFB71C1C"/>
      </top>
    </border>
    <border>
      <left style="medium">
        <color rgb="FFB71C1C"/>
      </left>
      <bottom style="medium">
        <color rgb="FFB71C1C"/>
      </bottom>
    </border>
    <border>
      <right style="medium">
        <color rgb="FFB71C1C"/>
      </right>
      <bottom style="medium">
        <color rgb="FFB71C1C"/>
      </bottom>
    </border>
  </borders>
  <cellStyleXfs count="1">
    <xf borderId="0" fillId="0" fontId="0" numFmtId="0" applyAlignment="1" applyFont="1"/>
  </cellStyleXfs>
  <cellXfs count="454">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3" fontId="2" numFmtId="0" xfId="0" applyAlignment="1" applyFill="1" applyFont="1">
      <alignment readingOrder="0" vertical="center"/>
    </xf>
    <xf borderId="0" fillId="4" fontId="2" numFmtId="0" xfId="0" applyAlignment="1" applyFill="1" applyFont="1">
      <alignment readingOrder="0" vertical="center"/>
    </xf>
    <xf borderId="0" fillId="0" fontId="2" numFmtId="0" xfId="0" applyAlignment="1" applyFont="1">
      <alignment vertical="center"/>
    </xf>
    <xf borderId="0" fillId="5" fontId="1" numFmtId="0" xfId="0" applyAlignment="1" applyFill="1" applyFont="1">
      <alignment readingOrder="0" vertical="center"/>
    </xf>
    <xf borderId="0" fillId="6" fontId="1" numFmtId="0" xfId="0" applyAlignment="1" applyFill="1" applyFont="1">
      <alignment readingOrder="0" vertical="center"/>
    </xf>
    <xf borderId="0" fillId="6" fontId="1" numFmtId="0" xfId="0" applyAlignment="1" applyFont="1">
      <alignment vertical="center"/>
    </xf>
    <xf borderId="0" fillId="0" fontId="2" numFmtId="0" xfId="0" applyAlignment="1" applyFont="1">
      <alignment readingOrder="0" vertical="center"/>
    </xf>
    <xf borderId="0" fillId="0" fontId="2" numFmtId="0" xfId="0" applyAlignment="1" applyFont="1">
      <alignment readingOrder="0" vertical="center"/>
    </xf>
    <xf borderId="0" fillId="7" fontId="3" numFmtId="0" xfId="0" applyAlignment="1" applyFill="1" applyFont="1">
      <alignment readingOrder="0" vertical="center"/>
    </xf>
    <xf borderId="0" fillId="7" fontId="3" numFmtId="0" xfId="0" applyAlignment="1" applyFont="1">
      <alignment readingOrder="0" vertical="center"/>
    </xf>
    <xf borderId="0" fillId="7" fontId="3" numFmtId="0" xfId="0" applyAlignment="1" applyFont="1">
      <alignment vertical="center"/>
    </xf>
    <xf borderId="0" fillId="8" fontId="3" numFmtId="0" xfId="0" applyAlignment="1" applyFill="1" applyFont="1">
      <alignment readingOrder="0" vertical="center"/>
    </xf>
    <xf borderId="0" fillId="8" fontId="3" numFmtId="0" xfId="0" applyAlignment="1" applyFont="1">
      <alignment vertical="center"/>
    </xf>
    <xf borderId="0" fillId="9" fontId="1" numFmtId="0" xfId="0" applyAlignment="1" applyFill="1" applyFont="1">
      <alignment readingOrder="0" vertical="center"/>
    </xf>
    <xf borderId="0" fillId="10" fontId="1" numFmtId="0" xfId="0" applyAlignment="1" applyFill="1" applyFont="1">
      <alignment readingOrder="0" vertical="center"/>
    </xf>
    <xf borderId="0" fillId="10" fontId="1" numFmtId="0" xfId="0" applyAlignment="1" applyFont="1">
      <alignment vertical="center"/>
    </xf>
    <xf borderId="0" fillId="11" fontId="3" numFmtId="0" xfId="0" applyAlignment="1" applyFill="1" applyFont="1">
      <alignment readingOrder="0" vertical="center"/>
    </xf>
    <xf borderId="0" fillId="11" fontId="3" numFmtId="0" xfId="0" applyAlignment="1" applyFont="1">
      <alignment vertical="center"/>
    </xf>
    <xf borderId="0" fillId="12" fontId="1" numFmtId="0" xfId="0" applyAlignment="1" applyFill="1" applyFont="1">
      <alignment readingOrder="0" vertical="center"/>
    </xf>
    <xf borderId="0" fillId="13" fontId="1" numFmtId="0" xfId="0" applyAlignment="1" applyFill="1" applyFont="1">
      <alignment readingOrder="0" vertical="center"/>
    </xf>
    <xf borderId="0" fillId="0" fontId="2" numFmtId="9" xfId="0" applyAlignment="1" applyFont="1" applyNumberFormat="1">
      <alignment readingOrder="0" vertical="center"/>
    </xf>
    <xf borderId="0" fillId="14" fontId="1" numFmtId="0" xfId="0" applyAlignment="1" applyFill="1" applyFont="1">
      <alignment readingOrder="0" vertical="center"/>
    </xf>
    <xf borderId="0" fillId="15" fontId="3" numFmtId="0" xfId="0" applyAlignment="1" applyFill="1" applyFont="1">
      <alignment readingOrder="0" vertical="center"/>
    </xf>
    <xf borderId="0" fillId="15" fontId="3" numFmtId="0" xfId="0" applyAlignment="1" applyFont="1">
      <alignment readingOrder="0" vertical="center"/>
    </xf>
    <xf borderId="0" fillId="15" fontId="3" numFmtId="9" xfId="0" applyAlignment="1" applyFont="1" applyNumberFormat="1">
      <alignment readingOrder="0" vertical="center"/>
    </xf>
    <xf borderId="0" fillId="16" fontId="1" numFmtId="0" xfId="0" applyAlignment="1" applyFill="1" applyFont="1">
      <alignment readingOrder="0" vertical="center"/>
    </xf>
    <xf borderId="0" fillId="17" fontId="1" numFmtId="0" xfId="0" applyAlignment="1" applyFill="1" applyFont="1">
      <alignment readingOrder="0" vertical="center"/>
    </xf>
    <xf borderId="0" fillId="17" fontId="1" numFmtId="0" xfId="0" applyAlignment="1" applyFont="1">
      <alignment vertical="center"/>
    </xf>
    <xf borderId="0" fillId="18" fontId="3" numFmtId="0" xfId="0" applyAlignment="1" applyFill="1" applyFont="1">
      <alignment readingOrder="0" vertical="center"/>
    </xf>
    <xf borderId="0" fillId="18" fontId="3" numFmtId="0" xfId="0" applyAlignment="1" applyFont="1">
      <alignment readingOrder="0" vertical="center"/>
    </xf>
    <xf borderId="0" fillId="18" fontId="3" numFmtId="9" xfId="0" applyAlignment="1" applyFont="1" applyNumberFormat="1">
      <alignment readingOrder="0" vertical="center"/>
    </xf>
    <xf borderId="0" fillId="18" fontId="3" numFmtId="0" xfId="0" applyAlignment="1" applyFont="1">
      <alignment vertical="center"/>
    </xf>
    <xf borderId="0" fillId="19" fontId="4" numFmtId="0" xfId="0" applyAlignment="1" applyFill="1" applyFont="1">
      <alignment horizontal="center" readingOrder="0"/>
    </xf>
    <xf borderId="0" fillId="20" fontId="5" numFmtId="164" xfId="0" applyAlignment="1" applyFill="1" applyFont="1" applyNumberFormat="1">
      <alignment readingOrder="0"/>
    </xf>
    <xf borderId="0" fillId="20" fontId="5" numFmtId="20" xfId="0" applyAlignment="1" applyFont="1" applyNumberFormat="1">
      <alignment readingOrder="0"/>
    </xf>
    <xf borderId="0" fillId="20" fontId="5" numFmtId="0" xfId="0" applyAlignment="1" applyFont="1">
      <alignment readingOrder="0"/>
    </xf>
    <xf borderId="0" fillId="20" fontId="5" numFmtId="0" xfId="0" applyAlignment="1" applyFont="1">
      <alignment readingOrder="0"/>
    </xf>
    <xf borderId="0" fillId="21" fontId="5" numFmtId="164" xfId="0" applyAlignment="1" applyFill="1" applyFont="1" applyNumberFormat="1">
      <alignment readingOrder="0"/>
    </xf>
    <xf borderId="0" fillId="21" fontId="5" numFmtId="20" xfId="0" applyAlignment="1" applyFont="1" applyNumberFormat="1">
      <alignment readingOrder="0"/>
    </xf>
    <xf borderId="0" fillId="21" fontId="5" numFmtId="0" xfId="0" applyAlignment="1" applyFont="1">
      <alignment readingOrder="0"/>
    </xf>
    <xf borderId="0" fillId="21" fontId="5" numFmtId="0" xfId="0" applyAlignment="1" applyFont="1">
      <alignment readingOrder="0"/>
    </xf>
    <xf borderId="0" fillId="22" fontId="5" numFmtId="164" xfId="0" applyAlignment="1" applyFill="1" applyFont="1" applyNumberFormat="1">
      <alignment readingOrder="0"/>
    </xf>
    <xf borderId="0" fillId="22" fontId="5" numFmtId="20" xfId="0" applyAlignment="1" applyFont="1" applyNumberFormat="1">
      <alignment readingOrder="0"/>
    </xf>
    <xf borderId="0" fillId="22" fontId="5" numFmtId="0" xfId="0" applyAlignment="1" applyFont="1">
      <alignment readingOrder="0"/>
    </xf>
    <xf borderId="0" fillId="22" fontId="5" numFmtId="0" xfId="0" applyAlignment="1" applyFont="1">
      <alignment readingOrder="0"/>
    </xf>
    <xf borderId="0" fillId="20" fontId="5" numFmtId="165" xfId="0" applyAlignment="1" applyFont="1" applyNumberFormat="1">
      <alignment readingOrder="0"/>
    </xf>
    <xf borderId="0" fillId="20" fontId="5" numFmtId="166" xfId="0" applyAlignment="1" applyFont="1" applyNumberFormat="1">
      <alignment readingOrder="0"/>
    </xf>
    <xf borderId="0" fillId="21" fontId="5" numFmtId="165" xfId="0" applyAlignment="1" applyFont="1" applyNumberFormat="1">
      <alignment readingOrder="0"/>
    </xf>
    <xf borderId="0" fillId="21" fontId="5" numFmtId="166" xfId="0" applyAlignment="1" applyFont="1" applyNumberFormat="1">
      <alignment readingOrder="0"/>
    </xf>
    <xf borderId="0" fillId="22" fontId="5" numFmtId="165" xfId="0" applyAlignment="1" applyFont="1" applyNumberFormat="1">
      <alignment readingOrder="0"/>
    </xf>
    <xf borderId="0" fillId="22" fontId="5" numFmtId="166" xfId="0" applyAlignment="1" applyFont="1" applyNumberFormat="1">
      <alignment readingOrder="0"/>
    </xf>
    <xf borderId="0" fillId="23" fontId="4" numFmtId="0" xfId="0" applyAlignment="1" applyFill="1" applyFont="1">
      <alignment readingOrder="0" shrinkToFit="0" wrapText="1"/>
    </xf>
    <xf borderId="0" fillId="0" fontId="5" numFmtId="167" xfId="0" applyAlignment="1" applyFont="1" applyNumberFormat="1">
      <alignment readingOrder="0"/>
    </xf>
    <xf borderId="0" fillId="0" fontId="5" numFmtId="0" xfId="0" applyAlignment="1" applyFont="1">
      <alignment readingOrder="0"/>
    </xf>
    <xf borderId="0" fillId="0" fontId="5" numFmtId="0" xfId="0" applyAlignment="1" applyFont="1">
      <alignment readingOrder="0"/>
    </xf>
    <xf borderId="0" fillId="0" fontId="5" numFmtId="9" xfId="0" applyAlignment="1" applyFont="1" applyNumberFormat="1">
      <alignment readingOrder="0"/>
    </xf>
    <xf borderId="1" fillId="0" fontId="6" numFmtId="0" xfId="0" applyAlignment="1" applyBorder="1" applyFont="1">
      <alignment readingOrder="0" vertical="center"/>
    </xf>
    <xf borderId="1" fillId="0" fontId="6"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1" fillId="21" fontId="6" numFmtId="0" xfId="0" applyAlignment="1" applyBorder="1" applyFont="1">
      <alignment horizontal="center" readingOrder="0" shrinkToFit="0" vertical="center" wrapText="1"/>
    </xf>
    <xf borderId="1" fillId="21" fontId="6" numFmtId="0" xfId="0" applyAlignment="1" applyBorder="1" applyFont="1">
      <alignment horizontal="center" readingOrder="0" shrinkToFit="0" vertical="top" wrapText="1"/>
    </xf>
    <xf borderId="0" fillId="21" fontId="6" numFmtId="0" xfId="0" applyAlignment="1" applyFont="1">
      <alignment horizontal="center" readingOrder="0" shrinkToFit="0" vertical="top" wrapText="1"/>
    </xf>
    <xf borderId="1" fillId="24" fontId="6" numFmtId="0" xfId="0" applyAlignment="1" applyBorder="1" applyFill="1" applyFont="1">
      <alignment vertical="center"/>
    </xf>
    <xf borderId="1" fillId="24" fontId="6" numFmtId="0" xfId="0" applyAlignment="1" applyBorder="1" applyFont="1">
      <alignment horizontal="center" readingOrder="0" shrinkToFit="0" vertical="center" wrapText="1"/>
    </xf>
    <xf borderId="1" fillId="24" fontId="6" numFmtId="0" xfId="0" applyAlignment="1" applyBorder="1" applyFont="1">
      <alignment readingOrder="0" vertical="center"/>
    </xf>
    <xf borderId="1" fillId="21" fontId="6" numFmtId="0" xfId="0" applyAlignment="1" applyBorder="1" applyFont="1">
      <alignment readingOrder="0" vertical="center"/>
    </xf>
    <xf borderId="1" fillId="25" fontId="6" numFmtId="0" xfId="0" applyAlignment="1" applyBorder="1" applyFill="1" applyFont="1">
      <alignment horizontal="center" readingOrder="0" vertical="top"/>
    </xf>
    <xf borderId="0" fillId="25" fontId="6" numFmtId="0" xfId="0" applyAlignment="1" applyFont="1">
      <alignment horizontal="center" readingOrder="0" vertical="top"/>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21" fontId="7" numFmtId="0" xfId="0" applyAlignment="1" applyBorder="1" applyFont="1">
      <alignment horizontal="center" readingOrder="0" shrinkToFit="0" vertical="center" wrapText="1"/>
    </xf>
    <xf borderId="1" fillId="21" fontId="7" numFmtId="0" xfId="0" applyAlignment="1" applyBorder="1" applyFont="1">
      <alignment horizontal="center" shrinkToFit="0" vertical="top" wrapText="1"/>
    </xf>
    <xf borderId="0" fillId="21" fontId="7" numFmtId="0" xfId="0" applyAlignment="1" applyFont="1">
      <alignment horizontal="center" shrinkToFit="0" vertical="top" wrapText="1"/>
    </xf>
    <xf borderId="2" fillId="21" fontId="7" numFmtId="0" xfId="0" applyAlignment="1" applyBorder="1" applyFont="1">
      <alignment horizontal="center" shrinkToFit="0" vertical="top" wrapText="1"/>
    </xf>
    <xf borderId="1" fillId="0" fontId="7" numFmtId="0" xfId="0" applyAlignment="1" applyBorder="1" applyFont="1">
      <alignment horizontal="center" shrinkToFit="0" vertical="top" wrapText="1"/>
    </xf>
    <xf borderId="1" fillId="0" fontId="7" numFmtId="0" xfId="0" applyAlignment="1" applyBorder="1" applyFont="1">
      <alignment horizontal="center" shrinkToFit="0" vertical="top" wrapText="1"/>
    </xf>
    <xf borderId="3" fillId="0" fontId="8" numFmtId="0" xfId="0" applyBorder="1" applyFont="1"/>
    <xf borderId="1" fillId="21" fontId="6" numFmtId="0" xfId="0" applyAlignment="1" applyBorder="1" applyFont="1">
      <alignment readingOrder="0" vertical="center"/>
    </xf>
    <xf borderId="1" fillId="21" fontId="6" numFmtId="164" xfId="0" applyAlignment="1" applyBorder="1" applyFont="1" applyNumberFormat="1">
      <alignment readingOrder="0" vertical="center"/>
    </xf>
    <xf borderId="1" fillId="21" fontId="6" numFmtId="20" xfId="0" applyAlignment="1" applyBorder="1" applyFont="1" applyNumberFormat="1">
      <alignment readingOrder="0" vertical="center"/>
    </xf>
    <xf borderId="0" fillId="21" fontId="7" numFmtId="0" xfId="0" applyAlignment="1" applyFont="1">
      <alignment horizontal="center" readingOrder="0" shrinkToFit="0" vertical="top" wrapText="1"/>
    </xf>
    <xf borderId="1" fillId="26" fontId="6" numFmtId="0" xfId="0" applyAlignment="1" applyBorder="1" applyFill="1" applyFont="1">
      <alignment readingOrder="0" vertical="center"/>
    </xf>
    <xf borderId="1" fillId="26" fontId="6" numFmtId="164" xfId="0" applyAlignment="1" applyBorder="1" applyFont="1" applyNumberFormat="1">
      <alignment readingOrder="0" vertical="center"/>
    </xf>
    <xf borderId="1" fillId="26" fontId="6" numFmtId="20" xfId="0" applyAlignment="1" applyBorder="1" applyFont="1" applyNumberFormat="1">
      <alignment readingOrder="0" vertical="center"/>
    </xf>
    <xf borderId="1" fillId="26" fontId="6" numFmtId="0" xfId="0" applyAlignment="1" applyBorder="1" applyFont="1">
      <alignment readingOrder="0" vertical="center"/>
    </xf>
    <xf borderId="0" fillId="26" fontId="7" numFmtId="0" xfId="0" applyAlignment="1" applyFont="1">
      <alignment horizontal="center" readingOrder="0" shrinkToFit="0" vertical="top" wrapText="1"/>
    </xf>
    <xf borderId="0" fillId="26" fontId="7" numFmtId="0" xfId="0" applyAlignment="1" applyFont="1">
      <alignment horizontal="center" shrinkToFit="0" vertical="top" wrapText="1"/>
    </xf>
    <xf borderId="1" fillId="21" fontId="6" numFmtId="0" xfId="0" applyAlignment="1" applyBorder="1" applyFont="1">
      <alignment vertical="center"/>
    </xf>
    <xf borderId="1" fillId="26" fontId="6" numFmtId="0" xfId="0" applyAlignment="1" applyBorder="1" applyFont="1">
      <alignment vertical="center"/>
    </xf>
    <xf borderId="1" fillId="21" fontId="6" numFmtId="167" xfId="0" applyAlignment="1" applyBorder="1" applyFont="1" applyNumberFormat="1">
      <alignment readingOrder="0" vertical="center"/>
    </xf>
    <xf borderId="1" fillId="0" fontId="6" numFmtId="0" xfId="0" applyAlignment="1" applyBorder="1" applyFont="1">
      <alignment vertical="center"/>
    </xf>
    <xf borderId="4" fillId="0" fontId="8" numFmtId="0" xfId="0" applyBorder="1" applyFont="1"/>
    <xf borderId="1" fillId="0" fontId="6" numFmtId="0" xfId="0" applyAlignment="1" applyBorder="1" applyFont="1">
      <alignment horizontal="center" shrinkToFit="0" vertical="bottom" wrapText="1"/>
    </xf>
    <xf borderId="1" fillId="0" fontId="6" numFmtId="168" xfId="0" applyAlignment="1" applyBorder="1" applyFont="1" applyNumberFormat="1">
      <alignment horizontal="center" shrinkToFit="0" vertical="bottom" wrapText="1"/>
    </xf>
    <xf borderId="1" fillId="27" fontId="6" numFmtId="0" xfId="0" applyAlignment="1" applyBorder="1" applyFill="1" applyFont="1">
      <alignment horizontal="center" shrinkToFit="0" vertical="bottom" wrapText="1"/>
    </xf>
    <xf borderId="1" fillId="0" fontId="6" numFmtId="0" xfId="0" applyAlignment="1" applyBorder="1" applyFont="1">
      <alignment vertical="bottom"/>
    </xf>
    <xf borderId="0" fillId="0" fontId="5" numFmtId="0" xfId="0" applyFont="1"/>
    <xf borderId="0" fillId="0" fontId="5" numFmtId="168" xfId="0" applyFont="1" applyNumberFormat="1"/>
    <xf borderId="0" fillId="0" fontId="5" numFmtId="4" xfId="0" applyFont="1" applyNumberFormat="1"/>
    <xf borderId="0" fillId="28" fontId="4" numFmtId="0" xfId="0" applyAlignment="1" applyFill="1" applyFont="1">
      <alignment horizontal="center" readingOrder="0"/>
    </xf>
    <xf borderId="0" fillId="29" fontId="4" numFmtId="169" xfId="0" applyAlignment="1" applyFill="1" applyFont="1" applyNumberFormat="1">
      <alignment horizontal="right" readingOrder="0"/>
    </xf>
    <xf borderId="0" fillId="29" fontId="4" numFmtId="169" xfId="0" applyAlignment="1" applyFont="1" applyNumberFormat="1">
      <alignment readingOrder="0"/>
    </xf>
    <xf borderId="0" fillId="29" fontId="4" numFmtId="0" xfId="0" applyAlignment="1" applyFont="1">
      <alignment readingOrder="0"/>
    </xf>
    <xf borderId="0" fillId="0" fontId="9" numFmtId="0" xfId="0" applyAlignment="1" applyFont="1">
      <alignment horizontal="center" readingOrder="0"/>
    </xf>
    <xf borderId="0" fillId="0" fontId="5" numFmtId="168" xfId="0" applyAlignment="1" applyFont="1" applyNumberFormat="1">
      <alignment readingOrder="0"/>
    </xf>
    <xf borderId="0" fillId="0" fontId="5" numFmtId="170" xfId="0" applyAlignment="1" applyFont="1" applyNumberFormat="1">
      <alignment readingOrder="0"/>
    </xf>
    <xf borderId="0" fillId="0" fontId="5" numFmtId="168" xfId="0" applyFont="1" applyNumberFormat="1"/>
    <xf borderId="0" fillId="0" fontId="5" numFmtId="170" xfId="0" applyFont="1" applyNumberFormat="1"/>
    <xf borderId="0" fillId="0" fontId="5" numFmtId="0" xfId="0" applyFont="1"/>
    <xf borderId="0" fillId="0" fontId="6" numFmtId="0" xfId="0" applyAlignment="1" applyFont="1">
      <alignment vertical="bottom"/>
    </xf>
    <xf borderId="0" fillId="0" fontId="10" numFmtId="0" xfId="0" applyAlignment="1" applyFont="1">
      <alignment vertical="bottom"/>
    </xf>
    <xf borderId="5" fillId="0" fontId="11" numFmtId="0" xfId="0" applyAlignment="1" applyBorder="1" applyFont="1">
      <alignment horizontal="center" vertical="bottom"/>
    </xf>
    <xf borderId="0" fillId="21" fontId="6" numFmtId="0" xfId="0" applyAlignment="1" applyFont="1">
      <alignment vertical="top"/>
    </xf>
    <xf borderId="1" fillId="21" fontId="12" numFmtId="0" xfId="0" applyAlignment="1" applyBorder="1" applyFont="1">
      <alignment shrinkToFit="0" vertical="top" wrapText="1"/>
    </xf>
    <xf borderId="1" fillId="21" fontId="13" numFmtId="0" xfId="0" applyAlignment="1" applyBorder="1" applyFont="1">
      <alignment shrinkToFit="0" vertical="top" wrapText="1"/>
    </xf>
    <xf borderId="0" fillId="30" fontId="10" numFmtId="0" xfId="0" applyAlignment="1" applyFill="1" applyFont="1">
      <alignment vertical="bottom"/>
    </xf>
    <xf borderId="1" fillId="30" fontId="14" numFmtId="0" xfId="0" applyAlignment="1" applyBorder="1" applyFont="1">
      <alignment horizontal="center" shrinkToFit="0" vertical="bottom" wrapText="1"/>
    </xf>
    <xf borderId="1" fillId="31" fontId="6" numFmtId="0" xfId="0" applyAlignment="1" applyBorder="1" applyFill="1" applyFont="1">
      <alignment vertical="top"/>
    </xf>
    <xf borderId="1" fillId="31" fontId="10" numFmtId="0" xfId="0" applyAlignment="1" applyBorder="1" applyFont="1">
      <alignment shrinkToFit="0" vertical="top" wrapText="1"/>
    </xf>
    <xf borderId="0" fillId="0" fontId="6" numFmtId="0" xfId="0" applyFont="1"/>
    <xf borderId="0" fillId="21" fontId="6" numFmtId="0" xfId="0" applyAlignment="1" applyFont="1">
      <alignment vertical="bottom"/>
    </xf>
    <xf borderId="1" fillId="32" fontId="6" numFmtId="0" xfId="0" applyAlignment="1" applyBorder="1" applyFill="1" applyFont="1">
      <alignment horizontal="center" shrinkToFit="0" wrapText="1"/>
    </xf>
    <xf borderId="1" fillId="32" fontId="6" numFmtId="165" xfId="0" applyAlignment="1" applyBorder="1" applyFont="1" applyNumberFormat="1">
      <alignment horizontal="center" shrinkToFit="0" wrapText="1"/>
    </xf>
    <xf borderId="1" fillId="32" fontId="6" numFmtId="0" xfId="0" applyBorder="1" applyFont="1"/>
    <xf borderId="6" fillId="32" fontId="6" numFmtId="0" xfId="0" applyAlignment="1" applyBorder="1" applyFont="1">
      <alignment horizontal="center" shrinkToFit="0" wrapText="1"/>
    </xf>
    <xf borderId="7" fillId="0" fontId="8" numFmtId="0" xfId="0" applyBorder="1" applyFont="1"/>
    <xf borderId="8" fillId="0" fontId="8" numFmtId="0" xfId="0" applyBorder="1" applyFont="1"/>
    <xf borderId="1" fillId="25" fontId="6" numFmtId="0" xfId="0" applyAlignment="1" applyBorder="1" applyFont="1">
      <alignment horizontal="center" shrinkToFit="0" wrapText="1"/>
    </xf>
    <xf borderId="1" fillId="25" fontId="6" numFmtId="165" xfId="0" applyAlignment="1" applyBorder="1" applyFont="1" applyNumberFormat="1">
      <alignment horizontal="center" shrinkToFit="0" wrapText="1"/>
    </xf>
    <xf borderId="1" fillId="25" fontId="6" numFmtId="0" xfId="0" applyBorder="1" applyFont="1"/>
    <xf borderId="6" fillId="25" fontId="6" numFmtId="0" xfId="0" applyAlignment="1" applyBorder="1" applyFont="1">
      <alignment horizontal="center" shrinkToFit="0" wrapText="1"/>
    </xf>
    <xf borderId="1" fillId="21" fontId="14" numFmtId="0" xfId="0" applyAlignment="1" applyBorder="1" applyFont="1">
      <alignment horizontal="right" vertical="bottom"/>
    </xf>
    <xf borderId="1" fillId="21" fontId="6" numFmtId="0" xfId="0" applyAlignment="1" applyBorder="1" applyFont="1">
      <alignment vertical="bottom"/>
    </xf>
    <xf borderId="1" fillId="21" fontId="15" numFmtId="0" xfId="0" applyAlignment="1" applyBorder="1" applyFont="1">
      <alignment horizontal="center" shrinkToFit="0" vertical="bottom" wrapText="1"/>
    </xf>
    <xf borderId="1" fillId="21" fontId="6" numFmtId="0" xfId="0" applyAlignment="1" applyBorder="1" applyFont="1">
      <alignment vertical="top"/>
    </xf>
    <xf borderId="1" fillId="21" fontId="10" numFmtId="14" xfId="0" applyAlignment="1" applyBorder="1" applyFont="1" applyNumberFormat="1">
      <alignment shrinkToFit="0" vertical="top" wrapText="1"/>
    </xf>
    <xf borderId="1" fillId="21" fontId="6" numFmtId="9" xfId="0" applyAlignment="1" applyBorder="1" applyFont="1" applyNumberFormat="1">
      <alignment vertical="top"/>
    </xf>
    <xf borderId="1" fillId="33" fontId="16" numFmtId="0" xfId="0" applyAlignment="1" applyBorder="1" applyFill="1" applyFont="1">
      <alignment horizontal="center" shrinkToFit="0" wrapText="1"/>
    </xf>
    <xf borderId="1" fillId="25" fontId="17" numFmtId="165" xfId="0" applyAlignment="1" applyBorder="1" applyFont="1" applyNumberFormat="1">
      <alignment horizontal="center" vertical="bottom"/>
    </xf>
    <xf borderId="6" fillId="34" fontId="18" numFmtId="0" xfId="0" applyAlignment="1" applyBorder="1" applyFill="1" applyFont="1">
      <alignment horizontal="center" shrinkToFit="0" wrapText="1"/>
    </xf>
    <xf borderId="1" fillId="35" fontId="6" numFmtId="0" xfId="0" applyAlignment="1" applyBorder="1" applyFill="1" applyFont="1">
      <alignment vertical="bottom"/>
    </xf>
    <xf borderId="6" fillId="21" fontId="19" numFmtId="0" xfId="0" applyAlignment="1" applyBorder="1" applyFont="1">
      <alignment horizontal="center" shrinkToFit="0" wrapText="1"/>
    </xf>
    <xf borderId="1" fillId="21" fontId="16" numFmtId="0" xfId="0" applyAlignment="1" applyBorder="1" applyFont="1">
      <alignment horizontal="center" shrinkToFit="0" wrapText="1"/>
    </xf>
    <xf borderId="1" fillId="21" fontId="17" numFmtId="165" xfId="0" applyAlignment="1" applyBorder="1" applyFont="1" applyNumberFormat="1">
      <alignment horizontal="center" vertical="bottom"/>
    </xf>
    <xf borderId="6" fillId="33" fontId="18" numFmtId="0" xfId="0" applyAlignment="1" applyBorder="1" applyFont="1">
      <alignment horizontal="center" shrinkToFit="0" wrapText="1"/>
    </xf>
    <xf borderId="1" fillId="36" fontId="6" numFmtId="0" xfId="0" applyAlignment="1" applyBorder="1" applyFill="1" applyFont="1">
      <alignment vertical="bottom"/>
    </xf>
    <xf borderId="6" fillId="21" fontId="20" numFmtId="0" xfId="0" applyAlignment="1" applyBorder="1" applyFont="1">
      <alignment horizontal="center" shrinkToFit="0" wrapText="1"/>
    </xf>
    <xf borderId="6" fillId="37" fontId="18" numFmtId="0" xfId="0" applyAlignment="1" applyBorder="1" applyFill="1" applyFont="1">
      <alignment horizontal="center" shrinkToFit="0" wrapText="1"/>
    </xf>
    <xf borderId="1" fillId="38" fontId="6" numFmtId="0" xfId="0" applyAlignment="1" applyBorder="1" applyFill="1" applyFont="1">
      <alignment vertical="bottom"/>
    </xf>
    <xf borderId="6" fillId="21" fontId="21" numFmtId="0" xfId="0" applyAlignment="1" applyBorder="1" applyFont="1">
      <alignment horizontal="center" shrinkToFit="0" vertical="bottom" wrapText="1"/>
    </xf>
    <xf borderId="1" fillId="32" fontId="6" numFmtId="3" xfId="0" applyAlignment="1" applyBorder="1" applyFont="1" applyNumberFormat="1">
      <alignment horizontal="center" shrinkToFit="0" wrapText="1"/>
    </xf>
    <xf borderId="1" fillId="32" fontId="6" numFmtId="171" xfId="0" applyAlignment="1" applyBorder="1" applyFont="1" applyNumberFormat="1">
      <alignment horizontal="center" shrinkToFit="0" wrapText="1"/>
    </xf>
    <xf borderId="0" fillId="21" fontId="6" numFmtId="0" xfId="0" applyFont="1"/>
    <xf borderId="1" fillId="25" fontId="6" numFmtId="171" xfId="0" applyAlignment="1" applyBorder="1" applyFont="1" applyNumberFormat="1">
      <alignment horizontal="center" shrinkToFit="0" wrapText="1"/>
    </xf>
    <xf borderId="1" fillId="39" fontId="14" numFmtId="0" xfId="0" applyAlignment="1" applyBorder="1" applyFill="1" applyFont="1">
      <alignment horizontal="center" shrinkToFit="0" vertical="top" wrapText="1"/>
    </xf>
    <xf borderId="0" fillId="39" fontId="14" numFmtId="0" xfId="0" applyAlignment="1" applyFont="1">
      <alignment horizontal="center" shrinkToFit="0" vertical="top" wrapText="1"/>
    </xf>
    <xf borderId="0" fillId="39" fontId="14" numFmtId="0" xfId="0" applyAlignment="1" applyFont="1">
      <alignment vertical="top"/>
    </xf>
    <xf borderId="1" fillId="31" fontId="12" numFmtId="0" xfId="0" applyAlignment="1" applyBorder="1" applyFont="1">
      <alignment shrinkToFit="0" vertical="top" wrapText="1"/>
    </xf>
    <xf borderId="1" fillId="33" fontId="16" numFmtId="3" xfId="0" applyAlignment="1" applyBorder="1" applyFont="1" applyNumberFormat="1">
      <alignment horizontal="center" shrinkToFit="0" wrapText="1"/>
    </xf>
    <xf borderId="1" fillId="25" fontId="6" numFmtId="165" xfId="0" applyAlignment="1" applyBorder="1" applyFont="1" applyNumberFormat="1">
      <alignment horizontal="center" vertical="bottom"/>
    </xf>
    <xf borderId="1" fillId="34" fontId="6" numFmtId="0" xfId="0" applyAlignment="1" applyBorder="1" applyFont="1">
      <alignment horizontal="center" shrinkToFit="0" wrapText="1"/>
    </xf>
    <xf borderId="1" fillId="35" fontId="6" numFmtId="0" xfId="0" applyAlignment="1" applyBorder="1" applyFont="1">
      <alignment horizontal="center" shrinkToFit="0" vertical="bottom" wrapText="1"/>
    </xf>
    <xf borderId="1" fillId="21" fontId="6" numFmtId="0" xfId="0" applyAlignment="1" applyBorder="1" applyFont="1">
      <alignment horizontal="center" vertical="bottom"/>
    </xf>
    <xf borderId="1" fillId="21" fontId="16" numFmtId="3" xfId="0" applyAlignment="1" applyBorder="1" applyFont="1" applyNumberFormat="1">
      <alignment horizontal="center" shrinkToFit="0" wrapText="1"/>
    </xf>
    <xf borderId="1" fillId="21" fontId="6" numFmtId="165" xfId="0" applyAlignment="1" applyBorder="1" applyFont="1" applyNumberFormat="1">
      <alignment horizontal="center" vertical="bottom"/>
    </xf>
    <xf borderId="1" fillId="33" fontId="6" numFmtId="0" xfId="0" applyAlignment="1" applyBorder="1" applyFont="1">
      <alignment horizontal="center" shrinkToFit="0" wrapText="1"/>
    </xf>
    <xf borderId="1" fillId="36" fontId="6" numFmtId="0" xfId="0" applyAlignment="1" applyBorder="1" applyFont="1">
      <alignment horizontal="center" shrinkToFit="0" vertical="bottom" wrapText="1"/>
    </xf>
    <xf borderId="1" fillId="37" fontId="6" numFmtId="0" xfId="0" applyAlignment="1" applyBorder="1" applyFont="1">
      <alignment horizontal="center" shrinkToFit="0" wrapText="1"/>
    </xf>
    <xf borderId="1" fillId="38" fontId="6" numFmtId="0" xfId="0" applyAlignment="1" applyBorder="1" applyFont="1">
      <alignment horizontal="center" shrinkToFit="0" vertical="bottom" wrapText="1"/>
    </xf>
    <xf borderId="1" fillId="32" fontId="6" numFmtId="0" xfId="0" applyAlignment="1" applyBorder="1" applyFont="1">
      <alignment vertical="bottom"/>
    </xf>
    <xf borderId="1" fillId="25" fontId="6" numFmtId="3" xfId="0" applyAlignment="1" applyBorder="1" applyFont="1" applyNumberFormat="1">
      <alignment horizontal="center" shrinkToFit="0" wrapText="1"/>
    </xf>
    <xf borderId="1" fillId="21" fontId="14" numFmtId="0" xfId="0" applyAlignment="1" applyBorder="1" applyFont="1">
      <alignment horizontal="center" shrinkToFit="0" vertical="top" wrapText="1"/>
    </xf>
    <xf borderId="1" fillId="21" fontId="14" numFmtId="0" xfId="0" applyAlignment="1" applyBorder="1" applyFont="1">
      <alignment shrinkToFit="0" vertical="top" wrapText="1"/>
    </xf>
    <xf borderId="1" fillId="21" fontId="10" numFmtId="0" xfId="0" applyAlignment="1" applyBorder="1" applyFont="1">
      <alignment shrinkToFit="0" vertical="top" wrapText="1"/>
    </xf>
    <xf borderId="1" fillId="33" fontId="6" numFmtId="0" xfId="0" applyBorder="1" applyFont="1"/>
    <xf borderId="1" fillId="25" fontId="17" numFmtId="168" xfId="0" applyAlignment="1" applyBorder="1" applyFont="1" applyNumberFormat="1">
      <alignment horizontal="center" shrinkToFit="0" wrapText="1"/>
    </xf>
    <xf borderId="1" fillId="34" fontId="17" numFmtId="3" xfId="0" applyAlignment="1" applyBorder="1" applyFont="1" applyNumberFormat="1">
      <alignment horizontal="center" shrinkToFit="0" wrapText="1"/>
    </xf>
    <xf borderId="1" fillId="35" fontId="6" numFmtId="0" xfId="0" applyBorder="1" applyFont="1"/>
    <xf borderId="1" fillId="25" fontId="16" numFmtId="0" xfId="0" applyAlignment="1" applyBorder="1" applyFont="1">
      <alignment horizontal="center" shrinkToFit="0" wrapText="1"/>
    </xf>
    <xf borderId="1" fillId="21" fontId="6" numFmtId="0" xfId="0" applyBorder="1" applyFont="1"/>
    <xf borderId="1" fillId="21" fontId="17" numFmtId="168" xfId="0" applyAlignment="1" applyBorder="1" applyFont="1" applyNumberFormat="1">
      <alignment horizontal="center" shrinkToFit="0" wrapText="1"/>
    </xf>
    <xf borderId="1" fillId="33" fontId="17" numFmtId="3" xfId="0" applyAlignment="1" applyBorder="1" applyFont="1" applyNumberFormat="1">
      <alignment horizontal="center" shrinkToFit="0" wrapText="1"/>
    </xf>
    <xf borderId="1" fillId="36" fontId="6" numFmtId="0" xfId="0" applyBorder="1" applyFont="1"/>
    <xf borderId="1" fillId="34" fontId="17" numFmtId="0" xfId="0" applyAlignment="1" applyBorder="1" applyFont="1">
      <alignment horizontal="center" shrinkToFit="0" wrapText="1"/>
    </xf>
    <xf borderId="1" fillId="37" fontId="17" numFmtId="3" xfId="0" applyAlignment="1" applyBorder="1" applyFont="1" applyNumberFormat="1">
      <alignment horizontal="center" shrinkToFit="0" wrapText="1"/>
    </xf>
    <xf borderId="1" fillId="38" fontId="6" numFmtId="0" xfId="0" applyBorder="1" applyFont="1"/>
    <xf borderId="1" fillId="32" fontId="6" numFmtId="168" xfId="0" applyAlignment="1" applyBorder="1" applyFont="1" applyNumberFormat="1">
      <alignment horizontal="center" shrinkToFit="0" wrapText="1"/>
    </xf>
    <xf borderId="1" fillId="32" fontId="17" numFmtId="0" xfId="0" applyAlignment="1" applyBorder="1" applyFont="1">
      <alignment horizontal="center" shrinkToFit="0" wrapText="1"/>
    </xf>
    <xf borderId="6" fillId="32" fontId="17" numFmtId="0" xfId="0" applyAlignment="1" applyBorder="1" applyFont="1">
      <alignment horizontal="center" shrinkToFit="0" wrapText="1"/>
    </xf>
    <xf borderId="1" fillId="25" fontId="6" numFmtId="168" xfId="0" applyAlignment="1" applyBorder="1" applyFont="1" applyNumberFormat="1">
      <alignment horizontal="center" shrinkToFit="0" wrapText="1"/>
    </xf>
    <xf borderId="1" fillId="25" fontId="17" numFmtId="0" xfId="0" applyAlignment="1" applyBorder="1" applyFont="1">
      <alignment horizontal="center" shrinkToFit="0" wrapText="1"/>
    </xf>
    <xf borderId="6" fillId="25" fontId="17" numFmtId="0" xfId="0" applyAlignment="1" applyBorder="1" applyFont="1">
      <alignment horizontal="center" shrinkToFit="0" wrapText="1"/>
    </xf>
    <xf borderId="1" fillId="39" fontId="14" numFmtId="0" xfId="0" applyAlignment="1" applyBorder="1" applyFont="1">
      <alignment shrinkToFit="0" vertical="top" wrapText="1"/>
    </xf>
    <xf borderId="0" fillId="39" fontId="6" numFmtId="0" xfId="0" applyAlignment="1" applyFont="1">
      <alignment vertical="bottom"/>
    </xf>
    <xf borderId="1" fillId="40" fontId="16" numFmtId="0" xfId="0" applyAlignment="1" applyBorder="1" applyFill="1" applyFont="1">
      <alignment horizontal="center"/>
    </xf>
    <xf borderId="1" fillId="40" fontId="16" numFmtId="0" xfId="0" applyBorder="1" applyFont="1"/>
    <xf borderId="1" fillId="40" fontId="16" numFmtId="3" xfId="0" applyAlignment="1" applyBorder="1" applyFont="1" applyNumberFormat="1">
      <alignment horizontal="center" shrinkToFit="0" wrapText="1"/>
    </xf>
    <xf borderId="1" fillId="21" fontId="22" numFmtId="3" xfId="0" applyAlignment="1" applyBorder="1" applyFont="1" applyNumberFormat="1">
      <alignment horizontal="center" shrinkToFit="0" wrapText="1"/>
    </xf>
    <xf borderId="1" fillId="40" fontId="16" numFmtId="0" xfId="0" applyAlignment="1" applyBorder="1" applyFont="1">
      <alignment horizontal="center" shrinkToFit="0" vertical="bottom" wrapText="1"/>
    </xf>
    <xf borderId="1" fillId="21" fontId="23" numFmtId="0" xfId="0" applyAlignment="1" applyBorder="1" applyFont="1">
      <alignment horizontal="center" vertical="bottom"/>
    </xf>
    <xf borderId="1" fillId="34" fontId="24" numFmtId="0" xfId="0" applyAlignment="1" applyBorder="1" applyFont="1">
      <alignment horizontal="center" shrinkToFit="0" wrapText="1"/>
    </xf>
    <xf borderId="1" fillId="34" fontId="24" numFmtId="0" xfId="0" applyAlignment="1" applyBorder="1" applyFont="1">
      <alignment shrinkToFit="0" wrapText="1"/>
    </xf>
    <xf borderId="1" fillId="34" fontId="6" numFmtId="0" xfId="0" applyBorder="1" applyFont="1"/>
    <xf borderId="1" fillId="36" fontId="25" numFmtId="0" xfId="0" applyAlignment="1" applyBorder="1" applyFont="1">
      <alignment horizontal="center" shrinkToFit="0" wrapText="1"/>
    </xf>
    <xf borderId="1" fillId="21" fontId="26" numFmtId="0" xfId="0" applyAlignment="1" applyBorder="1" applyFont="1">
      <alignment horizontal="center" shrinkToFit="0" wrapText="1"/>
    </xf>
    <xf borderId="1" fillId="24" fontId="24" numFmtId="0" xfId="0" applyAlignment="1" applyBorder="1" applyFont="1">
      <alignment horizontal="center" shrinkToFit="0" wrapText="1"/>
    </xf>
    <xf borderId="1" fillId="24" fontId="24" numFmtId="0" xfId="0" applyAlignment="1" applyBorder="1" applyFont="1">
      <alignment shrinkToFit="0" wrapText="1"/>
    </xf>
    <xf borderId="1" fillId="24" fontId="6" numFmtId="0" xfId="0" applyBorder="1" applyFont="1"/>
    <xf borderId="1" fillId="24" fontId="25" numFmtId="0" xfId="0" applyAlignment="1" applyBorder="1" applyFont="1">
      <alignment horizontal="center" shrinkToFit="0" wrapText="1"/>
    </xf>
    <xf borderId="1" fillId="40" fontId="16" numFmtId="3" xfId="0" applyAlignment="1" applyBorder="1" applyFont="1" applyNumberFormat="1">
      <alignment horizontal="center"/>
    </xf>
    <xf borderId="1" fillId="40" fontId="16" numFmtId="3" xfId="0" applyBorder="1" applyFont="1" applyNumberFormat="1"/>
    <xf borderId="1" fillId="40" fontId="6" numFmtId="0" xfId="0" applyAlignment="1" applyBorder="1" applyFont="1">
      <alignment vertical="bottom"/>
    </xf>
    <xf borderId="1" fillId="25" fontId="16" numFmtId="0" xfId="0" applyAlignment="1" applyBorder="1" applyFont="1">
      <alignment horizontal="center" vertical="bottom"/>
    </xf>
    <xf borderId="1" fillId="41" fontId="27" numFmtId="0" xfId="0" applyAlignment="1" applyBorder="1" applyFill="1" applyFont="1">
      <alignment horizontal="center" vertical="bottom"/>
    </xf>
    <xf borderId="1" fillId="37" fontId="28" numFmtId="0" xfId="0" applyAlignment="1" applyBorder="1" applyFont="1">
      <alignment horizontal="center" vertical="bottom"/>
    </xf>
    <xf borderId="1" fillId="40" fontId="16" numFmtId="0" xfId="0" applyAlignment="1" applyBorder="1" applyFont="1">
      <alignment horizontal="center" shrinkToFit="0" wrapText="1"/>
    </xf>
    <xf borderId="1" fillId="39" fontId="15" numFmtId="0" xfId="0" applyAlignment="1" applyBorder="1" applyFont="1">
      <alignment horizontal="center" shrinkToFit="0" vertical="top" wrapText="1"/>
    </xf>
    <xf borderId="1" fillId="39" fontId="15" numFmtId="0" xfId="0" applyAlignment="1" applyBorder="1" applyFont="1">
      <alignment shrinkToFit="0" vertical="top" wrapText="1"/>
    </xf>
    <xf borderId="1" fillId="21" fontId="29" numFmtId="0" xfId="0" applyAlignment="1" applyBorder="1" applyFont="1">
      <alignment horizontal="center" shrinkToFit="0" vertical="top" wrapText="1"/>
    </xf>
    <xf borderId="1" fillId="21" fontId="29" numFmtId="0" xfId="0" applyAlignment="1" applyBorder="1" applyFont="1">
      <alignment shrinkToFit="0" vertical="top" wrapText="1"/>
    </xf>
    <xf borderId="1" fillId="40" fontId="6" numFmtId="0" xfId="0" applyBorder="1" applyFont="1"/>
    <xf borderId="1" fillId="36" fontId="30" numFmtId="0" xfId="0" applyAlignment="1" applyBorder="1" applyFont="1">
      <alignment horizontal="center"/>
    </xf>
    <xf borderId="1" fillId="36" fontId="30" numFmtId="0" xfId="0" applyBorder="1" applyFont="1"/>
    <xf borderId="1" fillId="36" fontId="30" numFmtId="3" xfId="0" applyAlignment="1" applyBorder="1" applyFont="1" applyNumberFormat="1">
      <alignment horizontal="center" shrinkToFit="0" wrapText="1"/>
    </xf>
    <xf borderId="1" fillId="36" fontId="30" numFmtId="0" xfId="0" applyAlignment="1" applyBorder="1" applyFont="1">
      <alignment horizontal="center" shrinkToFit="0" vertical="bottom" wrapText="1"/>
    </xf>
    <xf borderId="1" fillId="21" fontId="31" numFmtId="0" xfId="0" applyAlignment="1" applyBorder="1" applyFont="1">
      <alignment horizontal="center" shrinkToFit="0" vertical="top" wrapText="1"/>
    </xf>
    <xf borderId="1" fillId="21" fontId="31" numFmtId="0" xfId="0" applyAlignment="1" applyBorder="1" applyFont="1">
      <alignment shrinkToFit="0" vertical="top" wrapText="1"/>
    </xf>
    <xf borderId="1" fillId="21" fontId="32" numFmtId="0" xfId="0" applyAlignment="1" applyBorder="1" applyFont="1">
      <alignment horizontal="center" shrinkToFit="0" vertical="top" wrapText="1"/>
    </xf>
    <xf borderId="1" fillId="21" fontId="32" numFmtId="0" xfId="0" applyAlignment="1" applyBorder="1" applyFont="1">
      <alignment shrinkToFit="0" vertical="top" wrapText="1"/>
    </xf>
    <xf borderId="1" fillId="0" fontId="6" numFmtId="0" xfId="0" applyAlignment="1" applyBorder="1" applyFont="1">
      <alignment horizontal="center"/>
    </xf>
    <xf borderId="1" fillId="0" fontId="6" numFmtId="0" xfId="0" applyBorder="1" applyFont="1"/>
    <xf borderId="1" fillId="42" fontId="6" numFmtId="3" xfId="0" applyAlignment="1" applyBorder="1" applyFill="1" applyFont="1" applyNumberFormat="1">
      <alignment horizontal="center" shrinkToFit="0" wrapText="1"/>
    </xf>
    <xf borderId="1" fillId="21" fontId="6" numFmtId="0" xfId="0" applyAlignment="1" applyBorder="1" applyFont="1">
      <alignment horizontal="center" shrinkToFit="0" vertical="bottom" wrapText="1"/>
    </xf>
    <xf borderId="1" fillId="42" fontId="33" numFmtId="0" xfId="0" applyAlignment="1" applyBorder="1" applyFont="1">
      <alignment horizontal="center"/>
    </xf>
    <xf borderId="1" fillId="42" fontId="33" numFmtId="0" xfId="0" applyBorder="1" applyFont="1"/>
    <xf borderId="1" fillId="42" fontId="33" numFmtId="3" xfId="0" applyAlignment="1" applyBorder="1" applyFont="1" applyNumberFormat="1">
      <alignment horizontal="center" shrinkToFit="0" wrapText="1"/>
    </xf>
    <xf borderId="1" fillId="42" fontId="33" numFmtId="0" xfId="0" applyAlignment="1" applyBorder="1" applyFont="1">
      <alignment horizontal="center" shrinkToFit="0" vertical="bottom" wrapText="1"/>
    </xf>
    <xf borderId="1" fillId="39" fontId="6" numFmtId="0" xfId="0" applyAlignment="1" applyBorder="1" applyFont="1">
      <alignment vertical="top"/>
    </xf>
    <xf borderId="1" fillId="42" fontId="6" numFmtId="0" xfId="0" applyAlignment="1" applyBorder="1" applyFont="1">
      <alignment vertical="bottom"/>
    </xf>
    <xf borderId="1" fillId="21" fontId="14" numFmtId="0" xfId="0" applyAlignment="1" applyBorder="1" applyFont="1">
      <alignment horizontal="right" vertical="top"/>
    </xf>
    <xf borderId="1" fillId="21" fontId="6" numFmtId="0" xfId="0" applyAlignment="1" applyBorder="1" applyFont="1">
      <alignment vertical="top"/>
    </xf>
    <xf borderId="1" fillId="39" fontId="14" numFmtId="0" xfId="0" applyAlignment="1" applyBorder="1" applyFont="1">
      <alignment horizontal="right" vertical="top"/>
    </xf>
    <xf borderId="1" fillId="43" fontId="28" numFmtId="0" xfId="0" applyAlignment="1" applyBorder="1" applyFill="1" applyFont="1">
      <alignment horizontal="center"/>
    </xf>
    <xf borderId="1" fillId="43" fontId="28" numFmtId="0" xfId="0" applyBorder="1" applyFont="1"/>
    <xf borderId="1" fillId="43" fontId="28" numFmtId="3" xfId="0" applyAlignment="1" applyBorder="1" applyFont="1" applyNumberFormat="1">
      <alignment horizontal="center" shrinkToFit="0" wrapText="1"/>
    </xf>
    <xf borderId="1" fillId="43" fontId="28" numFmtId="0" xfId="0" applyAlignment="1" applyBorder="1" applyFont="1">
      <alignment horizontal="center" shrinkToFit="0" vertical="bottom" wrapText="1"/>
    </xf>
    <xf borderId="8" fillId="24" fontId="6" numFmtId="0" xfId="0" applyAlignment="1" applyBorder="1" applyFont="1">
      <alignment horizontal="center" shrinkToFit="0" wrapText="1"/>
    </xf>
    <xf borderId="1" fillId="24" fontId="6" numFmtId="0" xfId="0" applyAlignment="1" applyBorder="1" applyFont="1">
      <alignment horizontal="center" shrinkToFit="0" wrapText="1"/>
    </xf>
    <xf borderId="1" fillId="43" fontId="6" numFmtId="0" xfId="0" applyAlignment="1" applyBorder="1" applyFont="1">
      <alignment vertical="bottom"/>
    </xf>
    <xf borderId="1" fillId="39" fontId="14" numFmtId="0" xfId="0" applyAlignment="1" applyBorder="1" applyFont="1">
      <alignment vertical="top"/>
    </xf>
    <xf borderId="1" fillId="21" fontId="6" numFmtId="0" xfId="0" applyAlignment="1" applyBorder="1" applyFont="1">
      <alignment vertical="bottom"/>
    </xf>
    <xf borderId="8" fillId="24" fontId="6" numFmtId="0" xfId="0" applyBorder="1" applyFont="1"/>
    <xf borderId="1" fillId="21" fontId="14" numFmtId="0" xfId="0" applyAlignment="1" applyBorder="1" applyFont="1">
      <alignment vertical="top"/>
    </xf>
    <xf borderId="1" fillId="31" fontId="10" numFmtId="168" xfId="0" applyAlignment="1" applyBorder="1" applyFont="1" applyNumberFormat="1">
      <alignment shrinkToFit="0" vertical="top" wrapText="1"/>
    </xf>
    <xf borderId="1" fillId="31" fontId="6" numFmtId="9" xfId="0" applyAlignment="1" applyBorder="1" applyFont="1" applyNumberFormat="1">
      <alignment vertical="top"/>
    </xf>
    <xf borderId="0" fillId="31" fontId="6" numFmtId="0" xfId="0" applyAlignment="1" applyFont="1">
      <alignment vertical="top"/>
    </xf>
    <xf borderId="0" fillId="21" fontId="5" numFmtId="0" xfId="0" applyFont="1"/>
    <xf borderId="0" fillId="31" fontId="5" numFmtId="0" xfId="0" applyFont="1"/>
    <xf borderId="0" fillId="44" fontId="6" numFmtId="0" xfId="0" applyAlignment="1" applyFill="1" applyFont="1">
      <alignment vertical="bottom"/>
    </xf>
    <xf borderId="0" fillId="45" fontId="4" numFmtId="0" xfId="0" applyAlignment="1" applyFill="1" applyFont="1">
      <alignment readingOrder="0"/>
    </xf>
    <xf borderId="0" fillId="0" fontId="5" numFmtId="49" xfId="0" applyFont="1" applyNumberFormat="1"/>
    <xf borderId="0" fillId="0" fontId="5" numFmtId="172" xfId="0" applyFont="1" applyNumberFormat="1"/>
    <xf borderId="0" fillId="0" fontId="5" numFmtId="173" xfId="0" applyFont="1" applyNumberFormat="1"/>
    <xf borderId="0" fillId="0" fontId="5" numFmtId="174" xfId="0" applyFont="1" applyNumberFormat="1"/>
    <xf borderId="0" fillId="28" fontId="4" numFmtId="0" xfId="0" applyAlignment="1" applyFont="1">
      <alignment readingOrder="0"/>
    </xf>
    <xf borderId="0" fillId="0" fontId="5" numFmtId="0" xfId="0" applyAlignment="1" applyFont="1">
      <alignment readingOrder="0" shrinkToFit="0" wrapText="1"/>
    </xf>
    <xf borderId="0" fillId="19" fontId="4" numFmtId="0" xfId="0" applyAlignment="1" applyFont="1">
      <alignment readingOrder="0"/>
    </xf>
    <xf borderId="0" fillId="0" fontId="5" numFmtId="0" xfId="0" applyAlignment="1" applyFont="1">
      <alignment shrinkToFit="0" wrapText="1"/>
    </xf>
    <xf borderId="0" fillId="26" fontId="5" numFmtId="0" xfId="0" applyAlignment="1" applyFont="1">
      <alignment readingOrder="0"/>
    </xf>
    <xf borderId="0" fillId="26" fontId="5" numFmtId="167" xfId="0" applyAlignment="1" applyFont="1" applyNumberFormat="1">
      <alignment readingOrder="0"/>
    </xf>
    <xf borderId="0" fillId="26" fontId="5" numFmtId="0" xfId="0" applyAlignment="1" applyFont="1">
      <alignment readingOrder="0"/>
    </xf>
    <xf borderId="0" fillId="24" fontId="34" numFmtId="0" xfId="0" applyAlignment="1" applyFont="1">
      <alignment readingOrder="0" shrinkToFit="0" wrapText="1"/>
    </xf>
    <xf borderId="0" fillId="21" fontId="5" numFmtId="167" xfId="0" applyAlignment="1" applyFont="1" applyNumberFormat="1">
      <alignment readingOrder="0"/>
    </xf>
    <xf borderId="0" fillId="26" fontId="5" numFmtId="0" xfId="0" applyFont="1"/>
    <xf borderId="0" fillId="26" fontId="35" numFmtId="0" xfId="0" applyAlignment="1" applyFont="1">
      <alignment readingOrder="0" shrinkToFit="0" wrapText="1"/>
    </xf>
    <xf borderId="0" fillId="26" fontId="5" numFmtId="0" xfId="0" applyAlignment="1" applyFont="1">
      <alignment shrinkToFit="0" wrapText="1"/>
    </xf>
    <xf borderId="0" fillId="21" fontId="5" numFmtId="0" xfId="0" applyAlignment="1" applyFont="1">
      <alignment shrinkToFit="0" wrapText="1"/>
    </xf>
    <xf borderId="0" fillId="21" fontId="36" numFmtId="0" xfId="0" applyAlignment="1" applyFont="1">
      <alignment readingOrder="0" shrinkToFit="0" wrapText="1"/>
    </xf>
    <xf borderId="0" fillId="26" fontId="5" numFmtId="175" xfId="0" applyAlignment="1" applyFont="1" applyNumberFormat="1">
      <alignment readingOrder="0"/>
    </xf>
    <xf borderId="0" fillId="21" fontId="5" numFmtId="175" xfId="0" applyAlignment="1" applyFont="1" applyNumberFormat="1">
      <alignment readingOrder="0"/>
    </xf>
    <xf borderId="0" fillId="0" fontId="5" numFmtId="176" xfId="0" applyAlignment="1" applyFont="1" applyNumberFormat="1">
      <alignment readingOrder="0"/>
    </xf>
    <xf borderId="0" fillId="0" fontId="6" numFmtId="0" xfId="0" applyAlignment="1" applyFont="1">
      <alignment shrinkToFit="0" vertical="bottom" wrapText="1"/>
    </xf>
    <xf borderId="0" fillId="0" fontId="5" numFmtId="176" xfId="0" applyFont="1" applyNumberFormat="1"/>
    <xf borderId="1" fillId="46" fontId="5" numFmtId="0" xfId="0" applyAlignment="1" applyBorder="1" applyFill="1" applyFont="1">
      <alignment readingOrder="0"/>
    </xf>
    <xf borderId="1" fillId="46" fontId="5" numFmtId="0" xfId="0" applyAlignment="1" applyBorder="1" applyFont="1">
      <alignment shrinkToFit="0" wrapText="1"/>
    </xf>
    <xf borderId="1" fillId="46" fontId="5" numFmtId="0" xfId="0" applyBorder="1" applyFont="1"/>
    <xf borderId="1" fillId="24" fontId="5" numFmtId="0" xfId="0" applyBorder="1" applyFont="1"/>
    <xf borderId="1" fillId="24" fontId="5" numFmtId="0" xfId="0" applyAlignment="1" applyBorder="1" applyFont="1">
      <alignment readingOrder="0"/>
    </xf>
    <xf borderId="1" fillId="24" fontId="5" numFmtId="0" xfId="0" applyAlignment="1" applyBorder="1" applyFont="1">
      <alignment shrinkToFit="0" wrapText="1"/>
    </xf>
    <xf borderId="1" fillId="24" fontId="5" numFmtId="177" xfId="0" applyBorder="1" applyFont="1" applyNumberFormat="1"/>
    <xf borderId="1" fillId="0" fontId="37" numFmtId="0" xfId="0" applyAlignment="1" applyBorder="1" applyFont="1">
      <alignment horizontal="center" shrinkToFit="0" wrapText="1"/>
    </xf>
    <xf borderId="1" fillId="42" fontId="6" numFmtId="0" xfId="0" applyBorder="1" applyFont="1"/>
    <xf borderId="6" fillId="25" fontId="6" numFmtId="0" xfId="0" applyBorder="1" applyFont="1"/>
    <xf borderId="1" fillId="21" fontId="38" numFmtId="0" xfId="0" applyAlignment="1" applyBorder="1" applyFont="1">
      <alignment horizontal="center" shrinkToFit="0" wrapText="1"/>
    </xf>
    <xf borderId="1" fillId="21" fontId="37" numFmtId="0" xfId="0" applyAlignment="1" applyBorder="1" applyFont="1">
      <alignment horizontal="center" shrinkToFit="0" wrapText="1"/>
    </xf>
    <xf borderId="1" fillId="21" fontId="37" numFmtId="4" xfId="0" applyAlignment="1" applyBorder="1" applyFont="1" applyNumberFormat="1">
      <alignment horizontal="center" shrinkToFit="0" wrapText="1"/>
    </xf>
    <xf borderId="1" fillId="21" fontId="6" numFmtId="4" xfId="0" applyBorder="1" applyFont="1" applyNumberFormat="1"/>
    <xf borderId="1" fillId="21" fontId="39" numFmtId="0" xfId="0" applyAlignment="1" applyBorder="1" applyFont="1">
      <alignment horizontal="center" shrinkToFit="0" wrapText="1"/>
    </xf>
    <xf borderId="6" fillId="21" fontId="6" numFmtId="4" xfId="0" applyBorder="1" applyFont="1" applyNumberFormat="1"/>
    <xf borderId="6" fillId="21" fontId="37" numFmtId="3" xfId="0" applyAlignment="1" applyBorder="1" applyFont="1" applyNumberFormat="1">
      <alignment horizontal="center" shrinkToFit="0" wrapText="1"/>
    </xf>
    <xf borderId="6" fillId="0" fontId="6" numFmtId="0" xfId="0" applyBorder="1" applyFont="1"/>
    <xf borderId="1" fillId="0" fontId="37" numFmtId="3" xfId="0" applyAlignment="1" applyBorder="1" applyFont="1" applyNumberFormat="1">
      <alignment horizontal="center" shrinkToFit="0" wrapText="1"/>
    </xf>
    <xf borderId="0" fillId="0" fontId="37" numFmtId="3" xfId="0" applyAlignment="1" applyFont="1" applyNumberFormat="1">
      <alignment horizontal="center" shrinkToFit="0" wrapText="1"/>
    </xf>
    <xf borderId="1" fillId="21" fontId="40" numFmtId="3" xfId="0" applyAlignment="1" applyBorder="1" applyFont="1" applyNumberFormat="1">
      <alignment horizontal="center" shrinkToFit="0" wrapText="1"/>
    </xf>
    <xf borderId="1" fillId="21" fontId="41" numFmtId="0" xfId="0" applyAlignment="1" applyBorder="1" applyFont="1">
      <alignment horizontal="center" shrinkToFit="0" wrapText="1"/>
    </xf>
    <xf borderId="1" fillId="21" fontId="41" numFmtId="3" xfId="0" applyAlignment="1" applyBorder="1" applyFont="1" applyNumberFormat="1">
      <alignment horizontal="center" shrinkToFit="0" wrapText="1"/>
    </xf>
    <xf borderId="1" fillId="21" fontId="37" numFmtId="3" xfId="0" applyAlignment="1" applyBorder="1" applyFont="1" applyNumberFormat="1">
      <alignment horizontal="center" shrinkToFit="0" wrapText="1"/>
    </xf>
    <xf borderId="1" fillId="21" fontId="37" numFmtId="178" xfId="0" applyAlignment="1" applyBorder="1" applyFont="1" applyNumberFormat="1">
      <alignment horizontal="center" shrinkToFit="0" wrapText="1"/>
    </xf>
    <xf borderId="1" fillId="21" fontId="42" numFmtId="4" xfId="0" applyAlignment="1" applyBorder="1" applyFont="1" applyNumberFormat="1">
      <alignment horizontal="center" shrinkToFit="0" wrapText="1"/>
    </xf>
    <xf borderId="1" fillId="21" fontId="42" numFmtId="0" xfId="0" applyAlignment="1" applyBorder="1" applyFont="1">
      <alignment horizontal="center" shrinkToFit="0" wrapText="1"/>
    </xf>
    <xf borderId="1" fillId="21" fontId="42" numFmtId="178" xfId="0" applyAlignment="1" applyBorder="1" applyFont="1" applyNumberFormat="1">
      <alignment horizontal="center" shrinkToFit="0" wrapText="1"/>
    </xf>
    <xf borderId="1" fillId="21" fontId="43" numFmtId="4" xfId="0" applyAlignment="1" applyBorder="1" applyFont="1" applyNumberFormat="1">
      <alignment horizontal="center" shrinkToFit="0" wrapText="1"/>
    </xf>
    <xf borderId="1" fillId="21" fontId="43" numFmtId="178" xfId="0" applyAlignment="1" applyBorder="1" applyFont="1" applyNumberFormat="1">
      <alignment horizontal="center" shrinkToFit="0" wrapText="1"/>
    </xf>
    <xf borderId="1" fillId="21" fontId="44" numFmtId="0" xfId="0" applyAlignment="1" applyBorder="1" applyFont="1">
      <alignment horizontal="center" shrinkToFit="0" wrapText="1"/>
    </xf>
    <xf borderId="0" fillId="21" fontId="37" numFmtId="3" xfId="0" applyAlignment="1" applyFont="1" applyNumberFormat="1">
      <alignment horizontal="center" shrinkToFit="0" wrapText="1"/>
    </xf>
    <xf borderId="1" fillId="37" fontId="6" numFmtId="2" xfId="0" applyBorder="1" applyFont="1" applyNumberFormat="1"/>
    <xf borderId="1" fillId="36" fontId="6" numFmtId="178" xfId="0" applyBorder="1" applyFont="1" applyNumberFormat="1"/>
    <xf borderId="1" fillId="36" fontId="6" numFmtId="4" xfId="0" applyBorder="1" applyFont="1" applyNumberFormat="1"/>
    <xf borderId="1" fillId="47" fontId="6" numFmtId="178" xfId="0" applyBorder="1" applyFill="1" applyFont="1" applyNumberFormat="1"/>
    <xf borderId="1" fillId="47" fontId="6" numFmtId="4" xfId="0" applyBorder="1" applyFont="1" applyNumberFormat="1"/>
    <xf borderId="1" fillId="24" fontId="6" numFmtId="178" xfId="0" applyBorder="1" applyFont="1" applyNumberFormat="1"/>
    <xf borderId="1" fillId="24" fontId="6" numFmtId="4" xfId="0" applyBorder="1" applyFont="1" applyNumberFormat="1"/>
    <xf borderId="1" fillId="43" fontId="6" numFmtId="4" xfId="0" applyBorder="1" applyFont="1" applyNumberFormat="1"/>
    <xf borderId="1" fillId="48" fontId="6" numFmtId="178" xfId="0" applyBorder="1" applyFill="1" applyFont="1" applyNumberFormat="1"/>
    <xf borderId="1" fillId="48" fontId="6" numFmtId="4" xfId="0" applyBorder="1" applyFont="1" applyNumberFormat="1"/>
    <xf borderId="1" fillId="25" fontId="6" numFmtId="178" xfId="0" applyBorder="1" applyFont="1" applyNumberFormat="1"/>
    <xf borderId="1" fillId="25" fontId="6" numFmtId="4" xfId="0" applyBorder="1" applyFont="1" applyNumberFormat="1"/>
    <xf borderId="1" fillId="21" fontId="6" numFmtId="3" xfId="0" applyBorder="1" applyFont="1" applyNumberFormat="1"/>
    <xf borderId="1" fillId="21" fontId="6" numFmtId="179" xfId="0" applyBorder="1" applyFont="1" applyNumberFormat="1"/>
    <xf borderId="1" fillId="36" fontId="6" numFmtId="179" xfId="0" applyBorder="1" applyFont="1" applyNumberFormat="1"/>
    <xf borderId="0" fillId="36" fontId="6" numFmtId="0" xfId="0" applyFont="1"/>
    <xf borderId="1" fillId="21" fontId="6" numFmtId="0" xfId="0" applyAlignment="1" applyBorder="1" applyFont="1">
      <alignment horizontal="center" shrinkToFit="0" wrapText="1"/>
    </xf>
    <xf borderId="1" fillId="37" fontId="6" numFmtId="2" xfId="0" applyAlignment="1" applyBorder="1" applyFont="1" applyNumberFormat="1">
      <alignment horizontal="center" shrinkToFit="0" wrapText="1"/>
    </xf>
    <xf borderId="1" fillId="0" fontId="6" numFmtId="0" xfId="0" applyAlignment="1" applyBorder="1" applyFont="1">
      <alignment horizontal="center" shrinkToFit="0" wrapText="1"/>
    </xf>
    <xf borderId="1" fillId="49" fontId="6" numFmtId="0" xfId="0" applyAlignment="1" applyBorder="1" applyFill="1" applyFont="1">
      <alignment horizontal="center" shrinkToFit="0" wrapText="1"/>
    </xf>
    <xf borderId="1" fillId="0" fontId="45" numFmtId="0" xfId="0" applyAlignment="1" applyBorder="1" applyFont="1">
      <alignment horizontal="center" shrinkToFit="0" wrapText="1"/>
    </xf>
    <xf borderId="1" fillId="0" fontId="6" numFmtId="1" xfId="0" applyAlignment="1" applyBorder="1" applyFont="1" applyNumberFormat="1">
      <alignment horizontal="center" shrinkToFit="0" wrapText="1"/>
    </xf>
    <xf borderId="1" fillId="0" fontId="6" numFmtId="14" xfId="0" applyAlignment="1" applyBorder="1" applyFont="1" applyNumberFormat="1">
      <alignment horizontal="center" shrinkToFit="0" wrapText="1"/>
    </xf>
    <xf borderId="1" fillId="43" fontId="6" numFmtId="178" xfId="0" applyBorder="1" applyFont="1" applyNumberFormat="1"/>
    <xf borderId="1" fillId="25" fontId="6" numFmtId="178" xfId="0" applyAlignment="1" applyBorder="1" applyFont="1" applyNumberFormat="1">
      <alignment horizontal="center" shrinkToFit="0" wrapText="1"/>
    </xf>
    <xf borderId="1" fillId="25" fontId="46" numFmtId="4" xfId="0" applyAlignment="1" applyBorder="1" applyFont="1" applyNumberFormat="1">
      <alignment horizontal="center" shrinkToFit="0" wrapText="1"/>
    </xf>
    <xf borderId="1" fillId="25" fontId="46" numFmtId="178" xfId="0" applyAlignment="1" applyBorder="1" applyFont="1" applyNumberFormat="1">
      <alignment horizontal="center" shrinkToFit="0" wrapText="1"/>
    </xf>
    <xf borderId="1" fillId="21" fontId="6" numFmtId="179" xfId="0" applyAlignment="1" applyBorder="1" applyFont="1" applyNumberFormat="1">
      <alignment horizontal="center" shrinkToFit="0" wrapText="1"/>
    </xf>
    <xf borderId="1" fillId="36" fontId="6" numFmtId="179" xfId="0" applyAlignment="1" applyBorder="1" applyFont="1" applyNumberFormat="1">
      <alignment horizontal="center" shrinkToFit="0" wrapText="1"/>
    </xf>
    <xf borderId="1" fillId="36" fontId="37" numFmtId="0" xfId="0" applyAlignment="1" applyBorder="1" applyFont="1">
      <alignment horizontal="center" shrinkToFit="0" wrapText="1"/>
    </xf>
    <xf borderId="1" fillId="21" fontId="45" numFmtId="0" xfId="0" applyAlignment="1" applyBorder="1" applyFont="1">
      <alignment horizontal="center" shrinkToFit="0" wrapText="1"/>
    </xf>
    <xf borderId="1" fillId="21" fontId="47" numFmtId="1" xfId="0" applyAlignment="1" applyBorder="1" applyFont="1" applyNumberFormat="1">
      <alignment horizontal="center" shrinkToFit="0" wrapText="1"/>
    </xf>
    <xf borderId="1" fillId="21" fontId="47" numFmtId="0" xfId="0" applyAlignment="1" applyBorder="1" applyFont="1">
      <alignment horizontal="center" shrinkToFit="0" wrapText="1"/>
    </xf>
    <xf borderId="1" fillId="21" fontId="47" numFmtId="14" xfId="0" applyAlignment="1" applyBorder="1" applyFont="1" applyNumberFormat="1">
      <alignment horizontal="center" shrinkToFit="0" wrapText="1"/>
    </xf>
    <xf borderId="1" fillId="36" fontId="6" numFmtId="178" xfId="0" applyAlignment="1" applyBorder="1" applyFont="1" applyNumberFormat="1">
      <alignment horizontal="center" shrinkToFit="0" wrapText="1"/>
    </xf>
    <xf borderId="1" fillId="43" fontId="6" numFmtId="4" xfId="0" applyAlignment="1" applyBorder="1" applyFont="1" applyNumberFormat="1">
      <alignment horizontal="center" shrinkToFit="0" wrapText="1"/>
    </xf>
    <xf borderId="1" fillId="48" fontId="6" numFmtId="178" xfId="0" applyAlignment="1" applyBorder="1" applyFont="1" applyNumberFormat="1">
      <alignment horizontal="center" shrinkToFit="0" wrapText="1"/>
    </xf>
    <xf borderId="1" fillId="48" fontId="6" numFmtId="4" xfId="0" applyAlignment="1" applyBorder="1" applyFont="1" applyNumberFormat="1">
      <alignment horizontal="center" shrinkToFit="0" wrapText="1"/>
    </xf>
    <xf borderId="1" fillId="47" fontId="6" numFmtId="178" xfId="0" applyAlignment="1" applyBorder="1" applyFont="1" applyNumberFormat="1">
      <alignment horizontal="center" shrinkToFit="0" wrapText="1"/>
    </xf>
    <xf borderId="1" fillId="43" fontId="6" numFmtId="178" xfId="0" applyAlignment="1" applyBorder="1" applyFont="1" applyNumberFormat="1">
      <alignment horizontal="center" shrinkToFit="0" wrapText="1"/>
    </xf>
    <xf borderId="1" fillId="49" fontId="6" numFmtId="0" xfId="0" applyBorder="1" applyFont="1"/>
    <xf borderId="1" fillId="0" fontId="6" numFmtId="1" xfId="0" applyBorder="1" applyFont="1" applyNumberFormat="1"/>
    <xf borderId="1" fillId="0" fontId="6" numFmtId="14" xfId="0" applyBorder="1" applyFont="1" applyNumberFormat="1"/>
    <xf borderId="1" fillId="0" fontId="6" numFmtId="3" xfId="0" applyBorder="1" applyFont="1" applyNumberFormat="1"/>
    <xf borderId="0" fillId="0" fontId="6" numFmtId="3" xfId="0" applyFont="1" applyNumberFormat="1"/>
    <xf borderId="0" fillId="0" fontId="5" numFmtId="1" xfId="0" applyFont="1" applyNumberFormat="1"/>
    <xf borderId="0" fillId="0" fontId="5" numFmtId="178" xfId="0" applyFont="1" applyNumberFormat="1"/>
    <xf borderId="0" fillId="0" fontId="5" numFmtId="3" xfId="0" applyFont="1" applyNumberFormat="1"/>
    <xf borderId="0" fillId="0" fontId="5" numFmtId="0" xfId="0" applyAlignment="1" applyFont="1">
      <alignment horizontal="left"/>
    </xf>
    <xf borderId="0" fillId="0" fontId="5" numFmtId="168" xfId="0" applyAlignment="1" applyFont="1" applyNumberFormat="1">
      <alignment horizontal="left"/>
    </xf>
    <xf borderId="0" fillId="0" fontId="5" numFmtId="177" xfId="0" applyFont="1" applyNumberFormat="1"/>
    <xf borderId="0" fillId="0" fontId="5" numFmtId="180" xfId="0" applyFont="1" applyNumberFormat="1"/>
    <xf borderId="0" fillId="0" fontId="48" numFmtId="0" xfId="0" applyAlignment="1" applyFont="1">
      <alignment horizontal="left" shrinkToFit="0" vertical="center" wrapText="1"/>
    </xf>
    <xf borderId="0" fillId="0" fontId="48" numFmtId="0" xfId="0" applyAlignment="1" applyFont="1">
      <alignment horizontal="left" readingOrder="0" shrinkToFit="0" vertical="center" wrapText="1"/>
    </xf>
    <xf borderId="0" fillId="0" fontId="49" numFmtId="0" xfId="0" applyAlignment="1" applyFont="1">
      <alignment shrinkToFit="0" vertical="center" wrapText="1"/>
    </xf>
    <xf borderId="0" fillId="0" fontId="48" numFmtId="0" xfId="0" applyAlignment="1" applyFont="1">
      <alignment shrinkToFit="0" wrapText="1"/>
    </xf>
    <xf borderId="0" fillId="0" fontId="6" numFmtId="0" xfId="0" applyAlignment="1" applyFont="1">
      <alignment shrinkToFit="0" vertical="center" wrapText="1"/>
    </xf>
    <xf borderId="0" fillId="0" fontId="50" numFmtId="0" xfId="0" applyAlignment="1" applyFont="1">
      <alignment horizontal="left" shrinkToFit="0" vertical="center" wrapText="1"/>
    </xf>
    <xf borderId="9" fillId="0" fontId="49" numFmtId="0" xfId="0" applyAlignment="1" applyBorder="1" applyFont="1">
      <alignment shrinkToFit="0" vertical="bottom" wrapText="1"/>
    </xf>
    <xf borderId="10" fillId="0" fontId="49" numFmtId="0" xfId="0" applyAlignment="1" applyBorder="1" applyFont="1">
      <alignment shrinkToFit="0" vertical="bottom" wrapText="1"/>
    </xf>
    <xf borderId="11" fillId="0" fontId="49" numFmtId="0" xfId="0" applyAlignment="1" applyBorder="1" applyFont="1">
      <alignment shrinkToFit="0" vertical="bottom" wrapText="1"/>
    </xf>
    <xf borderId="1" fillId="43" fontId="51" numFmtId="177" xfId="0" applyAlignment="1" applyBorder="1" applyFont="1" applyNumberFormat="1">
      <alignment horizontal="center" shrinkToFit="0" textRotation="0" vertical="bottom" wrapText="1"/>
    </xf>
    <xf borderId="1" fillId="0" fontId="48" numFmtId="0" xfId="0" applyAlignment="1" applyBorder="1" applyFont="1">
      <alignment horizontal="left" shrinkToFit="0" vertical="center" wrapText="1"/>
    </xf>
    <xf borderId="1" fillId="0" fontId="48" numFmtId="0" xfId="0" applyAlignment="1" applyBorder="1" applyFont="1">
      <alignment horizontal="left" readingOrder="0" shrinkToFit="0" vertical="center" wrapText="1"/>
    </xf>
    <xf borderId="1" fillId="0" fontId="49" numFmtId="0" xfId="0" applyAlignment="1" applyBorder="1" applyFont="1">
      <alignment horizontal="left" shrinkToFit="0" vertical="center" wrapText="1"/>
    </xf>
    <xf borderId="0" fillId="0" fontId="48" numFmtId="0" xfId="0" applyAlignment="1" applyFont="1">
      <alignment horizontal="left" shrinkToFit="0" wrapText="1"/>
    </xf>
    <xf borderId="1" fillId="24" fontId="48" numFmtId="0" xfId="0" applyAlignment="1" applyBorder="1" applyFont="1">
      <alignment horizontal="left" readingOrder="0" shrinkToFit="0" vertical="center" wrapText="1"/>
    </xf>
    <xf borderId="1" fillId="24" fontId="6" numFmtId="0" xfId="0" applyAlignment="1" applyBorder="1" applyFont="1">
      <alignment horizontal="left" shrinkToFit="0" vertical="center" wrapText="1"/>
    </xf>
    <xf borderId="1" fillId="0" fontId="50" numFmtId="0" xfId="0" applyAlignment="1" applyBorder="1" applyFont="1">
      <alignment horizontal="left" readingOrder="0" shrinkToFit="0" vertical="center" wrapText="1"/>
    </xf>
    <xf borderId="12" fillId="0" fontId="49" numFmtId="0" xfId="0" applyAlignment="1" applyBorder="1" applyFont="1">
      <alignment horizontal="left" shrinkToFit="0" vertical="bottom" wrapText="1"/>
    </xf>
    <xf borderId="13" fillId="0" fontId="49" numFmtId="0" xfId="0" applyAlignment="1" applyBorder="1" applyFont="1">
      <alignment horizontal="left" shrinkToFit="0" vertical="bottom" wrapText="1"/>
    </xf>
    <xf borderId="14" fillId="0" fontId="49" numFmtId="0" xfId="0" applyAlignment="1" applyBorder="1" applyFont="1">
      <alignment horizontal="left" shrinkToFit="0" vertical="bottom" wrapText="1"/>
    </xf>
    <xf borderId="1" fillId="43" fontId="51" numFmtId="0" xfId="0" applyAlignment="1" applyBorder="1" applyFont="1">
      <alignment horizontal="left" shrinkToFit="0" vertical="bottom" wrapText="1"/>
    </xf>
    <xf borderId="1" fillId="0" fontId="7" numFmtId="0" xfId="0" applyAlignment="1" applyBorder="1" applyFont="1">
      <alignment shrinkToFit="0" vertical="center" wrapText="1"/>
    </xf>
    <xf borderId="1" fillId="24" fontId="48" numFmtId="0" xfId="0" applyAlignment="1" applyBorder="1" applyFont="1">
      <alignment horizontal="left" shrinkToFit="0" vertical="center" wrapText="1"/>
    </xf>
    <xf borderId="1" fillId="24" fontId="48" numFmtId="0" xfId="0" applyAlignment="1" applyBorder="1" applyFont="1">
      <alignment horizontal="center" shrinkToFit="0" vertical="center" wrapText="1"/>
    </xf>
    <xf borderId="1" fillId="24" fontId="6" numFmtId="0" xfId="0" applyAlignment="1" applyBorder="1" applyFont="1">
      <alignment shrinkToFit="0" vertical="center" wrapText="1"/>
    </xf>
    <xf borderId="1" fillId="50" fontId="49" numFmtId="0" xfId="0" applyAlignment="1" applyBorder="1" applyFill="1" applyFont="1">
      <alignment shrinkToFit="0" vertical="bottom" wrapText="1"/>
    </xf>
    <xf borderId="0" fillId="50" fontId="49" numFmtId="0" xfId="0" applyAlignment="1" applyFont="1">
      <alignment horizontal="center" shrinkToFit="0" vertical="bottom" wrapText="1"/>
    </xf>
    <xf borderId="1" fillId="50" fontId="49" numFmtId="0" xfId="0" applyAlignment="1" applyBorder="1" applyFont="1">
      <alignment horizontal="center" shrinkToFit="0" vertical="bottom" wrapText="1"/>
    </xf>
    <xf borderId="1" fillId="50" fontId="51" numFmtId="0" xfId="0" applyAlignment="1" applyBorder="1" applyFont="1">
      <alignment horizontal="center" shrinkToFit="0" vertical="bottom" wrapText="1"/>
    </xf>
    <xf borderId="1" fillId="0" fontId="49" numFmtId="0" xfId="0" applyAlignment="1" applyBorder="1" applyFont="1">
      <alignment shrinkToFit="0" vertical="center" wrapText="1"/>
    </xf>
    <xf borderId="0" fillId="0" fontId="48" numFmtId="0" xfId="0" applyAlignment="1" applyFont="1">
      <alignment readingOrder="0" shrinkToFit="0" wrapText="1"/>
    </xf>
    <xf borderId="1" fillId="0" fontId="50" numFmtId="0" xfId="0" applyAlignment="1" applyBorder="1" applyFont="1">
      <alignment horizontal="left" shrinkToFit="0" vertical="center" wrapText="1"/>
    </xf>
    <xf borderId="1" fillId="0" fontId="52" numFmtId="0" xfId="0" applyAlignment="1" applyBorder="1" applyFont="1">
      <alignment horizontal="center" shrinkToFit="0" vertical="bottom" wrapText="1"/>
    </xf>
    <xf borderId="1" fillId="0" fontId="49" numFmtId="0" xfId="0" applyAlignment="1" applyBorder="1" applyFont="1">
      <alignment shrinkToFit="0" vertical="bottom" wrapText="1"/>
    </xf>
    <xf borderId="1" fillId="0" fontId="49" numFmtId="0" xfId="0" applyAlignment="1" applyBorder="1" applyFont="1">
      <alignment horizontal="right" shrinkToFit="0" vertical="bottom" wrapText="1"/>
    </xf>
    <xf borderId="1" fillId="24" fontId="6" numFmtId="0" xfId="0" applyAlignment="1" applyBorder="1" applyFont="1">
      <alignment shrinkToFit="0" vertical="center" wrapText="1"/>
    </xf>
    <xf borderId="0" fillId="0" fontId="49" numFmtId="0" xfId="0" applyAlignment="1" applyFont="1">
      <alignment shrinkToFit="0" vertical="center" wrapText="1"/>
    </xf>
    <xf borderId="15" fillId="51" fontId="53" numFmtId="0" xfId="0" applyAlignment="1" applyBorder="1" applyFill="1" applyFont="1">
      <alignment horizontal="center" readingOrder="0"/>
    </xf>
    <xf borderId="15" fillId="51" fontId="53" numFmtId="0" xfId="0" applyAlignment="1" applyBorder="1" applyFont="1">
      <alignment horizontal="center"/>
    </xf>
    <xf borderId="15" fillId="51" fontId="54" numFmtId="0" xfId="0" applyAlignment="1" applyBorder="1" applyFont="1">
      <alignment horizontal="center" readingOrder="0" vertical="center"/>
    </xf>
    <xf borderId="0" fillId="21" fontId="47" numFmtId="0" xfId="0" applyAlignment="1" applyFont="1">
      <alignment readingOrder="0"/>
    </xf>
    <xf borderId="1" fillId="0" fontId="5" numFmtId="0" xfId="0" applyAlignment="1" applyBorder="1" applyFont="1">
      <alignment shrinkToFit="0" wrapText="1"/>
    </xf>
    <xf borderId="1" fillId="24" fontId="47" numFmtId="0" xfId="0" applyAlignment="1" applyBorder="1" applyFont="1">
      <alignment shrinkToFit="0" vertical="bottom" wrapText="1"/>
    </xf>
    <xf borderId="1" fillId="43" fontId="55" numFmtId="0" xfId="0" applyAlignment="1" applyBorder="1" applyFont="1">
      <alignment shrinkToFit="0" vertical="bottom" wrapText="1"/>
    </xf>
    <xf borderId="1" fillId="43" fontId="56" numFmtId="0" xfId="0" applyAlignment="1" applyBorder="1" applyFont="1">
      <alignment shrinkToFit="0" vertical="bottom" wrapText="1"/>
    </xf>
    <xf borderId="0" fillId="24" fontId="47" numFmtId="0" xfId="0" applyAlignment="1" applyFont="1">
      <alignment shrinkToFit="0" vertical="bottom" wrapText="1"/>
    </xf>
    <xf borderId="1" fillId="24" fontId="47" numFmtId="0" xfId="0" applyAlignment="1" applyBorder="1" applyFont="1">
      <alignment horizontal="right" shrinkToFit="0" vertical="bottom" wrapText="1"/>
    </xf>
    <xf borderId="1" fillId="43" fontId="55" numFmtId="0" xfId="0" applyAlignment="1" applyBorder="1" applyFont="1">
      <alignment horizontal="right" shrinkToFit="0" vertical="bottom" wrapText="1"/>
    </xf>
    <xf borderId="0" fillId="24" fontId="47" numFmtId="0" xfId="0" applyAlignment="1" applyFont="1">
      <alignment horizontal="right" shrinkToFit="0" vertical="bottom" wrapText="1"/>
    </xf>
    <xf borderId="1" fillId="0" fontId="5" numFmtId="168" xfId="0" applyAlignment="1" applyBorder="1" applyFont="1" applyNumberFormat="1">
      <alignment shrinkToFit="0" wrapText="1"/>
    </xf>
    <xf borderId="1" fillId="0" fontId="5" numFmtId="177" xfId="0" applyAlignment="1" applyBorder="1" applyFont="1" applyNumberFormat="1">
      <alignment shrinkToFit="0" wrapText="1"/>
    </xf>
    <xf borderId="1" fillId="0" fontId="5" numFmtId="0" xfId="0" applyAlignment="1" applyBorder="1" applyFont="1">
      <alignment horizontal="left"/>
    </xf>
    <xf borderId="1" fillId="0" fontId="5" numFmtId="14" xfId="0" applyAlignment="1" applyBorder="1" applyFont="1" applyNumberFormat="1">
      <alignment horizontal="left"/>
    </xf>
    <xf borderId="1" fillId="0" fontId="5" numFmtId="0" xfId="0" applyBorder="1" applyFont="1"/>
    <xf borderId="1" fillId="0" fontId="5" numFmtId="0" xfId="0" applyAlignment="1" applyBorder="1" applyFont="1">
      <alignment readingOrder="0"/>
    </xf>
    <xf borderId="1" fillId="0" fontId="5" numFmtId="168" xfId="0" applyBorder="1" applyFont="1" applyNumberFormat="1"/>
    <xf borderId="1" fillId="0" fontId="5" numFmtId="177" xfId="0" applyBorder="1" applyFont="1" applyNumberFormat="1"/>
    <xf borderId="0" fillId="19" fontId="57" numFmtId="0" xfId="0" applyAlignment="1" applyFont="1">
      <alignment horizontal="center" readingOrder="0" vertical="center"/>
    </xf>
    <xf borderId="16" fillId="52" fontId="58" numFmtId="0" xfId="0" applyAlignment="1" applyBorder="1" applyFill="1" applyFont="1">
      <alignment horizontal="center" readingOrder="0" vertical="center"/>
    </xf>
    <xf borderId="17" fillId="0" fontId="8" numFmtId="0" xfId="0" applyBorder="1" applyFont="1"/>
    <xf borderId="0" fillId="53" fontId="59" numFmtId="0" xfId="0" applyAlignment="1" applyFill="1" applyFont="1">
      <alignment horizontal="center" readingOrder="0" vertical="center"/>
    </xf>
    <xf borderId="18" fillId="0" fontId="8" numFmtId="0" xfId="0" applyBorder="1" applyFont="1"/>
    <xf borderId="19" fillId="0" fontId="8" numFmtId="0" xfId="0" applyBorder="1" applyFont="1"/>
    <xf borderId="0" fillId="54" fontId="4" numFmtId="0" xfId="0" applyAlignment="1" applyFill="1" applyFont="1">
      <alignment horizontal="center" readingOrder="0" vertical="center"/>
    </xf>
    <xf borderId="0" fillId="55" fontId="60" numFmtId="0" xfId="0" applyAlignment="1" applyFill="1" applyFont="1">
      <alignment horizontal="center" readingOrder="0" vertical="center"/>
    </xf>
    <xf borderId="15" fillId="21" fontId="5" numFmtId="0" xfId="0" applyAlignment="1" applyBorder="1" applyFont="1">
      <alignment readingOrder="0" vertical="center"/>
    </xf>
    <xf borderId="15" fillId="21" fontId="61" numFmtId="0" xfId="0" applyAlignment="1" applyBorder="1" applyFont="1">
      <alignment horizontal="left" vertical="center"/>
    </xf>
    <xf borderId="15" fillId="20" fontId="62" numFmtId="0" xfId="0" applyAlignment="1" applyBorder="1" applyFont="1">
      <alignment horizontal="left" readingOrder="0" shrinkToFit="0" vertical="center" wrapText="1"/>
    </xf>
    <xf borderId="15" fillId="56" fontId="63" numFmtId="0" xfId="0" applyAlignment="1" applyBorder="1" applyFill="1" applyFont="1">
      <alignment horizontal="center" readingOrder="0" vertical="center"/>
    </xf>
    <xf borderId="0" fillId="3" fontId="9" numFmtId="0" xfId="0" applyAlignment="1" applyFont="1">
      <alignment horizontal="center" readingOrder="0"/>
    </xf>
    <xf borderId="0" fillId="56" fontId="5" numFmtId="0" xfId="0" applyAlignment="1" applyFont="1">
      <alignment readingOrder="0"/>
    </xf>
    <xf borderId="0" fillId="56" fontId="9" numFmtId="0" xfId="0" applyAlignment="1" applyFont="1">
      <alignment horizontal="center"/>
    </xf>
    <xf borderId="15" fillId="20" fontId="61" numFmtId="0" xfId="0" applyAlignment="1" applyBorder="1" applyFont="1">
      <alignment horizontal="left" vertical="center"/>
    </xf>
    <xf borderId="0" fillId="51" fontId="5" numFmtId="0" xfId="0" applyAlignment="1" applyFont="1">
      <alignment readingOrder="0"/>
    </xf>
    <xf borderId="0" fillId="51" fontId="9" numFmtId="0" xfId="0" applyAlignment="1" applyFont="1">
      <alignment horizontal="center"/>
    </xf>
    <xf borderId="15" fillId="57" fontId="64" numFmtId="0" xfId="0" applyAlignment="1" applyBorder="1" applyFill="1" applyFont="1">
      <alignment horizontal="center" readingOrder="0" vertical="center"/>
    </xf>
    <xf borderId="0" fillId="53" fontId="5" numFmtId="0" xfId="0" applyAlignment="1" applyFont="1">
      <alignment readingOrder="0"/>
    </xf>
    <xf borderId="0" fillId="53" fontId="9" numFmtId="0" xfId="0" applyAlignment="1" applyFont="1">
      <alignment horizontal="center"/>
    </xf>
    <xf borderId="15" fillId="21" fontId="5" numFmtId="0" xfId="0" applyAlignment="1" applyBorder="1" applyFont="1">
      <alignment readingOrder="0" vertical="center"/>
    </xf>
    <xf borderId="15" fillId="20" fontId="5" numFmtId="0" xfId="0" applyAlignment="1" applyBorder="1" applyFont="1">
      <alignment readingOrder="0" vertical="center"/>
    </xf>
    <xf borderId="15" fillId="20" fontId="65" numFmtId="0" xfId="0" applyAlignment="1" applyBorder="1" applyFont="1">
      <alignment horizontal="center" vertical="center"/>
    </xf>
    <xf borderId="15" fillId="21" fontId="65" numFmtId="0" xfId="0" applyAlignment="1" applyBorder="1" applyFont="1">
      <alignment horizontal="center" vertical="center"/>
    </xf>
    <xf borderId="15" fillId="20" fontId="62" numFmtId="0" xfId="0" applyAlignment="1" applyBorder="1" applyFont="1">
      <alignment horizontal="left" shrinkToFit="0" vertical="center" wrapText="1"/>
    </xf>
    <xf borderId="15" fillId="21" fontId="0" numFmtId="0" xfId="0" applyAlignment="1" applyBorder="1" applyFont="1">
      <alignment horizontal="center" vertical="center"/>
    </xf>
    <xf borderId="15" fillId="21" fontId="62" numFmtId="0" xfId="0" applyAlignment="1" applyBorder="1" applyFont="1">
      <alignment horizontal="left" shrinkToFit="0" vertical="center" wrapText="1"/>
    </xf>
  </cellXfs>
  <cellStyles count="1">
    <cellStyle xfId="0" name="Normal" builtinId="0"/>
  </cellStyles>
  <dxfs count="4">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s>
  <tableStyles count="1">
    <tableStyle count="3" pivot="0" name="Progress Team Task and WO-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H29" displayName="Table_1" name="Table_1" id="1">
  <tableColumns count="8">
    <tableColumn name="Total Site" id="1"/>
    <tableColumn name="No" id="2"/>
    <tableColumn name="Export time: 02/07/2026 16:57:20" id="3"/>
    <tableColumn name="T1" id="4"/>
    <tableColumn name="T2" id="5"/>
    <tableColumn name="T3" id="6"/>
    <tableColumn name="T4" id="7"/>
    <tableColumn name="T5" id="8"/>
  </tableColumns>
  <tableStyleInfo name="Progress Team Task and W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mUaUHxv4pS4DA2UgpjdcrBi66RLdKHf9/view" TargetMode="External"/><Relationship Id="rId2" Type="http://schemas.openxmlformats.org/officeDocument/2006/relationships/hyperlink" Target="https://drive.google.com/file/d/1pw7e-qjWKkwKQjEafSztRGAll3hdtTY6/view" TargetMode="External"/><Relationship Id="rId3" Type="http://schemas.openxmlformats.org/officeDocument/2006/relationships/hyperlink" Target="https://drive.google.com/file/d/1pNoK2ce62NGQB6JvipRUg0POQRKDJ6R4/view" TargetMode="External"/><Relationship Id="rId4" Type="http://schemas.openxmlformats.org/officeDocument/2006/relationships/hyperlink" Target="https://drive.google.com/file/d/106idWD_vFyPUrLc4uuJLpGenMrBlKFBs/view" TargetMode="External"/><Relationship Id="rId10" Type="http://schemas.openxmlformats.org/officeDocument/2006/relationships/drawing" Target="../drawings/drawing15.xml"/><Relationship Id="rId9" Type="http://schemas.openxmlformats.org/officeDocument/2006/relationships/hyperlink" Target="https://drive.google.com/file/d/12WH0AJtyVCrhc_ySMF3QdbozF4ThD4Hq/view" TargetMode="External"/><Relationship Id="rId5" Type="http://schemas.openxmlformats.org/officeDocument/2006/relationships/hyperlink" Target="https://drive.google.com/file/d/1HdzxxWTa_daZI7BOfFAmA678Wz7DsEZl/view" TargetMode="External"/><Relationship Id="rId6" Type="http://schemas.openxmlformats.org/officeDocument/2006/relationships/hyperlink" Target="https://drive.google.com/file/d/1ochxqy62Yq16qn8CBUTxp7b6gqCK-AqP/view" TargetMode="External"/><Relationship Id="rId7" Type="http://schemas.openxmlformats.org/officeDocument/2006/relationships/hyperlink" Target="https://drive.google.com/file/d/18iR0KF5qto-OrmjeN5KK7l7cRM4zxLTi/view" TargetMode="External"/><Relationship Id="rId8" Type="http://schemas.openxmlformats.org/officeDocument/2006/relationships/hyperlink" Target="https://drive.google.com/file/d/1pvjKB3BMny0yZY_CeJ1SCM_843fhxK8-/view"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38"/>
    <col customWidth="1" min="2" max="3" width="25.13"/>
    <col customWidth="1" min="4" max="4" width="15.13"/>
    <col customWidth="1" min="5" max="5" width="23.88"/>
    <col customWidth="1" min="6" max="7" width="9.5"/>
    <col customWidth="1" min="8" max="10" width="11.38"/>
    <col customWidth="1" min="11" max="11" width="10.13"/>
    <col customWidth="1" min="12" max="12" width="11.38"/>
  </cols>
  <sheetData>
    <row r="1" ht="33.0" customHeight="1">
      <c r="A1" s="1" t="s">
        <v>0</v>
      </c>
    </row>
    <row r="2" ht="19.5" customHeight="1">
      <c r="A2" s="2" t="s">
        <v>1</v>
      </c>
    </row>
    <row r="3" ht="19.5" customHeight="1">
      <c r="A3" s="3" t="s">
        <v>2</v>
      </c>
    </row>
    <row r="4">
      <c r="A4" s="4"/>
      <c r="B4" s="4"/>
      <c r="C4" s="4"/>
      <c r="D4" s="4"/>
      <c r="E4" s="4"/>
      <c r="F4" s="4"/>
      <c r="G4" s="4"/>
      <c r="H4" s="4"/>
      <c r="I4" s="4"/>
      <c r="J4" s="4"/>
      <c r="K4" s="4"/>
      <c r="L4" s="4"/>
    </row>
    <row r="5">
      <c r="A5" s="5" t="s">
        <v>3</v>
      </c>
    </row>
    <row r="6">
      <c r="A6" s="6" t="s">
        <v>4</v>
      </c>
      <c r="B6" s="6" t="s">
        <v>5</v>
      </c>
      <c r="C6" s="6" t="s">
        <v>6</v>
      </c>
      <c r="D6" s="6" t="s">
        <v>7</v>
      </c>
      <c r="E6" s="6" t="s">
        <v>8</v>
      </c>
      <c r="F6" s="6" t="s">
        <v>9</v>
      </c>
      <c r="G6" s="6" t="s">
        <v>10</v>
      </c>
      <c r="H6" s="6" t="s">
        <v>11</v>
      </c>
      <c r="I6" s="6" t="s">
        <v>12</v>
      </c>
      <c r="J6" s="6" t="s">
        <v>13</v>
      </c>
      <c r="K6" s="7"/>
      <c r="L6" s="7"/>
    </row>
    <row r="7">
      <c r="A7" s="8">
        <v>1.0</v>
      </c>
      <c r="B7" s="9" t="s">
        <v>14</v>
      </c>
      <c r="C7" s="9" t="s">
        <v>15</v>
      </c>
      <c r="D7" s="9" t="s">
        <v>16</v>
      </c>
      <c r="E7" s="9" t="s">
        <v>17</v>
      </c>
      <c r="F7" s="8">
        <v>0.0</v>
      </c>
      <c r="G7" s="8">
        <v>0.0</v>
      </c>
      <c r="H7" s="8">
        <v>0.0</v>
      </c>
      <c r="I7" s="8">
        <v>0.0</v>
      </c>
      <c r="J7" s="8">
        <v>0.0</v>
      </c>
      <c r="K7" s="4"/>
      <c r="L7" s="4"/>
    </row>
    <row r="8">
      <c r="A8" s="8">
        <v>2.0</v>
      </c>
      <c r="B8" s="9" t="s">
        <v>18</v>
      </c>
      <c r="C8" s="9" t="s">
        <v>15</v>
      </c>
      <c r="D8" s="9" t="s">
        <v>16</v>
      </c>
      <c r="E8" s="9" t="s">
        <v>17</v>
      </c>
      <c r="F8" s="8">
        <v>0.0</v>
      </c>
      <c r="G8" s="8">
        <v>0.0</v>
      </c>
      <c r="H8" s="8">
        <v>0.0</v>
      </c>
      <c r="I8" s="8">
        <v>0.0</v>
      </c>
      <c r="J8" s="8">
        <v>0.0</v>
      </c>
      <c r="K8" s="4"/>
      <c r="L8" s="4"/>
    </row>
    <row r="9">
      <c r="A9" s="8">
        <v>3.0</v>
      </c>
      <c r="B9" s="9" t="s">
        <v>19</v>
      </c>
      <c r="C9" s="9" t="s">
        <v>15</v>
      </c>
      <c r="D9" s="9" t="s">
        <v>16</v>
      </c>
      <c r="E9" s="9" t="s">
        <v>17</v>
      </c>
      <c r="F9" s="8">
        <v>0.0</v>
      </c>
      <c r="G9" s="8">
        <v>0.0</v>
      </c>
      <c r="H9" s="8">
        <v>0.0</v>
      </c>
      <c r="I9" s="8">
        <v>0.0</v>
      </c>
      <c r="J9" s="8">
        <v>0.0</v>
      </c>
      <c r="K9" s="4"/>
      <c r="L9" s="4"/>
    </row>
    <row r="10">
      <c r="A10" s="8">
        <v>4.0</v>
      </c>
      <c r="B10" s="9" t="s">
        <v>20</v>
      </c>
      <c r="C10" s="9" t="s">
        <v>15</v>
      </c>
      <c r="D10" s="9" t="s">
        <v>16</v>
      </c>
      <c r="E10" s="9" t="s">
        <v>17</v>
      </c>
      <c r="F10" s="8">
        <v>0.0</v>
      </c>
      <c r="G10" s="8">
        <v>0.0</v>
      </c>
      <c r="H10" s="8">
        <v>0.0</v>
      </c>
      <c r="I10" s="8">
        <v>0.0</v>
      </c>
      <c r="J10" s="8">
        <v>0.0</v>
      </c>
      <c r="K10" s="4"/>
      <c r="L10" s="4"/>
    </row>
    <row r="11">
      <c r="A11" s="8">
        <v>5.0</v>
      </c>
      <c r="B11" s="9" t="s">
        <v>21</v>
      </c>
      <c r="C11" s="9" t="s">
        <v>15</v>
      </c>
      <c r="D11" s="9" t="s">
        <v>16</v>
      </c>
      <c r="E11" s="9" t="s">
        <v>17</v>
      </c>
      <c r="F11" s="8">
        <v>0.0</v>
      </c>
      <c r="G11" s="8">
        <v>0.0</v>
      </c>
      <c r="H11" s="8">
        <v>0.0</v>
      </c>
      <c r="I11" s="8">
        <v>0.0</v>
      </c>
      <c r="J11" s="8">
        <v>0.0</v>
      </c>
      <c r="K11" s="4"/>
      <c r="L11" s="4"/>
    </row>
    <row r="12">
      <c r="A12" s="8">
        <v>6.0</v>
      </c>
      <c r="B12" s="9" t="s">
        <v>22</v>
      </c>
      <c r="C12" s="9" t="s">
        <v>23</v>
      </c>
      <c r="D12" s="9" t="s">
        <v>16</v>
      </c>
      <c r="E12" s="9" t="s">
        <v>17</v>
      </c>
      <c r="F12" s="8">
        <v>0.0</v>
      </c>
      <c r="G12" s="8">
        <v>0.0</v>
      </c>
      <c r="H12" s="8">
        <v>0.0</v>
      </c>
      <c r="I12" s="8">
        <v>0.0</v>
      </c>
      <c r="J12" s="8">
        <v>0.0</v>
      </c>
      <c r="K12" s="4"/>
      <c r="L12" s="4"/>
    </row>
    <row r="13">
      <c r="A13" s="8">
        <v>7.0</v>
      </c>
      <c r="B13" s="9" t="s">
        <v>24</v>
      </c>
      <c r="C13" s="9" t="s">
        <v>23</v>
      </c>
      <c r="D13" s="9" t="s">
        <v>16</v>
      </c>
      <c r="E13" s="9" t="s">
        <v>17</v>
      </c>
      <c r="F13" s="8">
        <v>0.0</v>
      </c>
      <c r="G13" s="8">
        <v>0.0</v>
      </c>
      <c r="H13" s="8">
        <v>0.0</v>
      </c>
      <c r="I13" s="8">
        <v>0.0</v>
      </c>
      <c r="J13" s="8">
        <v>0.0</v>
      </c>
      <c r="K13" s="4"/>
      <c r="L13" s="4"/>
    </row>
    <row r="14">
      <c r="A14" s="8">
        <v>8.0</v>
      </c>
      <c r="B14" s="9" t="s">
        <v>25</v>
      </c>
      <c r="C14" s="9" t="s">
        <v>23</v>
      </c>
      <c r="D14" s="9" t="s">
        <v>16</v>
      </c>
      <c r="E14" s="9" t="s">
        <v>17</v>
      </c>
      <c r="F14" s="8">
        <v>0.0</v>
      </c>
      <c r="G14" s="8">
        <v>0.0</v>
      </c>
      <c r="H14" s="8">
        <v>0.0</v>
      </c>
      <c r="I14" s="8">
        <v>0.0</v>
      </c>
      <c r="J14" s="8">
        <v>0.0</v>
      </c>
      <c r="K14" s="4"/>
      <c r="L14" s="4"/>
    </row>
    <row r="15">
      <c r="A15" s="8">
        <v>9.0</v>
      </c>
      <c r="B15" s="9" t="s">
        <v>26</v>
      </c>
      <c r="C15" s="9" t="s">
        <v>23</v>
      </c>
      <c r="D15" s="9" t="s">
        <v>16</v>
      </c>
      <c r="E15" s="9" t="s">
        <v>17</v>
      </c>
      <c r="F15" s="8">
        <v>0.0</v>
      </c>
      <c r="G15" s="8">
        <v>0.0</v>
      </c>
      <c r="H15" s="8">
        <v>0.0</v>
      </c>
      <c r="I15" s="8">
        <v>0.0</v>
      </c>
      <c r="J15" s="8">
        <v>0.0</v>
      </c>
      <c r="K15" s="4"/>
      <c r="L15" s="4"/>
    </row>
    <row r="16">
      <c r="A16" s="8">
        <v>10.0</v>
      </c>
      <c r="B16" s="9" t="s">
        <v>27</v>
      </c>
      <c r="C16" s="9" t="s">
        <v>23</v>
      </c>
      <c r="D16" s="9" t="s">
        <v>16</v>
      </c>
      <c r="E16" s="9" t="s">
        <v>17</v>
      </c>
      <c r="F16" s="8">
        <v>0.0</v>
      </c>
      <c r="G16" s="8">
        <v>0.0</v>
      </c>
      <c r="H16" s="8">
        <v>0.0</v>
      </c>
      <c r="I16" s="8">
        <v>0.0</v>
      </c>
      <c r="J16" s="8">
        <v>0.0</v>
      </c>
      <c r="K16" s="4"/>
      <c r="L16" s="4"/>
    </row>
    <row r="17">
      <c r="A17" s="8">
        <v>11.0</v>
      </c>
      <c r="B17" s="9" t="s">
        <v>28</v>
      </c>
      <c r="C17" s="9" t="s">
        <v>29</v>
      </c>
      <c r="D17" s="9" t="s">
        <v>16</v>
      </c>
      <c r="E17" s="9" t="s">
        <v>17</v>
      </c>
      <c r="F17" s="8">
        <v>0.0</v>
      </c>
      <c r="G17" s="8">
        <v>0.0</v>
      </c>
      <c r="H17" s="8">
        <v>0.0</v>
      </c>
      <c r="I17" s="8">
        <v>0.0</v>
      </c>
      <c r="J17" s="8">
        <v>0.0</v>
      </c>
      <c r="K17" s="4"/>
      <c r="L17" s="4"/>
    </row>
    <row r="18">
      <c r="A18" s="8">
        <v>12.0</v>
      </c>
      <c r="B18" s="9" t="s">
        <v>30</v>
      </c>
      <c r="C18" s="9" t="s">
        <v>31</v>
      </c>
      <c r="D18" s="9" t="s">
        <v>16</v>
      </c>
      <c r="E18" s="9" t="s">
        <v>17</v>
      </c>
      <c r="F18" s="8">
        <v>0.0</v>
      </c>
      <c r="G18" s="8">
        <v>0.0</v>
      </c>
      <c r="H18" s="8">
        <v>0.0</v>
      </c>
      <c r="I18" s="8">
        <v>0.0</v>
      </c>
      <c r="J18" s="8">
        <v>0.0</v>
      </c>
      <c r="K18" s="4"/>
      <c r="L18" s="4"/>
    </row>
    <row r="19">
      <c r="A19" s="8">
        <v>13.0</v>
      </c>
      <c r="B19" s="9" t="s">
        <v>32</v>
      </c>
      <c r="C19" s="9" t="s">
        <v>29</v>
      </c>
      <c r="D19" s="9" t="s">
        <v>16</v>
      </c>
      <c r="E19" s="9" t="s">
        <v>17</v>
      </c>
      <c r="F19" s="8">
        <v>0.0</v>
      </c>
      <c r="G19" s="8">
        <v>0.0</v>
      </c>
      <c r="H19" s="8">
        <v>0.0</v>
      </c>
      <c r="I19" s="8">
        <v>0.0</v>
      </c>
      <c r="J19" s="8">
        <v>0.0</v>
      </c>
      <c r="K19" s="4"/>
      <c r="L19" s="4"/>
    </row>
    <row r="20">
      <c r="A20" s="8">
        <v>14.0</v>
      </c>
      <c r="B20" s="9" t="s">
        <v>33</v>
      </c>
      <c r="C20" s="9" t="s">
        <v>31</v>
      </c>
      <c r="D20" s="9" t="s">
        <v>16</v>
      </c>
      <c r="E20" s="9" t="s">
        <v>17</v>
      </c>
      <c r="F20" s="8">
        <v>0.0</v>
      </c>
      <c r="G20" s="8">
        <v>0.0</v>
      </c>
      <c r="H20" s="8">
        <v>0.0</v>
      </c>
      <c r="I20" s="8">
        <v>0.0</v>
      </c>
      <c r="J20" s="8">
        <v>0.0</v>
      </c>
      <c r="K20" s="4"/>
      <c r="L20" s="4"/>
    </row>
    <row r="21">
      <c r="A21" s="8">
        <v>15.0</v>
      </c>
      <c r="B21" s="9" t="s">
        <v>34</v>
      </c>
      <c r="C21" s="9" t="s">
        <v>31</v>
      </c>
      <c r="D21" s="9" t="s">
        <v>16</v>
      </c>
      <c r="E21" s="9" t="s">
        <v>17</v>
      </c>
      <c r="F21" s="8">
        <v>0.0</v>
      </c>
      <c r="G21" s="8">
        <v>0.0</v>
      </c>
      <c r="H21" s="8">
        <v>0.0</v>
      </c>
      <c r="I21" s="8">
        <v>0.0</v>
      </c>
      <c r="J21" s="8">
        <v>0.0</v>
      </c>
      <c r="K21" s="4"/>
      <c r="L21" s="4"/>
    </row>
    <row r="22">
      <c r="A22" s="10">
        <v>16.0</v>
      </c>
      <c r="B22" s="11" t="s">
        <v>35</v>
      </c>
      <c r="C22" s="11" t="s">
        <v>15</v>
      </c>
      <c r="D22" s="11" t="s">
        <v>36</v>
      </c>
      <c r="E22" s="11" t="s">
        <v>17</v>
      </c>
      <c r="F22" s="10">
        <v>0.0</v>
      </c>
      <c r="G22" s="10">
        <v>0.0</v>
      </c>
      <c r="H22" s="10">
        <v>0.0</v>
      </c>
      <c r="I22" s="10">
        <v>0.0</v>
      </c>
      <c r="J22" s="10">
        <v>0.0</v>
      </c>
      <c r="K22" s="12"/>
      <c r="L22" s="12"/>
    </row>
    <row r="23">
      <c r="A23" s="10">
        <v>17.0</v>
      </c>
      <c r="B23" s="11" t="s">
        <v>37</v>
      </c>
      <c r="C23" s="11" t="s">
        <v>23</v>
      </c>
      <c r="D23" s="11" t="s">
        <v>36</v>
      </c>
      <c r="E23" s="11" t="s">
        <v>17</v>
      </c>
      <c r="F23" s="10">
        <v>0.0</v>
      </c>
      <c r="G23" s="10">
        <v>0.0</v>
      </c>
      <c r="H23" s="10">
        <v>0.0</v>
      </c>
      <c r="I23" s="10">
        <v>0.0</v>
      </c>
      <c r="J23" s="10">
        <v>0.0</v>
      </c>
      <c r="K23" s="12"/>
      <c r="L23" s="12"/>
    </row>
    <row r="24">
      <c r="A24" s="10">
        <v>18.0</v>
      </c>
      <c r="B24" s="11" t="s">
        <v>38</v>
      </c>
      <c r="C24" s="11" t="s">
        <v>29</v>
      </c>
      <c r="D24" s="11" t="s">
        <v>36</v>
      </c>
      <c r="E24" s="11" t="s">
        <v>17</v>
      </c>
      <c r="F24" s="10">
        <v>0.0</v>
      </c>
      <c r="G24" s="10">
        <v>0.0</v>
      </c>
      <c r="H24" s="10">
        <v>0.0</v>
      </c>
      <c r="I24" s="10">
        <v>0.0</v>
      </c>
      <c r="J24" s="10">
        <v>0.0</v>
      </c>
      <c r="K24" s="12"/>
      <c r="L24" s="12"/>
    </row>
    <row r="25">
      <c r="A25" s="10">
        <v>19.0</v>
      </c>
      <c r="B25" s="11" t="s">
        <v>39</v>
      </c>
      <c r="C25" s="11" t="s">
        <v>31</v>
      </c>
      <c r="D25" s="11" t="s">
        <v>36</v>
      </c>
      <c r="E25" s="11" t="s">
        <v>17</v>
      </c>
      <c r="F25" s="10">
        <v>0.0</v>
      </c>
      <c r="G25" s="10">
        <v>0.0</v>
      </c>
      <c r="H25" s="10">
        <v>0.0</v>
      </c>
      <c r="I25" s="10">
        <v>0.0</v>
      </c>
      <c r="J25" s="10">
        <v>0.0</v>
      </c>
      <c r="K25" s="12"/>
      <c r="L25" s="12"/>
    </row>
    <row r="26">
      <c r="A26" s="13" t="s">
        <v>40</v>
      </c>
      <c r="B26" s="14"/>
      <c r="C26" s="14"/>
      <c r="D26" s="14"/>
      <c r="E26" s="14"/>
      <c r="F26" s="14">
        <f t="shared" ref="F26:J26" si="1">SUM(F7:F25)</f>
        <v>0</v>
      </c>
      <c r="G26" s="14">
        <f t="shared" si="1"/>
        <v>0</v>
      </c>
      <c r="H26" s="14">
        <f t="shared" si="1"/>
        <v>0</v>
      </c>
      <c r="I26" s="14">
        <f t="shared" si="1"/>
        <v>0</v>
      </c>
      <c r="J26" s="14">
        <f t="shared" si="1"/>
        <v>0</v>
      </c>
      <c r="K26" s="14"/>
      <c r="L26" s="14"/>
    </row>
    <row r="27">
      <c r="A27" s="4"/>
      <c r="B27" s="4"/>
      <c r="C27" s="4"/>
      <c r="D27" s="4"/>
      <c r="E27" s="4"/>
      <c r="F27" s="4"/>
      <c r="G27" s="4"/>
      <c r="H27" s="4"/>
      <c r="I27" s="4"/>
      <c r="J27" s="4"/>
      <c r="K27" s="4"/>
      <c r="L27" s="4"/>
    </row>
    <row r="28">
      <c r="A28" s="15" t="s">
        <v>41</v>
      </c>
    </row>
    <row r="29">
      <c r="A29" s="16" t="s">
        <v>4</v>
      </c>
      <c r="B29" s="16" t="s">
        <v>42</v>
      </c>
      <c r="C29" s="16" t="s">
        <v>43</v>
      </c>
      <c r="D29" s="16" t="s">
        <v>8</v>
      </c>
      <c r="E29" s="16" t="s">
        <v>9</v>
      </c>
      <c r="F29" s="16" t="s">
        <v>10</v>
      </c>
      <c r="G29" s="16" t="s">
        <v>11</v>
      </c>
      <c r="H29" s="16" t="s">
        <v>12</v>
      </c>
      <c r="I29" s="16" t="s">
        <v>13</v>
      </c>
      <c r="J29" s="17"/>
      <c r="K29" s="17"/>
      <c r="L29" s="17"/>
    </row>
    <row r="30">
      <c r="A30" s="8">
        <v>1.0</v>
      </c>
      <c r="B30" s="9" t="s">
        <v>15</v>
      </c>
      <c r="C30" s="8">
        <v>6.0</v>
      </c>
      <c r="D30" s="9" t="s">
        <v>17</v>
      </c>
      <c r="E30" s="8">
        <v>0.0</v>
      </c>
      <c r="F30" s="8">
        <v>0.0</v>
      </c>
      <c r="G30" s="8">
        <v>0.0</v>
      </c>
      <c r="H30" s="8">
        <v>0.0</v>
      </c>
      <c r="I30" s="8">
        <v>0.0</v>
      </c>
      <c r="J30" s="4"/>
      <c r="K30" s="4"/>
      <c r="L30" s="4"/>
    </row>
    <row r="31">
      <c r="A31" s="8">
        <v>2.0</v>
      </c>
      <c r="B31" s="9" t="s">
        <v>23</v>
      </c>
      <c r="C31" s="8">
        <v>6.0</v>
      </c>
      <c r="D31" s="9" t="s">
        <v>17</v>
      </c>
      <c r="E31" s="8">
        <v>0.0</v>
      </c>
      <c r="F31" s="8">
        <v>0.0</v>
      </c>
      <c r="G31" s="8">
        <v>0.0</v>
      </c>
      <c r="H31" s="8">
        <v>0.0</v>
      </c>
      <c r="I31" s="8">
        <v>0.0</v>
      </c>
      <c r="J31" s="4"/>
      <c r="K31" s="4"/>
      <c r="L31" s="4"/>
    </row>
    <row r="32">
      <c r="A32" s="8">
        <v>3.0</v>
      </c>
      <c r="B32" s="9" t="s">
        <v>29</v>
      </c>
      <c r="C32" s="8">
        <v>3.0</v>
      </c>
      <c r="D32" s="9" t="s">
        <v>17</v>
      </c>
      <c r="E32" s="8">
        <v>0.0</v>
      </c>
      <c r="F32" s="8">
        <v>0.0</v>
      </c>
      <c r="G32" s="8">
        <v>0.0</v>
      </c>
      <c r="H32" s="8">
        <v>0.0</v>
      </c>
      <c r="I32" s="8">
        <v>0.0</v>
      </c>
      <c r="J32" s="4"/>
      <c r="K32" s="4"/>
      <c r="L32" s="4"/>
    </row>
    <row r="33">
      <c r="A33" s="8">
        <v>4.0</v>
      </c>
      <c r="B33" s="9" t="s">
        <v>31</v>
      </c>
      <c r="C33" s="8">
        <v>4.0</v>
      </c>
      <c r="D33" s="9" t="s">
        <v>17</v>
      </c>
      <c r="E33" s="8">
        <v>0.0</v>
      </c>
      <c r="F33" s="8">
        <v>0.0</v>
      </c>
      <c r="G33" s="8">
        <v>0.0</v>
      </c>
      <c r="H33" s="8">
        <v>0.0</v>
      </c>
      <c r="I33" s="8">
        <v>0.0</v>
      </c>
      <c r="J33" s="4"/>
      <c r="K33" s="4"/>
      <c r="L33" s="4"/>
    </row>
    <row r="34">
      <c r="A34" s="18" t="s">
        <v>40</v>
      </c>
      <c r="B34" s="19"/>
      <c r="C34" s="19">
        <f>SUM(C30:C33)</f>
        <v>19</v>
      </c>
      <c r="D34" s="19"/>
      <c r="E34" s="19">
        <f t="shared" ref="E34:I34" si="2">SUM(E30:E33)</f>
        <v>0</v>
      </c>
      <c r="F34" s="19">
        <f t="shared" si="2"/>
        <v>0</v>
      </c>
      <c r="G34" s="19">
        <f t="shared" si="2"/>
        <v>0</v>
      </c>
      <c r="H34" s="19">
        <f t="shared" si="2"/>
        <v>0</v>
      </c>
      <c r="I34" s="19">
        <f t="shared" si="2"/>
        <v>0</v>
      </c>
      <c r="J34" s="19"/>
      <c r="K34" s="19"/>
      <c r="L34" s="19"/>
    </row>
    <row r="35">
      <c r="A35" s="4"/>
      <c r="B35" s="4"/>
      <c r="C35" s="4"/>
      <c r="D35" s="4"/>
      <c r="E35" s="4"/>
      <c r="F35" s="4"/>
      <c r="G35" s="4"/>
      <c r="H35" s="4"/>
      <c r="I35" s="4"/>
      <c r="J35" s="4"/>
      <c r="K35" s="4"/>
      <c r="L35" s="4"/>
    </row>
    <row r="36">
      <c r="A36" s="20" t="s">
        <v>44</v>
      </c>
    </row>
    <row r="37">
      <c r="A37" s="21" t="s">
        <v>4</v>
      </c>
      <c r="B37" s="21" t="s">
        <v>6</v>
      </c>
      <c r="C37" s="21" t="s">
        <v>45</v>
      </c>
      <c r="D37" s="21" t="s">
        <v>8</v>
      </c>
      <c r="E37" s="21" t="s">
        <v>9</v>
      </c>
      <c r="F37" s="21" t="s">
        <v>10</v>
      </c>
      <c r="G37" s="21" t="s">
        <v>11</v>
      </c>
      <c r="H37" s="21" t="s">
        <v>12</v>
      </c>
      <c r="I37" s="21" t="s">
        <v>13</v>
      </c>
      <c r="J37" s="21" t="s">
        <v>46</v>
      </c>
      <c r="K37" s="21" t="s">
        <v>47</v>
      </c>
      <c r="L37" s="21" t="s">
        <v>48</v>
      </c>
    </row>
    <row r="38">
      <c r="A38" s="8">
        <v>1.0</v>
      </c>
      <c r="B38" s="9" t="s">
        <v>49</v>
      </c>
      <c r="C38" s="9" t="s">
        <v>50</v>
      </c>
      <c r="D38" s="9" t="s">
        <v>51</v>
      </c>
      <c r="E38" s="8">
        <v>0.0</v>
      </c>
      <c r="F38" s="8">
        <v>1.0</v>
      </c>
      <c r="G38" s="8">
        <v>0.0</v>
      </c>
      <c r="H38" s="8">
        <v>1.0</v>
      </c>
      <c r="I38" s="8">
        <v>1.0</v>
      </c>
      <c r="J38" s="8">
        <v>1.0</v>
      </c>
      <c r="K38" s="8">
        <v>0.0</v>
      </c>
      <c r="L38" s="22">
        <v>0.0</v>
      </c>
    </row>
    <row r="39">
      <c r="A39" s="8">
        <v>2.0</v>
      </c>
      <c r="B39" s="9" t="s">
        <v>49</v>
      </c>
      <c r="C39" s="9" t="s">
        <v>52</v>
      </c>
      <c r="D39" s="9" t="s">
        <v>17</v>
      </c>
      <c r="E39" s="8">
        <v>0.0</v>
      </c>
      <c r="F39" s="8">
        <v>0.0</v>
      </c>
      <c r="G39" s="8">
        <v>0.0</v>
      </c>
      <c r="H39" s="8">
        <v>1.0</v>
      </c>
      <c r="I39" s="8">
        <v>1.0</v>
      </c>
      <c r="J39" s="8">
        <v>1.0</v>
      </c>
      <c r="K39" s="8">
        <v>0.0</v>
      </c>
      <c r="L39" s="22">
        <v>0.0</v>
      </c>
    </row>
    <row r="40">
      <c r="A40" s="23" t="s">
        <v>53</v>
      </c>
    </row>
    <row r="41">
      <c r="A41" s="24" t="s">
        <v>54</v>
      </c>
      <c r="B41" s="24" t="s">
        <v>55</v>
      </c>
      <c r="C41" s="24" t="s">
        <v>50</v>
      </c>
      <c r="D41" s="24" t="s">
        <v>51</v>
      </c>
      <c r="E41" s="25">
        <v>0.0</v>
      </c>
      <c r="F41" s="25">
        <v>1.0</v>
      </c>
      <c r="G41" s="25">
        <v>0.0</v>
      </c>
      <c r="H41" s="25">
        <v>1.0</v>
      </c>
      <c r="I41" s="25">
        <v>1.0</v>
      </c>
      <c r="J41" s="25">
        <v>1.0</v>
      </c>
      <c r="K41" s="25">
        <v>0.0</v>
      </c>
      <c r="L41" s="26">
        <v>0.0</v>
      </c>
    </row>
    <row r="42">
      <c r="A42" s="24" t="s">
        <v>54</v>
      </c>
      <c r="B42" s="24" t="s">
        <v>55</v>
      </c>
      <c r="C42" s="24" t="s">
        <v>52</v>
      </c>
      <c r="D42" s="24" t="s">
        <v>17</v>
      </c>
      <c r="E42" s="25">
        <v>0.0</v>
      </c>
      <c r="F42" s="25">
        <v>0.0</v>
      </c>
      <c r="G42" s="25">
        <v>0.0</v>
      </c>
      <c r="H42" s="25">
        <v>1.0</v>
      </c>
      <c r="I42" s="25">
        <v>1.0</v>
      </c>
      <c r="J42" s="25">
        <v>1.0</v>
      </c>
      <c r="K42" s="25">
        <v>0.0</v>
      </c>
      <c r="L42" s="26">
        <v>0.0</v>
      </c>
    </row>
    <row r="43">
      <c r="A43" s="4"/>
      <c r="B43" s="4"/>
      <c r="C43" s="4"/>
      <c r="D43" s="4"/>
      <c r="E43" s="4"/>
      <c r="F43" s="4"/>
      <c r="G43" s="4"/>
      <c r="H43" s="4"/>
      <c r="I43" s="4"/>
      <c r="J43" s="4"/>
      <c r="K43" s="4"/>
      <c r="L43" s="4"/>
    </row>
    <row r="44">
      <c r="A44" s="27" t="s">
        <v>56</v>
      </c>
    </row>
    <row r="45">
      <c r="A45" s="28" t="s">
        <v>4</v>
      </c>
      <c r="B45" s="28" t="s">
        <v>57</v>
      </c>
      <c r="C45" s="28" t="s">
        <v>58</v>
      </c>
      <c r="D45" s="28" t="s">
        <v>59</v>
      </c>
      <c r="E45" s="28" t="s">
        <v>60</v>
      </c>
      <c r="F45" s="28" t="s">
        <v>48</v>
      </c>
      <c r="G45" s="28" t="s">
        <v>61</v>
      </c>
      <c r="H45" s="28" t="s">
        <v>62</v>
      </c>
      <c r="I45" s="28" t="s">
        <v>63</v>
      </c>
      <c r="J45" s="28" t="s">
        <v>64</v>
      </c>
      <c r="K45" s="29"/>
      <c r="L45" s="29"/>
    </row>
    <row r="46">
      <c r="A46" s="8">
        <v>1.0</v>
      </c>
      <c r="B46" s="9" t="s">
        <v>65</v>
      </c>
      <c r="C46" s="8">
        <v>3.0</v>
      </c>
      <c r="D46" s="8">
        <v>0.0</v>
      </c>
      <c r="E46" s="8">
        <v>3.0</v>
      </c>
      <c r="F46" s="22">
        <v>0.0</v>
      </c>
      <c r="G46" s="9" t="s">
        <v>17</v>
      </c>
      <c r="H46" s="9">
        <v>0.0</v>
      </c>
      <c r="I46" s="9">
        <v>0.0</v>
      </c>
      <c r="J46" s="4"/>
      <c r="K46" s="4"/>
      <c r="L46" s="4"/>
    </row>
    <row r="47">
      <c r="A47" s="8">
        <v>2.0</v>
      </c>
      <c r="B47" s="9" t="s">
        <v>66</v>
      </c>
      <c r="C47" s="8">
        <v>29.0</v>
      </c>
      <c r="D47" s="8">
        <v>7.0</v>
      </c>
      <c r="E47" s="8">
        <v>22.0</v>
      </c>
      <c r="F47" s="22">
        <v>0.24</v>
      </c>
      <c r="G47" s="9" t="s">
        <v>17</v>
      </c>
      <c r="H47" s="9">
        <v>0.0</v>
      </c>
      <c r="I47" s="9">
        <v>0.0</v>
      </c>
      <c r="J47" s="4"/>
      <c r="K47" s="4"/>
      <c r="L47" s="4"/>
    </row>
    <row r="48">
      <c r="A48" s="8">
        <v>3.0</v>
      </c>
      <c r="B48" s="9" t="s">
        <v>67</v>
      </c>
      <c r="C48" s="8">
        <v>132.0</v>
      </c>
      <c r="D48" s="8">
        <v>11.0</v>
      </c>
      <c r="E48" s="8">
        <v>121.0</v>
      </c>
      <c r="F48" s="22">
        <v>0.08</v>
      </c>
      <c r="G48" s="9" t="s">
        <v>17</v>
      </c>
      <c r="H48" s="9">
        <v>0.0</v>
      </c>
      <c r="I48" s="9">
        <v>0.0</v>
      </c>
      <c r="J48" s="4"/>
      <c r="K48" s="4"/>
      <c r="L48" s="4"/>
    </row>
    <row r="49">
      <c r="A49" s="8">
        <v>4.0</v>
      </c>
      <c r="B49" s="9" t="s">
        <v>68</v>
      </c>
      <c r="C49" s="8">
        <v>116.0</v>
      </c>
      <c r="D49" s="8">
        <v>25.0</v>
      </c>
      <c r="E49" s="8">
        <v>91.0</v>
      </c>
      <c r="F49" s="22">
        <v>0.22</v>
      </c>
      <c r="G49" s="9" t="s">
        <v>17</v>
      </c>
      <c r="H49" s="9">
        <v>0.0</v>
      </c>
      <c r="I49" s="9">
        <v>0.0</v>
      </c>
      <c r="J49" s="4"/>
      <c r="K49" s="4"/>
      <c r="L49" s="4"/>
    </row>
    <row r="50">
      <c r="A50" s="8">
        <v>5.0</v>
      </c>
      <c r="B50" s="9" t="s">
        <v>69</v>
      </c>
      <c r="C50" s="8">
        <v>3.0</v>
      </c>
      <c r="D50" s="8">
        <v>1.0</v>
      </c>
      <c r="E50" s="8">
        <v>2.0</v>
      </c>
      <c r="F50" s="22">
        <v>0.33</v>
      </c>
      <c r="G50" s="9" t="s">
        <v>17</v>
      </c>
      <c r="H50" s="9">
        <v>0.0</v>
      </c>
      <c r="I50" s="9">
        <v>0.0</v>
      </c>
      <c r="J50" s="4"/>
      <c r="K50" s="4"/>
      <c r="L50" s="4"/>
    </row>
    <row r="51">
      <c r="A51" s="30" t="s">
        <v>40</v>
      </c>
      <c r="B51" s="30" t="s">
        <v>55</v>
      </c>
      <c r="C51" s="31">
        <v>283.0</v>
      </c>
      <c r="D51" s="31">
        <v>44.0</v>
      </c>
      <c r="E51" s="31">
        <v>239.0</v>
      </c>
      <c r="F51" s="32">
        <v>0.16</v>
      </c>
      <c r="G51" s="33"/>
      <c r="H51" s="33"/>
      <c r="I51" s="33"/>
      <c r="J51" s="33"/>
      <c r="K51" s="33"/>
      <c r="L51" s="33"/>
    </row>
  </sheetData>
  <mergeCells count="8">
    <mergeCell ref="A1:L1"/>
    <mergeCell ref="A2:L2"/>
    <mergeCell ref="A3:L3"/>
    <mergeCell ref="A5:L5"/>
    <mergeCell ref="A28:L28"/>
    <mergeCell ref="A36:L36"/>
    <mergeCell ref="A40:L40"/>
    <mergeCell ref="A44:L4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8.88"/>
    <col customWidth="1" min="3" max="3" width="24.75"/>
    <col customWidth="1" min="4" max="4" width="15.5"/>
    <col customWidth="1" min="5" max="5" width="13.5"/>
    <col customWidth="1" min="6" max="17" width="9.5"/>
  </cols>
  <sheetData>
    <row r="1">
      <c r="A1" s="34" t="s">
        <v>70</v>
      </c>
      <c r="B1" s="34" t="s">
        <v>71</v>
      </c>
      <c r="C1" s="34" t="s">
        <v>72</v>
      </c>
      <c r="D1" s="34" t="s">
        <v>73</v>
      </c>
      <c r="E1" s="34" t="s">
        <v>74</v>
      </c>
      <c r="F1" s="34" t="s">
        <v>75</v>
      </c>
      <c r="G1" s="34" t="s">
        <v>76</v>
      </c>
      <c r="H1" s="34" t="s">
        <v>77</v>
      </c>
      <c r="I1" s="34" t="s">
        <v>78</v>
      </c>
      <c r="J1" s="34" t="s">
        <v>79</v>
      </c>
      <c r="K1" s="34" t="s">
        <v>80</v>
      </c>
      <c r="L1" s="34" t="s">
        <v>81</v>
      </c>
      <c r="M1" s="34" t="s">
        <v>82</v>
      </c>
      <c r="N1" s="34" t="s">
        <v>83</v>
      </c>
      <c r="O1" s="34" t="s">
        <v>84</v>
      </c>
      <c r="P1" s="34" t="s">
        <v>85</v>
      </c>
      <c r="Q1" s="34" t="s">
        <v>86</v>
      </c>
    </row>
    <row r="2">
      <c r="A2" s="35">
        <v>46301.0</v>
      </c>
      <c r="B2" s="36">
        <v>0.8166666666666667</v>
      </c>
      <c r="C2" s="37" t="s">
        <v>15</v>
      </c>
      <c r="D2" s="37" t="s">
        <v>87</v>
      </c>
      <c r="E2" s="37" t="s">
        <v>52</v>
      </c>
      <c r="F2" s="38">
        <v>0.0</v>
      </c>
      <c r="G2" s="38">
        <v>0.0</v>
      </c>
      <c r="H2" s="38">
        <v>0.0</v>
      </c>
      <c r="I2" s="38">
        <v>0.0</v>
      </c>
      <c r="J2" s="38">
        <v>0.0</v>
      </c>
      <c r="K2" s="38">
        <v>0.0</v>
      </c>
      <c r="L2" s="38">
        <v>0.0</v>
      </c>
      <c r="M2" s="38">
        <v>0.0</v>
      </c>
      <c r="N2" s="38">
        <v>0.0</v>
      </c>
      <c r="O2" s="38">
        <v>0.0</v>
      </c>
      <c r="P2" s="38">
        <v>0.0</v>
      </c>
      <c r="Q2" s="38">
        <v>0.0</v>
      </c>
    </row>
    <row r="3">
      <c r="A3" s="39">
        <v>46301.0</v>
      </c>
      <c r="B3" s="40">
        <v>0.8166666666666667</v>
      </c>
      <c r="C3" s="41" t="s">
        <v>15</v>
      </c>
      <c r="D3" s="41" t="s">
        <v>87</v>
      </c>
      <c r="E3" s="41" t="s">
        <v>88</v>
      </c>
      <c r="F3" s="42">
        <v>0.0</v>
      </c>
      <c r="G3" s="42">
        <v>0.0</v>
      </c>
      <c r="H3" s="42">
        <v>0.0</v>
      </c>
      <c r="I3" s="42">
        <v>0.0</v>
      </c>
      <c r="J3" s="42">
        <v>0.0</v>
      </c>
      <c r="K3" s="42">
        <v>0.0</v>
      </c>
      <c r="L3" s="42">
        <v>0.0</v>
      </c>
      <c r="M3" s="42">
        <v>0.0</v>
      </c>
      <c r="N3" s="42">
        <v>0.0</v>
      </c>
      <c r="O3" s="42">
        <v>0.0</v>
      </c>
      <c r="P3" s="42">
        <v>0.0</v>
      </c>
      <c r="Q3" s="42">
        <v>0.0</v>
      </c>
    </row>
    <row r="4">
      <c r="A4" s="35">
        <v>46301.0</v>
      </c>
      <c r="B4" s="36">
        <v>0.8166666666666667</v>
      </c>
      <c r="C4" s="37" t="s">
        <v>15</v>
      </c>
      <c r="D4" s="37" t="s">
        <v>87</v>
      </c>
      <c r="E4" s="37" t="s">
        <v>89</v>
      </c>
      <c r="F4" s="38">
        <v>0.0</v>
      </c>
      <c r="G4" s="38">
        <v>0.0</v>
      </c>
      <c r="H4" s="38">
        <v>0.0</v>
      </c>
      <c r="I4" s="38">
        <v>0.0</v>
      </c>
      <c r="J4" s="38">
        <v>0.0</v>
      </c>
      <c r="K4" s="38">
        <v>0.0</v>
      </c>
      <c r="L4" s="38">
        <v>0.0</v>
      </c>
      <c r="M4" s="38">
        <v>0.0</v>
      </c>
      <c r="N4" s="38">
        <v>0.0</v>
      </c>
      <c r="O4" s="38">
        <v>0.0</v>
      </c>
      <c r="P4" s="38">
        <v>0.0</v>
      </c>
      <c r="Q4" s="38">
        <v>0.0</v>
      </c>
    </row>
    <row r="5">
      <c r="A5" s="39">
        <v>46301.0</v>
      </c>
      <c r="B5" s="40">
        <v>0.8166666666666667</v>
      </c>
      <c r="C5" s="41" t="s">
        <v>15</v>
      </c>
      <c r="D5" s="41" t="s">
        <v>87</v>
      </c>
      <c r="E5" s="41" t="s">
        <v>50</v>
      </c>
      <c r="F5" s="42">
        <v>0.0</v>
      </c>
      <c r="G5" s="42">
        <v>0.0</v>
      </c>
      <c r="H5" s="42">
        <v>0.0</v>
      </c>
      <c r="I5" s="42">
        <v>0.0</v>
      </c>
      <c r="J5" s="42">
        <v>0.0</v>
      </c>
      <c r="K5" s="42">
        <v>0.0</v>
      </c>
      <c r="L5" s="42">
        <v>0.0</v>
      </c>
      <c r="M5" s="42">
        <v>0.0</v>
      </c>
      <c r="N5" s="42">
        <v>0.0</v>
      </c>
      <c r="O5" s="42">
        <v>0.0</v>
      </c>
      <c r="P5" s="42">
        <v>0.0</v>
      </c>
      <c r="Q5" s="42">
        <v>0.0</v>
      </c>
    </row>
    <row r="6">
      <c r="A6" s="35">
        <v>46301.0</v>
      </c>
      <c r="B6" s="36">
        <v>0.8166666666666667</v>
      </c>
      <c r="C6" s="37" t="s">
        <v>15</v>
      </c>
      <c r="D6" s="37" t="s">
        <v>87</v>
      </c>
      <c r="E6" s="37" t="s">
        <v>90</v>
      </c>
      <c r="F6" s="38">
        <v>0.0</v>
      </c>
      <c r="G6" s="38">
        <v>0.0</v>
      </c>
      <c r="H6" s="38">
        <v>0.0</v>
      </c>
      <c r="I6" s="38">
        <v>0.0</v>
      </c>
      <c r="J6" s="38">
        <v>0.0</v>
      </c>
      <c r="K6" s="38">
        <v>0.0</v>
      </c>
      <c r="L6" s="38">
        <v>0.0</v>
      </c>
      <c r="M6" s="38">
        <v>0.0</v>
      </c>
      <c r="N6" s="38">
        <v>0.0</v>
      </c>
      <c r="O6" s="38">
        <v>0.0</v>
      </c>
      <c r="P6" s="38">
        <v>0.0</v>
      </c>
      <c r="Q6" s="38">
        <v>0.0</v>
      </c>
    </row>
    <row r="7">
      <c r="A7" s="39">
        <v>46301.0</v>
      </c>
      <c r="B7" s="40">
        <v>0.8166666666666667</v>
      </c>
      <c r="C7" s="41" t="s">
        <v>15</v>
      </c>
      <c r="D7" s="41" t="s">
        <v>87</v>
      </c>
      <c r="E7" s="41" t="s">
        <v>91</v>
      </c>
      <c r="F7" s="42">
        <v>0.0</v>
      </c>
      <c r="G7" s="42">
        <v>0.0</v>
      </c>
      <c r="H7" s="42">
        <v>0.0</v>
      </c>
      <c r="I7" s="42">
        <v>0.0</v>
      </c>
      <c r="J7" s="42">
        <v>0.0</v>
      </c>
      <c r="K7" s="42">
        <v>0.0</v>
      </c>
      <c r="L7" s="42">
        <v>0.0</v>
      </c>
      <c r="M7" s="42">
        <v>0.0</v>
      </c>
      <c r="N7" s="42">
        <v>0.0</v>
      </c>
      <c r="O7" s="42">
        <v>0.0</v>
      </c>
      <c r="P7" s="42">
        <v>0.0</v>
      </c>
      <c r="Q7" s="42">
        <v>0.0</v>
      </c>
    </row>
    <row r="8">
      <c r="A8" s="35">
        <v>46301.0</v>
      </c>
      <c r="B8" s="36">
        <v>0.8166666666666667</v>
      </c>
      <c r="C8" s="37" t="s">
        <v>15</v>
      </c>
      <c r="D8" s="37" t="s">
        <v>87</v>
      </c>
      <c r="E8" s="37" t="s">
        <v>92</v>
      </c>
      <c r="F8" s="38">
        <v>0.0</v>
      </c>
      <c r="G8" s="38">
        <v>0.0</v>
      </c>
      <c r="H8" s="38">
        <v>0.0</v>
      </c>
      <c r="I8" s="38">
        <v>0.0</v>
      </c>
      <c r="J8" s="38">
        <v>0.0</v>
      </c>
      <c r="K8" s="38">
        <v>0.0</v>
      </c>
      <c r="L8" s="38">
        <v>0.0</v>
      </c>
      <c r="M8" s="38">
        <v>0.0</v>
      </c>
      <c r="N8" s="38">
        <v>0.0</v>
      </c>
      <c r="O8" s="38">
        <v>0.0</v>
      </c>
      <c r="P8" s="38">
        <v>0.0</v>
      </c>
      <c r="Q8" s="38">
        <v>0.0</v>
      </c>
    </row>
    <row r="9">
      <c r="A9" s="39">
        <v>46301.0</v>
      </c>
      <c r="B9" s="40">
        <v>0.8166666666666667</v>
      </c>
      <c r="C9" s="41" t="s">
        <v>23</v>
      </c>
      <c r="D9" s="41" t="s">
        <v>93</v>
      </c>
      <c r="E9" s="41" t="s">
        <v>52</v>
      </c>
      <c r="F9" s="42">
        <v>1.0</v>
      </c>
      <c r="G9" s="42">
        <v>1.0</v>
      </c>
      <c r="H9" s="42">
        <v>0.0</v>
      </c>
      <c r="I9" s="42">
        <v>0.0</v>
      </c>
      <c r="J9" s="42">
        <v>0.0</v>
      </c>
      <c r="K9" s="42">
        <v>1.0</v>
      </c>
      <c r="L9" s="42">
        <v>1.0</v>
      </c>
      <c r="M9" s="42">
        <v>0.0</v>
      </c>
      <c r="N9" s="42">
        <v>0.0</v>
      </c>
      <c r="O9" s="42">
        <v>0.0</v>
      </c>
      <c r="P9" s="42">
        <v>1.0</v>
      </c>
      <c r="Q9" s="42">
        <v>1.0</v>
      </c>
    </row>
    <row r="10">
      <c r="A10" s="35">
        <v>46301.0</v>
      </c>
      <c r="B10" s="36">
        <v>0.8166666666666667</v>
      </c>
      <c r="C10" s="37" t="s">
        <v>23</v>
      </c>
      <c r="D10" s="37" t="s">
        <v>93</v>
      </c>
      <c r="E10" s="37" t="s">
        <v>88</v>
      </c>
      <c r="F10" s="38">
        <v>0.0</v>
      </c>
      <c r="G10" s="38">
        <v>0.0</v>
      </c>
      <c r="H10" s="38">
        <v>0.0</v>
      </c>
      <c r="I10" s="38">
        <v>0.0</v>
      </c>
      <c r="J10" s="38">
        <v>0.0</v>
      </c>
      <c r="K10" s="38">
        <v>0.0</v>
      </c>
      <c r="L10" s="38">
        <v>0.0</v>
      </c>
      <c r="M10" s="38">
        <v>0.0</v>
      </c>
      <c r="N10" s="38">
        <v>0.0</v>
      </c>
      <c r="O10" s="38">
        <v>0.0</v>
      </c>
      <c r="P10" s="38">
        <v>0.0</v>
      </c>
      <c r="Q10" s="38">
        <v>0.0</v>
      </c>
    </row>
    <row r="11">
      <c r="A11" s="39">
        <v>46301.0</v>
      </c>
      <c r="B11" s="40">
        <v>0.8166666666666667</v>
      </c>
      <c r="C11" s="41" t="s">
        <v>23</v>
      </c>
      <c r="D11" s="41" t="s">
        <v>93</v>
      </c>
      <c r="E11" s="41" t="s">
        <v>89</v>
      </c>
      <c r="F11" s="42">
        <v>0.0</v>
      </c>
      <c r="G11" s="42">
        <v>0.0</v>
      </c>
      <c r="H11" s="42">
        <v>0.0</v>
      </c>
      <c r="I11" s="42">
        <v>0.0</v>
      </c>
      <c r="J11" s="42">
        <v>0.0</v>
      </c>
      <c r="K11" s="42">
        <v>0.0</v>
      </c>
      <c r="L11" s="42">
        <v>0.0</v>
      </c>
      <c r="M11" s="42">
        <v>0.0</v>
      </c>
      <c r="N11" s="42">
        <v>0.0</v>
      </c>
      <c r="O11" s="42">
        <v>0.0</v>
      </c>
      <c r="P11" s="42">
        <v>0.0</v>
      </c>
      <c r="Q11" s="42">
        <v>0.0</v>
      </c>
    </row>
    <row r="12">
      <c r="A12" s="35">
        <v>46301.0</v>
      </c>
      <c r="B12" s="36">
        <v>0.8166666666666667</v>
      </c>
      <c r="C12" s="37" t="s">
        <v>23</v>
      </c>
      <c r="D12" s="37" t="s">
        <v>93</v>
      </c>
      <c r="E12" s="37" t="s">
        <v>50</v>
      </c>
      <c r="F12" s="38">
        <v>0.0</v>
      </c>
      <c r="G12" s="38">
        <v>0.0</v>
      </c>
      <c r="H12" s="38">
        <v>0.0</v>
      </c>
      <c r="I12" s="38">
        <v>0.0</v>
      </c>
      <c r="J12" s="38">
        <v>0.0</v>
      </c>
      <c r="K12" s="38">
        <v>0.0</v>
      </c>
      <c r="L12" s="38">
        <v>0.0</v>
      </c>
      <c r="M12" s="38">
        <v>0.0</v>
      </c>
      <c r="N12" s="38">
        <v>0.0</v>
      </c>
      <c r="O12" s="38">
        <v>0.0</v>
      </c>
      <c r="P12" s="38">
        <v>0.0</v>
      </c>
      <c r="Q12" s="38">
        <v>0.0</v>
      </c>
    </row>
    <row r="13">
      <c r="A13" s="39">
        <v>46301.0</v>
      </c>
      <c r="B13" s="40">
        <v>0.8166666666666667</v>
      </c>
      <c r="C13" s="41" t="s">
        <v>23</v>
      </c>
      <c r="D13" s="41" t="s">
        <v>93</v>
      </c>
      <c r="E13" s="41" t="s">
        <v>90</v>
      </c>
      <c r="F13" s="42">
        <v>0.0</v>
      </c>
      <c r="G13" s="42">
        <v>0.0</v>
      </c>
      <c r="H13" s="42">
        <v>0.0</v>
      </c>
      <c r="I13" s="42">
        <v>0.0</v>
      </c>
      <c r="J13" s="42">
        <v>0.0</v>
      </c>
      <c r="K13" s="42">
        <v>0.0</v>
      </c>
      <c r="L13" s="42">
        <v>0.0</v>
      </c>
      <c r="M13" s="42">
        <v>0.0</v>
      </c>
      <c r="N13" s="42">
        <v>0.0</v>
      </c>
      <c r="O13" s="42">
        <v>0.0</v>
      </c>
      <c r="P13" s="42">
        <v>0.0</v>
      </c>
      <c r="Q13" s="42">
        <v>0.0</v>
      </c>
    </row>
    <row r="14">
      <c r="A14" s="35">
        <v>46301.0</v>
      </c>
      <c r="B14" s="36">
        <v>0.8166666666666667</v>
      </c>
      <c r="C14" s="37" t="s">
        <v>23</v>
      </c>
      <c r="D14" s="37" t="s">
        <v>93</v>
      </c>
      <c r="E14" s="37" t="s">
        <v>91</v>
      </c>
      <c r="F14" s="38">
        <v>0.0</v>
      </c>
      <c r="G14" s="38">
        <v>0.0</v>
      </c>
      <c r="H14" s="38">
        <v>0.0</v>
      </c>
      <c r="I14" s="38">
        <v>0.0</v>
      </c>
      <c r="J14" s="38">
        <v>0.0</v>
      </c>
      <c r="K14" s="38">
        <v>0.0</v>
      </c>
      <c r="L14" s="38">
        <v>0.0</v>
      </c>
      <c r="M14" s="38">
        <v>0.0</v>
      </c>
      <c r="N14" s="38">
        <v>0.0</v>
      </c>
      <c r="O14" s="38">
        <v>0.0</v>
      </c>
      <c r="P14" s="38">
        <v>0.0</v>
      </c>
      <c r="Q14" s="38">
        <v>0.0</v>
      </c>
    </row>
    <row r="15">
      <c r="A15" s="39">
        <v>46301.0</v>
      </c>
      <c r="B15" s="40">
        <v>0.8166666666666667</v>
      </c>
      <c r="C15" s="41" t="s">
        <v>23</v>
      </c>
      <c r="D15" s="41" t="s">
        <v>93</v>
      </c>
      <c r="E15" s="41" t="s">
        <v>92</v>
      </c>
      <c r="F15" s="42">
        <v>0.0</v>
      </c>
      <c r="G15" s="42">
        <v>0.0</v>
      </c>
      <c r="H15" s="42">
        <v>0.0</v>
      </c>
      <c r="I15" s="42">
        <v>0.0</v>
      </c>
      <c r="J15" s="42">
        <v>0.0</v>
      </c>
      <c r="K15" s="42">
        <v>0.0</v>
      </c>
      <c r="L15" s="42">
        <v>0.0</v>
      </c>
      <c r="M15" s="42">
        <v>0.0</v>
      </c>
      <c r="N15" s="42">
        <v>0.0</v>
      </c>
      <c r="O15" s="42">
        <v>0.0</v>
      </c>
      <c r="P15" s="42">
        <v>0.0</v>
      </c>
      <c r="Q15" s="42">
        <v>0.0</v>
      </c>
    </row>
    <row r="16">
      <c r="A16" s="35">
        <v>46301.0</v>
      </c>
      <c r="B16" s="36">
        <v>0.8166666666666667</v>
      </c>
      <c r="C16" s="37" t="s">
        <v>29</v>
      </c>
      <c r="D16" s="37" t="s">
        <v>94</v>
      </c>
      <c r="E16" s="37" t="s">
        <v>52</v>
      </c>
      <c r="F16" s="38">
        <v>2.0</v>
      </c>
      <c r="G16" s="38">
        <v>0.0</v>
      </c>
      <c r="H16" s="38">
        <v>0.0</v>
      </c>
      <c r="I16" s="38">
        <v>0.0</v>
      </c>
      <c r="J16" s="38">
        <v>0.0</v>
      </c>
      <c r="K16" s="38">
        <v>2.0</v>
      </c>
      <c r="L16" s="38">
        <v>2.0</v>
      </c>
      <c r="M16" s="38">
        <v>0.0</v>
      </c>
      <c r="N16" s="38">
        <v>0.0</v>
      </c>
      <c r="O16" s="38">
        <v>0.0</v>
      </c>
      <c r="P16" s="38">
        <v>0.0</v>
      </c>
      <c r="Q16" s="38">
        <v>0.0</v>
      </c>
    </row>
    <row r="17">
      <c r="A17" s="39">
        <v>46301.0</v>
      </c>
      <c r="B17" s="40">
        <v>0.8166666666666667</v>
      </c>
      <c r="C17" s="41" t="s">
        <v>29</v>
      </c>
      <c r="D17" s="41" t="s">
        <v>94</v>
      </c>
      <c r="E17" s="41" t="s">
        <v>88</v>
      </c>
      <c r="F17" s="42">
        <v>0.0</v>
      </c>
      <c r="G17" s="42">
        <v>0.0</v>
      </c>
      <c r="H17" s="42">
        <v>0.0</v>
      </c>
      <c r="I17" s="42">
        <v>0.0</v>
      </c>
      <c r="J17" s="42">
        <v>0.0</v>
      </c>
      <c r="K17" s="42">
        <v>0.0</v>
      </c>
      <c r="L17" s="42">
        <v>0.0</v>
      </c>
      <c r="M17" s="42">
        <v>0.0</v>
      </c>
      <c r="N17" s="42">
        <v>0.0</v>
      </c>
      <c r="O17" s="42">
        <v>0.0</v>
      </c>
      <c r="P17" s="42">
        <v>0.0</v>
      </c>
      <c r="Q17" s="42">
        <v>0.0</v>
      </c>
    </row>
    <row r="18">
      <c r="A18" s="35">
        <v>46301.0</v>
      </c>
      <c r="B18" s="36">
        <v>0.8166666666666667</v>
      </c>
      <c r="C18" s="37" t="s">
        <v>29</v>
      </c>
      <c r="D18" s="37" t="s">
        <v>94</v>
      </c>
      <c r="E18" s="37" t="s">
        <v>89</v>
      </c>
      <c r="F18" s="38">
        <v>1.0</v>
      </c>
      <c r="G18" s="38">
        <v>0.0</v>
      </c>
      <c r="H18" s="38">
        <v>0.0</v>
      </c>
      <c r="I18" s="38">
        <v>0.0</v>
      </c>
      <c r="J18" s="38">
        <v>0.0</v>
      </c>
      <c r="K18" s="38">
        <v>1.0</v>
      </c>
      <c r="L18" s="38">
        <v>1.0</v>
      </c>
      <c r="M18" s="38">
        <v>0.0</v>
      </c>
      <c r="N18" s="38">
        <v>0.0</v>
      </c>
      <c r="O18" s="38">
        <v>0.0</v>
      </c>
      <c r="P18" s="38">
        <v>0.0</v>
      </c>
      <c r="Q18" s="38">
        <v>0.0</v>
      </c>
    </row>
    <row r="19">
      <c r="A19" s="39">
        <v>46301.0</v>
      </c>
      <c r="B19" s="40">
        <v>0.8166666666666667</v>
      </c>
      <c r="C19" s="41" t="s">
        <v>29</v>
      </c>
      <c r="D19" s="41" t="s">
        <v>94</v>
      </c>
      <c r="E19" s="41" t="s">
        <v>50</v>
      </c>
      <c r="F19" s="42">
        <v>0.0</v>
      </c>
      <c r="G19" s="42">
        <v>0.0</v>
      </c>
      <c r="H19" s="42">
        <v>0.0</v>
      </c>
      <c r="I19" s="42">
        <v>0.0</v>
      </c>
      <c r="J19" s="42">
        <v>0.0</v>
      </c>
      <c r="K19" s="42">
        <v>0.0</v>
      </c>
      <c r="L19" s="42">
        <v>0.0</v>
      </c>
      <c r="M19" s="42">
        <v>0.0</v>
      </c>
      <c r="N19" s="42">
        <v>0.0</v>
      </c>
      <c r="O19" s="42">
        <v>0.0</v>
      </c>
      <c r="P19" s="42">
        <v>0.0</v>
      </c>
      <c r="Q19" s="42">
        <v>0.0</v>
      </c>
    </row>
    <row r="20">
      <c r="A20" s="35">
        <v>46301.0</v>
      </c>
      <c r="B20" s="36">
        <v>0.8166666666666667</v>
      </c>
      <c r="C20" s="37" t="s">
        <v>29</v>
      </c>
      <c r="D20" s="37" t="s">
        <v>94</v>
      </c>
      <c r="E20" s="37" t="s">
        <v>90</v>
      </c>
      <c r="F20" s="38">
        <v>0.0</v>
      </c>
      <c r="G20" s="38">
        <v>0.0</v>
      </c>
      <c r="H20" s="38">
        <v>0.0</v>
      </c>
      <c r="I20" s="38">
        <v>0.0</v>
      </c>
      <c r="J20" s="38">
        <v>0.0</v>
      </c>
      <c r="K20" s="38">
        <v>0.0</v>
      </c>
      <c r="L20" s="38">
        <v>0.0</v>
      </c>
      <c r="M20" s="38">
        <v>0.0</v>
      </c>
      <c r="N20" s="38">
        <v>0.0</v>
      </c>
      <c r="O20" s="38">
        <v>0.0</v>
      </c>
      <c r="P20" s="38">
        <v>0.0</v>
      </c>
      <c r="Q20" s="38">
        <v>0.0</v>
      </c>
    </row>
    <row r="21">
      <c r="A21" s="39">
        <v>46301.0</v>
      </c>
      <c r="B21" s="40">
        <v>0.8166666666666667</v>
      </c>
      <c r="C21" s="41" t="s">
        <v>29</v>
      </c>
      <c r="D21" s="41" t="s">
        <v>94</v>
      </c>
      <c r="E21" s="41" t="s">
        <v>91</v>
      </c>
      <c r="F21" s="42">
        <v>0.0</v>
      </c>
      <c r="G21" s="42">
        <v>0.0</v>
      </c>
      <c r="H21" s="42">
        <v>0.0</v>
      </c>
      <c r="I21" s="42">
        <v>0.0</v>
      </c>
      <c r="J21" s="42">
        <v>0.0</v>
      </c>
      <c r="K21" s="42">
        <v>0.0</v>
      </c>
      <c r="L21" s="42">
        <v>0.0</v>
      </c>
      <c r="M21" s="42">
        <v>0.0</v>
      </c>
      <c r="N21" s="42">
        <v>0.0</v>
      </c>
      <c r="O21" s="42">
        <v>0.0</v>
      </c>
      <c r="P21" s="42">
        <v>0.0</v>
      </c>
      <c r="Q21" s="42">
        <v>0.0</v>
      </c>
    </row>
    <row r="22">
      <c r="A22" s="35">
        <v>46301.0</v>
      </c>
      <c r="B22" s="36">
        <v>0.8166666666666667</v>
      </c>
      <c r="C22" s="37" t="s">
        <v>29</v>
      </c>
      <c r="D22" s="37" t="s">
        <v>94</v>
      </c>
      <c r="E22" s="37" t="s">
        <v>92</v>
      </c>
      <c r="F22" s="38">
        <v>0.0</v>
      </c>
      <c r="G22" s="38">
        <v>0.0</v>
      </c>
      <c r="H22" s="38">
        <v>0.0</v>
      </c>
      <c r="I22" s="38">
        <v>0.0</v>
      </c>
      <c r="J22" s="38">
        <v>0.0</v>
      </c>
      <c r="K22" s="38">
        <v>0.0</v>
      </c>
      <c r="L22" s="38">
        <v>0.0</v>
      </c>
      <c r="M22" s="38">
        <v>0.0</v>
      </c>
      <c r="N22" s="38">
        <v>0.0</v>
      </c>
      <c r="O22" s="38">
        <v>0.0</v>
      </c>
      <c r="P22" s="38">
        <v>0.0</v>
      </c>
      <c r="Q22" s="38">
        <v>0.0</v>
      </c>
    </row>
    <row r="23">
      <c r="A23" s="39">
        <v>46301.0</v>
      </c>
      <c r="B23" s="40">
        <v>0.8166666666666667</v>
      </c>
      <c r="C23" s="41" t="s">
        <v>31</v>
      </c>
      <c r="D23" s="41" t="s">
        <v>95</v>
      </c>
      <c r="E23" s="41" t="s">
        <v>52</v>
      </c>
      <c r="F23" s="42">
        <v>0.0</v>
      </c>
      <c r="G23" s="42">
        <v>0.0</v>
      </c>
      <c r="H23" s="42">
        <v>0.0</v>
      </c>
      <c r="I23" s="42">
        <v>0.0</v>
      </c>
      <c r="J23" s="42">
        <v>0.0</v>
      </c>
      <c r="K23" s="42">
        <v>0.0</v>
      </c>
      <c r="L23" s="42">
        <v>0.0</v>
      </c>
      <c r="M23" s="42">
        <v>0.0</v>
      </c>
      <c r="N23" s="42">
        <v>0.0</v>
      </c>
      <c r="O23" s="42">
        <v>0.0</v>
      </c>
      <c r="P23" s="42">
        <v>0.0</v>
      </c>
      <c r="Q23" s="42">
        <v>0.0</v>
      </c>
    </row>
    <row r="24">
      <c r="A24" s="35">
        <v>46301.0</v>
      </c>
      <c r="B24" s="36">
        <v>0.8166666666666667</v>
      </c>
      <c r="C24" s="37" t="s">
        <v>31</v>
      </c>
      <c r="D24" s="37" t="s">
        <v>95</v>
      </c>
      <c r="E24" s="37" t="s">
        <v>88</v>
      </c>
      <c r="F24" s="38">
        <v>0.0</v>
      </c>
      <c r="G24" s="38">
        <v>0.0</v>
      </c>
      <c r="H24" s="38">
        <v>0.0</v>
      </c>
      <c r="I24" s="38">
        <v>0.0</v>
      </c>
      <c r="J24" s="38">
        <v>0.0</v>
      </c>
      <c r="K24" s="38">
        <v>0.0</v>
      </c>
      <c r="L24" s="38">
        <v>0.0</v>
      </c>
      <c r="M24" s="38">
        <v>0.0</v>
      </c>
      <c r="N24" s="38">
        <v>0.0</v>
      </c>
      <c r="O24" s="38">
        <v>0.0</v>
      </c>
      <c r="P24" s="38">
        <v>0.0</v>
      </c>
      <c r="Q24" s="38">
        <v>0.0</v>
      </c>
    </row>
    <row r="25">
      <c r="A25" s="39">
        <v>46301.0</v>
      </c>
      <c r="B25" s="40">
        <v>0.8166666666666667</v>
      </c>
      <c r="C25" s="41" t="s">
        <v>31</v>
      </c>
      <c r="D25" s="41" t="s">
        <v>95</v>
      </c>
      <c r="E25" s="41" t="s">
        <v>89</v>
      </c>
      <c r="F25" s="42">
        <v>0.0</v>
      </c>
      <c r="G25" s="42">
        <v>0.0</v>
      </c>
      <c r="H25" s="42">
        <v>0.0</v>
      </c>
      <c r="I25" s="42">
        <v>0.0</v>
      </c>
      <c r="J25" s="42">
        <v>0.0</v>
      </c>
      <c r="K25" s="42">
        <v>0.0</v>
      </c>
      <c r="L25" s="42">
        <v>0.0</v>
      </c>
      <c r="M25" s="42">
        <v>0.0</v>
      </c>
      <c r="N25" s="42">
        <v>0.0</v>
      </c>
      <c r="O25" s="42">
        <v>0.0</v>
      </c>
      <c r="P25" s="42">
        <v>0.0</v>
      </c>
      <c r="Q25" s="42">
        <v>0.0</v>
      </c>
    </row>
    <row r="26">
      <c r="A26" s="35">
        <v>46301.0</v>
      </c>
      <c r="B26" s="36">
        <v>0.8166666666666667</v>
      </c>
      <c r="C26" s="37" t="s">
        <v>31</v>
      </c>
      <c r="D26" s="37" t="s">
        <v>95</v>
      </c>
      <c r="E26" s="37" t="s">
        <v>50</v>
      </c>
      <c r="F26" s="38">
        <v>1.0</v>
      </c>
      <c r="G26" s="38">
        <v>0.0</v>
      </c>
      <c r="H26" s="38">
        <v>0.0</v>
      </c>
      <c r="I26" s="38">
        <v>0.0</v>
      </c>
      <c r="J26" s="38">
        <v>0.0</v>
      </c>
      <c r="K26" s="38">
        <v>1.0</v>
      </c>
      <c r="L26" s="38">
        <v>1.0</v>
      </c>
      <c r="M26" s="38">
        <v>0.0</v>
      </c>
      <c r="N26" s="38">
        <v>0.0</v>
      </c>
      <c r="O26" s="38">
        <v>0.0</v>
      </c>
      <c r="P26" s="38">
        <v>0.0</v>
      </c>
      <c r="Q26" s="38">
        <v>0.0</v>
      </c>
    </row>
    <row r="27">
      <c r="A27" s="39">
        <v>46301.0</v>
      </c>
      <c r="B27" s="40">
        <v>0.8166666666666667</v>
      </c>
      <c r="C27" s="41" t="s">
        <v>31</v>
      </c>
      <c r="D27" s="41" t="s">
        <v>95</v>
      </c>
      <c r="E27" s="41" t="s">
        <v>90</v>
      </c>
      <c r="F27" s="42">
        <v>0.0</v>
      </c>
      <c r="G27" s="42">
        <v>0.0</v>
      </c>
      <c r="H27" s="42">
        <v>0.0</v>
      </c>
      <c r="I27" s="42">
        <v>0.0</v>
      </c>
      <c r="J27" s="42">
        <v>0.0</v>
      </c>
      <c r="K27" s="42">
        <v>0.0</v>
      </c>
      <c r="L27" s="42">
        <v>0.0</v>
      </c>
      <c r="M27" s="42">
        <v>0.0</v>
      </c>
      <c r="N27" s="42">
        <v>0.0</v>
      </c>
      <c r="O27" s="42">
        <v>0.0</v>
      </c>
      <c r="P27" s="42">
        <v>0.0</v>
      </c>
      <c r="Q27" s="42">
        <v>0.0</v>
      </c>
    </row>
    <row r="28">
      <c r="A28" s="35">
        <v>46301.0</v>
      </c>
      <c r="B28" s="36">
        <v>0.8166666666666667</v>
      </c>
      <c r="C28" s="37" t="s">
        <v>31</v>
      </c>
      <c r="D28" s="37" t="s">
        <v>95</v>
      </c>
      <c r="E28" s="37" t="s">
        <v>91</v>
      </c>
      <c r="F28" s="38">
        <v>0.0</v>
      </c>
      <c r="G28" s="38">
        <v>0.0</v>
      </c>
      <c r="H28" s="38">
        <v>0.0</v>
      </c>
      <c r="I28" s="38">
        <v>0.0</v>
      </c>
      <c r="J28" s="38">
        <v>0.0</v>
      </c>
      <c r="K28" s="38">
        <v>0.0</v>
      </c>
      <c r="L28" s="38">
        <v>0.0</v>
      </c>
      <c r="M28" s="38">
        <v>0.0</v>
      </c>
      <c r="N28" s="38">
        <v>0.0</v>
      </c>
      <c r="O28" s="38">
        <v>0.0</v>
      </c>
      <c r="P28" s="38">
        <v>0.0</v>
      </c>
      <c r="Q28" s="38">
        <v>0.0</v>
      </c>
    </row>
    <row r="29">
      <c r="A29" s="39">
        <v>46301.0</v>
      </c>
      <c r="B29" s="40">
        <v>0.8166666666666667</v>
      </c>
      <c r="C29" s="41" t="s">
        <v>31</v>
      </c>
      <c r="D29" s="41" t="s">
        <v>95</v>
      </c>
      <c r="E29" s="41" t="s">
        <v>92</v>
      </c>
      <c r="F29" s="42">
        <v>0.0</v>
      </c>
      <c r="G29" s="42">
        <v>0.0</v>
      </c>
      <c r="H29" s="42">
        <v>0.0</v>
      </c>
      <c r="I29" s="42">
        <v>0.0</v>
      </c>
      <c r="J29" s="42">
        <v>0.0</v>
      </c>
      <c r="K29" s="42">
        <v>0.0</v>
      </c>
      <c r="L29" s="42">
        <v>0.0</v>
      </c>
      <c r="M29" s="42">
        <v>0.0</v>
      </c>
      <c r="N29" s="42">
        <v>0.0</v>
      </c>
      <c r="O29" s="42">
        <v>0.0</v>
      </c>
      <c r="P29" s="42">
        <v>0.0</v>
      </c>
      <c r="Q29" s="42">
        <v>0.0</v>
      </c>
    </row>
    <row r="30">
      <c r="A30" s="43">
        <v>46301.0</v>
      </c>
      <c r="B30" s="44">
        <v>0.8166666666666667</v>
      </c>
      <c r="C30" s="45" t="s">
        <v>96</v>
      </c>
      <c r="D30" s="45" t="s">
        <v>75</v>
      </c>
      <c r="E30" s="45" t="s">
        <v>52</v>
      </c>
      <c r="F30" s="46">
        <v>3.0</v>
      </c>
      <c r="G30" s="46">
        <v>1.0</v>
      </c>
      <c r="H30" s="46">
        <v>0.0</v>
      </c>
      <c r="I30" s="46">
        <v>0.0</v>
      </c>
      <c r="J30" s="46">
        <v>0.0</v>
      </c>
      <c r="K30" s="46">
        <v>3.0</v>
      </c>
      <c r="L30" s="46">
        <v>3.0</v>
      </c>
      <c r="M30" s="46">
        <v>0.0</v>
      </c>
      <c r="N30" s="46">
        <v>0.0</v>
      </c>
      <c r="O30" s="46">
        <v>0.0</v>
      </c>
      <c r="P30" s="46">
        <v>1.0</v>
      </c>
      <c r="Q30" s="46">
        <v>1.0</v>
      </c>
    </row>
    <row r="31">
      <c r="A31" s="43">
        <v>46301.0</v>
      </c>
      <c r="B31" s="44">
        <v>0.8166666666666667</v>
      </c>
      <c r="C31" s="45" t="s">
        <v>96</v>
      </c>
      <c r="D31" s="45" t="s">
        <v>75</v>
      </c>
      <c r="E31" s="45" t="s">
        <v>88</v>
      </c>
      <c r="F31" s="46">
        <v>0.0</v>
      </c>
      <c r="G31" s="46">
        <v>0.0</v>
      </c>
      <c r="H31" s="46">
        <v>0.0</v>
      </c>
      <c r="I31" s="46">
        <v>0.0</v>
      </c>
      <c r="J31" s="46">
        <v>0.0</v>
      </c>
      <c r="K31" s="46">
        <v>0.0</v>
      </c>
      <c r="L31" s="46">
        <v>0.0</v>
      </c>
      <c r="M31" s="46">
        <v>0.0</v>
      </c>
      <c r="N31" s="46">
        <v>0.0</v>
      </c>
      <c r="O31" s="46">
        <v>0.0</v>
      </c>
      <c r="P31" s="46">
        <v>0.0</v>
      </c>
      <c r="Q31" s="46">
        <v>0.0</v>
      </c>
    </row>
    <row r="32">
      <c r="A32" s="43">
        <v>46301.0</v>
      </c>
      <c r="B32" s="44">
        <v>0.8166666666666667</v>
      </c>
      <c r="C32" s="45" t="s">
        <v>96</v>
      </c>
      <c r="D32" s="45" t="s">
        <v>75</v>
      </c>
      <c r="E32" s="45" t="s">
        <v>89</v>
      </c>
      <c r="F32" s="46">
        <v>1.0</v>
      </c>
      <c r="G32" s="46">
        <v>0.0</v>
      </c>
      <c r="H32" s="46">
        <v>0.0</v>
      </c>
      <c r="I32" s="46">
        <v>0.0</v>
      </c>
      <c r="J32" s="46">
        <v>0.0</v>
      </c>
      <c r="K32" s="46">
        <v>1.0</v>
      </c>
      <c r="L32" s="46">
        <v>1.0</v>
      </c>
      <c r="M32" s="46">
        <v>0.0</v>
      </c>
      <c r="N32" s="46">
        <v>0.0</v>
      </c>
      <c r="O32" s="46">
        <v>0.0</v>
      </c>
      <c r="P32" s="46">
        <v>0.0</v>
      </c>
      <c r="Q32" s="46">
        <v>0.0</v>
      </c>
    </row>
    <row r="33">
      <c r="A33" s="43">
        <v>46301.0</v>
      </c>
      <c r="B33" s="44">
        <v>0.8166666666666667</v>
      </c>
      <c r="C33" s="45" t="s">
        <v>96</v>
      </c>
      <c r="D33" s="45" t="s">
        <v>75</v>
      </c>
      <c r="E33" s="45" t="s">
        <v>50</v>
      </c>
      <c r="F33" s="46">
        <v>1.0</v>
      </c>
      <c r="G33" s="46">
        <v>0.0</v>
      </c>
      <c r="H33" s="46">
        <v>0.0</v>
      </c>
      <c r="I33" s="46">
        <v>0.0</v>
      </c>
      <c r="J33" s="46">
        <v>0.0</v>
      </c>
      <c r="K33" s="46">
        <v>1.0</v>
      </c>
      <c r="L33" s="46">
        <v>1.0</v>
      </c>
      <c r="M33" s="46">
        <v>0.0</v>
      </c>
      <c r="N33" s="46">
        <v>0.0</v>
      </c>
      <c r="O33" s="46">
        <v>0.0</v>
      </c>
      <c r="P33" s="46">
        <v>0.0</v>
      </c>
      <c r="Q33" s="46">
        <v>0.0</v>
      </c>
    </row>
    <row r="34">
      <c r="A34" s="43">
        <v>46301.0</v>
      </c>
      <c r="B34" s="44">
        <v>0.8166666666666667</v>
      </c>
      <c r="C34" s="45" t="s">
        <v>96</v>
      </c>
      <c r="D34" s="45" t="s">
        <v>75</v>
      </c>
      <c r="E34" s="45" t="s">
        <v>90</v>
      </c>
      <c r="F34" s="46">
        <v>0.0</v>
      </c>
      <c r="G34" s="46">
        <v>0.0</v>
      </c>
      <c r="H34" s="46">
        <v>0.0</v>
      </c>
      <c r="I34" s="46">
        <v>0.0</v>
      </c>
      <c r="J34" s="46">
        <v>0.0</v>
      </c>
      <c r="K34" s="46">
        <v>0.0</v>
      </c>
      <c r="L34" s="46">
        <v>0.0</v>
      </c>
      <c r="M34" s="46">
        <v>0.0</v>
      </c>
      <c r="N34" s="46">
        <v>0.0</v>
      </c>
      <c r="O34" s="46">
        <v>0.0</v>
      </c>
      <c r="P34" s="46">
        <v>0.0</v>
      </c>
      <c r="Q34" s="46">
        <v>0.0</v>
      </c>
    </row>
    <row r="35">
      <c r="A35" s="43">
        <v>46301.0</v>
      </c>
      <c r="B35" s="44">
        <v>0.8166666666666667</v>
      </c>
      <c r="C35" s="45" t="s">
        <v>96</v>
      </c>
      <c r="D35" s="45" t="s">
        <v>75</v>
      </c>
      <c r="E35" s="45" t="s">
        <v>91</v>
      </c>
      <c r="F35" s="46">
        <v>0.0</v>
      </c>
      <c r="G35" s="46">
        <v>0.0</v>
      </c>
      <c r="H35" s="46">
        <v>0.0</v>
      </c>
      <c r="I35" s="46">
        <v>0.0</v>
      </c>
      <c r="J35" s="46">
        <v>0.0</v>
      </c>
      <c r="K35" s="46">
        <v>0.0</v>
      </c>
      <c r="L35" s="46">
        <v>0.0</v>
      </c>
      <c r="M35" s="46">
        <v>0.0</v>
      </c>
      <c r="N35" s="46">
        <v>0.0</v>
      </c>
      <c r="O35" s="46">
        <v>0.0</v>
      </c>
      <c r="P35" s="46">
        <v>0.0</v>
      </c>
      <c r="Q35" s="46">
        <v>0.0</v>
      </c>
    </row>
    <row r="36">
      <c r="A36" s="43">
        <v>46301.0</v>
      </c>
      <c r="B36" s="44">
        <v>0.8166666666666667</v>
      </c>
      <c r="C36" s="45" t="s">
        <v>96</v>
      </c>
      <c r="D36" s="45" t="s">
        <v>75</v>
      </c>
      <c r="E36" s="45" t="s">
        <v>92</v>
      </c>
      <c r="F36" s="46">
        <v>0.0</v>
      </c>
      <c r="G36" s="46">
        <v>0.0</v>
      </c>
      <c r="H36" s="46">
        <v>0.0</v>
      </c>
      <c r="I36" s="46">
        <v>0.0</v>
      </c>
      <c r="J36" s="46">
        <v>0.0</v>
      </c>
      <c r="K36" s="46">
        <v>0.0</v>
      </c>
      <c r="L36" s="46">
        <v>0.0</v>
      </c>
      <c r="M36" s="46">
        <v>0.0</v>
      </c>
      <c r="N36" s="46">
        <v>0.0</v>
      </c>
      <c r="O36" s="46">
        <v>0.0</v>
      </c>
      <c r="P36" s="46">
        <v>0.0</v>
      </c>
      <c r="Q36" s="46">
        <v>0.0</v>
      </c>
    </row>
    <row r="37">
      <c r="A37" s="39">
        <v>46301.0</v>
      </c>
      <c r="B37" s="40">
        <v>0.8284722222222223</v>
      </c>
      <c r="C37" s="41" t="s">
        <v>15</v>
      </c>
      <c r="D37" s="41" t="s">
        <v>87</v>
      </c>
      <c r="E37" s="41" t="s">
        <v>52</v>
      </c>
      <c r="F37" s="42">
        <v>0.0</v>
      </c>
      <c r="G37" s="42">
        <v>0.0</v>
      </c>
      <c r="H37" s="42">
        <v>0.0</v>
      </c>
      <c r="I37" s="42">
        <v>0.0</v>
      </c>
      <c r="J37" s="42">
        <v>0.0</v>
      </c>
      <c r="K37" s="42">
        <v>0.0</v>
      </c>
      <c r="L37" s="42">
        <v>0.0</v>
      </c>
      <c r="M37" s="42">
        <v>0.0</v>
      </c>
      <c r="N37" s="42">
        <v>0.0</v>
      </c>
      <c r="O37" s="42">
        <v>0.0</v>
      </c>
      <c r="P37" s="42">
        <v>0.0</v>
      </c>
      <c r="Q37" s="42">
        <v>0.0</v>
      </c>
    </row>
    <row r="38">
      <c r="A38" s="35">
        <v>46301.0</v>
      </c>
      <c r="B38" s="36">
        <v>0.8284722222222223</v>
      </c>
      <c r="C38" s="37" t="s">
        <v>15</v>
      </c>
      <c r="D38" s="37" t="s">
        <v>87</v>
      </c>
      <c r="E38" s="37" t="s">
        <v>88</v>
      </c>
      <c r="F38" s="38">
        <v>0.0</v>
      </c>
      <c r="G38" s="38">
        <v>0.0</v>
      </c>
      <c r="H38" s="38">
        <v>0.0</v>
      </c>
      <c r="I38" s="38">
        <v>0.0</v>
      </c>
      <c r="J38" s="38">
        <v>0.0</v>
      </c>
      <c r="K38" s="38">
        <v>0.0</v>
      </c>
      <c r="L38" s="38">
        <v>0.0</v>
      </c>
      <c r="M38" s="38">
        <v>0.0</v>
      </c>
      <c r="N38" s="38">
        <v>0.0</v>
      </c>
      <c r="O38" s="38">
        <v>0.0</v>
      </c>
      <c r="P38" s="38">
        <v>0.0</v>
      </c>
      <c r="Q38" s="38">
        <v>0.0</v>
      </c>
    </row>
    <row r="39">
      <c r="A39" s="39">
        <v>46301.0</v>
      </c>
      <c r="B39" s="40">
        <v>0.8284722222222223</v>
      </c>
      <c r="C39" s="41" t="s">
        <v>15</v>
      </c>
      <c r="D39" s="41" t="s">
        <v>87</v>
      </c>
      <c r="E39" s="41" t="s">
        <v>89</v>
      </c>
      <c r="F39" s="42">
        <v>0.0</v>
      </c>
      <c r="G39" s="42">
        <v>0.0</v>
      </c>
      <c r="H39" s="42">
        <v>0.0</v>
      </c>
      <c r="I39" s="42">
        <v>0.0</v>
      </c>
      <c r="J39" s="42">
        <v>0.0</v>
      </c>
      <c r="K39" s="42">
        <v>0.0</v>
      </c>
      <c r="L39" s="42">
        <v>0.0</v>
      </c>
      <c r="M39" s="42">
        <v>0.0</v>
      </c>
      <c r="N39" s="42">
        <v>0.0</v>
      </c>
      <c r="O39" s="42">
        <v>0.0</v>
      </c>
      <c r="P39" s="42">
        <v>0.0</v>
      </c>
      <c r="Q39" s="42">
        <v>0.0</v>
      </c>
    </row>
    <row r="40">
      <c r="A40" s="35">
        <v>46301.0</v>
      </c>
      <c r="B40" s="36">
        <v>0.8284722222222223</v>
      </c>
      <c r="C40" s="37" t="s">
        <v>15</v>
      </c>
      <c r="D40" s="37" t="s">
        <v>87</v>
      </c>
      <c r="E40" s="37" t="s">
        <v>50</v>
      </c>
      <c r="F40" s="38">
        <v>0.0</v>
      </c>
      <c r="G40" s="38">
        <v>0.0</v>
      </c>
      <c r="H40" s="38">
        <v>0.0</v>
      </c>
      <c r="I40" s="38">
        <v>0.0</v>
      </c>
      <c r="J40" s="38">
        <v>0.0</v>
      </c>
      <c r="K40" s="38">
        <v>0.0</v>
      </c>
      <c r="L40" s="38">
        <v>0.0</v>
      </c>
      <c r="M40" s="38">
        <v>0.0</v>
      </c>
      <c r="N40" s="38">
        <v>0.0</v>
      </c>
      <c r="O40" s="38">
        <v>0.0</v>
      </c>
      <c r="P40" s="38">
        <v>0.0</v>
      </c>
      <c r="Q40" s="38">
        <v>0.0</v>
      </c>
    </row>
    <row r="41">
      <c r="A41" s="39">
        <v>46301.0</v>
      </c>
      <c r="B41" s="40">
        <v>0.8284722222222223</v>
      </c>
      <c r="C41" s="41" t="s">
        <v>15</v>
      </c>
      <c r="D41" s="41" t="s">
        <v>87</v>
      </c>
      <c r="E41" s="41" t="s">
        <v>90</v>
      </c>
      <c r="F41" s="42">
        <v>0.0</v>
      </c>
      <c r="G41" s="42">
        <v>0.0</v>
      </c>
      <c r="H41" s="42">
        <v>0.0</v>
      </c>
      <c r="I41" s="42">
        <v>0.0</v>
      </c>
      <c r="J41" s="42">
        <v>0.0</v>
      </c>
      <c r="K41" s="42">
        <v>0.0</v>
      </c>
      <c r="L41" s="42">
        <v>0.0</v>
      </c>
      <c r="M41" s="42">
        <v>0.0</v>
      </c>
      <c r="N41" s="42">
        <v>0.0</v>
      </c>
      <c r="O41" s="42">
        <v>0.0</v>
      </c>
      <c r="P41" s="42">
        <v>0.0</v>
      </c>
      <c r="Q41" s="42">
        <v>0.0</v>
      </c>
    </row>
    <row r="42">
      <c r="A42" s="35">
        <v>46301.0</v>
      </c>
      <c r="B42" s="36">
        <v>0.8284722222222223</v>
      </c>
      <c r="C42" s="37" t="s">
        <v>15</v>
      </c>
      <c r="D42" s="37" t="s">
        <v>87</v>
      </c>
      <c r="E42" s="37" t="s">
        <v>91</v>
      </c>
      <c r="F42" s="38">
        <v>0.0</v>
      </c>
      <c r="G42" s="38">
        <v>0.0</v>
      </c>
      <c r="H42" s="38">
        <v>0.0</v>
      </c>
      <c r="I42" s="38">
        <v>0.0</v>
      </c>
      <c r="J42" s="38">
        <v>0.0</v>
      </c>
      <c r="K42" s="38">
        <v>0.0</v>
      </c>
      <c r="L42" s="38">
        <v>0.0</v>
      </c>
      <c r="M42" s="38">
        <v>0.0</v>
      </c>
      <c r="N42" s="38">
        <v>0.0</v>
      </c>
      <c r="O42" s="38">
        <v>0.0</v>
      </c>
      <c r="P42" s="38">
        <v>0.0</v>
      </c>
      <c r="Q42" s="38">
        <v>0.0</v>
      </c>
    </row>
    <row r="43">
      <c r="A43" s="39">
        <v>46301.0</v>
      </c>
      <c r="B43" s="40">
        <v>0.8284722222222223</v>
      </c>
      <c r="C43" s="41" t="s">
        <v>15</v>
      </c>
      <c r="D43" s="41" t="s">
        <v>87</v>
      </c>
      <c r="E43" s="41" t="s">
        <v>92</v>
      </c>
      <c r="F43" s="42">
        <v>0.0</v>
      </c>
      <c r="G43" s="42">
        <v>0.0</v>
      </c>
      <c r="H43" s="42">
        <v>0.0</v>
      </c>
      <c r="I43" s="42">
        <v>0.0</v>
      </c>
      <c r="J43" s="42">
        <v>0.0</v>
      </c>
      <c r="K43" s="42">
        <v>0.0</v>
      </c>
      <c r="L43" s="42">
        <v>0.0</v>
      </c>
      <c r="M43" s="42">
        <v>0.0</v>
      </c>
      <c r="N43" s="42">
        <v>0.0</v>
      </c>
      <c r="O43" s="42">
        <v>0.0</v>
      </c>
      <c r="P43" s="42">
        <v>0.0</v>
      </c>
      <c r="Q43" s="42">
        <v>0.0</v>
      </c>
    </row>
    <row r="44">
      <c r="A44" s="35">
        <v>46301.0</v>
      </c>
      <c r="B44" s="36">
        <v>0.8284722222222223</v>
      </c>
      <c r="C44" s="37" t="s">
        <v>23</v>
      </c>
      <c r="D44" s="37" t="s">
        <v>93</v>
      </c>
      <c r="E44" s="37" t="s">
        <v>52</v>
      </c>
      <c r="F44" s="38">
        <v>1.0</v>
      </c>
      <c r="G44" s="38">
        <v>1.0</v>
      </c>
      <c r="H44" s="38">
        <v>0.0</v>
      </c>
      <c r="I44" s="38">
        <v>0.0</v>
      </c>
      <c r="J44" s="38">
        <v>0.0</v>
      </c>
      <c r="K44" s="38">
        <v>1.0</v>
      </c>
      <c r="L44" s="38">
        <v>1.0</v>
      </c>
      <c r="M44" s="38">
        <v>0.0</v>
      </c>
      <c r="N44" s="38">
        <v>0.0</v>
      </c>
      <c r="O44" s="38">
        <v>0.0</v>
      </c>
      <c r="P44" s="38">
        <v>1.0</v>
      </c>
      <c r="Q44" s="38">
        <v>1.0</v>
      </c>
    </row>
    <row r="45">
      <c r="A45" s="39">
        <v>46301.0</v>
      </c>
      <c r="B45" s="40">
        <v>0.8284722222222223</v>
      </c>
      <c r="C45" s="41" t="s">
        <v>23</v>
      </c>
      <c r="D45" s="41" t="s">
        <v>93</v>
      </c>
      <c r="E45" s="41" t="s">
        <v>88</v>
      </c>
      <c r="F45" s="42">
        <v>0.0</v>
      </c>
      <c r="G45" s="42">
        <v>0.0</v>
      </c>
      <c r="H45" s="42">
        <v>0.0</v>
      </c>
      <c r="I45" s="42">
        <v>0.0</v>
      </c>
      <c r="J45" s="42">
        <v>0.0</v>
      </c>
      <c r="K45" s="42">
        <v>0.0</v>
      </c>
      <c r="L45" s="42">
        <v>0.0</v>
      </c>
      <c r="M45" s="42">
        <v>0.0</v>
      </c>
      <c r="N45" s="42">
        <v>0.0</v>
      </c>
      <c r="O45" s="42">
        <v>0.0</v>
      </c>
      <c r="P45" s="42">
        <v>0.0</v>
      </c>
      <c r="Q45" s="42">
        <v>0.0</v>
      </c>
    </row>
    <row r="46">
      <c r="A46" s="35">
        <v>46301.0</v>
      </c>
      <c r="B46" s="36">
        <v>0.8284722222222223</v>
      </c>
      <c r="C46" s="37" t="s">
        <v>23</v>
      </c>
      <c r="D46" s="37" t="s">
        <v>93</v>
      </c>
      <c r="E46" s="37" t="s">
        <v>89</v>
      </c>
      <c r="F46" s="38">
        <v>0.0</v>
      </c>
      <c r="G46" s="38">
        <v>0.0</v>
      </c>
      <c r="H46" s="38">
        <v>0.0</v>
      </c>
      <c r="I46" s="38">
        <v>0.0</v>
      </c>
      <c r="J46" s="38">
        <v>0.0</v>
      </c>
      <c r="K46" s="38">
        <v>0.0</v>
      </c>
      <c r="L46" s="38">
        <v>0.0</v>
      </c>
      <c r="M46" s="38">
        <v>0.0</v>
      </c>
      <c r="N46" s="38">
        <v>0.0</v>
      </c>
      <c r="O46" s="38">
        <v>0.0</v>
      </c>
      <c r="P46" s="38">
        <v>0.0</v>
      </c>
      <c r="Q46" s="38">
        <v>0.0</v>
      </c>
    </row>
    <row r="47">
      <c r="A47" s="39">
        <v>46301.0</v>
      </c>
      <c r="B47" s="40">
        <v>0.8284722222222223</v>
      </c>
      <c r="C47" s="41" t="s">
        <v>23</v>
      </c>
      <c r="D47" s="41" t="s">
        <v>93</v>
      </c>
      <c r="E47" s="41" t="s">
        <v>50</v>
      </c>
      <c r="F47" s="42">
        <v>0.0</v>
      </c>
      <c r="G47" s="42">
        <v>0.0</v>
      </c>
      <c r="H47" s="42">
        <v>0.0</v>
      </c>
      <c r="I47" s="42">
        <v>0.0</v>
      </c>
      <c r="J47" s="42">
        <v>0.0</v>
      </c>
      <c r="K47" s="42">
        <v>0.0</v>
      </c>
      <c r="L47" s="42">
        <v>0.0</v>
      </c>
      <c r="M47" s="42">
        <v>0.0</v>
      </c>
      <c r="N47" s="42">
        <v>0.0</v>
      </c>
      <c r="O47" s="42">
        <v>0.0</v>
      </c>
      <c r="P47" s="42">
        <v>0.0</v>
      </c>
      <c r="Q47" s="42">
        <v>0.0</v>
      </c>
    </row>
    <row r="48">
      <c r="A48" s="35">
        <v>46301.0</v>
      </c>
      <c r="B48" s="36">
        <v>0.8284722222222223</v>
      </c>
      <c r="C48" s="37" t="s">
        <v>23</v>
      </c>
      <c r="D48" s="37" t="s">
        <v>93</v>
      </c>
      <c r="E48" s="37" t="s">
        <v>90</v>
      </c>
      <c r="F48" s="38">
        <v>0.0</v>
      </c>
      <c r="G48" s="38">
        <v>0.0</v>
      </c>
      <c r="H48" s="38">
        <v>0.0</v>
      </c>
      <c r="I48" s="38">
        <v>0.0</v>
      </c>
      <c r="J48" s="38">
        <v>0.0</v>
      </c>
      <c r="K48" s="38">
        <v>0.0</v>
      </c>
      <c r="L48" s="38">
        <v>0.0</v>
      </c>
      <c r="M48" s="38">
        <v>0.0</v>
      </c>
      <c r="N48" s="38">
        <v>0.0</v>
      </c>
      <c r="O48" s="38">
        <v>0.0</v>
      </c>
      <c r="P48" s="38">
        <v>0.0</v>
      </c>
      <c r="Q48" s="38">
        <v>0.0</v>
      </c>
    </row>
    <row r="49">
      <c r="A49" s="39">
        <v>46301.0</v>
      </c>
      <c r="B49" s="40">
        <v>0.8284722222222223</v>
      </c>
      <c r="C49" s="41" t="s">
        <v>23</v>
      </c>
      <c r="D49" s="41" t="s">
        <v>93</v>
      </c>
      <c r="E49" s="41" t="s">
        <v>91</v>
      </c>
      <c r="F49" s="42">
        <v>0.0</v>
      </c>
      <c r="G49" s="42">
        <v>0.0</v>
      </c>
      <c r="H49" s="42">
        <v>0.0</v>
      </c>
      <c r="I49" s="42">
        <v>0.0</v>
      </c>
      <c r="J49" s="42">
        <v>0.0</v>
      </c>
      <c r="K49" s="42">
        <v>0.0</v>
      </c>
      <c r="L49" s="42">
        <v>0.0</v>
      </c>
      <c r="M49" s="42">
        <v>0.0</v>
      </c>
      <c r="N49" s="42">
        <v>0.0</v>
      </c>
      <c r="O49" s="42">
        <v>0.0</v>
      </c>
      <c r="P49" s="42">
        <v>0.0</v>
      </c>
      <c r="Q49" s="42">
        <v>0.0</v>
      </c>
    </row>
    <row r="50">
      <c r="A50" s="35">
        <v>46301.0</v>
      </c>
      <c r="B50" s="36">
        <v>0.8284722222222223</v>
      </c>
      <c r="C50" s="37" t="s">
        <v>23</v>
      </c>
      <c r="D50" s="37" t="s">
        <v>93</v>
      </c>
      <c r="E50" s="37" t="s">
        <v>92</v>
      </c>
      <c r="F50" s="38">
        <v>0.0</v>
      </c>
      <c r="G50" s="38">
        <v>0.0</v>
      </c>
      <c r="H50" s="38">
        <v>0.0</v>
      </c>
      <c r="I50" s="38">
        <v>0.0</v>
      </c>
      <c r="J50" s="38">
        <v>0.0</v>
      </c>
      <c r="K50" s="38">
        <v>0.0</v>
      </c>
      <c r="L50" s="38">
        <v>0.0</v>
      </c>
      <c r="M50" s="38">
        <v>0.0</v>
      </c>
      <c r="N50" s="38">
        <v>0.0</v>
      </c>
      <c r="O50" s="38">
        <v>0.0</v>
      </c>
      <c r="P50" s="38">
        <v>0.0</v>
      </c>
      <c r="Q50" s="38">
        <v>0.0</v>
      </c>
    </row>
    <row r="51">
      <c r="A51" s="39">
        <v>46301.0</v>
      </c>
      <c r="B51" s="40">
        <v>0.8284722222222223</v>
      </c>
      <c r="C51" s="41" t="s">
        <v>29</v>
      </c>
      <c r="D51" s="41" t="s">
        <v>94</v>
      </c>
      <c r="E51" s="41" t="s">
        <v>52</v>
      </c>
      <c r="F51" s="42">
        <v>2.0</v>
      </c>
      <c r="G51" s="42">
        <v>0.0</v>
      </c>
      <c r="H51" s="42">
        <v>0.0</v>
      </c>
      <c r="I51" s="42">
        <v>0.0</v>
      </c>
      <c r="J51" s="42">
        <v>0.0</v>
      </c>
      <c r="K51" s="42">
        <v>2.0</v>
      </c>
      <c r="L51" s="42">
        <v>2.0</v>
      </c>
      <c r="M51" s="42">
        <v>0.0</v>
      </c>
      <c r="N51" s="42">
        <v>0.0</v>
      </c>
      <c r="O51" s="42">
        <v>0.0</v>
      </c>
      <c r="P51" s="42">
        <v>0.0</v>
      </c>
      <c r="Q51" s="42">
        <v>0.0</v>
      </c>
    </row>
    <row r="52">
      <c r="A52" s="35">
        <v>46301.0</v>
      </c>
      <c r="B52" s="36">
        <v>0.8284722222222223</v>
      </c>
      <c r="C52" s="37" t="s">
        <v>29</v>
      </c>
      <c r="D52" s="37" t="s">
        <v>94</v>
      </c>
      <c r="E52" s="37" t="s">
        <v>88</v>
      </c>
      <c r="F52" s="38">
        <v>0.0</v>
      </c>
      <c r="G52" s="38">
        <v>0.0</v>
      </c>
      <c r="H52" s="38">
        <v>0.0</v>
      </c>
      <c r="I52" s="38">
        <v>0.0</v>
      </c>
      <c r="J52" s="38">
        <v>0.0</v>
      </c>
      <c r="K52" s="38">
        <v>0.0</v>
      </c>
      <c r="L52" s="38">
        <v>0.0</v>
      </c>
      <c r="M52" s="38">
        <v>0.0</v>
      </c>
      <c r="N52" s="38">
        <v>0.0</v>
      </c>
      <c r="O52" s="38">
        <v>0.0</v>
      </c>
      <c r="P52" s="38">
        <v>0.0</v>
      </c>
      <c r="Q52" s="38">
        <v>0.0</v>
      </c>
    </row>
    <row r="53">
      <c r="A53" s="39">
        <v>46301.0</v>
      </c>
      <c r="B53" s="40">
        <v>0.8284722222222223</v>
      </c>
      <c r="C53" s="41" t="s">
        <v>29</v>
      </c>
      <c r="D53" s="41" t="s">
        <v>94</v>
      </c>
      <c r="E53" s="41" t="s">
        <v>89</v>
      </c>
      <c r="F53" s="42">
        <v>1.0</v>
      </c>
      <c r="G53" s="42">
        <v>0.0</v>
      </c>
      <c r="H53" s="42">
        <v>0.0</v>
      </c>
      <c r="I53" s="42">
        <v>0.0</v>
      </c>
      <c r="J53" s="42">
        <v>0.0</v>
      </c>
      <c r="K53" s="42">
        <v>1.0</v>
      </c>
      <c r="L53" s="42">
        <v>1.0</v>
      </c>
      <c r="M53" s="42">
        <v>0.0</v>
      </c>
      <c r="N53" s="42">
        <v>0.0</v>
      </c>
      <c r="O53" s="42">
        <v>0.0</v>
      </c>
      <c r="P53" s="42">
        <v>0.0</v>
      </c>
      <c r="Q53" s="42">
        <v>0.0</v>
      </c>
    </row>
    <row r="54">
      <c r="A54" s="35">
        <v>46301.0</v>
      </c>
      <c r="B54" s="36">
        <v>0.8284722222222223</v>
      </c>
      <c r="C54" s="37" t="s">
        <v>29</v>
      </c>
      <c r="D54" s="37" t="s">
        <v>94</v>
      </c>
      <c r="E54" s="37" t="s">
        <v>50</v>
      </c>
      <c r="F54" s="38">
        <v>0.0</v>
      </c>
      <c r="G54" s="38">
        <v>0.0</v>
      </c>
      <c r="H54" s="38">
        <v>0.0</v>
      </c>
      <c r="I54" s="38">
        <v>0.0</v>
      </c>
      <c r="J54" s="38">
        <v>0.0</v>
      </c>
      <c r="K54" s="38">
        <v>0.0</v>
      </c>
      <c r="L54" s="38">
        <v>0.0</v>
      </c>
      <c r="M54" s="38">
        <v>0.0</v>
      </c>
      <c r="N54" s="38">
        <v>0.0</v>
      </c>
      <c r="O54" s="38">
        <v>0.0</v>
      </c>
      <c r="P54" s="38">
        <v>0.0</v>
      </c>
      <c r="Q54" s="38">
        <v>0.0</v>
      </c>
    </row>
    <row r="55">
      <c r="A55" s="39">
        <v>46301.0</v>
      </c>
      <c r="B55" s="40">
        <v>0.8284722222222223</v>
      </c>
      <c r="C55" s="41" t="s">
        <v>29</v>
      </c>
      <c r="D55" s="41" t="s">
        <v>94</v>
      </c>
      <c r="E55" s="41" t="s">
        <v>90</v>
      </c>
      <c r="F55" s="42">
        <v>0.0</v>
      </c>
      <c r="G55" s="42">
        <v>0.0</v>
      </c>
      <c r="H55" s="42">
        <v>0.0</v>
      </c>
      <c r="I55" s="42">
        <v>0.0</v>
      </c>
      <c r="J55" s="42">
        <v>0.0</v>
      </c>
      <c r="K55" s="42">
        <v>0.0</v>
      </c>
      <c r="L55" s="42">
        <v>0.0</v>
      </c>
      <c r="M55" s="42">
        <v>0.0</v>
      </c>
      <c r="N55" s="42">
        <v>0.0</v>
      </c>
      <c r="O55" s="42">
        <v>0.0</v>
      </c>
      <c r="P55" s="42">
        <v>0.0</v>
      </c>
      <c r="Q55" s="42">
        <v>0.0</v>
      </c>
    </row>
    <row r="56">
      <c r="A56" s="35">
        <v>46301.0</v>
      </c>
      <c r="B56" s="36">
        <v>0.8284722222222223</v>
      </c>
      <c r="C56" s="37" t="s">
        <v>29</v>
      </c>
      <c r="D56" s="37" t="s">
        <v>94</v>
      </c>
      <c r="E56" s="37" t="s">
        <v>91</v>
      </c>
      <c r="F56" s="38">
        <v>0.0</v>
      </c>
      <c r="G56" s="38">
        <v>0.0</v>
      </c>
      <c r="H56" s="38">
        <v>0.0</v>
      </c>
      <c r="I56" s="38">
        <v>0.0</v>
      </c>
      <c r="J56" s="38">
        <v>0.0</v>
      </c>
      <c r="K56" s="38">
        <v>0.0</v>
      </c>
      <c r="L56" s="38">
        <v>0.0</v>
      </c>
      <c r="M56" s="38">
        <v>0.0</v>
      </c>
      <c r="N56" s="38">
        <v>0.0</v>
      </c>
      <c r="O56" s="38">
        <v>0.0</v>
      </c>
      <c r="P56" s="38">
        <v>0.0</v>
      </c>
      <c r="Q56" s="38">
        <v>0.0</v>
      </c>
    </row>
    <row r="57">
      <c r="A57" s="39">
        <v>46301.0</v>
      </c>
      <c r="B57" s="40">
        <v>0.8284722222222223</v>
      </c>
      <c r="C57" s="41" t="s">
        <v>29</v>
      </c>
      <c r="D57" s="41" t="s">
        <v>94</v>
      </c>
      <c r="E57" s="41" t="s">
        <v>92</v>
      </c>
      <c r="F57" s="42">
        <v>0.0</v>
      </c>
      <c r="G57" s="42">
        <v>0.0</v>
      </c>
      <c r="H57" s="42">
        <v>0.0</v>
      </c>
      <c r="I57" s="42">
        <v>0.0</v>
      </c>
      <c r="J57" s="42">
        <v>0.0</v>
      </c>
      <c r="K57" s="42">
        <v>0.0</v>
      </c>
      <c r="L57" s="42">
        <v>0.0</v>
      </c>
      <c r="M57" s="42">
        <v>0.0</v>
      </c>
      <c r="N57" s="42">
        <v>0.0</v>
      </c>
      <c r="O57" s="42">
        <v>0.0</v>
      </c>
      <c r="P57" s="42">
        <v>0.0</v>
      </c>
      <c r="Q57" s="42">
        <v>0.0</v>
      </c>
    </row>
    <row r="58">
      <c r="A58" s="35">
        <v>46301.0</v>
      </c>
      <c r="B58" s="36">
        <v>0.8284722222222223</v>
      </c>
      <c r="C58" s="37" t="s">
        <v>31</v>
      </c>
      <c r="D58" s="37" t="s">
        <v>95</v>
      </c>
      <c r="E58" s="37" t="s">
        <v>52</v>
      </c>
      <c r="F58" s="38">
        <v>0.0</v>
      </c>
      <c r="G58" s="38">
        <v>0.0</v>
      </c>
      <c r="H58" s="38">
        <v>0.0</v>
      </c>
      <c r="I58" s="38">
        <v>0.0</v>
      </c>
      <c r="J58" s="38">
        <v>0.0</v>
      </c>
      <c r="K58" s="38">
        <v>0.0</v>
      </c>
      <c r="L58" s="38">
        <v>0.0</v>
      </c>
      <c r="M58" s="38">
        <v>0.0</v>
      </c>
      <c r="N58" s="38">
        <v>0.0</v>
      </c>
      <c r="O58" s="38">
        <v>0.0</v>
      </c>
      <c r="P58" s="38">
        <v>0.0</v>
      </c>
      <c r="Q58" s="38">
        <v>0.0</v>
      </c>
    </row>
    <row r="59">
      <c r="A59" s="39">
        <v>46301.0</v>
      </c>
      <c r="B59" s="40">
        <v>0.8284722222222223</v>
      </c>
      <c r="C59" s="41" t="s">
        <v>31</v>
      </c>
      <c r="D59" s="41" t="s">
        <v>95</v>
      </c>
      <c r="E59" s="41" t="s">
        <v>88</v>
      </c>
      <c r="F59" s="42">
        <v>0.0</v>
      </c>
      <c r="G59" s="42">
        <v>0.0</v>
      </c>
      <c r="H59" s="42">
        <v>0.0</v>
      </c>
      <c r="I59" s="42">
        <v>0.0</v>
      </c>
      <c r="J59" s="42">
        <v>0.0</v>
      </c>
      <c r="K59" s="42">
        <v>0.0</v>
      </c>
      <c r="L59" s="42">
        <v>0.0</v>
      </c>
      <c r="M59" s="42">
        <v>0.0</v>
      </c>
      <c r="N59" s="42">
        <v>0.0</v>
      </c>
      <c r="O59" s="42">
        <v>0.0</v>
      </c>
      <c r="P59" s="42">
        <v>0.0</v>
      </c>
      <c r="Q59" s="42">
        <v>0.0</v>
      </c>
    </row>
    <row r="60">
      <c r="A60" s="35">
        <v>46301.0</v>
      </c>
      <c r="B60" s="36">
        <v>0.8284722222222223</v>
      </c>
      <c r="C60" s="37" t="s">
        <v>31</v>
      </c>
      <c r="D60" s="37" t="s">
        <v>95</v>
      </c>
      <c r="E60" s="37" t="s">
        <v>89</v>
      </c>
      <c r="F60" s="38">
        <v>0.0</v>
      </c>
      <c r="G60" s="38">
        <v>0.0</v>
      </c>
      <c r="H60" s="38">
        <v>0.0</v>
      </c>
      <c r="I60" s="38">
        <v>0.0</v>
      </c>
      <c r="J60" s="38">
        <v>0.0</v>
      </c>
      <c r="K60" s="38">
        <v>0.0</v>
      </c>
      <c r="L60" s="38">
        <v>0.0</v>
      </c>
      <c r="M60" s="38">
        <v>0.0</v>
      </c>
      <c r="N60" s="38">
        <v>0.0</v>
      </c>
      <c r="O60" s="38">
        <v>0.0</v>
      </c>
      <c r="P60" s="38">
        <v>0.0</v>
      </c>
      <c r="Q60" s="38">
        <v>0.0</v>
      </c>
    </row>
    <row r="61">
      <c r="A61" s="39">
        <v>46301.0</v>
      </c>
      <c r="B61" s="40">
        <v>0.8284722222222223</v>
      </c>
      <c r="C61" s="41" t="s">
        <v>31</v>
      </c>
      <c r="D61" s="41" t="s">
        <v>95</v>
      </c>
      <c r="E61" s="41" t="s">
        <v>50</v>
      </c>
      <c r="F61" s="42">
        <v>1.0</v>
      </c>
      <c r="G61" s="42">
        <v>0.0</v>
      </c>
      <c r="H61" s="42">
        <v>0.0</v>
      </c>
      <c r="I61" s="42">
        <v>0.0</v>
      </c>
      <c r="J61" s="42">
        <v>0.0</v>
      </c>
      <c r="K61" s="42">
        <v>1.0</v>
      </c>
      <c r="L61" s="42">
        <v>1.0</v>
      </c>
      <c r="M61" s="42">
        <v>0.0</v>
      </c>
      <c r="N61" s="42">
        <v>0.0</v>
      </c>
      <c r="O61" s="42">
        <v>0.0</v>
      </c>
      <c r="P61" s="42">
        <v>0.0</v>
      </c>
      <c r="Q61" s="42">
        <v>0.0</v>
      </c>
    </row>
    <row r="62">
      <c r="A62" s="35">
        <v>46301.0</v>
      </c>
      <c r="B62" s="36">
        <v>0.8284722222222223</v>
      </c>
      <c r="C62" s="37" t="s">
        <v>31</v>
      </c>
      <c r="D62" s="37" t="s">
        <v>95</v>
      </c>
      <c r="E62" s="37" t="s">
        <v>90</v>
      </c>
      <c r="F62" s="38">
        <v>0.0</v>
      </c>
      <c r="G62" s="38">
        <v>0.0</v>
      </c>
      <c r="H62" s="38">
        <v>0.0</v>
      </c>
      <c r="I62" s="38">
        <v>0.0</v>
      </c>
      <c r="J62" s="38">
        <v>0.0</v>
      </c>
      <c r="K62" s="38">
        <v>0.0</v>
      </c>
      <c r="L62" s="38">
        <v>0.0</v>
      </c>
      <c r="M62" s="38">
        <v>0.0</v>
      </c>
      <c r="N62" s="38">
        <v>0.0</v>
      </c>
      <c r="O62" s="38">
        <v>0.0</v>
      </c>
      <c r="P62" s="38">
        <v>0.0</v>
      </c>
      <c r="Q62" s="38">
        <v>0.0</v>
      </c>
    </row>
    <row r="63">
      <c r="A63" s="39">
        <v>46301.0</v>
      </c>
      <c r="B63" s="40">
        <v>0.8284722222222223</v>
      </c>
      <c r="C63" s="41" t="s">
        <v>31</v>
      </c>
      <c r="D63" s="41" t="s">
        <v>95</v>
      </c>
      <c r="E63" s="41" t="s">
        <v>91</v>
      </c>
      <c r="F63" s="42">
        <v>0.0</v>
      </c>
      <c r="G63" s="42">
        <v>0.0</v>
      </c>
      <c r="H63" s="42">
        <v>0.0</v>
      </c>
      <c r="I63" s="42">
        <v>0.0</v>
      </c>
      <c r="J63" s="42">
        <v>0.0</v>
      </c>
      <c r="K63" s="42">
        <v>0.0</v>
      </c>
      <c r="L63" s="42">
        <v>0.0</v>
      </c>
      <c r="M63" s="42">
        <v>0.0</v>
      </c>
      <c r="N63" s="42">
        <v>0.0</v>
      </c>
      <c r="O63" s="42">
        <v>0.0</v>
      </c>
      <c r="P63" s="42">
        <v>0.0</v>
      </c>
      <c r="Q63" s="42">
        <v>0.0</v>
      </c>
    </row>
    <row r="64">
      <c r="A64" s="35">
        <v>46301.0</v>
      </c>
      <c r="B64" s="36">
        <v>0.8284722222222223</v>
      </c>
      <c r="C64" s="37" t="s">
        <v>31</v>
      </c>
      <c r="D64" s="37" t="s">
        <v>95</v>
      </c>
      <c r="E64" s="37" t="s">
        <v>92</v>
      </c>
      <c r="F64" s="38">
        <v>0.0</v>
      </c>
      <c r="G64" s="38">
        <v>0.0</v>
      </c>
      <c r="H64" s="38">
        <v>0.0</v>
      </c>
      <c r="I64" s="38">
        <v>0.0</v>
      </c>
      <c r="J64" s="38">
        <v>0.0</v>
      </c>
      <c r="K64" s="38">
        <v>0.0</v>
      </c>
      <c r="L64" s="38">
        <v>0.0</v>
      </c>
      <c r="M64" s="38">
        <v>0.0</v>
      </c>
      <c r="N64" s="38">
        <v>0.0</v>
      </c>
      <c r="O64" s="38">
        <v>0.0</v>
      </c>
      <c r="P64" s="38">
        <v>0.0</v>
      </c>
      <c r="Q64" s="38">
        <v>0.0</v>
      </c>
    </row>
    <row r="65">
      <c r="A65" s="43">
        <v>46301.0</v>
      </c>
      <c r="B65" s="44">
        <v>0.8284722222222223</v>
      </c>
      <c r="C65" s="45" t="s">
        <v>96</v>
      </c>
      <c r="D65" s="45" t="s">
        <v>75</v>
      </c>
      <c r="E65" s="45" t="s">
        <v>52</v>
      </c>
      <c r="F65" s="46">
        <v>3.0</v>
      </c>
      <c r="G65" s="46">
        <v>1.0</v>
      </c>
      <c r="H65" s="46">
        <v>0.0</v>
      </c>
      <c r="I65" s="46">
        <v>0.0</v>
      </c>
      <c r="J65" s="46">
        <v>0.0</v>
      </c>
      <c r="K65" s="46">
        <v>3.0</v>
      </c>
      <c r="L65" s="46">
        <v>3.0</v>
      </c>
      <c r="M65" s="46">
        <v>0.0</v>
      </c>
      <c r="N65" s="46">
        <v>0.0</v>
      </c>
      <c r="O65" s="46">
        <v>0.0</v>
      </c>
      <c r="P65" s="46">
        <v>1.0</v>
      </c>
      <c r="Q65" s="46">
        <v>1.0</v>
      </c>
    </row>
    <row r="66">
      <c r="A66" s="43">
        <v>46301.0</v>
      </c>
      <c r="B66" s="44">
        <v>0.8284722222222223</v>
      </c>
      <c r="C66" s="45" t="s">
        <v>96</v>
      </c>
      <c r="D66" s="45" t="s">
        <v>75</v>
      </c>
      <c r="E66" s="45" t="s">
        <v>88</v>
      </c>
      <c r="F66" s="46">
        <v>0.0</v>
      </c>
      <c r="G66" s="46">
        <v>0.0</v>
      </c>
      <c r="H66" s="46">
        <v>0.0</v>
      </c>
      <c r="I66" s="46">
        <v>0.0</v>
      </c>
      <c r="J66" s="46">
        <v>0.0</v>
      </c>
      <c r="K66" s="46">
        <v>0.0</v>
      </c>
      <c r="L66" s="46">
        <v>0.0</v>
      </c>
      <c r="M66" s="46">
        <v>0.0</v>
      </c>
      <c r="N66" s="46">
        <v>0.0</v>
      </c>
      <c r="O66" s="46">
        <v>0.0</v>
      </c>
      <c r="P66" s="46">
        <v>0.0</v>
      </c>
      <c r="Q66" s="46">
        <v>0.0</v>
      </c>
    </row>
    <row r="67">
      <c r="A67" s="43">
        <v>46301.0</v>
      </c>
      <c r="B67" s="44">
        <v>0.8284722222222223</v>
      </c>
      <c r="C67" s="45" t="s">
        <v>96</v>
      </c>
      <c r="D67" s="45" t="s">
        <v>75</v>
      </c>
      <c r="E67" s="45" t="s">
        <v>89</v>
      </c>
      <c r="F67" s="46">
        <v>1.0</v>
      </c>
      <c r="G67" s="46">
        <v>0.0</v>
      </c>
      <c r="H67" s="46">
        <v>0.0</v>
      </c>
      <c r="I67" s="46">
        <v>0.0</v>
      </c>
      <c r="J67" s="46">
        <v>0.0</v>
      </c>
      <c r="K67" s="46">
        <v>1.0</v>
      </c>
      <c r="L67" s="46">
        <v>1.0</v>
      </c>
      <c r="M67" s="46">
        <v>0.0</v>
      </c>
      <c r="N67" s="46">
        <v>0.0</v>
      </c>
      <c r="O67" s="46">
        <v>0.0</v>
      </c>
      <c r="P67" s="46">
        <v>0.0</v>
      </c>
      <c r="Q67" s="46">
        <v>0.0</v>
      </c>
    </row>
    <row r="68">
      <c r="A68" s="43">
        <v>46301.0</v>
      </c>
      <c r="B68" s="44">
        <v>0.8284722222222223</v>
      </c>
      <c r="C68" s="45" t="s">
        <v>96</v>
      </c>
      <c r="D68" s="45" t="s">
        <v>75</v>
      </c>
      <c r="E68" s="45" t="s">
        <v>50</v>
      </c>
      <c r="F68" s="46">
        <v>1.0</v>
      </c>
      <c r="G68" s="46">
        <v>0.0</v>
      </c>
      <c r="H68" s="46">
        <v>0.0</v>
      </c>
      <c r="I68" s="46">
        <v>0.0</v>
      </c>
      <c r="J68" s="46">
        <v>0.0</v>
      </c>
      <c r="K68" s="46">
        <v>1.0</v>
      </c>
      <c r="L68" s="46">
        <v>1.0</v>
      </c>
      <c r="M68" s="46">
        <v>0.0</v>
      </c>
      <c r="N68" s="46">
        <v>0.0</v>
      </c>
      <c r="O68" s="46">
        <v>0.0</v>
      </c>
      <c r="P68" s="46">
        <v>0.0</v>
      </c>
      <c r="Q68" s="46">
        <v>0.0</v>
      </c>
    </row>
    <row r="69">
      <c r="A69" s="43">
        <v>46301.0</v>
      </c>
      <c r="B69" s="44">
        <v>0.8284722222222223</v>
      </c>
      <c r="C69" s="45" t="s">
        <v>96</v>
      </c>
      <c r="D69" s="45" t="s">
        <v>75</v>
      </c>
      <c r="E69" s="45" t="s">
        <v>90</v>
      </c>
      <c r="F69" s="46">
        <v>0.0</v>
      </c>
      <c r="G69" s="46">
        <v>0.0</v>
      </c>
      <c r="H69" s="46">
        <v>0.0</v>
      </c>
      <c r="I69" s="46">
        <v>0.0</v>
      </c>
      <c r="J69" s="46">
        <v>0.0</v>
      </c>
      <c r="K69" s="46">
        <v>0.0</v>
      </c>
      <c r="L69" s="46">
        <v>0.0</v>
      </c>
      <c r="M69" s="46">
        <v>0.0</v>
      </c>
      <c r="N69" s="46">
        <v>0.0</v>
      </c>
      <c r="O69" s="46">
        <v>0.0</v>
      </c>
      <c r="P69" s="46">
        <v>0.0</v>
      </c>
      <c r="Q69" s="46">
        <v>0.0</v>
      </c>
    </row>
    <row r="70">
      <c r="A70" s="43">
        <v>46301.0</v>
      </c>
      <c r="B70" s="44">
        <v>0.8284722222222223</v>
      </c>
      <c r="C70" s="45" t="s">
        <v>96</v>
      </c>
      <c r="D70" s="45" t="s">
        <v>75</v>
      </c>
      <c r="E70" s="45" t="s">
        <v>91</v>
      </c>
      <c r="F70" s="46">
        <v>0.0</v>
      </c>
      <c r="G70" s="46">
        <v>0.0</v>
      </c>
      <c r="H70" s="46">
        <v>0.0</v>
      </c>
      <c r="I70" s="46">
        <v>0.0</v>
      </c>
      <c r="J70" s="46">
        <v>0.0</v>
      </c>
      <c r="K70" s="46">
        <v>0.0</v>
      </c>
      <c r="L70" s="46">
        <v>0.0</v>
      </c>
      <c r="M70" s="46">
        <v>0.0</v>
      </c>
      <c r="N70" s="46">
        <v>0.0</v>
      </c>
      <c r="O70" s="46">
        <v>0.0</v>
      </c>
      <c r="P70" s="46">
        <v>0.0</v>
      </c>
      <c r="Q70" s="46">
        <v>0.0</v>
      </c>
    </row>
    <row r="71">
      <c r="A71" s="43">
        <v>46301.0</v>
      </c>
      <c r="B71" s="44">
        <v>0.8284722222222223</v>
      </c>
      <c r="C71" s="45" t="s">
        <v>96</v>
      </c>
      <c r="D71" s="45" t="s">
        <v>75</v>
      </c>
      <c r="E71" s="45" t="s">
        <v>92</v>
      </c>
      <c r="F71" s="46">
        <v>0.0</v>
      </c>
      <c r="G71" s="46">
        <v>0.0</v>
      </c>
      <c r="H71" s="46">
        <v>0.0</v>
      </c>
      <c r="I71" s="46">
        <v>0.0</v>
      </c>
      <c r="J71" s="46">
        <v>0.0</v>
      </c>
      <c r="K71" s="46">
        <v>0.0</v>
      </c>
      <c r="L71" s="46">
        <v>0.0</v>
      </c>
      <c r="M71" s="46">
        <v>0.0</v>
      </c>
      <c r="N71" s="46">
        <v>0.0</v>
      </c>
      <c r="O71" s="46">
        <v>0.0</v>
      </c>
      <c r="P71" s="46">
        <v>0.0</v>
      </c>
      <c r="Q71" s="46">
        <v>0.0</v>
      </c>
    </row>
    <row r="72">
      <c r="A72" s="35">
        <v>46301.0</v>
      </c>
      <c r="B72" s="36">
        <v>0.8381944444444445</v>
      </c>
      <c r="C72" s="37" t="s">
        <v>15</v>
      </c>
      <c r="D72" s="37" t="s">
        <v>87</v>
      </c>
      <c r="E72" s="37" t="s">
        <v>52</v>
      </c>
      <c r="F72" s="38">
        <v>0.0</v>
      </c>
      <c r="G72" s="38">
        <v>0.0</v>
      </c>
      <c r="H72" s="38">
        <v>0.0</v>
      </c>
      <c r="I72" s="38">
        <v>0.0</v>
      </c>
      <c r="J72" s="38">
        <v>0.0</v>
      </c>
      <c r="K72" s="38">
        <v>0.0</v>
      </c>
      <c r="L72" s="38">
        <v>0.0</v>
      </c>
      <c r="M72" s="38">
        <v>0.0</v>
      </c>
      <c r="N72" s="38">
        <v>0.0</v>
      </c>
      <c r="O72" s="38">
        <v>0.0</v>
      </c>
      <c r="P72" s="38">
        <v>0.0</v>
      </c>
      <c r="Q72" s="38">
        <v>0.0</v>
      </c>
    </row>
    <row r="73">
      <c r="A73" s="39">
        <v>46301.0</v>
      </c>
      <c r="B73" s="40">
        <v>0.8381944444444445</v>
      </c>
      <c r="C73" s="41" t="s">
        <v>15</v>
      </c>
      <c r="D73" s="41" t="s">
        <v>87</v>
      </c>
      <c r="E73" s="41" t="s">
        <v>88</v>
      </c>
      <c r="F73" s="42">
        <v>0.0</v>
      </c>
      <c r="G73" s="42">
        <v>0.0</v>
      </c>
      <c r="H73" s="42">
        <v>0.0</v>
      </c>
      <c r="I73" s="42">
        <v>0.0</v>
      </c>
      <c r="J73" s="42">
        <v>0.0</v>
      </c>
      <c r="K73" s="42">
        <v>0.0</v>
      </c>
      <c r="L73" s="42">
        <v>0.0</v>
      </c>
      <c r="M73" s="42">
        <v>0.0</v>
      </c>
      <c r="N73" s="42">
        <v>0.0</v>
      </c>
      <c r="O73" s="42">
        <v>0.0</v>
      </c>
      <c r="P73" s="42">
        <v>0.0</v>
      </c>
      <c r="Q73" s="42">
        <v>0.0</v>
      </c>
    </row>
    <row r="74">
      <c r="A74" s="35">
        <v>46301.0</v>
      </c>
      <c r="B74" s="36">
        <v>0.8381944444444445</v>
      </c>
      <c r="C74" s="37" t="s">
        <v>15</v>
      </c>
      <c r="D74" s="37" t="s">
        <v>87</v>
      </c>
      <c r="E74" s="37" t="s">
        <v>89</v>
      </c>
      <c r="F74" s="38">
        <v>0.0</v>
      </c>
      <c r="G74" s="38">
        <v>0.0</v>
      </c>
      <c r="H74" s="38">
        <v>0.0</v>
      </c>
      <c r="I74" s="38">
        <v>0.0</v>
      </c>
      <c r="J74" s="38">
        <v>0.0</v>
      </c>
      <c r="K74" s="38">
        <v>0.0</v>
      </c>
      <c r="L74" s="38">
        <v>0.0</v>
      </c>
      <c r="M74" s="38">
        <v>0.0</v>
      </c>
      <c r="N74" s="38">
        <v>0.0</v>
      </c>
      <c r="O74" s="38">
        <v>0.0</v>
      </c>
      <c r="P74" s="38">
        <v>0.0</v>
      </c>
      <c r="Q74" s="38">
        <v>0.0</v>
      </c>
    </row>
    <row r="75">
      <c r="A75" s="39">
        <v>46301.0</v>
      </c>
      <c r="B75" s="40">
        <v>0.8381944444444445</v>
      </c>
      <c r="C75" s="41" t="s">
        <v>15</v>
      </c>
      <c r="D75" s="41" t="s">
        <v>87</v>
      </c>
      <c r="E75" s="41" t="s">
        <v>50</v>
      </c>
      <c r="F75" s="42">
        <v>0.0</v>
      </c>
      <c r="G75" s="42">
        <v>0.0</v>
      </c>
      <c r="H75" s="42">
        <v>0.0</v>
      </c>
      <c r="I75" s="42">
        <v>0.0</v>
      </c>
      <c r="J75" s="42">
        <v>0.0</v>
      </c>
      <c r="K75" s="42">
        <v>0.0</v>
      </c>
      <c r="L75" s="42">
        <v>0.0</v>
      </c>
      <c r="M75" s="42">
        <v>0.0</v>
      </c>
      <c r="N75" s="42">
        <v>0.0</v>
      </c>
      <c r="O75" s="42">
        <v>0.0</v>
      </c>
      <c r="P75" s="42">
        <v>0.0</v>
      </c>
      <c r="Q75" s="42">
        <v>0.0</v>
      </c>
    </row>
    <row r="76">
      <c r="A76" s="35">
        <v>46301.0</v>
      </c>
      <c r="B76" s="36">
        <v>0.8381944444444445</v>
      </c>
      <c r="C76" s="37" t="s">
        <v>15</v>
      </c>
      <c r="D76" s="37" t="s">
        <v>87</v>
      </c>
      <c r="E76" s="37" t="s">
        <v>90</v>
      </c>
      <c r="F76" s="38">
        <v>0.0</v>
      </c>
      <c r="G76" s="38">
        <v>0.0</v>
      </c>
      <c r="H76" s="38">
        <v>0.0</v>
      </c>
      <c r="I76" s="38">
        <v>0.0</v>
      </c>
      <c r="J76" s="38">
        <v>0.0</v>
      </c>
      <c r="K76" s="38">
        <v>0.0</v>
      </c>
      <c r="L76" s="38">
        <v>0.0</v>
      </c>
      <c r="M76" s="38">
        <v>0.0</v>
      </c>
      <c r="N76" s="38">
        <v>0.0</v>
      </c>
      <c r="O76" s="38">
        <v>0.0</v>
      </c>
      <c r="P76" s="38">
        <v>0.0</v>
      </c>
      <c r="Q76" s="38">
        <v>0.0</v>
      </c>
    </row>
    <row r="77">
      <c r="A77" s="39">
        <v>46301.0</v>
      </c>
      <c r="B77" s="40">
        <v>0.8381944444444445</v>
      </c>
      <c r="C77" s="41" t="s">
        <v>15</v>
      </c>
      <c r="D77" s="41" t="s">
        <v>87</v>
      </c>
      <c r="E77" s="41" t="s">
        <v>91</v>
      </c>
      <c r="F77" s="42">
        <v>0.0</v>
      </c>
      <c r="G77" s="42">
        <v>0.0</v>
      </c>
      <c r="H77" s="42">
        <v>0.0</v>
      </c>
      <c r="I77" s="42">
        <v>0.0</v>
      </c>
      <c r="J77" s="42">
        <v>0.0</v>
      </c>
      <c r="K77" s="42">
        <v>0.0</v>
      </c>
      <c r="L77" s="42">
        <v>0.0</v>
      </c>
      <c r="M77" s="42">
        <v>0.0</v>
      </c>
      <c r="N77" s="42">
        <v>0.0</v>
      </c>
      <c r="O77" s="42">
        <v>0.0</v>
      </c>
      <c r="P77" s="42">
        <v>0.0</v>
      </c>
      <c r="Q77" s="42">
        <v>0.0</v>
      </c>
    </row>
    <row r="78">
      <c r="A78" s="35">
        <v>46301.0</v>
      </c>
      <c r="B78" s="36">
        <v>0.8381944444444445</v>
      </c>
      <c r="C78" s="37" t="s">
        <v>15</v>
      </c>
      <c r="D78" s="37" t="s">
        <v>87</v>
      </c>
      <c r="E78" s="37" t="s">
        <v>92</v>
      </c>
      <c r="F78" s="38">
        <v>0.0</v>
      </c>
      <c r="G78" s="38">
        <v>0.0</v>
      </c>
      <c r="H78" s="38">
        <v>0.0</v>
      </c>
      <c r="I78" s="38">
        <v>0.0</v>
      </c>
      <c r="J78" s="38">
        <v>0.0</v>
      </c>
      <c r="K78" s="38">
        <v>0.0</v>
      </c>
      <c r="L78" s="38">
        <v>0.0</v>
      </c>
      <c r="M78" s="38">
        <v>0.0</v>
      </c>
      <c r="N78" s="38">
        <v>0.0</v>
      </c>
      <c r="O78" s="38">
        <v>0.0</v>
      </c>
      <c r="P78" s="38">
        <v>0.0</v>
      </c>
      <c r="Q78" s="38">
        <v>0.0</v>
      </c>
    </row>
    <row r="79">
      <c r="A79" s="39">
        <v>46301.0</v>
      </c>
      <c r="B79" s="40">
        <v>0.8381944444444445</v>
      </c>
      <c r="C79" s="41" t="s">
        <v>23</v>
      </c>
      <c r="D79" s="41" t="s">
        <v>93</v>
      </c>
      <c r="E79" s="41" t="s">
        <v>52</v>
      </c>
      <c r="F79" s="42">
        <v>1.0</v>
      </c>
      <c r="G79" s="42">
        <v>1.0</v>
      </c>
      <c r="H79" s="42">
        <v>0.0</v>
      </c>
      <c r="I79" s="42">
        <v>0.0</v>
      </c>
      <c r="J79" s="42">
        <v>0.0</v>
      </c>
      <c r="K79" s="42">
        <v>1.0</v>
      </c>
      <c r="L79" s="42">
        <v>1.0</v>
      </c>
      <c r="M79" s="42">
        <v>0.0</v>
      </c>
      <c r="N79" s="42">
        <v>0.0</v>
      </c>
      <c r="O79" s="42">
        <v>0.0</v>
      </c>
      <c r="P79" s="42">
        <v>1.0</v>
      </c>
      <c r="Q79" s="42">
        <v>1.0</v>
      </c>
    </row>
    <row r="80">
      <c r="A80" s="35">
        <v>46301.0</v>
      </c>
      <c r="B80" s="36">
        <v>0.8381944444444445</v>
      </c>
      <c r="C80" s="37" t="s">
        <v>23</v>
      </c>
      <c r="D80" s="37" t="s">
        <v>93</v>
      </c>
      <c r="E80" s="37" t="s">
        <v>88</v>
      </c>
      <c r="F80" s="38">
        <v>0.0</v>
      </c>
      <c r="G80" s="38">
        <v>0.0</v>
      </c>
      <c r="H80" s="38">
        <v>0.0</v>
      </c>
      <c r="I80" s="38">
        <v>0.0</v>
      </c>
      <c r="J80" s="38">
        <v>0.0</v>
      </c>
      <c r="K80" s="38">
        <v>0.0</v>
      </c>
      <c r="L80" s="38">
        <v>0.0</v>
      </c>
      <c r="M80" s="38">
        <v>0.0</v>
      </c>
      <c r="N80" s="38">
        <v>0.0</v>
      </c>
      <c r="O80" s="38">
        <v>0.0</v>
      </c>
      <c r="P80" s="38">
        <v>0.0</v>
      </c>
      <c r="Q80" s="38">
        <v>0.0</v>
      </c>
    </row>
    <row r="81">
      <c r="A81" s="39">
        <v>46301.0</v>
      </c>
      <c r="B81" s="40">
        <v>0.8381944444444445</v>
      </c>
      <c r="C81" s="41" t="s">
        <v>23</v>
      </c>
      <c r="D81" s="41" t="s">
        <v>93</v>
      </c>
      <c r="E81" s="41" t="s">
        <v>89</v>
      </c>
      <c r="F81" s="42">
        <v>0.0</v>
      </c>
      <c r="G81" s="42">
        <v>0.0</v>
      </c>
      <c r="H81" s="42">
        <v>0.0</v>
      </c>
      <c r="I81" s="42">
        <v>0.0</v>
      </c>
      <c r="J81" s="42">
        <v>0.0</v>
      </c>
      <c r="K81" s="42">
        <v>0.0</v>
      </c>
      <c r="L81" s="42">
        <v>0.0</v>
      </c>
      <c r="M81" s="42">
        <v>0.0</v>
      </c>
      <c r="N81" s="42">
        <v>0.0</v>
      </c>
      <c r="O81" s="42">
        <v>0.0</v>
      </c>
      <c r="P81" s="42">
        <v>0.0</v>
      </c>
      <c r="Q81" s="42">
        <v>0.0</v>
      </c>
    </row>
    <row r="82">
      <c r="A82" s="35">
        <v>46301.0</v>
      </c>
      <c r="B82" s="36">
        <v>0.8381944444444445</v>
      </c>
      <c r="C82" s="37" t="s">
        <v>23</v>
      </c>
      <c r="D82" s="37" t="s">
        <v>93</v>
      </c>
      <c r="E82" s="37" t="s">
        <v>50</v>
      </c>
      <c r="F82" s="38">
        <v>0.0</v>
      </c>
      <c r="G82" s="38">
        <v>0.0</v>
      </c>
      <c r="H82" s="38">
        <v>0.0</v>
      </c>
      <c r="I82" s="38">
        <v>0.0</v>
      </c>
      <c r="J82" s="38">
        <v>0.0</v>
      </c>
      <c r="K82" s="38">
        <v>0.0</v>
      </c>
      <c r="L82" s="38">
        <v>0.0</v>
      </c>
      <c r="M82" s="38">
        <v>0.0</v>
      </c>
      <c r="N82" s="38">
        <v>0.0</v>
      </c>
      <c r="O82" s="38">
        <v>0.0</v>
      </c>
      <c r="P82" s="38">
        <v>0.0</v>
      </c>
      <c r="Q82" s="38">
        <v>0.0</v>
      </c>
    </row>
    <row r="83">
      <c r="A83" s="39">
        <v>46301.0</v>
      </c>
      <c r="B83" s="40">
        <v>0.8381944444444445</v>
      </c>
      <c r="C83" s="41" t="s">
        <v>23</v>
      </c>
      <c r="D83" s="41" t="s">
        <v>93</v>
      </c>
      <c r="E83" s="41" t="s">
        <v>90</v>
      </c>
      <c r="F83" s="42">
        <v>0.0</v>
      </c>
      <c r="G83" s="42">
        <v>0.0</v>
      </c>
      <c r="H83" s="42">
        <v>0.0</v>
      </c>
      <c r="I83" s="42">
        <v>0.0</v>
      </c>
      <c r="J83" s="42">
        <v>0.0</v>
      </c>
      <c r="K83" s="42">
        <v>0.0</v>
      </c>
      <c r="L83" s="42">
        <v>0.0</v>
      </c>
      <c r="M83" s="42">
        <v>0.0</v>
      </c>
      <c r="N83" s="42">
        <v>0.0</v>
      </c>
      <c r="O83" s="42">
        <v>0.0</v>
      </c>
      <c r="P83" s="42">
        <v>0.0</v>
      </c>
      <c r="Q83" s="42">
        <v>0.0</v>
      </c>
    </row>
    <row r="84">
      <c r="A84" s="35">
        <v>46301.0</v>
      </c>
      <c r="B84" s="36">
        <v>0.8381944444444445</v>
      </c>
      <c r="C84" s="37" t="s">
        <v>23</v>
      </c>
      <c r="D84" s="37" t="s">
        <v>93</v>
      </c>
      <c r="E84" s="37" t="s">
        <v>91</v>
      </c>
      <c r="F84" s="38">
        <v>0.0</v>
      </c>
      <c r="G84" s="38">
        <v>0.0</v>
      </c>
      <c r="H84" s="38">
        <v>0.0</v>
      </c>
      <c r="I84" s="38">
        <v>0.0</v>
      </c>
      <c r="J84" s="38">
        <v>0.0</v>
      </c>
      <c r="K84" s="38">
        <v>0.0</v>
      </c>
      <c r="L84" s="38">
        <v>0.0</v>
      </c>
      <c r="M84" s="38">
        <v>0.0</v>
      </c>
      <c r="N84" s="38">
        <v>0.0</v>
      </c>
      <c r="O84" s="38">
        <v>0.0</v>
      </c>
      <c r="P84" s="38">
        <v>0.0</v>
      </c>
      <c r="Q84" s="38">
        <v>0.0</v>
      </c>
    </row>
    <row r="85">
      <c r="A85" s="39">
        <v>46301.0</v>
      </c>
      <c r="B85" s="40">
        <v>0.8381944444444445</v>
      </c>
      <c r="C85" s="41" t="s">
        <v>23</v>
      </c>
      <c r="D85" s="41" t="s">
        <v>93</v>
      </c>
      <c r="E85" s="41" t="s">
        <v>92</v>
      </c>
      <c r="F85" s="42">
        <v>0.0</v>
      </c>
      <c r="G85" s="42">
        <v>0.0</v>
      </c>
      <c r="H85" s="42">
        <v>0.0</v>
      </c>
      <c r="I85" s="42">
        <v>0.0</v>
      </c>
      <c r="J85" s="42">
        <v>0.0</v>
      </c>
      <c r="K85" s="42">
        <v>0.0</v>
      </c>
      <c r="L85" s="42">
        <v>0.0</v>
      </c>
      <c r="M85" s="42">
        <v>0.0</v>
      </c>
      <c r="N85" s="42">
        <v>0.0</v>
      </c>
      <c r="O85" s="42">
        <v>0.0</v>
      </c>
      <c r="P85" s="42">
        <v>0.0</v>
      </c>
      <c r="Q85" s="42">
        <v>0.0</v>
      </c>
    </row>
    <row r="86">
      <c r="A86" s="35">
        <v>46301.0</v>
      </c>
      <c r="B86" s="36">
        <v>0.8381944444444445</v>
      </c>
      <c r="C86" s="37" t="s">
        <v>29</v>
      </c>
      <c r="D86" s="37" t="s">
        <v>94</v>
      </c>
      <c r="E86" s="37" t="s">
        <v>52</v>
      </c>
      <c r="F86" s="38">
        <v>2.0</v>
      </c>
      <c r="G86" s="38">
        <v>0.0</v>
      </c>
      <c r="H86" s="38">
        <v>0.0</v>
      </c>
      <c r="I86" s="38">
        <v>0.0</v>
      </c>
      <c r="J86" s="38">
        <v>0.0</v>
      </c>
      <c r="K86" s="38">
        <v>2.0</v>
      </c>
      <c r="L86" s="38">
        <v>2.0</v>
      </c>
      <c r="M86" s="38">
        <v>0.0</v>
      </c>
      <c r="N86" s="38">
        <v>0.0</v>
      </c>
      <c r="O86" s="38">
        <v>0.0</v>
      </c>
      <c r="P86" s="38">
        <v>0.0</v>
      </c>
      <c r="Q86" s="38">
        <v>0.0</v>
      </c>
    </row>
    <row r="87">
      <c r="A87" s="39">
        <v>46301.0</v>
      </c>
      <c r="B87" s="40">
        <v>0.8381944444444445</v>
      </c>
      <c r="C87" s="41" t="s">
        <v>29</v>
      </c>
      <c r="D87" s="41" t="s">
        <v>94</v>
      </c>
      <c r="E87" s="41" t="s">
        <v>88</v>
      </c>
      <c r="F87" s="42">
        <v>0.0</v>
      </c>
      <c r="G87" s="42">
        <v>0.0</v>
      </c>
      <c r="H87" s="42">
        <v>0.0</v>
      </c>
      <c r="I87" s="42">
        <v>0.0</v>
      </c>
      <c r="J87" s="42">
        <v>0.0</v>
      </c>
      <c r="K87" s="42">
        <v>0.0</v>
      </c>
      <c r="L87" s="42">
        <v>0.0</v>
      </c>
      <c r="M87" s="42">
        <v>0.0</v>
      </c>
      <c r="N87" s="42">
        <v>0.0</v>
      </c>
      <c r="O87" s="42">
        <v>0.0</v>
      </c>
      <c r="P87" s="42">
        <v>0.0</v>
      </c>
      <c r="Q87" s="42">
        <v>0.0</v>
      </c>
    </row>
    <row r="88">
      <c r="A88" s="35">
        <v>46301.0</v>
      </c>
      <c r="B88" s="36">
        <v>0.8381944444444445</v>
      </c>
      <c r="C88" s="37" t="s">
        <v>29</v>
      </c>
      <c r="D88" s="37" t="s">
        <v>94</v>
      </c>
      <c r="E88" s="37" t="s">
        <v>89</v>
      </c>
      <c r="F88" s="38">
        <v>1.0</v>
      </c>
      <c r="G88" s="38">
        <v>0.0</v>
      </c>
      <c r="H88" s="38">
        <v>0.0</v>
      </c>
      <c r="I88" s="38">
        <v>0.0</v>
      </c>
      <c r="J88" s="38">
        <v>0.0</v>
      </c>
      <c r="K88" s="38">
        <v>1.0</v>
      </c>
      <c r="L88" s="38">
        <v>1.0</v>
      </c>
      <c r="M88" s="38">
        <v>0.0</v>
      </c>
      <c r="N88" s="38">
        <v>0.0</v>
      </c>
      <c r="O88" s="38">
        <v>0.0</v>
      </c>
      <c r="P88" s="38">
        <v>0.0</v>
      </c>
      <c r="Q88" s="38">
        <v>0.0</v>
      </c>
    </row>
    <row r="89">
      <c r="A89" s="39">
        <v>46301.0</v>
      </c>
      <c r="B89" s="40">
        <v>0.8381944444444445</v>
      </c>
      <c r="C89" s="41" t="s">
        <v>29</v>
      </c>
      <c r="D89" s="41" t="s">
        <v>94</v>
      </c>
      <c r="E89" s="41" t="s">
        <v>50</v>
      </c>
      <c r="F89" s="42">
        <v>0.0</v>
      </c>
      <c r="G89" s="42">
        <v>0.0</v>
      </c>
      <c r="H89" s="42">
        <v>0.0</v>
      </c>
      <c r="I89" s="42">
        <v>0.0</v>
      </c>
      <c r="J89" s="42">
        <v>0.0</v>
      </c>
      <c r="K89" s="42">
        <v>0.0</v>
      </c>
      <c r="L89" s="42">
        <v>0.0</v>
      </c>
      <c r="M89" s="42">
        <v>0.0</v>
      </c>
      <c r="N89" s="42">
        <v>0.0</v>
      </c>
      <c r="O89" s="42">
        <v>0.0</v>
      </c>
      <c r="P89" s="42">
        <v>0.0</v>
      </c>
      <c r="Q89" s="42">
        <v>0.0</v>
      </c>
    </row>
    <row r="90">
      <c r="A90" s="35">
        <v>46301.0</v>
      </c>
      <c r="B90" s="36">
        <v>0.8381944444444445</v>
      </c>
      <c r="C90" s="37" t="s">
        <v>29</v>
      </c>
      <c r="D90" s="37" t="s">
        <v>94</v>
      </c>
      <c r="E90" s="37" t="s">
        <v>90</v>
      </c>
      <c r="F90" s="38">
        <v>0.0</v>
      </c>
      <c r="G90" s="38">
        <v>0.0</v>
      </c>
      <c r="H90" s="38">
        <v>0.0</v>
      </c>
      <c r="I90" s="38">
        <v>0.0</v>
      </c>
      <c r="J90" s="38">
        <v>0.0</v>
      </c>
      <c r="K90" s="38">
        <v>0.0</v>
      </c>
      <c r="L90" s="38">
        <v>0.0</v>
      </c>
      <c r="M90" s="38">
        <v>0.0</v>
      </c>
      <c r="N90" s="38">
        <v>0.0</v>
      </c>
      <c r="O90" s="38">
        <v>0.0</v>
      </c>
      <c r="P90" s="38">
        <v>0.0</v>
      </c>
      <c r="Q90" s="38">
        <v>0.0</v>
      </c>
    </row>
    <row r="91">
      <c r="A91" s="39">
        <v>46301.0</v>
      </c>
      <c r="B91" s="40">
        <v>0.8381944444444445</v>
      </c>
      <c r="C91" s="41" t="s">
        <v>29</v>
      </c>
      <c r="D91" s="41" t="s">
        <v>94</v>
      </c>
      <c r="E91" s="41" t="s">
        <v>91</v>
      </c>
      <c r="F91" s="42">
        <v>0.0</v>
      </c>
      <c r="G91" s="42">
        <v>0.0</v>
      </c>
      <c r="H91" s="42">
        <v>0.0</v>
      </c>
      <c r="I91" s="42">
        <v>0.0</v>
      </c>
      <c r="J91" s="42">
        <v>0.0</v>
      </c>
      <c r="K91" s="42">
        <v>0.0</v>
      </c>
      <c r="L91" s="42">
        <v>0.0</v>
      </c>
      <c r="M91" s="42">
        <v>0.0</v>
      </c>
      <c r="N91" s="42">
        <v>0.0</v>
      </c>
      <c r="O91" s="42">
        <v>0.0</v>
      </c>
      <c r="P91" s="42">
        <v>0.0</v>
      </c>
      <c r="Q91" s="42">
        <v>0.0</v>
      </c>
    </row>
    <row r="92">
      <c r="A92" s="35">
        <v>46301.0</v>
      </c>
      <c r="B92" s="36">
        <v>0.8381944444444445</v>
      </c>
      <c r="C92" s="37" t="s">
        <v>29</v>
      </c>
      <c r="D92" s="37" t="s">
        <v>94</v>
      </c>
      <c r="E92" s="37" t="s">
        <v>92</v>
      </c>
      <c r="F92" s="38">
        <v>0.0</v>
      </c>
      <c r="G92" s="38">
        <v>0.0</v>
      </c>
      <c r="H92" s="38">
        <v>0.0</v>
      </c>
      <c r="I92" s="38">
        <v>0.0</v>
      </c>
      <c r="J92" s="38">
        <v>0.0</v>
      </c>
      <c r="K92" s="38">
        <v>0.0</v>
      </c>
      <c r="L92" s="38">
        <v>0.0</v>
      </c>
      <c r="M92" s="38">
        <v>0.0</v>
      </c>
      <c r="N92" s="38">
        <v>0.0</v>
      </c>
      <c r="O92" s="38">
        <v>0.0</v>
      </c>
      <c r="P92" s="38">
        <v>0.0</v>
      </c>
      <c r="Q92" s="38">
        <v>0.0</v>
      </c>
    </row>
    <row r="93">
      <c r="A93" s="39">
        <v>46301.0</v>
      </c>
      <c r="B93" s="40">
        <v>0.8381944444444445</v>
      </c>
      <c r="C93" s="41" t="s">
        <v>31</v>
      </c>
      <c r="D93" s="41" t="s">
        <v>95</v>
      </c>
      <c r="E93" s="41" t="s">
        <v>52</v>
      </c>
      <c r="F93" s="42">
        <v>0.0</v>
      </c>
      <c r="G93" s="42">
        <v>0.0</v>
      </c>
      <c r="H93" s="42">
        <v>0.0</v>
      </c>
      <c r="I93" s="42">
        <v>0.0</v>
      </c>
      <c r="J93" s="42">
        <v>0.0</v>
      </c>
      <c r="K93" s="42">
        <v>0.0</v>
      </c>
      <c r="L93" s="42">
        <v>0.0</v>
      </c>
      <c r="M93" s="42">
        <v>0.0</v>
      </c>
      <c r="N93" s="42">
        <v>0.0</v>
      </c>
      <c r="O93" s="42">
        <v>0.0</v>
      </c>
      <c r="P93" s="42">
        <v>0.0</v>
      </c>
      <c r="Q93" s="42">
        <v>0.0</v>
      </c>
    </row>
    <row r="94">
      <c r="A94" s="35">
        <v>46301.0</v>
      </c>
      <c r="B94" s="36">
        <v>0.8381944444444445</v>
      </c>
      <c r="C94" s="37" t="s">
        <v>31</v>
      </c>
      <c r="D94" s="37" t="s">
        <v>95</v>
      </c>
      <c r="E94" s="37" t="s">
        <v>88</v>
      </c>
      <c r="F94" s="38">
        <v>0.0</v>
      </c>
      <c r="G94" s="38">
        <v>0.0</v>
      </c>
      <c r="H94" s="38">
        <v>0.0</v>
      </c>
      <c r="I94" s="38">
        <v>0.0</v>
      </c>
      <c r="J94" s="38">
        <v>0.0</v>
      </c>
      <c r="K94" s="38">
        <v>0.0</v>
      </c>
      <c r="L94" s="38">
        <v>0.0</v>
      </c>
      <c r="M94" s="38">
        <v>0.0</v>
      </c>
      <c r="N94" s="38">
        <v>0.0</v>
      </c>
      <c r="O94" s="38">
        <v>0.0</v>
      </c>
      <c r="P94" s="38">
        <v>0.0</v>
      </c>
      <c r="Q94" s="38">
        <v>0.0</v>
      </c>
    </row>
    <row r="95">
      <c r="A95" s="39">
        <v>46301.0</v>
      </c>
      <c r="B95" s="40">
        <v>0.8381944444444445</v>
      </c>
      <c r="C95" s="41" t="s">
        <v>31</v>
      </c>
      <c r="D95" s="41" t="s">
        <v>95</v>
      </c>
      <c r="E95" s="41" t="s">
        <v>89</v>
      </c>
      <c r="F95" s="42">
        <v>0.0</v>
      </c>
      <c r="G95" s="42">
        <v>0.0</v>
      </c>
      <c r="H95" s="42">
        <v>0.0</v>
      </c>
      <c r="I95" s="42">
        <v>0.0</v>
      </c>
      <c r="J95" s="42">
        <v>0.0</v>
      </c>
      <c r="K95" s="42">
        <v>0.0</v>
      </c>
      <c r="L95" s="42">
        <v>0.0</v>
      </c>
      <c r="M95" s="42">
        <v>0.0</v>
      </c>
      <c r="N95" s="42">
        <v>0.0</v>
      </c>
      <c r="O95" s="42">
        <v>0.0</v>
      </c>
      <c r="P95" s="42">
        <v>0.0</v>
      </c>
      <c r="Q95" s="42">
        <v>0.0</v>
      </c>
    </row>
    <row r="96">
      <c r="A96" s="35">
        <v>46301.0</v>
      </c>
      <c r="B96" s="36">
        <v>0.8381944444444445</v>
      </c>
      <c r="C96" s="37" t="s">
        <v>31</v>
      </c>
      <c r="D96" s="37" t="s">
        <v>95</v>
      </c>
      <c r="E96" s="37" t="s">
        <v>50</v>
      </c>
      <c r="F96" s="38">
        <v>1.0</v>
      </c>
      <c r="G96" s="38">
        <v>0.0</v>
      </c>
      <c r="H96" s="38">
        <v>0.0</v>
      </c>
      <c r="I96" s="38">
        <v>0.0</v>
      </c>
      <c r="J96" s="38">
        <v>0.0</v>
      </c>
      <c r="K96" s="38">
        <v>1.0</v>
      </c>
      <c r="L96" s="38">
        <v>1.0</v>
      </c>
      <c r="M96" s="38">
        <v>0.0</v>
      </c>
      <c r="N96" s="38">
        <v>0.0</v>
      </c>
      <c r="O96" s="38">
        <v>0.0</v>
      </c>
      <c r="P96" s="38">
        <v>0.0</v>
      </c>
      <c r="Q96" s="38">
        <v>0.0</v>
      </c>
    </row>
    <row r="97">
      <c r="A97" s="39">
        <v>46301.0</v>
      </c>
      <c r="B97" s="40">
        <v>0.8381944444444445</v>
      </c>
      <c r="C97" s="41" t="s">
        <v>31</v>
      </c>
      <c r="D97" s="41" t="s">
        <v>95</v>
      </c>
      <c r="E97" s="41" t="s">
        <v>90</v>
      </c>
      <c r="F97" s="42">
        <v>0.0</v>
      </c>
      <c r="G97" s="42">
        <v>0.0</v>
      </c>
      <c r="H97" s="42">
        <v>0.0</v>
      </c>
      <c r="I97" s="42">
        <v>0.0</v>
      </c>
      <c r="J97" s="42">
        <v>0.0</v>
      </c>
      <c r="K97" s="42">
        <v>0.0</v>
      </c>
      <c r="L97" s="42">
        <v>0.0</v>
      </c>
      <c r="M97" s="42">
        <v>0.0</v>
      </c>
      <c r="N97" s="42">
        <v>0.0</v>
      </c>
      <c r="O97" s="42">
        <v>0.0</v>
      </c>
      <c r="P97" s="42">
        <v>0.0</v>
      </c>
      <c r="Q97" s="42">
        <v>0.0</v>
      </c>
    </row>
    <row r="98">
      <c r="A98" s="35">
        <v>46301.0</v>
      </c>
      <c r="B98" s="36">
        <v>0.8381944444444445</v>
      </c>
      <c r="C98" s="37" t="s">
        <v>31</v>
      </c>
      <c r="D98" s="37" t="s">
        <v>95</v>
      </c>
      <c r="E98" s="37" t="s">
        <v>91</v>
      </c>
      <c r="F98" s="38">
        <v>0.0</v>
      </c>
      <c r="G98" s="38">
        <v>0.0</v>
      </c>
      <c r="H98" s="38">
        <v>0.0</v>
      </c>
      <c r="I98" s="38">
        <v>0.0</v>
      </c>
      <c r="J98" s="38">
        <v>0.0</v>
      </c>
      <c r="K98" s="38">
        <v>0.0</v>
      </c>
      <c r="L98" s="38">
        <v>0.0</v>
      </c>
      <c r="M98" s="38">
        <v>0.0</v>
      </c>
      <c r="N98" s="38">
        <v>0.0</v>
      </c>
      <c r="O98" s="38">
        <v>0.0</v>
      </c>
      <c r="P98" s="38">
        <v>0.0</v>
      </c>
      <c r="Q98" s="38">
        <v>0.0</v>
      </c>
    </row>
    <row r="99">
      <c r="A99" s="39">
        <v>46301.0</v>
      </c>
      <c r="B99" s="40">
        <v>0.8381944444444445</v>
      </c>
      <c r="C99" s="41" t="s">
        <v>31</v>
      </c>
      <c r="D99" s="41" t="s">
        <v>95</v>
      </c>
      <c r="E99" s="41" t="s">
        <v>92</v>
      </c>
      <c r="F99" s="42">
        <v>0.0</v>
      </c>
      <c r="G99" s="42">
        <v>0.0</v>
      </c>
      <c r="H99" s="42">
        <v>0.0</v>
      </c>
      <c r="I99" s="42">
        <v>0.0</v>
      </c>
      <c r="J99" s="42">
        <v>0.0</v>
      </c>
      <c r="K99" s="42">
        <v>0.0</v>
      </c>
      <c r="L99" s="42">
        <v>0.0</v>
      </c>
      <c r="M99" s="42">
        <v>0.0</v>
      </c>
      <c r="N99" s="42">
        <v>0.0</v>
      </c>
      <c r="O99" s="42">
        <v>0.0</v>
      </c>
      <c r="P99" s="42">
        <v>0.0</v>
      </c>
      <c r="Q99" s="42">
        <v>0.0</v>
      </c>
    </row>
    <row r="100">
      <c r="A100" s="43">
        <v>46301.0</v>
      </c>
      <c r="B100" s="44">
        <v>0.8381944444444445</v>
      </c>
      <c r="C100" s="45" t="s">
        <v>96</v>
      </c>
      <c r="D100" s="45" t="s">
        <v>75</v>
      </c>
      <c r="E100" s="45" t="s">
        <v>52</v>
      </c>
      <c r="F100" s="46">
        <v>3.0</v>
      </c>
      <c r="G100" s="46">
        <v>1.0</v>
      </c>
      <c r="H100" s="46">
        <v>0.0</v>
      </c>
      <c r="I100" s="46">
        <v>0.0</v>
      </c>
      <c r="J100" s="46">
        <v>0.0</v>
      </c>
      <c r="K100" s="46">
        <v>3.0</v>
      </c>
      <c r="L100" s="46">
        <v>3.0</v>
      </c>
      <c r="M100" s="46">
        <v>0.0</v>
      </c>
      <c r="N100" s="46">
        <v>0.0</v>
      </c>
      <c r="O100" s="46">
        <v>0.0</v>
      </c>
      <c r="P100" s="46">
        <v>1.0</v>
      </c>
      <c r="Q100" s="46">
        <v>1.0</v>
      </c>
    </row>
    <row r="101">
      <c r="A101" s="43">
        <v>46301.0</v>
      </c>
      <c r="B101" s="44">
        <v>0.8381944444444445</v>
      </c>
      <c r="C101" s="45" t="s">
        <v>96</v>
      </c>
      <c r="D101" s="45" t="s">
        <v>75</v>
      </c>
      <c r="E101" s="45" t="s">
        <v>88</v>
      </c>
      <c r="F101" s="46">
        <v>0.0</v>
      </c>
      <c r="G101" s="46">
        <v>0.0</v>
      </c>
      <c r="H101" s="46">
        <v>0.0</v>
      </c>
      <c r="I101" s="46">
        <v>0.0</v>
      </c>
      <c r="J101" s="46">
        <v>0.0</v>
      </c>
      <c r="K101" s="46">
        <v>0.0</v>
      </c>
      <c r="L101" s="46">
        <v>0.0</v>
      </c>
      <c r="M101" s="46">
        <v>0.0</v>
      </c>
      <c r="N101" s="46">
        <v>0.0</v>
      </c>
      <c r="O101" s="46">
        <v>0.0</v>
      </c>
      <c r="P101" s="46">
        <v>0.0</v>
      </c>
      <c r="Q101" s="46">
        <v>0.0</v>
      </c>
    </row>
    <row r="102">
      <c r="A102" s="43">
        <v>46301.0</v>
      </c>
      <c r="B102" s="44">
        <v>0.8381944444444445</v>
      </c>
      <c r="C102" s="45" t="s">
        <v>96</v>
      </c>
      <c r="D102" s="45" t="s">
        <v>75</v>
      </c>
      <c r="E102" s="45" t="s">
        <v>89</v>
      </c>
      <c r="F102" s="46">
        <v>1.0</v>
      </c>
      <c r="G102" s="46">
        <v>0.0</v>
      </c>
      <c r="H102" s="46">
        <v>0.0</v>
      </c>
      <c r="I102" s="46">
        <v>0.0</v>
      </c>
      <c r="J102" s="46">
        <v>0.0</v>
      </c>
      <c r="K102" s="46">
        <v>1.0</v>
      </c>
      <c r="L102" s="46">
        <v>1.0</v>
      </c>
      <c r="M102" s="46">
        <v>0.0</v>
      </c>
      <c r="N102" s="46">
        <v>0.0</v>
      </c>
      <c r="O102" s="46">
        <v>0.0</v>
      </c>
      <c r="P102" s="46">
        <v>0.0</v>
      </c>
      <c r="Q102" s="46">
        <v>0.0</v>
      </c>
    </row>
    <row r="103">
      <c r="A103" s="43">
        <v>46301.0</v>
      </c>
      <c r="B103" s="44">
        <v>0.8381944444444445</v>
      </c>
      <c r="C103" s="45" t="s">
        <v>96</v>
      </c>
      <c r="D103" s="45" t="s">
        <v>75</v>
      </c>
      <c r="E103" s="45" t="s">
        <v>50</v>
      </c>
      <c r="F103" s="46">
        <v>1.0</v>
      </c>
      <c r="G103" s="46">
        <v>0.0</v>
      </c>
      <c r="H103" s="46">
        <v>0.0</v>
      </c>
      <c r="I103" s="46">
        <v>0.0</v>
      </c>
      <c r="J103" s="46">
        <v>0.0</v>
      </c>
      <c r="K103" s="46">
        <v>1.0</v>
      </c>
      <c r="L103" s="46">
        <v>1.0</v>
      </c>
      <c r="M103" s="46">
        <v>0.0</v>
      </c>
      <c r="N103" s="46">
        <v>0.0</v>
      </c>
      <c r="O103" s="46">
        <v>0.0</v>
      </c>
      <c r="P103" s="46">
        <v>0.0</v>
      </c>
      <c r="Q103" s="46">
        <v>0.0</v>
      </c>
    </row>
    <row r="104">
      <c r="A104" s="43">
        <v>46301.0</v>
      </c>
      <c r="B104" s="44">
        <v>0.8381944444444445</v>
      </c>
      <c r="C104" s="45" t="s">
        <v>96</v>
      </c>
      <c r="D104" s="45" t="s">
        <v>75</v>
      </c>
      <c r="E104" s="45" t="s">
        <v>90</v>
      </c>
      <c r="F104" s="46">
        <v>0.0</v>
      </c>
      <c r="G104" s="46">
        <v>0.0</v>
      </c>
      <c r="H104" s="46">
        <v>0.0</v>
      </c>
      <c r="I104" s="46">
        <v>0.0</v>
      </c>
      <c r="J104" s="46">
        <v>0.0</v>
      </c>
      <c r="K104" s="46">
        <v>0.0</v>
      </c>
      <c r="L104" s="46">
        <v>0.0</v>
      </c>
      <c r="M104" s="46">
        <v>0.0</v>
      </c>
      <c r="N104" s="46">
        <v>0.0</v>
      </c>
      <c r="O104" s="46">
        <v>0.0</v>
      </c>
      <c r="P104" s="46">
        <v>0.0</v>
      </c>
      <c r="Q104" s="46">
        <v>0.0</v>
      </c>
    </row>
    <row r="105">
      <c r="A105" s="43">
        <v>46301.0</v>
      </c>
      <c r="B105" s="44">
        <v>0.8381944444444445</v>
      </c>
      <c r="C105" s="45" t="s">
        <v>96</v>
      </c>
      <c r="D105" s="45" t="s">
        <v>75</v>
      </c>
      <c r="E105" s="45" t="s">
        <v>91</v>
      </c>
      <c r="F105" s="46">
        <v>0.0</v>
      </c>
      <c r="G105" s="46">
        <v>0.0</v>
      </c>
      <c r="H105" s="46">
        <v>0.0</v>
      </c>
      <c r="I105" s="46">
        <v>0.0</v>
      </c>
      <c r="J105" s="46">
        <v>0.0</v>
      </c>
      <c r="K105" s="46">
        <v>0.0</v>
      </c>
      <c r="L105" s="46">
        <v>0.0</v>
      </c>
      <c r="M105" s="46">
        <v>0.0</v>
      </c>
      <c r="N105" s="46">
        <v>0.0</v>
      </c>
      <c r="O105" s="46">
        <v>0.0</v>
      </c>
      <c r="P105" s="46">
        <v>0.0</v>
      </c>
      <c r="Q105" s="46">
        <v>0.0</v>
      </c>
    </row>
    <row r="106">
      <c r="A106" s="43">
        <v>46301.0</v>
      </c>
      <c r="B106" s="44">
        <v>0.8381944444444445</v>
      </c>
      <c r="C106" s="45" t="s">
        <v>96</v>
      </c>
      <c r="D106" s="45" t="s">
        <v>75</v>
      </c>
      <c r="E106" s="45" t="s">
        <v>92</v>
      </c>
      <c r="F106" s="46">
        <v>0.0</v>
      </c>
      <c r="G106" s="46">
        <v>0.0</v>
      </c>
      <c r="H106" s="46">
        <v>0.0</v>
      </c>
      <c r="I106" s="46">
        <v>0.0</v>
      </c>
      <c r="J106" s="46">
        <v>0.0</v>
      </c>
      <c r="K106" s="46">
        <v>0.0</v>
      </c>
      <c r="L106" s="46">
        <v>0.0</v>
      </c>
      <c r="M106" s="46">
        <v>0.0</v>
      </c>
      <c r="N106" s="46">
        <v>0.0</v>
      </c>
      <c r="O106" s="46">
        <v>0.0</v>
      </c>
      <c r="P106" s="46">
        <v>0.0</v>
      </c>
      <c r="Q106" s="46">
        <v>0.0</v>
      </c>
    </row>
    <row r="107">
      <c r="A107" s="39">
        <v>46301.0</v>
      </c>
      <c r="B107" s="40">
        <v>0.8451388888888889</v>
      </c>
      <c r="C107" s="41" t="s">
        <v>15</v>
      </c>
      <c r="D107" s="41" t="s">
        <v>87</v>
      </c>
      <c r="E107" s="41" t="s">
        <v>52</v>
      </c>
      <c r="F107" s="42">
        <v>0.0</v>
      </c>
      <c r="G107" s="42">
        <v>0.0</v>
      </c>
      <c r="H107" s="42">
        <v>0.0</v>
      </c>
      <c r="I107" s="42">
        <v>0.0</v>
      </c>
      <c r="J107" s="42">
        <v>0.0</v>
      </c>
      <c r="K107" s="42">
        <v>0.0</v>
      </c>
      <c r="L107" s="42">
        <v>0.0</v>
      </c>
      <c r="M107" s="42">
        <v>0.0</v>
      </c>
      <c r="N107" s="42">
        <v>0.0</v>
      </c>
      <c r="O107" s="42">
        <v>0.0</v>
      </c>
      <c r="P107" s="42">
        <v>0.0</v>
      </c>
      <c r="Q107" s="42">
        <v>0.0</v>
      </c>
    </row>
    <row r="108">
      <c r="A108" s="35">
        <v>46301.0</v>
      </c>
      <c r="B108" s="36">
        <v>0.8451388888888889</v>
      </c>
      <c r="C108" s="37" t="s">
        <v>15</v>
      </c>
      <c r="D108" s="37" t="s">
        <v>87</v>
      </c>
      <c r="E108" s="37" t="s">
        <v>88</v>
      </c>
      <c r="F108" s="38">
        <v>0.0</v>
      </c>
      <c r="G108" s="38">
        <v>0.0</v>
      </c>
      <c r="H108" s="38">
        <v>0.0</v>
      </c>
      <c r="I108" s="38">
        <v>0.0</v>
      </c>
      <c r="J108" s="38">
        <v>0.0</v>
      </c>
      <c r="K108" s="38">
        <v>0.0</v>
      </c>
      <c r="L108" s="38">
        <v>0.0</v>
      </c>
      <c r="M108" s="38">
        <v>0.0</v>
      </c>
      <c r="N108" s="38">
        <v>0.0</v>
      </c>
      <c r="O108" s="38">
        <v>0.0</v>
      </c>
      <c r="P108" s="38">
        <v>0.0</v>
      </c>
      <c r="Q108" s="38">
        <v>0.0</v>
      </c>
    </row>
    <row r="109">
      <c r="A109" s="39">
        <v>46301.0</v>
      </c>
      <c r="B109" s="40">
        <v>0.8451388888888889</v>
      </c>
      <c r="C109" s="41" t="s">
        <v>15</v>
      </c>
      <c r="D109" s="41" t="s">
        <v>87</v>
      </c>
      <c r="E109" s="41" t="s">
        <v>89</v>
      </c>
      <c r="F109" s="42">
        <v>0.0</v>
      </c>
      <c r="G109" s="42">
        <v>0.0</v>
      </c>
      <c r="H109" s="42">
        <v>0.0</v>
      </c>
      <c r="I109" s="42">
        <v>0.0</v>
      </c>
      <c r="J109" s="42">
        <v>0.0</v>
      </c>
      <c r="K109" s="42">
        <v>0.0</v>
      </c>
      <c r="L109" s="42">
        <v>0.0</v>
      </c>
      <c r="M109" s="42">
        <v>0.0</v>
      </c>
      <c r="N109" s="42">
        <v>0.0</v>
      </c>
      <c r="O109" s="42">
        <v>0.0</v>
      </c>
      <c r="P109" s="42">
        <v>0.0</v>
      </c>
      <c r="Q109" s="42">
        <v>0.0</v>
      </c>
    </row>
    <row r="110">
      <c r="A110" s="35">
        <v>46301.0</v>
      </c>
      <c r="B110" s="36">
        <v>0.8451388888888889</v>
      </c>
      <c r="C110" s="37" t="s">
        <v>15</v>
      </c>
      <c r="D110" s="37" t="s">
        <v>87</v>
      </c>
      <c r="E110" s="37" t="s">
        <v>50</v>
      </c>
      <c r="F110" s="38">
        <v>0.0</v>
      </c>
      <c r="G110" s="38">
        <v>0.0</v>
      </c>
      <c r="H110" s="38">
        <v>0.0</v>
      </c>
      <c r="I110" s="38">
        <v>0.0</v>
      </c>
      <c r="J110" s="38">
        <v>0.0</v>
      </c>
      <c r="K110" s="38">
        <v>0.0</v>
      </c>
      <c r="L110" s="38">
        <v>0.0</v>
      </c>
      <c r="M110" s="38">
        <v>0.0</v>
      </c>
      <c r="N110" s="38">
        <v>0.0</v>
      </c>
      <c r="O110" s="38">
        <v>0.0</v>
      </c>
      <c r="P110" s="38">
        <v>0.0</v>
      </c>
      <c r="Q110" s="38">
        <v>0.0</v>
      </c>
    </row>
    <row r="111">
      <c r="A111" s="39">
        <v>46301.0</v>
      </c>
      <c r="B111" s="40">
        <v>0.8451388888888889</v>
      </c>
      <c r="C111" s="41" t="s">
        <v>15</v>
      </c>
      <c r="D111" s="41" t="s">
        <v>87</v>
      </c>
      <c r="E111" s="41" t="s">
        <v>90</v>
      </c>
      <c r="F111" s="42">
        <v>0.0</v>
      </c>
      <c r="G111" s="42">
        <v>0.0</v>
      </c>
      <c r="H111" s="42">
        <v>0.0</v>
      </c>
      <c r="I111" s="42">
        <v>0.0</v>
      </c>
      <c r="J111" s="42">
        <v>0.0</v>
      </c>
      <c r="K111" s="42">
        <v>0.0</v>
      </c>
      <c r="L111" s="42">
        <v>0.0</v>
      </c>
      <c r="M111" s="42">
        <v>0.0</v>
      </c>
      <c r="N111" s="42">
        <v>0.0</v>
      </c>
      <c r="O111" s="42">
        <v>0.0</v>
      </c>
      <c r="P111" s="42">
        <v>0.0</v>
      </c>
      <c r="Q111" s="42">
        <v>0.0</v>
      </c>
    </row>
    <row r="112">
      <c r="A112" s="35">
        <v>46301.0</v>
      </c>
      <c r="B112" s="36">
        <v>0.8451388888888889</v>
      </c>
      <c r="C112" s="37" t="s">
        <v>15</v>
      </c>
      <c r="D112" s="37" t="s">
        <v>87</v>
      </c>
      <c r="E112" s="37" t="s">
        <v>91</v>
      </c>
      <c r="F112" s="38">
        <v>0.0</v>
      </c>
      <c r="G112" s="38">
        <v>0.0</v>
      </c>
      <c r="H112" s="38">
        <v>0.0</v>
      </c>
      <c r="I112" s="38">
        <v>0.0</v>
      </c>
      <c r="J112" s="38">
        <v>0.0</v>
      </c>
      <c r="K112" s="38">
        <v>0.0</v>
      </c>
      <c r="L112" s="38">
        <v>0.0</v>
      </c>
      <c r="M112" s="38">
        <v>0.0</v>
      </c>
      <c r="N112" s="38">
        <v>0.0</v>
      </c>
      <c r="O112" s="38">
        <v>0.0</v>
      </c>
      <c r="P112" s="38">
        <v>0.0</v>
      </c>
      <c r="Q112" s="38">
        <v>0.0</v>
      </c>
    </row>
    <row r="113">
      <c r="A113" s="39">
        <v>46301.0</v>
      </c>
      <c r="B113" s="40">
        <v>0.8451388888888889</v>
      </c>
      <c r="C113" s="41" t="s">
        <v>15</v>
      </c>
      <c r="D113" s="41" t="s">
        <v>87</v>
      </c>
      <c r="E113" s="41" t="s">
        <v>92</v>
      </c>
      <c r="F113" s="42">
        <v>0.0</v>
      </c>
      <c r="G113" s="42">
        <v>0.0</v>
      </c>
      <c r="H113" s="42">
        <v>0.0</v>
      </c>
      <c r="I113" s="42">
        <v>0.0</v>
      </c>
      <c r="J113" s="42">
        <v>0.0</v>
      </c>
      <c r="K113" s="42">
        <v>0.0</v>
      </c>
      <c r="L113" s="42">
        <v>0.0</v>
      </c>
      <c r="M113" s="42">
        <v>0.0</v>
      </c>
      <c r="N113" s="42">
        <v>0.0</v>
      </c>
      <c r="O113" s="42">
        <v>0.0</v>
      </c>
      <c r="P113" s="42">
        <v>0.0</v>
      </c>
      <c r="Q113" s="42">
        <v>0.0</v>
      </c>
    </row>
    <row r="114">
      <c r="A114" s="35">
        <v>46301.0</v>
      </c>
      <c r="B114" s="36">
        <v>0.8451388888888889</v>
      </c>
      <c r="C114" s="37" t="s">
        <v>23</v>
      </c>
      <c r="D114" s="37" t="s">
        <v>93</v>
      </c>
      <c r="E114" s="37" t="s">
        <v>52</v>
      </c>
      <c r="F114" s="38">
        <v>1.0</v>
      </c>
      <c r="G114" s="38">
        <v>1.0</v>
      </c>
      <c r="H114" s="38">
        <v>0.0</v>
      </c>
      <c r="I114" s="38">
        <v>0.0</v>
      </c>
      <c r="J114" s="38">
        <v>0.0</v>
      </c>
      <c r="K114" s="38">
        <v>1.0</v>
      </c>
      <c r="L114" s="38">
        <v>1.0</v>
      </c>
      <c r="M114" s="38">
        <v>0.0</v>
      </c>
      <c r="N114" s="38">
        <v>0.0</v>
      </c>
      <c r="O114" s="38">
        <v>0.0</v>
      </c>
      <c r="P114" s="38">
        <v>1.0</v>
      </c>
      <c r="Q114" s="38">
        <v>1.0</v>
      </c>
    </row>
    <row r="115">
      <c r="A115" s="39">
        <v>46301.0</v>
      </c>
      <c r="B115" s="40">
        <v>0.8451388888888889</v>
      </c>
      <c r="C115" s="41" t="s">
        <v>23</v>
      </c>
      <c r="D115" s="41" t="s">
        <v>93</v>
      </c>
      <c r="E115" s="41" t="s">
        <v>88</v>
      </c>
      <c r="F115" s="42">
        <v>0.0</v>
      </c>
      <c r="G115" s="42">
        <v>0.0</v>
      </c>
      <c r="H115" s="42">
        <v>0.0</v>
      </c>
      <c r="I115" s="42">
        <v>0.0</v>
      </c>
      <c r="J115" s="42">
        <v>0.0</v>
      </c>
      <c r="K115" s="42">
        <v>0.0</v>
      </c>
      <c r="L115" s="42">
        <v>0.0</v>
      </c>
      <c r="M115" s="42">
        <v>0.0</v>
      </c>
      <c r="N115" s="42">
        <v>0.0</v>
      </c>
      <c r="O115" s="42">
        <v>0.0</v>
      </c>
      <c r="P115" s="42">
        <v>0.0</v>
      </c>
      <c r="Q115" s="42">
        <v>0.0</v>
      </c>
    </row>
    <row r="116">
      <c r="A116" s="35">
        <v>46301.0</v>
      </c>
      <c r="B116" s="36">
        <v>0.8451388888888889</v>
      </c>
      <c r="C116" s="37" t="s">
        <v>23</v>
      </c>
      <c r="D116" s="37" t="s">
        <v>93</v>
      </c>
      <c r="E116" s="37" t="s">
        <v>89</v>
      </c>
      <c r="F116" s="38">
        <v>0.0</v>
      </c>
      <c r="G116" s="38">
        <v>0.0</v>
      </c>
      <c r="H116" s="38">
        <v>0.0</v>
      </c>
      <c r="I116" s="38">
        <v>0.0</v>
      </c>
      <c r="J116" s="38">
        <v>0.0</v>
      </c>
      <c r="K116" s="38">
        <v>0.0</v>
      </c>
      <c r="L116" s="38">
        <v>0.0</v>
      </c>
      <c r="M116" s="38">
        <v>0.0</v>
      </c>
      <c r="N116" s="38">
        <v>0.0</v>
      </c>
      <c r="O116" s="38">
        <v>0.0</v>
      </c>
      <c r="P116" s="38">
        <v>0.0</v>
      </c>
      <c r="Q116" s="38">
        <v>0.0</v>
      </c>
    </row>
    <row r="117">
      <c r="A117" s="39">
        <v>46301.0</v>
      </c>
      <c r="B117" s="40">
        <v>0.8451388888888889</v>
      </c>
      <c r="C117" s="41" t="s">
        <v>23</v>
      </c>
      <c r="D117" s="41" t="s">
        <v>93</v>
      </c>
      <c r="E117" s="41" t="s">
        <v>50</v>
      </c>
      <c r="F117" s="42">
        <v>0.0</v>
      </c>
      <c r="G117" s="42">
        <v>0.0</v>
      </c>
      <c r="H117" s="42">
        <v>0.0</v>
      </c>
      <c r="I117" s="42">
        <v>0.0</v>
      </c>
      <c r="J117" s="42">
        <v>0.0</v>
      </c>
      <c r="K117" s="42">
        <v>0.0</v>
      </c>
      <c r="L117" s="42">
        <v>0.0</v>
      </c>
      <c r="M117" s="42">
        <v>0.0</v>
      </c>
      <c r="N117" s="42">
        <v>0.0</v>
      </c>
      <c r="O117" s="42">
        <v>0.0</v>
      </c>
      <c r="P117" s="42">
        <v>0.0</v>
      </c>
      <c r="Q117" s="42">
        <v>0.0</v>
      </c>
    </row>
    <row r="118">
      <c r="A118" s="35">
        <v>46301.0</v>
      </c>
      <c r="B118" s="36">
        <v>0.8451388888888889</v>
      </c>
      <c r="C118" s="37" t="s">
        <v>23</v>
      </c>
      <c r="D118" s="37" t="s">
        <v>93</v>
      </c>
      <c r="E118" s="37" t="s">
        <v>90</v>
      </c>
      <c r="F118" s="38">
        <v>0.0</v>
      </c>
      <c r="G118" s="38">
        <v>0.0</v>
      </c>
      <c r="H118" s="38">
        <v>0.0</v>
      </c>
      <c r="I118" s="38">
        <v>0.0</v>
      </c>
      <c r="J118" s="38">
        <v>0.0</v>
      </c>
      <c r="K118" s="38">
        <v>0.0</v>
      </c>
      <c r="L118" s="38">
        <v>0.0</v>
      </c>
      <c r="M118" s="38">
        <v>0.0</v>
      </c>
      <c r="N118" s="38">
        <v>0.0</v>
      </c>
      <c r="O118" s="38">
        <v>0.0</v>
      </c>
      <c r="P118" s="38">
        <v>0.0</v>
      </c>
      <c r="Q118" s="38">
        <v>0.0</v>
      </c>
    </row>
    <row r="119">
      <c r="A119" s="39">
        <v>46301.0</v>
      </c>
      <c r="B119" s="40">
        <v>0.8451388888888889</v>
      </c>
      <c r="C119" s="41" t="s">
        <v>23</v>
      </c>
      <c r="D119" s="41" t="s">
        <v>93</v>
      </c>
      <c r="E119" s="41" t="s">
        <v>91</v>
      </c>
      <c r="F119" s="42">
        <v>0.0</v>
      </c>
      <c r="G119" s="42">
        <v>0.0</v>
      </c>
      <c r="H119" s="42">
        <v>0.0</v>
      </c>
      <c r="I119" s="42">
        <v>0.0</v>
      </c>
      <c r="J119" s="42">
        <v>0.0</v>
      </c>
      <c r="K119" s="42">
        <v>0.0</v>
      </c>
      <c r="L119" s="42">
        <v>0.0</v>
      </c>
      <c r="M119" s="42">
        <v>0.0</v>
      </c>
      <c r="N119" s="42">
        <v>0.0</v>
      </c>
      <c r="O119" s="42">
        <v>0.0</v>
      </c>
      <c r="P119" s="42">
        <v>0.0</v>
      </c>
      <c r="Q119" s="42">
        <v>0.0</v>
      </c>
    </row>
    <row r="120">
      <c r="A120" s="35">
        <v>46301.0</v>
      </c>
      <c r="B120" s="36">
        <v>0.8451388888888889</v>
      </c>
      <c r="C120" s="37" t="s">
        <v>23</v>
      </c>
      <c r="D120" s="37" t="s">
        <v>93</v>
      </c>
      <c r="E120" s="37" t="s">
        <v>92</v>
      </c>
      <c r="F120" s="38">
        <v>0.0</v>
      </c>
      <c r="G120" s="38">
        <v>0.0</v>
      </c>
      <c r="H120" s="38">
        <v>0.0</v>
      </c>
      <c r="I120" s="38">
        <v>0.0</v>
      </c>
      <c r="J120" s="38">
        <v>0.0</v>
      </c>
      <c r="K120" s="38">
        <v>0.0</v>
      </c>
      <c r="L120" s="38">
        <v>0.0</v>
      </c>
      <c r="M120" s="38">
        <v>0.0</v>
      </c>
      <c r="N120" s="38">
        <v>0.0</v>
      </c>
      <c r="O120" s="38">
        <v>0.0</v>
      </c>
      <c r="P120" s="38">
        <v>0.0</v>
      </c>
      <c r="Q120" s="38">
        <v>0.0</v>
      </c>
    </row>
    <row r="121">
      <c r="A121" s="39">
        <v>46301.0</v>
      </c>
      <c r="B121" s="40">
        <v>0.8451388888888889</v>
      </c>
      <c r="C121" s="41" t="s">
        <v>29</v>
      </c>
      <c r="D121" s="41" t="s">
        <v>94</v>
      </c>
      <c r="E121" s="41" t="s">
        <v>52</v>
      </c>
      <c r="F121" s="42">
        <v>2.0</v>
      </c>
      <c r="G121" s="42">
        <v>0.0</v>
      </c>
      <c r="H121" s="42">
        <v>0.0</v>
      </c>
      <c r="I121" s="42">
        <v>0.0</v>
      </c>
      <c r="J121" s="42">
        <v>0.0</v>
      </c>
      <c r="K121" s="42">
        <v>2.0</v>
      </c>
      <c r="L121" s="42">
        <v>2.0</v>
      </c>
      <c r="M121" s="42">
        <v>0.0</v>
      </c>
      <c r="N121" s="42">
        <v>0.0</v>
      </c>
      <c r="O121" s="42">
        <v>0.0</v>
      </c>
      <c r="P121" s="42">
        <v>0.0</v>
      </c>
      <c r="Q121" s="42">
        <v>0.0</v>
      </c>
    </row>
    <row r="122">
      <c r="A122" s="35">
        <v>46301.0</v>
      </c>
      <c r="B122" s="36">
        <v>0.8451388888888889</v>
      </c>
      <c r="C122" s="37" t="s">
        <v>29</v>
      </c>
      <c r="D122" s="37" t="s">
        <v>94</v>
      </c>
      <c r="E122" s="37" t="s">
        <v>88</v>
      </c>
      <c r="F122" s="38">
        <v>0.0</v>
      </c>
      <c r="G122" s="38">
        <v>0.0</v>
      </c>
      <c r="H122" s="38">
        <v>0.0</v>
      </c>
      <c r="I122" s="38">
        <v>0.0</v>
      </c>
      <c r="J122" s="38">
        <v>0.0</v>
      </c>
      <c r="K122" s="38">
        <v>0.0</v>
      </c>
      <c r="L122" s="38">
        <v>0.0</v>
      </c>
      <c r="M122" s="38">
        <v>0.0</v>
      </c>
      <c r="N122" s="38">
        <v>0.0</v>
      </c>
      <c r="O122" s="38">
        <v>0.0</v>
      </c>
      <c r="P122" s="38">
        <v>0.0</v>
      </c>
      <c r="Q122" s="38">
        <v>0.0</v>
      </c>
    </row>
    <row r="123">
      <c r="A123" s="39">
        <v>46301.0</v>
      </c>
      <c r="B123" s="40">
        <v>0.8451388888888889</v>
      </c>
      <c r="C123" s="41" t="s">
        <v>29</v>
      </c>
      <c r="D123" s="41" t="s">
        <v>94</v>
      </c>
      <c r="E123" s="41" t="s">
        <v>89</v>
      </c>
      <c r="F123" s="42">
        <v>1.0</v>
      </c>
      <c r="G123" s="42">
        <v>0.0</v>
      </c>
      <c r="H123" s="42">
        <v>0.0</v>
      </c>
      <c r="I123" s="42">
        <v>0.0</v>
      </c>
      <c r="J123" s="42">
        <v>0.0</v>
      </c>
      <c r="K123" s="42">
        <v>1.0</v>
      </c>
      <c r="L123" s="42">
        <v>1.0</v>
      </c>
      <c r="M123" s="42">
        <v>0.0</v>
      </c>
      <c r="N123" s="42">
        <v>0.0</v>
      </c>
      <c r="O123" s="42">
        <v>0.0</v>
      </c>
      <c r="P123" s="42">
        <v>0.0</v>
      </c>
      <c r="Q123" s="42">
        <v>0.0</v>
      </c>
    </row>
    <row r="124">
      <c r="A124" s="35">
        <v>46301.0</v>
      </c>
      <c r="B124" s="36">
        <v>0.8451388888888889</v>
      </c>
      <c r="C124" s="37" t="s">
        <v>29</v>
      </c>
      <c r="D124" s="37" t="s">
        <v>94</v>
      </c>
      <c r="E124" s="37" t="s">
        <v>50</v>
      </c>
      <c r="F124" s="38">
        <v>0.0</v>
      </c>
      <c r="G124" s="38">
        <v>0.0</v>
      </c>
      <c r="H124" s="38">
        <v>0.0</v>
      </c>
      <c r="I124" s="38">
        <v>0.0</v>
      </c>
      <c r="J124" s="38">
        <v>0.0</v>
      </c>
      <c r="K124" s="38">
        <v>0.0</v>
      </c>
      <c r="L124" s="38">
        <v>0.0</v>
      </c>
      <c r="M124" s="38">
        <v>0.0</v>
      </c>
      <c r="N124" s="38">
        <v>0.0</v>
      </c>
      <c r="O124" s="38">
        <v>0.0</v>
      </c>
      <c r="P124" s="38">
        <v>0.0</v>
      </c>
      <c r="Q124" s="38">
        <v>0.0</v>
      </c>
    </row>
    <row r="125">
      <c r="A125" s="39">
        <v>46301.0</v>
      </c>
      <c r="B125" s="40">
        <v>0.8451388888888889</v>
      </c>
      <c r="C125" s="41" t="s">
        <v>29</v>
      </c>
      <c r="D125" s="41" t="s">
        <v>94</v>
      </c>
      <c r="E125" s="41" t="s">
        <v>90</v>
      </c>
      <c r="F125" s="42">
        <v>0.0</v>
      </c>
      <c r="G125" s="42">
        <v>0.0</v>
      </c>
      <c r="H125" s="42">
        <v>0.0</v>
      </c>
      <c r="I125" s="42">
        <v>0.0</v>
      </c>
      <c r="J125" s="42">
        <v>0.0</v>
      </c>
      <c r="K125" s="42">
        <v>0.0</v>
      </c>
      <c r="L125" s="42">
        <v>0.0</v>
      </c>
      <c r="M125" s="42">
        <v>0.0</v>
      </c>
      <c r="N125" s="42">
        <v>0.0</v>
      </c>
      <c r="O125" s="42">
        <v>0.0</v>
      </c>
      <c r="P125" s="42">
        <v>0.0</v>
      </c>
      <c r="Q125" s="42">
        <v>0.0</v>
      </c>
    </row>
    <row r="126">
      <c r="A126" s="35">
        <v>46301.0</v>
      </c>
      <c r="B126" s="36">
        <v>0.8451388888888889</v>
      </c>
      <c r="C126" s="37" t="s">
        <v>29</v>
      </c>
      <c r="D126" s="37" t="s">
        <v>94</v>
      </c>
      <c r="E126" s="37" t="s">
        <v>91</v>
      </c>
      <c r="F126" s="38">
        <v>0.0</v>
      </c>
      <c r="G126" s="38">
        <v>0.0</v>
      </c>
      <c r="H126" s="38">
        <v>0.0</v>
      </c>
      <c r="I126" s="38">
        <v>0.0</v>
      </c>
      <c r="J126" s="38">
        <v>0.0</v>
      </c>
      <c r="K126" s="38">
        <v>0.0</v>
      </c>
      <c r="L126" s="38">
        <v>0.0</v>
      </c>
      <c r="M126" s="38">
        <v>0.0</v>
      </c>
      <c r="N126" s="38">
        <v>0.0</v>
      </c>
      <c r="O126" s="38">
        <v>0.0</v>
      </c>
      <c r="P126" s="38">
        <v>0.0</v>
      </c>
      <c r="Q126" s="38">
        <v>0.0</v>
      </c>
    </row>
    <row r="127">
      <c r="A127" s="39">
        <v>46301.0</v>
      </c>
      <c r="B127" s="40">
        <v>0.8451388888888889</v>
      </c>
      <c r="C127" s="41" t="s">
        <v>29</v>
      </c>
      <c r="D127" s="41" t="s">
        <v>94</v>
      </c>
      <c r="E127" s="41" t="s">
        <v>92</v>
      </c>
      <c r="F127" s="42">
        <v>0.0</v>
      </c>
      <c r="G127" s="42">
        <v>0.0</v>
      </c>
      <c r="H127" s="42">
        <v>0.0</v>
      </c>
      <c r="I127" s="42">
        <v>0.0</v>
      </c>
      <c r="J127" s="42">
        <v>0.0</v>
      </c>
      <c r="K127" s="42">
        <v>0.0</v>
      </c>
      <c r="L127" s="42">
        <v>0.0</v>
      </c>
      <c r="M127" s="42">
        <v>0.0</v>
      </c>
      <c r="N127" s="42">
        <v>0.0</v>
      </c>
      <c r="O127" s="42">
        <v>0.0</v>
      </c>
      <c r="P127" s="42">
        <v>0.0</v>
      </c>
      <c r="Q127" s="42">
        <v>0.0</v>
      </c>
    </row>
    <row r="128">
      <c r="A128" s="35">
        <v>46301.0</v>
      </c>
      <c r="B128" s="36">
        <v>0.8451388888888889</v>
      </c>
      <c r="C128" s="37" t="s">
        <v>31</v>
      </c>
      <c r="D128" s="37" t="s">
        <v>95</v>
      </c>
      <c r="E128" s="37" t="s">
        <v>52</v>
      </c>
      <c r="F128" s="38">
        <v>0.0</v>
      </c>
      <c r="G128" s="38">
        <v>0.0</v>
      </c>
      <c r="H128" s="38">
        <v>0.0</v>
      </c>
      <c r="I128" s="38">
        <v>0.0</v>
      </c>
      <c r="J128" s="38">
        <v>0.0</v>
      </c>
      <c r="K128" s="38">
        <v>0.0</v>
      </c>
      <c r="L128" s="38">
        <v>0.0</v>
      </c>
      <c r="M128" s="38">
        <v>0.0</v>
      </c>
      <c r="N128" s="38">
        <v>0.0</v>
      </c>
      <c r="O128" s="38">
        <v>0.0</v>
      </c>
      <c r="P128" s="38">
        <v>0.0</v>
      </c>
      <c r="Q128" s="38">
        <v>0.0</v>
      </c>
    </row>
    <row r="129">
      <c r="A129" s="39">
        <v>46301.0</v>
      </c>
      <c r="B129" s="40">
        <v>0.8451388888888889</v>
      </c>
      <c r="C129" s="41" t="s">
        <v>31</v>
      </c>
      <c r="D129" s="41" t="s">
        <v>95</v>
      </c>
      <c r="E129" s="41" t="s">
        <v>88</v>
      </c>
      <c r="F129" s="42">
        <v>0.0</v>
      </c>
      <c r="G129" s="42">
        <v>0.0</v>
      </c>
      <c r="H129" s="42">
        <v>0.0</v>
      </c>
      <c r="I129" s="42">
        <v>0.0</v>
      </c>
      <c r="J129" s="42">
        <v>0.0</v>
      </c>
      <c r="K129" s="42">
        <v>0.0</v>
      </c>
      <c r="L129" s="42">
        <v>0.0</v>
      </c>
      <c r="M129" s="42">
        <v>0.0</v>
      </c>
      <c r="N129" s="42">
        <v>0.0</v>
      </c>
      <c r="O129" s="42">
        <v>0.0</v>
      </c>
      <c r="P129" s="42">
        <v>0.0</v>
      </c>
      <c r="Q129" s="42">
        <v>0.0</v>
      </c>
    </row>
    <row r="130">
      <c r="A130" s="35">
        <v>46301.0</v>
      </c>
      <c r="B130" s="36">
        <v>0.8451388888888889</v>
      </c>
      <c r="C130" s="37" t="s">
        <v>31</v>
      </c>
      <c r="D130" s="37" t="s">
        <v>95</v>
      </c>
      <c r="E130" s="37" t="s">
        <v>89</v>
      </c>
      <c r="F130" s="38">
        <v>0.0</v>
      </c>
      <c r="G130" s="38">
        <v>0.0</v>
      </c>
      <c r="H130" s="38">
        <v>0.0</v>
      </c>
      <c r="I130" s="38">
        <v>0.0</v>
      </c>
      <c r="J130" s="38">
        <v>0.0</v>
      </c>
      <c r="K130" s="38">
        <v>0.0</v>
      </c>
      <c r="L130" s="38">
        <v>0.0</v>
      </c>
      <c r="M130" s="38">
        <v>0.0</v>
      </c>
      <c r="N130" s="38">
        <v>0.0</v>
      </c>
      <c r="O130" s="38">
        <v>0.0</v>
      </c>
      <c r="P130" s="38">
        <v>0.0</v>
      </c>
      <c r="Q130" s="38">
        <v>0.0</v>
      </c>
    </row>
    <row r="131">
      <c r="A131" s="39">
        <v>46301.0</v>
      </c>
      <c r="B131" s="40">
        <v>0.8451388888888889</v>
      </c>
      <c r="C131" s="41" t="s">
        <v>31</v>
      </c>
      <c r="D131" s="41" t="s">
        <v>95</v>
      </c>
      <c r="E131" s="41" t="s">
        <v>50</v>
      </c>
      <c r="F131" s="42">
        <v>1.0</v>
      </c>
      <c r="G131" s="42">
        <v>0.0</v>
      </c>
      <c r="H131" s="42">
        <v>0.0</v>
      </c>
      <c r="I131" s="42">
        <v>0.0</v>
      </c>
      <c r="J131" s="42">
        <v>0.0</v>
      </c>
      <c r="K131" s="42">
        <v>1.0</v>
      </c>
      <c r="L131" s="42">
        <v>1.0</v>
      </c>
      <c r="M131" s="42">
        <v>0.0</v>
      </c>
      <c r="N131" s="42">
        <v>0.0</v>
      </c>
      <c r="O131" s="42">
        <v>0.0</v>
      </c>
      <c r="P131" s="42">
        <v>0.0</v>
      </c>
      <c r="Q131" s="42">
        <v>0.0</v>
      </c>
    </row>
    <row r="132">
      <c r="A132" s="35">
        <v>46301.0</v>
      </c>
      <c r="B132" s="36">
        <v>0.8451388888888889</v>
      </c>
      <c r="C132" s="37" t="s">
        <v>31</v>
      </c>
      <c r="D132" s="37" t="s">
        <v>95</v>
      </c>
      <c r="E132" s="37" t="s">
        <v>90</v>
      </c>
      <c r="F132" s="38">
        <v>0.0</v>
      </c>
      <c r="G132" s="38">
        <v>0.0</v>
      </c>
      <c r="H132" s="38">
        <v>0.0</v>
      </c>
      <c r="I132" s="38">
        <v>0.0</v>
      </c>
      <c r="J132" s="38">
        <v>0.0</v>
      </c>
      <c r="K132" s="38">
        <v>0.0</v>
      </c>
      <c r="L132" s="38">
        <v>0.0</v>
      </c>
      <c r="M132" s="38">
        <v>0.0</v>
      </c>
      <c r="N132" s="38">
        <v>0.0</v>
      </c>
      <c r="O132" s="38">
        <v>0.0</v>
      </c>
      <c r="P132" s="38">
        <v>0.0</v>
      </c>
      <c r="Q132" s="38">
        <v>0.0</v>
      </c>
    </row>
    <row r="133">
      <c r="A133" s="39">
        <v>46301.0</v>
      </c>
      <c r="B133" s="40">
        <v>0.8451388888888889</v>
      </c>
      <c r="C133" s="41" t="s">
        <v>31</v>
      </c>
      <c r="D133" s="41" t="s">
        <v>95</v>
      </c>
      <c r="E133" s="41" t="s">
        <v>91</v>
      </c>
      <c r="F133" s="42">
        <v>0.0</v>
      </c>
      <c r="G133" s="42">
        <v>0.0</v>
      </c>
      <c r="H133" s="42">
        <v>0.0</v>
      </c>
      <c r="I133" s="42">
        <v>0.0</v>
      </c>
      <c r="J133" s="42">
        <v>0.0</v>
      </c>
      <c r="K133" s="42">
        <v>0.0</v>
      </c>
      <c r="L133" s="42">
        <v>0.0</v>
      </c>
      <c r="M133" s="42">
        <v>0.0</v>
      </c>
      <c r="N133" s="42">
        <v>0.0</v>
      </c>
      <c r="O133" s="42">
        <v>0.0</v>
      </c>
      <c r="P133" s="42">
        <v>0.0</v>
      </c>
      <c r="Q133" s="42">
        <v>0.0</v>
      </c>
    </row>
    <row r="134">
      <c r="A134" s="35">
        <v>46301.0</v>
      </c>
      <c r="B134" s="36">
        <v>0.8451388888888889</v>
      </c>
      <c r="C134" s="37" t="s">
        <v>31</v>
      </c>
      <c r="D134" s="37" t="s">
        <v>95</v>
      </c>
      <c r="E134" s="37" t="s">
        <v>92</v>
      </c>
      <c r="F134" s="38">
        <v>0.0</v>
      </c>
      <c r="G134" s="38">
        <v>0.0</v>
      </c>
      <c r="H134" s="38">
        <v>0.0</v>
      </c>
      <c r="I134" s="38">
        <v>0.0</v>
      </c>
      <c r="J134" s="38">
        <v>0.0</v>
      </c>
      <c r="K134" s="38">
        <v>0.0</v>
      </c>
      <c r="L134" s="38">
        <v>0.0</v>
      </c>
      <c r="M134" s="38">
        <v>0.0</v>
      </c>
      <c r="N134" s="38">
        <v>0.0</v>
      </c>
      <c r="O134" s="38">
        <v>0.0</v>
      </c>
      <c r="P134" s="38">
        <v>0.0</v>
      </c>
      <c r="Q134" s="38">
        <v>0.0</v>
      </c>
    </row>
    <row r="135">
      <c r="A135" s="43">
        <v>46301.0</v>
      </c>
      <c r="B135" s="44">
        <v>0.8451388888888889</v>
      </c>
      <c r="C135" s="45" t="s">
        <v>96</v>
      </c>
      <c r="D135" s="45" t="s">
        <v>75</v>
      </c>
      <c r="E135" s="45" t="s">
        <v>52</v>
      </c>
      <c r="F135" s="46">
        <v>3.0</v>
      </c>
      <c r="G135" s="46">
        <v>1.0</v>
      </c>
      <c r="H135" s="46">
        <v>0.0</v>
      </c>
      <c r="I135" s="46">
        <v>0.0</v>
      </c>
      <c r="J135" s="46">
        <v>0.0</v>
      </c>
      <c r="K135" s="46">
        <v>3.0</v>
      </c>
      <c r="L135" s="46">
        <v>3.0</v>
      </c>
      <c r="M135" s="46">
        <v>0.0</v>
      </c>
      <c r="N135" s="46">
        <v>0.0</v>
      </c>
      <c r="O135" s="46">
        <v>0.0</v>
      </c>
      <c r="P135" s="46">
        <v>1.0</v>
      </c>
      <c r="Q135" s="46">
        <v>1.0</v>
      </c>
    </row>
    <row r="136">
      <c r="A136" s="43">
        <v>46301.0</v>
      </c>
      <c r="B136" s="44">
        <v>0.8451388888888889</v>
      </c>
      <c r="C136" s="45" t="s">
        <v>96</v>
      </c>
      <c r="D136" s="45" t="s">
        <v>75</v>
      </c>
      <c r="E136" s="45" t="s">
        <v>88</v>
      </c>
      <c r="F136" s="46">
        <v>0.0</v>
      </c>
      <c r="G136" s="46">
        <v>0.0</v>
      </c>
      <c r="H136" s="46">
        <v>0.0</v>
      </c>
      <c r="I136" s="46">
        <v>0.0</v>
      </c>
      <c r="J136" s="46">
        <v>0.0</v>
      </c>
      <c r="K136" s="46">
        <v>0.0</v>
      </c>
      <c r="L136" s="46">
        <v>0.0</v>
      </c>
      <c r="M136" s="46">
        <v>0.0</v>
      </c>
      <c r="N136" s="46">
        <v>0.0</v>
      </c>
      <c r="O136" s="46">
        <v>0.0</v>
      </c>
      <c r="P136" s="46">
        <v>0.0</v>
      </c>
      <c r="Q136" s="46">
        <v>0.0</v>
      </c>
    </row>
    <row r="137">
      <c r="A137" s="43">
        <v>46301.0</v>
      </c>
      <c r="B137" s="44">
        <v>0.8451388888888889</v>
      </c>
      <c r="C137" s="45" t="s">
        <v>96</v>
      </c>
      <c r="D137" s="45" t="s">
        <v>75</v>
      </c>
      <c r="E137" s="45" t="s">
        <v>89</v>
      </c>
      <c r="F137" s="46">
        <v>1.0</v>
      </c>
      <c r="G137" s="46">
        <v>0.0</v>
      </c>
      <c r="H137" s="46">
        <v>0.0</v>
      </c>
      <c r="I137" s="46">
        <v>0.0</v>
      </c>
      <c r="J137" s="46">
        <v>0.0</v>
      </c>
      <c r="K137" s="46">
        <v>1.0</v>
      </c>
      <c r="L137" s="46">
        <v>1.0</v>
      </c>
      <c r="M137" s="46">
        <v>0.0</v>
      </c>
      <c r="N137" s="46">
        <v>0.0</v>
      </c>
      <c r="O137" s="46">
        <v>0.0</v>
      </c>
      <c r="P137" s="46">
        <v>0.0</v>
      </c>
      <c r="Q137" s="46">
        <v>0.0</v>
      </c>
    </row>
    <row r="138">
      <c r="A138" s="43">
        <v>46301.0</v>
      </c>
      <c r="B138" s="44">
        <v>0.8451388888888889</v>
      </c>
      <c r="C138" s="45" t="s">
        <v>96</v>
      </c>
      <c r="D138" s="45" t="s">
        <v>75</v>
      </c>
      <c r="E138" s="45" t="s">
        <v>50</v>
      </c>
      <c r="F138" s="46">
        <v>1.0</v>
      </c>
      <c r="G138" s="46">
        <v>0.0</v>
      </c>
      <c r="H138" s="46">
        <v>0.0</v>
      </c>
      <c r="I138" s="46">
        <v>0.0</v>
      </c>
      <c r="J138" s="46">
        <v>0.0</v>
      </c>
      <c r="K138" s="46">
        <v>1.0</v>
      </c>
      <c r="L138" s="46">
        <v>1.0</v>
      </c>
      <c r="M138" s="46">
        <v>0.0</v>
      </c>
      <c r="N138" s="46">
        <v>0.0</v>
      </c>
      <c r="O138" s="46">
        <v>0.0</v>
      </c>
      <c r="P138" s="46">
        <v>0.0</v>
      </c>
      <c r="Q138" s="46">
        <v>0.0</v>
      </c>
    </row>
    <row r="139">
      <c r="A139" s="43">
        <v>46301.0</v>
      </c>
      <c r="B139" s="44">
        <v>0.8451388888888889</v>
      </c>
      <c r="C139" s="45" t="s">
        <v>96</v>
      </c>
      <c r="D139" s="45" t="s">
        <v>75</v>
      </c>
      <c r="E139" s="45" t="s">
        <v>90</v>
      </c>
      <c r="F139" s="46">
        <v>0.0</v>
      </c>
      <c r="G139" s="46">
        <v>0.0</v>
      </c>
      <c r="H139" s="46">
        <v>0.0</v>
      </c>
      <c r="I139" s="46">
        <v>0.0</v>
      </c>
      <c r="J139" s="46">
        <v>0.0</v>
      </c>
      <c r="K139" s="46">
        <v>0.0</v>
      </c>
      <c r="L139" s="46">
        <v>0.0</v>
      </c>
      <c r="M139" s="46">
        <v>0.0</v>
      </c>
      <c r="N139" s="46">
        <v>0.0</v>
      </c>
      <c r="O139" s="46">
        <v>0.0</v>
      </c>
      <c r="P139" s="46">
        <v>0.0</v>
      </c>
      <c r="Q139" s="46">
        <v>0.0</v>
      </c>
    </row>
    <row r="140">
      <c r="A140" s="43">
        <v>46301.0</v>
      </c>
      <c r="B140" s="44">
        <v>0.8451388888888889</v>
      </c>
      <c r="C140" s="45" t="s">
        <v>96</v>
      </c>
      <c r="D140" s="45" t="s">
        <v>75</v>
      </c>
      <c r="E140" s="45" t="s">
        <v>91</v>
      </c>
      <c r="F140" s="46">
        <v>0.0</v>
      </c>
      <c r="G140" s="46">
        <v>0.0</v>
      </c>
      <c r="H140" s="46">
        <v>0.0</v>
      </c>
      <c r="I140" s="46">
        <v>0.0</v>
      </c>
      <c r="J140" s="46">
        <v>0.0</v>
      </c>
      <c r="K140" s="46">
        <v>0.0</v>
      </c>
      <c r="L140" s="46">
        <v>0.0</v>
      </c>
      <c r="M140" s="46">
        <v>0.0</v>
      </c>
      <c r="N140" s="46">
        <v>0.0</v>
      </c>
      <c r="O140" s="46">
        <v>0.0</v>
      </c>
      <c r="P140" s="46">
        <v>0.0</v>
      </c>
      <c r="Q140" s="46">
        <v>0.0</v>
      </c>
    </row>
    <row r="141">
      <c r="A141" s="43">
        <v>46301.0</v>
      </c>
      <c r="B141" s="44">
        <v>0.8451388888888889</v>
      </c>
      <c r="C141" s="45" t="s">
        <v>96</v>
      </c>
      <c r="D141" s="45" t="s">
        <v>75</v>
      </c>
      <c r="E141" s="45" t="s">
        <v>92</v>
      </c>
      <c r="F141" s="46">
        <v>0.0</v>
      </c>
      <c r="G141" s="46">
        <v>0.0</v>
      </c>
      <c r="H141" s="46">
        <v>0.0</v>
      </c>
      <c r="I141" s="46">
        <v>0.0</v>
      </c>
      <c r="J141" s="46">
        <v>0.0</v>
      </c>
      <c r="K141" s="46">
        <v>0.0</v>
      </c>
      <c r="L141" s="46">
        <v>0.0</v>
      </c>
      <c r="M141" s="46">
        <v>0.0</v>
      </c>
      <c r="N141" s="46">
        <v>0.0</v>
      </c>
      <c r="O141" s="46">
        <v>0.0</v>
      </c>
      <c r="P141" s="46">
        <v>0.0</v>
      </c>
      <c r="Q141" s="46">
        <v>0.0</v>
      </c>
    </row>
    <row r="142">
      <c r="A142" s="35">
        <v>46301.0</v>
      </c>
      <c r="B142" s="36">
        <v>0.8472222222222222</v>
      </c>
      <c r="C142" s="37" t="s">
        <v>15</v>
      </c>
      <c r="D142" s="37" t="s">
        <v>87</v>
      </c>
      <c r="E142" s="37" t="s">
        <v>52</v>
      </c>
      <c r="F142" s="38">
        <v>0.0</v>
      </c>
      <c r="G142" s="38">
        <v>0.0</v>
      </c>
      <c r="H142" s="38">
        <v>0.0</v>
      </c>
      <c r="I142" s="38">
        <v>0.0</v>
      </c>
      <c r="J142" s="38">
        <v>0.0</v>
      </c>
      <c r="K142" s="38">
        <v>0.0</v>
      </c>
      <c r="L142" s="38">
        <v>0.0</v>
      </c>
      <c r="M142" s="38">
        <v>0.0</v>
      </c>
      <c r="N142" s="38">
        <v>0.0</v>
      </c>
      <c r="O142" s="38">
        <v>0.0</v>
      </c>
      <c r="P142" s="38">
        <v>0.0</v>
      </c>
      <c r="Q142" s="38">
        <v>0.0</v>
      </c>
    </row>
    <row r="143">
      <c r="A143" s="39">
        <v>46301.0</v>
      </c>
      <c r="B143" s="40">
        <v>0.8472222222222222</v>
      </c>
      <c r="C143" s="41" t="s">
        <v>15</v>
      </c>
      <c r="D143" s="41" t="s">
        <v>87</v>
      </c>
      <c r="E143" s="41" t="s">
        <v>88</v>
      </c>
      <c r="F143" s="42">
        <v>0.0</v>
      </c>
      <c r="G143" s="42">
        <v>0.0</v>
      </c>
      <c r="H143" s="42">
        <v>0.0</v>
      </c>
      <c r="I143" s="42">
        <v>0.0</v>
      </c>
      <c r="J143" s="42">
        <v>0.0</v>
      </c>
      <c r="K143" s="42">
        <v>0.0</v>
      </c>
      <c r="L143" s="42">
        <v>0.0</v>
      </c>
      <c r="M143" s="42">
        <v>0.0</v>
      </c>
      <c r="N143" s="42">
        <v>0.0</v>
      </c>
      <c r="O143" s="42">
        <v>0.0</v>
      </c>
      <c r="P143" s="42">
        <v>0.0</v>
      </c>
      <c r="Q143" s="42">
        <v>0.0</v>
      </c>
    </row>
    <row r="144">
      <c r="A144" s="35">
        <v>46301.0</v>
      </c>
      <c r="B144" s="36">
        <v>0.8472222222222222</v>
      </c>
      <c r="C144" s="37" t="s">
        <v>15</v>
      </c>
      <c r="D144" s="37" t="s">
        <v>87</v>
      </c>
      <c r="E144" s="37" t="s">
        <v>89</v>
      </c>
      <c r="F144" s="38">
        <v>0.0</v>
      </c>
      <c r="G144" s="38">
        <v>0.0</v>
      </c>
      <c r="H144" s="38">
        <v>0.0</v>
      </c>
      <c r="I144" s="38">
        <v>0.0</v>
      </c>
      <c r="J144" s="38">
        <v>0.0</v>
      </c>
      <c r="K144" s="38">
        <v>0.0</v>
      </c>
      <c r="L144" s="38">
        <v>0.0</v>
      </c>
      <c r="M144" s="38">
        <v>0.0</v>
      </c>
      <c r="N144" s="38">
        <v>0.0</v>
      </c>
      <c r="O144" s="38">
        <v>0.0</v>
      </c>
      <c r="P144" s="38">
        <v>0.0</v>
      </c>
      <c r="Q144" s="38">
        <v>0.0</v>
      </c>
    </row>
    <row r="145">
      <c r="A145" s="39">
        <v>46301.0</v>
      </c>
      <c r="B145" s="40">
        <v>0.8472222222222222</v>
      </c>
      <c r="C145" s="41" t="s">
        <v>15</v>
      </c>
      <c r="D145" s="41" t="s">
        <v>87</v>
      </c>
      <c r="E145" s="41" t="s">
        <v>50</v>
      </c>
      <c r="F145" s="42">
        <v>0.0</v>
      </c>
      <c r="G145" s="42">
        <v>0.0</v>
      </c>
      <c r="H145" s="42">
        <v>0.0</v>
      </c>
      <c r="I145" s="42">
        <v>0.0</v>
      </c>
      <c r="J145" s="42">
        <v>0.0</v>
      </c>
      <c r="K145" s="42">
        <v>0.0</v>
      </c>
      <c r="L145" s="42">
        <v>0.0</v>
      </c>
      <c r="M145" s="42">
        <v>0.0</v>
      </c>
      <c r="N145" s="42">
        <v>0.0</v>
      </c>
      <c r="O145" s="42">
        <v>0.0</v>
      </c>
      <c r="P145" s="42">
        <v>0.0</v>
      </c>
      <c r="Q145" s="42">
        <v>0.0</v>
      </c>
    </row>
    <row r="146">
      <c r="A146" s="35">
        <v>46301.0</v>
      </c>
      <c r="B146" s="36">
        <v>0.8472222222222222</v>
      </c>
      <c r="C146" s="37" t="s">
        <v>15</v>
      </c>
      <c r="D146" s="37" t="s">
        <v>87</v>
      </c>
      <c r="E146" s="37" t="s">
        <v>90</v>
      </c>
      <c r="F146" s="38">
        <v>0.0</v>
      </c>
      <c r="G146" s="38">
        <v>0.0</v>
      </c>
      <c r="H146" s="38">
        <v>0.0</v>
      </c>
      <c r="I146" s="38">
        <v>0.0</v>
      </c>
      <c r="J146" s="38">
        <v>0.0</v>
      </c>
      <c r="K146" s="38">
        <v>0.0</v>
      </c>
      <c r="L146" s="38">
        <v>0.0</v>
      </c>
      <c r="M146" s="38">
        <v>0.0</v>
      </c>
      <c r="N146" s="38">
        <v>0.0</v>
      </c>
      <c r="O146" s="38">
        <v>0.0</v>
      </c>
      <c r="P146" s="38">
        <v>0.0</v>
      </c>
      <c r="Q146" s="38">
        <v>0.0</v>
      </c>
    </row>
    <row r="147">
      <c r="A147" s="39">
        <v>46301.0</v>
      </c>
      <c r="B147" s="40">
        <v>0.8472222222222222</v>
      </c>
      <c r="C147" s="41" t="s">
        <v>15</v>
      </c>
      <c r="D147" s="41" t="s">
        <v>87</v>
      </c>
      <c r="E147" s="41" t="s">
        <v>91</v>
      </c>
      <c r="F147" s="42">
        <v>0.0</v>
      </c>
      <c r="G147" s="42">
        <v>0.0</v>
      </c>
      <c r="H147" s="42">
        <v>0.0</v>
      </c>
      <c r="I147" s="42">
        <v>0.0</v>
      </c>
      <c r="J147" s="42">
        <v>0.0</v>
      </c>
      <c r="K147" s="42">
        <v>0.0</v>
      </c>
      <c r="L147" s="42">
        <v>0.0</v>
      </c>
      <c r="M147" s="42">
        <v>0.0</v>
      </c>
      <c r="N147" s="42">
        <v>0.0</v>
      </c>
      <c r="O147" s="42">
        <v>0.0</v>
      </c>
      <c r="P147" s="42">
        <v>0.0</v>
      </c>
      <c r="Q147" s="42">
        <v>0.0</v>
      </c>
    </row>
    <row r="148">
      <c r="A148" s="35">
        <v>46301.0</v>
      </c>
      <c r="B148" s="36">
        <v>0.8472222222222222</v>
      </c>
      <c r="C148" s="37" t="s">
        <v>15</v>
      </c>
      <c r="D148" s="37" t="s">
        <v>87</v>
      </c>
      <c r="E148" s="37" t="s">
        <v>92</v>
      </c>
      <c r="F148" s="38">
        <v>0.0</v>
      </c>
      <c r="G148" s="38">
        <v>0.0</v>
      </c>
      <c r="H148" s="38">
        <v>0.0</v>
      </c>
      <c r="I148" s="38">
        <v>0.0</v>
      </c>
      <c r="J148" s="38">
        <v>0.0</v>
      </c>
      <c r="K148" s="38">
        <v>0.0</v>
      </c>
      <c r="L148" s="38">
        <v>0.0</v>
      </c>
      <c r="M148" s="38">
        <v>0.0</v>
      </c>
      <c r="N148" s="38">
        <v>0.0</v>
      </c>
      <c r="O148" s="38">
        <v>0.0</v>
      </c>
      <c r="P148" s="38">
        <v>0.0</v>
      </c>
      <c r="Q148" s="38">
        <v>0.0</v>
      </c>
    </row>
    <row r="149">
      <c r="A149" s="39">
        <v>46301.0</v>
      </c>
      <c r="B149" s="40">
        <v>0.8472222222222222</v>
      </c>
      <c r="C149" s="41" t="s">
        <v>23</v>
      </c>
      <c r="D149" s="41" t="s">
        <v>93</v>
      </c>
      <c r="E149" s="41" t="s">
        <v>52</v>
      </c>
      <c r="F149" s="42">
        <v>1.0</v>
      </c>
      <c r="G149" s="42">
        <v>1.0</v>
      </c>
      <c r="H149" s="42">
        <v>0.0</v>
      </c>
      <c r="I149" s="42">
        <v>0.0</v>
      </c>
      <c r="J149" s="42">
        <v>0.0</v>
      </c>
      <c r="K149" s="42">
        <v>1.0</v>
      </c>
      <c r="L149" s="42">
        <v>1.0</v>
      </c>
      <c r="M149" s="42">
        <v>0.0</v>
      </c>
      <c r="N149" s="42">
        <v>0.0</v>
      </c>
      <c r="O149" s="42">
        <v>0.0</v>
      </c>
      <c r="P149" s="42">
        <v>1.0</v>
      </c>
      <c r="Q149" s="42">
        <v>1.0</v>
      </c>
    </row>
    <row r="150">
      <c r="A150" s="35">
        <v>46301.0</v>
      </c>
      <c r="B150" s="36">
        <v>0.8472222222222222</v>
      </c>
      <c r="C150" s="37" t="s">
        <v>23</v>
      </c>
      <c r="D150" s="37" t="s">
        <v>93</v>
      </c>
      <c r="E150" s="37" t="s">
        <v>88</v>
      </c>
      <c r="F150" s="38">
        <v>0.0</v>
      </c>
      <c r="G150" s="38">
        <v>0.0</v>
      </c>
      <c r="H150" s="38">
        <v>0.0</v>
      </c>
      <c r="I150" s="38">
        <v>0.0</v>
      </c>
      <c r="J150" s="38">
        <v>0.0</v>
      </c>
      <c r="K150" s="38">
        <v>0.0</v>
      </c>
      <c r="L150" s="38">
        <v>0.0</v>
      </c>
      <c r="M150" s="38">
        <v>0.0</v>
      </c>
      <c r="N150" s="38">
        <v>0.0</v>
      </c>
      <c r="O150" s="38">
        <v>0.0</v>
      </c>
      <c r="P150" s="38">
        <v>0.0</v>
      </c>
      <c r="Q150" s="38">
        <v>0.0</v>
      </c>
    </row>
    <row r="151">
      <c r="A151" s="39">
        <v>46301.0</v>
      </c>
      <c r="B151" s="40">
        <v>0.8472222222222222</v>
      </c>
      <c r="C151" s="41" t="s">
        <v>23</v>
      </c>
      <c r="D151" s="41" t="s">
        <v>93</v>
      </c>
      <c r="E151" s="41" t="s">
        <v>89</v>
      </c>
      <c r="F151" s="42">
        <v>0.0</v>
      </c>
      <c r="G151" s="42">
        <v>0.0</v>
      </c>
      <c r="H151" s="42">
        <v>0.0</v>
      </c>
      <c r="I151" s="42">
        <v>0.0</v>
      </c>
      <c r="J151" s="42">
        <v>0.0</v>
      </c>
      <c r="K151" s="42">
        <v>0.0</v>
      </c>
      <c r="L151" s="42">
        <v>0.0</v>
      </c>
      <c r="M151" s="42">
        <v>0.0</v>
      </c>
      <c r="N151" s="42">
        <v>0.0</v>
      </c>
      <c r="O151" s="42">
        <v>0.0</v>
      </c>
      <c r="P151" s="42">
        <v>0.0</v>
      </c>
      <c r="Q151" s="42">
        <v>0.0</v>
      </c>
    </row>
    <row r="152">
      <c r="A152" s="35">
        <v>46301.0</v>
      </c>
      <c r="B152" s="36">
        <v>0.8472222222222222</v>
      </c>
      <c r="C152" s="37" t="s">
        <v>23</v>
      </c>
      <c r="D152" s="37" t="s">
        <v>93</v>
      </c>
      <c r="E152" s="37" t="s">
        <v>50</v>
      </c>
      <c r="F152" s="38">
        <v>0.0</v>
      </c>
      <c r="G152" s="38">
        <v>0.0</v>
      </c>
      <c r="H152" s="38">
        <v>0.0</v>
      </c>
      <c r="I152" s="38">
        <v>0.0</v>
      </c>
      <c r="J152" s="38">
        <v>0.0</v>
      </c>
      <c r="K152" s="38">
        <v>0.0</v>
      </c>
      <c r="L152" s="38">
        <v>0.0</v>
      </c>
      <c r="M152" s="38">
        <v>0.0</v>
      </c>
      <c r="N152" s="38">
        <v>0.0</v>
      </c>
      <c r="O152" s="38">
        <v>0.0</v>
      </c>
      <c r="P152" s="38">
        <v>0.0</v>
      </c>
      <c r="Q152" s="38">
        <v>0.0</v>
      </c>
    </row>
    <row r="153">
      <c r="A153" s="39">
        <v>46301.0</v>
      </c>
      <c r="B153" s="40">
        <v>0.8472222222222222</v>
      </c>
      <c r="C153" s="41" t="s">
        <v>23</v>
      </c>
      <c r="D153" s="41" t="s">
        <v>93</v>
      </c>
      <c r="E153" s="41" t="s">
        <v>90</v>
      </c>
      <c r="F153" s="42">
        <v>0.0</v>
      </c>
      <c r="G153" s="42">
        <v>0.0</v>
      </c>
      <c r="H153" s="42">
        <v>0.0</v>
      </c>
      <c r="I153" s="42">
        <v>0.0</v>
      </c>
      <c r="J153" s="42">
        <v>0.0</v>
      </c>
      <c r="K153" s="42">
        <v>0.0</v>
      </c>
      <c r="L153" s="42">
        <v>0.0</v>
      </c>
      <c r="M153" s="42">
        <v>0.0</v>
      </c>
      <c r="N153" s="42">
        <v>0.0</v>
      </c>
      <c r="O153" s="42">
        <v>0.0</v>
      </c>
      <c r="P153" s="42">
        <v>0.0</v>
      </c>
      <c r="Q153" s="42">
        <v>0.0</v>
      </c>
    </row>
    <row r="154">
      <c r="A154" s="35">
        <v>46301.0</v>
      </c>
      <c r="B154" s="36">
        <v>0.8472222222222222</v>
      </c>
      <c r="C154" s="37" t="s">
        <v>23</v>
      </c>
      <c r="D154" s="37" t="s">
        <v>93</v>
      </c>
      <c r="E154" s="37" t="s">
        <v>91</v>
      </c>
      <c r="F154" s="38">
        <v>0.0</v>
      </c>
      <c r="G154" s="38">
        <v>0.0</v>
      </c>
      <c r="H154" s="38">
        <v>0.0</v>
      </c>
      <c r="I154" s="38">
        <v>0.0</v>
      </c>
      <c r="J154" s="38">
        <v>0.0</v>
      </c>
      <c r="K154" s="38">
        <v>0.0</v>
      </c>
      <c r="L154" s="38">
        <v>0.0</v>
      </c>
      <c r="M154" s="38">
        <v>0.0</v>
      </c>
      <c r="N154" s="38">
        <v>0.0</v>
      </c>
      <c r="O154" s="38">
        <v>0.0</v>
      </c>
      <c r="P154" s="38">
        <v>0.0</v>
      </c>
      <c r="Q154" s="38">
        <v>0.0</v>
      </c>
    </row>
    <row r="155">
      <c r="A155" s="39">
        <v>46301.0</v>
      </c>
      <c r="B155" s="40">
        <v>0.8472222222222222</v>
      </c>
      <c r="C155" s="41" t="s">
        <v>23</v>
      </c>
      <c r="D155" s="41" t="s">
        <v>93</v>
      </c>
      <c r="E155" s="41" t="s">
        <v>92</v>
      </c>
      <c r="F155" s="42">
        <v>0.0</v>
      </c>
      <c r="G155" s="42">
        <v>0.0</v>
      </c>
      <c r="H155" s="42">
        <v>0.0</v>
      </c>
      <c r="I155" s="42">
        <v>0.0</v>
      </c>
      <c r="J155" s="42">
        <v>0.0</v>
      </c>
      <c r="K155" s="42">
        <v>0.0</v>
      </c>
      <c r="L155" s="42">
        <v>0.0</v>
      </c>
      <c r="M155" s="42">
        <v>0.0</v>
      </c>
      <c r="N155" s="42">
        <v>0.0</v>
      </c>
      <c r="O155" s="42">
        <v>0.0</v>
      </c>
      <c r="P155" s="42">
        <v>0.0</v>
      </c>
      <c r="Q155" s="42">
        <v>0.0</v>
      </c>
    </row>
    <row r="156">
      <c r="A156" s="35">
        <v>46301.0</v>
      </c>
      <c r="B156" s="36">
        <v>0.8472222222222222</v>
      </c>
      <c r="C156" s="37" t="s">
        <v>29</v>
      </c>
      <c r="D156" s="37" t="s">
        <v>94</v>
      </c>
      <c r="E156" s="37" t="s">
        <v>52</v>
      </c>
      <c r="F156" s="38">
        <v>2.0</v>
      </c>
      <c r="G156" s="38">
        <v>0.0</v>
      </c>
      <c r="H156" s="38">
        <v>0.0</v>
      </c>
      <c r="I156" s="38">
        <v>0.0</v>
      </c>
      <c r="J156" s="38">
        <v>0.0</v>
      </c>
      <c r="K156" s="38">
        <v>2.0</v>
      </c>
      <c r="L156" s="38">
        <v>2.0</v>
      </c>
      <c r="M156" s="38">
        <v>0.0</v>
      </c>
      <c r="N156" s="38">
        <v>0.0</v>
      </c>
      <c r="O156" s="38">
        <v>0.0</v>
      </c>
      <c r="P156" s="38">
        <v>0.0</v>
      </c>
      <c r="Q156" s="38">
        <v>0.0</v>
      </c>
    </row>
    <row r="157">
      <c r="A157" s="39">
        <v>46301.0</v>
      </c>
      <c r="B157" s="40">
        <v>0.8472222222222222</v>
      </c>
      <c r="C157" s="41" t="s">
        <v>29</v>
      </c>
      <c r="D157" s="41" t="s">
        <v>94</v>
      </c>
      <c r="E157" s="41" t="s">
        <v>88</v>
      </c>
      <c r="F157" s="42">
        <v>0.0</v>
      </c>
      <c r="G157" s="42">
        <v>0.0</v>
      </c>
      <c r="H157" s="42">
        <v>0.0</v>
      </c>
      <c r="I157" s="42">
        <v>0.0</v>
      </c>
      <c r="J157" s="42">
        <v>0.0</v>
      </c>
      <c r="K157" s="42">
        <v>0.0</v>
      </c>
      <c r="L157" s="42">
        <v>0.0</v>
      </c>
      <c r="M157" s="42">
        <v>0.0</v>
      </c>
      <c r="N157" s="42">
        <v>0.0</v>
      </c>
      <c r="O157" s="42">
        <v>0.0</v>
      </c>
      <c r="P157" s="42">
        <v>0.0</v>
      </c>
      <c r="Q157" s="42">
        <v>0.0</v>
      </c>
    </row>
    <row r="158">
      <c r="A158" s="35">
        <v>46301.0</v>
      </c>
      <c r="B158" s="36">
        <v>0.8472222222222222</v>
      </c>
      <c r="C158" s="37" t="s">
        <v>29</v>
      </c>
      <c r="D158" s="37" t="s">
        <v>94</v>
      </c>
      <c r="E158" s="37" t="s">
        <v>89</v>
      </c>
      <c r="F158" s="38">
        <v>1.0</v>
      </c>
      <c r="G158" s="38">
        <v>0.0</v>
      </c>
      <c r="H158" s="38">
        <v>0.0</v>
      </c>
      <c r="I158" s="38">
        <v>0.0</v>
      </c>
      <c r="J158" s="38">
        <v>0.0</v>
      </c>
      <c r="K158" s="38">
        <v>1.0</v>
      </c>
      <c r="L158" s="38">
        <v>1.0</v>
      </c>
      <c r="M158" s="38">
        <v>0.0</v>
      </c>
      <c r="N158" s="38">
        <v>0.0</v>
      </c>
      <c r="O158" s="38">
        <v>0.0</v>
      </c>
      <c r="P158" s="38">
        <v>0.0</v>
      </c>
      <c r="Q158" s="38">
        <v>0.0</v>
      </c>
    </row>
    <row r="159">
      <c r="A159" s="39">
        <v>46301.0</v>
      </c>
      <c r="B159" s="40">
        <v>0.8472222222222222</v>
      </c>
      <c r="C159" s="41" t="s">
        <v>29</v>
      </c>
      <c r="D159" s="41" t="s">
        <v>94</v>
      </c>
      <c r="E159" s="41" t="s">
        <v>50</v>
      </c>
      <c r="F159" s="42">
        <v>0.0</v>
      </c>
      <c r="G159" s="42">
        <v>0.0</v>
      </c>
      <c r="H159" s="42">
        <v>0.0</v>
      </c>
      <c r="I159" s="42">
        <v>0.0</v>
      </c>
      <c r="J159" s="42">
        <v>0.0</v>
      </c>
      <c r="K159" s="42">
        <v>0.0</v>
      </c>
      <c r="L159" s="42">
        <v>0.0</v>
      </c>
      <c r="M159" s="42">
        <v>0.0</v>
      </c>
      <c r="N159" s="42">
        <v>0.0</v>
      </c>
      <c r="O159" s="42">
        <v>0.0</v>
      </c>
      <c r="P159" s="42">
        <v>0.0</v>
      </c>
      <c r="Q159" s="42">
        <v>0.0</v>
      </c>
    </row>
    <row r="160">
      <c r="A160" s="35">
        <v>46301.0</v>
      </c>
      <c r="B160" s="36">
        <v>0.8472222222222222</v>
      </c>
      <c r="C160" s="37" t="s">
        <v>29</v>
      </c>
      <c r="D160" s="37" t="s">
        <v>94</v>
      </c>
      <c r="E160" s="37" t="s">
        <v>90</v>
      </c>
      <c r="F160" s="38">
        <v>0.0</v>
      </c>
      <c r="G160" s="38">
        <v>0.0</v>
      </c>
      <c r="H160" s="38">
        <v>0.0</v>
      </c>
      <c r="I160" s="38">
        <v>0.0</v>
      </c>
      <c r="J160" s="38">
        <v>0.0</v>
      </c>
      <c r="K160" s="38">
        <v>0.0</v>
      </c>
      <c r="L160" s="38">
        <v>0.0</v>
      </c>
      <c r="M160" s="38">
        <v>0.0</v>
      </c>
      <c r="N160" s="38">
        <v>0.0</v>
      </c>
      <c r="O160" s="38">
        <v>0.0</v>
      </c>
      <c r="P160" s="38">
        <v>0.0</v>
      </c>
      <c r="Q160" s="38">
        <v>0.0</v>
      </c>
    </row>
    <row r="161">
      <c r="A161" s="39">
        <v>46301.0</v>
      </c>
      <c r="B161" s="40">
        <v>0.8472222222222222</v>
      </c>
      <c r="C161" s="41" t="s">
        <v>29</v>
      </c>
      <c r="D161" s="41" t="s">
        <v>94</v>
      </c>
      <c r="E161" s="41" t="s">
        <v>91</v>
      </c>
      <c r="F161" s="42">
        <v>0.0</v>
      </c>
      <c r="G161" s="42">
        <v>0.0</v>
      </c>
      <c r="H161" s="42">
        <v>0.0</v>
      </c>
      <c r="I161" s="42">
        <v>0.0</v>
      </c>
      <c r="J161" s="42">
        <v>0.0</v>
      </c>
      <c r="K161" s="42">
        <v>0.0</v>
      </c>
      <c r="L161" s="42">
        <v>0.0</v>
      </c>
      <c r="M161" s="42">
        <v>0.0</v>
      </c>
      <c r="N161" s="42">
        <v>0.0</v>
      </c>
      <c r="O161" s="42">
        <v>0.0</v>
      </c>
      <c r="P161" s="42">
        <v>0.0</v>
      </c>
      <c r="Q161" s="42">
        <v>0.0</v>
      </c>
    </row>
    <row r="162">
      <c r="A162" s="35">
        <v>46301.0</v>
      </c>
      <c r="B162" s="36">
        <v>0.8472222222222222</v>
      </c>
      <c r="C162" s="37" t="s">
        <v>29</v>
      </c>
      <c r="D162" s="37" t="s">
        <v>94</v>
      </c>
      <c r="E162" s="37" t="s">
        <v>92</v>
      </c>
      <c r="F162" s="38">
        <v>0.0</v>
      </c>
      <c r="G162" s="38">
        <v>0.0</v>
      </c>
      <c r="H162" s="38">
        <v>0.0</v>
      </c>
      <c r="I162" s="38">
        <v>0.0</v>
      </c>
      <c r="J162" s="38">
        <v>0.0</v>
      </c>
      <c r="K162" s="38">
        <v>0.0</v>
      </c>
      <c r="L162" s="38">
        <v>0.0</v>
      </c>
      <c r="M162" s="38">
        <v>0.0</v>
      </c>
      <c r="N162" s="38">
        <v>0.0</v>
      </c>
      <c r="O162" s="38">
        <v>0.0</v>
      </c>
      <c r="P162" s="38">
        <v>0.0</v>
      </c>
      <c r="Q162" s="38">
        <v>0.0</v>
      </c>
    </row>
    <row r="163">
      <c r="A163" s="39">
        <v>46301.0</v>
      </c>
      <c r="B163" s="40">
        <v>0.8472222222222222</v>
      </c>
      <c r="C163" s="41" t="s">
        <v>31</v>
      </c>
      <c r="D163" s="41" t="s">
        <v>95</v>
      </c>
      <c r="E163" s="41" t="s">
        <v>52</v>
      </c>
      <c r="F163" s="42">
        <v>0.0</v>
      </c>
      <c r="G163" s="42">
        <v>0.0</v>
      </c>
      <c r="H163" s="42">
        <v>0.0</v>
      </c>
      <c r="I163" s="42">
        <v>0.0</v>
      </c>
      <c r="J163" s="42">
        <v>0.0</v>
      </c>
      <c r="K163" s="42">
        <v>0.0</v>
      </c>
      <c r="L163" s="42">
        <v>0.0</v>
      </c>
      <c r="M163" s="42">
        <v>0.0</v>
      </c>
      <c r="N163" s="42">
        <v>0.0</v>
      </c>
      <c r="O163" s="42">
        <v>0.0</v>
      </c>
      <c r="P163" s="42">
        <v>0.0</v>
      </c>
      <c r="Q163" s="42">
        <v>0.0</v>
      </c>
    </row>
    <row r="164">
      <c r="A164" s="35">
        <v>46301.0</v>
      </c>
      <c r="B164" s="36">
        <v>0.8472222222222222</v>
      </c>
      <c r="C164" s="37" t="s">
        <v>31</v>
      </c>
      <c r="D164" s="37" t="s">
        <v>95</v>
      </c>
      <c r="E164" s="37" t="s">
        <v>88</v>
      </c>
      <c r="F164" s="38">
        <v>0.0</v>
      </c>
      <c r="G164" s="38">
        <v>0.0</v>
      </c>
      <c r="H164" s="38">
        <v>0.0</v>
      </c>
      <c r="I164" s="38">
        <v>0.0</v>
      </c>
      <c r="J164" s="38">
        <v>0.0</v>
      </c>
      <c r="K164" s="38">
        <v>0.0</v>
      </c>
      <c r="L164" s="38">
        <v>0.0</v>
      </c>
      <c r="M164" s="38">
        <v>0.0</v>
      </c>
      <c r="N164" s="38">
        <v>0.0</v>
      </c>
      <c r="O164" s="38">
        <v>0.0</v>
      </c>
      <c r="P164" s="38">
        <v>0.0</v>
      </c>
      <c r="Q164" s="38">
        <v>0.0</v>
      </c>
    </row>
    <row r="165">
      <c r="A165" s="39">
        <v>46301.0</v>
      </c>
      <c r="B165" s="40">
        <v>0.8472222222222222</v>
      </c>
      <c r="C165" s="41" t="s">
        <v>31</v>
      </c>
      <c r="D165" s="41" t="s">
        <v>95</v>
      </c>
      <c r="E165" s="41" t="s">
        <v>89</v>
      </c>
      <c r="F165" s="42">
        <v>0.0</v>
      </c>
      <c r="G165" s="42">
        <v>0.0</v>
      </c>
      <c r="H165" s="42">
        <v>0.0</v>
      </c>
      <c r="I165" s="42">
        <v>0.0</v>
      </c>
      <c r="J165" s="42">
        <v>0.0</v>
      </c>
      <c r="K165" s="42">
        <v>0.0</v>
      </c>
      <c r="L165" s="42">
        <v>0.0</v>
      </c>
      <c r="M165" s="42">
        <v>0.0</v>
      </c>
      <c r="N165" s="42">
        <v>0.0</v>
      </c>
      <c r="O165" s="42">
        <v>0.0</v>
      </c>
      <c r="P165" s="42">
        <v>0.0</v>
      </c>
      <c r="Q165" s="42">
        <v>0.0</v>
      </c>
    </row>
    <row r="166">
      <c r="A166" s="35">
        <v>46301.0</v>
      </c>
      <c r="B166" s="36">
        <v>0.8472222222222222</v>
      </c>
      <c r="C166" s="37" t="s">
        <v>31</v>
      </c>
      <c r="D166" s="37" t="s">
        <v>95</v>
      </c>
      <c r="E166" s="37" t="s">
        <v>50</v>
      </c>
      <c r="F166" s="38">
        <v>1.0</v>
      </c>
      <c r="G166" s="38">
        <v>0.0</v>
      </c>
      <c r="H166" s="38">
        <v>0.0</v>
      </c>
      <c r="I166" s="38">
        <v>0.0</v>
      </c>
      <c r="J166" s="38">
        <v>0.0</v>
      </c>
      <c r="K166" s="38">
        <v>1.0</v>
      </c>
      <c r="L166" s="38">
        <v>1.0</v>
      </c>
      <c r="M166" s="38">
        <v>0.0</v>
      </c>
      <c r="N166" s="38">
        <v>0.0</v>
      </c>
      <c r="O166" s="38">
        <v>0.0</v>
      </c>
      <c r="P166" s="38">
        <v>0.0</v>
      </c>
      <c r="Q166" s="38">
        <v>0.0</v>
      </c>
    </row>
    <row r="167">
      <c r="A167" s="39">
        <v>46301.0</v>
      </c>
      <c r="B167" s="40">
        <v>0.8472222222222222</v>
      </c>
      <c r="C167" s="41" t="s">
        <v>31</v>
      </c>
      <c r="D167" s="41" t="s">
        <v>95</v>
      </c>
      <c r="E167" s="41" t="s">
        <v>90</v>
      </c>
      <c r="F167" s="42">
        <v>0.0</v>
      </c>
      <c r="G167" s="42">
        <v>0.0</v>
      </c>
      <c r="H167" s="42">
        <v>0.0</v>
      </c>
      <c r="I167" s="42">
        <v>0.0</v>
      </c>
      <c r="J167" s="42">
        <v>0.0</v>
      </c>
      <c r="K167" s="42">
        <v>0.0</v>
      </c>
      <c r="L167" s="42">
        <v>0.0</v>
      </c>
      <c r="M167" s="42">
        <v>0.0</v>
      </c>
      <c r="N167" s="42">
        <v>0.0</v>
      </c>
      <c r="O167" s="42">
        <v>0.0</v>
      </c>
      <c r="P167" s="42">
        <v>0.0</v>
      </c>
      <c r="Q167" s="42">
        <v>0.0</v>
      </c>
    </row>
    <row r="168">
      <c r="A168" s="35">
        <v>46301.0</v>
      </c>
      <c r="B168" s="36">
        <v>0.8472222222222222</v>
      </c>
      <c r="C168" s="37" t="s">
        <v>31</v>
      </c>
      <c r="D168" s="37" t="s">
        <v>95</v>
      </c>
      <c r="E168" s="37" t="s">
        <v>91</v>
      </c>
      <c r="F168" s="38">
        <v>0.0</v>
      </c>
      <c r="G168" s="38">
        <v>0.0</v>
      </c>
      <c r="H168" s="38">
        <v>0.0</v>
      </c>
      <c r="I168" s="38">
        <v>0.0</v>
      </c>
      <c r="J168" s="38">
        <v>0.0</v>
      </c>
      <c r="K168" s="38">
        <v>0.0</v>
      </c>
      <c r="L168" s="38">
        <v>0.0</v>
      </c>
      <c r="M168" s="38">
        <v>0.0</v>
      </c>
      <c r="N168" s="38">
        <v>0.0</v>
      </c>
      <c r="O168" s="38">
        <v>0.0</v>
      </c>
      <c r="P168" s="38">
        <v>0.0</v>
      </c>
      <c r="Q168" s="38">
        <v>0.0</v>
      </c>
    </row>
    <row r="169">
      <c r="A169" s="39">
        <v>46301.0</v>
      </c>
      <c r="B169" s="40">
        <v>0.8472222222222222</v>
      </c>
      <c r="C169" s="41" t="s">
        <v>31</v>
      </c>
      <c r="D169" s="41" t="s">
        <v>95</v>
      </c>
      <c r="E169" s="41" t="s">
        <v>92</v>
      </c>
      <c r="F169" s="42">
        <v>0.0</v>
      </c>
      <c r="G169" s="42">
        <v>0.0</v>
      </c>
      <c r="H169" s="42">
        <v>0.0</v>
      </c>
      <c r="I169" s="42">
        <v>0.0</v>
      </c>
      <c r="J169" s="42">
        <v>0.0</v>
      </c>
      <c r="K169" s="42">
        <v>0.0</v>
      </c>
      <c r="L169" s="42">
        <v>0.0</v>
      </c>
      <c r="M169" s="42">
        <v>0.0</v>
      </c>
      <c r="N169" s="42">
        <v>0.0</v>
      </c>
      <c r="O169" s="42">
        <v>0.0</v>
      </c>
      <c r="P169" s="42">
        <v>0.0</v>
      </c>
      <c r="Q169" s="42">
        <v>0.0</v>
      </c>
    </row>
    <row r="170">
      <c r="A170" s="43">
        <v>46301.0</v>
      </c>
      <c r="B170" s="44">
        <v>0.8472222222222222</v>
      </c>
      <c r="C170" s="45" t="s">
        <v>96</v>
      </c>
      <c r="D170" s="45" t="s">
        <v>75</v>
      </c>
      <c r="E170" s="45" t="s">
        <v>52</v>
      </c>
      <c r="F170" s="46">
        <v>3.0</v>
      </c>
      <c r="G170" s="46">
        <v>1.0</v>
      </c>
      <c r="H170" s="46">
        <v>0.0</v>
      </c>
      <c r="I170" s="46">
        <v>0.0</v>
      </c>
      <c r="J170" s="46">
        <v>0.0</v>
      </c>
      <c r="K170" s="46">
        <v>3.0</v>
      </c>
      <c r="L170" s="46">
        <v>3.0</v>
      </c>
      <c r="M170" s="46">
        <v>0.0</v>
      </c>
      <c r="N170" s="46">
        <v>0.0</v>
      </c>
      <c r="O170" s="46">
        <v>0.0</v>
      </c>
      <c r="P170" s="46">
        <v>1.0</v>
      </c>
      <c r="Q170" s="46">
        <v>1.0</v>
      </c>
    </row>
    <row r="171">
      <c r="A171" s="43">
        <v>46301.0</v>
      </c>
      <c r="B171" s="44">
        <v>0.8472222222222222</v>
      </c>
      <c r="C171" s="45" t="s">
        <v>96</v>
      </c>
      <c r="D171" s="45" t="s">
        <v>75</v>
      </c>
      <c r="E171" s="45" t="s">
        <v>88</v>
      </c>
      <c r="F171" s="46">
        <v>0.0</v>
      </c>
      <c r="G171" s="46">
        <v>0.0</v>
      </c>
      <c r="H171" s="46">
        <v>0.0</v>
      </c>
      <c r="I171" s="46">
        <v>0.0</v>
      </c>
      <c r="J171" s="46">
        <v>0.0</v>
      </c>
      <c r="K171" s="46">
        <v>0.0</v>
      </c>
      <c r="L171" s="46">
        <v>0.0</v>
      </c>
      <c r="M171" s="46">
        <v>0.0</v>
      </c>
      <c r="N171" s="46">
        <v>0.0</v>
      </c>
      <c r="O171" s="46">
        <v>0.0</v>
      </c>
      <c r="P171" s="46">
        <v>0.0</v>
      </c>
      <c r="Q171" s="46">
        <v>0.0</v>
      </c>
    </row>
    <row r="172">
      <c r="A172" s="43">
        <v>46301.0</v>
      </c>
      <c r="B172" s="44">
        <v>0.8472222222222222</v>
      </c>
      <c r="C172" s="45" t="s">
        <v>96</v>
      </c>
      <c r="D172" s="45" t="s">
        <v>75</v>
      </c>
      <c r="E172" s="45" t="s">
        <v>89</v>
      </c>
      <c r="F172" s="46">
        <v>1.0</v>
      </c>
      <c r="G172" s="46">
        <v>0.0</v>
      </c>
      <c r="H172" s="46">
        <v>0.0</v>
      </c>
      <c r="I172" s="46">
        <v>0.0</v>
      </c>
      <c r="J172" s="46">
        <v>0.0</v>
      </c>
      <c r="K172" s="46">
        <v>1.0</v>
      </c>
      <c r="L172" s="46">
        <v>1.0</v>
      </c>
      <c r="M172" s="46">
        <v>0.0</v>
      </c>
      <c r="N172" s="46">
        <v>0.0</v>
      </c>
      <c r="O172" s="46">
        <v>0.0</v>
      </c>
      <c r="P172" s="46">
        <v>0.0</v>
      </c>
      <c r="Q172" s="46">
        <v>0.0</v>
      </c>
    </row>
    <row r="173">
      <c r="A173" s="43">
        <v>46301.0</v>
      </c>
      <c r="B173" s="44">
        <v>0.8472222222222222</v>
      </c>
      <c r="C173" s="45" t="s">
        <v>96</v>
      </c>
      <c r="D173" s="45" t="s">
        <v>75</v>
      </c>
      <c r="E173" s="45" t="s">
        <v>50</v>
      </c>
      <c r="F173" s="46">
        <v>1.0</v>
      </c>
      <c r="G173" s="46">
        <v>0.0</v>
      </c>
      <c r="H173" s="46">
        <v>0.0</v>
      </c>
      <c r="I173" s="46">
        <v>0.0</v>
      </c>
      <c r="J173" s="46">
        <v>0.0</v>
      </c>
      <c r="K173" s="46">
        <v>1.0</v>
      </c>
      <c r="L173" s="46">
        <v>1.0</v>
      </c>
      <c r="M173" s="46">
        <v>0.0</v>
      </c>
      <c r="N173" s="46">
        <v>0.0</v>
      </c>
      <c r="O173" s="46">
        <v>0.0</v>
      </c>
      <c r="P173" s="46">
        <v>0.0</v>
      </c>
      <c r="Q173" s="46">
        <v>0.0</v>
      </c>
    </row>
    <row r="174">
      <c r="A174" s="43">
        <v>46301.0</v>
      </c>
      <c r="B174" s="44">
        <v>0.8472222222222222</v>
      </c>
      <c r="C174" s="45" t="s">
        <v>96</v>
      </c>
      <c r="D174" s="45" t="s">
        <v>75</v>
      </c>
      <c r="E174" s="45" t="s">
        <v>90</v>
      </c>
      <c r="F174" s="46">
        <v>0.0</v>
      </c>
      <c r="G174" s="46">
        <v>0.0</v>
      </c>
      <c r="H174" s="46">
        <v>0.0</v>
      </c>
      <c r="I174" s="46">
        <v>0.0</v>
      </c>
      <c r="J174" s="46">
        <v>0.0</v>
      </c>
      <c r="K174" s="46">
        <v>0.0</v>
      </c>
      <c r="L174" s="46">
        <v>0.0</v>
      </c>
      <c r="M174" s="46">
        <v>0.0</v>
      </c>
      <c r="N174" s="46">
        <v>0.0</v>
      </c>
      <c r="O174" s="46">
        <v>0.0</v>
      </c>
      <c r="P174" s="46">
        <v>0.0</v>
      </c>
      <c r="Q174" s="46">
        <v>0.0</v>
      </c>
    </row>
    <row r="175">
      <c r="A175" s="43">
        <v>46301.0</v>
      </c>
      <c r="B175" s="44">
        <v>0.8472222222222222</v>
      </c>
      <c r="C175" s="45" t="s">
        <v>96</v>
      </c>
      <c r="D175" s="45" t="s">
        <v>75</v>
      </c>
      <c r="E175" s="45" t="s">
        <v>91</v>
      </c>
      <c r="F175" s="46">
        <v>0.0</v>
      </c>
      <c r="G175" s="46">
        <v>0.0</v>
      </c>
      <c r="H175" s="46">
        <v>0.0</v>
      </c>
      <c r="I175" s="46">
        <v>0.0</v>
      </c>
      <c r="J175" s="46">
        <v>0.0</v>
      </c>
      <c r="K175" s="46">
        <v>0.0</v>
      </c>
      <c r="L175" s="46">
        <v>0.0</v>
      </c>
      <c r="M175" s="46">
        <v>0.0</v>
      </c>
      <c r="N175" s="46">
        <v>0.0</v>
      </c>
      <c r="O175" s="46">
        <v>0.0</v>
      </c>
      <c r="P175" s="46">
        <v>0.0</v>
      </c>
      <c r="Q175" s="46">
        <v>0.0</v>
      </c>
    </row>
    <row r="176">
      <c r="A176" s="43">
        <v>46301.0</v>
      </c>
      <c r="B176" s="44">
        <v>0.8472222222222222</v>
      </c>
      <c r="C176" s="45" t="s">
        <v>96</v>
      </c>
      <c r="D176" s="45" t="s">
        <v>75</v>
      </c>
      <c r="E176" s="45" t="s">
        <v>92</v>
      </c>
      <c r="F176" s="46">
        <v>0.0</v>
      </c>
      <c r="G176" s="46">
        <v>0.0</v>
      </c>
      <c r="H176" s="46">
        <v>0.0</v>
      </c>
      <c r="I176" s="46">
        <v>0.0</v>
      </c>
      <c r="J176" s="46">
        <v>0.0</v>
      </c>
      <c r="K176" s="46">
        <v>0.0</v>
      </c>
      <c r="L176" s="46">
        <v>0.0</v>
      </c>
      <c r="M176" s="46">
        <v>0.0</v>
      </c>
      <c r="N176" s="46">
        <v>0.0</v>
      </c>
      <c r="O176" s="46">
        <v>0.0</v>
      </c>
      <c r="P176" s="46">
        <v>0.0</v>
      </c>
      <c r="Q176" s="46">
        <v>0.0</v>
      </c>
    </row>
    <row r="177">
      <c r="A177" s="39">
        <v>46301.0</v>
      </c>
      <c r="B177" s="40">
        <v>0.8569444444444444</v>
      </c>
      <c r="C177" s="41" t="s">
        <v>15</v>
      </c>
      <c r="D177" s="41" t="s">
        <v>87</v>
      </c>
      <c r="E177" s="41" t="s">
        <v>52</v>
      </c>
      <c r="F177" s="42">
        <v>0.0</v>
      </c>
      <c r="G177" s="42">
        <v>0.0</v>
      </c>
      <c r="H177" s="42">
        <v>0.0</v>
      </c>
      <c r="I177" s="42">
        <v>0.0</v>
      </c>
      <c r="J177" s="42">
        <v>0.0</v>
      </c>
      <c r="K177" s="42">
        <v>0.0</v>
      </c>
      <c r="L177" s="42">
        <v>0.0</v>
      </c>
      <c r="M177" s="42">
        <v>0.0</v>
      </c>
      <c r="N177" s="42">
        <v>0.0</v>
      </c>
      <c r="O177" s="42">
        <v>0.0</v>
      </c>
      <c r="P177" s="42">
        <v>0.0</v>
      </c>
      <c r="Q177" s="42">
        <v>0.0</v>
      </c>
    </row>
    <row r="178">
      <c r="A178" s="35">
        <v>46301.0</v>
      </c>
      <c r="B178" s="36">
        <v>0.8569444444444444</v>
      </c>
      <c r="C178" s="37" t="s">
        <v>15</v>
      </c>
      <c r="D178" s="37" t="s">
        <v>87</v>
      </c>
      <c r="E178" s="37" t="s">
        <v>88</v>
      </c>
      <c r="F178" s="38">
        <v>0.0</v>
      </c>
      <c r="G178" s="38">
        <v>0.0</v>
      </c>
      <c r="H178" s="38">
        <v>0.0</v>
      </c>
      <c r="I178" s="38">
        <v>0.0</v>
      </c>
      <c r="J178" s="38">
        <v>0.0</v>
      </c>
      <c r="K178" s="38">
        <v>0.0</v>
      </c>
      <c r="L178" s="38">
        <v>0.0</v>
      </c>
      <c r="M178" s="38">
        <v>0.0</v>
      </c>
      <c r="N178" s="38">
        <v>0.0</v>
      </c>
      <c r="O178" s="38">
        <v>0.0</v>
      </c>
      <c r="P178" s="38">
        <v>0.0</v>
      </c>
      <c r="Q178" s="38">
        <v>0.0</v>
      </c>
    </row>
    <row r="179">
      <c r="A179" s="39">
        <v>46301.0</v>
      </c>
      <c r="B179" s="40">
        <v>0.8569444444444444</v>
      </c>
      <c r="C179" s="41" t="s">
        <v>15</v>
      </c>
      <c r="D179" s="41" t="s">
        <v>87</v>
      </c>
      <c r="E179" s="41" t="s">
        <v>89</v>
      </c>
      <c r="F179" s="42">
        <v>0.0</v>
      </c>
      <c r="G179" s="42">
        <v>0.0</v>
      </c>
      <c r="H179" s="42">
        <v>0.0</v>
      </c>
      <c r="I179" s="42">
        <v>0.0</v>
      </c>
      <c r="J179" s="42">
        <v>0.0</v>
      </c>
      <c r="K179" s="42">
        <v>0.0</v>
      </c>
      <c r="L179" s="42">
        <v>0.0</v>
      </c>
      <c r="M179" s="42">
        <v>0.0</v>
      </c>
      <c r="N179" s="42">
        <v>0.0</v>
      </c>
      <c r="O179" s="42">
        <v>0.0</v>
      </c>
      <c r="P179" s="42">
        <v>0.0</v>
      </c>
      <c r="Q179" s="42">
        <v>0.0</v>
      </c>
    </row>
    <row r="180">
      <c r="A180" s="35">
        <v>46301.0</v>
      </c>
      <c r="B180" s="36">
        <v>0.8569444444444444</v>
      </c>
      <c r="C180" s="37" t="s">
        <v>15</v>
      </c>
      <c r="D180" s="37" t="s">
        <v>87</v>
      </c>
      <c r="E180" s="37" t="s">
        <v>50</v>
      </c>
      <c r="F180" s="38">
        <v>0.0</v>
      </c>
      <c r="G180" s="38">
        <v>0.0</v>
      </c>
      <c r="H180" s="38">
        <v>0.0</v>
      </c>
      <c r="I180" s="38">
        <v>0.0</v>
      </c>
      <c r="J180" s="38">
        <v>0.0</v>
      </c>
      <c r="K180" s="38">
        <v>0.0</v>
      </c>
      <c r="L180" s="38">
        <v>0.0</v>
      </c>
      <c r="M180" s="38">
        <v>0.0</v>
      </c>
      <c r="N180" s="38">
        <v>0.0</v>
      </c>
      <c r="O180" s="38">
        <v>0.0</v>
      </c>
      <c r="P180" s="38">
        <v>0.0</v>
      </c>
      <c r="Q180" s="38">
        <v>0.0</v>
      </c>
    </row>
    <row r="181">
      <c r="A181" s="39">
        <v>46301.0</v>
      </c>
      <c r="B181" s="40">
        <v>0.8569444444444444</v>
      </c>
      <c r="C181" s="41" t="s">
        <v>15</v>
      </c>
      <c r="D181" s="41" t="s">
        <v>87</v>
      </c>
      <c r="E181" s="41" t="s">
        <v>90</v>
      </c>
      <c r="F181" s="42">
        <v>0.0</v>
      </c>
      <c r="G181" s="42">
        <v>0.0</v>
      </c>
      <c r="H181" s="42">
        <v>0.0</v>
      </c>
      <c r="I181" s="42">
        <v>0.0</v>
      </c>
      <c r="J181" s="42">
        <v>0.0</v>
      </c>
      <c r="K181" s="42">
        <v>0.0</v>
      </c>
      <c r="L181" s="42">
        <v>0.0</v>
      </c>
      <c r="M181" s="42">
        <v>0.0</v>
      </c>
      <c r="N181" s="42">
        <v>0.0</v>
      </c>
      <c r="O181" s="42">
        <v>0.0</v>
      </c>
      <c r="P181" s="42">
        <v>0.0</v>
      </c>
      <c r="Q181" s="42">
        <v>0.0</v>
      </c>
    </row>
    <row r="182">
      <c r="A182" s="35">
        <v>46301.0</v>
      </c>
      <c r="B182" s="36">
        <v>0.8569444444444444</v>
      </c>
      <c r="C182" s="37" t="s">
        <v>15</v>
      </c>
      <c r="D182" s="37" t="s">
        <v>87</v>
      </c>
      <c r="E182" s="37" t="s">
        <v>91</v>
      </c>
      <c r="F182" s="38">
        <v>0.0</v>
      </c>
      <c r="G182" s="38">
        <v>0.0</v>
      </c>
      <c r="H182" s="38">
        <v>0.0</v>
      </c>
      <c r="I182" s="38">
        <v>0.0</v>
      </c>
      <c r="J182" s="38">
        <v>0.0</v>
      </c>
      <c r="K182" s="38">
        <v>0.0</v>
      </c>
      <c r="L182" s="38">
        <v>0.0</v>
      </c>
      <c r="M182" s="38">
        <v>0.0</v>
      </c>
      <c r="N182" s="38">
        <v>0.0</v>
      </c>
      <c r="O182" s="38">
        <v>0.0</v>
      </c>
      <c r="P182" s="38">
        <v>0.0</v>
      </c>
      <c r="Q182" s="38">
        <v>0.0</v>
      </c>
    </row>
    <row r="183">
      <c r="A183" s="39">
        <v>46301.0</v>
      </c>
      <c r="B183" s="40">
        <v>0.8569444444444444</v>
      </c>
      <c r="C183" s="41" t="s">
        <v>15</v>
      </c>
      <c r="D183" s="41" t="s">
        <v>87</v>
      </c>
      <c r="E183" s="41" t="s">
        <v>92</v>
      </c>
      <c r="F183" s="42">
        <v>0.0</v>
      </c>
      <c r="G183" s="42">
        <v>0.0</v>
      </c>
      <c r="H183" s="42">
        <v>0.0</v>
      </c>
      <c r="I183" s="42">
        <v>0.0</v>
      </c>
      <c r="J183" s="42">
        <v>0.0</v>
      </c>
      <c r="K183" s="42">
        <v>0.0</v>
      </c>
      <c r="L183" s="42">
        <v>0.0</v>
      </c>
      <c r="M183" s="42">
        <v>0.0</v>
      </c>
      <c r="N183" s="42">
        <v>0.0</v>
      </c>
      <c r="O183" s="42">
        <v>0.0</v>
      </c>
      <c r="P183" s="42">
        <v>0.0</v>
      </c>
      <c r="Q183" s="42">
        <v>0.0</v>
      </c>
    </row>
    <row r="184">
      <c r="A184" s="35">
        <v>46301.0</v>
      </c>
      <c r="B184" s="36">
        <v>0.8569444444444444</v>
      </c>
      <c r="C184" s="37" t="s">
        <v>23</v>
      </c>
      <c r="D184" s="37" t="s">
        <v>93</v>
      </c>
      <c r="E184" s="37" t="s">
        <v>52</v>
      </c>
      <c r="F184" s="38">
        <v>1.0</v>
      </c>
      <c r="G184" s="38">
        <v>1.0</v>
      </c>
      <c r="H184" s="38">
        <v>0.0</v>
      </c>
      <c r="I184" s="38">
        <v>0.0</v>
      </c>
      <c r="J184" s="38">
        <v>0.0</v>
      </c>
      <c r="K184" s="38">
        <v>1.0</v>
      </c>
      <c r="L184" s="38">
        <v>1.0</v>
      </c>
      <c r="M184" s="38">
        <v>0.0</v>
      </c>
      <c r="N184" s="38">
        <v>0.0</v>
      </c>
      <c r="O184" s="38">
        <v>0.0</v>
      </c>
      <c r="P184" s="38">
        <v>1.0</v>
      </c>
      <c r="Q184" s="38">
        <v>1.0</v>
      </c>
    </row>
    <row r="185">
      <c r="A185" s="39">
        <v>46301.0</v>
      </c>
      <c r="B185" s="40">
        <v>0.8569444444444444</v>
      </c>
      <c r="C185" s="41" t="s">
        <v>23</v>
      </c>
      <c r="D185" s="41" t="s">
        <v>93</v>
      </c>
      <c r="E185" s="41" t="s">
        <v>88</v>
      </c>
      <c r="F185" s="42">
        <v>0.0</v>
      </c>
      <c r="G185" s="42">
        <v>0.0</v>
      </c>
      <c r="H185" s="42">
        <v>0.0</v>
      </c>
      <c r="I185" s="42">
        <v>0.0</v>
      </c>
      <c r="J185" s="42">
        <v>0.0</v>
      </c>
      <c r="K185" s="42">
        <v>0.0</v>
      </c>
      <c r="L185" s="42">
        <v>0.0</v>
      </c>
      <c r="M185" s="42">
        <v>0.0</v>
      </c>
      <c r="N185" s="42">
        <v>0.0</v>
      </c>
      <c r="O185" s="42">
        <v>0.0</v>
      </c>
      <c r="P185" s="42">
        <v>0.0</v>
      </c>
      <c r="Q185" s="42">
        <v>0.0</v>
      </c>
    </row>
    <row r="186">
      <c r="A186" s="35">
        <v>46301.0</v>
      </c>
      <c r="B186" s="36">
        <v>0.8569444444444444</v>
      </c>
      <c r="C186" s="37" t="s">
        <v>23</v>
      </c>
      <c r="D186" s="37" t="s">
        <v>93</v>
      </c>
      <c r="E186" s="37" t="s">
        <v>89</v>
      </c>
      <c r="F186" s="38">
        <v>0.0</v>
      </c>
      <c r="G186" s="38">
        <v>0.0</v>
      </c>
      <c r="H186" s="38">
        <v>0.0</v>
      </c>
      <c r="I186" s="38">
        <v>0.0</v>
      </c>
      <c r="J186" s="38">
        <v>0.0</v>
      </c>
      <c r="K186" s="38">
        <v>0.0</v>
      </c>
      <c r="L186" s="38">
        <v>0.0</v>
      </c>
      <c r="M186" s="38">
        <v>0.0</v>
      </c>
      <c r="N186" s="38">
        <v>0.0</v>
      </c>
      <c r="O186" s="38">
        <v>0.0</v>
      </c>
      <c r="P186" s="38">
        <v>0.0</v>
      </c>
      <c r="Q186" s="38">
        <v>0.0</v>
      </c>
    </row>
    <row r="187">
      <c r="A187" s="39">
        <v>46301.0</v>
      </c>
      <c r="B187" s="40">
        <v>0.8569444444444444</v>
      </c>
      <c r="C187" s="41" t="s">
        <v>23</v>
      </c>
      <c r="D187" s="41" t="s">
        <v>93</v>
      </c>
      <c r="E187" s="41" t="s">
        <v>50</v>
      </c>
      <c r="F187" s="42">
        <v>0.0</v>
      </c>
      <c r="G187" s="42">
        <v>0.0</v>
      </c>
      <c r="H187" s="42">
        <v>0.0</v>
      </c>
      <c r="I187" s="42">
        <v>0.0</v>
      </c>
      <c r="J187" s="42">
        <v>0.0</v>
      </c>
      <c r="K187" s="42">
        <v>0.0</v>
      </c>
      <c r="L187" s="42">
        <v>0.0</v>
      </c>
      <c r="M187" s="42">
        <v>0.0</v>
      </c>
      <c r="N187" s="42">
        <v>0.0</v>
      </c>
      <c r="O187" s="42">
        <v>0.0</v>
      </c>
      <c r="P187" s="42">
        <v>0.0</v>
      </c>
      <c r="Q187" s="42">
        <v>0.0</v>
      </c>
    </row>
    <row r="188">
      <c r="A188" s="35">
        <v>46301.0</v>
      </c>
      <c r="B188" s="36">
        <v>0.8569444444444444</v>
      </c>
      <c r="C188" s="37" t="s">
        <v>23</v>
      </c>
      <c r="D188" s="37" t="s">
        <v>93</v>
      </c>
      <c r="E188" s="37" t="s">
        <v>90</v>
      </c>
      <c r="F188" s="38">
        <v>0.0</v>
      </c>
      <c r="G188" s="38">
        <v>0.0</v>
      </c>
      <c r="H188" s="38">
        <v>0.0</v>
      </c>
      <c r="I188" s="38">
        <v>0.0</v>
      </c>
      <c r="J188" s="38">
        <v>0.0</v>
      </c>
      <c r="K188" s="38">
        <v>0.0</v>
      </c>
      <c r="L188" s="38">
        <v>0.0</v>
      </c>
      <c r="M188" s="38">
        <v>0.0</v>
      </c>
      <c r="N188" s="38">
        <v>0.0</v>
      </c>
      <c r="O188" s="38">
        <v>0.0</v>
      </c>
      <c r="P188" s="38">
        <v>0.0</v>
      </c>
      <c r="Q188" s="38">
        <v>0.0</v>
      </c>
    </row>
    <row r="189">
      <c r="A189" s="39">
        <v>46301.0</v>
      </c>
      <c r="B189" s="40">
        <v>0.8569444444444444</v>
      </c>
      <c r="C189" s="41" t="s">
        <v>23</v>
      </c>
      <c r="D189" s="41" t="s">
        <v>93</v>
      </c>
      <c r="E189" s="41" t="s">
        <v>91</v>
      </c>
      <c r="F189" s="42">
        <v>0.0</v>
      </c>
      <c r="G189" s="42">
        <v>0.0</v>
      </c>
      <c r="H189" s="42">
        <v>0.0</v>
      </c>
      <c r="I189" s="42">
        <v>0.0</v>
      </c>
      <c r="J189" s="42">
        <v>0.0</v>
      </c>
      <c r="K189" s="42">
        <v>0.0</v>
      </c>
      <c r="L189" s="42">
        <v>0.0</v>
      </c>
      <c r="M189" s="42">
        <v>0.0</v>
      </c>
      <c r="N189" s="42">
        <v>0.0</v>
      </c>
      <c r="O189" s="42">
        <v>0.0</v>
      </c>
      <c r="P189" s="42">
        <v>0.0</v>
      </c>
      <c r="Q189" s="42">
        <v>0.0</v>
      </c>
    </row>
    <row r="190">
      <c r="A190" s="35">
        <v>46301.0</v>
      </c>
      <c r="B190" s="36">
        <v>0.8569444444444444</v>
      </c>
      <c r="C190" s="37" t="s">
        <v>23</v>
      </c>
      <c r="D190" s="37" t="s">
        <v>93</v>
      </c>
      <c r="E190" s="37" t="s">
        <v>92</v>
      </c>
      <c r="F190" s="38">
        <v>0.0</v>
      </c>
      <c r="G190" s="38">
        <v>0.0</v>
      </c>
      <c r="H190" s="38">
        <v>0.0</v>
      </c>
      <c r="I190" s="38">
        <v>0.0</v>
      </c>
      <c r="J190" s="38">
        <v>0.0</v>
      </c>
      <c r="K190" s="38">
        <v>0.0</v>
      </c>
      <c r="L190" s="38">
        <v>0.0</v>
      </c>
      <c r="M190" s="38">
        <v>0.0</v>
      </c>
      <c r="N190" s="38">
        <v>0.0</v>
      </c>
      <c r="O190" s="38">
        <v>0.0</v>
      </c>
      <c r="P190" s="38">
        <v>0.0</v>
      </c>
      <c r="Q190" s="38">
        <v>0.0</v>
      </c>
    </row>
    <row r="191">
      <c r="A191" s="39">
        <v>46301.0</v>
      </c>
      <c r="B191" s="40">
        <v>0.8569444444444444</v>
      </c>
      <c r="C191" s="41" t="s">
        <v>29</v>
      </c>
      <c r="D191" s="41" t="s">
        <v>94</v>
      </c>
      <c r="E191" s="41" t="s">
        <v>52</v>
      </c>
      <c r="F191" s="42">
        <v>2.0</v>
      </c>
      <c r="G191" s="42">
        <v>0.0</v>
      </c>
      <c r="H191" s="42">
        <v>0.0</v>
      </c>
      <c r="I191" s="42">
        <v>0.0</v>
      </c>
      <c r="J191" s="42">
        <v>0.0</v>
      </c>
      <c r="K191" s="42">
        <v>2.0</v>
      </c>
      <c r="L191" s="42">
        <v>2.0</v>
      </c>
      <c r="M191" s="42">
        <v>0.0</v>
      </c>
      <c r="N191" s="42">
        <v>0.0</v>
      </c>
      <c r="O191" s="42">
        <v>0.0</v>
      </c>
      <c r="P191" s="42">
        <v>0.0</v>
      </c>
      <c r="Q191" s="42">
        <v>0.0</v>
      </c>
    </row>
    <row r="192">
      <c r="A192" s="35">
        <v>46301.0</v>
      </c>
      <c r="B192" s="36">
        <v>0.8569444444444444</v>
      </c>
      <c r="C192" s="37" t="s">
        <v>29</v>
      </c>
      <c r="D192" s="37" t="s">
        <v>94</v>
      </c>
      <c r="E192" s="37" t="s">
        <v>88</v>
      </c>
      <c r="F192" s="38">
        <v>0.0</v>
      </c>
      <c r="G192" s="38">
        <v>0.0</v>
      </c>
      <c r="H192" s="38">
        <v>0.0</v>
      </c>
      <c r="I192" s="38">
        <v>0.0</v>
      </c>
      <c r="J192" s="38">
        <v>0.0</v>
      </c>
      <c r="K192" s="38">
        <v>0.0</v>
      </c>
      <c r="L192" s="38">
        <v>0.0</v>
      </c>
      <c r="M192" s="38">
        <v>0.0</v>
      </c>
      <c r="N192" s="38">
        <v>0.0</v>
      </c>
      <c r="O192" s="38">
        <v>0.0</v>
      </c>
      <c r="P192" s="38">
        <v>0.0</v>
      </c>
      <c r="Q192" s="38">
        <v>0.0</v>
      </c>
    </row>
    <row r="193">
      <c r="A193" s="39">
        <v>46301.0</v>
      </c>
      <c r="B193" s="40">
        <v>0.8569444444444444</v>
      </c>
      <c r="C193" s="41" t="s">
        <v>29</v>
      </c>
      <c r="D193" s="41" t="s">
        <v>94</v>
      </c>
      <c r="E193" s="41" t="s">
        <v>89</v>
      </c>
      <c r="F193" s="42">
        <v>1.0</v>
      </c>
      <c r="G193" s="42">
        <v>0.0</v>
      </c>
      <c r="H193" s="42">
        <v>0.0</v>
      </c>
      <c r="I193" s="42">
        <v>0.0</v>
      </c>
      <c r="J193" s="42">
        <v>0.0</v>
      </c>
      <c r="K193" s="42">
        <v>1.0</v>
      </c>
      <c r="L193" s="42">
        <v>1.0</v>
      </c>
      <c r="M193" s="42">
        <v>0.0</v>
      </c>
      <c r="N193" s="42">
        <v>0.0</v>
      </c>
      <c r="O193" s="42">
        <v>0.0</v>
      </c>
      <c r="P193" s="42">
        <v>0.0</v>
      </c>
      <c r="Q193" s="42">
        <v>0.0</v>
      </c>
    </row>
    <row r="194">
      <c r="A194" s="35">
        <v>46301.0</v>
      </c>
      <c r="B194" s="36">
        <v>0.8569444444444444</v>
      </c>
      <c r="C194" s="37" t="s">
        <v>29</v>
      </c>
      <c r="D194" s="37" t="s">
        <v>94</v>
      </c>
      <c r="E194" s="37" t="s">
        <v>50</v>
      </c>
      <c r="F194" s="38">
        <v>0.0</v>
      </c>
      <c r="G194" s="38">
        <v>0.0</v>
      </c>
      <c r="H194" s="38">
        <v>0.0</v>
      </c>
      <c r="I194" s="38">
        <v>0.0</v>
      </c>
      <c r="J194" s="38">
        <v>0.0</v>
      </c>
      <c r="K194" s="38">
        <v>0.0</v>
      </c>
      <c r="L194" s="38">
        <v>0.0</v>
      </c>
      <c r="M194" s="38">
        <v>0.0</v>
      </c>
      <c r="N194" s="38">
        <v>0.0</v>
      </c>
      <c r="O194" s="38">
        <v>0.0</v>
      </c>
      <c r="P194" s="38">
        <v>0.0</v>
      </c>
      <c r="Q194" s="38">
        <v>0.0</v>
      </c>
    </row>
    <row r="195">
      <c r="A195" s="39">
        <v>46301.0</v>
      </c>
      <c r="B195" s="40">
        <v>0.8569444444444444</v>
      </c>
      <c r="C195" s="41" t="s">
        <v>29</v>
      </c>
      <c r="D195" s="41" t="s">
        <v>94</v>
      </c>
      <c r="E195" s="41" t="s">
        <v>90</v>
      </c>
      <c r="F195" s="42">
        <v>0.0</v>
      </c>
      <c r="G195" s="42">
        <v>0.0</v>
      </c>
      <c r="H195" s="42">
        <v>0.0</v>
      </c>
      <c r="I195" s="42">
        <v>0.0</v>
      </c>
      <c r="J195" s="42">
        <v>0.0</v>
      </c>
      <c r="K195" s="42">
        <v>0.0</v>
      </c>
      <c r="L195" s="42">
        <v>0.0</v>
      </c>
      <c r="M195" s="42">
        <v>0.0</v>
      </c>
      <c r="N195" s="42">
        <v>0.0</v>
      </c>
      <c r="O195" s="42">
        <v>0.0</v>
      </c>
      <c r="P195" s="42">
        <v>0.0</v>
      </c>
      <c r="Q195" s="42">
        <v>0.0</v>
      </c>
    </row>
    <row r="196">
      <c r="A196" s="35">
        <v>46301.0</v>
      </c>
      <c r="B196" s="36">
        <v>0.8569444444444444</v>
      </c>
      <c r="C196" s="37" t="s">
        <v>29</v>
      </c>
      <c r="D196" s="37" t="s">
        <v>94</v>
      </c>
      <c r="E196" s="37" t="s">
        <v>91</v>
      </c>
      <c r="F196" s="38">
        <v>0.0</v>
      </c>
      <c r="G196" s="38">
        <v>0.0</v>
      </c>
      <c r="H196" s="38">
        <v>0.0</v>
      </c>
      <c r="I196" s="38">
        <v>0.0</v>
      </c>
      <c r="J196" s="38">
        <v>0.0</v>
      </c>
      <c r="K196" s="38">
        <v>0.0</v>
      </c>
      <c r="L196" s="38">
        <v>0.0</v>
      </c>
      <c r="M196" s="38">
        <v>0.0</v>
      </c>
      <c r="N196" s="38">
        <v>0.0</v>
      </c>
      <c r="O196" s="38">
        <v>0.0</v>
      </c>
      <c r="P196" s="38">
        <v>0.0</v>
      </c>
      <c r="Q196" s="38">
        <v>0.0</v>
      </c>
    </row>
    <row r="197">
      <c r="A197" s="39">
        <v>46301.0</v>
      </c>
      <c r="B197" s="40">
        <v>0.8569444444444444</v>
      </c>
      <c r="C197" s="41" t="s">
        <v>29</v>
      </c>
      <c r="D197" s="41" t="s">
        <v>94</v>
      </c>
      <c r="E197" s="41" t="s">
        <v>92</v>
      </c>
      <c r="F197" s="42">
        <v>0.0</v>
      </c>
      <c r="G197" s="42">
        <v>0.0</v>
      </c>
      <c r="H197" s="42">
        <v>0.0</v>
      </c>
      <c r="I197" s="42">
        <v>0.0</v>
      </c>
      <c r="J197" s="42">
        <v>0.0</v>
      </c>
      <c r="K197" s="42">
        <v>0.0</v>
      </c>
      <c r="L197" s="42">
        <v>0.0</v>
      </c>
      <c r="M197" s="42">
        <v>0.0</v>
      </c>
      <c r="N197" s="42">
        <v>0.0</v>
      </c>
      <c r="O197" s="42">
        <v>0.0</v>
      </c>
      <c r="P197" s="42">
        <v>0.0</v>
      </c>
      <c r="Q197" s="42">
        <v>0.0</v>
      </c>
    </row>
    <row r="198">
      <c r="A198" s="35">
        <v>46301.0</v>
      </c>
      <c r="B198" s="36">
        <v>0.8569444444444444</v>
      </c>
      <c r="C198" s="37" t="s">
        <v>31</v>
      </c>
      <c r="D198" s="37" t="s">
        <v>95</v>
      </c>
      <c r="E198" s="37" t="s">
        <v>52</v>
      </c>
      <c r="F198" s="38">
        <v>0.0</v>
      </c>
      <c r="G198" s="38">
        <v>0.0</v>
      </c>
      <c r="H198" s="38">
        <v>0.0</v>
      </c>
      <c r="I198" s="38">
        <v>0.0</v>
      </c>
      <c r="J198" s="38">
        <v>0.0</v>
      </c>
      <c r="K198" s="38">
        <v>0.0</v>
      </c>
      <c r="L198" s="38">
        <v>0.0</v>
      </c>
      <c r="M198" s="38">
        <v>0.0</v>
      </c>
      <c r="N198" s="38">
        <v>0.0</v>
      </c>
      <c r="O198" s="38">
        <v>0.0</v>
      </c>
      <c r="P198" s="38">
        <v>0.0</v>
      </c>
      <c r="Q198" s="38">
        <v>0.0</v>
      </c>
    </row>
    <row r="199">
      <c r="A199" s="39">
        <v>46301.0</v>
      </c>
      <c r="B199" s="40">
        <v>0.8569444444444444</v>
      </c>
      <c r="C199" s="41" t="s">
        <v>31</v>
      </c>
      <c r="D199" s="41" t="s">
        <v>95</v>
      </c>
      <c r="E199" s="41" t="s">
        <v>88</v>
      </c>
      <c r="F199" s="42">
        <v>0.0</v>
      </c>
      <c r="G199" s="42">
        <v>0.0</v>
      </c>
      <c r="H199" s="42">
        <v>0.0</v>
      </c>
      <c r="I199" s="42">
        <v>0.0</v>
      </c>
      <c r="J199" s="42">
        <v>0.0</v>
      </c>
      <c r="K199" s="42">
        <v>0.0</v>
      </c>
      <c r="L199" s="42">
        <v>0.0</v>
      </c>
      <c r="M199" s="42">
        <v>0.0</v>
      </c>
      <c r="N199" s="42">
        <v>0.0</v>
      </c>
      <c r="O199" s="42">
        <v>0.0</v>
      </c>
      <c r="P199" s="42">
        <v>0.0</v>
      </c>
      <c r="Q199" s="42">
        <v>0.0</v>
      </c>
    </row>
    <row r="200">
      <c r="A200" s="35">
        <v>46301.0</v>
      </c>
      <c r="B200" s="36">
        <v>0.8569444444444444</v>
      </c>
      <c r="C200" s="37" t="s">
        <v>31</v>
      </c>
      <c r="D200" s="37" t="s">
        <v>95</v>
      </c>
      <c r="E200" s="37" t="s">
        <v>89</v>
      </c>
      <c r="F200" s="38">
        <v>0.0</v>
      </c>
      <c r="G200" s="38">
        <v>0.0</v>
      </c>
      <c r="H200" s="38">
        <v>0.0</v>
      </c>
      <c r="I200" s="38">
        <v>0.0</v>
      </c>
      <c r="J200" s="38">
        <v>0.0</v>
      </c>
      <c r="K200" s="38">
        <v>0.0</v>
      </c>
      <c r="L200" s="38">
        <v>0.0</v>
      </c>
      <c r="M200" s="38">
        <v>0.0</v>
      </c>
      <c r="N200" s="38">
        <v>0.0</v>
      </c>
      <c r="O200" s="38">
        <v>0.0</v>
      </c>
      <c r="P200" s="38">
        <v>0.0</v>
      </c>
      <c r="Q200" s="38">
        <v>0.0</v>
      </c>
    </row>
    <row r="201">
      <c r="A201" s="39">
        <v>46301.0</v>
      </c>
      <c r="B201" s="40">
        <v>0.8569444444444444</v>
      </c>
      <c r="C201" s="41" t="s">
        <v>31</v>
      </c>
      <c r="D201" s="41" t="s">
        <v>95</v>
      </c>
      <c r="E201" s="41" t="s">
        <v>50</v>
      </c>
      <c r="F201" s="42">
        <v>1.0</v>
      </c>
      <c r="G201" s="42">
        <v>0.0</v>
      </c>
      <c r="H201" s="42">
        <v>0.0</v>
      </c>
      <c r="I201" s="42">
        <v>0.0</v>
      </c>
      <c r="J201" s="42">
        <v>0.0</v>
      </c>
      <c r="K201" s="42">
        <v>1.0</v>
      </c>
      <c r="L201" s="42">
        <v>1.0</v>
      </c>
      <c r="M201" s="42">
        <v>0.0</v>
      </c>
      <c r="N201" s="42">
        <v>0.0</v>
      </c>
      <c r="O201" s="42">
        <v>0.0</v>
      </c>
      <c r="P201" s="42">
        <v>0.0</v>
      </c>
      <c r="Q201" s="42">
        <v>0.0</v>
      </c>
    </row>
    <row r="202">
      <c r="A202" s="35">
        <v>46301.0</v>
      </c>
      <c r="B202" s="36">
        <v>0.8569444444444444</v>
      </c>
      <c r="C202" s="37" t="s">
        <v>31</v>
      </c>
      <c r="D202" s="37" t="s">
        <v>95</v>
      </c>
      <c r="E202" s="37" t="s">
        <v>90</v>
      </c>
      <c r="F202" s="38">
        <v>0.0</v>
      </c>
      <c r="G202" s="38">
        <v>0.0</v>
      </c>
      <c r="H202" s="38">
        <v>0.0</v>
      </c>
      <c r="I202" s="38">
        <v>0.0</v>
      </c>
      <c r="J202" s="38">
        <v>0.0</v>
      </c>
      <c r="K202" s="38">
        <v>0.0</v>
      </c>
      <c r="L202" s="38">
        <v>0.0</v>
      </c>
      <c r="M202" s="38">
        <v>0.0</v>
      </c>
      <c r="N202" s="38">
        <v>0.0</v>
      </c>
      <c r="O202" s="38">
        <v>0.0</v>
      </c>
      <c r="P202" s="38">
        <v>0.0</v>
      </c>
      <c r="Q202" s="38">
        <v>0.0</v>
      </c>
    </row>
    <row r="203">
      <c r="A203" s="39">
        <v>46301.0</v>
      </c>
      <c r="B203" s="40">
        <v>0.8569444444444444</v>
      </c>
      <c r="C203" s="41" t="s">
        <v>31</v>
      </c>
      <c r="D203" s="41" t="s">
        <v>95</v>
      </c>
      <c r="E203" s="41" t="s">
        <v>91</v>
      </c>
      <c r="F203" s="42">
        <v>0.0</v>
      </c>
      <c r="G203" s="42">
        <v>0.0</v>
      </c>
      <c r="H203" s="42">
        <v>0.0</v>
      </c>
      <c r="I203" s="42">
        <v>0.0</v>
      </c>
      <c r="J203" s="42">
        <v>0.0</v>
      </c>
      <c r="K203" s="42">
        <v>0.0</v>
      </c>
      <c r="L203" s="42">
        <v>0.0</v>
      </c>
      <c r="M203" s="42">
        <v>0.0</v>
      </c>
      <c r="N203" s="42">
        <v>0.0</v>
      </c>
      <c r="O203" s="42">
        <v>0.0</v>
      </c>
      <c r="P203" s="42">
        <v>0.0</v>
      </c>
      <c r="Q203" s="42">
        <v>0.0</v>
      </c>
    </row>
    <row r="204">
      <c r="A204" s="35">
        <v>46301.0</v>
      </c>
      <c r="B204" s="36">
        <v>0.8569444444444444</v>
      </c>
      <c r="C204" s="37" t="s">
        <v>31</v>
      </c>
      <c r="D204" s="37" t="s">
        <v>95</v>
      </c>
      <c r="E204" s="37" t="s">
        <v>92</v>
      </c>
      <c r="F204" s="38">
        <v>0.0</v>
      </c>
      <c r="G204" s="38">
        <v>0.0</v>
      </c>
      <c r="H204" s="38">
        <v>0.0</v>
      </c>
      <c r="I204" s="38">
        <v>0.0</v>
      </c>
      <c r="J204" s="38">
        <v>0.0</v>
      </c>
      <c r="K204" s="38">
        <v>0.0</v>
      </c>
      <c r="L204" s="38">
        <v>0.0</v>
      </c>
      <c r="M204" s="38">
        <v>0.0</v>
      </c>
      <c r="N204" s="38">
        <v>0.0</v>
      </c>
      <c r="O204" s="38">
        <v>0.0</v>
      </c>
      <c r="P204" s="38">
        <v>0.0</v>
      </c>
      <c r="Q204" s="38">
        <v>0.0</v>
      </c>
    </row>
    <row r="205">
      <c r="A205" s="43">
        <v>46301.0</v>
      </c>
      <c r="B205" s="44">
        <v>0.8569444444444444</v>
      </c>
      <c r="C205" s="45" t="s">
        <v>96</v>
      </c>
      <c r="D205" s="45" t="s">
        <v>75</v>
      </c>
      <c r="E205" s="45" t="s">
        <v>52</v>
      </c>
      <c r="F205" s="46">
        <v>3.0</v>
      </c>
      <c r="G205" s="46">
        <v>1.0</v>
      </c>
      <c r="H205" s="46">
        <v>0.0</v>
      </c>
      <c r="I205" s="46">
        <v>0.0</v>
      </c>
      <c r="J205" s="46">
        <v>0.0</v>
      </c>
      <c r="K205" s="46">
        <v>3.0</v>
      </c>
      <c r="L205" s="46">
        <v>3.0</v>
      </c>
      <c r="M205" s="46">
        <v>0.0</v>
      </c>
      <c r="N205" s="46">
        <v>0.0</v>
      </c>
      <c r="O205" s="46">
        <v>0.0</v>
      </c>
      <c r="P205" s="46">
        <v>1.0</v>
      </c>
      <c r="Q205" s="46">
        <v>1.0</v>
      </c>
    </row>
    <row r="206">
      <c r="A206" s="43">
        <v>46301.0</v>
      </c>
      <c r="B206" s="44">
        <v>0.8569444444444444</v>
      </c>
      <c r="C206" s="45" t="s">
        <v>96</v>
      </c>
      <c r="D206" s="45" t="s">
        <v>75</v>
      </c>
      <c r="E206" s="45" t="s">
        <v>88</v>
      </c>
      <c r="F206" s="46">
        <v>0.0</v>
      </c>
      <c r="G206" s="46">
        <v>0.0</v>
      </c>
      <c r="H206" s="46">
        <v>0.0</v>
      </c>
      <c r="I206" s="46">
        <v>0.0</v>
      </c>
      <c r="J206" s="46">
        <v>0.0</v>
      </c>
      <c r="K206" s="46">
        <v>0.0</v>
      </c>
      <c r="L206" s="46">
        <v>0.0</v>
      </c>
      <c r="M206" s="46">
        <v>0.0</v>
      </c>
      <c r="N206" s="46">
        <v>0.0</v>
      </c>
      <c r="O206" s="46">
        <v>0.0</v>
      </c>
      <c r="P206" s="46">
        <v>0.0</v>
      </c>
      <c r="Q206" s="46">
        <v>0.0</v>
      </c>
    </row>
    <row r="207">
      <c r="A207" s="43">
        <v>46301.0</v>
      </c>
      <c r="B207" s="44">
        <v>0.8569444444444444</v>
      </c>
      <c r="C207" s="45" t="s">
        <v>96</v>
      </c>
      <c r="D207" s="45" t="s">
        <v>75</v>
      </c>
      <c r="E207" s="45" t="s">
        <v>89</v>
      </c>
      <c r="F207" s="46">
        <v>1.0</v>
      </c>
      <c r="G207" s="46">
        <v>0.0</v>
      </c>
      <c r="H207" s="46">
        <v>0.0</v>
      </c>
      <c r="I207" s="46">
        <v>0.0</v>
      </c>
      <c r="J207" s="46">
        <v>0.0</v>
      </c>
      <c r="K207" s="46">
        <v>1.0</v>
      </c>
      <c r="L207" s="46">
        <v>1.0</v>
      </c>
      <c r="M207" s="46">
        <v>0.0</v>
      </c>
      <c r="N207" s="46">
        <v>0.0</v>
      </c>
      <c r="O207" s="46">
        <v>0.0</v>
      </c>
      <c r="P207" s="46">
        <v>0.0</v>
      </c>
      <c r="Q207" s="46">
        <v>0.0</v>
      </c>
    </row>
    <row r="208">
      <c r="A208" s="43">
        <v>46301.0</v>
      </c>
      <c r="B208" s="44">
        <v>0.8569444444444444</v>
      </c>
      <c r="C208" s="45" t="s">
        <v>96</v>
      </c>
      <c r="D208" s="45" t="s">
        <v>75</v>
      </c>
      <c r="E208" s="45" t="s">
        <v>50</v>
      </c>
      <c r="F208" s="46">
        <v>1.0</v>
      </c>
      <c r="G208" s="46">
        <v>0.0</v>
      </c>
      <c r="H208" s="46">
        <v>0.0</v>
      </c>
      <c r="I208" s="46">
        <v>0.0</v>
      </c>
      <c r="J208" s="46">
        <v>0.0</v>
      </c>
      <c r="K208" s="46">
        <v>1.0</v>
      </c>
      <c r="L208" s="46">
        <v>1.0</v>
      </c>
      <c r="M208" s="46">
        <v>0.0</v>
      </c>
      <c r="N208" s="46">
        <v>0.0</v>
      </c>
      <c r="O208" s="46">
        <v>0.0</v>
      </c>
      <c r="P208" s="46">
        <v>0.0</v>
      </c>
      <c r="Q208" s="46">
        <v>0.0</v>
      </c>
    </row>
    <row r="209">
      <c r="A209" s="43">
        <v>46301.0</v>
      </c>
      <c r="B209" s="44">
        <v>0.8569444444444444</v>
      </c>
      <c r="C209" s="45" t="s">
        <v>96</v>
      </c>
      <c r="D209" s="45" t="s">
        <v>75</v>
      </c>
      <c r="E209" s="45" t="s">
        <v>90</v>
      </c>
      <c r="F209" s="46">
        <v>0.0</v>
      </c>
      <c r="G209" s="46">
        <v>0.0</v>
      </c>
      <c r="H209" s="46">
        <v>0.0</v>
      </c>
      <c r="I209" s="46">
        <v>0.0</v>
      </c>
      <c r="J209" s="46">
        <v>0.0</v>
      </c>
      <c r="K209" s="46">
        <v>0.0</v>
      </c>
      <c r="L209" s="46">
        <v>0.0</v>
      </c>
      <c r="M209" s="46">
        <v>0.0</v>
      </c>
      <c r="N209" s="46">
        <v>0.0</v>
      </c>
      <c r="O209" s="46">
        <v>0.0</v>
      </c>
      <c r="P209" s="46">
        <v>0.0</v>
      </c>
      <c r="Q209" s="46">
        <v>0.0</v>
      </c>
    </row>
    <row r="210">
      <c r="A210" s="43">
        <v>46301.0</v>
      </c>
      <c r="B210" s="44">
        <v>0.8569444444444444</v>
      </c>
      <c r="C210" s="45" t="s">
        <v>96</v>
      </c>
      <c r="D210" s="45" t="s">
        <v>75</v>
      </c>
      <c r="E210" s="45" t="s">
        <v>91</v>
      </c>
      <c r="F210" s="46">
        <v>0.0</v>
      </c>
      <c r="G210" s="46">
        <v>0.0</v>
      </c>
      <c r="H210" s="46">
        <v>0.0</v>
      </c>
      <c r="I210" s="46">
        <v>0.0</v>
      </c>
      <c r="J210" s="46">
        <v>0.0</v>
      </c>
      <c r="K210" s="46">
        <v>0.0</v>
      </c>
      <c r="L210" s="46">
        <v>0.0</v>
      </c>
      <c r="M210" s="46">
        <v>0.0</v>
      </c>
      <c r="N210" s="46">
        <v>0.0</v>
      </c>
      <c r="O210" s="46">
        <v>0.0</v>
      </c>
      <c r="P210" s="46">
        <v>0.0</v>
      </c>
      <c r="Q210" s="46">
        <v>0.0</v>
      </c>
    </row>
    <row r="211">
      <c r="A211" s="43">
        <v>46301.0</v>
      </c>
      <c r="B211" s="44">
        <v>0.8569444444444444</v>
      </c>
      <c r="C211" s="45" t="s">
        <v>96</v>
      </c>
      <c r="D211" s="45" t="s">
        <v>75</v>
      </c>
      <c r="E211" s="45" t="s">
        <v>92</v>
      </c>
      <c r="F211" s="46">
        <v>0.0</v>
      </c>
      <c r="G211" s="46">
        <v>0.0</v>
      </c>
      <c r="H211" s="46">
        <v>0.0</v>
      </c>
      <c r="I211" s="46">
        <v>0.0</v>
      </c>
      <c r="J211" s="46">
        <v>0.0</v>
      </c>
      <c r="K211" s="46">
        <v>0.0</v>
      </c>
      <c r="L211" s="46">
        <v>0.0</v>
      </c>
      <c r="M211" s="46">
        <v>0.0</v>
      </c>
      <c r="N211" s="46">
        <v>0.0</v>
      </c>
      <c r="O211" s="46">
        <v>0.0</v>
      </c>
      <c r="P211" s="46">
        <v>0.0</v>
      </c>
      <c r="Q211" s="46">
        <v>0.0</v>
      </c>
    </row>
    <row r="212">
      <c r="A212" s="35">
        <v>46332.0</v>
      </c>
      <c r="B212" s="36">
        <v>0.10138888888888889</v>
      </c>
      <c r="C212" s="37" t="s">
        <v>15</v>
      </c>
      <c r="D212" s="37" t="s">
        <v>87</v>
      </c>
      <c r="E212" s="37" t="s">
        <v>52</v>
      </c>
      <c r="F212" s="38">
        <v>0.0</v>
      </c>
      <c r="G212" s="38">
        <v>0.0</v>
      </c>
      <c r="H212" s="38">
        <v>0.0</v>
      </c>
      <c r="I212" s="38">
        <v>0.0</v>
      </c>
      <c r="J212" s="38">
        <v>0.0</v>
      </c>
      <c r="K212" s="38">
        <v>0.0</v>
      </c>
      <c r="L212" s="38">
        <v>0.0</v>
      </c>
      <c r="M212" s="38">
        <v>0.0</v>
      </c>
      <c r="N212" s="38">
        <v>0.0</v>
      </c>
      <c r="O212" s="38">
        <v>0.0</v>
      </c>
      <c r="P212" s="38">
        <v>0.0</v>
      </c>
      <c r="Q212" s="38">
        <v>0.0</v>
      </c>
    </row>
    <row r="213">
      <c r="A213" s="39">
        <v>46332.0</v>
      </c>
      <c r="B213" s="40">
        <v>0.10138888888888889</v>
      </c>
      <c r="C213" s="41" t="s">
        <v>15</v>
      </c>
      <c r="D213" s="41" t="s">
        <v>87</v>
      </c>
      <c r="E213" s="41" t="s">
        <v>88</v>
      </c>
      <c r="F213" s="42">
        <v>0.0</v>
      </c>
      <c r="G213" s="42">
        <v>0.0</v>
      </c>
      <c r="H213" s="42">
        <v>0.0</v>
      </c>
      <c r="I213" s="42">
        <v>0.0</v>
      </c>
      <c r="J213" s="42">
        <v>0.0</v>
      </c>
      <c r="K213" s="42">
        <v>0.0</v>
      </c>
      <c r="L213" s="42">
        <v>0.0</v>
      </c>
      <c r="M213" s="42">
        <v>0.0</v>
      </c>
      <c r="N213" s="42">
        <v>0.0</v>
      </c>
      <c r="O213" s="42">
        <v>0.0</v>
      </c>
      <c r="P213" s="42">
        <v>0.0</v>
      </c>
      <c r="Q213" s="42">
        <v>0.0</v>
      </c>
    </row>
    <row r="214">
      <c r="A214" s="35">
        <v>46332.0</v>
      </c>
      <c r="B214" s="36">
        <v>0.10138888888888889</v>
      </c>
      <c r="C214" s="37" t="s">
        <v>15</v>
      </c>
      <c r="D214" s="37" t="s">
        <v>87</v>
      </c>
      <c r="E214" s="37" t="s">
        <v>89</v>
      </c>
      <c r="F214" s="38">
        <v>0.0</v>
      </c>
      <c r="G214" s="38">
        <v>0.0</v>
      </c>
      <c r="H214" s="38">
        <v>0.0</v>
      </c>
      <c r="I214" s="38">
        <v>0.0</v>
      </c>
      <c r="J214" s="38">
        <v>0.0</v>
      </c>
      <c r="K214" s="38">
        <v>0.0</v>
      </c>
      <c r="L214" s="38">
        <v>0.0</v>
      </c>
      <c r="M214" s="38">
        <v>0.0</v>
      </c>
      <c r="N214" s="38">
        <v>0.0</v>
      </c>
      <c r="O214" s="38">
        <v>0.0</v>
      </c>
      <c r="P214" s="38">
        <v>0.0</v>
      </c>
      <c r="Q214" s="38">
        <v>0.0</v>
      </c>
    </row>
    <row r="215">
      <c r="A215" s="39">
        <v>46332.0</v>
      </c>
      <c r="B215" s="40">
        <v>0.10138888888888889</v>
      </c>
      <c r="C215" s="41" t="s">
        <v>15</v>
      </c>
      <c r="D215" s="41" t="s">
        <v>87</v>
      </c>
      <c r="E215" s="41" t="s">
        <v>50</v>
      </c>
      <c r="F215" s="42">
        <v>0.0</v>
      </c>
      <c r="G215" s="42">
        <v>0.0</v>
      </c>
      <c r="H215" s="42">
        <v>0.0</v>
      </c>
      <c r="I215" s="42">
        <v>0.0</v>
      </c>
      <c r="J215" s="42">
        <v>0.0</v>
      </c>
      <c r="K215" s="42">
        <v>0.0</v>
      </c>
      <c r="L215" s="42">
        <v>0.0</v>
      </c>
      <c r="M215" s="42">
        <v>0.0</v>
      </c>
      <c r="N215" s="42">
        <v>0.0</v>
      </c>
      <c r="O215" s="42">
        <v>0.0</v>
      </c>
      <c r="P215" s="42">
        <v>0.0</v>
      </c>
      <c r="Q215" s="42">
        <v>0.0</v>
      </c>
    </row>
    <row r="216">
      <c r="A216" s="35">
        <v>46332.0</v>
      </c>
      <c r="B216" s="36">
        <v>0.10138888888888889</v>
      </c>
      <c r="C216" s="37" t="s">
        <v>15</v>
      </c>
      <c r="D216" s="37" t="s">
        <v>87</v>
      </c>
      <c r="E216" s="37" t="s">
        <v>90</v>
      </c>
      <c r="F216" s="38">
        <v>0.0</v>
      </c>
      <c r="G216" s="38">
        <v>0.0</v>
      </c>
      <c r="H216" s="38">
        <v>0.0</v>
      </c>
      <c r="I216" s="38">
        <v>0.0</v>
      </c>
      <c r="J216" s="38">
        <v>0.0</v>
      </c>
      <c r="K216" s="38">
        <v>0.0</v>
      </c>
      <c r="L216" s="38">
        <v>0.0</v>
      </c>
      <c r="M216" s="38">
        <v>0.0</v>
      </c>
      <c r="N216" s="38">
        <v>0.0</v>
      </c>
      <c r="O216" s="38">
        <v>0.0</v>
      </c>
      <c r="P216" s="38">
        <v>0.0</v>
      </c>
      <c r="Q216" s="38">
        <v>0.0</v>
      </c>
    </row>
    <row r="217">
      <c r="A217" s="39">
        <v>46332.0</v>
      </c>
      <c r="B217" s="40">
        <v>0.10138888888888889</v>
      </c>
      <c r="C217" s="41" t="s">
        <v>15</v>
      </c>
      <c r="D217" s="41" t="s">
        <v>87</v>
      </c>
      <c r="E217" s="41" t="s">
        <v>91</v>
      </c>
      <c r="F217" s="42">
        <v>0.0</v>
      </c>
      <c r="G217" s="42">
        <v>0.0</v>
      </c>
      <c r="H217" s="42">
        <v>0.0</v>
      </c>
      <c r="I217" s="42">
        <v>0.0</v>
      </c>
      <c r="J217" s="42">
        <v>0.0</v>
      </c>
      <c r="K217" s="42">
        <v>0.0</v>
      </c>
      <c r="L217" s="42">
        <v>0.0</v>
      </c>
      <c r="M217" s="42">
        <v>0.0</v>
      </c>
      <c r="N217" s="42">
        <v>0.0</v>
      </c>
      <c r="O217" s="42">
        <v>0.0</v>
      </c>
      <c r="P217" s="42">
        <v>0.0</v>
      </c>
      <c r="Q217" s="42">
        <v>0.0</v>
      </c>
    </row>
    <row r="218">
      <c r="A218" s="35">
        <v>46332.0</v>
      </c>
      <c r="B218" s="36">
        <v>0.10138888888888889</v>
      </c>
      <c r="C218" s="37" t="s">
        <v>15</v>
      </c>
      <c r="D218" s="37" t="s">
        <v>87</v>
      </c>
      <c r="E218" s="37" t="s">
        <v>92</v>
      </c>
      <c r="F218" s="38">
        <v>0.0</v>
      </c>
      <c r="G218" s="38">
        <v>0.0</v>
      </c>
      <c r="H218" s="38">
        <v>0.0</v>
      </c>
      <c r="I218" s="38">
        <v>0.0</v>
      </c>
      <c r="J218" s="38">
        <v>0.0</v>
      </c>
      <c r="K218" s="38">
        <v>0.0</v>
      </c>
      <c r="L218" s="38">
        <v>0.0</v>
      </c>
      <c r="M218" s="38">
        <v>0.0</v>
      </c>
      <c r="N218" s="38">
        <v>0.0</v>
      </c>
      <c r="O218" s="38">
        <v>0.0</v>
      </c>
      <c r="P218" s="38">
        <v>0.0</v>
      </c>
      <c r="Q218" s="38">
        <v>0.0</v>
      </c>
    </row>
    <row r="219">
      <c r="A219" s="39">
        <v>46332.0</v>
      </c>
      <c r="B219" s="40">
        <v>0.10138888888888889</v>
      </c>
      <c r="C219" s="41" t="s">
        <v>23</v>
      </c>
      <c r="D219" s="41" t="s">
        <v>93</v>
      </c>
      <c r="E219" s="41" t="s">
        <v>52</v>
      </c>
      <c r="F219" s="42">
        <v>1.0</v>
      </c>
      <c r="G219" s="42">
        <v>1.0</v>
      </c>
      <c r="H219" s="42">
        <v>0.0</v>
      </c>
      <c r="I219" s="42">
        <v>0.0</v>
      </c>
      <c r="J219" s="42">
        <v>0.0</v>
      </c>
      <c r="K219" s="42">
        <v>1.0</v>
      </c>
      <c r="L219" s="42">
        <v>1.0</v>
      </c>
      <c r="M219" s="42">
        <v>0.0</v>
      </c>
      <c r="N219" s="42">
        <v>0.0</v>
      </c>
      <c r="O219" s="42">
        <v>0.0</v>
      </c>
      <c r="P219" s="42">
        <v>1.0</v>
      </c>
      <c r="Q219" s="42">
        <v>1.0</v>
      </c>
    </row>
    <row r="220">
      <c r="A220" s="35">
        <v>46332.0</v>
      </c>
      <c r="B220" s="36">
        <v>0.10138888888888889</v>
      </c>
      <c r="C220" s="37" t="s">
        <v>23</v>
      </c>
      <c r="D220" s="37" t="s">
        <v>93</v>
      </c>
      <c r="E220" s="37" t="s">
        <v>88</v>
      </c>
      <c r="F220" s="38">
        <v>0.0</v>
      </c>
      <c r="G220" s="38">
        <v>0.0</v>
      </c>
      <c r="H220" s="38">
        <v>0.0</v>
      </c>
      <c r="I220" s="38">
        <v>0.0</v>
      </c>
      <c r="J220" s="38">
        <v>0.0</v>
      </c>
      <c r="K220" s="38">
        <v>0.0</v>
      </c>
      <c r="L220" s="38">
        <v>0.0</v>
      </c>
      <c r="M220" s="38">
        <v>0.0</v>
      </c>
      <c r="N220" s="38">
        <v>0.0</v>
      </c>
      <c r="O220" s="38">
        <v>0.0</v>
      </c>
      <c r="P220" s="38">
        <v>0.0</v>
      </c>
      <c r="Q220" s="38">
        <v>0.0</v>
      </c>
    </row>
    <row r="221">
      <c r="A221" s="39">
        <v>46332.0</v>
      </c>
      <c r="B221" s="40">
        <v>0.10138888888888889</v>
      </c>
      <c r="C221" s="41" t="s">
        <v>23</v>
      </c>
      <c r="D221" s="41" t="s">
        <v>93</v>
      </c>
      <c r="E221" s="41" t="s">
        <v>89</v>
      </c>
      <c r="F221" s="42">
        <v>0.0</v>
      </c>
      <c r="G221" s="42">
        <v>0.0</v>
      </c>
      <c r="H221" s="42">
        <v>0.0</v>
      </c>
      <c r="I221" s="42">
        <v>0.0</v>
      </c>
      <c r="J221" s="42">
        <v>0.0</v>
      </c>
      <c r="K221" s="42">
        <v>0.0</v>
      </c>
      <c r="L221" s="42">
        <v>0.0</v>
      </c>
      <c r="M221" s="42">
        <v>0.0</v>
      </c>
      <c r="N221" s="42">
        <v>0.0</v>
      </c>
      <c r="O221" s="42">
        <v>0.0</v>
      </c>
      <c r="P221" s="42">
        <v>0.0</v>
      </c>
      <c r="Q221" s="42">
        <v>0.0</v>
      </c>
    </row>
    <row r="222">
      <c r="A222" s="35">
        <v>46332.0</v>
      </c>
      <c r="B222" s="36">
        <v>0.10138888888888889</v>
      </c>
      <c r="C222" s="37" t="s">
        <v>23</v>
      </c>
      <c r="D222" s="37" t="s">
        <v>93</v>
      </c>
      <c r="E222" s="37" t="s">
        <v>50</v>
      </c>
      <c r="F222" s="38">
        <v>0.0</v>
      </c>
      <c r="G222" s="38">
        <v>0.0</v>
      </c>
      <c r="H222" s="38">
        <v>0.0</v>
      </c>
      <c r="I222" s="38">
        <v>0.0</v>
      </c>
      <c r="J222" s="38">
        <v>0.0</v>
      </c>
      <c r="K222" s="38">
        <v>0.0</v>
      </c>
      <c r="L222" s="38">
        <v>0.0</v>
      </c>
      <c r="M222" s="38">
        <v>0.0</v>
      </c>
      <c r="N222" s="38">
        <v>0.0</v>
      </c>
      <c r="O222" s="38">
        <v>0.0</v>
      </c>
      <c r="P222" s="38">
        <v>0.0</v>
      </c>
      <c r="Q222" s="38">
        <v>0.0</v>
      </c>
    </row>
    <row r="223">
      <c r="A223" s="39">
        <v>46332.0</v>
      </c>
      <c r="B223" s="40">
        <v>0.10138888888888889</v>
      </c>
      <c r="C223" s="41" t="s">
        <v>23</v>
      </c>
      <c r="D223" s="41" t="s">
        <v>93</v>
      </c>
      <c r="E223" s="41" t="s">
        <v>90</v>
      </c>
      <c r="F223" s="42">
        <v>0.0</v>
      </c>
      <c r="G223" s="42">
        <v>0.0</v>
      </c>
      <c r="H223" s="42">
        <v>0.0</v>
      </c>
      <c r="I223" s="42">
        <v>0.0</v>
      </c>
      <c r="J223" s="42">
        <v>0.0</v>
      </c>
      <c r="K223" s="42">
        <v>0.0</v>
      </c>
      <c r="L223" s="42">
        <v>0.0</v>
      </c>
      <c r="M223" s="42">
        <v>0.0</v>
      </c>
      <c r="N223" s="42">
        <v>0.0</v>
      </c>
      <c r="O223" s="42">
        <v>0.0</v>
      </c>
      <c r="P223" s="42">
        <v>0.0</v>
      </c>
      <c r="Q223" s="42">
        <v>0.0</v>
      </c>
    </row>
    <row r="224">
      <c r="A224" s="35">
        <v>46332.0</v>
      </c>
      <c r="B224" s="36">
        <v>0.10138888888888889</v>
      </c>
      <c r="C224" s="37" t="s">
        <v>23</v>
      </c>
      <c r="D224" s="37" t="s">
        <v>93</v>
      </c>
      <c r="E224" s="37" t="s">
        <v>91</v>
      </c>
      <c r="F224" s="38">
        <v>0.0</v>
      </c>
      <c r="G224" s="38">
        <v>0.0</v>
      </c>
      <c r="H224" s="38">
        <v>0.0</v>
      </c>
      <c r="I224" s="38">
        <v>0.0</v>
      </c>
      <c r="J224" s="38">
        <v>0.0</v>
      </c>
      <c r="K224" s="38">
        <v>0.0</v>
      </c>
      <c r="L224" s="38">
        <v>0.0</v>
      </c>
      <c r="M224" s="38">
        <v>0.0</v>
      </c>
      <c r="N224" s="38">
        <v>0.0</v>
      </c>
      <c r="O224" s="38">
        <v>0.0</v>
      </c>
      <c r="P224" s="38">
        <v>0.0</v>
      </c>
      <c r="Q224" s="38">
        <v>0.0</v>
      </c>
    </row>
    <row r="225">
      <c r="A225" s="39">
        <v>46332.0</v>
      </c>
      <c r="B225" s="40">
        <v>0.10138888888888889</v>
      </c>
      <c r="C225" s="41" t="s">
        <v>23</v>
      </c>
      <c r="D225" s="41" t="s">
        <v>93</v>
      </c>
      <c r="E225" s="41" t="s">
        <v>92</v>
      </c>
      <c r="F225" s="42">
        <v>0.0</v>
      </c>
      <c r="G225" s="42">
        <v>0.0</v>
      </c>
      <c r="H225" s="42">
        <v>0.0</v>
      </c>
      <c r="I225" s="42">
        <v>0.0</v>
      </c>
      <c r="J225" s="42">
        <v>0.0</v>
      </c>
      <c r="K225" s="42">
        <v>0.0</v>
      </c>
      <c r="L225" s="42">
        <v>0.0</v>
      </c>
      <c r="M225" s="42">
        <v>0.0</v>
      </c>
      <c r="N225" s="42">
        <v>0.0</v>
      </c>
      <c r="O225" s="42">
        <v>0.0</v>
      </c>
      <c r="P225" s="42">
        <v>0.0</v>
      </c>
      <c r="Q225" s="42">
        <v>0.0</v>
      </c>
    </row>
    <row r="226">
      <c r="A226" s="35">
        <v>46332.0</v>
      </c>
      <c r="B226" s="36">
        <v>0.10138888888888889</v>
      </c>
      <c r="C226" s="37" t="s">
        <v>29</v>
      </c>
      <c r="D226" s="37" t="s">
        <v>94</v>
      </c>
      <c r="E226" s="37" t="s">
        <v>52</v>
      </c>
      <c r="F226" s="38">
        <v>2.0</v>
      </c>
      <c r="G226" s="38">
        <v>0.0</v>
      </c>
      <c r="H226" s="38">
        <v>0.0</v>
      </c>
      <c r="I226" s="38">
        <v>0.0</v>
      </c>
      <c r="J226" s="38">
        <v>0.0</v>
      </c>
      <c r="K226" s="38">
        <v>2.0</v>
      </c>
      <c r="L226" s="38">
        <v>2.0</v>
      </c>
      <c r="M226" s="38">
        <v>0.0</v>
      </c>
      <c r="N226" s="38">
        <v>0.0</v>
      </c>
      <c r="O226" s="38">
        <v>0.0</v>
      </c>
      <c r="P226" s="38">
        <v>0.0</v>
      </c>
      <c r="Q226" s="38">
        <v>0.0</v>
      </c>
    </row>
    <row r="227">
      <c r="A227" s="39">
        <v>46332.0</v>
      </c>
      <c r="B227" s="40">
        <v>0.10138888888888889</v>
      </c>
      <c r="C227" s="41" t="s">
        <v>29</v>
      </c>
      <c r="D227" s="41" t="s">
        <v>94</v>
      </c>
      <c r="E227" s="41" t="s">
        <v>88</v>
      </c>
      <c r="F227" s="42">
        <v>0.0</v>
      </c>
      <c r="G227" s="42">
        <v>0.0</v>
      </c>
      <c r="H227" s="42">
        <v>0.0</v>
      </c>
      <c r="I227" s="42">
        <v>0.0</v>
      </c>
      <c r="J227" s="42">
        <v>0.0</v>
      </c>
      <c r="K227" s="42">
        <v>0.0</v>
      </c>
      <c r="L227" s="42">
        <v>0.0</v>
      </c>
      <c r="M227" s="42">
        <v>0.0</v>
      </c>
      <c r="N227" s="42">
        <v>0.0</v>
      </c>
      <c r="O227" s="42">
        <v>0.0</v>
      </c>
      <c r="P227" s="42">
        <v>0.0</v>
      </c>
      <c r="Q227" s="42">
        <v>0.0</v>
      </c>
    </row>
    <row r="228">
      <c r="A228" s="35">
        <v>46332.0</v>
      </c>
      <c r="B228" s="36">
        <v>0.10138888888888889</v>
      </c>
      <c r="C228" s="37" t="s">
        <v>29</v>
      </c>
      <c r="D228" s="37" t="s">
        <v>94</v>
      </c>
      <c r="E228" s="37" t="s">
        <v>89</v>
      </c>
      <c r="F228" s="38">
        <v>1.0</v>
      </c>
      <c r="G228" s="38">
        <v>0.0</v>
      </c>
      <c r="H228" s="38">
        <v>0.0</v>
      </c>
      <c r="I228" s="38">
        <v>0.0</v>
      </c>
      <c r="J228" s="38">
        <v>0.0</v>
      </c>
      <c r="K228" s="38">
        <v>1.0</v>
      </c>
      <c r="L228" s="38">
        <v>1.0</v>
      </c>
      <c r="M228" s="38">
        <v>0.0</v>
      </c>
      <c r="N228" s="38">
        <v>0.0</v>
      </c>
      <c r="O228" s="38">
        <v>0.0</v>
      </c>
      <c r="P228" s="38">
        <v>0.0</v>
      </c>
      <c r="Q228" s="38">
        <v>0.0</v>
      </c>
    </row>
    <row r="229">
      <c r="A229" s="39">
        <v>46332.0</v>
      </c>
      <c r="B229" s="40">
        <v>0.10138888888888889</v>
      </c>
      <c r="C229" s="41" t="s">
        <v>29</v>
      </c>
      <c r="D229" s="41" t="s">
        <v>94</v>
      </c>
      <c r="E229" s="41" t="s">
        <v>50</v>
      </c>
      <c r="F229" s="42">
        <v>0.0</v>
      </c>
      <c r="G229" s="42">
        <v>0.0</v>
      </c>
      <c r="H229" s="42">
        <v>0.0</v>
      </c>
      <c r="I229" s="42">
        <v>0.0</v>
      </c>
      <c r="J229" s="42">
        <v>0.0</v>
      </c>
      <c r="K229" s="42">
        <v>0.0</v>
      </c>
      <c r="L229" s="42">
        <v>0.0</v>
      </c>
      <c r="M229" s="42">
        <v>0.0</v>
      </c>
      <c r="N229" s="42">
        <v>0.0</v>
      </c>
      <c r="O229" s="42">
        <v>0.0</v>
      </c>
      <c r="P229" s="42">
        <v>0.0</v>
      </c>
      <c r="Q229" s="42">
        <v>0.0</v>
      </c>
    </row>
    <row r="230">
      <c r="A230" s="35">
        <v>46332.0</v>
      </c>
      <c r="B230" s="36">
        <v>0.10138888888888889</v>
      </c>
      <c r="C230" s="37" t="s">
        <v>29</v>
      </c>
      <c r="D230" s="37" t="s">
        <v>94</v>
      </c>
      <c r="E230" s="37" t="s">
        <v>90</v>
      </c>
      <c r="F230" s="38">
        <v>0.0</v>
      </c>
      <c r="G230" s="38">
        <v>0.0</v>
      </c>
      <c r="H230" s="38">
        <v>0.0</v>
      </c>
      <c r="I230" s="38">
        <v>0.0</v>
      </c>
      <c r="J230" s="38">
        <v>0.0</v>
      </c>
      <c r="K230" s="38">
        <v>0.0</v>
      </c>
      <c r="L230" s="38">
        <v>0.0</v>
      </c>
      <c r="M230" s="38">
        <v>0.0</v>
      </c>
      <c r="N230" s="38">
        <v>0.0</v>
      </c>
      <c r="O230" s="38">
        <v>0.0</v>
      </c>
      <c r="P230" s="38">
        <v>0.0</v>
      </c>
      <c r="Q230" s="38">
        <v>0.0</v>
      </c>
    </row>
    <row r="231">
      <c r="A231" s="39">
        <v>46332.0</v>
      </c>
      <c r="B231" s="40">
        <v>0.10138888888888889</v>
      </c>
      <c r="C231" s="41" t="s">
        <v>29</v>
      </c>
      <c r="D231" s="41" t="s">
        <v>94</v>
      </c>
      <c r="E231" s="41" t="s">
        <v>91</v>
      </c>
      <c r="F231" s="42">
        <v>0.0</v>
      </c>
      <c r="G231" s="42">
        <v>0.0</v>
      </c>
      <c r="H231" s="42">
        <v>0.0</v>
      </c>
      <c r="I231" s="42">
        <v>0.0</v>
      </c>
      <c r="J231" s="42">
        <v>0.0</v>
      </c>
      <c r="K231" s="42">
        <v>0.0</v>
      </c>
      <c r="L231" s="42">
        <v>0.0</v>
      </c>
      <c r="M231" s="42">
        <v>0.0</v>
      </c>
      <c r="N231" s="42">
        <v>0.0</v>
      </c>
      <c r="O231" s="42">
        <v>0.0</v>
      </c>
      <c r="P231" s="42">
        <v>0.0</v>
      </c>
      <c r="Q231" s="42">
        <v>0.0</v>
      </c>
    </row>
    <row r="232">
      <c r="A232" s="35">
        <v>46332.0</v>
      </c>
      <c r="B232" s="36">
        <v>0.10138888888888889</v>
      </c>
      <c r="C232" s="37" t="s">
        <v>29</v>
      </c>
      <c r="D232" s="37" t="s">
        <v>94</v>
      </c>
      <c r="E232" s="37" t="s">
        <v>92</v>
      </c>
      <c r="F232" s="38">
        <v>0.0</v>
      </c>
      <c r="G232" s="38">
        <v>0.0</v>
      </c>
      <c r="H232" s="38">
        <v>0.0</v>
      </c>
      <c r="I232" s="38">
        <v>0.0</v>
      </c>
      <c r="J232" s="38">
        <v>0.0</v>
      </c>
      <c r="K232" s="38">
        <v>0.0</v>
      </c>
      <c r="L232" s="38">
        <v>0.0</v>
      </c>
      <c r="M232" s="38">
        <v>0.0</v>
      </c>
      <c r="N232" s="38">
        <v>0.0</v>
      </c>
      <c r="O232" s="38">
        <v>0.0</v>
      </c>
      <c r="P232" s="38">
        <v>0.0</v>
      </c>
      <c r="Q232" s="38">
        <v>0.0</v>
      </c>
    </row>
    <row r="233">
      <c r="A233" s="39">
        <v>46332.0</v>
      </c>
      <c r="B233" s="40">
        <v>0.10138888888888889</v>
      </c>
      <c r="C233" s="41" t="s">
        <v>31</v>
      </c>
      <c r="D233" s="41" t="s">
        <v>95</v>
      </c>
      <c r="E233" s="41" t="s">
        <v>52</v>
      </c>
      <c r="F233" s="42">
        <v>0.0</v>
      </c>
      <c r="G233" s="42">
        <v>0.0</v>
      </c>
      <c r="H233" s="42">
        <v>0.0</v>
      </c>
      <c r="I233" s="42">
        <v>0.0</v>
      </c>
      <c r="J233" s="42">
        <v>0.0</v>
      </c>
      <c r="K233" s="42">
        <v>0.0</v>
      </c>
      <c r="L233" s="42">
        <v>0.0</v>
      </c>
      <c r="M233" s="42">
        <v>0.0</v>
      </c>
      <c r="N233" s="42">
        <v>0.0</v>
      </c>
      <c r="O233" s="42">
        <v>0.0</v>
      </c>
      <c r="P233" s="42">
        <v>0.0</v>
      </c>
      <c r="Q233" s="42">
        <v>0.0</v>
      </c>
    </row>
    <row r="234">
      <c r="A234" s="35">
        <v>46332.0</v>
      </c>
      <c r="B234" s="36">
        <v>0.10138888888888889</v>
      </c>
      <c r="C234" s="37" t="s">
        <v>31</v>
      </c>
      <c r="D234" s="37" t="s">
        <v>95</v>
      </c>
      <c r="E234" s="37" t="s">
        <v>88</v>
      </c>
      <c r="F234" s="38">
        <v>0.0</v>
      </c>
      <c r="G234" s="38">
        <v>0.0</v>
      </c>
      <c r="H234" s="38">
        <v>0.0</v>
      </c>
      <c r="I234" s="38">
        <v>0.0</v>
      </c>
      <c r="J234" s="38">
        <v>0.0</v>
      </c>
      <c r="K234" s="38">
        <v>0.0</v>
      </c>
      <c r="L234" s="38">
        <v>0.0</v>
      </c>
      <c r="M234" s="38">
        <v>0.0</v>
      </c>
      <c r="N234" s="38">
        <v>0.0</v>
      </c>
      <c r="O234" s="38">
        <v>0.0</v>
      </c>
      <c r="P234" s="38">
        <v>0.0</v>
      </c>
      <c r="Q234" s="38">
        <v>0.0</v>
      </c>
    </row>
    <row r="235">
      <c r="A235" s="39">
        <v>46332.0</v>
      </c>
      <c r="B235" s="40">
        <v>0.10138888888888889</v>
      </c>
      <c r="C235" s="41" t="s">
        <v>31</v>
      </c>
      <c r="D235" s="41" t="s">
        <v>95</v>
      </c>
      <c r="E235" s="41" t="s">
        <v>89</v>
      </c>
      <c r="F235" s="42">
        <v>0.0</v>
      </c>
      <c r="G235" s="42">
        <v>0.0</v>
      </c>
      <c r="H235" s="42">
        <v>0.0</v>
      </c>
      <c r="I235" s="42">
        <v>0.0</v>
      </c>
      <c r="J235" s="42">
        <v>0.0</v>
      </c>
      <c r="K235" s="42">
        <v>0.0</v>
      </c>
      <c r="L235" s="42">
        <v>0.0</v>
      </c>
      <c r="M235" s="42">
        <v>0.0</v>
      </c>
      <c r="N235" s="42">
        <v>0.0</v>
      </c>
      <c r="O235" s="42">
        <v>0.0</v>
      </c>
      <c r="P235" s="42">
        <v>0.0</v>
      </c>
      <c r="Q235" s="42">
        <v>0.0</v>
      </c>
    </row>
    <row r="236">
      <c r="A236" s="35">
        <v>46332.0</v>
      </c>
      <c r="B236" s="36">
        <v>0.10138888888888889</v>
      </c>
      <c r="C236" s="37" t="s">
        <v>31</v>
      </c>
      <c r="D236" s="37" t="s">
        <v>95</v>
      </c>
      <c r="E236" s="37" t="s">
        <v>50</v>
      </c>
      <c r="F236" s="38">
        <v>1.0</v>
      </c>
      <c r="G236" s="38">
        <v>0.0</v>
      </c>
      <c r="H236" s="38">
        <v>0.0</v>
      </c>
      <c r="I236" s="38">
        <v>0.0</v>
      </c>
      <c r="J236" s="38">
        <v>0.0</v>
      </c>
      <c r="K236" s="38">
        <v>1.0</v>
      </c>
      <c r="L236" s="38">
        <v>1.0</v>
      </c>
      <c r="M236" s="38">
        <v>0.0</v>
      </c>
      <c r="N236" s="38">
        <v>0.0</v>
      </c>
      <c r="O236" s="38">
        <v>0.0</v>
      </c>
      <c r="P236" s="38">
        <v>0.0</v>
      </c>
      <c r="Q236" s="38">
        <v>0.0</v>
      </c>
    </row>
    <row r="237">
      <c r="A237" s="39">
        <v>46332.0</v>
      </c>
      <c r="B237" s="40">
        <v>0.10138888888888889</v>
      </c>
      <c r="C237" s="41" t="s">
        <v>31</v>
      </c>
      <c r="D237" s="41" t="s">
        <v>95</v>
      </c>
      <c r="E237" s="41" t="s">
        <v>90</v>
      </c>
      <c r="F237" s="42">
        <v>0.0</v>
      </c>
      <c r="G237" s="42">
        <v>0.0</v>
      </c>
      <c r="H237" s="42">
        <v>0.0</v>
      </c>
      <c r="I237" s="42">
        <v>0.0</v>
      </c>
      <c r="J237" s="42">
        <v>0.0</v>
      </c>
      <c r="K237" s="42">
        <v>0.0</v>
      </c>
      <c r="L237" s="42">
        <v>0.0</v>
      </c>
      <c r="M237" s="42">
        <v>0.0</v>
      </c>
      <c r="N237" s="42">
        <v>0.0</v>
      </c>
      <c r="O237" s="42">
        <v>0.0</v>
      </c>
      <c r="P237" s="42">
        <v>0.0</v>
      </c>
      <c r="Q237" s="42">
        <v>0.0</v>
      </c>
    </row>
    <row r="238">
      <c r="A238" s="35">
        <v>46332.0</v>
      </c>
      <c r="B238" s="36">
        <v>0.10138888888888889</v>
      </c>
      <c r="C238" s="37" t="s">
        <v>31</v>
      </c>
      <c r="D238" s="37" t="s">
        <v>95</v>
      </c>
      <c r="E238" s="37" t="s">
        <v>91</v>
      </c>
      <c r="F238" s="38">
        <v>0.0</v>
      </c>
      <c r="G238" s="38">
        <v>0.0</v>
      </c>
      <c r="H238" s="38">
        <v>0.0</v>
      </c>
      <c r="I238" s="38">
        <v>0.0</v>
      </c>
      <c r="J238" s="38">
        <v>0.0</v>
      </c>
      <c r="K238" s="38">
        <v>0.0</v>
      </c>
      <c r="L238" s="38">
        <v>0.0</v>
      </c>
      <c r="M238" s="38">
        <v>0.0</v>
      </c>
      <c r="N238" s="38">
        <v>0.0</v>
      </c>
      <c r="O238" s="38">
        <v>0.0</v>
      </c>
      <c r="P238" s="38">
        <v>0.0</v>
      </c>
      <c r="Q238" s="38">
        <v>0.0</v>
      </c>
    </row>
    <row r="239">
      <c r="A239" s="39">
        <v>46332.0</v>
      </c>
      <c r="B239" s="40">
        <v>0.10138888888888889</v>
      </c>
      <c r="C239" s="41" t="s">
        <v>31</v>
      </c>
      <c r="D239" s="41" t="s">
        <v>95</v>
      </c>
      <c r="E239" s="41" t="s">
        <v>92</v>
      </c>
      <c r="F239" s="42">
        <v>0.0</v>
      </c>
      <c r="G239" s="42">
        <v>0.0</v>
      </c>
      <c r="H239" s="42">
        <v>0.0</v>
      </c>
      <c r="I239" s="42">
        <v>0.0</v>
      </c>
      <c r="J239" s="42">
        <v>0.0</v>
      </c>
      <c r="K239" s="42">
        <v>0.0</v>
      </c>
      <c r="L239" s="42">
        <v>0.0</v>
      </c>
      <c r="M239" s="42">
        <v>0.0</v>
      </c>
      <c r="N239" s="42">
        <v>0.0</v>
      </c>
      <c r="O239" s="42">
        <v>0.0</v>
      </c>
      <c r="P239" s="42">
        <v>0.0</v>
      </c>
      <c r="Q239" s="42">
        <v>0.0</v>
      </c>
    </row>
    <row r="240">
      <c r="A240" s="43">
        <v>46332.0</v>
      </c>
      <c r="B240" s="44">
        <v>0.10138888888888889</v>
      </c>
      <c r="C240" s="45" t="s">
        <v>96</v>
      </c>
      <c r="D240" s="45" t="s">
        <v>75</v>
      </c>
      <c r="E240" s="45" t="s">
        <v>52</v>
      </c>
      <c r="F240" s="46">
        <v>3.0</v>
      </c>
      <c r="G240" s="46">
        <v>1.0</v>
      </c>
      <c r="H240" s="46">
        <v>0.0</v>
      </c>
      <c r="I240" s="46">
        <v>0.0</v>
      </c>
      <c r="J240" s="46">
        <v>0.0</v>
      </c>
      <c r="K240" s="46">
        <v>3.0</v>
      </c>
      <c r="L240" s="46">
        <v>3.0</v>
      </c>
      <c r="M240" s="46">
        <v>0.0</v>
      </c>
      <c r="N240" s="46">
        <v>0.0</v>
      </c>
      <c r="O240" s="46">
        <v>0.0</v>
      </c>
      <c r="P240" s="46">
        <v>1.0</v>
      </c>
      <c r="Q240" s="46">
        <v>1.0</v>
      </c>
    </row>
    <row r="241">
      <c r="A241" s="43">
        <v>46332.0</v>
      </c>
      <c r="B241" s="44">
        <v>0.10138888888888889</v>
      </c>
      <c r="C241" s="45" t="s">
        <v>96</v>
      </c>
      <c r="D241" s="45" t="s">
        <v>75</v>
      </c>
      <c r="E241" s="45" t="s">
        <v>88</v>
      </c>
      <c r="F241" s="46">
        <v>0.0</v>
      </c>
      <c r="G241" s="46">
        <v>0.0</v>
      </c>
      <c r="H241" s="46">
        <v>0.0</v>
      </c>
      <c r="I241" s="46">
        <v>0.0</v>
      </c>
      <c r="J241" s="46">
        <v>0.0</v>
      </c>
      <c r="K241" s="46">
        <v>0.0</v>
      </c>
      <c r="L241" s="46">
        <v>0.0</v>
      </c>
      <c r="M241" s="46">
        <v>0.0</v>
      </c>
      <c r="N241" s="46">
        <v>0.0</v>
      </c>
      <c r="O241" s="46">
        <v>0.0</v>
      </c>
      <c r="P241" s="46">
        <v>0.0</v>
      </c>
      <c r="Q241" s="46">
        <v>0.0</v>
      </c>
    </row>
    <row r="242">
      <c r="A242" s="43">
        <v>46332.0</v>
      </c>
      <c r="B242" s="44">
        <v>0.10138888888888889</v>
      </c>
      <c r="C242" s="45" t="s">
        <v>96</v>
      </c>
      <c r="D242" s="45" t="s">
        <v>75</v>
      </c>
      <c r="E242" s="45" t="s">
        <v>89</v>
      </c>
      <c r="F242" s="46">
        <v>1.0</v>
      </c>
      <c r="G242" s="46">
        <v>0.0</v>
      </c>
      <c r="H242" s="46">
        <v>0.0</v>
      </c>
      <c r="I242" s="46">
        <v>0.0</v>
      </c>
      <c r="J242" s="46">
        <v>0.0</v>
      </c>
      <c r="K242" s="46">
        <v>1.0</v>
      </c>
      <c r="L242" s="46">
        <v>1.0</v>
      </c>
      <c r="M242" s="46">
        <v>0.0</v>
      </c>
      <c r="N242" s="46">
        <v>0.0</v>
      </c>
      <c r="O242" s="46">
        <v>0.0</v>
      </c>
      <c r="P242" s="46">
        <v>0.0</v>
      </c>
      <c r="Q242" s="46">
        <v>0.0</v>
      </c>
    </row>
    <row r="243">
      <c r="A243" s="43">
        <v>46332.0</v>
      </c>
      <c r="B243" s="44">
        <v>0.10138888888888889</v>
      </c>
      <c r="C243" s="45" t="s">
        <v>96</v>
      </c>
      <c r="D243" s="45" t="s">
        <v>75</v>
      </c>
      <c r="E243" s="45" t="s">
        <v>50</v>
      </c>
      <c r="F243" s="46">
        <v>1.0</v>
      </c>
      <c r="G243" s="46">
        <v>0.0</v>
      </c>
      <c r="H243" s="46">
        <v>0.0</v>
      </c>
      <c r="I243" s="46">
        <v>0.0</v>
      </c>
      <c r="J243" s="46">
        <v>0.0</v>
      </c>
      <c r="K243" s="46">
        <v>1.0</v>
      </c>
      <c r="L243" s="46">
        <v>1.0</v>
      </c>
      <c r="M243" s="46">
        <v>0.0</v>
      </c>
      <c r="N243" s="46">
        <v>0.0</v>
      </c>
      <c r="O243" s="46">
        <v>0.0</v>
      </c>
      <c r="P243" s="46">
        <v>0.0</v>
      </c>
      <c r="Q243" s="46">
        <v>0.0</v>
      </c>
    </row>
    <row r="244">
      <c r="A244" s="43">
        <v>46332.0</v>
      </c>
      <c r="B244" s="44">
        <v>0.10138888888888889</v>
      </c>
      <c r="C244" s="45" t="s">
        <v>96</v>
      </c>
      <c r="D244" s="45" t="s">
        <v>75</v>
      </c>
      <c r="E244" s="45" t="s">
        <v>90</v>
      </c>
      <c r="F244" s="46">
        <v>0.0</v>
      </c>
      <c r="G244" s="46">
        <v>0.0</v>
      </c>
      <c r="H244" s="46">
        <v>0.0</v>
      </c>
      <c r="I244" s="46">
        <v>0.0</v>
      </c>
      <c r="J244" s="46">
        <v>0.0</v>
      </c>
      <c r="K244" s="46">
        <v>0.0</v>
      </c>
      <c r="L244" s="46">
        <v>0.0</v>
      </c>
      <c r="M244" s="46">
        <v>0.0</v>
      </c>
      <c r="N244" s="46">
        <v>0.0</v>
      </c>
      <c r="O244" s="46">
        <v>0.0</v>
      </c>
      <c r="P244" s="46">
        <v>0.0</v>
      </c>
      <c r="Q244" s="46">
        <v>0.0</v>
      </c>
    </row>
    <row r="245">
      <c r="A245" s="43">
        <v>46332.0</v>
      </c>
      <c r="B245" s="44">
        <v>0.10138888888888889</v>
      </c>
      <c r="C245" s="45" t="s">
        <v>96</v>
      </c>
      <c r="D245" s="45" t="s">
        <v>75</v>
      </c>
      <c r="E245" s="45" t="s">
        <v>91</v>
      </c>
      <c r="F245" s="46">
        <v>0.0</v>
      </c>
      <c r="G245" s="46">
        <v>0.0</v>
      </c>
      <c r="H245" s="46">
        <v>0.0</v>
      </c>
      <c r="I245" s="46">
        <v>0.0</v>
      </c>
      <c r="J245" s="46">
        <v>0.0</v>
      </c>
      <c r="K245" s="46">
        <v>0.0</v>
      </c>
      <c r="L245" s="46">
        <v>0.0</v>
      </c>
      <c r="M245" s="46">
        <v>0.0</v>
      </c>
      <c r="N245" s="46">
        <v>0.0</v>
      </c>
      <c r="O245" s="46">
        <v>0.0</v>
      </c>
      <c r="P245" s="46">
        <v>0.0</v>
      </c>
      <c r="Q245" s="46">
        <v>0.0</v>
      </c>
    </row>
    <row r="246">
      <c r="A246" s="43">
        <v>46332.0</v>
      </c>
      <c r="B246" s="44">
        <v>0.10138888888888889</v>
      </c>
      <c r="C246" s="45" t="s">
        <v>96</v>
      </c>
      <c r="D246" s="45" t="s">
        <v>75</v>
      </c>
      <c r="E246" s="45" t="s">
        <v>92</v>
      </c>
      <c r="F246" s="46">
        <v>0.0</v>
      </c>
      <c r="G246" s="46">
        <v>0.0</v>
      </c>
      <c r="H246" s="46">
        <v>0.0</v>
      </c>
      <c r="I246" s="46">
        <v>0.0</v>
      </c>
      <c r="J246" s="46">
        <v>0.0</v>
      </c>
      <c r="K246" s="46">
        <v>0.0</v>
      </c>
      <c r="L246" s="46">
        <v>0.0</v>
      </c>
      <c r="M246" s="46">
        <v>0.0</v>
      </c>
      <c r="N246" s="46">
        <v>0.0</v>
      </c>
      <c r="O246" s="46">
        <v>0.0</v>
      </c>
      <c r="P246" s="46">
        <v>0.0</v>
      </c>
      <c r="Q246" s="46">
        <v>0.0</v>
      </c>
    </row>
    <row r="247">
      <c r="A247" s="39">
        <v>46362.0</v>
      </c>
      <c r="B247" s="40">
        <v>0.10486111111111111</v>
      </c>
      <c r="C247" s="41" t="s">
        <v>15</v>
      </c>
      <c r="D247" s="41" t="s">
        <v>87</v>
      </c>
      <c r="E247" s="41" t="s">
        <v>52</v>
      </c>
      <c r="F247" s="42">
        <v>0.0</v>
      </c>
      <c r="G247" s="42">
        <v>0.0</v>
      </c>
      <c r="H247" s="42">
        <v>0.0</v>
      </c>
      <c r="I247" s="42">
        <v>0.0</v>
      </c>
      <c r="J247" s="42">
        <v>0.0</v>
      </c>
      <c r="K247" s="42">
        <v>0.0</v>
      </c>
      <c r="L247" s="42">
        <v>0.0</v>
      </c>
      <c r="M247" s="42">
        <v>0.0</v>
      </c>
      <c r="N247" s="42">
        <v>0.0</v>
      </c>
      <c r="O247" s="42">
        <v>0.0</v>
      </c>
      <c r="P247" s="42">
        <v>0.0</v>
      </c>
      <c r="Q247" s="42">
        <v>0.0</v>
      </c>
    </row>
    <row r="248">
      <c r="A248" s="35">
        <v>46362.0</v>
      </c>
      <c r="B248" s="36">
        <v>0.10486111111111111</v>
      </c>
      <c r="C248" s="37" t="s">
        <v>15</v>
      </c>
      <c r="D248" s="37" t="s">
        <v>87</v>
      </c>
      <c r="E248" s="37" t="s">
        <v>88</v>
      </c>
      <c r="F248" s="38">
        <v>0.0</v>
      </c>
      <c r="G248" s="38">
        <v>0.0</v>
      </c>
      <c r="H248" s="38">
        <v>0.0</v>
      </c>
      <c r="I248" s="38">
        <v>0.0</v>
      </c>
      <c r="J248" s="38">
        <v>0.0</v>
      </c>
      <c r="K248" s="38">
        <v>0.0</v>
      </c>
      <c r="L248" s="38">
        <v>0.0</v>
      </c>
      <c r="M248" s="38">
        <v>0.0</v>
      </c>
      <c r="N248" s="38">
        <v>0.0</v>
      </c>
      <c r="O248" s="38">
        <v>0.0</v>
      </c>
      <c r="P248" s="38">
        <v>0.0</v>
      </c>
      <c r="Q248" s="38">
        <v>0.0</v>
      </c>
    </row>
    <row r="249">
      <c r="A249" s="39">
        <v>46362.0</v>
      </c>
      <c r="B249" s="40">
        <v>0.10486111111111111</v>
      </c>
      <c r="C249" s="41" t="s">
        <v>15</v>
      </c>
      <c r="D249" s="41" t="s">
        <v>87</v>
      </c>
      <c r="E249" s="41" t="s">
        <v>89</v>
      </c>
      <c r="F249" s="42">
        <v>0.0</v>
      </c>
      <c r="G249" s="42">
        <v>0.0</v>
      </c>
      <c r="H249" s="42">
        <v>0.0</v>
      </c>
      <c r="I249" s="42">
        <v>0.0</v>
      </c>
      <c r="J249" s="42">
        <v>0.0</v>
      </c>
      <c r="K249" s="42">
        <v>0.0</v>
      </c>
      <c r="L249" s="42">
        <v>0.0</v>
      </c>
      <c r="M249" s="42">
        <v>0.0</v>
      </c>
      <c r="N249" s="42">
        <v>0.0</v>
      </c>
      <c r="O249" s="42">
        <v>0.0</v>
      </c>
      <c r="P249" s="42">
        <v>0.0</v>
      </c>
      <c r="Q249" s="42">
        <v>0.0</v>
      </c>
    </row>
    <row r="250">
      <c r="A250" s="35">
        <v>46362.0</v>
      </c>
      <c r="B250" s="36">
        <v>0.10486111111111111</v>
      </c>
      <c r="C250" s="37" t="s">
        <v>15</v>
      </c>
      <c r="D250" s="37" t="s">
        <v>87</v>
      </c>
      <c r="E250" s="37" t="s">
        <v>50</v>
      </c>
      <c r="F250" s="38">
        <v>0.0</v>
      </c>
      <c r="G250" s="38">
        <v>0.0</v>
      </c>
      <c r="H250" s="38">
        <v>0.0</v>
      </c>
      <c r="I250" s="38">
        <v>0.0</v>
      </c>
      <c r="J250" s="38">
        <v>0.0</v>
      </c>
      <c r="K250" s="38">
        <v>0.0</v>
      </c>
      <c r="L250" s="38">
        <v>0.0</v>
      </c>
      <c r="M250" s="38">
        <v>0.0</v>
      </c>
      <c r="N250" s="38">
        <v>0.0</v>
      </c>
      <c r="O250" s="38">
        <v>0.0</v>
      </c>
      <c r="P250" s="38">
        <v>0.0</v>
      </c>
      <c r="Q250" s="38">
        <v>0.0</v>
      </c>
    </row>
    <row r="251">
      <c r="A251" s="39">
        <v>46362.0</v>
      </c>
      <c r="B251" s="40">
        <v>0.10486111111111111</v>
      </c>
      <c r="C251" s="41" t="s">
        <v>15</v>
      </c>
      <c r="D251" s="41" t="s">
        <v>87</v>
      </c>
      <c r="E251" s="41" t="s">
        <v>90</v>
      </c>
      <c r="F251" s="42">
        <v>0.0</v>
      </c>
      <c r="G251" s="42">
        <v>0.0</v>
      </c>
      <c r="H251" s="42">
        <v>0.0</v>
      </c>
      <c r="I251" s="42">
        <v>0.0</v>
      </c>
      <c r="J251" s="42">
        <v>0.0</v>
      </c>
      <c r="K251" s="42">
        <v>0.0</v>
      </c>
      <c r="L251" s="42">
        <v>0.0</v>
      </c>
      <c r="M251" s="42">
        <v>0.0</v>
      </c>
      <c r="N251" s="42">
        <v>0.0</v>
      </c>
      <c r="O251" s="42">
        <v>0.0</v>
      </c>
      <c r="P251" s="42">
        <v>0.0</v>
      </c>
      <c r="Q251" s="42">
        <v>0.0</v>
      </c>
    </row>
    <row r="252">
      <c r="A252" s="35">
        <v>46362.0</v>
      </c>
      <c r="B252" s="36">
        <v>0.10486111111111111</v>
      </c>
      <c r="C252" s="37" t="s">
        <v>15</v>
      </c>
      <c r="D252" s="37" t="s">
        <v>87</v>
      </c>
      <c r="E252" s="37" t="s">
        <v>91</v>
      </c>
      <c r="F252" s="38">
        <v>0.0</v>
      </c>
      <c r="G252" s="38">
        <v>0.0</v>
      </c>
      <c r="H252" s="38">
        <v>0.0</v>
      </c>
      <c r="I252" s="38">
        <v>0.0</v>
      </c>
      <c r="J252" s="38">
        <v>0.0</v>
      </c>
      <c r="K252" s="38">
        <v>0.0</v>
      </c>
      <c r="L252" s="38">
        <v>0.0</v>
      </c>
      <c r="M252" s="38">
        <v>0.0</v>
      </c>
      <c r="N252" s="38">
        <v>0.0</v>
      </c>
      <c r="O252" s="38">
        <v>0.0</v>
      </c>
      <c r="P252" s="38">
        <v>0.0</v>
      </c>
      <c r="Q252" s="38">
        <v>0.0</v>
      </c>
    </row>
    <row r="253">
      <c r="A253" s="39">
        <v>46362.0</v>
      </c>
      <c r="B253" s="40">
        <v>0.10486111111111111</v>
      </c>
      <c r="C253" s="41" t="s">
        <v>15</v>
      </c>
      <c r="D253" s="41" t="s">
        <v>87</v>
      </c>
      <c r="E253" s="41" t="s">
        <v>92</v>
      </c>
      <c r="F253" s="42">
        <v>0.0</v>
      </c>
      <c r="G253" s="42">
        <v>0.0</v>
      </c>
      <c r="H253" s="42">
        <v>0.0</v>
      </c>
      <c r="I253" s="42">
        <v>0.0</v>
      </c>
      <c r="J253" s="42">
        <v>0.0</v>
      </c>
      <c r="K253" s="42">
        <v>0.0</v>
      </c>
      <c r="L253" s="42">
        <v>0.0</v>
      </c>
      <c r="M253" s="42">
        <v>0.0</v>
      </c>
      <c r="N253" s="42">
        <v>0.0</v>
      </c>
      <c r="O253" s="42">
        <v>0.0</v>
      </c>
      <c r="P253" s="42">
        <v>0.0</v>
      </c>
      <c r="Q253" s="42">
        <v>0.0</v>
      </c>
    </row>
    <row r="254">
      <c r="A254" s="35">
        <v>46362.0</v>
      </c>
      <c r="B254" s="36">
        <v>0.10486111111111111</v>
      </c>
      <c r="C254" s="37" t="s">
        <v>23</v>
      </c>
      <c r="D254" s="37" t="s">
        <v>93</v>
      </c>
      <c r="E254" s="37" t="s">
        <v>52</v>
      </c>
      <c r="F254" s="38">
        <v>1.0</v>
      </c>
      <c r="G254" s="38">
        <v>1.0</v>
      </c>
      <c r="H254" s="38">
        <v>0.0</v>
      </c>
      <c r="I254" s="38">
        <v>0.0</v>
      </c>
      <c r="J254" s="38">
        <v>0.0</v>
      </c>
      <c r="K254" s="38">
        <v>1.0</v>
      </c>
      <c r="L254" s="38">
        <v>1.0</v>
      </c>
      <c r="M254" s="38">
        <v>0.0</v>
      </c>
      <c r="N254" s="38">
        <v>0.0</v>
      </c>
      <c r="O254" s="38">
        <v>0.0</v>
      </c>
      <c r="P254" s="38">
        <v>1.0</v>
      </c>
      <c r="Q254" s="38">
        <v>1.0</v>
      </c>
    </row>
    <row r="255">
      <c r="A255" s="39">
        <v>46362.0</v>
      </c>
      <c r="B255" s="40">
        <v>0.10486111111111111</v>
      </c>
      <c r="C255" s="41" t="s">
        <v>23</v>
      </c>
      <c r="D255" s="41" t="s">
        <v>93</v>
      </c>
      <c r="E255" s="41" t="s">
        <v>88</v>
      </c>
      <c r="F255" s="42">
        <v>0.0</v>
      </c>
      <c r="G255" s="42">
        <v>0.0</v>
      </c>
      <c r="H255" s="42">
        <v>0.0</v>
      </c>
      <c r="I255" s="42">
        <v>0.0</v>
      </c>
      <c r="J255" s="42">
        <v>0.0</v>
      </c>
      <c r="K255" s="42">
        <v>0.0</v>
      </c>
      <c r="L255" s="42">
        <v>0.0</v>
      </c>
      <c r="M255" s="42">
        <v>0.0</v>
      </c>
      <c r="N255" s="42">
        <v>0.0</v>
      </c>
      <c r="O255" s="42">
        <v>0.0</v>
      </c>
      <c r="P255" s="42">
        <v>0.0</v>
      </c>
      <c r="Q255" s="42">
        <v>0.0</v>
      </c>
    </row>
    <row r="256">
      <c r="A256" s="35">
        <v>46362.0</v>
      </c>
      <c r="B256" s="36">
        <v>0.10486111111111111</v>
      </c>
      <c r="C256" s="37" t="s">
        <v>23</v>
      </c>
      <c r="D256" s="37" t="s">
        <v>93</v>
      </c>
      <c r="E256" s="37" t="s">
        <v>89</v>
      </c>
      <c r="F256" s="38">
        <v>0.0</v>
      </c>
      <c r="G256" s="38">
        <v>0.0</v>
      </c>
      <c r="H256" s="38">
        <v>0.0</v>
      </c>
      <c r="I256" s="38">
        <v>0.0</v>
      </c>
      <c r="J256" s="38">
        <v>0.0</v>
      </c>
      <c r="K256" s="38">
        <v>0.0</v>
      </c>
      <c r="L256" s="38">
        <v>0.0</v>
      </c>
      <c r="M256" s="38">
        <v>0.0</v>
      </c>
      <c r="N256" s="38">
        <v>0.0</v>
      </c>
      <c r="O256" s="38">
        <v>0.0</v>
      </c>
      <c r="P256" s="38">
        <v>0.0</v>
      </c>
      <c r="Q256" s="38">
        <v>0.0</v>
      </c>
    </row>
    <row r="257">
      <c r="A257" s="39">
        <v>46362.0</v>
      </c>
      <c r="B257" s="40">
        <v>0.10486111111111111</v>
      </c>
      <c r="C257" s="41" t="s">
        <v>23</v>
      </c>
      <c r="D257" s="41" t="s">
        <v>93</v>
      </c>
      <c r="E257" s="41" t="s">
        <v>50</v>
      </c>
      <c r="F257" s="42">
        <v>0.0</v>
      </c>
      <c r="G257" s="42">
        <v>0.0</v>
      </c>
      <c r="H257" s="42">
        <v>0.0</v>
      </c>
      <c r="I257" s="42">
        <v>0.0</v>
      </c>
      <c r="J257" s="42">
        <v>0.0</v>
      </c>
      <c r="K257" s="42">
        <v>0.0</v>
      </c>
      <c r="L257" s="42">
        <v>0.0</v>
      </c>
      <c r="M257" s="42">
        <v>0.0</v>
      </c>
      <c r="N257" s="42">
        <v>0.0</v>
      </c>
      <c r="O257" s="42">
        <v>0.0</v>
      </c>
      <c r="P257" s="42">
        <v>0.0</v>
      </c>
      <c r="Q257" s="42">
        <v>0.0</v>
      </c>
    </row>
    <row r="258">
      <c r="A258" s="35">
        <v>46362.0</v>
      </c>
      <c r="B258" s="36">
        <v>0.10486111111111111</v>
      </c>
      <c r="C258" s="37" t="s">
        <v>23</v>
      </c>
      <c r="D258" s="37" t="s">
        <v>93</v>
      </c>
      <c r="E258" s="37" t="s">
        <v>90</v>
      </c>
      <c r="F258" s="38">
        <v>0.0</v>
      </c>
      <c r="G258" s="38">
        <v>0.0</v>
      </c>
      <c r="H258" s="38">
        <v>0.0</v>
      </c>
      <c r="I258" s="38">
        <v>0.0</v>
      </c>
      <c r="J258" s="38">
        <v>0.0</v>
      </c>
      <c r="K258" s="38">
        <v>0.0</v>
      </c>
      <c r="L258" s="38">
        <v>0.0</v>
      </c>
      <c r="M258" s="38">
        <v>0.0</v>
      </c>
      <c r="N258" s="38">
        <v>0.0</v>
      </c>
      <c r="O258" s="38">
        <v>0.0</v>
      </c>
      <c r="P258" s="38">
        <v>0.0</v>
      </c>
      <c r="Q258" s="38">
        <v>0.0</v>
      </c>
    </row>
    <row r="259">
      <c r="A259" s="39">
        <v>46362.0</v>
      </c>
      <c r="B259" s="40">
        <v>0.10486111111111111</v>
      </c>
      <c r="C259" s="41" t="s">
        <v>23</v>
      </c>
      <c r="D259" s="41" t="s">
        <v>93</v>
      </c>
      <c r="E259" s="41" t="s">
        <v>91</v>
      </c>
      <c r="F259" s="42">
        <v>0.0</v>
      </c>
      <c r="G259" s="42">
        <v>0.0</v>
      </c>
      <c r="H259" s="42">
        <v>0.0</v>
      </c>
      <c r="I259" s="42">
        <v>0.0</v>
      </c>
      <c r="J259" s="42">
        <v>0.0</v>
      </c>
      <c r="K259" s="42">
        <v>0.0</v>
      </c>
      <c r="L259" s="42">
        <v>0.0</v>
      </c>
      <c r="M259" s="42">
        <v>0.0</v>
      </c>
      <c r="N259" s="42">
        <v>0.0</v>
      </c>
      <c r="O259" s="42">
        <v>0.0</v>
      </c>
      <c r="P259" s="42">
        <v>0.0</v>
      </c>
      <c r="Q259" s="42">
        <v>0.0</v>
      </c>
    </row>
    <row r="260">
      <c r="A260" s="35">
        <v>46362.0</v>
      </c>
      <c r="B260" s="36">
        <v>0.10486111111111111</v>
      </c>
      <c r="C260" s="37" t="s">
        <v>23</v>
      </c>
      <c r="D260" s="37" t="s">
        <v>93</v>
      </c>
      <c r="E260" s="37" t="s">
        <v>92</v>
      </c>
      <c r="F260" s="38">
        <v>0.0</v>
      </c>
      <c r="G260" s="38">
        <v>0.0</v>
      </c>
      <c r="H260" s="38">
        <v>0.0</v>
      </c>
      <c r="I260" s="38">
        <v>0.0</v>
      </c>
      <c r="J260" s="38">
        <v>0.0</v>
      </c>
      <c r="K260" s="38">
        <v>0.0</v>
      </c>
      <c r="L260" s="38">
        <v>0.0</v>
      </c>
      <c r="M260" s="38">
        <v>0.0</v>
      </c>
      <c r="N260" s="38">
        <v>0.0</v>
      </c>
      <c r="O260" s="38">
        <v>0.0</v>
      </c>
      <c r="P260" s="38">
        <v>0.0</v>
      </c>
      <c r="Q260" s="38">
        <v>0.0</v>
      </c>
    </row>
    <row r="261">
      <c r="A261" s="39">
        <v>46362.0</v>
      </c>
      <c r="B261" s="40">
        <v>0.10486111111111111</v>
      </c>
      <c r="C261" s="41" t="s">
        <v>29</v>
      </c>
      <c r="D261" s="41" t="s">
        <v>94</v>
      </c>
      <c r="E261" s="41" t="s">
        <v>52</v>
      </c>
      <c r="F261" s="42">
        <v>4.0</v>
      </c>
      <c r="G261" s="42">
        <v>1.0</v>
      </c>
      <c r="H261" s="42">
        <v>0.0</v>
      </c>
      <c r="I261" s="42">
        <v>0.0</v>
      </c>
      <c r="J261" s="42">
        <v>0.0</v>
      </c>
      <c r="K261" s="42">
        <v>4.0</v>
      </c>
      <c r="L261" s="42">
        <v>4.0</v>
      </c>
      <c r="M261" s="42">
        <v>0.0</v>
      </c>
      <c r="N261" s="42">
        <v>0.0</v>
      </c>
      <c r="O261" s="42">
        <v>0.0</v>
      </c>
      <c r="P261" s="42">
        <v>1.0</v>
      </c>
      <c r="Q261" s="42">
        <v>1.0</v>
      </c>
    </row>
    <row r="262">
      <c r="A262" s="35">
        <v>46362.0</v>
      </c>
      <c r="B262" s="36">
        <v>0.10486111111111111</v>
      </c>
      <c r="C262" s="37" t="s">
        <v>29</v>
      </c>
      <c r="D262" s="37" t="s">
        <v>94</v>
      </c>
      <c r="E262" s="37" t="s">
        <v>88</v>
      </c>
      <c r="F262" s="38">
        <v>0.0</v>
      </c>
      <c r="G262" s="38">
        <v>0.0</v>
      </c>
      <c r="H262" s="38">
        <v>0.0</v>
      </c>
      <c r="I262" s="38">
        <v>0.0</v>
      </c>
      <c r="J262" s="38">
        <v>0.0</v>
      </c>
      <c r="K262" s="38">
        <v>0.0</v>
      </c>
      <c r="L262" s="38">
        <v>0.0</v>
      </c>
      <c r="M262" s="38">
        <v>0.0</v>
      </c>
      <c r="N262" s="38">
        <v>0.0</v>
      </c>
      <c r="O262" s="38">
        <v>0.0</v>
      </c>
      <c r="P262" s="38">
        <v>0.0</v>
      </c>
      <c r="Q262" s="38">
        <v>0.0</v>
      </c>
    </row>
    <row r="263">
      <c r="A263" s="39">
        <v>46362.0</v>
      </c>
      <c r="B263" s="40">
        <v>0.10486111111111111</v>
      </c>
      <c r="C263" s="41" t="s">
        <v>29</v>
      </c>
      <c r="D263" s="41" t="s">
        <v>94</v>
      </c>
      <c r="E263" s="41" t="s">
        <v>89</v>
      </c>
      <c r="F263" s="42">
        <v>1.0</v>
      </c>
      <c r="G263" s="42">
        <v>0.0</v>
      </c>
      <c r="H263" s="42">
        <v>0.0</v>
      </c>
      <c r="I263" s="42">
        <v>0.0</v>
      </c>
      <c r="J263" s="42">
        <v>0.0</v>
      </c>
      <c r="K263" s="42">
        <v>1.0</v>
      </c>
      <c r="L263" s="42">
        <v>1.0</v>
      </c>
      <c r="M263" s="42">
        <v>0.0</v>
      </c>
      <c r="N263" s="42">
        <v>0.0</v>
      </c>
      <c r="O263" s="42">
        <v>0.0</v>
      </c>
      <c r="P263" s="42">
        <v>0.0</v>
      </c>
      <c r="Q263" s="42">
        <v>0.0</v>
      </c>
    </row>
    <row r="264">
      <c r="A264" s="35">
        <v>46362.0</v>
      </c>
      <c r="B264" s="36">
        <v>0.10486111111111111</v>
      </c>
      <c r="C264" s="37" t="s">
        <v>29</v>
      </c>
      <c r="D264" s="37" t="s">
        <v>94</v>
      </c>
      <c r="E264" s="37" t="s">
        <v>50</v>
      </c>
      <c r="F264" s="38">
        <v>0.0</v>
      </c>
      <c r="G264" s="38">
        <v>0.0</v>
      </c>
      <c r="H264" s="38">
        <v>0.0</v>
      </c>
      <c r="I264" s="38">
        <v>0.0</v>
      </c>
      <c r="J264" s="38">
        <v>0.0</v>
      </c>
      <c r="K264" s="38">
        <v>0.0</v>
      </c>
      <c r="L264" s="38">
        <v>0.0</v>
      </c>
      <c r="M264" s="38">
        <v>0.0</v>
      </c>
      <c r="N264" s="38">
        <v>0.0</v>
      </c>
      <c r="O264" s="38">
        <v>0.0</v>
      </c>
      <c r="P264" s="38">
        <v>0.0</v>
      </c>
      <c r="Q264" s="38">
        <v>0.0</v>
      </c>
    </row>
    <row r="265">
      <c r="A265" s="39">
        <v>46362.0</v>
      </c>
      <c r="B265" s="40">
        <v>0.10486111111111111</v>
      </c>
      <c r="C265" s="41" t="s">
        <v>29</v>
      </c>
      <c r="D265" s="41" t="s">
        <v>94</v>
      </c>
      <c r="E265" s="41" t="s">
        <v>90</v>
      </c>
      <c r="F265" s="42">
        <v>0.0</v>
      </c>
      <c r="G265" s="42">
        <v>0.0</v>
      </c>
      <c r="H265" s="42">
        <v>0.0</v>
      </c>
      <c r="I265" s="42">
        <v>0.0</v>
      </c>
      <c r="J265" s="42">
        <v>0.0</v>
      </c>
      <c r="K265" s="42">
        <v>0.0</v>
      </c>
      <c r="L265" s="42">
        <v>0.0</v>
      </c>
      <c r="M265" s="42">
        <v>0.0</v>
      </c>
      <c r="N265" s="42">
        <v>0.0</v>
      </c>
      <c r="O265" s="42">
        <v>0.0</v>
      </c>
      <c r="P265" s="42">
        <v>0.0</v>
      </c>
      <c r="Q265" s="42">
        <v>0.0</v>
      </c>
    </row>
    <row r="266">
      <c r="A266" s="35">
        <v>46362.0</v>
      </c>
      <c r="B266" s="36">
        <v>0.10486111111111111</v>
      </c>
      <c r="C266" s="37" t="s">
        <v>29</v>
      </c>
      <c r="D266" s="37" t="s">
        <v>94</v>
      </c>
      <c r="E266" s="37" t="s">
        <v>91</v>
      </c>
      <c r="F266" s="38">
        <v>0.0</v>
      </c>
      <c r="G266" s="38">
        <v>0.0</v>
      </c>
      <c r="H266" s="38">
        <v>0.0</v>
      </c>
      <c r="I266" s="38">
        <v>0.0</v>
      </c>
      <c r="J266" s="38">
        <v>0.0</v>
      </c>
      <c r="K266" s="38">
        <v>0.0</v>
      </c>
      <c r="L266" s="38">
        <v>0.0</v>
      </c>
      <c r="M266" s="38">
        <v>0.0</v>
      </c>
      <c r="N266" s="38">
        <v>0.0</v>
      </c>
      <c r="O266" s="38">
        <v>0.0</v>
      </c>
      <c r="P266" s="38">
        <v>0.0</v>
      </c>
      <c r="Q266" s="38">
        <v>0.0</v>
      </c>
    </row>
    <row r="267">
      <c r="A267" s="39">
        <v>46362.0</v>
      </c>
      <c r="B267" s="40">
        <v>0.10486111111111111</v>
      </c>
      <c r="C267" s="41" t="s">
        <v>29</v>
      </c>
      <c r="D267" s="41" t="s">
        <v>94</v>
      </c>
      <c r="E267" s="41" t="s">
        <v>92</v>
      </c>
      <c r="F267" s="42">
        <v>0.0</v>
      </c>
      <c r="G267" s="42">
        <v>0.0</v>
      </c>
      <c r="H267" s="42">
        <v>0.0</v>
      </c>
      <c r="I267" s="42">
        <v>0.0</v>
      </c>
      <c r="J267" s="42">
        <v>0.0</v>
      </c>
      <c r="K267" s="42">
        <v>0.0</v>
      </c>
      <c r="L267" s="42">
        <v>0.0</v>
      </c>
      <c r="M267" s="42">
        <v>0.0</v>
      </c>
      <c r="N267" s="42">
        <v>0.0</v>
      </c>
      <c r="O267" s="42">
        <v>0.0</v>
      </c>
      <c r="P267" s="42">
        <v>0.0</v>
      </c>
      <c r="Q267" s="42">
        <v>0.0</v>
      </c>
    </row>
    <row r="268">
      <c r="A268" s="35">
        <v>46362.0</v>
      </c>
      <c r="B268" s="36">
        <v>0.10486111111111111</v>
      </c>
      <c r="C268" s="37" t="s">
        <v>31</v>
      </c>
      <c r="D268" s="37" t="s">
        <v>95</v>
      </c>
      <c r="E268" s="37" t="s">
        <v>52</v>
      </c>
      <c r="F268" s="38">
        <v>0.0</v>
      </c>
      <c r="G268" s="38">
        <v>0.0</v>
      </c>
      <c r="H268" s="38">
        <v>0.0</v>
      </c>
      <c r="I268" s="38">
        <v>0.0</v>
      </c>
      <c r="J268" s="38">
        <v>0.0</v>
      </c>
      <c r="K268" s="38">
        <v>0.0</v>
      </c>
      <c r="L268" s="38">
        <v>0.0</v>
      </c>
      <c r="M268" s="38">
        <v>0.0</v>
      </c>
      <c r="N268" s="38">
        <v>0.0</v>
      </c>
      <c r="O268" s="38">
        <v>0.0</v>
      </c>
      <c r="P268" s="38">
        <v>0.0</v>
      </c>
      <c r="Q268" s="38">
        <v>0.0</v>
      </c>
    </row>
    <row r="269">
      <c r="A269" s="39">
        <v>46362.0</v>
      </c>
      <c r="B269" s="40">
        <v>0.10486111111111111</v>
      </c>
      <c r="C269" s="41" t="s">
        <v>31</v>
      </c>
      <c r="D269" s="41" t="s">
        <v>95</v>
      </c>
      <c r="E269" s="41" t="s">
        <v>88</v>
      </c>
      <c r="F269" s="42">
        <v>0.0</v>
      </c>
      <c r="G269" s="42">
        <v>0.0</v>
      </c>
      <c r="H269" s="42">
        <v>0.0</v>
      </c>
      <c r="I269" s="42">
        <v>0.0</v>
      </c>
      <c r="J269" s="42">
        <v>0.0</v>
      </c>
      <c r="K269" s="42">
        <v>0.0</v>
      </c>
      <c r="L269" s="42">
        <v>0.0</v>
      </c>
      <c r="M269" s="42">
        <v>0.0</v>
      </c>
      <c r="N269" s="42">
        <v>0.0</v>
      </c>
      <c r="O269" s="42">
        <v>0.0</v>
      </c>
      <c r="P269" s="42">
        <v>0.0</v>
      </c>
      <c r="Q269" s="42">
        <v>0.0</v>
      </c>
    </row>
    <row r="270">
      <c r="A270" s="35">
        <v>46362.0</v>
      </c>
      <c r="B270" s="36">
        <v>0.10486111111111111</v>
      </c>
      <c r="C270" s="37" t="s">
        <v>31</v>
      </c>
      <c r="D270" s="37" t="s">
        <v>95</v>
      </c>
      <c r="E270" s="37" t="s">
        <v>89</v>
      </c>
      <c r="F270" s="38">
        <v>0.0</v>
      </c>
      <c r="G270" s="38">
        <v>0.0</v>
      </c>
      <c r="H270" s="38">
        <v>0.0</v>
      </c>
      <c r="I270" s="38">
        <v>0.0</v>
      </c>
      <c r="J270" s="38">
        <v>0.0</v>
      </c>
      <c r="K270" s="38">
        <v>0.0</v>
      </c>
      <c r="L270" s="38">
        <v>0.0</v>
      </c>
      <c r="M270" s="38">
        <v>0.0</v>
      </c>
      <c r="N270" s="38">
        <v>0.0</v>
      </c>
      <c r="O270" s="38">
        <v>0.0</v>
      </c>
      <c r="P270" s="38">
        <v>0.0</v>
      </c>
      <c r="Q270" s="38">
        <v>0.0</v>
      </c>
    </row>
    <row r="271">
      <c r="A271" s="39">
        <v>46362.0</v>
      </c>
      <c r="B271" s="40">
        <v>0.10486111111111111</v>
      </c>
      <c r="C271" s="41" t="s">
        <v>31</v>
      </c>
      <c r="D271" s="41" t="s">
        <v>95</v>
      </c>
      <c r="E271" s="41" t="s">
        <v>50</v>
      </c>
      <c r="F271" s="42">
        <v>1.0</v>
      </c>
      <c r="G271" s="42">
        <v>0.0</v>
      </c>
      <c r="H271" s="42">
        <v>0.0</v>
      </c>
      <c r="I271" s="42">
        <v>0.0</v>
      </c>
      <c r="J271" s="42">
        <v>0.0</v>
      </c>
      <c r="K271" s="42">
        <v>1.0</v>
      </c>
      <c r="L271" s="42">
        <v>1.0</v>
      </c>
      <c r="M271" s="42">
        <v>0.0</v>
      </c>
      <c r="N271" s="42">
        <v>0.0</v>
      </c>
      <c r="O271" s="42">
        <v>0.0</v>
      </c>
      <c r="P271" s="42">
        <v>0.0</v>
      </c>
      <c r="Q271" s="42">
        <v>0.0</v>
      </c>
    </row>
    <row r="272">
      <c r="A272" s="35">
        <v>46362.0</v>
      </c>
      <c r="B272" s="36">
        <v>0.10486111111111111</v>
      </c>
      <c r="C272" s="37" t="s">
        <v>31</v>
      </c>
      <c r="D272" s="37" t="s">
        <v>95</v>
      </c>
      <c r="E272" s="37" t="s">
        <v>90</v>
      </c>
      <c r="F272" s="38">
        <v>0.0</v>
      </c>
      <c r="G272" s="38">
        <v>0.0</v>
      </c>
      <c r="H272" s="38">
        <v>0.0</v>
      </c>
      <c r="I272" s="38">
        <v>0.0</v>
      </c>
      <c r="J272" s="38">
        <v>0.0</v>
      </c>
      <c r="K272" s="38">
        <v>0.0</v>
      </c>
      <c r="L272" s="38">
        <v>0.0</v>
      </c>
      <c r="M272" s="38">
        <v>0.0</v>
      </c>
      <c r="N272" s="38">
        <v>0.0</v>
      </c>
      <c r="O272" s="38">
        <v>0.0</v>
      </c>
      <c r="P272" s="38">
        <v>0.0</v>
      </c>
      <c r="Q272" s="38">
        <v>0.0</v>
      </c>
    </row>
    <row r="273">
      <c r="A273" s="39">
        <v>46362.0</v>
      </c>
      <c r="B273" s="40">
        <v>0.10486111111111111</v>
      </c>
      <c r="C273" s="41" t="s">
        <v>31</v>
      </c>
      <c r="D273" s="41" t="s">
        <v>95</v>
      </c>
      <c r="E273" s="41" t="s">
        <v>91</v>
      </c>
      <c r="F273" s="42">
        <v>0.0</v>
      </c>
      <c r="G273" s="42">
        <v>0.0</v>
      </c>
      <c r="H273" s="42">
        <v>0.0</v>
      </c>
      <c r="I273" s="42">
        <v>0.0</v>
      </c>
      <c r="J273" s="42">
        <v>0.0</v>
      </c>
      <c r="K273" s="42">
        <v>0.0</v>
      </c>
      <c r="L273" s="42">
        <v>0.0</v>
      </c>
      <c r="M273" s="42">
        <v>0.0</v>
      </c>
      <c r="N273" s="42">
        <v>0.0</v>
      </c>
      <c r="O273" s="42">
        <v>0.0</v>
      </c>
      <c r="P273" s="42">
        <v>0.0</v>
      </c>
      <c r="Q273" s="42">
        <v>0.0</v>
      </c>
    </row>
    <row r="274">
      <c r="A274" s="35">
        <v>46362.0</v>
      </c>
      <c r="B274" s="36">
        <v>0.10486111111111111</v>
      </c>
      <c r="C274" s="37" t="s">
        <v>31</v>
      </c>
      <c r="D274" s="37" t="s">
        <v>95</v>
      </c>
      <c r="E274" s="37" t="s">
        <v>92</v>
      </c>
      <c r="F274" s="38">
        <v>0.0</v>
      </c>
      <c r="G274" s="38">
        <v>0.0</v>
      </c>
      <c r="H274" s="38">
        <v>0.0</v>
      </c>
      <c r="I274" s="38">
        <v>0.0</v>
      </c>
      <c r="J274" s="38">
        <v>0.0</v>
      </c>
      <c r="K274" s="38">
        <v>0.0</v>
      </c>
      <c r="L274" s="38">
        <v>0.0</v>
      </c>
      <c r="M274" s="38">
        <v>0.0</v>
      </c>
      <c r="N274" s="38">
        <v>0.0</v>
      </c>
      <c r="O274" s="38">
        <v>0.0</v>
      </c>
      <c r="P274" s="38">
        <v>0.0</v>
      </c>
      <c r="Q274" s="38">
        <v>0.0</v>
      </c>
    </row>
    <row r="275">
      <c r="A275" s="43">
        <v>46362.0</v>
      </c>
      <c r="B275" s="44">
        <v>0.10486111111111111</v>
      </c>
      <c r="C275" s="45" t="s">
        <v>96</v>
      </c>
      <c r="D275" s="45" t="s">
        <v>75</v>
      </c>
      <c r="E275" s="45" t="s">
        <v>52</v>
      </c>
      <c r="F275" s="46">
        <v>5.0</v>
      </c>
      <c r="G275" s="46">
        <v>2.0</v>
      </c>
      <c r="H275" s="46">
        <v>0.0</v>
      </c>
      <c r="I275" s="46">
        <v>0.0</v>
      </c>
      <c r="J275" s="46">
        <v>0.0</v>
      </c>
      <c r="K275" s="46">
        <v>5.0</v>
      </c>
      <c r="L275" s="46">
        <v>5.0</v>
      </c>
      <c r="M275" s="46">
        <v>0.0</v>
      </c>
      <c r="N275" s="46">
        <v>0.0</v>
      </c>
      <c r="O275" s="46">
        <v>0.0</v>
      </c>
      <c r="P275" s="46">
        <v>2.0</v>
      </c>
      <c r="Q275" s="46">
        <v>2.0</v>
      </c>
    </row>
    <row r="276">
      <c r="A276" s="43">
        <v>46362.0</v>
      </c>
      <c r="B276" s="44">
        <v>0.10486111111111111</v>
      </c>
      <c r="C276" s="45" t="s">
        <v>96</v>
      </c>
      <c r="D276" s="45" t="s">
        <v>75</v>
      </c>
      <c r="E276" s="45" t="s">
        <v>88</v>
      </c>
      <c r="F276" s="46">
        <v>0.0</v>
      </c>
      <c r="G276" s="46">
        <v>0.0</v>
      </c>
      <c r="H276" s="46">
        <v>0.0</v>
      </c>
      <c r="I276" s="46">
        <v>0.0</v>
      </c>
      <c r="J276" s="46">
        <v>0.0</v>
      </c>
      <c r="K276" s="46">
        <v>0.0</v>
      </c>
      <c r="L276" s="46">
        <v>0.0</v>
      </c>
      <c r="M276" s="46">
        <v>0.0</v>
      </c>
      <c r="N276" s="46">
        <v>0.0</v>
      </c>
      <c r="O276" s="46">
        <v>0.0</v>
      </c>
      <c r="P276" s="46">
        <v>0.0</v>
      </c>
      <c r="Q276" s="46">
        <v>0.0</v>
      </c>
    </row>
    <row r="277">
      <c r="A277" s="43">
        <v>46362.0</v>
      </c>
      <c r="B277" s="44">
        <v>0.10486111111111111</v>
      </c>
      <c r="C277" s="45" t="s">
        <v>96</v>
      </c>
      <c r="D277" s="45" t="s">
        <v>75</v>
      </c>
      <c r="E277" s="45" t="s">
        <v>89</v>
      </c>
      <c r="F277" s="46">
        <v>1.0</v>
      </c>
      <c r="G277" s="46">
        <v>0.0</v>
      </c>
      <c r="H277" s="46">
        <v>0.0</v>
      </c>
      <c r="I277" s="46">
        <v>0.0</v>
      </c>
      <c r="J277" s="46">
        <v>0.0</v>
      </c>
      <c r="K277" s="46">
        <v>1.0</v>
      </c>
      <c r="L277" s="46">
        <v>1.0</v>
      </c>
      <c r="M277" s="46">
        <v>0.0</v>
      </c>
      <c r="N277" s="46">
        <v>0.0</v>
      </c>
      <c r="O277" s="46">
        <v>0.0</v>
      </c>
      <c r="P277" s="46">
        <v>0.0</v>
      </c>
      <c r="Q277" s="46">
        <v>0.0</v>
      </c>
    </row>
    <row r="278">
      <c r="A278" s="43">
        <v>46362.0</v>
      </c>
      <c r="B278" s="44">
        <v>0.10486111111111111</v>
      </c>
      <c r="C278" s="45" t="s">
        <v>96</v>
      </c>
      <c r="D278" s="45" t="s">
        <v>75</v>
      </c>
      <c r="E278" s="45" t="s">
        <v>50</v>
      </c>
      <c r="F278" s="46">
        <v>1.0</v>
      </c>
      <c r="G278" s="46">
        <v>0.0</v>
      </c>
      <c r="H278" s="46">
        <v>0.0</v>
      </c>
      <c r="I278" s="46">
        <v>0.0</v>
      </c>
      <c r="J278" s="46">
        <v>0.0</v>
      </c>
      <c r="K278" s="46">
        <v>1.0</v>
      </c>
      <c r="L278" s="46">
        <v>1.0</v>
      </c>
      <c r="M278" s="46">
        <v>0.0</v>
      </c>
      <c r="N278" s="46">
        <v>0.0</v>
      </c>
      <c r="O278" s="46">
        <v>0.0</v>
      </c>
      <c r="P278" s="46">
        <v>0.0</v>
      </c>
      <c r="Q278" s="46">
        <v>0.0</v>
      </c>
    </row>
    <row r="279">
      <c r="A279" s="43">
        <v>46362.0</v>
      </c>
      <c r="B279" s="44">
        <v>0.10486111111111111</v>
      </c>
      <c r="C279" s="45" t="s">
        <v>96</v>
      </c>
      <c r="D279" s="45" t="s">
        <v>75</v>
      </c>
      <c r="E279" s="45" t="s">
        <v>90</v>
      </c>
      <c r="F279" s="46">
        <v>0.0</v>
      </c>
      <c r="G279" s="46">
        <v>0.0</v>
      </c>
      <c r="H279" s="46">
        <v>0.0</v>
      </c>
      <c r="I279" s="46">
        <v>0.0</v>
      </c>
      <c r="J279" s="46">
        <v>0.0</v>
      </c>
      <c r="K279" s="46">
        <v>0.0</v>
      </c>
      <c r="L279" s="46">
        <v>0.0</v>
      </c>
      <c r="M279" s="46">
        <v>0.0</v>
      </c>
      <c r="N279" s="46">
        <v>0.0</v>
      </c>
      <c r="O279" s="46">
        <v>0.0</v>
      </c>
      <c r="P279" s="46">
        <v>0.0</v>
      </c>
      <c r="Q279" s="46">
        <v>0.0</v>
      </c>
    </row>
    <row r="280">
      <c r="A280" s="43">
        <v>46362.0</v>
      </c>
      <c r="B280" s="44">
        <v>0.10486111111111111</v>
      </c>
      <c r="C280" s="45" t="s">
        <v>96</v>
      </c>
      <c r="D280" s="45" t="s">
        <v>75</v>
      </c>
      <c r="E280" s="45" t="s">
        <v>91</v>
      </c>
      <c r="F280" s="46">
        <v>0.0</v>
      </c>
      <c r="G280" s="46">
        <v>0.0</v>
      </c>
      <c r="H280" s="46">
        <v>0.0</v>
      </c>
      <c r="I280" s="46">
        <v>0.0</v>
      </c>
      <c r="J280" s="46">
        <v>0.0</v>
      </c>
      <c r="K280" s="46">
        <v>0.0</v>
      </c>
      <c r="L280" s="46">
        <v>0.0</v>
      </c>
      <c r="M280" s="46">
        <v>0.0</v>
      </c>
      <c r="N280" s="46">
        <v>0.0</v>
      </c>
      <c r="O280" s="46">
        <v>0.0</v>
      </c>
      <c r="P280" s="46">
        <v>0.0</v>
      </c>
      <c r="Q280" s="46">
        <v>0.0</v>
      </c>
    </row>
    <row r="281">
      <c r="A281" s="43">
        <v>46362.0</v>
      </c>
      <c r="B281" s="44">
        <v>0.10486111111111111</v>
      </c>
      <c r="C281" s="45" t="s">
        <v>96</v>
      </c>
      <c r="D281" s="45" t="s">
        <v>75</v>
      </c>
      <c r="E281" s="45" t="s">
        <v>92</v>
      </c>
      <c r="F281" s="46">
        <v>0.0</v>
      </c>
      <c r="G281" s="46">
        <v>0.0</v>
      </c>
      <c r="H281" s="46">
        <v>0.0</v>
      </c>
      <c r="I281" s="46">
        <v>0.0</v>
      </c>
      <c r="J281" s="46">
        <v>0.0</v>
      </c>
      <c r="K281" s="46">
        <v>0.0</v>
      </c>
      <c r="L281" s="46">
        <v>0.0</v>
      </c>
      <c r="M281" s="46">
        <v>0.0</v>
      </c>
      <c r="N281" s="46">
        <v>0.0</v>
      </c>
      <c r="O281" s="46">
        <v>0.0</v>
      </c>
      <c r="P281" s="46">
        <v>0.0</v>
      </c>
      <c r="Q281" s="46">
        <v>0.0</v>
      </c>
    </row>
    <row r="282">
      <c r="A282" s="35">
        <v>46362.0</v>
      </c>
      <c r="B282" s="36">
        <v>0.7347222222222223</v>
      </c>
      <c r="C282" s="37" t="s">
        <v>15</v>
      </c>
      <c r="D282" s="37" t="s">
        <v>87</v>
      </c>
      <c r="E282" s="37" t="s">
        <v>52</v>
      </c>
      <c r="F282" s="38">
        <v>0.0</v>
      </c>
      <c r="G282" s="38">
        <v>0.0</v>
      </c>
      <c r="H282" s="38">
        <v>0.0</v>
      </c>
      <c r="I282" s="38">
        <v>0.0</v>
      </c>
      <c r="J282" s="38">
        <v>0.0</v>
      </c>
      <c r="K282" s="38">
        <v>0.0</v>
      </c>
      <c r="L282" s="38">
        <v>0.0</v>
      </c>
      <c r="M282" s="38">
        <v>0.0</v>
      </c>
      <c r="N282" s="38">
        <v>0.0</v>
      </c>
      <c r="O282" s="38">
        <v>0.0</v>
      </c>
      <c r="P282" s="38">
        <v>0.0</v>
      </c>
      <c r="Q282" s="38">
        <v>0.0</v>
      </c>
    </row>
    <row r="283">
      <c r="A283" s="39">
        <v>46362.0</v>
      </c>
      <c r="B283" s="40">
        <v>0.7347222222222223</v>
      </c>
      <c r="C283" s="41" t="s">
        <v>15</v>
      </c>
      <c r="D283" s="41" t="s">
        <v>87</v>
      </c>
      <c r="E283" s="41" t="s">
        <v>88</v>
      </c>
      <c r="F283" s="42">
        <v>0.0</v>
      </c>
      <c r="G283" s="42">
        <v>0.0</v>
      </c>
      <c r="H283" s="42">
        <v>0.0</v>
      </c>
      <c r="I283" s="42">
        <v>0.0</v>
      </c>
      <c r="J283" s="42">
        <v>0.0</v>
      </c>
      <c r="K283" s="42">
        <v>0.0</v>
      </c>
      <c r="L283" s="42">
        <v>0.0</v>
      </c>
      <c r="M283" s="42">
        <v>0.0</v>
      </c>
      <c r="N283" s="42">
        <v>0.0</v>
      </c>
      <c r="O283" s="42">
        <v>0.0</v>
      </c>
      <c r="P283" s="42">
        <v>0.0</v>
      </c>
      <c r="Q283" s="42">
        <v>0.0</v>
      </c>
    </row>
    <row r="284">
      <c r="A284" s="35">
        <v>46362.0</v>
      </c>
      <c r="B284" s="36">
        <v>0.7347222222222223</v>
      </c>
      <c r="C284" s="37" t="s">
        <v>15</v>
      </c>
      <c r="D284" s="37" t="s">
        <v>87</v>
      </c>
      <c r="E284" s="37" t="s">
        <v>89</v>
      </c>
      <c r="F284" s="38">
        <v>0.0</v>
      </c>
      <c r="G284" s="38">
        <v>0.0</v>
      </c>
      <c r="H284" s="38">
        <v>0.0</v>
      </c>
      <c r="I284" s="38">
        <v>0.0</v>
      </c>
      <c r="J284" s="38">
        <v>0.0</v>
      </c>
      <c r="K284" s="38">
        <v>0.0</v>
      </c>
      <c r="L284" s="38">
        <v>0.0</v>
      </c>
      <c r="M284" s="38">
        <v>0.0</v>
      </c>
      <c r="N284" s="38">
        <v>0.0</v>
      </c>
      <c r="O284" s="38">
        <v>0.0</v>
      </c>
      <c r="P284" s="38">
        <v>0.0</v>
      </c>
      <c r="Q284" s="38">
        <v>0.0</v>
      </c>
    </row>
    <row r="285">
      <c r="A285" s="39">
        <v>46362.0</v>
      </c>
      <c r="B285" s="40">
        <v>0.7347222222222223</v>
      </c>
      <c r="C285" s="41" t="s">
        <v>15</v>
      </c>
      <c r="D285" s="41" t="s">
        <v>87</v>
      </c>
      <c r="E285" s="41" t="s">
        <v>50</v>
      </c>
      <c r="F285" s="42">
        <v>0.0</v>
      </c>
      <c r="G285" s="42">
        <v>0.0</v>
      </c>
      <c r="H285" s="42">
        <v>0.0</v>
      </c>
      <c r="I285" s="42">
        <v>0.0</v>
      </c>
      <c r="J285" s="42">
        <v>0.0</v>
      </c>
      <c r="K285" s="42">
        <v>0.0</v>
      </c>
      <c r="L285" s="42">
        <v>0.0</v>
      </c>
      <c r="M285" s="42">
        <v>0.0</v>
      </c>
      <c r="N285" s="42">
        <v>0.0</v>
      </c>
      <c r="O285" s="42">
        <v>0.0</v>
      </c>
      <c r="P285" s="42">
        <v>0.0</v>
      </c>
      <c r="Q285" s="42">
        <v>0.0</v>
      </c>
    </row>
    <row r="286">
      <c r="A286" s="35">
        <v>46362.0</v>
      </c>
      <c r="B286" s="36">
        <v>0.7347222222222223</v>
      </c>
      <c r="C286" s="37" t="s">
        <v>15</v>
      </c>
      <c r="D286" s="37" t="s">
        <v>87</v>
      </c>
      <c r="E286" s="37" t="s">
        <v>90</v>
      </c>
      <c r="F286" s="38">
        <v>0.0</v>
      </c>
      <c r="G286" s="38">
        <v>0.0</v>
      </c>
      <c r="H286" s="38">
        <v>0.0</v>
      </c>
      <c r="I286" s="38">
        <v>0.0</v>
      </c>
      <c r="J286" s="38">
        <v>0.0</v>
      </c>
      <c r="K286" s="38">
        <v>0.0</v>
      </c>
      <c r="L286" s="38">
        <v>0.0</v>
      </c>
      <c r="M286" s="38">
        <v>0.0</v>
      </c>
      <c r="N286" s="38">
        <v>0.0</v>
      </c>
      <c r="O286" s="38">
        <v>0.0</v>
      </c>
      <c r="P286" s="38">
        <v>0.0</v>
      </c>
      <c r="Q286" s="38">
        <v>0.0</v>
      </c>
    </row>
    <row r="287">
      <c r="A287" s="39">
        <v>46362.0</v>
      </c>
      <c r="B287" s="40">
        <v>0.7347222222222223</v>
      </c>
      <c r="C287" s="41" t="s">
        <v>15</v>
      </c>
      <c r="D287" s="41" t="s">
        <v>87</v>
      </c>
      <c r="E287" s="41" t="s">
        <v>91</v>
      </c>
      <c r="F287" s="42">
        <v>0.0</v>
      </c>
      <c r="G287" s="42">
        <v>0.0</v>
      </c>
      <c r="H287" s="42">
        <v>0.0</v>
      </c>
      <c r="I287" s="42">
        <v>0.0</v>
      </c>
      <c r="J287" s="42">
        <v>0.0</v>
      </c>
      <c r="K287" s="42">
        <v>0.0</v>
      </c>
      <c r="L287" s="42">
        <v>0.0</v>
      </c>
      <c r="M287" s="42">
        <v>0.0</v>
      </c>
      <c r="N287" s="42">
        <v>0.0</v>
      </c>
      <c r="O287" s="42">
        <v>0.0</v>
      </c>
      <c r="P287" s="42">
        <v>0.0</v>
      </c>
      <c r="Q287" s="42">
        <v>0.0</v>
      </c>
    </row>
    <row r="288">
      <c r="A288" s="35">
        <v>46362.0</v>
      </c>
      <c r="B288" s="36">
        <v>0.7347222222222223</v>
      </c>
      <c r="C288" s="37" t="s">
        <v>15</v>
      </c>
      <c r="D288" s="37" t="s">
        <v>87</v>
      </c>
      <c r="E288" s="37" t="s">
        <v>92</v>
      </c>
      <c r="F288" s="38">
        <v>0.0</v>
      </c>
      <c r="G288" s="38">
        <v>0.0</v>
      </c>
      <c r="H288" s="38">
        <v>0.0</v>
      </c>
      <c r="I288" s="38">
        <v>0.0</v>
      </c>
      <c r="J288" s="38">
        <v>0.0</v>
      </c>
      <c r="K288" s="38">
        <v>0.0</v>
      </c>
      <c r="L288" s="38">
        <v>0.0</v>
      </c>
      <c r="M288" s="38">
        <v>0.0</v>
      </c>
      <c r="N288" s="38">
        <v>0.0</v>
      </c>
      <c r="O288" s="38">
        <v>0.0</v>
      </c>
      <c r="P288" s="38">
        <v>0.0</v>
      </c>
      <c r="Q288" s="38">
        <v>0.0</v>
      </c>
    </row>
    <row r="289">
      <c r="A289" s="39">
        <v>46362.0</v>
      </c>
      <c r="B289" s="40">
        <v>0.7347222222222223</v>
      </c>
      <c r="C289" s="41" t="s">
        <v>23</v>
      </c>
      <c r="D289" s="41" t="s">
        <v>93</v>
      </c>
      <c r="E289" s="41" t="s">
        <v>52</v>
      </c>
      <c r="F289" s="42">
        <v>1.0</v>
      </c>
      <c r="G289" s="42">
        <v>0.0</v>
      </c>
      <c r="H289" s="42">
        <v>0.0</v>
      </c>
      <c r="I289" s="42">
        <v>0.0</v>
      </c>
      <c r="J289" s="42">
        <v>0.0</v>
      </c>
      <c r="K289" s="42">
        <v>1.0</v>
      </c>
      <c r="L289" s="42">
        <v>1.0</v>
      </c>
      <c r="M289" s="42">
        <v>0.0</v>
      </c>
      <c r="N289" s="42">
        <v>0.0</v>
      </c>
      <c r="O289" s="42">
        <v>0.0</v>
      </c>
      <c r="P289" s="42">
        <v>0.0</v>
      </c>
      <c r="Q289" s="42">
        <v>0.0</v>
      </c>
    </row>
    <row r="290">
      <c r="A290" s="35">
        <v>46362.0</v>
      </c>
      <c r="B290" s="36">
        <v>0.7347222222222223</v>
      </c>
      <c r="C290" s="37" t="s">
        <v>23</v>
      </c>
      <c r="D290" s="37" t="s">
        <v>93</v>
      </c>
      <c r="E290" s="37" t="s">
        <v>88</v>
      </c>
      <c r="F290" s="38">
        <v>0.0</v>
      </c>
      <c r="G290" s="38">
        <v>0.0</v>
      </c>
      <c r="H290" s="38">
        <v>0.0</v>
      </c>
      <c r="I290" s="38">
        <v>0.0</v>
      </c>
      <c r="J290" s="38">
        <v>0.0</v>
      </c>
      <c r="K290" s="38">
        <v>0.0</v>
      </c>
      <c r="L290" s="38">
        <v>0.0</v>
      </c>
      <c r="M290" s="38">
        <v>0.0</v>
      </c>
      <c r="N290" s="38">
        <v>0.0</v>
      </c>
      <c r="O290" s="38">
        <v>0.0</v>
      </c>
      <c r="P290" s="38">
        <v>0.0</v>
      </c>
      <c r="Q290" s="38">
        <v>0.0</v>
      </c>
    </row>
    <row r="291">
      <c r="A291" s="39">
        <v>46362.0</v>
      </c>
      <c r="B291" s="40">
        <v>0.7347222222222223</v>
      </c>
      <c r="C291" s="41" t="s">
        <v>23</v>
      </c>
      <c r="D291" s="41" t="s">
        <v>93</v>
      </c>
      <c r="E291" s="41" t="s">
        <v>89</v>
      </c>
      <c r="F291" s="42">
        <v>0.0</v>
      </c>
      <c r="G291" s="42">
        <v>0.0</v>
      </c>
      <c r="H291" s="42">
        <v>0.0</v>
      </c>
      <c r="I291" s="42">
        <v>0.0</v>
      </c>
      <c r="J291" s="42">
        <v>0.0</v>
      </c>
      <c r="K291" s="42">
        <v>0.0</v>
      </c>
      <c r="L291" s="42">
        <v>0.0</v>
      </c>
      <c r="M291" s="42">
        <v>0.0</v>
      </c>
      <c r="N291" s="42">
        <v>0.0</v>
      </c>
      <c r="O291" s="42">
        <v>0.0</v>
      </c>
      <c r="P291" s="42">
        <v>0.0</v>
      </c>
      <c r="Q291" s="42">
        <v>0.0</v>
      </c>
    </row>
    <row r="292">
      <c r="A292" s="35">
        <v>46362.0</v>
      </c>
      <c r="B292" s="36">
        <v>0.7347222222222223</v>
      </c>
      <c r="C292" s="37" t="s">
        <v>23</v>
      </c>
      <c r="D292" s="37" t="s">
        <v>93</v>
      </c>
      <c r="E292" s="37" t="s">
        <v>50</v>
      </c>
      <c r="F292" s="38">
        <v>0.0</v>
      </c>
      <c r="G292" s="38">
        <v>0.0</v>
      </c>
      <c r="H292" s="38">
        <v>0.0</v>
      </c>
      <c r="I292" s="38">
        <v>0.0</v>
      </c>
      <c r="J292" s="38">
        <v>0.0</v>
      </c>
      <c r="K292" s="38">
        <v>0.0</v>
      </c>
      <c r="L292" s="38">
        <v>0.0</v>
      </c>
      <c r="M292" s="38">
        <v>0.0</v>
      </c>
      <c r="N292" s="38">
        <v>0.0</v>
      </c>
      <c r="O292" s="38">
        <v>0.0</v>
      </c>
      <c r="P292" s="38">
        <v>0.0</v>
      </c>
      <c r="Q292" s="38">
        <v>0.0</v>
      </c>
    </row>
    <row r="293">
      <c r="A293" s="39">
        <v>46362.0</v>
      </c>
      <c r="B293" s="40">
        <v>0.7347222222222223</v>
      </c>
      <c r="C293" s="41" t="s">
        <v>23</v>
      </c>
      <c r="D293" s="41" t="s">
        <v>93</v>
      </c>
      <c r="E293" s="41" t="s">
        <v>90</v>
      </c>
      <c r="F293" s="42">
        <v>0.0</v>
      </c>
      <c r="G293" s="42">
        <v>0.0</v>
      </c>
      <c r="H293" s="42">
        <v>0.0</v>
      </c>
      <c r="I293" s="42">
        <v>0.0</v>
      </c>
      <c r="J293" s="42">
        <v>0.0</v>
      </c>
      <c r="K293" s="42">
        <v>0.0</v>
      </c>
      <c r="L293" s="42">
        <v>0.0</v>
      </c>
      <c r="M293" s="42">
        <v>0.0</v>
      </c>
      <c r="N293" s="42">
        <v>0.0</v>
      </c>
      <c r="O293" s="42">
        <v>0.0</v>
      </c>
      <c r="P293" s="42">
        <v>0.0</v>
      </c>
      <c r="Q293" s="42">
        <v>0.0</v>
      </c>
    </row>
    <row r="294">
      <c r="A294" s="35">
        <v>46362.0</v>
      </c>
      <c r="B294" s="36">
        <v>0.7347222222222223</v>
      </c>
      <c r="C294" s="37" t="s">
        <v>23</v>
      </c>
      <c r="D294" s="37" t="s">
        <v>93</v>
      </c>
      <c r="E294" s="37" t="s">
        <v>91</v>
      </c>
      <c r="F294" s="38">
        <v>0.0</v>
      </c>
      <c r="G294" s="38">
        <v>0.0</v>
      </c>
      <c r="H294" s="38">
        <v>0.0</v>
      </c>
      <c r="I294" s="38">
        <v>0.0</v>
      </c>
      <c r="J294" s="38">
        <v>0.0</v>
      </c>
      <c r="K294" s="38">
        <v>0.0</v>
      </c>
      <c r="L294" s="38">
        <v>0.0</v>
      </c>
      <c r="M294" s="38">
        <v>0.0</v>
      </c>
      <c r="N294" s="38">
        <v>0.0</v>
      </c>
      <c r="O294" s="38">
        <v>0.0</v>
      </c>
      <c r="P294" s="38">
        <v>0.0</v>
      </c>
      <c r="Q294" s="38">
        <v>0.0</v>
      </c>
    </row>
    <row r="295">
      <c r="A295" s="39">
        <v>46362.0</v>
      </c>
      <c r="B295" s="40">
        <v>0.7347222222222223</v>
      </c>
      <c r="C295" s="41" t="s">
        <v>23</v>
      </c>
      <c r="D295" s="41" t="s">
        <v>93</v>
      </c>
      <c r="E295" s="41" t="s">
        <v>92</v>
      </c>
      <c r="F295" s="42">
        <v>0.0</v>
      </c>
      <c r="G295" s="42">
        <v>0.0</v>
      </c>
      <c r="H295" s="42">
        <v>0.0</v>
      </c>
      <c r="I295" s="42">
        <v>0.0</v>
      </c>
      <c r="J295" s="42">
        <v>0.0</v>
      </c>
      <c r="K295" s="42">
        <v>0.0</v>
      </c>
      <c r="L295" s="42">
        <v>0.0</v>
      </c>
      <c r="M295" s="42">
        <v>0.0</v>
      </c>
      <c r="N295" s="42">
        <v>0.0</v>
      </c>
      <c r="O295" s="42">
        <v>0.0</v>
      </c>
      <c r="P295" s="42">
        <v>0.0</v>
      </c>
      <c r="Q295" s="42">
        <v>0.0</v>
      </c>
    </row>
    <row r="296">
      <c r="A296" s="35">
        <v>46362.0</v>
      </c>
      <c r="B296" s="36">
        <v>0.7347222222222223</v>
      </c>
      <c r="C296" s="37" t="s">
        <v>29</v>
      </c>
      <c r="D296" s="37" t="s">
        <v>94</v>
      </c>
      <c r="E296" s="37" t="s">
        <v>52</v>
      </c>
      <c r="F296" s="38">
        <v>6.0</v>
      </c>
      <c r="G296" s="38">
        <v>0.0</v>
      </c>
      <c r="H296" s="38">
        <v>0.0</v>
      </c>
      <c r="I296" s="38">
        <v>0.0</v>
      </c>
      <c r="J296" s="38">
        <v>0.0</v>
      </c>
      <c r="K296" s="38">
        <v>6.0</v>
      </c>
      <c r="L296" s="38">
        <v>6.0</v>
      </c>
      <c r="M296" s="38">
        <v>0.0</v>
      </c>
      <c r="N296" s="38">
        <v>0.0</v>
      </c>
      <c r="O296" s="38">
        <v>0.0</v>
      </c>
      <c r="P296" s="38">
        <v>0.0</v>
      </c>
      <c r="Q296" s="38">
        <v>0.0</v>
      </c>
    </row>
    <row r="297">
      <c r="A297" s="39">
        <v>46362.0</v>
      </c>
      <c r="B297" s="40">
        <v>0.7347222222222223</v>
      </c>
      <c r="C297" s="41" t="s">
        <v>29</v>
      </c>
      <c r="D297" s="41" t="s">
        <v>94</v>
      </c>
      <c r="E297" s="41" t="s">
        <v>88</v>
      </c>
      <c r="F297" s="42">
        <v>0.0</v>
      </c>
      <c r="G297" s="42">
        <v>0.0</v>
      </c>
      <c r="H297" s="42">
        <v>0.0</v>
      </c>
      <c r="I297" s="42">
        <v>0.0</v>
      </c>
      <c r="J297" s="42">
        <v>0.0</v>
      </c>
      <c r="K297" s="42">
        <v>0.0</v>
      </c>
      <c r="L297" s="42">
        <v>0.0</v>
      </c>
      <c r="M297" s="42">
        <v>0.0</v>
      </c>
      <c r="N297" s="42">
        <v>0.0</v>
      </c>
      <c r="O297" s="42">
        <v>0.0</v>
      </c>
      <c r="P297" s="42">
        <v>0.0</v>
      </c>
      <c r="Q297" s="42">
        <v>0.0</v>
      </c>
    </row>
    <row r="298">
      <c r="A298" s="35">
        <v>46362.0</v>
      </c>
      <c r="B298" s="36">
        <v>0.7347222222222223</v>
      </c>
      <c r="C298" s="37" t="s">
        <v>29</v>
      </c>
      <c r="D298" s="37" t="s">
        <v>94</v>
      </c>
      <c r="E298" s="37" t="s">
        <v>89</v>
      </c>
      <c r="F298" s="38">
        <v>1.0</v>
      </c>
      <c r="G298" s="38">
        <v>0.0</v>
      </c>
      <c r="H298" s="38">
        <v>0.0</v>
      </c>
      <c r="I298" s="38">
        <v>0.0</v>
      </c>
      <c r="J298" s="38">
        <v>0.0</v>
      </c>
      <c r="K298" s="38">
        <v>1.0</v>
      </c>
      <c r="L298" s="38">
        <v>1.0</v>
      </c>
      <c r="M298" s="38">
        <v>0.0</v>
      </c>
      <c r="N298" s="38">
        <v>0.0</v>
      </c>
      <c r="O298" s="38">
        <v>0.0</v>
      </c>
      <c r="P298" s="38">
        <v>0.0</v>
      </c>
      <c r="Q298" s="38">
        <v>0.0</v>
      </c>
    </row>
    <row r="299">
      <c r="A299" s="39">
        <v>46362.0</v>
      </c>
      <c r="B299" s="40">
        <v>0.7347222222222223</v>
      </c>
      <c r="C299" s="41" t="s">
        <v>29</v>
      </c>
      <c r="D299" s="41" t="s">
        <v>94</v>
      </c>
      <c r="E299" s="41" t="s">
        <v>50</v>
      </c>
      <c r="F299" s="42">
        <v>0.0</v>
      </c>
      <c r="G299" s="42">
        <v>0.0</v>
      </c>
      <c r="H299" s="42">
        <v>0.0</v>
      </c>
      <c r="I299" s="42">
        <v>0.0</v>
      </c>
      <c r="J299" s="42">
        <v>0.0</v>
      </c>
      <c r="K299" s="42">
        <v>0.0</v>
      </c>
      <c r="L299" s="42">
        <v>0.0</v>
      </c>
      <c r="M299" s="42">
        <v>0.0</v>
      </c>
      <c r="N299" s="42">
        <v>0.0</v>
      </c>
      <c r="O299" s="42">
        <v>0.0</v>
      </c>
      <c r="P299" s="42">
        <v>0.0</v>
      </c>
      <c r="Q299" s="42">
        <v>0.0</v>
      </c>
    </row>
    <row r="300">
      <c r="A300" s="35">
        <v>46362.0</v>
      </c>
      <c r="B300" s="36">
        <v>0.7347222222222223</v>
      </c>
      <c r="C300" s="37" t="s">
        <v>29</v>
      </c>
      <c r="D300" s="37" t="s">
        <v>94</v>
      </c>
      <c r="E300" s="37" t="s">
        <v>90</v>
      </c>
      <c r="F300" s="38">
        <v>0.0</v>
      </c>
      <c r="G300" s="38">
        <v>0.0</v>
      </c>
      <c r="H300" s="38">
        <v>0.0</v>
      </c>
      <c r="I300" s="38">
        <v>0.0</v>
      </c>
      <c r="J300" s="38">
        <v>0.0</v>
      </c>
      <c r="K300" s="38">
        <v>0.0</v>
      </c>
      <c r="L300" s="38">
        <v>0.0</v>
      </c>
      <c r="M300" s="38">
        <v>0.0</v>
      </c>
      <c r="N300" s="38">
        <v>0.0</v>
      </c>
      <c r="O300" s="38">
        <v>0.0</v>
      </c>
      <c r="P300" s="38">
        <v>0.0</v>
      </c>
      <c r="Q300" s="38">
        <v>0.0</v>
      </c>
    </row>
    <row r="301">
      <c r="A301" s="39">
        <v>46362.0</v>
      </c>
      <c r="B301" s="40">
        <v>0.7347222222222223</v>
      </c>
      <c r="C301" s="41" t="s">
        <v>29</v>
      </c>
      <c r="D301" s="41" t="s">
        <v>94</v>
      </c>
      <c r="E301" s="41" t="s">
        <v>91</v>
      </c>
      <c r="F301" s="42">
        <v>0.0</v>
      </c>
      <c r="G301" s="42">
        <v>0.0</v>
      </c>
      <c r="H301" s="42">
        <v>0.0</v>
      </c>
      <c r="I301" s="42">
        <v>0.0</v>
      </c>
      <c r="J301" s="42">
        <v>0.0</v>
      </c>
      <c r="K301" s="42">
        <v>0.0</v>
      </c>
      <c r="L301" s="42">
        <v>0.0</v>
      </c>
      <c r="M301" s="42">
        <v>0.0</v>
      </c>
      <c r="N301" s="42">
        <v>0.0</v>
      </c>
      <c r="O301" s="42">
        <v>0.0</v>
      </c>
      <c r="P301" s="42">
        <v>0.0</v>
      </c>
      <c r="Q301" s="42">
        <v>0.0</v>
      </c>
    </row>
    <row r="302">
      <c r="A302" s="35">
        <v>46362.0</v>
      </c>
      <c r="B302" s="36">
        <v>0.7347222222222223</v>
      </c>
      <c r="C302" s="37" t="s">
        <v>29</v>
      </c>
      <c r="D302" s="37" t="s">
        <v>94</v>
      </c>
      <c r="E302" s="37" t="s">
        <v>92</v>
      </c>
      <c r="F302" s="38">
        <v>0.0</v>
      </c>
      <c r="G302" s="38">
        <v>0.0</v>
      </c>
      <c r="H302" s="38">
        <v>0.0</v>
      </c>
      <c r="I302" s="38">
        <v>0.0</v>
      </c>
      <c r="J302" s="38">
        <v>0.0</v>
      </c>
      <c r="K302" s="38">
        <v>0.0</v>
      </c>
      <c r="L302" s="38">
        <v>0.0</v>
      </c>
      <c r="M302" s="38">
        <v>0.0</v>
      </c>
      <c r="N302" s="38">
        <v>0.0</v>
      </c>
      <c r="O302" s="38">
        <v>0.0</v>
      </c>
      <c r="P302" s="38">
        <v>0.0</v>
      </c>
      <c r="Q302" s="38">
        <v>0.0</v>
      </c>
    </row>
    <row r="303">
      <c r="A303" s="39">
        <v>46362.0</v>
      </c>
      <c r="B303" s="40">
        <v>0.7347222222222223</v>
      </c>
      <c r="C303" s="41" t="s">
        <v>31</v>
      </c>
      <c r="D303" s="41" t="s">
        <v>95</v>
      </c>
      <c r="E303" s="41" t="s">
        <v>52</v>
      </c>
      <c r="F303" s="42">
        <v>0.0</v>
      </c>
      <c r="G303" s="42">
        <v>0.0</v>
      </c>
      <c r="H303" s="42">
        <v>0.0</v>
      </c>
      <c r="I303" s="42">
        <v>0.0</v>
      </c>
      <c r="J303" s="42">
        <v>0.0</v>
      </c>
      <c r="K303" s="42">
        <v>0.0</v>
      </c>
      <c r="L303" s="42">
        <v>0.0</v>
      </c>
      <c r="M303" s="42">
        <v>0.0</v>
      </c>
      <c r="N303" s="42">
        <v>0.0</v>
      </c>
      <c r="O303" s="42">
        <v>0.0</v>
      </c>
      <c r="P303" s="42">
        <v>0.0</v>
      </c>
      <c r="Q303" s="42">
        <v>0.0</v>
      </c>
    </row>
    <row r="304">
      <c r="A304" s="35">
        <v>46362.0</v>
      </c>
      <c r="B304" s="36">
        <v>0.7347222222222223</v>
      </c>
      <c r="C304" s="37" t="s">
        <v>31</v>
      </c>
      <c r="D304" s="37" t="s">
        <v>95</v>
      </c>
      <c r="E304" s="37" t="s">
        <v>88</v>
      </c>
      <c r="F304" s="38">
        <v>0.0</v>
      </c>
      <c r="G304" s="38">
        <v>0.0</v>
      </c>
      <c r="H304" s="38">
        <v>0.0</v>
      </c>
      <c r="I304" s="38">
        <v>0.0</v>
      </c>
      <c r="J304" s="38">
        <v>0.0</v>
      </c>
      <c r="K304" s="38">
        <v>0.0</v>
      </c>
      <c r="L304" s="38">
        <v>0.0</v>
      </c>
      <c r="M304" s="38">
        <v>0.0</v>
      </c>
      <c r="N304" s="38">
        <v>0.0</v>
      </c>
      <c r="O304" s="38">
        <v>0.0</v>
      </c>
      <c r="P304" s="38">
        <v>0.0</v>
      </c>
      <c r="Q304" s="38">
        <v>0.0</v>
      </c>
    </row>
    <row r="305">
      <c r="A305" s="39">
        <v>46362.0</v>
      </c>
      <c r="B305" s="40">
        <v>0.7347222222222223</v>
      </c>
      <c r="C305" s="41" t="s">
        <v>31</v>
      </c>
      <c r="D305" s="41" t="s">
        <v>95</v>
      </c>
      <c r="E305" s="41" t="s">
        <v>89</v>
      </c>
      <c r="F305" s="42">
        <v>0.0</v>
      </c>
      <c r="G305" s="42">
        <v>0.0</v>
      </c>
      <c r="H305" s="42">
        <v>0.0</v>
      </c>
      <c r="I305" s="42">
        <v>0.0</v>
      </c>
      <c r="J305" s="42">
        <v>0.0</v>
      </c>
      <c r="K305" s="42">
        <v>0.0</v>
      </c>
      <c r="L305" s="42">
        <v>0.0</v>
      </c>
      <c r="M305" s="42">
        <v>0.0</v>
      </c>
      <c r="N305" s="42">
        <v>0.0</v>
      </c>
      <c r="O305" s="42">
        <v>0.0</v>
      </c>
      <c r="P305" s="42">
        <v>0.0</v>
      </c>
      <c r="Q305" s="42">
        <v>0.0</v>
      </c>
    </row>
    <row r="306">
      <c r="A306" s="35">
        <v>46362.0</v>
      </c>
      <c r="B306" s="36">
        <v>0.7347222222222223</v>
      </c>
      <c r="C306" s="37" t="s">
        <v>31</v>
      </c>
      <c r="D306" s="37" t="s">
        <v>95</v>
      </c>
      <c r="E306" s="37" t="s">
        <v>50</v>
      </c>
      <c r="F306" s="38">
        <v>1.0</v>
      </c>
      <c r="G306" s="38">
        <v>0.0</v>
      </c>
      <c r="H306" s="38">
        <v>0.0</v>
      </c>
      <c r="I306" s="38">
        <v>0.0</v>
      </c>
      <c r="J306" s="38">
        <v>0.0</v>
      </c>
      <c r="K306" s="38">
        <v>1.0</v>
      </c>
      <c r="L306" s="38">
        <v>1.0</v>
      </c>
      <c r="M306" s="38">
        <v>0.0</v>
      </c>
      <c r="N306" s="38">
        <v>0.0</v>
      </c>
      <c r="O306" s="38">
        <v>0.0</v>
      </c>
      <c r="P306" s="38">
        <v>0.0</v>
      </c>
      <c r="Q306" s="38">
        <v>0.0</v>
      </c>
    </row>
    <row r="307">
      <c r="A307" s="39">
        <v>46362.0</v>
      </c>
      <c r="B307" s="40">
        <v>0.7347222222222223</v>
      </c>
      <c r="C307" s="41" t="s">
        <v>31</v>
      </c>
      <c r="D307" s="41" t="s">
        <v>95</v>
      </c>
      <c r="E307" s="41" t="s">
        <v>90</v>
      </c>
      <c r="F307" s="42">
        <v>0.0</v>
      </c>
      <c r="G307" s="42">
        <v>0.0</v>
      </c>
      <c r="H307" s="42">
        <v>0.0</v>
      </c>
      <c r="I307" s="42">
        <v>0.0</v>
      </c>
      <c r="J307" s="42">
        <v>0.0</v>
      </c>
      <c r="K307" s="42">
        <v>0.0</v>
      </c>
      <c r="L307" s="42">
        <v>0.0</v>
      </c>
      <c r="M307" s="42">
        <v>0.0</v>
      </c>
      <c r="N307" s="42">
        <v>0.0</v>
      </c>
      <c r="O307" s="42">
        <v>0.0</v>
      </c>
      <c r="P307" s="42">
        <v>0.0</v>
      </c>
      <c r="Q307" s="42">
        <v>0.0</v>
      </c>
    </row>
    <row r="308">
      <c r="A308" s="35">
        <v>46362.0</v>
      </c>
      <c r="B308" s="36">
        <v>0.7347222222222223</v>
      </c>
      <c r="C308" s="37" t="s">
        <v>31</v>
      </c>
      <c r="D308" s="37" t="s">
        <v>95</v>
      </c>
      <c r="E308" s="37" t="s">
        <v>91</v>
      </c>
      <c r="F308" s="38">
        <v>0.0</v>
      </c>
      <c r="G308" s="38">
        <v>0.0</v>
      </c>
      <c r="H308" s="38">
        <v>0.0</v>
      </c>
      <c r="I308" s="38">
        <v>0.0</v>
      </c>
      <c r="J308" s="38">
        <v>0.0</v>
      </c>
      <c r="K308" s="38">
        <v>0.0</v>
      </c>
      <c r="L308" s="38">
        <v>0.0</v>
      </c>
      <c r="M308" s="38">
        <v>0.0</v>
      </c>
      <c r="N308" s="38">
        <v>0.0</v>
      </c>
      <c r="O308" s="38">
        <v>0.0</v>
      </c>
      <c r="P308" s="38">
        <v>0.0</v>
      </c>
      <c r="Q308" s="38">
        <v>0.0</v>
      </c>
    </row>
    <row r="309">
      <c r="A309" s="39">
        <v>46362.0</v>
      </c>
      <c r="B309" s="40">
        <v>0.7347222222222223</v>
      </c>
      <c r="C309" s="41" t="s">
        <v>31</v>
      </c>
      <c r="D309" s="41" t="s">
        <v>95</v>
      </c>
      <c r="E309" s="41" t="s">
        <v>92</v>
      </c>
      <c r="F309" s="42">
        <v>0.0</v>
      </c>
      <c r="G309" s="42">
        <v>0.0</v>
      </c>
      <c r="H309" s="42">
        <v>0.0</v>
      </c>
      <c r="I309" s="42">
        <v>0.0</v>
      </c>
      <c r="J309" s="42">
        <v>0.0</v>
      </c>
      <c r="K309" s="42">
        <v>0.0</v>
      </c>
      <c r="L309" s="42">
        <v>0.0</v>
      </c>
      <c r="M309" s="42">
        <v>0.0</v>
      </c>
      <c r="N309" s="42">
        <v>0.0</v>
      </c>
      <c r="O309" s="42">
        <v>0.0</v>
      </c>
      <c r="P309" s="42">
        <v>0.0</v>
      </c>
      <c r="Q309" s="42">
        <v>0.0</v>
      </c>
    </row>
    <row r="310">
      <c r="A310" s="43">
        <v>46362.0</v>
      </c>
      <c r="B310" s="44">
        <v>0.7347222222222223</v>
      </c>
      <c r="C310" s="45" t="s">
        <v>96</v>
      </c>
      <c r="D310" s="45" t="s">
        <v>75</v>
      </c>
      <c r="E310" s="45" t="s">
        <v>52</v>
      </c>
      <c r="F310" s="46">
        <v>7.0</v>
      </c>
      <c r="G310" s="46">
        <v>0.0</v>
      </c>
      <c r="H310" s="46">
        <v>0.0</v>
      </c>
      <c r="I310" s="46">
        <v>0.0</v>
      </c>
      <c r="J310" s="46">
        <v>0.0</v>
      </c>
      <c r="K310" s="46">
        <v>7.0</v>
      </c>
      <c r="L310" s="46">
        <v>7.0</v>
      </c>
      <c r="M310" s="46">
        <v>0.0</v>
      </c>
      <c r="N310" s="46">
        <v>0.0</v>
      </c>
      <c r="O310" s="46">
        <v>0.0</v>
      </c>
      <c r="P310" s="46">
        <v>0.0</v>
      </c>
      <c r="Q310" s="46">
        <v>0.0</v>
      </c>
    </row>
    <row r="311">
      <c r="A311" s="43">
        <v>46362.0</v>
      </c>
      <c r="B311" s="44">
        <v>0.7347222222222223</v>
      </c>
      <c r="C311" s="45" t="s">
        <v>96</v>
      </c>
      <c r="D311" s="45" t="s">
        <v>75</v>
      </c>
      <c r="E311" s="45" t="s">
        <v>88</v>
      </c>
      <c r="F311" s="46">
        <v>0.0</v>
      </c>
      <c r="G311" s="46">
        <v>0.0</v>
      </c>
      <c r="H311" s="46">
        <v>0.0</v>
      </c>
      <c r="I311" s="46">
        <v>0.0</v>
      </c>
      <c r="J311" s="46">
        <v>0.0</v>
      </c>
      <c r="K311" s="46">
        <v>0.0</v>
      </c>
      <c r="L311" s="46">
        <v>0.0</v>
      </c>
      <c r="M311" s="46">
        <v>0.0</v>
      </c>
      <c r="N311" s="46">
        <v>0.0</v>
      </c>
      <c r="O311" s="46">
        <v>0.0</v>
      </c>
      <c r="P311" s="46">
        <v>0.0</v>
      </c>
      <c r="Q311" s="46">
        <v>0.0</v>
      </c>
    </row>
    <row r="312">
      <c r="A312" s="43">
        <v>46362.0</v>
      </c>
      <c r="B312" s="44">
        <v>0.7347222222222223</v>
      </c>
      <c r="C312" s="45" t="s">
        <v>96</v>
      </c>
      <c r="D312" s="45" t="s">
        <v>75</v>
      </c>
      <c r="E312" s="45" t="s">
        <v>89</v>
      </c>
      <c r="F312" s="46">
        <v>1.0</v>
      </c>
      <c r="G312" s="46">
        <v>0.0</v>
      </c>
      <c r="H312" s="46">
        <v>0.0</v>
      </c>
      <c r="I312" s="46">
        <v>0.0</v>
      </c>
      <c r="J312" s="46">
        <v>0.0</v>
      </c>
      <c r="K312" s="46">
        <v>1.0</v>
      </c>
      <c r="L312" s="46">
        <v>1.0</v>
      </c>
      <c r="M312" s="46">
        <v>0.0</v>
      </c>
      <c r="N312" s="46">
        <v>0.0</v>
      </c>
      <c r="O312" s="46">
        <v>0.0</v>
      </c>
      <c r="P312" s="46">
        <v>0.0</v>
      </c>
      <c r="Q312" s="46">
        <v>0.0</v>
      </c>
    </row>
    <row r="313">
      <c r="A313" s="43">
        <v>46362.0</v>
      </c>
      <c r="B313" s="44">
        <v>0.7347222222222223</v>
      </c>
      <c r="C313" s="45" t="s">
        <v>96</v>
      </c>
      <c r="D313" s="45" t="s">
        <v>75</v>
      </c>
      <c r="E313" s="45" t="s">
        <v>50</v>
      </c>
      <c r="F313" s="46">
        <v>1.0</v>
      </c>
      <c r="G313" s="46">
        <v>0.0</v>
      </c>
      <c r="H313" s="46">
        <v>0.0</v>
      </c>
      <c r="I313" s="46">
        <v>0.0</v>
      </c>
      <c r="J313" s="46">
        <v>0.0</v>
      </c>
      <c r="K313" s="46">
        <v>1.0</v>
      </c>
      <c r="L313" s="46">
        <v>1.0</v>
      </c>
      <c r="M313" s="46">
        <v>0.0</v>
      </c>
      <c r="N313" s="46">
        <v>0.0</v>
      </c>
      <c r="O313" s="46">
        <v>0.0</v>
      </c>
      <c r="P313" s="46">
        <v>0.0</v>
      </c>
      <c r="Q313" s="46">
        <v>0.0</v>
      </c>
    </row>
    <row r="314">
      <c r="A314" s="43">
        <v>46362.0</v>
      </c>
      <c r="B314" s="44">
        <v>0.7347222222222223</v>
      </c>
      <c r="C314" s="45" t="s">
        <v>96</v>
      </c>
      <c r="D314" s="45" t="s">
        <v>75</v>
      </c>
      <c r="E314" s="45" t="s">
        <v>90</v>
      </c>
      <c r="F314" s="46">
        <v>0.0</v>
      </c>
      <c r="G314" s="46">
        <v>0.0</v>
      </c>
      <c r="H314" s="46">
        <v>0.0</v>
      </c>
      <c r="I314" s="46">
        <v>0.0</v>
      </c>
      <c r="J314" s="46">
        <v>0.0</v>
      </c>
      <c r="K314" s="46">
        <v>0.0</v>
      </c>
      <c r="L314" s="46">
        <v>0.0</v>
      </c>
      <c r="M314" s="46">
        <v>0.0</v>
      </c>
      <c r="N314" s="46">
        <v>0.0</v>
      </c>
      <c r="O314" s="46">
        <v>0.0</v>
      </c>
      <c r="P314" s="46">
        <v>0.0</v>
      </c>
      <c r="Q314" s="46">
        <v>0.0</v>
      </c>
    </row>
    <row r="315">
      <c r="A315" s="43">
        <v>46362.0</v>
      </c>
      <c r="B315" s="44">
        <v>0.7347222222222223</v>
      </c>
      <c r="C315" s="45" t="s">
        <v>96</v>
      </c>
      <c r="D315" s="45" t="s">
        <v>75</v>
      </c>
      <c r="E315" s="45" t="s">
        <v>91</v>
      </c>
      <c r="F315" s="46">
        <v>0.0</v>
      </c>
      <c r="G315" s="46">
        <v>0.0</v>
      </c>
      <c r="H315" s="46">
        <v>0.0</v>
      </c>
      <c r="I315" s="46">
        <v>0.0</v>
      </c>
      <c r="J315" s="46">
        <v>0.0</v>
      </c>
      <c r="K315" s="46">
        <v>0.0</v>
      </c>
      <c r="L315" s="46">
        <v>0.0</v>
      </c>
      <c r="M315" s="46">
        <v>0.0</v>
      </c>
      <c r="N315" s="46">
        <v>0.0</v>
      </c>
      <c r="O315" s="46">
        <v>0.0</v>
      </c>
      <c r="P315" s="46">
        <v>0.0</v>
      </c>
      <c r="Q315" s="46">
        <v>0.0</v>
      </c>
    </row>
    <row r="316">
      <c r="A316" s="43">
        <v>46362.0</v>
      </c>
      <c r="B316" s="44">
        <v>0.7347222222222223</v>
      </c>
      <c r="C316" s="45" t="s">
        <v>96</v>
      </c>
      <c r="D316" s="45" t="s">
        <v>75</v>
      </c>
      <c r="E316" s="45" t="s">
        <v>92</v>
      </c>
      <c r="F316" s="46">
        <v>0.0</v>
      </c>
      <c r="G316" s="46">
        <v>0.0</v>
      </c>
      <c r="H316" s="46">
        <v>0.0</v>
      </c>
      <c r="I316" s="46">
        <v>0.0</v>
      </c>
      <c r="J316" s="46">
        <v>0.0</v>
      </c>
      <c r="K316" s="46">
        <v>0.0</v>
      </c>
      <c r="L316" s="46">
        <v>0.0</v>
      </c>
      <c r="M316" s="46">
        <v>0.0</v>
      </c>
      <c r="N316" s="46">
        <v>0.0</v>
      </c>
      <c r="O316" s="46">
        <v>0.0</v>
      </c>
      <c r="P316" s="46">
        <v>0.0</v>
      </c>
      <c r="Q316" s="46">
        <v>0.0</v>
      </c>
    </row>
    <row r="317">
      <c r="A317" s="41" t="s">
        <v>97</v>
      </c>
      <c r="B317" s="40">
        <v>0.7354166666666667</v>
      </c>
      <c r="C317" s="41" t="s">
        <v>15</v>
      </c>
      <c r="D317" s="41" t="s">
        <v>87</v>
      </c>
      <c r="E317" s="41" t="s">
        <v>52</v>
      </c>
      <c r="F317" s="42">
        <v>0.0</v>
      </c>
      <c r="G317" s="42">
        <v>0.0</v>
      </c>
      <c r="H317" s="42">
        <v>0.0</v>
      </c>
      <c r="I317" s="42">
        <v>0.0</v>
      </c>
      <c r="J317" s="42">
        <v>0.0</v>
      </c>
      <c r="K317" s="42">
        <v>0.0</v>
      </c>
      <c r="L317" s="42">
        <v>0.0</v>
      </c>
      <c r="M317" s="42">
        <v>0.0</v>
      </c>
      <c r="N317" s="42">
        <v>0.0</v>
      </c>
      <c r="O317" s="42">
        <v>0.0</v>
      </c>
      <c r="P317" s="42">
        <v>0.0</v>
      </c>
      <c r="Q317" s="42">
        <v>0.0</v>
      </c>
    </row>
    <row r="318">
      <c r="A318" s="37" t="s">
        <v>97</v>
      </c>
      <c r="B318" s="36">
        <v>0.7354166666666667</v>
      </c>
      <c r="C318" s="37" t="s">
        <v>15</v>
      </c>
      <c r="D318" s="37" t="s">
        <v>87</v>
      </c>
      <c r="E318" s="37" t="s">
        <v>88</v>
      </c>
      <c r="F318" s="38">
        <v>0.0</v>
      </c>
      <c r="G318" s="38">
        <v>0.0</v>
      </c>
      <c r="H318" s="38">
        <v>0.0</v>
      </c>
      <c r="I318" s="38">
        <v>0.0</v>
      </c>
      <c r="J318" s="38">
        <v>0.0</v>
      </c>
      <c r="K318" s="38">
        <v>0.0</v>
      </c>
      <c r="L318" s="38">
        <v>0.0</v>
      </c>
      <c r="M318" s="38">
        <v>0.0</v>
      </c>
      <c r="N318" s="38">
        <v>0.0</v>
      </c>
      <c r="O318" s="38">
        <v>0.0</v>
      </c>
      <c r="P318" s="38">
        <v>0.0</v>
      </c>
      <c r="Q318" s="38">
        <v>0.0</v>
      </c>
    </row>
    <row r="319">
      <c r="A319" s="41" t="s">
        <v>97</v>
      </c>
      <c r="B319" s="40">
        <v>0.7354166666666667</v>
      </c>
      <c r="C319" s="41" t="s">
        <v>15</v>
      </c>
      <c r="D319" s="41" t="s">
        <v>87</v>
      </c>
      <c r="E319" s="41" t="s">
        <v>89</v>
      </c>
      <c r="F319" s="42">
        <v>0.0</v>
      </c>
      <c r="G319" s="42">
        <v>0.0</v>
      </c>
      <c r="H319" s="42">
        <v>0.0</v>
      </c>
      <c r="I319" s="42">
        <v>0.0</v>
      </c>
      <c r="J319" s="42">
        <v>0.0</v>
      </c>
      <c r="K319" s="42">
        <v>0.0</v>
      </c>
      <c r="L319" s="42">
        <v>0.0</v>
      </c>
      <c r="M319" s="42">
        <v>0.0</v>
      </c>
      <c r="N319" s="42">
        <v>0.0</v>
      </c>
      <c r="O319" s="42">
        <v>0.0</v>
      </c>
      <c r="P319" s="42">
        <v>0.0</v>
      </c>
      <c r="Q319" s="42">
        <v>0.0</v>
      </c>
    </row>
    <row r="320">
      <c r="A320" s="37" t="s">
        <v>97</v>
      </c>
      <c r="B320" s="36">
        <v>0.7354166666666667</v>
      </c>
      <c r="C320" s="37" t="s">
        <v>15</v>
      </c>
      <c r="D320" s="37" t="s">
        <v>87</v>
      </c>
      <c r="E320" s="37" t="s">
        <v>50</v>
      </c>
      <c r="F320" s="38">
        <v>0.0</v>
      </c>
      <c r="G320" s="38">
        <v>0.0</v>
      </c>
      <c r="H320" s="38">
        <v>0.0</v>
      </c>
      <c r="I320" s="38">
        <v>0.0</v>
      </c>
      <c r="J320" s="38">
        <v>0.0</v>
      </c>
      <c r="K320" s="38">
        <v>0.0</v>
      </c>
      <c r="L320" s="38">
        <v>0.0</v>
      </c>
      <c r="M320" s="38">
        <v>0.0</v>
      </c>
      <c r="N320" s="38">
        <v>0.0</v>
      </c>
      <c r="O320" s="38">
        <v>0.0</v>
      </c>
      <c r="P320" s="38">
        <v>0.0</v>
      </c>
      <c r="Q320" s="38">
        <v>0.0</v>
      </c>
    </row>
    <row r="321">
      <c r="A321" s="41" t="s">
        <v>97</v>
      </c>
      <c r="B321" s="40">
        <v>0.7354166666666667</v>
      </c>
      <c r="C321" s="41" t="s">
        <v>15</v>
      </c>
      <c r="D321" s="41" t="s">
        <v>87</v>
      </c>
      <c r="E321" s="41" t="s">
        <v>90</v>
      </c>
      <c r="F321" s="42">
        <v>0.0</v>
      </c>
      <c r="G321" s="42">
        <v>0.0</v>
      </c>
      <c r="H321" s="42">
        <v>0.0</v>
      </c>
      <c r="I321" s="42">
        <v>0.0</v>
      </c>
      <c r="J321" s="42">
        <v>0.0</v>
      </c>
      <c r="K321" s="42">
        <v>0.0</v>
      </c>
      <c r="L321" s="42">
        <v>0.0</v>
      </c>
      <c r="M321" s="42">
        <v>0.0</v>
      </c>
      <c r="N321" s="42">
        <v>0.0</v>
      </c>
      <c r="O321" s="42">
        <v>0.0</v>
      </c>
      <c r="P321" s="42">
        <v>0.0</v>
      </c>
      <c r="Q321" s="42">
        <v>0.0</v>
      </c>
    </row>
    <row r="322">
      <c r="A322" s="37" t="s">
        <v>97</v>
      </c>
      <c r="B322" s="36">
        <v>0.7354166666666667</v>
      </c>
      <c r="C322" s="37" t="s">
        <v>15</v>
      </c>
      <c r="D322" s="37" t="s">
        <v>87</v>
      </c>
      <c r="E322" s="37" t="s">
        <v>91</v>
      </c>
      <c r="F322" s="38">
        <v>0.0</v>
      </c>
      <c r="G322" s="38">
        <v>0.0</v>
      </c>
      <c r="H322" s="38">
        <v>0.0</v>
      </c>
      <c r="I322" s="38">
        <v>0.0</v>
      </c>
      <c r="J322" s="38">
        <v>0.0</v>
      </c>
      <c r="K322" s="38">
        <v>0.0</v>
      </c>
      <c r="L322" s="38">
        <v>0.0</v>
      </c>
      <c r="M322" s="38">
        <v>0.0</v>
      </c>
      <c r="N322" s="38">
        <v>0.0</v>
      </c>
      <c r="O322" s="38">
        <v>0.0</v>
      </c>
      <c r="P322" s="38">
        <v>0.0</v>
      </c>
      <c r="Q322" s="38">
        <v>0.0</v>
      </c>
    </row>
    <row r="323">
      <c r="A323" s="41" t="s">
        <v>97</v>
      </c>
      <c r="B323" s="40">
        <v>0.7354166666666667</v>
      </c>
      <c r="C323" s="41" t="s">
        <v>15</v>
      </c>
      <c r="D323" s="41" t="s">
        <v>87</v>
      </c>
      <c r="E323" s="41" t="s">
        <v>92</v>
      </c>
      <c r="F323" s="42">
        <v>0.0</v>
      </c>
      <c r="G323" s="42">
        <v>0.0</v>
      </c>
      <c r="H323" s="42">
        <v>0.0</v>
      </c>
      <c r="I323" s="42">
        <v>0.0</v>
      </c>
      <c r="J323" s="42">
        <v>0.0</v>
      </c>
      <c r="K323" s="42">
        <v>0.0</v>
      </c>
      <c r="L323" s="42">
        <v>0.0</v>
      </c>
      <c r="M323" s="42">
        <v>0.0</v>
      </c>
      <c r="N323" s="42">
        <v>0.0</v>
      </c>
      <c r="O323" s="42">
        <v>0.0</v>
      </c>
      <c r="P323" s="42">
        <v>0.0</v>
      </c>
      <c r="Q323" s="42">
        <v>0.0</v>
      </c>
    </row>
    <row r="324">
      <c r="A324" s="37" t="s">
        <v>97</v>
      </c>
      <c r="B324" s="36">
        <v>0.7354166666666667</v>
      </c>
      <c r="C324" s="37" t="s">
        <v>23</v>
      </c>
      <c r="D324" s="37" t="s">
        <v>93</v>
      </c>
      <c r="E324" s="37" t="s">
        <v>52</v>
      </c>
      <c r="F324" s="38">
        <v>1.0</v>
      </c>
      <c r="G324" s="38">
        <v>1.0</v>
      </c>
      <c r="H324" s="38">
        <v>0.0</v>
      </c>
      <c r="I324" s="38">
        <v>0.0</v>
      </c>
      <c r="J324" s="38">
        <v>0.0</v>
      </c>
      <c r="K324" s="38">
        <v>1.0</v>
      </c>
      <c r="L324" s="38">
        <v>1.0</v>
      </c>
      <c r="M324" s="38">
        <v>0.0</v>
      </c>
      <c r="N324" s="38">
        <v>0.0</v>
      </c>
      <c r="O324" s="38">
        <v>0.0</v>
      </c>
      <c r="P324" s="38">
        <v>1.0</v>
      </c>
      <c r="Q324" s="38">
        <v>1.0</v>
      </c>
    </row>
    <row r="325">
      <c r="A325" s="41" t="s">
        <v>97</v>
      </c>
      <c r="B325" s="40">
        <v>0.7354166666666667</v>
      </c>
      <c r="C325" s="41" t="s">
        <v>23</v>
      </c>
      <c r="D325" s="41" t="s">
        <v>93</v>
      </c>
      <c r="E325" s="41" t="s">
        <v>88</v>
      </c>
      <c r="F325" s="42">
        <v>0.0</v>
      </c>
      <c r="G325" s="42">
        <v>0.0</v>
      </c>
      <c r="H325" s="42">
        <v>0.0</v>
      </c>
      <c r="I325" s="42">
        <v>0.0</v>
      </c>
      <c r="J325" s="42">
        <v>0.0</v>
      </c>
      <c r="K325" s="42">
        <v>0.0</v>
      </c>
      <c r="L325" s="42">
        <v>0.0</v>
      </c>
      <c r="M325" s="42">
        <v>0.0</v>
      </c>
      <c r="N325" s="42">
        <v>0.0</v>
      </c>
      <c r="O325" s="42">
        <v>0.0</v>
      </c>
      <c r="P325" s="42">
        <v>0.0</v>
      </c>
      <c r="Q325" s="42">
        <v>0.0</v>
      </c>
    </row>
    <row r="326">
      <c r="A326" s="37" t="s">
        <v>97</v>
      </c>
      <c r="B326" s="36">
        <v>0.7354166666666667</v>
      </c>
      <c r="C326" s="37" t="s">
        <v>23</v>
      </c>
      <c r="D326" s="37" t="s">
        <v>93</v>
      </c>
      <c r="E326" s="37" t="s">
        <v>89</v>
      </c>
      <c r="F326" s="38">
        <v>0.0</v>
      </c>
      <c r="G326" s="38">
        <v>0.0</v>
      </c>
      <c r="H326" s="38">
        <v>0.0</v>
      </c>
      <c r="I326" s="38">
        <v>0.0</v>
      </c>
      <c r="J326" s="38">
        <v>0.0</v>
      </c>
      <c r="K326" s="38">
        <v>0.0</v>
      </c>
      <c r="L326" s="38">
        <v>0.0</v>
      </c>
      <c r="M326" s="38">
        <v>0.0</v>
      </c>
      <c r="N326" s="38">
        <v>0.0</v>
      </c>
      <c r="O326" s="38">
        <v>0.0</v>
      </c>
      <c r="P326" s="38">
        <v>0.0</v>
      </c>
      <c r="Q326" s="38">
        <v>0.0</v>
      </c>
    </row>
    <row r="327">
      <c r="A327" s="41" t="s">
        <v>97</v>
      </c>
      <c r="B327" s="40">
        <v>0.7354166666666667</v>
      </c>
      <c r="C327" s="41" t="s">
        <v>23</v>
      </c>
      <c r="D327" s="41" t="s">
        <v>93</v>
      </c>
      <c r="E327" s="41" t="s">
        <v>50</v>
      </c>
      <c r="F327" s="42">
        <v>0.0</v>
      </c>
      <c r="G327" s="42">
        <v>0.0</v>
      </c>
      <c r="H327" s="42">
        <v>0.0</v>
      </c>
      <c r="I327" s="42">
        <v>0.0</v>
      </c>
      <c r="J327" s="42">
        <v>0.0</v>
      </c>
      <c r="K327" s="42">
        <v>0.0</v>
      </c>
      <c r="L327" s="42">
        <v>0.0</v>
      </c>
      <c r="M327" s="42">
        <v>0.0</v>
      </c>
      <c r="N327" s="42">
        <v>0.0</v>
      </c>
      <c r="O327" s="42">
        <v>0.0</v>
      </c>
      <c r="P327" s="42">
        <v>0.0</v>
      </c>
      <c r="Q327" s="42">
        <v>0.0</v>
      </c>
    </row>
    <row r="328">
      <c r="A328" s="37" t="s">
        <v>97</v>
      </c>
      <c r="B328" s="36">
        <v>0.7354166666666667</v>
      </c>
      <c r="C328" s="37" t="s">
        <v>23</v>
      </c>
      <c r="D328" s="37" t="s">
        <v>93</v>
      </c>
      <c r="E328" s="37" t="s">
        <v>90</v>
      </c>
      <c r="F328" s="38">
        <v>0.0</v>
      </c>
      <c r="G328" s="38">
        <v>0.0</v>
      </c>
      <c r="H328" s="38">
        <v>0.0</v>
      </c>
      <c r="I328" s="38">
        <v>0.0</v>
      </c>
      <c r="J328" s="38">
        <v>0.0</v>
      </c>
      <c r="K328" s="38">
        <v>0.0</v>
      </c>
      <c r="L328" s="38">
        <v>0.0</v>
      </c>
      <c r="M328" s="38">
        <v>0.0</v>
      </c>
      <c r="N328" s="38">
        <v>0.0</v>
      </c>
      <c r="O328" s="38">
        <v>0.0</v>
      </c>
      <c r="P328" s="38">
        <v>0.0</v>
      </c>
      <c r="Q328" s="38">
        <v>0.0</v>
      </c>
    </row>
    <row r="329">
      <c r="A329" s="41" t="s">
        <v>97</v>
      </c>
      <c r="B329" s="40">
        <v>0.7354166666666667</v>
      </c>
      <c r="C329" s="41" t="s">
        <v>23</v>
      </c>
      <c r="D329" s="41" t="s">
        <v>93</v>
      </c>
      <c r="E329" s="41" t="s">
        <v>91</v>
      </c>
      <c r="F329" s="42">
        <v>0.0</v>
      </c>
      <c r="G329" s="42">
        <v>0.0</v>
      </c>
      <c r="H329" s="42">
        <v>0.0</v>
      </c>
      <c r="I329" s="42">
        <v>0.0</v>
      </c>
      <c r="J329" s="42">
        <v>0.0</v>
      </c>
      <c r="K329" s="42">
        <v>0.0</v>
      </c>
      <c r="L329" s="42">
        <v>0.0</v>
      </c>
      <c r="M329" s="42">
        <v>0.0</v>
      </c>
      <c r="N329" s="42">
        <v>0.0</v>
      </c>
      <c r="O329" s="42">
        <v>0.0</v>
      </c>
      <c r="P329" s="42">
        <v>0.0</v>
      </c>
      <c r="Q329" s="42">
        <v>0.0</v>
      </c>
    </row>
    <row r="330">
      <c r="A330" s="37" t="s">
        <v>97</v>
      </c>
      <c r="B330" s="36">
        <v>0.7354166666666667</v>
      </c>
      <c r="C330" s="37" t="s">
        <v>23</v>
      </c>
      <c r="D330" s="37" t="s">
        <v>93</v>
      </c>
      <c r="E330" s="37" t="s">
        <v>92</v>
      </c>
      <c r="F330" s="38">
        <v>0.0</v>
      </c>
      <c r="G330" s="38">
        <v>0.0</v>
      </c>
      <c r="H330" s="38">
        <v>0.0</v>
      </c>
      <c r="I330" s="38">
        <v>0.0</v>
      </c>
      <c r="J330" s="38">
        <v>0.0</v>
      </c>
      <c r="K330" s="38">
        <v>0.0</v>
      </c>
      <c r="L330" s="38">
        <v>0.0</v>
      </c>
      <c r="M330" s="38">
        <v>0.0</v>
      </c>
      <c r="N330" s="38">
        <v>0.0</v>
      </c>
      <c r="O330" s="38">
        <v>0.0</v>
      </c>
      <c r="P330" s="38">
        <v>0.0</v>
      </c>
      <c r="Q330" s="38">
        <v>0.0</v>
      </c>
    </row>
    <row r="331">
      <c r="A331" s="41" t="s">
        <v>97</v>
      </c>
      <c r="B331" s="40">
        <v>0.7354166666666667</v>
      </c>
      <c r="C331" s="41" t="s">
        <v>29</v>
      </c>
      <c r="D331" s="41" t="s">
        <v>94</v>
      </c>
      <c r="E331" s="41" t="s">
        <v>52</v>
      </c>
      <c r="F331" s="42">
        <v>6.0</v>
      </c>
      <c r="G331" s="42">
        <v>3.0</v>
      </c>
      <c r="H331" s="42">
        <v>0.0</v>
      </c>
      <c r="I331" s="42">
        <v>0.0</v>
      </c>
      <c r="J331" s="42">
        <v>0.0</v>
      </c>
      <c r="K331" s="42">
        <v>6.0</v>
      </c>
      <c r="L331" s="42">
        <v>6.0</v>
      </c>
      <c r="M331" s="42">
        <v>0.0</v>
      </c>
      <c r="N331" s="42">
        <v>0.0</v>
      </c>
      <c r="O331" s="42">
        <v>0.0</v>
      </c>
      <c r="P331" s="42">
        <v>3.0</v>
      </c>
      <c r="Q331" s="42">
        <v>3.0</v>
      </c>
    </row>
    <row r="332">
      <c r="A332" s="37" t="s">
        <v>97</v>
      </c>
      <c r="B332" s="36">
        <v>0.7354166666666667</v>
      </c>
      <c r="C332" s="37" t="s">
        <v>29</v>
      </c>
      <c r="D332" s="37" t="s">
        <v>94</v>
      </c>
      <c r="E332" s="37" t="s">
        <v>88</v>
      </c>
      <c r="F332" s="38">
        <v>0.0</v>
      </c>
      <c r="G332" s="38">
        <v>0.0</v>
      </c>
      <c r="H332" s="38">
        <v>0.0</v>
      </c>
      <c r="I332" s="38">
        <v>0.0</v>
      </c>
      <c r="J332" s="38">
        <v>0.0</v>
      </c>
      <c r="K332" s="38">
        <v>0.0</v>
      </c>
      <c r="L332" s="38">
        <v>0.0</v>
      </c>
      <c r="M332" s="38">
        <v>0.0</v>
      </c>
      <c r="N332" s="38">
        <v>0.0</v>
      </c>
      <c r="O332" s="38">
        <v>0.0</v>
      </c>
      <c r="P332" s="38">
        <v>0.0</v>
      </c>
      <c r="Q332" s="38">
        <v>0.0</v>
      </c>
    </row>
    <row r="333">
      <c r="A333" s="41" t="s">
        <v>97</v>
      </c>
      <c r="B333" s="40">
        <v>0.7354166666666667</v>
      </c>
      <c r="C333" s="41" t="s">
        <v>29</v>
      </c>
      <c r="D333" s="41" t="s">
        <v>94</v>
      </c>
      <c r="E333" s="41" t="s">
        <v>89</v>
      </c>
      <c r="F333" s="42">
        <v>1.0</v>
      </c>
      <c r="G333" s="42">
        <v>0.0</v>
      </c>
      <c r="H333" s="42">
        <v>0.0</v>
      </c>
      <c r="I333" s="42">
        <v>0.0</v>
      </c>
      <c r="J333" s="42">
        <v>0.0</v>
      </c>
      <c r="K333" s="42">
        <v>1.0</v>
      </c>
      <c r="L333" s="42">
        <v>1.0</v>
      </c>
      <c r="M333" s="42">
        <v>0.0</v>
      </c>
      <c r="N333" s="42">
        <v>0.0</v>
      </c>
      <c r="O333" s="42">
        <v>0.0</v>
      </c>
      <c r="P333" s="42">
        <v>0.0</v>
      </c>
      <c r="Q333" s="42">
        <v>0.0</v>
      </c>
    </row>
    <row r="334">
      <c r="A334" s="37" t="s">
        <v>97</v>
      </c>
      <c r="B334" s="36">
        <v>0.7354166666666667</v>
      </c>
      <c r="C334" s="37" t="s">
        <v>29</v>
      </c>
      <c r="D334" s="37" t="s">
        <v>94</v>
      </c>
      <c r="E334" s="37" t="s">
        <v>50</v>
      </c>
      <c r="F334" s="38">
        <v>0.0</v>
      </c>
      <c r="G334" s="38">
        <v>0.0</v>
      </c>
      <c r="H334" s="38">
        <v>0.0</v>
      </c>
      <c r="I334" s="38">
        <v>0.0</v>
      </c>
      <c r="J334" s="38">
        <v>0.0</v>
      </c>
      <c r="K334" s="38">
        <v>0.0</v>
      </c>
      <c r="L334" s="38">
        <v>0.0</v>
      </c>
      <c r="M334" s="38">
        <v>0.0</v>
      </c>
      <c r="N334" s="38">
        <v>0.0</v>
      </c>
      <c r="O334" s="38">
        <v>0.0</v>
      </c>
      <c r="P334" s="38">
        <v>0.0</v>
      </c>
      <c r="Q334" s="38">
        <v>0.0</v>
      </c>
    </row>
    <row r="335">
      <c r="A335" s="41" t="s">
        <v>97</v>
      </c>
      <c r="B335" s="40">
        <v>0.7354166666666667</v>
      </c>
      <c r="C335" s="41" t="s">
        <v>29</v>
      </c>
      <c r="D335" s="41" t="s">
        <v>94</v>
      </c>
      <c r="E335" s="41" t="s">
        <v>90</v>
      </c>
      <c r="F335" s="42">
        <v>0.0</v>
      </c>
      <c r="G335" s="42">
        <v>0.0</v>
      </c>
      <c r="H335" s="42">
        <v>0.0</v>
      </c>
      <c r="I335" s="42">
        <v>0.0</v>
      </c>
      <c r="J335" s="42">
        <v>0.0</v>
      </c>
      <c r="K335" s="42">
        <v>0.0</v>
      </c>
      <c r="L335" s="42">
        <v>0.0</v>
      </c>
      <c r="M335" s="42">
        <v>0.0</v>
      </c>
      <c r="N335" s="42">
        <v>0.0</v>
      </c>
      <c r="O335" s="42">
        <v>0.0</v>
      </c>
      <c r="P335" s="42">
        <v>0.0</v>
      </c>
      <c r="Q335" s="42">
        <v>0.0</v>
      </c>
    </row>
    <row r="336">
      <c r="A336" s="37" t="s">
        <v>97</v>
      </c>
      <c r="B336" s="36">
        <v>0.7354166666666667</v>
      </c>
      <c r="C336" s="37" t="s">
        <v>29</v>
      </c>
      <c r="D336" s="37" t="s">
        <v>94</v>
      </c>
      <c r="E336" s="37" t="s">
        <v>91</v>
      </c>
      <c r="F336" s="38">
        <v>0.0</v>
      </c>
      <c r="G336" s="38">
        <v>0.0</v>
      </c>
      <c r="H336" s="38">
        <v>0.0</v>
      </c>
      <c r="I336" s="38">
        <v>0.0</v>
      </c>
      <c r="J336" s="38">
        <v>0.0</v>
      </c>
      <c r="K336" s="38">
        <v>0.0</v>
      </c>
      <c r="L336" s="38">
        <v>0.0</v>
      </c>
      <c r="M336" s="38">
        <v>0.0</v>
      </c>
      <c r="N336" s="38">
        <v>0.0</v>
      </c>
      <c r="O336" s="38">
        <v>0.0</v>
      </c>
      <c r="P336" s="38">
        <v>0.0</v>
      </c>
      <c r="Q336" s="38">
        <v>0.0</v>
      </c>
    </row>
    <row r="337">
      <c r="A337" s="41" t="s">
        <v>97</v>
      </c>
      <c r="B337" s="40">
        <v>0.7354166666666667</v>
      </c>
      <c r="C337" s="41" t="s">
        <v>29</v>
      </c>
      <c r="D337" s="41" t="s">
        <v>94</v>
      </c>
      <c r="E337" s="41" t="s">
        <v>92</v>
      </c>
      <c r="F337" s="42">
        <v>0.0</v>
      </c>
      <c r="G337" s="42">
        <v>0.0</v>
      </c>
      <c r="H337" s="42">
        <v>0.0</v>
      </c>
      <c r="I337" s="42">
        <v>0.0</v>
      </c>
      <c r="J337" s="42">
        <v>0.0</v>
      </c>
      <c r="K337" s="42">
        <v>0.0</v>
      </c>
      <c r="L337" s="42">
        <v>0.0</v>
      </c>
      <c r="M337" s="42">
        <v>0.0</v>
      </c>
      <c r="N337" s="42">
        <v>0.0</v>
      </c>
      <c r="O337" s="42">
        <v>0.0</v>
      </c>
      <c r="P337" s="42">
        <v>0.0</v>
      </c>
      <c r="Q337" s="42">
        <v>0.0</v>
      </c>
    </row>
    <row r="338">
      <c r="A338" s="37" t="s">
        <v>97</v>
      </c>
      <c r="B338" s="36">
        <v>0.7354166666666667</v>
      </c>
      <c r="C338" s="37" t="s">
        <v>31</v>
      </c>
      <c r="D338" s="37" t="s">
        <v>95</v>
      </c>
      <c r="E338" s="37" t="s">
        <v>52</v>
      </c>
      <c r="F338" s="38">
        <v>0.0</v>
      </c>
      <c r="G338" s="38">
        <v>0.0</v>
      </c>
      <c r="H338" s="38">
        <v>0.0</v>
      </c>
      <c r="I338" s="38">
        <v>0.0</v>
      </c>
      <c r="J338" s="38">
        <v>0.0</v>
      </c>
      <c r="K338" s="38">
        <v>0.0</v>
      </c>
      <c r="L338" s="38">
        <v>0.0</v>
      </c>
      <c r="M338" s="38">
        <v>0.0</v>
      </c>
      <c r="N338" s="38">
        <v>0.0</v>
      </c>
      <c r="O338" s="38">
        <v>0.0</v>
      </c>
      <c r="P338" s="38">
        <v>0.0</v>
      </c>
      <c r="Q338" s="38">
        <v>0.0</v>
      </c>
    </row>
    <row r="339">
      <c r="A339" s="41" t="s">
        <v>97</v>
      </c>
      <c r="B339" s="40">
        <v>0.7354166666666667</v>
      </c>
      <c r="C339" s="41" t="s">
        <v>31</v>
      </c>
      <c r="D339" s="41" t="s">
        <v>95</v>
      </c>
      <c r="E339" s="41" t="s">
        <v>88</v>
      </c>
      <c r="F339" s="42">
        <v>0.0</v>
      </c>
      <c r="G339" s="42">
        <v>0.0</v>
      </c>
      <c r="H339" s="42">
        <v>0.0</v>
      </c>
      <c r="I339" s="42">
        <v>0.0</v>
      </c>
      <c r="J339" s="42">
        <v>0.0</v>
      </c>
      <c r="K339" s="42">
        <v>0.0</v>
      </c>
      <c r="L339" s="42">
        <v>0.0</v>
      </c>
      <c r="M339" s="42">
        <v>0.0</v>
      </c>
      <c r="N339" s="42">
        <v>0.0</v>
      </c>
      <c r="O339" s="42">
        <v>0.0</v>
      </c>
      <c r="P339" s="42">
        <v>0.0</v>
      </c>
      <c r="Q339" s="42">
        <v>0.0</v>
      </c>
    </row>
    <row r="340">
      <c r="A340" s="37" t="s">
        <v>97</v>
      </c>
      <c r="B340" s="36">
        <v>0.7354166666666667</v>
      </c>
      <c r="C340" s="37" t="s">
        <v>31</v>
      </c>
      <c r="D340" s="37" t="s">
        <v>95</v>
      </c>
      <c r="E340" s="37" t="s">
        <v>89</v>
      </c>
      <c r="F340" s="38">
        <v>0.0</v>
      </c>
      <c r="G340" s="38">
        <v>0.0</v>
      </c>
      <c r="H340" s="38">
        <v>0.0</v>
      </c>
      <c r="I340" s="38">
        <v>0.0</v>
      </c>
      <c r="J340" s="38">
        <v>0.0</v>
      </c>
      <c r="K340" s="38">
        <v>0.0</v>
      </c>
      <c r="L340" s="38">
        <v>0.0</v>
      </c>
      <c r="M340" s="38">
        <v>0.0</v>
      </c>
      <c r="N340" s="38">
        <v>0.0</v>
      </c>
      <c r="O340" s="38">
        <v>0.0</v>
      </c>
      <c r="P340" s="38">
        <v>0.0</v>
      </c>
      <c r="Q340" s="38">
        <v>0.0</v>
      </c>
    </row>
    <row r="341">
      <c r="A341" s="41" t="s">
        <v>97</v>
      </c>
      <c r="B341" s="40">
        <v>0.7354166666666667</v>
      </c>
      <c r="C341" s="41" t="s">
        <v>31</v>
      </c>
      <c r="D341" s="41" t="s">
        <v>95</v>
      </c>
      <c r="E341" s="41" t="s">
        <v>50</v>
      </c>
      <c r="F341" s="42">
        <v>1.0</v>
      </c>
      <c r="G341" s="42">
        <v>1.0</v>
      </c>
      <c r="H341" s="42">
        <v>0.0</v>
      </c>
      <c r="I341" s="42">
        <v>0.0</v>
      </c>
      <c r="J341" s="42">
        <v>0.0</v>
      </c>
      <c r="K341" s="42">
        <v>0.0</v>
      </c>
      <c r="L341" s="42">
        <v>1.0</v>
      </c>
      <c r="M341" s="42">
        <v>0.0</v>
      </c>
      <c r="N341" s="42">
        <v>0.0</v>
      </c>
      <c r="O341" s="42">
        <v>0.0</v>
      </c>
      <c r="P341" s="42">
        <v>0.0</v>
      </c>
      <c r="Q341" s="42">
        <v>1.0</v>
      </c>
    </row>
    <row r="342">
      <c r="A342" s="37" t="s">
        <v>97</v>
      </c>
      <c r="B342" s="36">
        <v>0.7354166666666667</v>
      </c>
      <c r="C342" s="37" t="s">
        <v>31</v>
      </c>
      <c r="D342" s="37" t="s">
        <v>95</v>
      </c>
      <c r="E342" s="37" t="s">
        <v>90</v>
      </c>
      <c r="F342" s="38">
        <v>0.0</v>
      </c>
      <c r="G342" s="38">
        <v>0.0</v>
      </c>
      <c r="H342" s="38">
        <v>0.0</v>
      </c>
      <c r="I342" s="38">
        <v>0.0</v>
      </c>
      <c r="J342" s="38">
        <v>0.0</v>
      </c>
      <c r="K342" s="38">
        <v>0.0</v>
      </c>
      <c r="L342" s="38">
        <v>0.0</v>
      </c>
      <c r="M342" s="38">
        <v>0.0</v>
      </c>
      <c r="N342" s="38">
        <v>0.0</v>
      </c>
      <c r="O342" s="38">
        <v>0.0</v>
      </c>
      <c r="P342" s="38">
        <v>0.0</v>
      </c>
      <c r="Q342" s="38">
        <v>0.0</v>
      </c>
    </row>
    <row r="343">
      <c r="A343" s="41" t="s">
        <v>97</v>
      </c>
      <c r="B343" s="40">
        <v>0.7354166666666667</v>
      </c>
      <c r="C343" s="41" t="s">
        <v>31</v>
      </c>
      <c r="D343" s="41" t="s">
        <v>95</v>
      </c>
      <c r="E343" s="41" t="s">
        <v>91</v>
      </c>
      <c r="F343" s="42">
        <v>0.0</v>
      </c>
      <c r="G343" s="42">
        <v>0.0</v>
      </c>
      <c r="H343" s="42">
        <v>0.0</v>
      </c>
      <c r="I343" s="42">
        <v>0.0</v>
      </c>
      <c r="J343" s="42">
        <v>0.0</v>
      </c>
      <c r="K343" s="42">
        <v>0.0</v>
      </c>
      <c r="L343" s="42">
        <v>0.0</v>
      </c>
      <c r="M343" s="42">
        <v>0.0</v>
      </c>
      <c r="N343" s="42">
        <v>0.0</v>
      </c>
      <c r="O343" s="42">
        <v>0.0</v>
      </c>
      <c r="P343" s="42">
        <v>0.0</v>
      </c>
      <c r="Q343" s="42">
        <v>0.0</v>
      </c>
    </row>
    <row r="344">
      <c r="A344" s="37" t="s">
        <v>97</v>
      </c>
      <c r="B344" s="36">
        <v>0.7354166666666667</v>
      </c>
      <c r="C344" s="37" t="s">
        <v>31</v>
      </c>
      <c r="D344" s="37" t="s">
        <v>95</v>
      </c>
      <c r="E344" s="37" t="s">
        <v>92</v>
      </c>
      <c r="F344" s="38">
        <v>0.0</v>
      </c>
      <c r="G344" s="38">
        <v>0.0</v>
      </c>
      <c r="H344" s="38">
        <v>0.0</v>
      </c>
      <c r="I344" s="38">
        <v>0.0</v>
      </c>
      <c r="J344" s="38">
        <v>0.0</v>
      </c>
      <c r="K344" s="38">
        <v>0.0</v>
      </c>
      <c r="L344" s="38">
        <v>0.0</v>
      </c>
      <c r="M344" s="38">
        <v>0.0</v>
      </c>
      <c r="N344" s="38">
        <v>0.0</v>
      </c>
      <c r="O344" s="38">
        <v>0.0</v>
      </c>
      <c r="P344" s="38">
        <v>0.0</v>
      </c>
      <c r="Q344" s="38">
        <v>0.0</v>
      </c>
    </row>
    <row r="345">
      <c r="A345" s="45" t="s">
        <v>97</v>
      </c>
      <c r="B345" s="44">
        <v>0.7354166666666667</v>
      </c>
      <c r="C345" s="45" t="s">
        <v>96</v>
      </c>
      <c r="D345" s="45" t="s">
        <v>75</v>
      </c>
      <c r="E345" s="45" t="s">
        <v>52</v>
      </c>
      <c r="F345" s="46">
        <v>7.0</v>
      </c>
      <c r="G345" s="46">
        <v>4.0</v>
      </c>
      <c r="H345" s="46">
        <v>0.0</v>
      </c>
      <c r="I345" s="46">
        <v>0.0</v>
      </c>
      <c r="J345" s="46">
        <v>0.0</v>
      </c>
      <c r="K345" s="46">
        <v>7.0</v>
      </c>
      <c r="L345" s="46">
        <v>7.0</v>
      </c>
      <c r="M345" s="46">
        <v>0.0</v>
      </c>
      <c r="N345" s="46">
        <v>0.0</v>
      </c>
      <c r="O345" s="46">
        <v>0.0</v>
      </c>
      <c r="P345" s="46">
        <v>4.0</v>
      </c>
      <c r="Q345" s="46">
        <v>4.0</v>
      </c>
    </row>
    <row r="346">
      <c r="A346" s="45" t="s">
        <v>97</v>
      </c>
      <c r="B346" s="44">
        <v>0.7354166666666667</v>
      </c>
      <c r="C346" s="45" t="s">
        <v>96</v>
      </c>
      <c r="D346" s="45" t="s">
        <v>75</v>
      </c>
      <c r="E346" s="45" t="s">
        <v>88</v>
      </c>
      <c r="F346" s="46">
        <v>0.0</v>
      </c>
      <c r="G346" s="46">
        <v>0.0</v>
      </c>
      <c r="H346" s="46">
        <v>0.0</v>
      </c>
      <c r="I346" s="46">
        <v>0.0</v>
      </c>
      <c r="J346" s="46">
        <v>0.0</v>
      </c>
      <c r="K346" s="46">
        <v>0.0</v>
      </c>
      <c r="L346" s="46">
        <v>0.0</v>
      </c>
      <c r="M346" s="46">
        <v>0.0</v>
      </c>
      <c r="N346" s="46">
        <v>0.0</v>
      </c>
      <c r="O346" s="46">
        <v>0.0</v>
      </c>
      <c r="P346" s="46">
        <v>0.0</v>
      </c>
      <c r="Q346" s="46">
        <v>0.0</v>
      </c>
    </row>
    <row r="347">
      <c r="A347" s="45" t="s">
        <v>97</v>
      </c>
      <c r="B347" s="44">
        <v>0.7354166666666667</v>
      </c>
      <c r="C347" s="45" t="s">
        <v>96</v>
      </c>
      <c r="D347" s="45" t="s">
        <v>75</v>
      </c>
      <c r="E347" s="45" t="s">
        <v>89</v>
      </c>
      <c r="F347" s="46">
        <v>1.0</v>
      </c>
      <c r="G347" s="46">
        <v>0.0</v>
      </c>
      <c r="H347" s="46">
        <v>0.0</v>
      </c>
      <c r="I347" s="46">
        <v>0.0</v>
      </c>
      <c r="J347" s="46">
        <v>0.0</v>
      </c>
      <c r="K347" s="46">
        <v>1.0</v>
      </c>
      <c r="L347" s="46">
        <v>1.0</v>
      </c>
      <c r="M347" s="46">
        <v>0.0</v>
      </c>
      <c r="N347" s="46">
        <v>0.0</v>
      </c>
      <c r="O347" s="46">
        <v>0.0</v>
      </c>
      <c r="P347" s="46">
        <v>0.0</v>
      </c>
      <c r="Q347" s="46">
        <v>0.0</v>
      </c>
    </row>
    <row r="348">
      <c r="A348" s="45" t="s">
        <v>97</v>
      </c>
      <c r="B348" s="44">
        <v>0.7354166666666667</v>
      </c>
      <c r="C348" s="45" t="s">
        <v>96</v>
      </c>
      <c r="D348" s="45" t="s">
        <v>75</v>
      </c>
      <c r="E348" s="45" t="s">
        <v>50</v>
      </c>
      <c r="F348" s="46">
        <v>1.0</v>
      </c>
      <c r="G348" s="46">
        <v>1.0</v>
      </c>
      <c r="H348" s="46">
        <v>0.0</v>
      </c>
      <c r="I348" s="46">
        <v>0.0</v>
      </c>
      <c r="J348" s="46">
        <v>0.0</v>
      </c>
      <c r="K348" s="46">
        <v>0.0</v>
      </c>
      <c r="L348" s="46">
        <v>1.0</v>
      </c>
      <c r="M348" s="46">
        <v>0.0</v>
      </c>
      <c r="N348" s="46">
        <v>0.0</v>
      </c>
      <c r="O348" s="46">
        <v>0.0</v>
      </c>
      <c r="P348" s="46">
        <v>0.0</v>
      </c>
      <c r="Q348" s="46">
        <v>1.0</v>
      </c>
    </row>
    <row r="349">
      <c r="A349" s="45" t="s">
        <v>97</v>
      </c>
      <c r="B349" s="44">
        <v>0.7354166666666667</v>
      </c>
      <c r="C349" s="45" t="s">
        <v>96</v>
      </c>
      <c r="D349" s="45" t="s">
        <v>75</v>
      </c>
      <c r="E349" s="45" t="s">
        <v>90</v>
      </c>
      <c r="F349" s="46">
        <v>0.0</v>
      </c>
      <c r="G349" s="46">
        <v>0.0</v>
      </c>
      <c r="H349" s="46">
        <v>0.0</v>
      </c>
      <c r="I349" s="46">
        <v>0.0</v>
      </c>
      <c r="J349" s="46">
        <v>0.0</v>
      </c>
      <c r="K349" s="46">
        <v>0.0</v>
      </c>
      <c r="L349" s="46">
        <v>0.0</v>
      </c>
      <c r="M349" s="46">
        <v>0.0</v>
      </c>
      <c r="N349" s="46">
        <v>0.0</v>
      </c>
      <c r="O349" s="46">
        <v>0.0</v>
      </c>
      <c r="P349" s="46">
        <v>0.0</v>
      </c>
      <c r="Q349" s="46">
        <v>0.0</v>
      </c>
    </row>
    <row r="350">
      <c r="A350" s="45" t="s">
        <v>97</v>
      </c>
      <c r="B350" s="44">
        <v>0.7354166666666667</v>
      </c>
      <c r="C350" s="45" t="s">
        <v>96</v>
      </c>
      <c r="D350" s="45" t="s">
        <v>75</v>
      </c>
      <c r="E350" s="45" t="s">
        <v>91</v>
      </c>
      <c r="F350" s="46">
        <v>0.0</v>
      </c>
      <c r="G350" s="46">
        <v>0.0</v>
      </c>
      <c r="H350" s="46">
        <v>0.0</v>
      </c>
      <c r="I350" s="46">
        <v>0.0</v>
      </c>
      <c r="J350" s="46">
        <v>0.0</v>
      </c>
      <c r="K350" s="46">
        <v>0.0</v>
      </c>
      <c r="L350" s="46">
        <v>0.0</v>
      </c>
      <c r="M350" s="46">
        <v>0.0</v>
      </c>
      <c r="N350" s="46">
        <v>0.0</v>
      </c>
      <c r="O350" s="46">
        <v>0.0</v>
      </c>
      <c r="P350" s="46">
        <v>0.0</v>
      </c>
      <c r="Q350" s="46">
        <v>0.0</v>
      </c>
    </row>
    <row r="351">
      <c r="A351" s="45" t="s">
        <v>97</v>
      </c>
      <c r="B351" s="44">
        <v>0.7354166666666667</v>
      </c>
      <c r="C351" s="45" t="s">
        <v>96</v>
      </c>
      <c r="D351" s="45" t="s">
        <v>75</v>
      </c>
      <c r="E351" s="45" t="s">
        <v>92</v>
      </c>
      <c r="F351" s="46">
        <v>0.0</v>
      </c>
      <c r="G351" s="46">
        <v>0.0</v>
      </c>
      <c r="H351" s="46">
        <v>0.0</v>
      </c>
      <c r="I351" s="46">
        <v>0.0</v>
      </c>
      <c r="J351" s="46">
        <v>0.0</v>
      </c>
      <c r="K351" s="46">
        <v>0.0</v>
      </c>
      <c r="L351" s="46">
        <v>0.0</v>
      </c>
      <c r="M351" s="46">
        <v>0.0</v>
      </c>
      <c r="N351" s="46">
        <v>0.0</v>
      </c>
      <c r="O351" s="46">
        <v>0.0</v>
      </c>
      <c r="P351" s="46">
        <v>0.0</v>
      </c>
      <c r="Q351" s="46">
        <v>0.0</v>
      </c>
    </row>
    <row r="352">
      <c r="A352" s="37" t="s">
        <v>98</v>
      </c>
      <c r="B352" s="36">
        <v>0.7354166666666667</v>
      </c>
      <c r="C352" s="37" t="s">
        <v>15</v>
      </c>
      <c r="D352" s="37" t="s">
        <v>87</v>
      </c>
      <c r="E352" s="37" t="s">
        <v>52</v>
      </c>
      <c r="F352" s="38">
        <v>0.0</v>
      </c>
      <c r="G352" s="38">
        <v>0.0</v>
      </c>
      <c r="H352" s="38">
        <v>0.0</v>
      </c>
      <c r="I352" s="38">
        <v>0.0</v>
      </c>
      <c r="J352" s="38">
        <v>0.0</v>
      </c>
      <c r="K352" s="38">
        <v>0.0</v>
      </c>
      <c r="L352" s="38">
        <v>0.0</v>
      </c>
      <c r="M352" s="38">
        <v>0.0</v>
      </c>
      <c r="N352" s="38">
        <v>0.0</v>
      </c>
      <c r="O352" s="38">
        <v>0.0</v>
      </c>
      <c r="P352" s="38">
        <v>0.0</v>
      </c>
      <c r="Q352" s="38">
        <v>0.0</v>
      </c>
    </row>
    <row r="353">
      <c r="A353" s="41" t="s">
        <v>98</v>
      </c>
      <c r="B353" s="40">
        <v>0.7354166666666667</v>
      </c>
      <c r="C353" s="41" t="s">
        <v>15</v>
      </c>
      <c r="D353" s="41" t="s">
        <v>87</v>
      </c>
      <c r="E353" s="41" t="s">
        <v>88</v>
      </c>
      <c r="F353" s="42">
        <v>0.0</v>
      </c>
      <c r="G353" s="42">
        <v>0.0</v>
      </c>
      <c r="H353" s="42">
        <v>0.0</v>
      </c>
      <c r="I353" s="42">
        <v>0.0</v>
      </c>
      <c r="J353" s="42">
        <v>0.0</v>
      </c>
      <c r="K353" s="42">
        <v>0.0</v>
      </c>
      <c r="L353" s="42">
        <v>0.0</v>
      </c>
      <c r="M353" s="42">
        <v>0.0</v>
      </c>
      <c r="N353" s="42">
        <v>0.0</v>
      </c>
      <c r="O353" s="42">
        <v>0.0</v>
      </c>
      <c r="P353" s="42">
        <v>0.0</v>
      </c>
      <c r="Q353" s="42">
        <v>0.0</v>
      </c>
    </row>
    <row r="354">
      <c r="A354" s="37" t="s">
        <v>98</v>
      </c>
      <c r="B354" s="36">
        <v>0.7354166666666667</v>
      </c>
      <c r="C354" s="37" t="s">
        <v>15</v>
      </c>
      <c r="D354" s="37" t="s">
        <v>87</v>
      </c>
      <c r="E354" s="37" t="s">
        <v>89</v>
      </c>
      <c r="F354" s="38">
        <v>0.0</v>
      </c>
      <c r="G354" s="38">
        <v>0.0</v>
      </c>
      <c r="H354" s="38">
        <v>0.0</v>
      </c>
      <c r="I354" s="38">
        <v>0.0</v>
      </c>
      <c r="J354" s="38">
        <v>0.0</v>
      </c>
      <c r="K354" s="38">
        <v>0.0</v>
      </c>
      <c r="L354" s="38">
        <v>0.0</v>
      </c>
      <c r="M354" s="38">
        <v>0.0</v>
      </c>
      <c r="N354" s="38">
        <v>0.0</v>
      </c>
      <c r="O354" s="38">
        <v>0.0</v>
      </c>
      <c r="P354" s="38">
        <v>0.0</v>
      </c>
      <c r="Q354" s="38">
        <v>0.0</v>
      </c>
    </row>
    <row r="355">
      <c r="A355" s="41" t="s">
        <v>98</v>
      </c>
      <c r="B355" s="40">
        <v>0.7354166666666667</v>
      </c>
      <c r="C355" s="41" t="s">
        <v>15</v>
      </c>
      <c r="D355" s="41" t="s">
        <v>87</v>
      </c>
      <c r="E355" s="41" t="s">
        <v>50</v>
      </c>
      <c r="F355" s="42">
        <v>0.0</v>
      </c>
      <c r="G355" s="42">
        <v>0.0</v>
      </c>
      <c r="H355" s="42">
        <v>0.0</v>
      </c>
      <c r="I355" s="42">
        <v>0.0</v>
      </c>
      <c r="J355" s="42">
        <v>0.0</v>
      </c>
      <c r="K355" s="42">
        <v>0.0</v>
      </c>
      <c r="L355" s="42">
        <v>0.0</v>
      </c>
      <c r="M355" s="42">
        <v>0.0</v>
      </c>
      <c r="N355" s="42">
        <v>0.0</v>
      </c>
      <c r="O355" s="42">
        <v>0.0</v>
      </c>
      <c r="P355" s="42">
        <v>0.0</v>
      </c>
      <c r="Q355" s="42">
        <v>0.0</v>
      </c>
    </row>
    <row r="356">
      <c r="A356" s="37" t="s">
        <v>98</v>
      </c>
      <c r="B356" s="36">
        <v>0.7354166666666667</v>
      </c>
      <c r="C356" s="37" t="s">
        <v>15</v>
      </c>
      <c r="D356" s="37" t="s">
        <v>87</v>
      </c>
      <c r="E356" s="37" t="s">
        <v>90</v>
      </c>
      <c r="F356" s="38">
        <v>0.0</v>
      </c>
      <c r="G356" s="38">
        <v>0.0</v>
      </c>
      <c r="H356" s="38">
        <v>0.0</v>
      </c>
      <c r="I356" s="38">
        <v>0.0</v>
      </c>
      <c r="J356" s="38">
        <v>0.0</v>
      </c>
      <c r="K356" s="38">
        <v>0.0</v>
      </c>
      <c r="L356" s="38">
        <v>0.0</v>
      </c>
      <c r="M356" s="38">
        <v>0.0</v>
      </c>
      <c r="N356" s="38">
        <v>0.0</v>
      </c>
      <c r="O356" s="38">
        <v>0.0</v>
      </c>
      <c r="P356" s="38">
        <v>0.0</v>
      </c>
      <c r="Q356" s="38">
        <v>0.0</v>
      </c>
    </row>
    <row r="357">
      <c r="A357" s="41" t="s">
        <v>98</v>
      </c>
      <c r="B357" s="40">
        <v>0.7354166666666667</v>
      </c>
      <c r="C357" s="41" t="s">
        <v>15</v>
      </c>
      <c r="D357" s="41" t="s">
        <v>87</v>
      </c>
      <c r="E357" s="41" t="s">
        <v>91</v>
      </c>
      <c r="F357" s="42">
        <v>0.0</v>
      </c>
      <c r="G357" s="42">
        <v>0.0</v>
      </c>
      <c r="H357" s="42">
        <v>0.0</v>
      </c>
      <c r="I357" s="42">
        <v>0.0</v>
      </c>
      <c r="J357" s="42">
        <v>0.0</v>
      </c>
      <c r="K357" s="42">
        <v>0.0</v>
      </c>
      <c r="L357" s="42">
        <v>0.0</v>
      </c>
      <c r="M357" s="42">
        <v>0.0</v>
      </c>
      <c r="N357" s="42">
        <v>0.0</v>
      </c>
      <c r="O357" s="42">
        <v>0.0</v>
      </c>
      <c r="P357" s="42">
        <v>0.0</v>
      </c>
      <c r="Q357" s="42">
        <v>0.0</v>
      </c>
    </row>
    <row r="358">
      <c r="A358" s="37" t="s">
        <v>98</v>
      </c>
      <c r="B358" s="36">
        <v>0.7354166666666667</v>
      </c>
      <c r="C358" s="37" t="s">
        <v>15</v>
      </c>
      <c r="D358" s="37" t="s">
        <v>87</v>
      </c>
      <c r="E358" s="37" t="s">
        <v>92</v>
      </c>
      <c r="F358" s="38">
        <v>0.0</v>
      </c>
      <c r="G358" s="38">
        <v>0.0</v>
      </c>
      <c r="H358" s="38">
        <v>0.0</v>
      </c>
      <c r="I358" s="38">
        <v>0.0</v>
      </c>
      <c r="J358" s="38">
        <v>0.0</v>
      </c>
      <c r="K358" s="38">
        <v>0.0</v>
      </c>
      <c r="L358" s="38">
        <v>0.0</v>
      </c>
      <c r="M358" s="38">
        <v>0.0</v>
      </c>
      <c r="N358" s="38">
        <v>0.0</v>
      </c>
      <c r="O358" s="38">
        <v>0.0</v>
      </c>
      <c r="P358" s="38">
        <v>0.0</v>
      </c>
      <c r="Q358" s="38">
        <v>0.0</v>
      </c>
    </row>
    <row r="359">
      <c r="A359" s="41" t="s">
        <v>98</v>
      </c>
      <c r="B359" s="40">
        <v>0.7354166666666667</v>
      </c>
      <c r="C359" s="41" t="s">
        <v>23</v>
      </c>
      <c r="D359" s="41" t="s">
        <v>93</v>
      </c>
      <c r="E359" s="41" t="s">
        <v>52</v>
      </c>
      <c r="F359" s="42">
        <v>1.0</v>
      </c>
      <c r="G359" s="42">
        <v>1.0</v>
      </c>
      <c r="H359" s="42">
        <v>0.0</v>
      </c>
      <c r="I359" s="42">
        <v>0.0</v>
      </c>
      <c r="J359" s="42">
        <v>0.0</v>
      </c>
      <c r="K359" s="42">
        <v>1.0</v>
      </c>
      <c r="L359" s="42">
        <v>1.0</v>
      </c>
      <c r="M359" s="42">
        <v>0.0</v>
      </c>
      <c r="N359" s="42">
        <v>0.0</v>
      </c>
      <c r="O359" s="42">
        <v>0.0</v>
      </c>
      <c r="P359" s="42">
        <v>1.0</v>
      </c>
      <c r="Q359" s="42">
        <v>1.0</v>
      </c>
    </row>
    <row r="360">
      <c r="A360" s="37" t="s">
        <v>98</v>
      </c>
      <c r="B360" s="36">
        <v>0.7354166666666667</v>
      </c>
      <c r="C360" s="37" t="s">
        <v>23</v>
      </c>
      <c r="D360" s="37" t="s">
        <v>93</v>
      </c>
      <c r="E360" s="37" t="s">
        <v>88</v>
      </c>
      <c r="F360" s="38">
        <v>0.0</v>
      </c>
      <c r="G360" s="38">
        <v>0.0</v>
      </c>
      <c r="H360" s="38">
        <v>0.0</v>
      </c>
      <c r="I360" s="38">
        <v>0.0</v>
      </c>
      <c r="J360" s="38">
        <v>0.0</v>
      </c>
      <c r="K360" s="38">
        <v>0.0</v>
      </c>
      <c r="L360" s="38">
        <v>0.0</v>
      </c>
      <c r="M360" s="38">
        <v>0.0</v>
      </c>
      <c r="N360" s="38">
        <v>0.0</v>
      </c>
      <c r="O360" s="38">
        <v>0.0</v>
      </c>
      <c r="P360" s="38">
        <v>0.0</v>
      </c>
      <c r="Q360" s="38">
        <v>0.0</v>
      </c>
    </row>
    <row r="361">
      <c r="A361" s="41" t="s">
        <v>98</v>
      </c>
      <c r="B361" s="40">
        <v>0.7354166666666667</v>
      </c>
      <c r="C361" s="41" t="s">
        <v>23</v>
      </c>
      <c r="D361" s="41" t="s">
        <v>93</v>
      </c>
      <c r="E361" s="41" t="s">
        <v>89</v>
      </c>
      <c r="F361" s="42">
        <v>0.0</v>
      </c>
      <c r="G361" s="42">
        <v>0.0</v>
      </c>
      <c r="H361" s="42">
        <v>0.0</v>
      </c>
      <c r="I361" s="42">
        <v>0.0</v>
      </c>
      <c r="J361" s="42">
        <v>0.0</v>
      </c>
      <c r="K361" s="42">
        <v>0.0</v>
      </c>
      <c r="L361" s="42">
        <v>0.0</v>
      </c>
      <c r="M361" s="42">
        <v>0.0</v>
      </c>
      <c r="N361" s="42">
        <v>0.0</v>
      </c>
      <c r="O361" s="42">
        <v>0.0</v>
      </c>
      <c r="P361" s="42">
        <v>0.0</v>
      </c>
      <c r="Q361" s="42">
        <v>0.0</v>
      </c>
    </row>
    <row r="362">
      <c r="A362" s="37" t="s">
        <v>98</v>
      </c>
      <c r="B362" s="36">
        <v>0.7354166666666667</v>
      </c>
      <c r="C362" s="37" t="s">
        <v>23</v>
      </c>
      <c r="D362" s="37" t="s">
        <v>93</v>
      </c>
      <c r="E362" s="37" t="s">
        <v>50</v>
      </c>
      <c r="F362" s="38">
        <v>0.0</v>
      </c>
      <c r="G362" s="38">
        <v>0.0</v>
      </c>
      <c r="H362" s="38">
        <v>0.0</v>
      </c>
      <c r="I362" s="38">
        <v>0.0</v>
      </c>
      <c r="J362" s="38">
        <v>0.0</v>
      </c>
      <c r="K362" s="38">
        <v>0.0</v>
      </c>
      <c r="L362" s="38">
        <v>0.0</v>
      </c>
      <c r="M362" s="38">
        <v>0.0</v>
      </c>
      <c r="N362" s="38">
        <v>0.0</v>
      </c>
      <c r="O362" s="38">
        <v>0.0</v>
      </c>
      <c r="P362" s="38">
        <v>0.0</v>
      </c>
      <c r="Q362" s="38">
        <v>0.0</v>
      </c>
    </row>
    <row r="363">
      <c r="A363" s="41" t="s">
        <v>98</v>
      </c>
      <c r="B363" s="40">
        <v>0.7354166666666667</v>
      </c>
      <c r="C363" s="41" t="s">
        <v>23</v>
      </c>
      <c r="D363" s="41" t="s">
        <v>93</v>
      </c>
      <c r="E363" s="41" t="s">
        <v>90</v>
      </c>
      <c r="F363" s="42">
        <v>0.0</v>
      </c>
      <c r="G363" s="42">
        <v>0.0</v>
      </c>
      <c r="H363" s="42">
        <v>0.0</v>
      </c>
      <c r="I363" s="42">
        <v>0.0</v>
      </c>
      <c r="J363" s="42">
        <v>0.0</v>
      </c>
      <c r="K363" s="42">
        <v>0.0</v>
      </c>
      <c r="L363" s="42">
        <v>0.0</v>
      </c>
      <c r="M363" s="42">
        <v>0.0</v>
      </c>
      <c r="N363" s="42">
        <v>0.0</v>
      </c>
      <c r="O363" s="42">
        <v>0.0</v>
      </c>
      <c r="P363" s="42">
        <v>0.0</v>
      </c>
      <c r="Q363" s="42">
        <v>0.0</v>
      </c>
    </row>
    <row r="364">
      <c r="A364" s="37" t="s">
        <v>98</v>
      </c>
      <c r="B364" s="36">
        <v>0.7354166666666667</v>
      </c>
      <c r="C364" s="37" t="s">
        <v>23</v>
      </c>
      <c r="D364" s="37" t="s">
        <v>93</v>
      </c>
      <c r="E364" s="37" t="s">
        <v>91</v>
      </c>
      <c r="F364" s="38">
        <v>0.0</v>
      </c>
      <c r="G364" s="38">
        <v>0.0</v>
      </c>
      <c r="H364" s="38">
        <v>0.0</v>
      </c>
      <c r="I364" s="38">
        <v>0.0</v>
      </c>
      <c r="J364" s="38">
        <v>0.0</v>
      </c>
      <c r="K364" s="38">
        <v>0.0</v>
      </c>
      <c r="L364" s="38">
        <v>0.0</v>
      </c>
      <c r="M364" s="38">
        <v>0.0</v>
      </c>
      <c r="N364" s="38">
        <v>0.0</v>
      </c>
      <c r="O364" s="38">
        <v>0.0</v>
      </c>
      <c r="P364" s="38">
        <v>0.0</v>
      </c>
      <c r="Q364" s="38">
        <v>0.0</v>
      </c>
    </row>
    <row r="365">
      <c r="A365" s="41" t="s">
        <v>98</v>
      </c>
      <c r="B365" s="40">
        <v>0.7354166666666667</v>
      </c>
      <c r="C365" s="41" t="s">
        <v>23</v>
      </c>
      <c r="D365" s="41" t="s">
        <v>93</v>
      </c>
      <c r="E365" s="41" t="s">
        <v>92</v>
      </c>
      <c r="F365" s="42">
        <v>0.0</v>
      </c>
      <c r="G365" s="42">
        <v>0.0</v>
      </c>
      <c r="H365" s="42">
        <v>0.0</v>
      </c>
      <c r="I365" s="42">
        <v>0.0</v>
      </c>
      <c r="J365" s="42">
        <v>0.0</v>
      </c>
      <c r="K365" s="42">
        <v>0.0</v>
      </c>
      <c r="L365" s="42">
        <v>0.0</v>
      </c>
      <c r="M365" s="42">
        <v>0.0</v>
      </c>
      <c r="N365" s="42">
        <v>0.0</v>
      </c>
      <c r="O365" s="42">
        <v>0.0</v>
      </c>
      <c r="P365" s="42">
        <v>0.0</v>
      </c>
      <c r="Q365" s="42">
        <v>0.0</v>
      </c>
    </row>
    <row r="366">
      <c r="A366" s="37" t="s">
        <v>98</v>
      </c>
      <c r="B366" s="36">
        <v>0.7354166666666667</v>
      </c>
      <c r="C366" s="37" t="s">
        <v>29</v>
      </c>
      <c r="D366" s="37" t="s">
        <v>94</v>
      </c>
      <c r="E366" s="37" t="s">
        <v>52</v>
      </c>
      <c r="F366" s="38">
        <v>6.0</v>
      </c>
      <c r="G366" s="38">
        <v>3.0</v>
      </c>
      <c r="H366" s="38">
        <v>0.0</v>
      </c>
      <c r="I366" s="38">
        <v>0.0</v>
      </c>
      <c r="J366" s="38">
        <v>0.0</v>
      </c>
      <c r="K366" s="38">
        <v>6.0</v>
      </c>
      <c r="L366" s="38">
        <v>6.0</v>
      </c>
      <c r="M366" s="38">
        <v>0.0</v>
      </c>
      <c r="N366" s="38">
        <v>0.0</v>
      </c>
      <c r="O366" s="38">
        <v>0.0</v>
      </c>
      <c r="P366" s="38">
        <v>3.0</v>
      </c>
      <c r="Q366" s="38">
        <v>3.0</v>
      </c>
    </row>
    <row r="367">
      <c r="A367" s="41" t="s">
        <v>98</v>
      </c>
      <c r="B367" s="40">
        <v>0.7354166666666667</v>
      </c>
      <c r="C367" s="41" t="s">
        <v>29</v>
      </c>
      <c r="D367" s="41" t="s">
        <v>94</v>
      </c>
      <c r="E367" s="41" t="s">
        <v>88</v>
      </c>
      <c r="F367" s="42">
        <v>0.0</v>
      </c>
      <c r="G367" s="42">
        <v>0.0</v>
      </c>
      <c r="H367" s="42">
        <v>0.0</v>
      </c>
      <c r="I367" s="42">
        <v>0.0</v>
      </c>
      <c r="J367" s="42">
        <v>0.0</v>
      </c>
      <c r="K367" s="42">
        <v>0.0</v>
      </c>
      <c r="L367" s="42">
        <v>0.0</v>
      </c>
      <c r="M367" s="42">
        <v>0.0</v>
      </c>
      <c r="N367" s="42">
        <v>0.0</v>
      </c>
      <c r="O367" s="42">
        <v>0.0</v>
      </c>
      <c r="P367" s="42">
        <v>0.0</v>
      </c>
      <c r="Q367" s="42">
        <v>0.0</v>
      </c>
    </row>
    <row r="368">
      <c r="A368" s="37" t="s">
        <v>98</v>
      </c>
      <c r="B368" s="36">
        <v>0.7354166666666667</v>
      </c>
      <c r="C368" s="37" t="s">
        <v>29</v>
      </c>
      <c r="D368" s="37" t="s">
        <v>94</v>
      </c>
      <c r="E368" s="37" t="s">
        <v>89</v>
      </c>
      <c r="F368" s="38">
        <v>1.0</v>
      </c>
      <c r="G368" s="38">
        <v>0.0</v>
      </c>
      <c r="H368" s="38">
        <v>0.0</v>
      </c>
      <c r="I368" s="38">
        <v>0.0</v>
      </c>
      <c r="J368" s="38">
        <v>0.0</v>
      </c>
      <c r="K368" s="38">
        <v>1.0</v>
      </c>
      <c r="L368" s="38">
        <v>1.0</v>
      </c>
      <c r="M368" s="38">
        <v>0.0</v>
      </c>
      <c r="N368" s="38">
        <v>0.0</v>
      </c>
      <c r="O368" s="38">
        <v>0.0</v>
      </c>
      <c r="P368" s="38">
        <v>0.0</v>
      </c>
      <c r="Q368" s="38">
        <v>0.0</v>
      </c>
    </row>
    <row r="369">
      <c r="A369" s="41" t="s">
        <v>98</v>
      </c>
      <c r="B369" s="40">
        <v>0.7354166666666667</v>
      </c>
      <c r="C369" s="41" t="s">
        <v>29</v>
      </c>
      <c r="D369" s="41" t="s">
        <v>94</v>
      </c>
      <c r="E369" s="41" t="s">
        <v>50</v>
      </c>
      <c r="F369" s="42">
        <v>0.0</v>
      </c>
      <c r="G369" s="42">
        <v>0.0</v>
      </c>
      <c r="H369" s="42">
        <v>0.0</v>
      </c>
      <c r="I369" s="42">
        <v>0.0</v>
      </c>
      <c r="J369" s="42">
        <v>0.0</v>
      </c>
      <c r="K369" s="42">
        <v>0.0</v>
      </c>
      <c r="L369" s="42">
        <v>0.0</v>
      </c>
      <c r="M369" s="42">
        <v>0.0</v>
      </c>
      <c r="N369" s="42">
        <v>0.0</v>
      </c>
      <c r="O369" s="42">
        <v>0.0</v>
      </c>
      <c r="P369" s="42">
        <v>0.0</v>
      </c>
      <c r="Q369" s="42">
        <v>0.0</v>
      </c>
    </row>
    <row r="370">
      <c r="A370" s="37" t="s">
        <v>98</v>
      </c>
      <c r="B370" s="36">
        <v>0.7354166666666667</v>
      </c>
      <c r="C370" s="37" t="s">
        <v>29</v>
      </c>
      <c r="D370" s="37" t="s">
        <v>94</v>
      </c>
      <c r="E370" s="37" t="s">
        <v>90</v>
      </c>
      <c r="F370" s="38">
        <v>0.0</v>
      </c>
      <c r="G370" s="38">
        <v>0.0</v>
      </c>
      <c r="H370" s="38">
        <v>0.0</v>
      </c>
      <c r="I370" s="38">
        <v>0.0</v>
      </c>
      <c r="J370" s="38">
        <v>0.0</v>
      </c>
      <c r="K370" s="38">
        <v>0.0</v>
      </c>
      <c r="L370" s="38">
        <v>0.0</v>
      </c>
      <c r="M370" s="38">
        <v>0.0</v>
      </c>
      <c r="N370" s="38">
        <v>0.0</v>
      </c>
      <c r="O370" s="38">
        <v>0.0</v>
      </c>
      <c r="P370" s="38">
        <v>0.0</v>
      </c>
      <c r="Q370" s="38">
        <v>0.0</v>
      </c>
    </row>
    <row r="371">
      <c r="A371" s="41" t="s">
        <v>98</v>
      </c>
      <c r="B371" s="40">
        <v>0.7354166666666667</v>
      </c>
      <c r="C371" s="41" t="s">
        <v>29</v>
      </c>
      <c r="D371" s="41" t="s">
        <v>94</v>
      </c>
      <c r="E371" s="41" t="s">
        <v>91</v>
      </c>
      <c r="F371" s="42">
        <v>0.0</v>
      </c>
      <c r="G371" s="42">
        <v>0.0</v>
      </c>
      <c r="H371" s="42">
        <v>0.0</v>
      </c>
      <c r="I371" s="42">
        <v>0.0</v>
      </c>
      <c r="J371" s="42">
        <v>0.0</v>
      </c>
      <c r="K371" s="42">
        <v>0.0</v>
      </c>
      <c r="L371" s="42">
        <v>0.0</v>
      </c>
      <c r="M371" s="42">
        <v>0.0</v>
      </c>
      <c r="N371" s="42">
        <v>0.0</v>
      </c>
      <c r="O371" s="42">
        <v>0.0</v>
      </c>
      <c r="P371" s="42">
        <v>0.0</v>
      </c>
      <c r="Q371" s="42">
        <v>0.0</v>
      </c>
    </row>
    <row r="372">
      <c r="A372" s="37" t="s">
        <v>98</v>
      </c>
      <c r="B372" s="36">
        <v>0.7354166666666667</v>
      </c>
      <c r="C372" s="37" t="s">
        <v>29</v>
      </c>
      <c r="D372" s="37" t="s">
        <v>94</v>
      </c>
      <c r="E372" s="37" t="s">
        <v>92</v>
      </c>
      <c r="F372" s="38">
        <v>0.0</v>
      </c>
      <c r="G372" s="38">
        <v>0.0</v>
      </c>
      <c r="H372" s="38">
        <v>0.0</v>
      </c>
      <c r="I372" s="38">
        <v>0.0</v>
      </c>
      <c r="J372" s="38">
        <v>0.0</v>
      </c>
      <c r="K372" s="38">
        <v>0.0</v>
      </c>
      <c r="L372" s="38">
        <v>0.0</v>
      </c>
      <c r="M372" s="38">
        <v>0.0</v>
      </c>
      <c r="N372" s="38">
        <v>0.0</v>
      </c>
      <c r="O372" s="38">
        <v>0.0</v>
      </c>
      <c r="P372" s="38">
        <v>0.0</v>
      </c>
      <c r="Q372" s="38">
        <v>0.0</v>
      </c>
    </row>
    <row r="373">
      <c r="A373" s="41" t="s">
        <v>98</v>
      </c>
      <c r="B373" s="40">
        <v>0.7354166666666667</v>
      </c>
      <c r="C373" s="41" t="s">
        <v>31</v>
      </c>
      <c r="D373" s="41" t="s">
        <v>95</v>
      </c>
      <c r="E373" s="41" t="s">
        <v>52</v>
      </c>
      <c r="F373" s="42">
        <v>0.0</v>
      </c>
      <c r="G373" s="42">
        <v>0.0</v>
      </c>
      <c r="H373" s="42">
        <v>0.0</v>
      </c>
      <c r="I373" s="42">
        <v>0.0</v>
      </c>
      <c r="J373" s="42">
        <v>0.0</v>
      </c>
      <c r="K373" s="42">
        <v>0.0</v>
      </c>
      <c r="L373" s="42">
        <v>0.0</v>
      </c>
      <c r="M373" s="42">
        <v>0.0</v>
      </c>
      <c r="N373" s="42">
        <v>0.0</v>
      </c>
      <c r="O373" s="42">
        <v>0.0</v>
      </c>
      <c r="P373" s="42">
        <v>0.0</v>
      </c>
      <c r="Q373" s="42">
        <v>0.0</v>
      </c>
    </row>
    <row r="374">
      <c r="A374" s="37" t="s">
        <v>98</v>
      </c>
      <c r="B374" s="36">
        <v>0.7354166666666667</v>
      </c>
      <c r="C374" s="37" t="s">
        <v>31</v>
      </c>
      <c r="D374" s="37" t="s">
        <v>95</v>
      </c>
      <c r="E374" s="37" t="s">
        <v>88</v>
      </c>
      <c r="F374" s="38">
        <v>0.0</v>
      </c>
      <c r="G374" s="38">
        <v>0.0</v>
      </c>
      <c r="H374" s="38">
        <v>0.0</v>
      </c>
      <c r="I374" s="38">
        <v>0.0</v>
      </c>
      <c r="J374" s="38">
        <v>0.0</v>
      </c>
      <c r="K374" s="38">
        <v>0.0</v>
      </c>
      <c r="L374" s="38">
        <v>0.0</v>
      </c>
      <c r="M374" s="38">
        <v>0.0</v>
      </c>
      <c r="N374" s="38">
        <v>0.0</v>
      </c>
      <c r="O374" s="38">
        <v>0.0</v>
      </c>
      <c r="P374" s="38">
        <v>0.0</v>
      </c>
      <c r="Q374" s="38">
        <v>0.0</v>
      </c>
    </row>
    <row r="375">
      <c r="A375" s="41" t="s">
        <v>98</v>
      </c>
      <c r="B375" s="40">
        <v>0.7354166666666667</v>
      </c>
      <c r="C375" s="41" t="s">
        <v>31</v>
      </c>
      <c r="D375" s="41" t="s">
        <v>95</v>
      </c>
      <c r="E375" s="41" t="s">
        <v>89</v>
      </c>
      <c r="F375" s="42">
        <v>0.0</v>
      </c>
      <c r="G375" s="42">
        <v>0.0</v>
      </c>
      <c r="H375" s="42">
        <v>0.0</v>
      </c>
      <c r="I375" s="42">
        <v>0.0</v>
      </c>
      <c r="J375" s="42">
        <v>0.0</v>
      </c>
      <c r="K375" s="42">
        <v>0.0</v>
      </c>
      <c r="L375" s="42">
        <v>0.0</v>
      </c>
      <c r="M375" s="42">
        <v>0.0</v>
      </c>
      <c r="N375" s="42">
        <v>0.0</v>
      </c>
      <c r="O375" s="42">
        <v>0.0</v>
      </c>
      <c r="P375" s="42">
        <v>0.0</v>
      </c>
      <c r="Q375" s="42">
        <v>0.0</v>
      </c>
    </row>
    <row r="376">
      <c r="A376" s="37" t="s">
        <v>98</v>
      </c>
      <c r="B376" s="36">
        <v>0.7354166666666667</v>
      </c>
      <c r="C376" s="37" t="s">
        <v>31</v>
      </c>
      <c r="D376" s="37" t="s">
        <v>95</v>
      </c>
      <c r="E376" s="37" t="s">
        <v>50</v>
      </c>
      <c r="F376" s="38">
        <v>1.0</v>
      </c>
      <c r="G376" s="38">
        <v>1.0</v>
      </c>
      <c r="H376" s="38">
        <v>0.0</v>
      </c>
      <c r="I376" s="38">
        <v>0.0</v>
      </c>
      <c r="J376" s="38">
        <v>0.0</v>
      </c>
      <c r="K376" s="38">
        <v>0.0</v>
      </c>
      <c r="L376" s="38">
        <v>1.0</v>
      </c>
      <c r="M376" s="38">
        <v>0.0</v>
      </c>
      <c r="N376" s="38">
        <v>0.0</v>
      </c>
      <c r="O376" s="38">
        <v>0.0</v>
      </c>
      <c r="P376" s="38">
        <v>0.0</v>
      </c>
      <c r="Q376" s="38">
        <v>1.0</v>
      </c>
    </row>
    <row r="377">
      <c r="A377" s="41" t="s">
        <v>98</v>
      </c>
      <c r="B377" s="40">
        <v>0.7354166666666667</v>
      </c>
      <c r="C377" s="41" t="s">
        <v>31</v>
      </c>
      <c r="D377" s="41" t="s">
        <v>95</v>
      </c>
      <c r="E377" s="41" t="s">
        <v>90</v>
      </c>
      <c r="F377" s="42">
        <v>0.0</v>
      </c>
      <c r="G377" s="42">
        <v>0.0</v>
      </c>
      <c r="H377" s="42">
        <v>0.0</v>
      </c>
      <c r="I377" s="42">
        <v>0.0</v>
      </c>
      <c r="J377" s="42">
        <v>0.0</v>
      </c>
      <c r="K377" s="42">
        <v>0.0</v>
      </c>
      <c r="L377" s="42">
        <v>0.0</v>
      </c>
      <c r="M377" s="42">
        <v>0.0</v>
      </c>
      <c r="N377" s="42">
        <v>0.0</v>
      </c>
      <c r="O377" s="42">
        <v>0.0</v>
      </c>
      <c r="P377" s="42">
        <v>0.0</v>
      </c>
      <c r="Q377" s="42">
        <v>0.0</v>
      </c>
    </row>
    <row r="378">
      <c r="A378" s="37" t="s">
        <v>98</v>
      </c>
      <c r="B378" s="36">
        <v>0.7354166666666667</v>
      </c>
      <c r="C378" s="37" t="s">
        <v>31</v>
      </c>
      <c r="D378" s="37" t="s">
        <v>95</v>
      </c>
      <c r="E378" s="37" t="s">
        <v>91</v>
      </c>
      <c r="F378" s="38">
        <v>0.0</v>
      </c>
      <c r="G378" s="38">
        <v>0.0</v>
      </c>
      <c r="H378" s="38">
        <v>0.0</v>
      </c>
      <c r="I378" s="38">
        <v>0.0</v>
      </c>
      <c r="J378" s="38">
        <v>0.0</v>
      </c>
      <c r="K378" s="38">
        <v>0.0</v>
      </c>
      <c r="L378" s="38">
        <v>0.0</v>
      </c>
      <c r="M378" s="38">
        <v>0.0</v>
      </c>
      <c r="N378" s="38">
        <v>0.0</v>
      </c>
      <c r="O378" s="38">
        <v>0.0</v>
      </c>
      <c r="P378" s="38">
        <v>0.0</v>
      </c>
      <c r="Q378" s="38">
        <v>0.0</v>
      </c>
    </row>
    <row r="379">
      <c r="A379" s="41" t="s">
        <v>98</v>
      </c>
      <c r="B379" s="40">
        <v>0.7354166666666667</v>
      </c>
      <c r="C379" s="41" t="s">
        <v>31</v>
      </c>
      <c r="D379" s="41" t="s">
        <v>95</v>
      </c>
      <c r="E379" s="41" t="s">
        <v>92</v>
      </c>
      <c r="F379" s="42">
        <v>0.0</v>
      </c>
      <c r="G379" s="42">
        <v>0.0</v>
      </c>
      <c r="H379" s="42">
        <v>0.0</v>
      </c>
      <c r="I379" s="42">
        <v>0.0</v>
      </c>
      <c r="J379" s="42">
        <v>0.0</v>
      </c>
      <c r="K379" s="42">
        <v>0.0</v>
      </c>
      <c r="L379" s="42">
        <v>0.0</v>
      </c>
      <c r="M379" s="42">
        <v>0.0</v>
      </c>
      <c r="N379" s="42">
        <v>0.0</v>
      </c>
      <c r="O379" s="42">
        <v>0.0</v>
      </c>
      <c r="P379" s="42">
        <v>0.0</v>
      </c>
      <c r="Q379" s="42">
        <v>0.0</v>
      </c>
    </row>
    <row r="380">
      <c r="A380" s="45" t="s">
        <v>98</v>
      </c>
      <c r="B380" s="44">
        <v>0.7354166666666667</v>
      </c>
      <c r="C380" s="45" t="s">
        <v>96</v>
      </c>
      <c r="D380" s="45" t="s">
        <v>75</v>
      </c>
      <c r="E380" s="45" t="s">
        <v>52</v>
      </c>
      <c r="F380" s="46">
        <v>7.0</v>
      </c>
      <c r="G380" s="46">
        <v>4.0</v>
      </c>
      <c r="H380" s="46">
        <v>0.0</v>
      </c>
      <c r="I380" s="46">
        <v>0.0</v>
      </c>
      <c r="J380" s="46">
        <v>0.0</v>
      </c>
      <c r="K380" s="46">
        <v>7.0</v>
      </c>
      <c r="L380" s="46">
        <v>7.0</v>
      </c>
      <c r="M380" s="46">
        <v>0.0</v>
      </c>
      <c r="N380" s="46">
        <v>0.0</v>
      </c>
      <c r="O380" s="46">
        <v>0.0</v>
      </c>
      <c r="P380" s="46">
        <v>4.0</v>
      </c>
      <c r="Q380" s="46">
        <v>4.0</v>
      </c>
    </row>
    <row r="381">
      <c r="A381" s="45" t="s">
        <v>98</v>
      </c>
      <c r="B381" s="44">
        <v>0.7354166666666667</v>
      </c>
      <c r="C381" s="45" t="s">
        <v>96</v>
      </c>
      <c r="D381" s="45" t="s">
        <v>75</v>
      </c>
      <c r="E381" s="45" t="s">
        <v>88</v>
      </c>
      <c r="F381" s="46">
        <v>0.0</v>
      </c>
      <c r="G381" s="46">
        <v>0.0</v>
      </c>
      <c r="H381" s="46">
        <v>0.0</v>
      </c>
      <c r="I381" s="46">
        <v>0.0</v>
      </c>
      <c r="J381" s="46">
        <v>0.0</v>
      </c>
      <c r="K381" s="46">
        <v>0.0</v>
      </c>
      <c r="L381" s="46">
        <v>0.0</v>
      </c>
      <c r="M381" s="46">
        <v>0.0</v>
      </c>
      <c r="N381" s="46">
        <v>0.0</v>
      </c>
      <c r="O381" s="46">
        <v>0.0</v>
      </c>
      <c r="P381" s="46">
        <v>0.0</v>
      </c>
      <c r="Q381" s="46">
        <v>0.0</v>
      </c>
    </row>
    <row r="382">
      <c r="A382" s="45" t="s">
        <v>98</v>
      </c>
      <c r="B382" s="44">
        <v>0.7354166666666667</v>
      </c>
      <c r="C382" s="45" t="s">
        <v>96</v>
      </c>
      <c r="D382" s="45" t="s">
        <v>75</v>
      </c>
      <c r="E382" s="45" t="s">
        <v>89</v>
      </c>
      <c r="F382" s="46">
        <v>1.0</v>
      </c>
      <c r="G382" s="46">
        <v>0.0</v>
      </c>
      <c r="H382" s="46">
        <v>0.0</v>
      </c>
      <c r="I382" s="46">
        <v>0.0</v>
      </c>
      <c r="J382" s="46">
        <v>0.0</v>
      </c>
      <c r="K382" s="46">
        <v>1.0</v>
      </c>
      <c r="L382" s="46">
        <v>1.0</v>
      </c>
      <c r="M382" s="46">
        <v>0.0</v>
      </c>
      <c r="N382" s="46">
        <v>0.0</v>
      </c>
      <c r="O382" s="46">
        <v>0.0</v>
      </c>
      <c r="P382" s="46">
        <v>0.0</v>
      </c>
      <c r="Q382" s="46">
        <v>0.0</v>
      </c>
    </row>
    <row r="383">
      <c r="A383" s="45" t="s">
        <v>98</v>
      </c>
      <c r="B383" s="44">
        <v>0.7354166666666667</v>
      </c>
      <c r="C383" s="45" t="s">
        <v>96</v>
      </c>
      <c r="D383" s="45" t="s">
        <v>75</v>
      </c>
      <c r="E383" s="45" t="s">
        <v>50</v>
      </c>
      <c r="F383" s="46">
        <v>1.0</v>
      </c>
      <c r="G383" s="46">
        <v>1.0</v>
      </c>
      <c r="H383" s="46">
        <v>0.0</v>
      </c>
      <c r="I383" s="46">
        <v>0.0</v>
      </c>
      <c r="J383" s="46">
        <v>0.0</v>
      </c>
      <c r="K383" s="46">
        <v>0.0</v>
      </c>
      <c r="L383" s="46">
        <v>1.0</v>
      </c>
      <c r="M383" s="46">
        <v>0.0</v>
      </c>
      <c r="N383" s="46">
        <v>0.0</v>
      </c>
      <c r="O383" s="46">
        <v>0.0</v>
      </c>
      <c r="P383" s="46">
        <v>0.0</v>
      </c>
      <c r="Q383" s="46">
        <v>1.0</v>
      </c>
    </row>
    <row r="384">
      <c r="A384" s="45" t="s">
        <v>98</v>
      </c>
      <c r="B384" s="44">
        <v>0.7354166666666667</v>
      </c>
      <c r="C384" s="45" t="s">
        <v>96</v>
      </c>
      <c r="D384" s="45" t="s">
        <v>75</v>
      </c>
      <c r="E384" s="45" t="s">
        <v>90</v>
      </c>
      <c r="F384" s="46">
        <v>0.0</v>
      </c>
      <c r="G384" s="46">
        <v>0.0</v>
      </c>
      <c r="H384" s="46">
        <v>0.0</v>
      </c>
      <c r="I384" s="46">
        <v>0.0</v>
      </c>
      <c r="J384" s="46">
        <v>0.0</v>
      </c>
      <c r="K384" s="46">
        <v>0.0</v>
      </c>
      <c r="L384" s="46">
        <v>0.0</v>
      </c>
      <c r="M384" s="46">
        <v>0.0</v>
      </c>
      <c r="N384" s="46">
        <v>0.0</v>
      </c>
      <c r="O384" s="46">
        <v>0.0</v>
      </c>
      <c r="P384" s="46">
        <v>0.0</v>
      </c>
      <c r="Q384" s="46">
        <v>0.0</v>
      </c>
    </row>
    <row r="385">
      <c r="A385" s="45" t="s">
        <v>98</v>
      </c>
      <c r="B385" s="44">
        <v>0.7354166666666667</v>
      </c>
      <c r="C385" s="45" t="s">
        <v>96</v>
      </c>
      <c r="D385" s="45" t="s">
        <v>75</v>
      </c>
      <c r="E385" s="45" t="s">
        <v>91</v>
      </c>
      <c r="F385" s="46">
        <v>0.0</v>
      </c>
      <c r="G385" s="46">
        <v>0.0</v>
      </c>
      <c r="H385" s="46">
        <v>0.0</v>
      </c>
      <c r="I385" s="46">
        <v>0.0</v>
      </c>
      <c r="J385" s="46">
        <v>0.0</v>
      </c>
      <c r="K385" s="46">
        <v>0.0</v>
      </c>
      <c r="L385" s="46">
        <v>0.0</v>
      </c>
      <c r="M385" s="46">
        <v>0.0</v>
      </c>
      <c r="N385" s="46">
        <v>0.0</v>
      </c>
      <c r="O385" s="46">
        <v>0.0</v>
      </c>
      <c r="P385" s="46">
        <v>0.0</v>
      </c>
      <c r="Q385" s="46">
        <v>0.0</v>
      </c>
    </row>
    <row r="386">
      <c r="A386" s="45" t="s">
        <v>98</v>
      </c>
      <c r="B386" s="44">
        <v>0.7354166666666667</v>
      </c>
      <c r="C386" s="45" t="s">
        <v>96</v>
      </c>
      <c r="D386" s="45" t="s">
        <v>75</v>
      </c>
      <c r="E386" s="45" t="s">
        <v>92</v>
      </c>
      <c r="F386" s="46">
        <v>0.0</v>
      </c>
      <c r="G386" s="46">
        <v>0.0</v>
      </c>
      <c r="H386" s="46">
        <v>0.0</v>
      </c>
      <c r="I386" s="46">
        <v>0.0</v>
      </c>
      <c r="J386" s="46">
        <v>0.0</v>
      </c>
      <c r="K386" s="46">
        <v>0.0</v>
      </c>
      <c r="L386" s="46">
        <v>0.0</v>
      </c>
      <c r="M386" s="46">
        <v>0.0</v>
      </c>
      <c r="N386" s="46">
        <v>0.0</v>
      </c>
      <c r="O386" s="46">
        <v>0.0</v>
      </c>
      <c r="P386" s="46">
        <v>0.0</v>
      </c>
      <c r="Q386" s="46">
        <v>0.0</v>
      </c>
    </row>
    <row r="387">
      <c r="A387" s="41" t="s">
        <v>99</v>
      </c>
      <c r="B387" s="40">
        <v>0.7354166666666667</v>
      </c>
      <c r="C387" s="41" t="s">
        <v>15</v>
      </c>
      <c r="D387" s="41" t="s">
        <v>87</v>
      </c>
      <c r="E387" s="41" t="s">
        <v>52</v>
      </c>
      <c r="F387" s="42">
        <v>0.0</v>
      </c>
      <c r="G387" s="42">
        <v>0.0</v>
      </c>
      <c r="H387" s="42">
        <v>0.0</v>
      </c>
      <c r="I387" s="42">
        <v>0.0</v>
      </c>
      <c r="J387" s="42">
        <v>0.0</v>
      </c>
      <c r="K387" s="42">
        <v>0.0</v>
      </c>
      <c r="L387" s="42">
        <v>0.0</v>
      </c>
      <c r="M387" s="42">
        <v>0.0</v>
      </c>
      <c r="N387" s="42">
        <v>0.0</v>
      </c>
      <c r="O387" s="42">
        <v>0.0</v>
      </c>
      <c r="P387" s="42">
        <v>0.0</v>
      </c>
      <c r="Q387" s="42">
        <v>0.0</v>
      </c>
    </row>
    <row r="388">
      <c r="A388" s="37" t="s">
        <v>99</v>
      </c>
      <c r="B388" s="36">
        <v>0.7354166666666667</v>
      </c>
      <c r="C388" s="37" t="s">
        <v>15</v>
      </c>
      <c r="D388" s="37" t="s">
        <v>87</v>
      </c>
      <c r="E388" s="37" t="s">
        <v>88</v>
      </c>
      <c r="F388" s="38">
        <v>0.0</v>
      </c>
      <c r="G388" s="38">
        <v>0.0</v>
      </c>
      <c r="H388" s="38">
        <v>0.0</v>
      </c>
      <c r="I388" s="38">
        <v>0.0</v>
      </c>
      <c r="J388" s="38">
        <v>0.0</v>
      </c>
      <c r="K388" s="38">
        <v>0.0</v>
      </c>
      <c r="L388" s="38">
        <v>0.0</v>
      </c>
      <c r="M388" s="38">
        <v>0.0</v>
      </c>
      <c r="N388" s="38">
        <v>0.0</v>
      </c>
      <c r="O388" s="38">
        <v>0.0</v>
      </c>
      <c r="P388" s="38">
        <v>0.0</v>
      </c>
      <c r="Q388" s="38">
        <v>0.0</v>
      </c>
    </row>
    <row r="389">
      <c r="A389" s="41" t="s">
        <v>99</v>
      </c>
      <c r="B389" s="40">
        <v>0.7354166666666667</v>
      </c>
      <c r="C389" s="41" t="s">
        <v>15</v>
      </c>
      <c r="D389" s="41" t="s">
        <v>87</v>
      </c>
      <c r="E389" s="41" t="s">
        <v>89</v>
      </c>
      <c r="F389" s="42">
        <v>0.0</v>
      </c>
      <c r="G389" s="42">
        <v>0.0</v>
      </c>
      <c r="H389" s="42">
        <v>0.0</v>
      </c>
      <c r="I389" s="42">
        <v>0.0</v>
      </c>
      <c r="J389" s="42">
        <v>0.0</v>
      </c>
      <c r="K389" s="42">
        <v>0.0</v>
      </c>
      <c r="L389" s="42">
        <v>0.0</v>
      </c>
      <c r="M389" s="42">
        <v>0.0</v>
      </c>
      <c r="N389" s="42">
        <v>0.0</v>
      </c>
      <c r="O389" s="42">
        <v>0.0</v>
      </c>
      <c r="P389" s="42">
        <v>0.0</v>
      </c>
      <c r="Q389" s="42">
        <v>0.0</v>
      </c>
    </row>
    <row r="390">
      <c r="A390" s="37" t="s">
        <v>99</v>
      </c>
      <c r="B390" s="36">
        <v>0.7354166666666667</v>
      </c>
      <c r="C390" s="37" t="s">
        <v>15</v>
      </c>
      <c r="D390" s="37" t="s">
        <v>87</v>
      </c>
      <c r="E390" s="37" t="s">
        <v>50</v>
      </c>
      <c r="F390" s="38">
        <v>0.0</v>
      </c>
      <c r="G390" s="38">
        <v>0.0</v>
      </c>
      <c r="H390" s="38">
        <v>0.0</v>
      </c>
      <c r="I390" s="38">
        <v>0.0</v>
      </c>
      <c r="J390" s="38">
        <v>0.0</v>
      </c>
      <c r="K390" s="38">
        <v>0.0</v>
      </c>
      <c r="L390" s="38">
        <v>0.0</v>
      </c>
      <c r="M390" s="38">
        <v>0.0</v>
      </c>
      <c r="N390" s="38">
        <v>0.0</v>
      </c>
      <c r="O390" s="38">
        <v>0.0</v>
      </c>
      <c r="P390" s="38">
        <v>0.0</v>
      </c>
      <c r="Q390" s="38">
        <v>0.0</v>
      </c>
    </row>
    <row r="391">
      <c r="A391" s="41" t="s">
        <v>99</v>
      </c>
      <c r="B391" s="40">
        <v>0.7354166666666667</v>
      </c>
      <c r="C391" s="41" t="s">
        <v>15</v>
      </c>
      <c r="D391" s="41" t="s">
        <v>87</v>
      </c>
      <c r="E391" s="41" t="s">
        <v>90</v>
      </c>
      <c r="F391" s="42">
        <v>0.0</v>
      </c>
      <c r="G391" s="42">
        <v>0.0</v>
      </c>
      <c r="H391" s="42">
        <v>0.0</v>
      </c>
      <c r="I391" s="42">
        <v>0.0</v>
      </c>
      <c r="J391" s="42">
        <v>0.0</v>
      </c>
      <c r="K391" s="42">
        <v>0.0</v>
      </c>
      <c r="L391" s="42">
        <v>0.0</v>
      </c>
      <c r="M391" s="42">
        <v>0.0</v>
      </c>
      <c r="N391" s="42">
        <v>0.0</v>
      </c>
      <c r="O391" s="42">
        <v>0.0</v>
      </c>
      <c r="P391" s="42">
        <v>0.0</v>
      </c>
      <c r="Q391" s="42">
        <v>0.0</v>
      </c>
    </row>
    <row r="392">
      <c r="A392" s="37" t="s">
        <v>99</v>
      </c>
      <c r="B392" s="36">
        <v>0.7354166666666667</v>
      </c>
      <c r="C392" s="37" t="s">
        <v>15</v>
      </c>
      <c r="D392" s="37" t="s">
        <v>87</v>
      </c>
      <c r="E392" s="37" t="s">
        <v>91</v>
      </c>
      <c r="F392" s="38">
        <v>0.0</v>
      </c>
      <c r="G392" s="38">
        <v>0.0</v>
      </c>
      <c r="H392" s="38">
        <v>0.0</v>
      </c>
      <c r="I392" s="38">
        <v>0.0</v>
      </c>
      <c r="J392" s="38">
        <v>0.0</v>
      </c>
      <c r="K392" s="38">
        <v>0.0</v>
      </c>
      <c r="L392" s="38">
        <v>0.0</v>
      </c>
      <c r="M392" s="38">
        <v>0.0</v>
      </c>
      <c r="N392" s="38">
        <v>0.0</v>
      </c>
      <c r="O392" s="38">
        <v>0.0</v>
      </c>
      <c r="P392" s="38">
        <v>0.0</v>
      </c>
      <c r="Q392" s="38">
        <v>0.0</v>
      </c>
    </row>
    <row r="393">
      <c r="A393" s="41" t="s">
        <v>99</v>
      </c>
      <c r="B393" s="40">
        <v>0.7354166666666667</v>
      </c>
      <c r="C393" s="41" t="s">
        <v>15</v>
      </c>
      <c r="D393" s="41" t="s">
        <v>87</v>
      </c>
      <c r="E393" s="41" t="s">
        <v>92</v>
      </c>
      <c r="F393" s="42">
        <v>0.0</v>
      </c>
      <c r="G393" s="42">
        <v>0.0</v>
      </c>
      <c r="H393" s="42">
        <v>0.0</v>
      </c>
      <c r="I393" s="42">
        <v>0.0</v>
      </c>
      <c r="J393" s="42">
        <v>0.0</v>
      </c>
      <c r="K393" s="42">
        <v>0.0</v>
      </c>
      <c r="L393" s="42">
        <v>0.0</v>
      </c>
      <c r="M393" s="42">
        <v>0.0</v>
      </c>
      <c r="N393" s="42">
        <v>0.0</v>
      </c>
      <c r="O393" s="42">
        <v>0.0</v>
      </c>
      <c r="P393" s="42">
        <v>0.0</v>
      </c>
      <c r="Q393" s="42">
        <v>0.0</v>
      </c>
    </row>
    <row r="394">
      <c r="A394" s="37" t="s">
        <v>99</v>
      </c>
      <c r="B394" s="36">
        <v>0.7354166666666667</v>
      </c>
      <c r="C394" s="37" t="s">
        <v>23</v>
      </c>
      <c r="D394" s="37" t="s">
        <v>93</v>
      </c>
      <c r="E394" s="37" t="s">
        <v>52</v>
      </c>
      <c r="F394" s="38">
        <v>1.0</v>
      </c>
      <c r="G394" s="38">
        <v>1.0</v>
      </c>
      <c r="H394" s="38">
        <v>0.0</v>
      </c>
      <c r="I394" s="38">
        <v>0.0</v>
      </c>
      <c r="J394" s="38">
        <v>0.0</v>
      </c>
      <c r="K394" s="38">
        <v>1.0</v>
      </c>
      <c r="L394" s="38">
        <v>1.0</v>
      </c>
      <c r="M394" s="38">
        <v>0.0</v>
      </c>
      <c r="N394" s="38">
        <v>0.0</v>
      </c>
      <c r="O394" s="38">
        <v>0.0</v>
      </c>
      <c r="P394" s="38">
        <v>1.0</v>
      </c>
      <c r="Q394" s="38">
        <v>1.0</v>
      </c>
    </row>
    <row r="395">
      <c r="A395" s="41" t="s">
        <v>99</v>
      </c>
      <c r="B395" s="40">
        <v>0.7354166666666667</v>
      </c>
      <c r="C395" s="41" t="s">
        <v>23</v>
      </c>
      <c r="D395" s="41" t="s">
        <v>93</v>
      </c>
      <c r="E395" s="41" t="s">
        <v>88</v>
      </c>
      <c r="F395" s="42">
        <v>0.0</v>
      </c>
      <c r="G395" s="42">
        <v>0.0</v>
      </c>
      <c r="H395" s="42">
        <v>0.0</v>
      </c>
      <c r="I395" s="42">
        <v>0.0</v>
      </c>
      <c r="J395" s="42">
        <v>0.0</v>
      </c>
      <c r="K395" s="42">
        <v>0.0</v>
      </c>
      <c r="L395" s="42">
        <v>0.0</v>
      </c>
      <c r="M395" s="42">
        <v>0.0</v>
      </c>
      <c r="N395" s="42">
        <v>0.0</v>
      </c>
      <c r="O395" s="42">
        <v>0.0</v>
      </c>
      <c r="P395" s="42">
        <v>0.0</v>
      </c>
      <c r="Q395" s="42">
        <v>0.0</v>
      </c>
    </row>
    <row r="396">
      <c r="A396" s="37" t="s">
        <v>99</v>
      </c>
      <c r="B396" s="36">
        <v>0.7354166666666667</v>
      </c>
      <c r="C396" s="37" t="s">
        <v>23</v>
      </c>
      <c r="D396" s="37" t="s">
        <v>93</v>
      </c>
      <c r="E396" s="37" t="s">
        <v>89</v>
      </c>
      <c r="F396" s="38">
        <v>0.0</v>
      </c>
      <c r="G396" s="38">
        <v>0.0</v>
      </c>
      <c r="H396" s="38">
        <v>0.0</v>
      </c>
      <c r="I396" s="38">
        <v>0.0</v>
      </c>
      <c r="J396" s="38">
        <v>0.0</v>
      </c>
      <c r="K396" s="38">
        <v>0.0</v>
      </c>
      <c r="L396" s="38">
        <v>0.0</v>
      </c>
      <c r="M396" s="38">
        <v>0.0</v>
      </c>
      <c r="N396" s="38">
        <v>0.0</v>
      </c>
      <c r="O396" s="38">
        <v>0.0</v>
      </c>
      <c r="P396" s="38">
        <v>0.0</v>
      </c>
      <c r="Q396" s="38">
        <v>0.0</v>
      </c>
    </row>
    <row r="397">
      <c r="A397" s="41" t="s">
        <v>99</v>
      </c>
      <c r="B397" s="40">
        <v>0.7354166666666667</v>
      </c>
      <c r="C397" s="41" t="s">
        <v>23</v>
      </c>
      <c r="D397" s="41" t="s">
        <v>93</v>
      </c>
      <c r="E397" s="41" t="s">
        <v>50</v>
      </c>
      <c r="F397" s="42">
        <v>0.0</v>
      </c>
      <c r="G397" s="42">
        <v>0.0</v>
      </c>
      <c r="H397" s="42">
        <v>0.0</v>
      </c>
      <c r="I397" s="42">
        <v>0.0</v>
      </c>
      <c r="J397" s="42">
        <v>0.0</v>
      </c>
      <c r="K397" s="42">
        <v>0.0</v>
      </c>
      <c r="L397" s="42">
        <v>0.0</v>
      </c>
      <c r="M397" s="42">
        <v>0.0</v>
      </c>
      <c r="N397" s="42">
        <v>0.0</v>
      </c>
      <c r="O397" s="42">
        <v>0.0</v>
      </c>
      <c r="P397" s="42">
        <v>0.0</v>
      </c>
      <c r="Q397" s="42">
        <v>0.0</v>
      </c>
    </row>
    <row r="398">
      <c r="A398" s="37" t="s">
        <v>99</v>
      </c>
      <c r="B398" s="36">
        <v>0.7354166666666667</v>
      </c>
      <c r="C398" s="37" t="s">
        <v>23</v>
      </c>
      <c r="D398" s="37" t="s">
        <v>93</v>
      </c>
      <c r="E398" s="37" t="s">
        <v>90</v>
      </c>
      <c r="F398" s="38">
        <v>0.0</v>
      </c>
      <c r="G398" s="38">
        <v>0.0</v>
      </c>
      <c r="H398" s="38">
        <v>0.0</v>
      </c>
      <c r="I398" s="38">
        <v>0.0</v>
      </c>
      <c r="J398" s="38">
        <v>0.0</v>
      </c>
      <c r="K398" s="38">
        <v>0.0</v>
      </c>
      <c r="L398" s="38">
        <v>0.0</v>
      </c>
      <c r="M398" s="38">
        <v>0.0</v>
      </c>
      <c r="N398" s="38">
        <v>0.0</v>
      </c>
      <c r="O398" s="38">
        <v>0.0</v>
      </c>
      <c r="P398" s="38">
        <v>0.0</v>
      </c>
      <c r="Q398" s="38">
        <v>0.0</v>
      </c>
    </row>
    <row r="399">
      <c r="A399" s="41" t="s">
        <v>99</v>
      </c>
      <c r="B399" s="40">
        <v>0.7354166666666667</v>
      </c>
      <c r="C399" s="41" t="s">
        <v>23</v>
      </c>
      <c r="D399" s="41" t="s">
        <v>93</v>
      </c>
      <c r="E399" s="41" t="s">
        <v>91</v>
      </c>
      <c r="F399" s="42">
        <v>0.0</v>
      </c>
      <c r="G399" s="42">
        <v>0.0</v>
      </c>
      <c r="H399" s="42">
        <v>0.0</v>
      </c>
      <c r="I399" s="42">
        <v>0.0</v>
      </c>
      <c r="J399" s="42">
        <v>0.0</v>
      </c>
      <c r="K399" s="42">
        <v>0.0</v>
      </c>
      <c r="L399" s="42">
        <v>0.0</v>
      </c>
      <c r="M399" s="42">
        <v>0.0</v>
      </c>
      <c r="N399" s="42">
        <v>0.0</v>
      </c>
      <c r="O399" s="42">
        <v>0.0</v>
      </c>
      <c r="P399" s="42">
        <v>0.0</v>
      </c>
      <c r="Q399" s="42">
        <v>0.0</v>
      </c>
    </row>
    <row r="400">
      <c r="A400" s="37" t="s">
        <v>99</v>
      </c>
      <c r="B400" s="36">
        <v>0.7354166666666667</v>
      </c>
      <c r="C400" s="37" t="s">
        <v>23</v>
      </c>
      <c r="D400" s="37" t="s">
        <v>93</v>
      </c>
      <c r="E400" s="37" t="s">
        <v>92</v>
      </c>
      <c r="F400" s="38">
        <v>0.0</v>
      </c>
      <c r="G400" s="38">
        <v>0.0</v>
      </c>
      <c r="H400" s="38">
        <v>0.0</v>
      </c>
      <c r="I400" s="38">
        <v>0.0</v>
      </c>
      <c r="J400" s="38">
        <v>0.0</v>
      </c>
      <c r="K400" s="38">
        <v>0.0</v>
      </c>
      <c r="L400" s="38">
        <v>0.0</v>
      </c>
      <c r="M400" s="38">
        <v>0.0</v>
      </c>
      <c r="N400" s="38">
        <v>0.0</v>
      </c>
      <c r="O400" s="38">
        <v>0.0</v>
      </c>
      <c r="P400" s="38">
        <v>0.0</v>
      </c>
      <c r="Q400" s="38">
        <v>0.0</v>
      </c>
    </row>
    <row r="401">
      <c r="A401" s="41" t="s">
        <v>99</v>
      </c>
      <c r="B401" s="40">
        <v>0.7354166666666667</v>
      </c>
      <c r="C401" s="41" t="s">
        <v>29</v>
      </c>
      <c r="D401" s="41" t="s">
        <v>94</v>
      </c>
      <c r="E401" s="41" t="s">
        <v>52</v>
      </c>
      <c r="F401" s="42">
        <v>6.0</v>
      </c>
      <c r="G401" s="42">
        <v>3.0</v>
      </c>
      <c r="H401" s="42">
        <v>0.0</v>
      </c>
      <c r="I401" s="42">
        <v>0.0</v>
      </c>
      <c r="J401" s="42">
        <v>0.0</v>
      </c>
      <c r="K401" s="42">
        <v>6.0</v>
      </c>
      <c r="L401" s="42">
        <v>6.0</v>
      </c>
      <c r="M401" s="42">
        <v>0.0</v>
      </c>
      <c r="N401" s="42">
        <v>0.0</v>
      </c>
      <c r="O401" s="42">
        <v>0.0</v>
      </c>
      <c r="P401" s="42">
        <v>3.0</v>
      </c>
      <c r="Q401" s="42">
        <v>3.0</v>
      </c>
    </row>
    <row r="402">
      <c r="A402" s="37" t="s">
        <v>99</v>
      </c>
      <c r="B402" s="36">
        <v>0.7354166666666667</v>
      </c>
      <c r="C402" s="37" t="s">
        <v>29</v>
      </c>
      <c r="D402" s="37" t="s">
        <v>94</v>
      </c>
      <c r="E402" s="37" t="s">
        <v>88</v>
      </c>
      <c r="F402" s="38">
        <v>0.0</v>
      </c>
      <c r="G402" s="38">
        <v>0.0</v>
      </c>
      <c r="H402" s="38">
        <v>0.0</v>
      </c>
      <c r="I402" s="38">
        <v>0.0</v>
      </c>
      <c r="J402" s="38">
        <v>0.0</v>
      </c>
      <c r="K402" s="38">
        <v>0.0</v>
      </c>
      <c r="L402" s="38">
        <v>0.0</v>
      </c>
      <c r="M402" s="38">
        <v>0.0</v>
      </c>
      <c r="N402" s="38">
        <v>0.0</v>
      </c>
      <c r="O402" s="38">
        <v>0.0</v>
      </c>
      <c r="P402" s="38">
        <v>0.0</v>
      </c>
      <c r="Q402" s="38">
        <v>0.0</v>
      </c>
    </row>
    <row r="403">
      <c r="A403" s="41" t="s">
        <v>99</v>
      </c>
      <c r="B403" s="40">
        <v>0.7354166666666667</v>
      </c>
      <c r="C403" s="41" t="s">
        <v>29</v>
      </c>
      <c r="D403" s="41" t="s">
        <v>94</v>
      </c>
      <c r="E403" s="41" t="s">
        <v>89</v>
      </c>
      <c r="F403" s="42">
        <v>1.0</v>
      </c>
      <c r="G403" s="42">
        <v>0.0</v>
      </c>
      <c r="H403" s="42">
        <v>0.0</v>
      </c>
      <c r="I403" s="42">
        <v>0.0</v>
      </c>
      <c r="J403" s="42">
        <v>0.0</v>
      </c>
      <c r="K403" s="42">
        <v>1.0</v>
      </c>
      <c r="L403" s="42">
        <v>1.0</v>
      </c>
      <c r="M403" s="42">
        <v>0.0</v>
      </c>
      <c r="N403" s="42">
        <v>0.0</v>
      </c>
      <c r="O403" s="42">
        <v>0.0</v>
      </c>
      <c r="P403" s="42">
        <v>0.0</v>
      </c>
      <c r="Q403" s="42">
        <v>0.0</v>
      </c>
    </row>
    <row r="404">
      <c r="A404" s="37" t="s">
        <v>99</v>
      </c>
      <c r="B404" s="36">
        <v>0.7354166666666667</v>
      </c>
      <c r="C404" s="37" t="s">
        <v>29</v>
      </c>
      <c r="D404" s="37" t="s">
        <v>94</v>
      </c>
      <c r="E404" s="37" t="s">
        <v>50</v>
      </c>
      <c r="F404" s="38">
        <v>0.0</v>
      </c>
      <c r="G404" s="38">
        <v>0.0</v>
      </c>
      <c r="H404" s="38">
        <v>0.0</v>
      </c>
      <c r="I404" s="38">
        <v>0.0</v>
      </c>
      <c r="J404" s="38">
        <v>0.0</v>
      </c>
      <c r="K404" s="38">
        <v>0.0</v>
      </c>
      <c r="L404" s="38">
        <v>0.0</v>
      </c>
      <c r="M404" s="38">
        <v>0.0</v>
      </c>
      <c r="N404" s="38">
        <v>0.0</v>
      </c>
      <c r="O404" s="38">
        <v>0.0</v>
      </c>
      <c r="P404" s="38">
        <v>0.0</v>
      </c>
      <c r="Q404" s="38">
        <v>0.0</v>
      </c>
    </row>
    <row r="405">
      <c r="A405" s="41" t="s">
        <v>99</v>
      </c>
      <c r="B405" s="40">
        <v>0.7354166666666667</v>
      </c>
      <c r="C405" s="41" t="s">
        <v>29</v>
      </c>
      <c r="D405" s="41" t="s">
        <v>94</v>
      </c>
      <c r="E405" s="41" t="s">
        <v>90</v>
      </c>
      <c r="F405" s="42">
        <v>0.0</v>
      </c>
      <c r="G405" s="42">
        <v>0.0</v>
      </c>
      <c r="H405" s="42">
        <v>0.0</v>
      </c>
      <c r="I405" s="42">
        <v>0.0</v>
      </c>
      <c r="J405" s="42">
        <v>0.0</v>
      </c>
      <c r="K405" s="42">
        <v>0.0</v>
      </c>
      <c r="L405" s="42">
        <v>0.0</v>
      </c>
      <c r="M405" s="42">
        <v>0.0</v>
      </c>
      <c r="N405" s="42">
        <v>0.0</v>
      </c>
      <c r="O405" s="42">
        <v>0.0</v>
      </c>
      <c r="P405" s="42">
        <v>0.0</v>
      </c>
      <c r="Q405" s="42">
        <v>0.0</v>
      </c>
    </row>
    <row r="406">
      <c r="A406" s="37" t="s">
        <v>99</v>
      </c>
      <c r="B406" s="36">
        <v>0.7354166666666667</v>
      </c>
      <c r="C406" s="37" t="s">
        <v>29</v>
      </c>
      <c r="D406" s="37" t="s">
        <v>94</v>
      </c>
      <c r="E406" s="37" t="s">
        <v>91</v>
      </c>
      <c r="F406" s="38">
        <v>0.0</v>
      </c>
      <c r="G406" s="38">
        <v>0.0</v>
      </c>
      <c r="H406" s="38">
        <v>0.0</v>
      </c>
      <c r="I406" s="38">
        <v>0.0</v>
      </c>
      <c r="J406" s="38">
        <v>0.0</v>
      </c>
      <c r="K406" s="38">
        <v>0.0</v>
      </c>
      <c r="L406" s="38">
        <v>0.0</v>
      </c>
      <c r="M406" s="38">
        <v>0.0</v>
      </c>
      <c r="N406" s="38">
        <v>0.0</v>
      </c>
      <c r="O406" s="38">
        <v>0.0</v>
      </c>
      <c r="P406" s="38">
        <v>0.0</v>
      </c>
      <c r="Q406" s="38">
        <v>0.0</v>
      </c>
    </row>
    <row r="407">
      <c r="A407" s="41" t="s">
        <v>99</v>
      </c>
      <c r="B407" s="40">
        <v>0.7354166666666667</v>
      </c>
      <c r="C407" s="41" t="s">
        <v>29</v>
      </c>
      <c r="D407" s="41" t="s">
        <v>94</v>
      </c>
      <c r="E407" s="41" t="s">
        <v>92</v>
      </c>
      <c r="F407" s="42">
        <v>0.0</v>
      </c>
      <c r="G407" s="42">
        <v>0.0</v>
      </c>
      <c r="H407" s="42">
        <v>0.0</v>
      </c>
      <c r="I407" s="42">
        <v>0.0</v>
      </c>
      <c r="J407" s="42">
        <v>0.0</v>
      </c>
      <c r="K407" s="42">
        <v>0.0</v>
      </c>
      <c r="L407" s="42">
        <v>0.0</v>
      </c>
      <c r="M407" s="42">
        <v>0.0</v>
      </c>
      <c r="N407" s="42">
        <v>0.0</v>
      </c>
      <c r="O407" s="42">
        <v>0.0</v>
      </c>
      <c r="P407" s="42">
        <v>0.0</v>
      </c>
      <c r="Q407" s="42">
        <v>0.0</v>
      </c>
    </row>
    <row r="408">
      <c r="A408" s="37" t="s">
        <v>99</v>
      </c>
      <c r="B408" s="36">
        <v>0.7354166666666667</v>
      </c>
      <c r="C408" s="37" t="s">
        <v>31</v>
      </c>
      <c r="D408" s="37" t="s">
        <v>95</v>
      </c>
      <c r="E408" s="37" t="s">
        <v>52</v>
      </c>
      <c r="F408" s="38">
        <v>0.0</v>
      </c>
      <c r="G408" s="38">
        <v>0.0</v>
      </c>
      <c r="H408" s="38">
        <v>0.0</v>
      </c>
      <c r="I408" s="38">
        <v>0.0</v>
      </c>
      <c r="J408" s="38">
        <v>0.0</v>
      </c>
      <c r="K408" s="38">
        <v>0.0</v>
      </c>
      <c r="L408" s="38">
        <v>0.0</v>
      </c>
      <c r="M408" s="38">
        <v>0.0</v>
      </c>
      <c r="N408" s="38">
        <v>0.0</v>
      </c>
      <c r="O408" s="38">
        <v>0.0</v>
      </c>
      <c r="P408" s="38">
        <v>0.0</v>
      </c>
      <c r="Q408" s="38">
        <v>0.0</v>
      </c>
    </row>
    <row r="409">
      <c r="A409" s="41" t="s">
        <v>99</v>
      </c>
      <c r="B409" s="40">
        <v>0.7354166666666667</v>
      </c>
      <c r="C409" s="41" t="s">
        <v>31</v>
      </c>
      <c r="D409" s="41" t="s">
        <v>95</v>
      </c>
      <c r="E409" s="41" t="s">
        <v>88</v>
      </c>
      <c r="F409" s="42">
        <v>0.0</v>
      </c>
      <c r="G409" s="42">
        <v>0.0</v>
      </c>
      <c r="H409" s="42">
        <v>0.0</v>
      </c>
      <c r="I409" s="42">
        <v>0.0</v>
      </c>
      <c r="J409" s="42">
        <v>0.0</v>
      </c>
      <c r="K409" s="42">
        <v>0.0</v>
      </c>
      <c r="L409" s="42">
        <v>0.0</v>
      </c>
      <c r="M409" s="42">
        <v>0.0</v>
      </c>
      <c r="N409" s="42">
        <v>0.0</v>
      </c>
      <c r="O409" s="42">
        <v>0.0</v>
      </c>
      <c r="P409" s="42">
        <v>0.0</v>
      </c>
      <c r="Q409" s="42">
        <v>0.0</v>
      </c>
    </row>
    <row r="410">
      <c r="A410" s="37" t="s">
        <v>99</v>
      </c>
      <c r="B410" s="36">
        <v>0.7354166666666667</v>
      </c>
      <c r="C410" s="37" t="s">
        <v>31</v>
      </c>
      <c r="D410" s="37" t="s">
        <v>95</v>
      </c>
      <c r="E410" s="37" t="s">
        <v>89</v>
      </c>
      <c r="F410" s="38">
        <v>0.0</v>
      </c>
      <c r="G410" s="38">
        <v>0.0</v>
      </c>
      <c r="H410" s="38">
        <v>0.0</v>
      </c>
      <c r="I410" s="38">
        <v>0.0</v>
      </c>
      <c r="J410" s="38">
        <v>0.0</v>
      </c>
      <c r="K410" s="38">
        <v>0.0</v>
      </c>
      <c r="L410" s="38">
        <v>0.0</v>
      </c>
      <c r="M410" s="38">
        <v>0.0</v>
      </c>
      <c r="N410" s="38">
        <v>0.0</v>
      </c>
      <c r="O410" s="38">
        <v>0.0</v>
      </c>
      <c r="P410" s="38">
        <v>0.0</v>
      </c>
      <c r="Q410" s="38">
        <v>0.0</v>
      </c>
    </row>
    <row r="411">
      <c r="A411" s="41" t="s">
        <v>99</v>
      </c>
      <c r="B411" s="40">
        <v>0.7354166666666667</v>
      </c>
      <c r="C411" s="41" t="s">
        <v>31</v>
      </c>
      <c r="D411" s="41" t="s">
        <v>95</v>
      </c>
      <c r="E411" s="41" t="s">
        <v>50</v>
      </c>
      <c r="F411" s="42">
        <v>1.0</v>
      </c>
      <c r="G411" s="42">
        <v>1.0</v>
      </c>
      <c r="H411" s="42">
        <v>0.0</v>
      </c>
      <c r="I411" s="42">
        <v>0.0</v>
      </c>
      <c r="J411" s="42">
        <v>0.0</v>
      </c>
      <c r="K411" s="42">
        <v>0.0</v>
      </c>
      <c r="L411" s="42">
        <v>1.0</v>
      </c>
      <c r="M411" s="42">
        <v>0.0</v>
      </c>
      <c r="N411" s="42">
        <v>0.0</v>
      </c>
      <c r="O411" s="42">
        <v>0.0</v>
      </c>
      <c r="P411" s="42">
        <v>0.0</v>
      </c>
      <c r="Q411" s="42">
        <v>1.0</v>
      </c>
    </row>
    <row r="412">
      <c r="A412" s="37" t="s">
        <v>99</v>
      </c>
      <c r="B412" s="36">
        <v>0.7354166666666667</v>
      </c>
      <c r="C412" s="37" t="s">
        <v>31</v>
      </c>
      <c r="D412" s="37" t="s">
        <v>95</v>
      </c>
      <c r="E412" s="37" t="s">
        <v>90</v>
      </c>
      <c r="F412" s="38">
        <v>0.0</v>
      </c>
      <c r="G412" s="38">
        <v>0.0</v>
      </c>
      <c r="H412" s="38">
        <v>0.0</v>
      </c>
      <c r="I412" s="38">
        <v>0.0</v>
      </c>
      <c r="J412" s="38">
        <v>0.0</v>
      </c>
      <c r="K412" s="38">
        <v>0.0</v>
      </c>
      <c r="L412" s="38">
        <v>0.0</v>
      </c>
      <c r="M412" s="38">
        <v>0.0</v>
      </c>
      <c r="N412" s="38">
        <v>0.0</v>
      </c>
      <c r="O412" s="38">
        <v>0.0</v>
      </c>
      <c r="P412" s="38">
        <v>0.0</v>
      </c>
      <c r="Q412" s="38">
        <v>0.0</v>
      </c>
    </row>
    <row r="413">
      <c r="A413" s="41" t="s">
        <v>99</v>
      </c>
      <c r="B413" s="40">
        <v>0.7354166666666667</v>
      </c>
      <c r="C413" s="41" t="s">
        <v>31</v>
      </c>
      <c r="D413" s="41" t="s">
        <v>95</v>
      </c>
      <c r="E413" s="41" t="s">
        <v>91</v>
      </c>
      <c r="F413" s="42">
        <v>0.0</v>
      </c>
      <c r="G413" s="42">
        <v>0.0</v>
      </c>
      <c r="H413" s="42">
        <v>0.0</v>
      </c>
      <c r="I413" s="42">
        <v>0.0</v>
      </c>
      <c r="J413" s="42">
        <v>0.0</v>
      </c>
      <c r="K413" s="42">
        <v>0.0</v>
      </c>
      <c r="L413" s="42">
        <v>0.0</v>
      </c>
      <c r="M413" s="42">
        <v>0.0</v>
      </c>
      <c r="N413" s="42">
        <v>0.0</v>
      </c>
      <c r="O413" s="42">
        <v>0.0</v>
      </c>
      <c r="P413" s="42">
        <v>0.0</v>
      </c>
      <c r="Q413" s="42">
        <v>0.0</v>
      </c>
    </row>
    <row r="414">
      <c r="A414" s="37" t="s">
        <v>99</v>
      </c>
      <c r="B414" s="36">
        <v>0.7354166666666667</v>
      </c>
      <c r="C414" s="37" t="s">
        <v>31</v>
      </c>
      <c r="D414" s="37" t="s">
        <v>95</v>
      </c>
      <c r="E414" s="37" t="s">
        <v>92</v>
      </c>
      <c r="F414" s="38">
        <v>0.0</v>
      </c>
      <c r="G414" s="38">
        <v>0.0</v>
      </c>
      <c r="H414" s="38">
        <v>0.0</v>
      </c>
      <c r="I414" s="38">
        <v>0.0</v>
      </c>
      <c r="J414" s="38">
        <v>0.0</v>
      </c>
      <c r="K414" s="38">
        <v>0.0</v>
      </c>
      <c r="L414" s="38">
        <v>0.0</v>
      </c>
      <c r="M414" s="38">
        <v>0.0</v>
      </c>
      <c r="N414" s="38">
        <v>0.0</v>
      </c>
      <c r="O414" s="38">
        <v>0.0</v>
      </c>
      <c r="P414" s="38">
        <v>0.0</v>
      </c>
      <c r="Q414" s="38">
        <v>0.0</v>
      </c>
    </row>
    <row r="415">
      <c r="A415" s="45" t="s">
        <v>99</v>
      </c>
      <c r="B415" s="44">
        <v>0.7354166666666667</v>
      </c>
      <c r="C415" s="45" t="s">
        <v>96</v>
      </c>
      <c r="D415" s="45" t="s">
        <v>75</v>
      </c>
      <c r="E415" s="45" t="s">
        <v>52</v>
      </c>
      <c r="F415" s="46">
        <v>7.0</v>
      </c>
      <c r="G415" s="46">
        <v>4.0</v>
      </c>
      <c r="H415" s="46">
        <v>0.0</v>
      </c>
      <c r="I415" s="46">
        <v>0.0</v>
      </c>
      <c r="J415" s="46">
        <v>0.0</v>
      </c>
      <c r="K415" s="46">
        <v>7.0</v>
      </c>
      <c r="L415" s="46">
        <v>7.0</v>
      </c>
      <c r="M415" s="46">
        <v>0.0</v>
      </c>
      <c r="N415" s="46">
        <v>0.0</v>
      </c>
      <c r="O415" s="46">
        <v>0.0</v>
      </c>
      <c r="P415" s="46">
        <v>4.0</v>
      </c>
      <c r="Q415" s="46">
        <v>4.0</v>
      </c>
    </row>
    <row r="416">
      <c r="A416" s="45" t="s">
        <v>99</v>
      </c>
      <c r="B416" s="44">
        <v>0.7354166666666667</v>
      </c>
      <c r="C416" s="45" t="s">
        <v>96</v>
      </c>
      <c r="D416" s="45" t="s">
        <v>75</v>
      </c>
      <c r="E416" s="45" t="s">
        <v>88</v>
      </c>
      <c r="F416" s="46">
        <v>0.0</v>
      </c>
      <c r="G416" s="46">
        <v>0.0</v>
      </c>
      <c r="H416" s="46">
        <v>0.0</v>
      </c>
      <c r="I416" s="46">
        <v>0.0</v>
      </c>
      <c r="J416" s="46">
        <v>0.0</v>
      </c>
      <c r="K416" s="46">
        <v>0.0</v>
      </c>
      <c r="L416" s="46">
        <v>0.0</v>
      </c>
      <c r="M416" s="46">
        <v>0.0</v>
      </c>
      <c r="N416" s="46">
        <v>0.0</v>
      </c>
      <c r="O416" s="46">
        <v>0.0</v>
      </c>
      <c r="P416" s="46">
        <v>0.0</v>
      </c>
      <c r="Q416" s="46">
        <v>0.0</v>
      </c>
    </row>
    <row r="417">
      <c r="A417" s="45" t="s">
        <v>99</v>
      </c>
      <c r="B417" s="44">
        <v>0.7354166666666667</v>
      </c>
      <c r="C417" s="45" t="s">
        <v>96</v>
      </c>
      <c r="D417" s="45" t="s">
        <v>75</v>
      </c>
      <c r="E417" s="45" t="s">
        <v>89</v>
      </c>
      <c r="F417" s="46">
        <v>1.0</v>
      </c>
      <c r="G417" s="46">
        <v>0.0</v>
      </c>
      <c r="H417" s="46">
        <v>0.0</v>
      </c>
      <c r="I417" s="46">
        <v>0.0</v>
      </c>
      <c r="J417" s="46">
        <v>0.0</v>
      </c>
      <c r="K417" s="46">
        <v>1.0</v>
      </c>
      <c r="L417" s="46">
        <v>1.0</v>
      </c>
      <c r="M417" s="46">
        <v>0.0</v>
      </c>
      <c r="N417" s="46">
        <v>0.0</v>
      </c>
      <c r="O417" s="46">
        <v>0.0</v>
      </c>
      <c r="P417" s="46">
        <v>0.0</v>
      </c>
      <c r="Q417" s="46">
        <v>0.0</v>
      </c>
    </row>
    <row r="418">
      <c r="A418" s="45" t="s">
        <v>99</v>
      </c>
      <c r="B418" s="44">
        <v>0.7354166666666667</v>
      </c>
      <c r="C418" s="45" t="s">
        <v>96</v>
      </c>
      <c r="D418" s="45" t="s">
        <v>75</v>
      </c>
      <c r="E418" s="45" t="s">
        <v>50</v>
      </c>
      <c r="F418" s="46">
        <v>1.0</v>
      </c>
      <c r="G418" s="46">
        <v>1.0</v>
      </c>
      <c r="H418" s="46">
        <v>0.0</v>
      </c>
      <c r="I418" s="46">
        <v>0.0</v>
      </c>
      <c r="J418" s="46">
        <v>0.0</v>
      </c>
      <c r="K418" s="46">
        <v>0.0</v>
      </c>
      <c r="L418" s="46">
        <v>1.0</v>
      </c>
      <c r="M418" s="46">
        <v>0.0</v>
      </c>
      <c r="N418" s="46">
        <v>0.0</v>
      </c>
      <c r="O418" s="46">
        <v>0.0</v>
      </c>
      <c r="P418" s="46">
        <v>0.0</v>
      </c>
      <c r="Q418" s="46">
        <v>1.0</v>
      </c>
    </row>
    <row r="419">
      <c r="A419" s="45" t="s">
        <v>99</v>
      </c>
      <c r="B419" s="44">
        <v>0.7354166666666667</v>
      </c>
      <c r="C419" s="45" t="s">
        <v>96</v>
      </c>
      <c r="D419" s="45" t="s">
        <v>75</v>
      </c>
      <c r="E419" s="45" t="s">
        <v>90</v>
      </c>
      <c r="F419" s="46">
        <v>0.0</v>
      </c>
      <c r="G419" s="46">
        <v>0.0</v>
      </c>
      <c r="H419" s="46">
        <v>0.0</v>
      </c>
      <c r="I419" s="46">
        <v>0.0</v>
      </c>
      <c r="J419" s="46">
        <v>0.0</v>
      </c>
      <c r="K419" s="46">
        <v>0.0</v>
      </c>
      <c r="L419" s="46">
        <v>0.0</v>
      </c>
      <c r="M419" s="46">
        <v>0.0</v>
      </c>
      <c r="N419" s="46">
        <v>0.0</v>
      </c>
      <c r="O419" s="46">
        <v>0.0</v>
      </c>
      <c r="P419" s="46">
        <v>0.0</v>
      </c>
      <c r="Q419" s="46">
        <v>0.0</v>
      </c>
    </row>
    <row r="420">
      <c r="A420" s="45" t="s">
        <v>99</v>
      </c>
      <c r="B420" s="44">
        <v>0.7354166666666667</v>
      </c>
      <c r="C420" s="45" t="s">
        <v>96</v>
      </c>
      <c r="D420" s="45" t="s">
        <v>75</v>
      </c>
      <c r="E420" s="45" t="s">
        <v>91</v>
      </c>
      <c r="F420" s="46">
        <v>0.0</v>
      </c>
      <c r="G420" s="46">
        <v>0.0</v>
      </c>
      <c r="H420" s="46">
        <v>0.0</v>
      </c>
      <c r="I420" s="46">
        <v>0.0</v>
      </c>
      <c r="J420" s="46">
        <v>0.0</v>
      </c>
      <c r="K420" s="46">
        <v>0.0</v>
      </c>
      <c r="L420" s="46">
        <v>0.0</v>
      </c>
      <c r="M420" s="46">
        <v>0.0</v>
      </c>
      <c r="N420" s="46">
        <v>0.0</v>
      </c>
      <c r="O420" s="46">
        <v>0.0</v>
      </c>
      <c r="P420" s="46">
        <v>0.0</v>
      </c>
      <c r="Q420" s="46">
        <v>0.0</v>
      </c>
    </row>
    <row r="421">
      <c r="A421" s="45" t="s">
        <v>99</v>
      </c>
      <c r="B421" s="44">
        <v>0.7354166666666667</v>
      </c>
      <c r="C421" s="45" t="s">
        <v>96</v>
      </c>
      <c r="D421" s="45" t="s">
        <v>75</v>
      </c>
      <c r="E421" s="45" t="s">
        <v>92</v>
      </c>
      <c r="F421" s="46">
        <v>0.0</v>
      </c>
      <c r="G421" s="46">
        <v>0.0</v>
      </c>
      <c r="H421" s="46">
        <v>0.0</v>
      </c>
      <c r="I421" s="46">
        <v>0.0</v>
      </c>
      <c r="J421" s="46">
        <v>0.0</v>
      </c>
      <c r="K421" s="46">
        <v>0.0</v>
      </c>
      <c r="L421" s="46">
        <v>0.0</v>
      </c>
      <c r="M421" s="46">
        <v>0.0</v>
      </c>
      <c r="N421" s="46">
        <v>0.0</v>
      </c>
      <c r="O421" s="46">
        <v>0.0</v>
      </c>
      <c r="P421" s="46">
        <v>0.0</v>
      </c>
      <c r="Q421" s="46">
        <v>0.0</v>
      </c>
    </row>
    <row r="422">
      <c r="A422" s="37" t="s">
        <v>100</v>
      </c>
      <c r="B422" s="36">
        <v>0.7354166666666667</v>
      </c>
      <c r="C422" s="37" t="s">
        <v>15</v>
      </c>
      <c r="D422" s="37" t="s">
        <v>87</v>
      </c>
      <c r="E422" s="37" t="s">
        <v>52</v>
      </c>
      <c r="F422" s="38">
        <v>0.0</v>
      </c>
      <c r="G422" s="38">
        <v>0.0</v>
      </c>
      <c r="H422" s="38">
        <v>0.0</v>
      </c>
      <c r="I422" s="38">
        <v>0.0</v>
      </c>
      <c r="J422" s="38">
        <v>0.0</v>
      </c>
      <c r="K422" s="38">
        <v>0.0</v>
      </c>
      <c r="L422" s="38">
        <v>0.0</v>
      </c>
      <c r="M422" s="38">
        <v>0.0</v>
      </c>
      <c r="N422" s="38">
        <v>0.0</v>
      </c>
      <c r="O422" s="38">
        <v>0.0</v>
      </c>
      <c r="P422" s="38">
        <v>0.0</v>
      </c>
      <c r="Q422" s="38">
        <v>0.0</v>
      </c>
    </row>
    <row r="423">
      <c r="A423" s="41" t="s">
        <v>100</v>
      </c>
      <c r="B423" s="40">
        <v>0.7354166666666667</v>
      </c>
      <c r="C423" s="41" t="s">
        <v>15</v>
      </c>
      <c r="D423" s="41" t="s">
        <v>87</v>
      </c>
      <c r="E423" s="41" t="s">
        <v>88</v>
      </c>
      <c r="F423" s="42">
        <v>0.0</v>
      </c>
      <c r="G423" s="42">
        <v>0.0</v>
      </c>
      <c r="H423" s="42">
        <v>0.0</v>
      </c>
      <c r="I423" s="42">
        <v>0.0</v>
      </c>
      <c r="J423" s="42">
        <v>0.0</v>
      </c>
      <c r="K423" s="42">
        <v>0.0</v>
      </c>
      <c r="L423" s="42">
        <v>0.0</v>
      </c>
      <c r="M423" s="42">
        <v>0.0</v>
      </c>
      <c r="N423" s="42">
        <v>0.0</v>
      </c>
      <c r="O423" s="42">
        <v>0.0</v>
      </c>
      <c r="P423" s="42">
        <v>0.0</v>
      </c>
      <c r="Q423" s="42">
        <v>0.0</v>
      </c>
    </row>
    <row r="424">
      <c r="A424" s="37" t="s">
        <v>100</v>
      </c>
      <c r="B424" s="36">
        <v>0.7354166666666667</v>
      </c>
      <c r="C424" s="37" t="s">
        <v>15</v>
      </c>
      <c r="D424" s="37" t="s">
        <v>87</v>
      </c>
      <c r="E424" s="37" t="s">
        <v>89</v>
      </c>
      <c r="F424" s="38">
        <v>0.0</v>
      </c>
      <c r="G424" s="38">
        <v>0.0</v>
      </c>
      <c r="H424" s="38">
        <v>0.0</v>
      </c>
      <c r="I424" s="38">
        <v>0.0</v>
      </c>
      <c r="J424" s="38">
        <v>0.0</v>
      </c>
      <c r="K424" s="38">
        <v>0.0</v>
      </c>
      <c r="L424" s="38">
        <v>0.0</v>
      </c>
      <c r="M424" s="38">
        <v>0.0</v>
      </c>
      <c r="N424" s="38">
        <v>0.0</v>
      </c>
      <c r="O424" s="38">
        <v>0.0</v>
      </c>
      <c r="P424" s="38">
        <v>0.0</v>
      </c>
      <c r="Q424" s="38">
        <v>0.0</v>
      </c>
    </row>
    <row r="425">
      <c r="A425" s="41" t="s">
        <v>100</v>
      </c>
      <c r="B425" s="40">
        <v>0.7354166666666667</v>
      </c>
      <c r="C425" s="41" t="s">
        <v>15</v>
      </c>
      <c r="D425" s="41" t="s">
        <v>87</v>
      </c>
      <c r="E425" s="41" t="s">
        <v>50</v>
      </c>
      <c r="F425" s="42">
        <v>0.0</v>
      </c>
      <c r="G425" s="42">
        <v>0.0</v>
      </c>
      <c r="H425" s="42">
        <v>0.0</v>
      </c>
      <c r="I425" s="42">
        <v>0.0</v>
      </c>
      <c r="J425" s="42">
        <v>0.0</v>
      </c>
      <c r="K425" s="42">
        <v>0.0</v>
      </c>
      <c r="L425" s="42">
        <v>0.0</v>
      </c>
      <c r="M425" s="42">
        <v>0.0</v>
      </c>
      <c r="N425" s="42">
        <v>0.0</v>
      </c>
      <c r="O425" s="42">
        <v>0.0</v>
      </c>
      <c r="P425" s="42">
        <v>0.0</v>
      </c>
      <c r="Q425" s="42">
        <v>0.0</v>
      </c>
    </row>
    <row r="426">
      <c r="A426" s="37" t="s">
        <v>100</v>
      </c>
      <c r="B426" s="36">
        <v>0.7354166666666667</v>
      </c>
      <c r="C426" s="37" t="s">
        <v>15</v>
      </c>
      <c r="D426" s="37" t="s">
        <v>87</v>
      </c>
      <c r="E426" s="37" t="s">
        <v>90</v>
      </c>
      <c r="F426" s="38">
        <v>0.0</v>
      </c>
      <c r="G426" s="38">
        <v>0.0</v>
      </c>
      <c r="H426" s="38">
        <v>0.0</v>
      </c>
      <c r="I426" s="38">
        <v>0.0</v>
      </c>
      <c r="J426" s="38">
        <v>0.0</v>
      </c>
      <c r="K426" s="38">
        <v>0.0</v>
      </c>
      <c r="L426" s="38">
        <v>0.0</v>
      </c>
      <c r="M426" s="38">
        <v>0.0</v>
      </c>
      <c r="N426" s="38">
        <v>0.0</v>
      </c>
      <c r="O426" s="38">
        <v>0.0</v>
      </c>
      <c r="P426" s="38">
        <v>0.0</v>
      </c>
      <c r="Q426" s="38">
        <v>0.0</v>
      </c>
    </row>
    <row r="427">
      <c r="A427" s="41" t="s">
        <v>100</v>
      </c>
      <c r="B427" s="40">
        <v>0.7354166666666667</v>
      </c>
      <c r="C427" s="41" t="s">
        <v>15</v>
      </c>
      <c r="D427" s="41" t="s">
        <v>87</v>
      </c>
      <c r="E427" s="41" t="s">
        <v>91</v>
      </c>
      <c r="F427" s="42">
        <v>0.0</v>
      </c>
      <c r="G427" s="42">
        <v>0.0</v>
      </c>
      <c r="H427" s="42">
        <v>0.0</v>
      </c>
      <c r="I427" s="42">
        <v>0.0</v>
      </c>
      <c r="J427" s="42">
        <v>0.0</v>
      </c>
      <c r="K427" s="42">
        <v>0.0</v>
      </c>
      <c r="L427" s="42">
        <v>0.0</v>
      </c>
      <c r="M427" s="42">
        <v>0.0</v>
      </c>
      <c r="N427" s="42">
        <v>0.0</v>
      </c>
      <c r="O427" s="42">
        <v>0.0</v>
      </c>
      <c r="P427" s="42">
        <v>0.0</v>
      </c>
      <c r="Q427" s="42">
        <v>0.0</v>
      </c>
    </row>
    <row r="428">
      <c r="A428" s="37" t="s">
        <v>100</v>
      </c>
      <c r="B428" s="36">
        <v>0.7354166666666667</v>
      </c>
      <c r="C428" s="37" t="s">
        <v>15</v>
      </c>
      <c r="D428" s="37" t="s">
        <v>87</v>
      </c>
      <c r="E428" s="37" t="s">
        <v>92</v>
      </c>
      <c r="F428" s="38">
        <v>0.0</v>
      </c>
      <c r="G428" s="38">
        <v>0.0</v>
      </c>
      <c r="H428" s="38">
        <v>0.0</v>
      </c>
      <c r="I428" s="38">
        <v>0.0</v>
      </c>
      <c r="J428" s="38">
        <v>0.0</v>
      </c>
      <c r="K428" s="38">
        <v>0.0</v>
      </c>
      <c r="L428" s="38">
        <v>0.0</v>
      </c>
      <c r="M428" s="38">
        <v>0.0</v>
      </c>
      <c r="N428" s="38">
        <v>0.0</v>
      </c>
      <c r="O428" s="38">
        <v>0.0</v>
      </c>
      <c r="P428" s="38">
        <v>0.0</v>
      </c>
      <c r="Q428" s="38">
        <v>0.0</v>
      </c>
    </row>
    <row r="429">
      <c r="A429" s="41" t="s">
        <v>100</v>
      </c>
      <c r="B429" s="40">
        <v>0.7354166666666667</v>
      </c>
      <c r="C429" s="41" t="s">
        <v>23</v>
      </c>
      <c r="D429" s="41" t="s">
        <v>93</v>
      </c>
      <c r="E429" s="41" t="s">
        <v>52</v>
      </c>
      <c r="F429" s="42">
        <v>1.0</v>
      </c>
      <c r="G429" s="42">
        <v>1.0</v>
      </c>
      <c r="H429" s="42">
        <v>0.0</v>
      </c>
      <c r="I429" s="42">
        <v>0.0</v>
      </c>
      <c r="J429" s="42">
        <v>0.0</v>
      </c>
      <c r="K429" s="42">
        <v>1.0</v>
      </c>
      <c r="L429" s="42">
        <v>1.0</v>
      </c>
      <c r="M429" s="42">
        <v>0.0</v>
      </c>
      <c r="N429" s="42">
        <v>0.0</v>
      </c>
      <c r="O429" s="42">
        <v>0.0</v>
      </c>
      <c r="P429" s="42">
        <v>1.0</v>
      </c>
      <c r="Q429" s="42">
        <v>1.0</v>
      </c>
    </row>
    <row r="430">
      <c r="A430" s="37" t="s">
        <v>100</v>
      </c>
      <c r="B430" s="36">
        <v>0.7354166666666667</v>
      </c>
      <c r="C430" s="37" t="s">
        <v>23</v>
      </c>
      <c r="D430" s="37" t="s">
        <v>93</v>
      </c>
      <c r="E430" s="37" t="s">
        <v>88</v>
      </c>
      <c r="F430" s="38">
        <v>0.0</v>
      </c>
      <c r="G430" s="38">
        <v>0.0</v>
      </c>
      <c r="H430" s="38">
        <v>0.0</v>
      </c>
      <c r="I430" s="38">
        <v>0.0</v>
      </c>
      <c r="J430" s="38">
        <v>0.0</v>
      </c>
      <c r="K430" s="38">
        <v>0.0</v>
      </c>
      <c r="L430" s="38">
        <v>0.0</v>
      </c>
      <c r="M430" s="38">
        <v>0.0</v>
      </c>
      <c r="N430" s="38">
        <v>0.0</v>
      </c>
      <c r="O430" s="38">
        <v>0.0</v>
      </c>
      <c r="P430" s="38">
        <v>0.0</v>
      </c>
      <c r="Q430" s="38">
        <v>0.0</v>
      </c>
    </row>
    <row r="431">
      <c r="A431" s="41" t="s">
        <v>100</v>
      </c>
      <c r="B431" s="40">
        <v>0.7354166666666667</v>
      </c>
      <c r="C431" s="41" t="s">
        <v>23</v>
      </c>
      <c r="D431" s="41" t="s">
        <v>93</v>
      </c>
      <c r="E431" s="41" t="s">
        <v>89</v>
      </c>
      <c r="F431" s="42">
        <v>0.0</v>
      </c>
      <c r="G431" s="42">
        <v>0.0</v>
      </c>
      <c r="H431" s="42">
        <v>0.0</v>
      </c>
      <c r="I431" s="42">
        <v>0.0</v>
      </c>
      <c r="J431" s="42">
        <v>0.0</v>
      </c>
      <c r="K431" s="42">
        <v>0.0</v>
      </c>
      <c r="L431" s="42">
        <v>0.0</v>
      </c>
      <c r="M431" s="42">
        <v>0.0</v>
      </c>
      <c r="N431" s="42">
        <v>0.0</v>
      </c>
      <c r="O431" s="42">
        <v>0.0</v>
      </c>
      <c r="P431" s="42">
        <v>0.0</v>
      </c>
      <c r="Q431" s="42">
        <v>0.0</v>
      </c>
    </row>
    <row r="432">
      <c r="A432" s="37" t="s">
        <v>100</v>
      </c>
      <c r="B432" s="36">
        <v>0.7354166666666667</v>
      </c>
      <c r="C432" s="37" t="s">
        <v>23</v>
      </c>
      <c r="D432" s="37" t="s">
        <v>93</v>
      </c>
      <c r="E432" s="37" t="s">
        <v>50</v>
      </c>
      <c r="F432" s="38">
        <v>0.0</v>
      </c>
      <c r="G432" s="38">
        <v>0.0</v>
      </c>
      <c r="H432" s="38">
        <v>0.0</v>
      </c>
      <c r="I432" s="38">
        <v>0.0</v>
      </c>
      <c r="J432" s="38">
        <v>0.0</v>
      </c>
      <c r="K432" s="38">
        <v>0.0</v>
      </c>
      <c r="L432" s="38">
        <v>0.0</v>
      </c>
      <c r="M432" s="38">
        <v>0.0</v>
      </c>
      <c r="N432" s="38">
        <v>0.0</v>
      </c>
      <c r="O432" s="38">
        <v>0.0</v>
      </c>
      <c r="P432" s="38">
        <v>0.0</v>
      </c>
      <c r="Q432" s="38">
        <v>0.0</v>
      </c>
    </row>
    <row r="433">
      <c r="A433" s="41" t="s">
        <v>100</v>
      </c>
      <c r="B433" s="40">
        <v>0.7354166666666667</v>
      </c>
      <c r="C433" s="41" t="s">
        <v>23</v>
      </c>
      <c r="D433" s="41" t="s">
        <v>93</v>
      </c>
      <c r="E433" s="41" t="s">
        <v>90</v>
      </c>
      <c r="F433" s="42">
        <v>0.0</v>
      </c>
      <c r="G433" s="42">
        <v>0.0</v>
      </c>
      <c r="H433" s="42">
        <v>0.0</v>
      </c>
      <c r="I433" s="42">
        <v>0.0</v>
      </c>
      <c r="J433" s="42">
        <v>0.0</v>
      </c>
      <c r="K433" s="42">
        <v>0.0</v>
      </c>
      <c r="L433" s="42">
        <v>0.0</v>
      </c>
      <c r="M433" s="42">
        <v>0.0</v>
      </c>
      <c r="N433" s="42">
        <v>0.0</v>
      </c>
      <c r="O433" s="42">
        <v>0.0</v>
      </c>
      <c r="P433" s="42">
        <v>0.0</v>
      </c>
      <c r="Q433" s="42">
        <v>0.0</v>
      </c>
    </row>
    <row r="434">
      <c r="A434" s="37" t="s">
        <v>100</v>
      </c>
      <c r="B434" s="36">
        <v>0.7354166666666667</v>
      </c>
      <c r="C434" s="37" t="s">
        <v>23</v>
      </c>
      <c r="D434" s="37" t="s">
        <v>93</v>
      </c>
      <c r="E434" s="37" t="s">
        <v>91</v>
      </c>
      <c r="F434" s="38">
        <v>0.0</v>
      </c>
      <c r="G434" s="38">
        <v>0.0</v>
      </c>
      <c r="H434" s="38">
        <v>0.0</v>
      </c>
      <c r="I434" s="38">
        <v>0.0</v>
      </c>
      <c r="J434" s="38">
        <v>0.0</v>
      </c>
      <c r="K434" s="38">
        <v>0.0</v>
      </c>
      <c r="L434" s="38">
        <v>0.0</v>
      </c>
      <c r="M434" s="38">
        <v>0.0</v>
      </c>
      <c r="N434" s="38">
        <v>0.0</v>
      </c>
      <c r="O434" s="38">
        <v>0.0</v>
      </c>
      <c r="P434" s="38">
        <v>0.0</v>
      </c>
      <c r="Q434" s="38">
        <v>0.0</v>
      </c>
    </row>
    <row r="435">
      <c r="A435" s="41" t="s">
        <v>100</v>
      </c>
      <c r="B435" s="40">
        <v>0.7354166666666667</v>
      </c>
      <c r="C435" s="41" t="s">
        <v>23</v>
      </c>
      <c r="D435" s="41" t="s">
        <v>93</v>
      </c>
      <c r="E435" s="41" t="s">
        <v>92</v>
      </c>
      <c r="F435" s="42">
        <v>0.0</v>
      </c>
      <c r="G435" s="42">
        <v>0.0</v>
      </c>
      <c r="H435" s="42">
        <v>0.0</v>
      </c>
      <c r="I435" s="42">
        <v>0.0</v>
      </c>
      <c r="J435" s="42">
        <v>0.0</v>
      </c>
      <c r="K435" s="42">
        <v>0.0</v>
      </c>
      <c r="L435" s="42">
        <v>0.0</v>
      </c>
      <c r="M435" s="42">
        <v>0.0</v>
      </c>
      <c r="N435" s="42">
        <v>0.0</v>
      </c>
      <c r="O435" s="42">
        <v>0.0</v>
      </c>
      <c r="P435" s="42">
        <v>0.0</v>
      </c>
      <c r="Q435" s="42">
        <v>0.0</v>
      </c>
    </row>
    <row r="436">
      <c r="A436" s="37" t="s">
        <v>100</v>
      </c>
      <c r="B436" s="36">
        <v>0.7354166666666667</v>
      </c>
      <c r="C436" s="37" t="s">
        <v>29</v>
      </c>
      <c r="D436" s="37" t="s">
        <v>94</v>
      </c>
      <c r="E436" s="37" t="s">
        <v>52</v>
      </c>
      <c r="F436" s="38">
        <v>6.0</v>
      </c>
      <c r="G436" s="38">
        <v>3.0</v>
      </c>
      <c r="H436" s="38">
        <v>0.0</v>
      </c>
      <c r="I436" s="38">
        <v>0.0</v>
      </c>
      <c r="J436" s="38">
        <v>0.0</v>
      </c>
      <c r="K436" s="38">
        <v>6.0</v>
      </c>
      <c r="L436" s="38">
        <v>6.0</v>
      </c>
      <c r="M436" s="38">
        <v>0.0</v>
      </c>
      <c r="N436" s="38">
        <v>0.0</v>
      </c>
      <c r="O436" s="38">
        <v>0.0</v>
      </c>
      <c r="P436" s="38">
        <v>3.0</v>
      </c>
      <c r="Q436" s="38">
        <v>3.0</v>
      </c>
    </row>
    <row r="437">
      <c r="A437" s="41" t="s">
        <v>100</v>
      </c>
      <c r="B437" s="40">
        <v>0.7354166666666667</v>
      </c>
      <c r="C437" s="41" t="s">
        <v>29</v>
      </c>
      <c r="D437" s="41" t="s">
        <v>94</v>
      </c>
      <c r="E437" s="41" t="s">
        <v>88</v>
      </c>
      <c r="F437" s="42">
        <v>0.0</v>
      </c>
      <c r="G437" s="42">
        <v>0.0</v>
      </c>
      <c r="H437" s="42">
        <v>0.0</v>
      </c>
      <c r="I437" s="42">
        <v>0.0</v>
      </c>
      <c r="J437" s="42">
        <v>0.0</v>
      </c>
      <c r="K437" s="42">
        <v>0.0</v>
      </c>
      <c r="L437" s="42">
        <v>0.0</v>
      </c>
      <c r="M437" s="42">
        <v>0.0</v>
      </c>
      <c r="N437" s="42">
        <v>0.0</v>
      </c>
      <c r="O437" s="42">
        <v>0.0</v>
      </c>
      <c r="P437" s="42">
        <v>0.0</v>
      </c>
      <c r="Q437" s="42">
        <v>0.0</v>
      </c>
    </row>
    <row r="438">
      <c r="A438" s="37" t="s">
        <v>100</v>
      </c>
      <c r="B438" s="36">
        <v>0.7354166666666667</v>
      </c>
      <c r="C438" s="37" t="s">
        <v>29</v>
      </c>
      <c r="D438" s="37" t="s">
        <v>94</v>
      </c>
      <c r="E438" s="37" t="s">
        <v>89</v>
      </c>
      <c r="F438" s="38">
        <v>1.0</v>
      </c>
      <c r="G438" s="38">
        <v>0.0</v>
      </c>
      <c r="H438" s="38">
        <v>0.0</v>
      </c>
      <c r="I438" s="38">
        <v>0.0</v>
      </c>
      <c r="J438" s="38">
        <v>0.0</v>
      </c>
      <c r="K438" s="38">
        <v>1.0</v>
      </c>
      <c r="L438" s="38">
        <v>1.0</v>
      </c>
      <c r="M438" s="38">
        <v>0.0</v>
      </c>
      <c r="N438" s="38">
        <v>0.0</v>
      </c>
      <c r="O438" s="38">
        <v>0.0</v>
      </c>
      <c r="P438" s="38">
        <v>0.0</v>
      </c>
      <c r="Q438" s="38">
        <v>0.0</v>
      </c>
    </row>
    <row r="439">
      <c r="A439" s="41" t="s">
        <v>100</v>
      </c>
      <c r="B439" s="40">
        <v>0.7354166666666667</v>
      </c>
      <c r="C439" s="41" t="s">
        <v>29</v>
      </c>
      <c r="D439" s="41" t="s">
        <v>94</v>
      </c>
      <c r="E439" s="41" t="s">
        <v>50</v>
      </c>
      <c r="F439" s="42">
        <v>0.0</v>
      </c>
      <c r="G439" s="42">
        <v>0.0</v>
      </c>
      <c r="H439" s="42">
        <v>0.0</v>
      </c>
      <c r="I439" s="42">
        <v>0.0</v>
      </c>
      <c r="J439" s="42">
        <v>0.0</v>
      </c>
      <c r="K439" s="42">
        <v>0.0</v>
      </c>
      <c r="L439" s="42">
        <v>0.0</v>
      </c>
      <c r="M439" s="42">
        <v>0.0</v>
      </c>
      <c r="N439" s="42">
        <v>0.0</v>
      </c>
      <c r="O439" s="42">
        <v>0.0</v>
      </c>
      <c r="P439" s="42">
        <v>0.0</v>
      </c>
      <c r="Q439" s="42">
        <v>0.0</v>
      </c>
    </row>
    <row r="440">
      <c r="A440" s="37" t="s">
        <v>100</v>
      </c>
      <c r="B440" s="36">
        <v>0.7354166666666667</v>
      </c>
      <c r="C440" s="37" t="s">
        <v>29</v>
      </c>
      <c r="D440" s="37" t="s">
        <v>94</v>
      </c>
      <c r="E440" s="37" t="s">
        <v>90</v>
      </c>
      <c r="F440" s="38">
        <v>0.0</v>
      </c>
      <c r="G440" s="38">
        <v>0.0</v>
      </c>
      <c r="H440" s="38">
        <v>0.0</v>
      </c>
      <c r="I440" s="38">
        <v>0.0</v>
      </c>
      <c r="J440" s="38">
        <v>0.0</v>
      </c>
      <c r="K440" s="38">
        <v>0.0</v>
      </c>
      <c r="L440" s="38">
        <v>0.0</v>
      </c>
      <c r="M440" s="38">
        <v>0.0</v>
      </c>
      <c r="N440" s="38">
        <v>0.0</v>
      </c>
      <c r="O440" s="38">
        <v>0.0</v>
      </c>
      <c r="P440" s="38">
        <v>0.0</v>
      </c>
      <c r="Q440" s="38">
        <v>0.0</v>
      </c>
    </row>
    <row r="441">
      <c r="A441" s="41" t="s">
        <v>100</v>
      </c>
      <c r="B441" s="40">
        <v>0.7354166666666667</v>
      </c>
      <c r="C441" s="41" t="s">
        <v>29</v>
      </c>
      <c r="D441" s="41" t="s">
        <v>94</v>
      </c>
      <c r="E441" s="41" t="s">
        <v>91</v>
      </c>
      <c r="F441" s="42">
        <v>0.0</v>
      </c>
      <c r="G441" s="42">
        <v>0.0</v>
      </c>
      <c r="H441" s="42">
        <v>0.0</v>
      </c>
      <c r="I441" s="42">
        <v>0.0</v>
      </c>
      <c r="J441" s="42">
        <v>0.0</v>
      </c>
      <c r="K441" s="42">
        <v>0.0</v>
      </c>
      <c r="L441" s="42">
        <v>0.0</v>
      </c>
      <c r="M441" s="42">
        <v>0.0</v>
      </c>
      <c r="N441" s="42">
        <v>0.0</v>
      </c>
      <c r="O441" s="42">
        <v>0.0</v>
      </c>
      <c r="P441" s="42">
        <v>0.0</v>
      </c>
      <c r="Q441" s="42">
        <v>0.0</v>
      </c>
    </row>
    <row r="442">
      <c r="A442" s="37" t="s">
        <v>100</v>
      </c>
      <c r="B442" s="36">
        <v>0.7354166666666667</v>
      </c>
      <c r="C442" s="37" t="s">
        <v>29</v>
      </c>
      <c r="D442" s="37" t="s">
        <v>94</v>
      </c>
      <c r="E442" s="37" t="s">
        <v>92</v>
      </c>
      <c r="F442" s="38">
        <v>0.0</v>
      </c>
      <c r="G442" s="38">
        <v>0.0</v>
      </c>
      <c r="H442" s="38">
        <v>0.0</v>
      </c>
      <c r="I442" s="38">
        <v>0.0</v>
      </c>
      <c r="J442" s="38">
        <v>0.0</v>
      </c>
      <c r="K442" s="38">
        <v>0.0</v>
      </c>
      <c r="L442" s="38">
        <v>0.0</v>
      </c>
      <c r="M442" s="38">
        <v>0.0</v>
      </c>
      <c r="N442" s="38">
        <v>0.0</v>
      </c>
      <c r="O442" s="38">
        <v>0.0</v>
      </c>
      <c r="P442" s="38">
        <v>0.0</v>
      </c>
      <c r="Q442" s="38">
        <v>0.0</v>
      </c>
    </row>
    <row r="443">
      <c r="A443" s="41" t="s">
        <v>100</v>
      </c>
      <c r="B443" s="40">
        <v>0.7354166666666667</v>
      </c>
      <c r="C443" s="41" t="s">
        <v>31</v>
      </c>
      <c r="D443" s="41" t="s">
        <v>95</v>
      </c>
      <c r="E443" s="41" t="s">
        <v>52</v>
      </c>
      <c r="F443" s="42">
        <v>0.0</v>
      </c>
      <c r="G443" s="42">
        <v>0.0</v>
      </c>
      <c r="H443" s="42">
        <v>0.0</v>
      </c>
      <c r="I443" s="42">
        <v>0.0</v>
      </c>
      <c r="J443" s="42">
        <v>0.0</v>
      </c>
      <c r="K443" s="42">
        <v>0.0</v>
      </c>
      <c r="L443" s="42">
        <v>0.0</v>
      </c>
      <c r="M443" s="42">
        <v>0.0</v>
      </c>
      <c r="N443" s="42">
        <v>0.0</v>
      </c>
      <c r="O443" s="42">
        <v>0.0</v>
      </c>
      <c r="P443" s="42">
        <v>0.0</v>
      </c>
      <c r="Q443" s="42">
        <v>0.0</v>
      </c>
    </row>
    <row r="444">
      <c r="A444" s="37" t="s">
        <v>100</v>
      </c>
      <c r="B444" s="36">
        <v>0.7354166666666667</v>
      </c>
      <c r="C444" s="37" t="s">
        <v>31</v>
      </c>
      <c r="D444" s="37" t="s">
        <v>95</v>
      </c>
      <c r="E444" s="37" t="s">
        <v>88</v>
      </c>
      <c r="F444" s="38">
        <v>0.0</v>
      </c>
      <c r="G444" s="38">
        <v>0.0</v>
      </c>
      <c r="H444" s="38">
        <v>0.0</v>
      </c>
      <c r="I444" s="38">
        <v>0.0</v>
      </c>
      <c r="J444" s="38">
        <v>0.0</v>
      </c>
      <c r="K444" s="38">
        <v>0.0</v>
      </c>
      <c r="L444" s="38">
        <v>0.0</v>
      </c>
      <c r="M444" s="38">
        <v>0.0</v>
      </c>
      <c r="N444" s="38">
        <v>0.0</v>
      </c>
      <c r="O444" s="38">
        <v>0.0</v>
      </c>
      <c r="P444" s="38">
        <v>0.0</v>
      </c>
      <c r="Q444" s="38">
        <v>0.0</v>
      </c>
    </row>
    <row r="445">
      <c r="A445" s="41" t="s">
        <v>100</v>
      </c>
      <c r="B445" s="40">
        <v>0.7354166666666667</v>
      </c>
      <c r="C445" s="41" t="s">
        <v>31</v>
      </c>
      <c r="D445" s="41" t="s">
        <v>95</v>
      </c>
      <c r="E445" s="41" t="s">
        <v>89</v>
      </c>
      <c r="F445" s="42">
        <v>0.0</v>
      </c>
      <c r="G445" s="42">
        <v>0.0</v>
      </c>
      <c r="H445" s="42">
        <v>0.0</v>
      </c>
      <c r="I445" s="42">
        <v>0.0</v>
      </c>
      <c r="J445" s="42">
        <v>0.0</v>
      </c>
      <c r="K445" s="42">
        <v>0.0</v>
      </c>
      <c r="L445" s="42">
        <v>0.0</v>
      </c>
      <c r="M445" s="42">
        <v>0.0</v>
      </c>
      <c r="N445" s="42">
        <v>0.0</v>
      </c>
      <c r="O445" s="42">
        <v>0.0</v>
      </c>
      <c r="P445" s="42">
        <v>0.0</v>
      </c>
      <c r="Q445" s="42">
        <v>0.0</v>
      </c>
    </row>
    <row r="446">
      <c r="A446" s="37" t="s">
        <v>100</v>
      </c>
      <c r="B446" s="36">
        <v>0.7354166666666667</v>
      </c>
      <c r="C446" s="37" t="s">
        <v>31</v>
      </c>
      <c r="D446" s="37" t="s">
        <v>95</v>
      </c>
      <c r="E446" s="37" t="s">
        <v>50</v>
      </c>
      <c r="F446" s="38">
        <v>1.0</v>
      </c>
      <c r="G446" s="38">
        <v>1.0</v>
      </c>
      <c r="H446" s="38">
        <v>0.0</v>
      </c>
      <c r="I446" s="38">
        <v>0.0</v>
      </c>
      <c r="J446" s="38">
        <v>0.0</v>
      </c>
      <c r="K446" s="38">
        <v>0.0</v>
      </c>
      <c r="L446" s="38">
        <v>1.0</v>
      </c>
      <c r="M446" s="38">
        <v>0.0</v>
      </c>
      <c r="N446" s="38">
        <v>0.0</v>
      </c>
      <c r="O446" s="38">
        <v>0.0</v>
      </c>
      <c r="P446" s="38">
        <v>0.0</v>
      </c>
      <c r="Q446" s="38">
        <v>1.0</v>
      </c>
    </row>
    <row r="447">
      <c r="A447" s="41" t="s">
        <v>100</v>
      </c>
      <c r="B447" s="40">
        <v>0.7354166666666667</v>
      </c>
      <c r="C447" s="41" t="s">
        <v>31</v>
      </c>
      <c r="D447" s="41" t="s">
        <v>95</v>
      </c>
      <c r="E447" s="41" t="s">
        <v>90</v>
      </c>
      <c r="F447" s="42">
        <v>0.0</v>
      </c>
      <c r="G447" s="42">
        <v>0.0</v>
      </c>
      <c r="H447" s="42">
        <v>0.0</v>
      </c>
      <c r="I447" s="42">
        <v>0.0</v>
      </c>
      <c r="J447" s="42">
        <v>0.0</v>
      </c>
      <c r="K447" s="42">
        <v>0.0</v>
      </c>
      <c r="L447" s="42">
        <v>0.0</v>
      </c>
      <c r="M447" s="42">
        <v>0.0</v>
      </c>
      <c r="N447" s="42">
        <v>0.0</v>
      </c>
      <c r="O447" s="42">
        <v>0.0</v>
      </c>
      <c r="P447" s="42">
        <v>0.0</v>
      </c>
      <c r="Q447" s="42">
        <v>0.0</v>
      </c>
    </row>
    <row r="448">
      <c r="A448" s="37" t="s">
        <v>100</v>
      </c>
      <c r="B448" s="36">
        <v>0.7354166666666667</v>
      </c>
      <c r="C448" s="37" t="s">
        <v>31</v>
      </c>
      <c r="D448" s="37" t="s">
        <v>95</v>
      </c>
      <c r="E448" s="37" t="s">
        <v>91</v>
      </c>
      <c r="F448" s="38">
        <v>0.0</v>
      </c>
      <c r="G448" s="38">
        <v>0.0</v>
      </c>
      <c r="H448" s="38">
        <v>0.0</v>
      </c>
      <c r="I448" s="38">
        <v>0.0</v>
      </c>
      <c r="J448" s="38">
        <v>0.0</v>
      </c>
      <c r="K448" s="38">
        <v>0.0</v>
      </c>
      <c r="L448" s="38">
        <v>0.0</v>
      </c>
      <c r="M448" s="38">
        <v>0.0</v>
      </c>
      <c r="N448" s="38">
        <v>0.0</v>
      </c>
      <c r="O448" s="38">
        <v>0.0</v>
      </c>
      <c r="P448" s="38">
        <v>0.0</v>
      </c>
      <c r="Q448" s="38">
        <v>0.0</v>
      </c>
    </row>
    <row r="449">
      <c r="A449" s="41" t="s">
        <v>100</v>
      </c>
      <c r="B449" s="40">
        <v>0.7354166666666667</v>
      </c>
      <c r="C449" s="41" t="s">
        <v>31</v>
      </c>
      <c r="D449" s="41" t="s">
        <v>95</v>
      </c>
      <c r="E449" s="41" t="s">
        <v>92</v>
      </c>
      <c r="F449" s="42">
        <v>0.0</v>
      </c>
      <c r="G449" s="42">
        <v>0.0</v>
      </c>
      <c r="H449" s="42">
        <v>0.0</v>
      </c>
      <c r="I449" s="42">
        <v>0.0</v>
      </c>
      <c r="J449" s="42">
        <v>0.0</v>
      </c>
      <c r="K449" s="42">
        <v>0.0</v>
      </c>
      <c r="L449" s="42">
        <v>0.0</v>
      </c>
      <c r="M449" s="42">
        <v>0.0</v>
      </c>
      <c r="N449" s="42">
        <v>0.0</v>
      </c>
      <c r="O449" s="42">
        <v>0.0</v>
      </c>
      <c r="P449" s="42">
        <v>0.0</v>
      </c>
      <c r="Q449" s="42">
        <v>0.0</v>
      </c>
    </row>
    <row r="450">
      <c r="A450" s="45" t="s">
        <v>100</v>
      </c>
      <c r="B450" s="44">
        <v>0.7354166666666667</v>
      </c>
      <c r="C450" s="45" t="s">
        <v>96</v>
      </c>
      <c r="D450" s="45" t="s">
        <v>75</v>
      </c>
      <c r="E450" s="45" t="s">
        <v>52</v>
      </c>
      <c r="F450" s="46">
        <v>7.0</v>
      </c>
      <c r="G450" s="46">
        <v>4.0</v>
      </c>
      <c r="H450" s="46">
        <v>0.0</v>
      </c>
      <c r="I450" s="46">
        <v>0.0</v>
      </c>
      <c r="J450" s="46">
        <v>0.0</v>
      </c>
      <c r="K450" s="46">
        <v>7.0</v>
      </c>
      <c r="L450" s="46">
        <v>7.0</v>
      </c>
      <c r="M450" s="46">
        <v>0.0</v>
      </c>
      <c r="N450" s="46">
        <v>0.0</v>
      </c>
      <c r="O450" s="46">
        <v>0.0</v>
      </c>
      <c r="P450" s="46">
        <v>4.0</v>
      </c>
      <c r="Q450" s="46">
        <v>4.0</v>
      </c>
    </row>
    <row r="451">
      <c r="A451" s="45" t="s">
        <v>100</v>
      </c>
      <c r="B451" s="44">
        <v>0.7354166666666667</v>
      </c>
      <c r="C451" s="45" t="s">
        <v>96</v>
      </c>
      <c r="D451" s="45" t="s">
        <v>75</v>
      </c>
      <c r="E451" s="45" t="s">
        <v>88</v>
      </c>
      <c r="F451" s="46">
        <v>0.0</v>
      </c>
      <c r="G451" s="46">
        <v>0.0</v>
      </c>
      <c r="H451" s="46">
        <v>0.0</v>
      </c>
      <c r="I451" s="46">
        <v>0.0</v>
      </c>
      <c r="J451" s="46">
        <v>0.0</v>
      </c>
      <c r="K451" s="46">
        <v>0.0</v>
      </c>
      <c r="L451" s="46">
        <v>0.0</v>
      </c>
      <c r="M451" s="46">
        <v>0.0</v>
      </c>
      <c r="N451" s="46">
        <v>0.0</v>
      </c>
      <c r="O451" s="46">
        <v>0.0</v>
      </c>
      <c r="P451" s="46">
        <v>0.0</v>
      </c>
      <c r="Q451" s="46">
        <v>0.0</v>
      </c>
    </row>
    <row r="452">
      <c r="A452" s="45" t="s">
        <v>100</v>
      </c>
      <c r="B452" s="44">
        <v>0.7354166666666667</v>
      </c>
      <c r="C452" s="45" t="s">
        <v>96</v>
      </c>
      <c r="D452" s="45" t="s">
        <v>75</v>
      </c>
      <c r="E452" s="45" t="s">
        <v>89</v>
      </c>
      <c r="F452" s="46">
        <v>1.0</v>
      </c>
      <c r="G452" s="46">
        <v>0.0</v>
      </c>
      <c r="H452" s="46">
        <v>0.0</v>
      </c>
      <c r="I452" s="46">
        <v>0.0</v>
      </c>
      <c r="J452" s="46">
        <v>0.0</v>
      </c>
      <c r="K452" s="46">
        <v>1.0</v>
      </c>
      <c r="L452" s="46">
        <v>1.0</v>
      </c>
      <c r="M452" s="46">
        <v>0.0</v>
      </c>
      <c r="N452" s="46">
        <v>0.0</v>
      </c>
      <c r="O452" s="46">
        <v>0.0</v>
      </c>
      <c r="P452" s="46">
        <v>0.0</v>
      </c>
      <c r="Q452" s="46">
        <v>0.0</v>
      </c>
    </row>
    <row r="453">
      <c r="A453" s="45" t="s">
        <v>100</v>
      </c>
      <c r="B453" s="44">
        <v>0.7354166666666667</v>
      </c>
      <c r="C453" s="45" t="s">
        <v>96</v>
      </c>
      <c r="D453" s="45" t="s">
        <v>75</v>
      </c>
      <c r="E453" s="45" t="s">
        <v>50</v>
      </c>
      <c r="F453" s="46">
        <v>1.0</v>
      </c>
      <c r="G453" s="46">
        <v>1.0</v>
      </c>
      <c r="H453" s="46">
        <v>0.0</v>
      </c>
      <c r="I453" s="46">
        <v>0.0</v>
      </c>
      <c r="J453" s="46">
        <v>0.0</v>
      </c>
      <c r="K453" s="46">
        <v>0.0</v>
      </c>
      <c r="L453" s="46">
        <v>1.0</v>
      </c>
      <c r="M453" s="46">
        <v>0.0</v>
      </c>
      <c r="N453" s="46">
        <v>0.0</v>
      </c>
      <c r="O453" s="46">
        <v>0.0</v>
      </c>
      <c r="P453" s="46">
        <v>0.0</v>
      </c>
      <c r="Q453" s="46">
        <v>1.0</v>
      </c>
    </row>
    <row r="454">
      <c r="A454" s="45" t="s">
        <v>100</v>
      </c>
      <c r="B454" s="44">
        <v>0.7354166666666667</v>
      </c>
      <c r="C454" s="45" t="s">
        <v>96</v>
      </c>
      <c r="D454" s="45" t="s">
        <v>75</v>
      </c>
      <c r="E454" s="45" t="s">
        <v>90</v>
      </c>
      <c r="F454" s="46">
        <v>0.0</v>
      </c>
      <c r="G454" s="46">
        <v>0.0</v>
      </c>
      <c r="H454" s="46">
        <v>0.0</v>
      </c>
      <c r="I454" s="46">
        <v>0.0</v>
      </c>
      <c r="J454" s="46">
        <v>0.0</v>
      </c>
      <c r="K454" s="46">
        <v>0.0</v>
      </c>
      <c r="L454" s="46">
        <v>0.0</v>
      </c>
      <c r="M454" s="46">
        <v>0.0</v>
      </c>
      <c r="N454" s="46">
        <v>0.0</v>
      </c>
      <c r="O454" s="46">
        <v>0.0</v>
      </c>
      <c r="P454" s="46">
        <v>0.0</v>
      </c>
      <c r="Q454" s="46">
        <v>0.0</v>
      </c>
    </row>
    <row r="455">
      <c r="A455" s="45" t="s">
        <v>100</v>
      </c>
      <c r="B455" s="44">
        <v>0.7354166666666667</v>
      </c>
      <c r="C455" s="45" t="s">
        <v>96</v>
      </c>
      <c r="D455" s="45" t="s">
        <v>75</v>
      </c>
      <c r="E455" s="45" t="s">
        <v>91</v>
      </c>
      <c r="F455" s="46">
        <v>0.0</v>
      </c>
      <c r="G455" s="46">
        <v>0.0</v>
      </c>
      <c r="H455" s="46">
        <v>0.0</v>
      </c>
      <c r="I455" s="46">
        <v>0.0</v>
      </c>
      <c r="J455" s="46">
        <v>0.0</v>
      </c>
      <c r="K455" s="46">
        <v>0.0</v>
      </c>
      <c r="L455" s="46">
        <v>0.0</v>
      </c>
      <c r="M455" s="46">
        <v>0.0</v>
      </c>
      <c r="N455" s="46">
        <v>0.0</v>
      </c>
      <c r="O455" s="46">
        <v>0.0</v>
      </c>
      <c r="P455" s="46">
        <v>0.0</v>
      </c>
      <c r="Q455" s="46">
        <v>0.0</v>
      </c>
    </row>
    <row r="456">
      <c r="A456" s="45" t="s">
        <v>100</v>
      </c>
      <c r="B456" s="44">
        <v>0.7354166666666667</v>
      </c>
      <c r="C456" s="45" t="s">
        <v>96</v>
      </c>
      <c r="D456" s="45" t="s">
        <v>75</v>
      </c>
      <c r="E456" s="45" t="s">
        <v>92</v>
      </c>
      <c r="F456" s="46">
        <v>0.0</v>
      </c>
      <c r="G456" s="46">
        <v>0.0</v>
      </c>
      <c r="H456" s="46">
        <v>0.0</v>
      </c>
      <c r="I456" s="46">
        <v>0.0</v>
      </c>
      <c r="J456" s="46">
        <v>0.0</v>
      </c>
      <c r="K456" s="46">
        <v>0.0</v>
      </c>
      <c r="L456" s="46">
        <v>0.0</v>
      </c>
      <c r="M456" s="46">
        <v>0.0</v>
      </c>
      <c r="N456" s="46">
        <v>0.0</v>
      </c>
      <c r="O456" s="46">
        <v>0.0</v>
      </c>
      <c r="P456" s="46">
        <v>0.0</v>
      </c>
      <c r="Q456" s="46">
        <v>0.0</v>
      </c>
    </row>
    <row r="457">
      <c r="A457" s="41" t="s">
        <v>101</v>
      </c>
      <c r="B457" s="40">
        <v>0.7354166666666667</v>
      </c>
      <c r="C457" s="41" t="s">
        <v>15</v>
      </c>
      <c r="D457" s="41" t="s">
        <v>87</v>
      </c>
      <c r="E457" s="41" t="s">
        <v>52</v>
      </c>
      <c r="F457" s="42">
        <v>0.0</v>
      </c>
      <c r="G457" s="42">
        <v>0.0</v>
      </c>
      <c r="H457" s="42">
        <v>0.0</v>
      </c>
      <c r="I457" s="42">
        <v>0.0</v>
      </c>
      <c r="J457" s="42">
        <v>0.0</v>
      </c>
      <c r="K457" s="42">
        <v>0.0</v>
      </c>
      <c r="L457" s="42">
        <v>0.0</v>
      </c>
      <c r="M457" s="42">
        <v>0.0</v>
      </c>
      <c r="N457" s="42">
        <v>0.0</v>
      </c>
      <c r="O457" s="42">
        <v>0.0</v>
      </c>
      <c r="P457" s="42">
        <v>0.0</v>
      </c>
      <c r="Q457" s="42">
        <v>0.0</v>
      </c>
    </row>
    <row r="458">
      <c r="A458" s="37" t="s">
        <v>101</v>
      </c>
      <c r="B458" s="36">
        <v>0.7354166666666667</v>
      </c>
      <c r="C458" s="37" t="s">
        <v>15</v>
      </c>
      <c r="D458" s="37" t="s">
        <v>87</v>
      </c>
      <c r="E458" s="37" t="s">
        <v>88</v>
      </c>
      <c r="F458" s="38">
        <v>0.0</v>
      </c>
      <c r="G458" s="38">
        <v>0.0</v>
      </c>
      <c r="H458" s="38">
        <v>0.0</v>
      </c>
      <c r="I458" s="38">
        <v>0.0</v>
      </c>
      <c r="J458" s="38">
        <v>0.0</v>
      </c>
      <c r="K458" s="38">
        <v>0.0</v>
      </c>
      <c r="L458" s="38">
        <v>0.0</v>
      </c>
      <c r="M458" s="38">
        <v>0.0</v>
      </c>
      <c r="N458" s="38">
        <v>0.0</v>
      </c>
      <c r="O458" s="38">
        <v>0.0</v>
      </c>
      <c r="P458" s="38">
        <v>0.0</v>
      </c>
      <c r="Q458" s="38">
        <v>0.0</v>
      </c>
    </row>
    <row r="459">
      <c r="A459" s="41" t="s">
        <v>101</v>
      </c>
      <c r="B459" s="40">
        <v>0.7354166666666667</v>
      </c>
      <c r="C459" s="41" t="s">
        <v>15</v>
      </c>
      <c r="D459" s="41" t="s">
        <v>87</v>
      </c>
      <c r="E459" s="41" t="s">
        <v>89</v>
      </c>
      <c r="F459" s="42">
        <v>0.0</v>
      </c>
      <c r="G459" s="42">
        <v>0.0</v>
      </c>
      <c r="H459" s="42">
        <v>0.0</v>
      </c>
      <c r="I459" s="42">
        <v>0.0</v>
      </c>
      <c r="J459" s="42">
        <v>0.0</v>
      </c>
      <c r="K459" s="42">
        <v>0.0</v>
      </c>
      <c r="L459" s="42">
        <v>0.0</v>
      </c>
      <c r="M459" s="42">
        <v>0.0</v>
      </c>
      <c r="N459" s="42">
        <v>0.0</v>
      </c>
      <c r="O459" s="42">
        <v>0.0</v>
      </c>
      <c r="P459" s="42">
        <v>0.0</v>
      </c>
      <c r="Q459" s="42">
        <v>0.0</v>
      </c>
    </row>
    <row r="460">
      <c r="A460" s="37" t="s">
        <v>101</v>
      </c>
      <c r="B460" s="36">
        <v>0.7354166666666667</v>
      </c>
      <c r="C460" s="37" t="s">
        <v>15</v>
      </c>
      <c r="D460" s="37" t="s">
        <v>87</v>
      </c>
      <c r="E460" s="37" t="s">
        <v>50</v>
      </c>
      <c r="F460" s="38">
        <v>0.0</v>
      </c>
      <c r="G460" s="38">
        <v>0.0</v>
      </c>
      <c r="H460" s="38">
        <v>0.0</v>
      </c>
      <c r="I460" s="38">
        <v>0.0</v>
      </c>
      <c r="J460" s="38">
        <v>0.0</v>
      </c>
      <c r="K460" s="38">
        <v>0.0</v>
      </c>
      <c r="L460" s="38">
        <v>0.0</v>
      </c>
      <c r="M460" s="38">
        <v>0.0</v>
      </c>
      <c r="N460" s="38">
        <v>0.0</v>
      </c>
      <c r="O460" s="38">
        <v>0.0</v>
      </c>
      <c r="P460" s="38">
        <v>0.0</v>
      </c>
      <c r="Q460" s="38">
        <v>0.0</v>
      </c>
    </row>
    <row r="461">
      <c r="A461" s="41" t="s">
        <v>101</v>
      </c>
      <c r="B461" s="40">
        <v>0.7354166666666667</v>
      </c>
      <c r="C461" s="41" t="s">
        <v>15</v>
      </c>
      <c r="D461" s="41" t="s">
        <v>87</v>
      </c>
      <c r="E461" s="41" t="s">
        <v>90</v>
      </c>
      <c r="F461" s="42">
        <v>0.0</v>
      </c>
      <c r="G461" s="42">
        <v>0.0</v>
      </c>
      <c r="H461" s="42">
        <v>0.0</v>
      </c>
      <c r="I461" s="42">
        <v>0.0</v>
      </c>
      <c r="J461" s="42">
        <v>0.0</v>
      </c>
      <c r="K461" s="42">
        <v>0.0</v>
      </c>
      <c r="L461" s="42">
        <v>0.0</v>
      </c>
      <c r="M461" s="42">
        <v>0.0</v>
      </c>
      <c r="N461" s="42">
        <v>0.0</v>
      </c>
      <c r="O461" s="42">
        <v>0.0</v>
      </c>
      <c r="P461" s="42">
        <v>0.0</v>
      </c>
      <c r="Q461" s="42">
        <v>0.0</v>
      </c>
    </row>
    <row r="462">
      <c r="A462" s="37" t="s">
        <v>101</v>
      </c>
      <c r="B462" s="36">
        <v>0.7354166666666667</v>
      </c>
      <c r="C462" s="37" t="s">
        <v>15</v>
      </c>
      <c r="D462" s="37" t="s">
        <v>87</v>
      </c>
      <c r="E462" s="37" t="s">
        <v>91</v>
      </c>
      <c r="F462" s="38">
        <v>0.0</v>
      </c>
      <c r="G462" s="38">
        <v>0.0</v>
      </c>
      <c r="H462" s="38">
        <v>0.0</v>
      </c>
      <c r="I462" s="38">
        <v>0.0</v>
      </c>
      <c r="J462" s="38">
        <v>0.0</v>
      </c>
      <c r="K462" s="38">
        <v>0.0</v>
      </c>
      <c r="L462" s="38">
        <v>0.0</v>
      </c>
      <c r="M462" s="38">
        <v>0.0</v>
      </c>
      <c r="N462" s="38">
        <v>0.0</v>
      </c>
      <c r="O462" s="38">
        <v>0.0</v>
      </c>
      <c r="P462" s="38">
        <v>0.0</v>
      </c>
      <c r="Q462" s="38">
        <v>0.0</v>
      </c>
    </row>
    <row r="463">
      <c r="A463" s="41" t="s">
        <v>101</v>
      </c>
      <c r="B463" s="40">
        <v>0.7354166666666667</v>
      </c>
      <c r="C463" s="41" t="s">
        <v>15</v>
      </c>
      <c r="D463" s="41" t="s">
        <v>87</v>
      </c>
      <c r="E463" s="41" t="s">
        <v>92</v>
      </c>
      <c r="F463" s="42">
        <v>0.0</v>
      </c>
      <c r="G463" s="42">
        <v>0.0</v>
      </c>
      <c r="H463" s="42">
        <v>0.0</v>
      </c>
      <c r="I463" s="42">
        <v>0.0</v>
      </c>
      <c r="J463" s="42">
        <v>0.0</v>
      </c>
      <c r="K463" s="42">
        <v>0.0</v>
      </c>
      <c r="L463" s="42">
        <v>0.0</v>
      </c>
      <c r="M463" s="42">
        <v>0.0</v>
      </c>
      <c r="N463" s="42">
        <v>0.0</v>
      </c>
      <c r="O463" s="42">
        <v>0.0</v>
      </c>
      <c r="P463" s="42">
        <v>0.0</v>
      </c>
      <c r="Q463" s="42">
        <v>0.0</v>
      </c>
    </row>
    <row r="464">
      <c r="A464" s="37" t="s">
        <v>101</v>
      </c>
      <c r="B464" s="36">
        <v>0.7354166666666667</v>
      </c>
      <c r="C464" s="37" t="s">
        <v>23</v>
      </c>
      <c r="D464" s="37" t="s">
        <v>93</v>
      </c>
      <c r="E464" s="37" t="s">
        <v>52</v>
      </c>
      <c r="F464" s="38">
        <v>1.0</v>
      </c>
      <c r="G464" s="38">
        <v>1.0</v>
      </c>
      <c r="H464" s="38">
        <v>0.0</v>
      </c>
      <c r="I464" s="38">
        <v>0.0</v>
      </c>
      <c r="J464" s="38">
        <v>0.0</v>
      </c>
      <c r="K464" s="38">
        <v>1.0</v>
      </c>
      <c r="L464" s="38">
        <v>1.0</v>
      </c>
      <c r="M464" s="38">
        <v>0.0</v>
      </c>
      <c r="N464" s="38">
        <v>0.0</v>
      </c>
      <c r="O464" s="38">
        <v>0.0</v>
      </c>
      <c r="P464" s="38">
        <v>1.0</v>
      </c>
      <c r="Q464" s="38">
        <v>1.0</v>
      </c>
    </row>
    <row r="465">
      <c r="A465" s="41" t="s">
        <v>101</v>
      </c>
      <c r="B465" s="40">
        <v>0.7354166666666667</v>
      </c>
      <c r="C465" s="41" t="s">
        <v>23</v>
      </c>
      <c r="D465" s="41" t="s">
        <v>93</v>
      </c>
      <c r="E465" s="41" t="s">
        <v>88</v>
      </c>
      <c r="F465" s="42">
        <v>0.0</v>
      </c>
      <c r="G465" s="42">
        <v>0.0</v>
      </c>
      <c r="H465" s="42">
        <v>0.0</v>
      </c>
      <c r="I465" s="42">
        <v>0.0</v>
      </c>
      <c r="J465" s="42">
        <v>0.0</v>
      </c>
      <c r="K465" s="42">
        <v>0.0</v>
      </c>
      <c r="L465" s="42">
        <v>0.0</v>
      </c>
      <c r="M465" s="42">
        <v>0.0</v>
      </c>
      <c r="N465" s="42">
        <v>0.0</v>
      </c>
      <c r="O465" s="42">
        <v>0.0</v>
      </c>
      <c r="P465" s="42">
        <v>0.0</v>
      </c>
      <c r="Q465" s="42">
        <v>0.0</v>
      </c>
    </row>
    <row r="466">
      <c r="A466" s="37" t="s">
        <v>101</v>
      </c>
      <c r="B466" s="36">
        <v>0.7354166666666667</v>
      </c>
      <c r="C466" s="37" t="s">
        <v>23</v>
      </c>
      <c r="D466" s="37" t="s">
        <v>93</v>
      </c>
      <c r="E466" s="37" t="s">
        <v>89</v>
      </c>
      <c r="F466" s="38">
        <v>0.0</v>
      </c>
      <c r="G466" s="38">
        <v>0.0</v>
      </c>
      <c r="H466" s="38">
        <v>0.0</v>
      </c>
      <c r="I466" s="38">
        <v>0.0</v>
      </c>
      <c r="J466" s="38">
        <v>0.0</v>
      </c>
      <c r="K466" s="38">
        <v>0.0</v>
      </c>
      <c r="L466" s="38">
        <v>0.0</v>
      </c>
      <c r="M466" s="38">
        <v>0.0</v>
      </c>
      <c r="N466" s="38">
        <v>0.0</v>
      </c>
      <c r="O466" s="38">
        <v>0.0</v>
      </c>
      <c r="P466" s="38">
        <v>0.0</v>
      </c>
      <c r="Q466" s="38">
        <v>0.0</v>
      </c>
    </row>
    <row r="467">
      <c r="A467" s="41" t="s">
        <v>101</v>
      </c>
      <c r="B467" s="40">
        <v>0.7354166666666667</v>
      </c>
      <c r="C467" s="41" t="s">
        <v>23</v>
      </c>
      <c r="D467" s="41" t="s">
        <v>93</v>
      </c>
      <c r="E467" s="41" t="s">
        <v>50</v>
      </c>
      <c r="F467" s="42">
        <v>0.0</v>
      </c>
      <c r="G467" s="42">
        <v>0.0</v>
      </c>
      <c r="H467" s="42">
        <v>0.0</v>
      </c>
      <c r="I467" s="42">
        <v>0.0</v>
      </c>
      <c r="J467" s="42">
        <v>0.0</v>
      </c>
      <c r="K467" s="42">
        <v>0.0</v>
      </c>
      <c r="L467" s="42">
        <v>0.0</v>
      </c>
      <c r="M467" s="42">
        <v>0.0</v>
      </c>
      <c r="N467" s="42">
        <v>0.0</v>
      </c>
      <c r="O467" s="42">
        <v>0.0</v>
      </c>
      <c r="P467" s="42">
        <v>0.0</v>
      </c>
      <c r="Q467" s="42">
        <v>0.0</v>
      </c>
    </row>
    <row r="468">
      <c r="A468" s="37" t="s">
        <v>101</v>
      </c>
      <c r="B468" s="36">
        <v>0.7354166666666667</v>
      </c>
      <c r="C468" s="37" t="s">
        <v>23</v>
      </c>
      <c r="D468" s="37" t="s">
        <v>93</v>
      </c>
      <c r="E468" s="37" t="s">
        <v>90</v>
      </c>
      <c r="F468" s="38">
        <v>0.0</v>
      </c>
      <c r="G468" s="38">
        <v>0.0</v>
      </c>
      <c r="H468" s="38">
        <v>0.0</v>
      </c>
      <c r="I468" s="38">
        <v>0.0</v>
      </c>
      <c r="J468" s="38">
        <v>0.0</v>
      </c>
      <c r="K468" s="38">
        <v>0.0</v>
      </c>
      <c r="L468" s="38">
        <v>0.0</v>
      </c>
      <c r="M468" s="38">
        <v>0.0</v>
      </c>
      <c r="N468" s="38">
        <v>0.0</v>
      </c>
      <c r="O468" s="38">
        <v>0.0</v>
      </c>
      <c r="P468" s="38">
        <v>0.0</v>
      </c>
      <c r="Q468" s="38">
        <v>0.0</v>
      </c>
    </row>
    <row r="469">
      <c r="A469" s="41" t="s">
        <v>101</v>
      </c>
      <c r="B469" s="40">
        <v>0.7354166666666667</v>
      </c>
      <c r="C469" s="41" t="s">
        <v>23</v>
      </c>
      <c r="D469" s="41" t="s">
        <v>93</v>
      </c>
      <c r="E469" s="41" t="s">
        <v>91</v>
      </c>
      <c r="F469" s="42">
        <v>0.0</v>
      </c>
      <c r="G469" s="42">
        <v>0.0</v>
      </c>
      <c r="H469" s="42">
        <v>0.0</v>
      </c>
      <c r="I469" s="42">
        <v>0.0</v>
      </c>
      <c r="J469" s="42">
        <v>0.0</v>
      </c>
      <c r="K469" s="42">
        <v>0.0</v>
      </c>
      <c r="L469" s="42">
        <v>0.0</v>
      </c>
      <c r="M469" s="42">
        <v>0.0</v>
      </c>
      <c r="N469" s="42">
        <v>0.0</v>
      </c>
      <c r="O469" s="42">
        <v>0.0</v>
      </c>
      <c r="P469" s="42">
        <v>0.0</v>
      </c>
      <c r="Q469" s="42">
        <v>0.0</v>
      </c>
    </row>
    <row r="470">
      <c r="A470" s="37" t="s">
        <v>101</v>
      </c>
      <c r="B470" s="36">
        <v>0.7354166666666667</v>
      </c>
      <c r="C470" s="37" t="s">
        <v>23</v>
      </c>
      <c r="D470" s="37" t="s">
        <v>93</v>
      </c>
      <c r="E470" s="37" t="s">
        <v>92</v>
      </c>
      <c r="F470" s="38">
        <v>0.0</v>
      </c>
      <c r="G470" s="38">
        <v>0.0</v>
      </c>
      <c r="H470" s="38">
        <v>0.0</v>
      </c>
      <c r="I470" s="38">
        <v>0.0</v>
      </c>
      <c r="J470" s="38">
        <v>0.0</v>
      </c>
      <c r="K470" s="38">
        <v>0.0</v>
      </c>
      <c r="L470" s="38">
        <v>0.0</v>
      </c>
      <c r="M470" s="38">
        <v>0.0</v>
      </c>
      <c r="N470" s="38">
        <v>0.0</v>
      </c>
      <c r="O470" s="38">
        <v>0.0</v>
      </c>
      <c r="P470" s="38">
        <v>0.0</v>
      </c>
      <c r="Q470" s="38">
        <v>0.0</v>
      </c>
    </row>
    <row r="471">
      <c r="A471" s="41" t="s">
        <v>101</v>
      </c>
      <c r="B471" s="40">
        <v>0.7354166666666667</v>
      </c>
      <c r="C471" s="41" t="s">
        <v>29</v>
      </c>
      <c r="D471" s="41" t="s">
        <v>94</v>
      </c>
      <c r="E471" s="41" t="s">
        <v>52</v>
      </c>
      <c r="F471" s="42">
        <v>5.0</v>
      </c>
      <c r="G471" s="42">
        <v>2.0</v>
      </c>
      <c r="H471" s="42">
        <v>0.0</v>
      </c>
      <c r="I471" s="42">
        <v>0.0</v>
      </c>
      <c r="J471" s="42">
        <v>0.0</v>
      </c>
      <c r="K471" s="42">
        <v>5.0</v>
      </c>
      <c r="L471" s="42">
        <v>5.0</v>
      </c>
      <c r="M471" s="42">
        <v>0.0</v>
      </c>
      <c r="N471" s="42">
        <v>0.0</v>
      </c>
      <c r="O471" s="42">
        <v>0.0</v>
      </c>
      <c r="P471" s="42">
        <v>2.0</v>
      </c>
      <c r="Q471" s="42">
        <v>2.0</v>
      </c>
    </row>
    <row r="472">
      <c r="A472" s="37" t="s">
        <v>101</v>
      </c>
      <c r="B472" s="36">
        <v>0.7354166666666667</v>
      </c>
      <c r="C472" s="37" t="s">
        <v>29</v>
      </c>
      <c r="D472" s="37" t="s">
        <v>94</v>
      </c>
      <c r="E472" s="37" t="s">
        <v>88</v>
      </c>
      <c r="F472" s="38">
        <v>0.0</v>
      </c>
      <c r="G472" s="38">
        <v>0.0</v>
      </c>
      <c r="H472" s="38">
        <v>0.0</v>
      </c>
      <c r="I472" s="38">
        <v>0.0</v>
      </c>
      <c r="J472" s="38">
        <v>0.0</v>
      </c>
      <c r="K472" s="38">
        <v>0.0</v>
      </c>
      <c r="L472" s="38">
        <v>0.0</v>
      </c>
      <c r="M472" s="38">
        <v>0.0</v>
      </c>
      <c r="N472" s="38">
        <v>0.0</v>
      </c>
      <c r="O472" s="38">
        <v>0.0</v>
      </c>
      <c r="P472" s="38">
        <v>0.0</v>
      </c>
      <c r="Q472" s="38">
        <v>0.0</v>
      </c>
    </row>
    <row r="473">
      <c r="A473" s="41" t="s">
        <v>101</v>
      </c>
      <c r="B473" s="40">
        <v>0.7354166666666667</v>
      </c>
      <c r="C473" s="41" t="s">
        <v>29</v>
      </c>
      <c r="D473" s="41" t="s">
        <v>94</v>
      </c>
      <c r="E473" s="41" t="s">
        <v>89</v>
      </c>
      <c r="F473" s="42">
        <v>1.0</v>
      </c>
      <c r="G473" s="42">
        <v>0.0</v>
      </c>
      <c r="H473" s="42">
        <v>0.0</v>
      </c>
      <c r="I473" s="42">
        <v>0.0</v>
      </c>
      <c r="J473" s="42">
        <v>0.0</v>
      </c>
      <c r="K473" s="42">
        <v>1.0</v>
      </c>
      <c r="L473" s="42">
        <v>1.0</v>
      </c>
      <c r="M473" s="42">
        <v>0.0</v>
      </c>
      <c r="N473" s="42">
        <v>0.0</v>
      </c>
      <c r="O473" s="42">
        <v>0.0</v>
      </c>
      <c r="P473" s="42">
        <v>0.0</v>
      </c>
      <c r="Q473" s="42">
        <v>0.0</v>
      </c>
    </row>
    <row r="474">
      <c r="A474" s="37" t="s">
        <v>101</v>
      </c>
      <c r="B474" s="36">
        <v>0.7354166666666667</v>
      </c>
      <c r="C474" s="37" t="s">
        <v>29</v>
      </c>
      <c r="D474" s="37" t="s">
        <v>94</v>
      </c>
      <c r="E474" s="37" t="s">
        <v>50</v>
      </c>
      <c r="F474" s="38">
        <v>0.0</v>
      </c>
      <c r="G474" s="38">
        <v>0.0</v>
      </c>
      <c r="H474" s="38">
        <v>0.0</v>
      </c>
      <c r="I474" s="38">
        <v>0.0</v>
      </c>
      <c r="J474" s="38">
        <v>0.0</v>
      </c>
      <c r="K474" s="38">
        <v>0.0</v>
      </c>
      <c r="L474" s="38">
        <v>0.0</v>
      </c>
      <c r="M474" s="38">
        <v>0.0</v>
      </c>
      <c r="N474" s="38">
        <v>0.0</v>
      </c>
      <c r="O474" s="38">
        <v>0.0</v>
      </c>
      <c r="P474" s="38">
        <v>0.0</v>
      </c>
      <c r="Q474" s="38">
        <v>0.0</v>
      </c>
    </row>
    <row r="475">
      <c r="A475" s="41" t="s">
        <v>101</v>
      </c>
      <c r="B475" s="40">
        <v>0.7354166666666667</v>
      </c>
      <c r="C475" s="41" t="s">
        <v>29</v>
      </c>
      <c r="D475" s="41" t="s">
        <v>94</v>
      </c>
      <c r="E475" s="41" t="s">
        <v>90</v>
      </c>
      <c r="F475" s="42">
        <v>0.0</v>
      </c>
      <c r="G475" s="42">
        <v>0.0</v>
      </c>
      <c r="H475" s="42">
        <v>0.0</v>
      </c>
      <c r="I475" s="42">
        <v>0.0</v>
      </c>
      <c r="J475" s="42">
        <v>0.0</v>
      </c>
      <c r="K475" s="42">
        <v>0.0</v>
      </c>
      <c r="L475" s="42">
        <v>0.0</v>
      </c>
      <c r="M475" s="42">
        <v>0.0</v>
      </c>
      <c r="N475" s="42">
        <v>0.0</v>
      </c>
      <c r="O475" s="42">
        <v>0.0</v>
      </c>
      <c r="P475" s="42">
        <v>0.0</v>
      </c>
      <c r="Q475" s="42">
        <v>0.0</v>
      </c>
    </row>
    <row r="476">
      <c r="A476" s="37" t="s">
        <v>101</v>
      </c>
      <c r="B476" s="36">
        <v>0.7354166666666667</v>
      </c>
      <c r="C476" s="37" t="s">
        <v>29</v>
      </c>
      <c r="D476" s="37" t="s">
        <v>94</v>
      </c>
      <c r="E476" s="37" t="s">
        <v>91</v>
      </c>
      <c r="F476" s="38">
        <v>0.0</v>
      </c>
      <c r="G476" s="38">
        <v>0.0</v>
      </c>
      <c r="H476" s="38">
        <v>0.0</v>
      </c>
      <c r="I476" s="38">
        <v>0.0</v>
      </c>
      <c r="J476" s="38">
        <v>0.0</v>
      </c>
      <c r="K476" s="38">
        <v>0.0</v>
      </c>
      <c r="L476" s="38">
        <v>0.0</v>
      </c>
      <c r="M476" s="38">
        <v>0.0</v>
      </c>
      <c r="N476" s="38">
        <v>0.0</v>
      </c>
      <c r="O476" s="38">
        <v>0.0</v>
      </c>
      <c r="P476" s="38">
        <v>0.0</v>
      </c>
      <c r="Q476" s="38">
        <v>0.0</v>
      </c>
    </row>
    <row r="477">
      <c r="A477" s="41" t="s">
        <v>101</v>
      </c>
      <c r="B477" s="40">
        <v>0.7354166666666667</v>
      </c>
      <c r="C477" s="41" t="s">
        <v>29</v>
      </c>
      <c r="D477" s="41" t="s">
        <v>94</v>
      </c>
      <c r="E477" s="41" t="s">
        <v>92</v>
      </c>
      <c r="F477" s="42">
        <v>0.0</v>
      </c>
      <c r="G477" s="42">
        <v>0.0</v>
      </c>
      <c r="H477" s="42">
        <v>0.0</v>
      </c>
      <c r="I477" s="42">
        <v>0.0</v>
      </c>
      <c r="J477" s="42">
        <v>0.0</v>
      </c>
      <c r="K477" s="42">
        <v>0.0</v>
      </c>
      <c r="L477" s="42">
        <v>0.0</v>
      </c>
      <c r="M477" s="42">
        <v>0.0</v>
      </c>
      <c r="N477" s="42">
        <v>0.0</v>
      </c>
      <c r="O477" s="42">
        <v>0.0</v>
      </c>
      <c r="P477" s="42">
        <v>0.0</v>
      </c>
      <c r="Q477" s="42">
        <v>0.0</v>
      </c>
    </row>
    <row r="478">
      <c r="A478" s="37" t="s">
        <v>101</v>
      </c>
      <c r="B478" s="36">
        <v>0.7354166666666667</v>
      </c>
      <c r="C478" s="37" t="s">
        <v>31</v>
      </c>
      <c r="D478" s="37" t="s">
        <v>95</v>
      </c>
      <c r="E478" s="37" t="s">
        <v>52</v>
      </c>
      <c r="F478" s="38">
        <v>0.0</v>
      </c>
      <c r="G478" s="38">
        <v>0.0</v>
      </c>
      <c r="H478" s="38">
        <v>0.0</v>
      </c>
      <c r="I478" s="38">
        <v>0.0</v>
      </c>
      <c r="J478" s="38">
        <v>0.0</v>
      </c>
      <c r="K478" s="38">
        <v>0.0</v>
      </c>
      <c r="L478" s="38">
        <v>0.0</v>
      </c>
      <c r="M478" s="38">
        <v>0.0</v>
      </c>
      <c r="N478" s="38">
        <v>0.0</v>
      </c>
      <c r="O478" s="38">
        <v>0.0</v>
      </c>
      <c r="P478" s="38">
        <v>0.0</v>
      </c>
      <c r="Q478" s="38">
        <v>0.0</v>
      </c>
    </row>
    <row r="479">
      <c r="A479" s="41" t="s">
        <v>101</v>
      </c>
      <c r="B479" s="40">
        <v>0.7354166666666667</v>
      </c>
      <c r="C479" s="41" t="s">
        <v>31</v>
      </c>
      <c r="D479" s="41" t="s">
        <v>95</v>
      </c>
      <c r="E479" s="41" t="s">
        <v>88</v>
      </c>
      <c r="F479" s="42">
        <v>0.0</v>
      </c>
      <c r="G479" s="42">
        <v>0.0</v>
      </c>
      <c r="H479" s="42">
        <v>0.0</v>
      </c>
      <c r="I479" s="42">
        <v>0.0</v>
      </c>
      <c r="J479" s="42">
        <v>0.0</v>
      </c>
      <c r="K479" s="42">
        <v>0.0</v>
      </c>
      <c r="L479" s="42">
        <v>0.0</v>
      </c>
      <c r="M479" s="42">
        <v>0.0</v>
      </c>
      <c r="N479" s="42">
        <v>0.0</v>
      </c>
      <c r="O479" s="42">
        <v>0.0</v>
      </c>
      <c r="P479" s="42">
        <v>0.0</v>
      </c>
      <c r="Q479" s="42">
        <v>0.0</v>
      </c>
    </row>
    <row r="480">
      <c r="A480" s="37" t="s">
        <v>101</v>
      </c>
      <c r="B480" s="36">
        <v>0.7354166666666667</v>
      </c>
      <c r="C480" s="37" t="s">
        <v>31</v>
      </c>
      <c r="D480" s="37" t="s">
        <v>95</v>
      </c>
      <c r="E480" s="37" t="s">
        <v>89</v>
      </c>
      <c r="F480" s="38">
        <v>0.0</v>
      </c>
      <c r="G480" s="38">
        <v>0.0</v>
      </c>
      <c r="H480" s="38">
        <v>0.0</v>
      </c>
      <c r="I480" s="38">
        <v>0.0</v>
      </c>
      <c r="J480" s="38">
        <v>0.0</v>
      </c>
      <c r="K480" s="38">
        <v>0.0</v>
      </c>
      <c r="L480" s="38">
        <v>0.0</v>
      </c>
      <c r="M480" s="38">
        <v>0.0</v>
      </c>
      <c r="N480" s="38">
        <v>0.0</v>
      </c>
      <c r="O480" s="38">
        <v>0.0</v>
      </c>
      <c r="P480" s="38">
        <v>0.0</v>
      </c>
      <c r="Q480" s="38">
        <v>0.0</v>
      </c>
    </row>
    <row r="481">
      <c r="A481" s="41" t="s">
        <v>101</v>
      </c>
      <c r="B481" s="40">
        <v>0.7354166666666667</v>
      </c>
      <c r="C481" s="41" t="s">
        <v>31</v>
      </c>
      <c r="D481" s="41" t="s">
        <v>95</v>
      </c>
      <c r="E481" s="41" t="s">
        <v>50</v>
      </c>
      <c r="F481" s="42">
        <v>1.0</v>
      </c>
      <c r="G481" s="42">
        <v>1.0</v>
      </c>
      <c r="H481" s="42">
        <v>0.0</v>
      </c>
      <c r="I481" s="42">
        <v>0.0</v>
      </c>
      <c r="J481" s="42">
        <v>0.0</v>
      </c>
      <c r="K481" s="42">
        <v>0.0</v>
      </c>
      <c r="L481" s="42">
        <v>1.0</v>
      </c>
      <c r="M481" s="42">
        <v>0.0</v>
      </c>
      <c r="N481" s="42">
        <v>0.0</v>
      </c>
      <c r="O481" s="42">
        <v>0.0</v>
      </c>
      <c r="P481" s="42">
        <v>0.0</v>
      </c>
      <c r="Q481" s="42">
        <v>1.0</v>
      </c>
    </row>
    <row r="482">
      <c r="A482" s="37" t="s">
        <v>101</v>
      </c>
      <c r="B482" s="36">
        <v>0.7354166666666667</v>
      </c>
      <c r="C482" s="37" t="s">
        <v>31</v>
      </c>
      <c r="D482" s="37" t="s">
        <v>95</v>
      </c>
      <c r="E482" s="37" t="s">
        <v>90</v>
      </c>
      <c r="F482" s="38">
        <v>0.0</v>
      </c>
      <c r="G482" s="38">
        <v>0.0</v>
      </c>
      <c r="H482" s="38">
        <v>0.0</v>
      </c>
      <c r="I482" s="38">
        <v>0.0</v>
      </c>
      <c r="J482" s="38">
        <v>0.0</v>
      </c>
      <c r="K482" s="38">
        <v>0.0</v>
      </c>
      <c r="L482" s="38">
        <v>0.0</v>
      </c>
      <c r="M482" s="38">
        <v>0.0</v>
      </c>
      <c r="N482" s="38">
        <v>0.0</v>
      </c>
      <c r="O482" s="38">
        <v>0.0</v>
      </c>
      <c r="P482" s="38">
        <v>0.0</v>
      </c>
      <c r="Q482" s="38">
        <v>0.0</v>
      </c>
    </row>
    <row r="483">
      <c r="A483" s="41" t="s">
        <v>101</v>
      </c>
      <c r="B483" s="40">
        <v>0.7354166666666667</v>
      </c>
      <c r="C483" s="41" t="s">
        <v>31</v>
      </c>
      <c r="D483" s="41" t="s">
        <v>95</v>
      </c>
      <c r="E483" s="41" t="s">
        <v>91</v>
      </c>
      <c r="F483" s="42">
        <v>0.0</v>
      </c>
      <c r="G483" s="42">
        <v>0.0</v>
      </c>
      <c r="H483" s="42">
        <v>0.0</v>
      </c>
      <c r="I483" s="42">
        <v>0.0</v>
      </c>
      <c r="J483" s="42">
        <v>0.0</v>
      </c>
      <c r="K483" s="42">
        <v>0.0</v>
      </c>
      <c r="L483" s="42">
        <v>0.0</v>
      </c>
      <c r="M483" s="42">
        <v>0.0</v>
      </c>
      <c r="N483" s="42">
        <v>0.0</v>
      </c>
      <c r="O483" s="42">
        <v>0.0</v>
      </c>
      <c r="P483" s="42">
        <v>0.0</v>
      </c>
      <c r="Q483" s="42">
        <v>0.0</v>
      </c>
    </row>
    <row r="484">
      <c r="A484" s="37" t="s">
        <v>101</v>
      </c>
      <c r="B484" s="36">
        <v>0.7354166666666667</v>
      </c>
      <c r="C484" s="37" t="s">
        <v>31</v>
      </c>
      <c r="D484" s="37" t="s">
        <v>95</v>
      </c>
      <c r="E484" s="37" t="s">
        <v>92</v>
      </c>
      <c r="F484" s="38">
        <v>0.0</v>
      </c>
      <c r="G484" s="38">
        <v>0.0</v>
      </c>
      <c r="H484" s="38">
        <v>0.0</v>
      </c>
      <c r="I484" s="38">
        <v>0.0</v>
      </c>
      <c r="J484" s="38">
        <v>0.0</v>
      </c>
      <c r="K484" s="38">
        <v>0.0</v>
      </c>
      <c r="L484" s="38">
        <v>0.0</v>
      </c>
      <c r="M484" s="38">
        <v>0.0</v>
      </c>
      <c r="N484" s="38">
        <v>0.0</v>
      </c>
      <c r="O484" s="38">
        <v>0.0</v>
      </c>
      <c r="P484" s="38">
        <v>0.0</v>
      </c>
      <c r="Q484" s="38">
        <v>0.0</v>
      </c>
    </row>
    <row r="485">
      <c r="A485" s="45" t="s">
        <v>101</v>
      </c>
      <c r="B485" s="44">
        <v>0.7354166666666667</v>
      </c>
      <c r="C485" s="45" t="s">
        <v>96</v>
      </c>
      <c r="D485" s="45" t="s">
        <v>75</v>
      </c>
      <c r="E485" s="45" t="s">
        <v>52</v>
      </c>
      <c r="F485" s="46">
        <v>6.0</v>
      </c>
      <c r="G485" s="46">
        <v>3.0</v>
      </c>
      <c r="H485" s="46">
        <v>0.0</v>
      </c>
      <c r="I485" s="46">
        <v>0.0</v>
      </c>
      <c r="J485" s="46">
        <v>0.0</v>
      </c>
      <c r="K485" s="46">
        <v>6.0</v>
      </c>
      <c r="L485" s="46">
        <v>6.0</v>
      </c>
      <c r="M485" s="46">
        <v>0.0</v>
      </c>
      <c r="N485" s="46">
        <v>0.0</v>
      </c>
      <c r="O485" s="46">
        <v>0.0</v>
      </c>
      <c r="P485" s="46">
        <v>3.0</v>
      </c>
      <c r="Q485" s="46">
        <v>3.0</v>
      </c>
    </row>
    <row r="486">
      <c r="A486" s="45" t="s">
        <v>101</v>
      </c>
      <c r="B486" s="44">
        <v>0.7354166666666667</v>
      </c>
      <c r="C486" s="45" t="s">
        <v>96</v>
      </c>
      <c r="D486" s="45" t="s">
        <v>75</v>
      </c>
      <c r="E486" s="45" t="s">
        <v>88</v>
      </c>
      <c r="F486" s="46">
        <v>0.0</v>
      </c>
      <c r="G486" s="46">
        <v>0.0</v>
      </c>
      <c r="H486" s="46">
        <v>0.0</v>
      </c>
      <c r="I486" s="46">
        <v>0.0</v>
      </c>
      <c r="J486" s="46">
        <v>0.0</v>
      </c>
      <c r="K486" s="46">
        <v>0.0</v>
      </c>
      <c r="L486" s="46">
        <v>0.0</v>
      </c>
      <c r="M486" s="46">
        <v>0.0</v>
      </c>
      <c r="N486" s="46">
        <v>0.0</v>
      </c>
      <c r="O486" s="46">
        <v>0.0</v>
      </c>
      <c r="P486" s="46">
        <v>0.0</v>
      </c>
      <c r="Q486" s="46">
        <v>0.0</v>
      </c>
    </row>
    <row r="487">
      <c r="A487" s="45" t="s">
        <v>101</v>
      </c>
      <c r="B487" s="44">
        <v>0.7354166666666667</v>
      </c>
      <c r="C487" s="45" t="s">
        <v>96</v>
      </c>
      <c r="D487" s="45" t="s">
        <v>75</v>
      </c>
      <c r="E487" s="45" t="s">
        <v>89</v>
      </c>
      <c r="F487" s="46">
        <v>1.0</v>
      </c>
      <c r="G487" s="46">
        <v>0.0</v>
      </c>
      <c r="H487" s="46">
        <v>0.0</v>
      </c>
      <c r="I487" s="46">
        <v>0.0</v>
      </c>
      <c r="J487" s="46">
        <v>0.0</v>
      </c>
      <c r="K487" s="46">
        <v>1.0</v>
      </c>
      <c r="L487" s="46">
        <v>1.0</v>
      </c>
      <c r="M487" s="46">
        <v>0.0</v>
      </c>
      <c r="N487" s="46">
        <v>0.0</v>
      </c>
      <c r="O487" s="46">
        <v>0.0</v>
      </c>
      <c r="P487" s="46">
        <v>0.0</v>
      </c>
      <c r="Q487" s="46">
        <v>0.0</v>
      </c>
    </row>
    <row r="488">
      <c r="A488" s="45" t="s">
        <v>101</v>
      </c>
      <c r="B488" s="44">
        <v>0.7354166666666667</v>
      </c>
      <c r="C488" s="45" t="s">
        <v>96</v>
      </c>
      <c r="D488" s="45" t="s">
        <v>75</v>
      </c>
      <c r="E488" s="45" t="s">
        <v>50</v>
      </c>
      <c r="F488" s="46">
        <v>1.0</v>
      </c>
      <c r="G488" s="46">
        <v>1.0</v>
      </c>
      <c r="H488" s="46">
        <v>0.0</v>
      </c>
      <c r="I488" s="46">
        <v>0.0</v>
      </c>
      <c r="J488" s="46">
        <v>0.0</v>
      </c>
      <c r="K488" s="46">
        <v>0.0</v>
      </c>
      <c r="L488" s="46">
        <v>1.0</v>
      </c>
      <c r="M488" s="46">
        <v>0.0</v>
      </c>
      <c r="N488" s="46">
        <v>0.0</v>
      </c>
      <c r="O488" s="46">
        <v>0.0</v>
      </c>
      <c r="P488" s="46">
        <v>0.0</v>
      </c>
      <c r="Q488" s="46">
        <v>1.0</v>
      </c>
    </row>
    <row r="489">
      <c r="A489" s="45" t="s">
        <v>101</v>
      </c>
      <c r="B489" s="44">
        <v>0.7354166666666667</v>
      </c>
      <c r="C489" s="45" t="s">
        <v>96</v>
      </c>
      <c r="D489" s="45" t="s">
        <v>75</v>
      </c>
      <c r="E489" s="45" t="s">
        <v>90</v>
      </c>
      <c r="F489" s="46">
        <v>0.0</v>
      </c>
      <c r="G489" s="46">
        <v>0.0</v>
      </c>
      <c r="H489" s="46">
        <v>0.0</v>
      </c>
      <c r="I489" s="46">
        <v>0.0</v>
      </c>
      <c r="J489" s="46">
        <v>0.0</v>
      </c>
      <c r="K489" s="46">
        <v>0.0</v>
      </c>
      <c r="L489" s="46">
        <v>0.0</v>
      </c>
      <c r="M489" s="46">
        <v>0.0</v>
      </c>
      <c r="N489" s="46">
        <v>0.0</v>
      </c>
      <c r="O489" s="46">
        <v>0.0</v>
      </c>
      <c r="P489" s="46">
        <v>0.0</v>
      </c>
      <c r="Q489" s="46">
        <v>0.0</v>
      </c>
    </row>
    <row r="490">
      <c r="A490" s="45" t="s">
        <v>101</v>
      </c>
      <c r="B490" s="44">
        <v>0.7354166666666667</v>
      </c>
      <c r="C490" s="45" t="s">
        <v>96</v>
      </c>
      <c r="D490" s="45" t="s">
        <v>75</v>
      </c>
      <c r="E490" s="45" t="s">
        <v>91</v>
      </c>
      <c r="F490" s="46">
        <v>0.0</v>
      </c>
      <c r="G490" s="46">
        <v>0.0</v>
      </c>
      <c r="H490" s="46">
        <v>0.0</v>
      </c>
      <c r="I490" s="46">
        <v>0.0</v>
      </c>
      <c r="J490" s="46">
        <v>0.0</v>
      </c>
      <c r="K490" s="46">
        <v>0.0</v>
      </c>
      <c r="L490" s="46">
        <v>0.0</v>
      </c>
      <c r="M490" s="46">
        <v>0.0</v>
      </c>
      <c r="N490" s="46">
        <v>0.0</v>
      </c>
      <c r="O490" s="46">
        <v>0.0</v>
      </c>
      <c r="P490" s="46">
        <v>0.0</v>
      </c>
      <c r="Q490" s="46">
        <v>0.0</v>
      </c>
    </row>
    <row r="491">
      <c r="A491" s="45" t="s">
        <v>101</v>
      </c>
      <c r="B491" s="44">
        <v>0.7354166666666667</v>
      </c>
      <c r="C491" s="45" t="s">
        <v>96</v>
      </c>
      <c r="D491" s="45" t="s">
        <v>75</v>
      </c>
      <c r="E491" s="45" t="s">
        <v>92</v>
      </c>
      <c r="F491" s="46">
        <v>0.0</v>
      </c>
      <c r="G491" s="46">
        <v>0.0</v>
      </c>
      <c r="H491" s="46">
        <v>0.0</v>
      </c>
      <c r="I491" s="46">
        <v>0.0</v>
      </c>
      <c r="J491" s="46">
        <v>0.0</v>
      </c>
      <c r="K491" s="46">
        <v>0.0</v>
      </c>
      <c r="L491" s="46">
        <v>0.0</v>
      </c>
      <c r="M491" s="46">
        <v>0.0</v>
      </c>
      <c r="N491" s="46">
        <v>0.0</v>
      </c>
      <c r="O491" s="46">
        <v>0.0</v>
      </c>
      <c r="P491" s="46">
        <v>0.0</v>
      </c>
      <c r="Q491" s="46">
        <v>0.0</v>
      </c>
    </row>
    <row r="492">
      <c r="A492" s="37" t="s">
        <v>102</v>
      </c>
      <c r="B492" s="36">
        <v>0.7347222222222223</v>
      </c>
      <c r="C492" s="37" t="s">
        <v>15</v>
      </c>
      <c r="D492" s="37" t="s">
        <v>87</v>
      </c>
      <c r="E492" s="37" t="s">
        <v>52</v>
      </c>
      <c r="F492" s="38">
        <v>1.0</v>
      </c>
      <c r="G492" s="38">
        <v>1.0</v>
      </c>
      <c r="H492" s="38">
        <v>1.0</v>
      </c>
      <c r="I492" s="38">
        <v>0.0</v>
      </c>
      <c r="J492" s="38">
        <v>0.0</v>
      </c>
      <c r="K492" s="38">
        <v>1.0</v>
      </c>
      <c r="L492" s="38">
        <v>1.0</v>
      </c>
      <c r="M492" s="38">
        <v>1.0</v>
      </c>
      <c r="N492" s="38">
        <v>0.0</v>
      </c>
      <c r="O492" s="38">
        <v>0.0</v>
      </c>
      <c r="P492" s="38">
        <v>1.0</v>
      </c>
      <c r="Q492" s="38">
        <v>1.0</v>
      </c>
    </row>
    <row r="493">
      <c r="A493" s="41" t="s">
        <v>102</v>
      </c>
      <c r="B493" s="40">
        <v>0.7347222222222223</v>
      </c>
      <c r="C493" s="41" t="s">
        <v>15</v>
      </c>
      <c r="D493" s="41" t="s">
        <v>87</v>
      </c>
      <c r="E493" s="41" t="s">
        <v>88</v>
      </c>
      <c r="F493" s="42">
        <v>0.0</v>
      </c>
      <c r="G493" s="42">
        <v>0.0</v>
      </c>
      <c r="H493" s="42">
        <v>0.0</v>
      </c>
      <c r="I493" s="42">
        <v>0.0</v>
      </c>
      <c r="J493" s="42">
        <v>0.0</v>
      </c>
      <c r="K493" s="42">
        <v>0.0</v>
      </c>
      <c r="L493" s="42">
        <v>0.0</v>
      </c>
      <c r="M493" s="42">
        <v>0.0</v>
      </c>
      <c r="N493" s="42">
        <v>0.0</v>
      </c>
      <c r="O493" s="42">
        <v>0.0</v>
      </c>
      <c r="P493" s="42">
        <v>0.0</v>
      </c>
      <c r="Q493" s="42">
        <v>0.0</v>
      </c>
    </row>
    <row r="494">
      <c r="A494" s="37" t="s">
        <v>102</v>
      </c>
      <c r="B494" s="36">
        <v>0.7347222222222223</v>
      </c>
      <c r="C494" s="37" t="s">
        <v>15</v>
      </c>
      <c r="D494" s="37" t="s">
        <v>87</v>
      </c>
      <c r="E494" s="37" t="s">
        <v>89</v>
      </c>
      <c r="F494" s="38">
        <v>0.0</v>
      </c>
      <c r="G494" s="38">
        <v>0.0</v>
      </c>
      <c r="H494" s="38">
        <v>0.0</v>
      </c>
      <c r="I494" s="38">
        <v>0.0</v>
      </c>
      <c r="J494" s="38">
        <v>0.0</v>
      </c>
      <c r="K494" s="38">
        <v>0.0</v>
      </c>
      <c r="L494" s="38">
        <v>0.0</v>
      </c>
      <c r="M494" s="38">
        <v>0.0</v>
      </c>
      <c r="N494" s="38">
        <v>0.0</v>
      </c>
      <c r="O494" s="38">
        <v>0.0</v>
      </c>
      <c r="P494" s="38">
        <v>0.0</v>
      </c>
      <c r="Q494" s="38">
        <v>0.0</v>
      </c>
    </row>
    <row r="495">
      <c r="A495" s="41" t="s">
        <v>102</v>
      </c>
      <c r="B495" s="40">
        <v>0.7347222222222223</v>
      </c>
      <c r="C495" s="41" t="s">
        <v>15</v>
      </c>
      <c r="D495" s="41" t="s">
        <v>87</v>
      </c>
      <c r="E495" s="41" t="s">
        <v>50</v>
      </c>
      <c r="F495" s="42">
        <v>0.0</v>
      </c>
      <c r="G495" s="42">
        <v>0.0</v>
      </c>
      <c r="H495" s="42">
        <v>0.0</v>
      </c>
      <c r="I495" s="42">
        <v>0.0</v>
      </c>
      <c r="J495" s="42">
        <v>0.0</v>
      </c>
      <c r="K495" s="42">
        <v>0.0</v>
      </c>
      <c r="L495" s="42">
        <v>0.0</v>
      </c>
      <c r="M495" s="42">
        <v>0.0</v>
      </c>
      <c r="N495" s="42">
        <v>0.0</v>
      </c>
      <c r="O495" s="42">
        <v>0.0</v>
      </c>
      <c r="P495" s="42">
        <v>0.0</v>
      </c>
      <c r="Q495" s="42">
        <v>0.0</v>
      </c>
    </row>
    <row r="496">
      <c r="A496" s="37" t="s">
        <v>102</v>
      </c>
      <c r="B496" s="36">
        <v>0.7347222222222223</v>
      </c>
      <c r="C496" s="37" t="s">
        <v>15</v>
      </c>
      <c r="D496" s="37" t="s">
        <v>87</v>
      </c>
      <c r="E496" s="37" t="s">
        <v>90</v>
      </c>
      <c r="F496" s="38">
        <v>0.0</v>
      </c>
      <c r="G496" s="38">
        <v>0.0</v>
      </c>
      <c r="H496" s="38">
        <v>0.0</v>
      </c>
      <c r="I496" s="38">
        <v>0.0</v>
      </c>
      <c r="J496" s="38">
        <v>0.0</v>
      </c>
      <c r="K496" s="38">
        <v>0.0</v>
      </c>
      <c r="L496" s="38">
        <v>0.0</v>
      </c>
      <c r="M496" s="38">
        <v>0.0</v>
      </c>
      <c r="N496" s="38">
        <v>0.0</v>
      </c>
      <c r="O496" s="38">
        <v>0.0</v>
      </c>
      <c r="P496" s="38">
        <v>0.0</v>
      </c>
      <c r="Q496" s="38">
        <v>0.0</v>
      </c>
    </row>
    <row r="497">
      <c r="A497" s="41" t="s">
        <v>102</v>
      </c>
      <c r="B497" s="40">
        <v>0.7347222222222223</v>
      </c>
      <c r="C497" s="41" t="s">
        <v>15</v>
      </c>
      <c r="D497" s="41" t="s">
        <v>87</v>
      </c>
      <c r="E497" s="41" t="s">
        <v>91</v>
      </c>
      <c r="F497" s="42">
        <v>0.0</v>
      </c>
      <c r="G497" s="42">
        <v>0.0</v>
      </c>
      <c r="H497" s="42">
        <v>0.0</v>
      </c>
      <c r="I497" s="42">
        <v>0.0</v>
      </c>
      <c r="J497" s="42">
        <v>0.0</v>
      </c>
      <c r="K497" s="42">
        <v>0.0</v>
      </c>
      <c r="L497" s="42">
        <v>0.0</v>
      </c>
      <c r="M497" s="42">
        <v>0.0</v>
      </c>
      <c r="N497" s="42">
        <v>0.0</v>
      </c>
      <c r="O497" s="42">
        <v>0.0</v>
      </c>
      <c r="P497" s="42">
        <v>0.0</v>
      </c>
      <c r="Q497" s="42">
        <v>0.0</v>
      </c>
    </row>
    <row r="498">
      <c r="A498" s="37" t="s">
        <v>102</v>
      </c>
      <c r="B498" s="36">
        <v>0.7347222222222223</v>
      </c>
      <c r="C498" s="37" t="s">
        <v>15</v>
      </c>
      <c r="D498" s="37" t="s">
        <v>87</v>
      </c>
      <c r="E498" s="37" t="s">
        <v>92</v>
      </c>
      <c r="F498" s="38">
        <v>0.0</v>
      </c>
      <c r="G498" s="38">
        <v>0.0</v>
      </c>
      <c r="H498" s="38">
        <v>0.0</v>
      </c>
      <c r="I498" s="38">
        <v>0.0</v>
      </c>
      <c r="J498" s="38">
        <v>0.0</v>
      </c>
      <c r="K498" s="38">
        <v>0.0</v>
      </c>
      <c r="L498" s="38">
        <v>0.0</v>
      </c>
      <c r="M498" s="38">
        <v>0.0</v>
      </c>
      <c r="N498" s="38">
        <v>0.0</v>
      </c>
      <c r="O498" s="38">
        <v>0.0</v>
      </c>
      <c r="P498" s="38">
        <v>0.0</v>
      </c>
      <c r="Q498" s="38">
        <v>0.0</v>
      </c>
    </row>
    <row r="499">
      <c r="A499" s="41" t="s">
        <v>102</v>
      </c>
      <c r="B499" s="40">
        <v>0.7347222222222223</v>
      </c>
      <c r="C499" s="41" t="s">
        <v>23</v>
      </c>
      <c r="D499" s="41" t="s">
        <v>93</v>
      </c>
      <c r="E499" s="41" t="s">
        <v>52</v>
      </c>
      <c r="F499" s="42">
        <v>1.0</v>
      </c>
      <c r="G499" s="42">
        <v>1.0</v>
      </c>
      <c r="H499" s="42">
        <v>0.0</v>
      </c>
      <c r="I499" s="42">
        <v>0.0</v>
      </c>
      <c r="J499" s="42">
        <v>0.0</v>
      </c>
      <c r="K499" s="42">
        <v>1.0</v>
      </c>
      <c r="L499" s="42">
        <v>1.0</v>
      </c>
      <c r="M499" s="42">
        <v>0.0</v>
      </c>
      <c r="N499" s="42">
        <v>0.0</v>
      </c>
      <c r="O499" s="42">
        <v>0.0</v>
      </c>
      <c r="P499" s="42">
        <v>1.0</v>
      </c>
      <c r="Q499" s="42">
        <v>1.0</v>
      </c>
    </row>
    <row r="500">
      <c r="A500" s="37" t="s">
        <v>102</v>
      </c>
      <c r="B500" s="36">
        <v>0.7347222222222223</v>
      </c>
      <c r="C500" s="37" t="s">
        <v>23</v>
      </c>
      <c r="D500" s="37" t="s">
        <v>93</v>
      </c>
      <c r="E500" s="37" t="s">
        <v>88</v>
      </c>
      <c r="F500" s="38">
        <v>0.0</v>
      </c>
      <c r="G500" s="38">
        <v>0.0</v>
      </c>
      <c r="H500" s="38">
        <v>0.0</v>
      </c>
      <c r="I500" s="38">
        <v>0.0</v>
      </c>
      <c r="J500" s="38">
        <v>0.0</v>
      </c>
      <c r="K500" s="38">
        <v>0.0</v>
      </c>
      <c r="L500" s="38">
        <v>0.0</v>
      </c>
      <c r="M500" s="38">
        <v>0.0</v>
      </c>
      <c r="N500" s="38">
        <v>0.0</v>
      </c>
      <c r="O500" s="38">
        <v>0.0</v>
      </c>
      <c r="P500" s="38">
        <v>0.0</v>
      </c>
      <c r="Q500" s="38">
        <v>0.0</v>
      </c>
    </row>
    <row r="501">
      <c r="A501" s="41" t="s">
        <v>102</v>
      </c>
      <c r="B501" s="40">
        <v>0.7347222222222223</v>
      </c>
      <c r="C501" s="41" t="s">
        <v>23</v>
      </c>
      <c r="D501" s="41" t="s">
        <v>93</v>
      </c>
      <c r="E501" s="41" t="s">
        <v>89</v>
      </c>
      <c r="F501" s="42">
        <v>0.0</v>
      </c>
      <c r="G501" s="42">
        <v>0.0</v>
      </c>
      <c r="H501" s="42">
        <v>0.0</v>
      </c>
      <c r="I501" s="42">
        <v>0.0</v>
      </c>
      <c r="J501" s="42">
        <v>0.0</v>
      </c>
      <c r="K501" s="42">
        <v>0.0</v>
      </c>
      <c r="L501" s="42">
        <v>0.0</v>
      </c>
      <c r="M501" s="42">
        <v>0.0</v>
      </c>
      <c r="N501" s="42">
        <v>0.0</v>
      </c>
      <c r="O501" s="42">
        <v>0.0</v>
      </c>
      <c r="P501" s="42">
        <v>0.0</v>
      </c>
      <c r="Q501" s="42">
        <v>0.0</v>
      </c>
    </row>
    <row r="502">
      <c r="A502" s="37" t="s">
        <v>102</v>
      </c>
      <c r="B502" s="36">
        <v>0.7347222222222223</v>
      </c>
      <c r="C502" s="37" t="s">
        <v>23</v>
      </c>
      <c r="D502" s="37" t="s">
        <v>93</v>
      </c>
      <c r="E502" s="37" t="s">
        <v>50</v>
      </c>
      <c r="F502" s="38">
        <v>0.0</v>
      </c>
      <c r="G502" s="38">
        <v>0.0</v>
      </c>
      <c r="H502" s="38">
        <v>0.0</v>
      </c>
      <c r="I502" s="38">
        <v>0.0</v>
      </c>
      <c r="J502" s="38">
        <v>0.0</v>
      </c>
      <c r="K502" s="38">
        <v>0.0</v>
      </c>
      <c r="L502" s="38">
        <v>0.0</v>
      </c>
      <c r="M502" s="38">
        <v>0.0</v>
      </c>
      <c r="N502" s="38">
        <v>0.0</v>
      </c>
      <c r="O502" s="38">
        <v>0.0</v>
      </c>
      <c r="P502" s="38">
        <v>0.0</v>
      </c>
      <c r="Q502" s="38">
        <v>0.0</v>
      </c>
    </row>
    <row r="503">
      <c r="A503" s="41" t="s">
        <v>102</v>
      </c>
      <c r="B503" s="40">
        <v>0.7347222222222223</v>
      </c>
      <c r="C503" s="41" t="s">
        <v>23</v>
      </c>
      <c r="D503" s="41" t="s">
        <v>93</v>
      </c>
      <c r="E503" s="41" t="s">
        <v>90</v>
      </c>
      <c r="F503" s="42">
        <v>0.0</v>
      </c>
      <c r="G503" s="42">
        <v>0.0</v>
      </c>
      <c r="H503" s="42">
        <v>0.0</v>
      </c>
      <c r="I503" s="42">
        <v>0.0</v>
      </c>
      <c r="J503" s="42">
        <v>0.0</v>
      </c>
      <c r="K503" s="42">
        <v>0.0</v>
      </c>
      <c r="L503" s="42">
        <v>0.0</v>
      </c>
      <c r="M503" s="42">
        <v>0.0</v>
      </c>
      <c r="N503" s="42">
        <v>0.0</v>
      </c>
      <c r="O503" s="42">
        <v>0.0</v>
      </c>
      <c r="P503" s="42">
        <v>0.0</v>
      </c>
      <c r="Q503" s="42">
        <v>0.0</v>
      </c>
    </row>
    <row r="504">
      <c r="A504" s="37" t="s">
        <v>102</v>
      </c>
      <c r="B504" s="36">
        <v>0.7347222222222223</v>
      </c>
      <c r="C504" s="37" t="s">
        <v>23</v>
      </c>
      <c r="D504" s="37" t="s">
        <v>93</v>
      </c>
      <c r="E504" s="37" t="s">
        <v>91</v>
      </c>
      <c r="F504" s="38">
        <v>0.0</v>
      </c>
      <c r="G504" s="38">
        <v>0.0</v>
      </c>
      <c r="H504" s="38">
        <v>0.0</v>
      </c>
      <c r="I504" s="38">
        <v>0.0</v>
      </c>
      <c r="J504" s="38">
        <v>0.0</v>
      </c>
      <c r="K504" s="38">
        <v>0.0</v>
      </c>
      <c r="L504" s="38">
        <v>0.0</v>
      </c>
      <c r="M504" s="38">
        <v>0.0</v>
      </c>
      <c r="N504" s="38">
        <v>0.0</v>
      </c>
      <c r="O504" s="38">
        <v>0.0</v>
      </c>
      <c r="P504" s="38">
        <v>0.0</v>
      </c>
      <c r="Q504" s="38">
        <v>0.0</v>
      </c>
    </row>
    <row r="505">
      <c r="A505" s="41" t="s">
        <v>102</v>
      </c>
      <c r="B505" s="40">
        <v>0.7347222222222223</v>
      </c>
      <c r="C505" s="41" t="s">
        <v>23</v>
      </c>
      <c r="D505" s="41" t="s">
        <v>93</v>
      </c>
      <c r="E505" s="41" t="s">
        <v>92</v>
      </c>
      <c r="F505" s="42">
        <v>0.0</v>
      </c>
      <c r="G505" s="42">
        <v>0.0</v>
      </c>
      <c r="H505" s="42">
        <v>0.0</v>
      </c>
      <c r="I505" s="42">
        <v>0.0</v>
      </c>
      <c r="J505" s="42">
        <v>0.0</v>
      </c>
      <c r="K505" s="42">
        <v>0.0</v>
      </c>
      <c r="L505" s="42">
        <v>0.0</v>
      </c>
      <c r="M505" s="42">
        <v>0.0</v>
      </c>
      <c r="N505" s="42">
        <v>0.0</v>
      </c>
      <c r="O505" s="42">
        <v>0.0</v>
      </c>
      <c r="P505" s="42">
        <v>0.0</v>
      </c>
      <c r="Q505" s="42">
        <v>0.0</v>
      </c>
    </row>
    <row r="506">
      <c r="A506" s="37" t="s">
        <v>102</v>
      </c>
      <c r="B506" s="36">
        <v>0.7347222222222223</v>
      </c>
      <c r="C506" s="37" t="s">
        <v>29</v>
      </c>
      <c r="D506" s="37" t="s">
        <v>94</v>
      </c>
      <c r="E506" s="37" t="s">
        <v>52</v>
      </c>
      <c r="F506" s="38">
        <v>6.0</v>
      </c>
      <c r="G506" s="38">
        <v>3.0</v>
      </c>
      <c r="H506" s="38">
        <v>0.0</v>
      </c>
      <c r="I506" s="38">
        <v>0.0</v>
      </c>
      <c r="J506" s="38">
        <v>0.0</v>
      </c>
      <c r="K506" s="38">
        <v>6.0</v>
      </c>
      <c r="L506" s="38">
        <v>6.0</v>
      </c>
      <c r="M506" s="38">
        <v>0.0</v>
      </c>
      <c r="N506" s="38">
        <v>0.0</v>
      </c>
      <c r="O506" s="38">
        <v>0.0</v>
      </c>
      <c r="P506" s="38">
        <v>3.0</v>
      </c>
      <c r="Q506" s="38">
        <v>3.0</v>
      </c>
    </row>
    <row r="507">
      <c r="A507" s="41" t="s">
        <v>102</v>
      </c>
      <c r="B507" s="40">
        <v>0.7347222222222223</v>
      </c>
      <c r="C507" s="41" t="s">
        <v>29</v>
      </c>
      <c r="D507" s="41" t="s">
        <v>94</v>
      </c>
      <c r="E507" s="41" t="s">
        <v>88</v>
      </c>
      <c r="F507" s="42">
        <v>0.0</v>
      </c>
      <c r="G507" s="42">
        <v>0.0</v>
      </c>
      <c r="H507" s="42">
        <v>0.0</v>
      </c>
      <c r="I507" s="42">
        <v>0.0</v>
      </c>
      <c r="J507" s="42">
        <v>0.0</v>
      </c>
      <c r="K507" s="42">
        <v>0.0</v>
      </c>
      <c r="L507" s="42">
        <v>0.0</v>
      </c>
      <c r="M507" s="42">
        <v>0.0</v>
      </c>
      <c r="N507" s="42">
        <v>0.0</v>
      </c>
      <c r="O507" s="42">
        <v>0.0</v>
      </c>
      <c r="P507" s="42">
        <v>0.0</v>
      </c>
      <c r="Q507" s="42">
        <v>0.0</v>
      </c>
    </row>
    <row r="508">
      <c r="A508" s="37" t="s">
        <v>102</v>
      </c>
      <c r="B508" s="36">
        <v>0.7347222222222223</v>
      </c>
      <c r="C508" s="37" t="s">
        <v>29</v>
      </c>
      <c r="D508" s="37" t="s">
        <v>94</v>
      </c>
      <c r="E508" s="37" t="s">
        <v>89</v>
      </c>
      <c r="F508" s="38">
        <v>1.0</v>
      </c>
      <c r="G508" s="38">
        <v>0.0</v>
      </c>
      <c r="H508" s="38">
        <v>0.0</v>
      </c>
      <c r="I508" s="38">
        <v>0.0</v>
      </c>
      <c r="J508" s="38">
        <v>0.0</v>
      </c>
      <c r="K508" s="38">
        <v>1.0</v>
      </c>
      <c r="L508" s="38">
        <v>1.0</v>
      </c>
      <c r="M508" s="38">
        <v>0.0</v>
      </c>
      <c r="N508" s="38">
        <v>0.0</v>
      </c>
      <c r="O508" s="38">
        <v>0.0</v>
      </c>
      <c r="P508" s="38">
        <v>0.0</v>
      </c>
      <c r="Q508" s="38">
        <v>0.0</v>
      </c>
    </row>
    <row r="509">
      <c r="A509" s="41" t="s">
        <v>102</v>
      </c>
      <c r="B509" s="40">
        <v>0.7347222222222223</v>
      </c>
      <c r="C509" s="41" t="s">
        <v>29</v>
      </c>
      <c r="D509" s="41" t="s">
        <v>94</v>
      </c>
      <c r="E509" s="41" t="s">
        <v>50</v>
      </c>
      <c r="F509" s="42">
        <v>0.0</v>
      </c>
      <c r="G509" s="42">
        <v>0.0</v>
      </c>
      <c r="H509" s="42">
        <v>0.0</v>
      </c>
      <c r="I509" s="42">
        <v>0.0</v>
      </c>
      <c r="J509" s="42">
        <v>0.0</v>
      </c>
      <c r="K509" s="42">
        <v>0.0</v>
      </c>
      <c r="L509" s="42">
        <v>0.0</v>
      </c>
      <c r="M509" s="42">
        <v>0.0</v>
      </c>
      <c r="N509" s="42">
        <v>0.0</v>
      </c>
      <c r="O509" s="42">
        <v>0.0</v>
      </c>
      <c r="P509" s="42">
        <v>0.0</v>
      </c>
      <c r="Q509" s="42">
        <v>0.0</v>
      </c>
    </row>
    <row r="510">
      <c r="A510" s="37" t="s">
        <v>102</v>
      </c>
      <c r="B510" s="36">
        <v>0.7347222222222223</v>
      </c>
      <c r="C510" s="37" t="s">
        <v>29</v>
      </c>
      <c r="D510" s="37" t="s">
        <v>94</v>
      </c>
      <c r="E510" s="37" t="s">
        <v>90</v>
      </c>
      <c r="F510" s="38">
        <v>0.0</v>
      </c>
      <c r="G510" s="38">
        <v>0.0</v>
      </c>
      <c r="H510" s="38">
        <v>0.0</v>
      </c>
      <c r="I510" s="38">
        <v>0.0</v>
      </c>
      <c r="J510" s="38">
        <v>0.0</v>
      </c>
      <c r="K510" s="38">
        <v>0.0</v>
      </c>
      <c r="L510" s="38">
        <v>0.0</v>
      </c>
      <c r="M510" s="38">
        <v>0.0</v>
      </c>
      <c r="N510" s="38">
        <v>0.0</v>
      </c>
      <c r="O510" s="38">
        <v>0.0</v>
      </c>
      <c r="P510" s="38">
        <v>0.0</v>
      </c>
      <c r="Q510" s="38">
        <v>0.0</v>
      </c>
    </row>
    <row r="511">
      <c r="A511" s="41" t="s">
        <v>102</v>
      </c>
      <c r="B511" s="40">
        <v>0.7347222222222223</v>
      </c>
      <c r="C511" s="41" t="s">
        <v>29</v>
      </c>
      <c r="D511" s="41" t="s">
        <v>94</v>
      </c>
      <c r="E511" s="41" t="s">
        <v>91</v>
      </c>
      <c r="F511" s="42">
        <v>0.0</v>
      </c>
      <c r="G511" s="42">
        <v>0.0</v>
      </c>
      <c r="H511" s="42">
        <v>0.0</v>
      </c>
      <c r="I511" s="42">
        <v>0.0</v>
      </c>
      <c r="J511" s="42">
        <v>0.0</v>
      </c>
      <c r="K511" s="42">
        <v>0.0</v>
      </c>
      <c r="L511" s="42">
        <v>0.0</v>
      </c>
      <c r="M511" s="42">
        <v>0.0</v>
      </c>
      <c r="N511" s="42">
        <v>0.0</v>
      </c>
      <c r="O511" s="42">
        <v>0.0</v>
      </c>
      <c r="P511" s="42">
        <v>0.0</v>
      </c>
      <c r="Q511" s="42">
        <v>0.0</v>
      </c>
    </row>
    <row r="512">
      <c r="A512" s="37" t="s">
        <v>102</v>
      </c>
      <c r="B512" s="36">
        <v>0.7347222222222223</v>
      </c>
      <c r="C512" s="37" t="s">
        <v>29</v>
      </c>
      <c r="D512" s="37" t="s">
        <v>94</v>
      </c>
      <c r="E512" s="37" t="s">
        <v>92</v>
      </c>
      <c r="F512" s="38">
        <v>0.0</v>
      </c>
      <c r="G512" s="38">
        <v>0.0</v>
      </c>
      <c r="H512" s="38">
        <v>0.0</v>
      </c>
      <c r="I512" s="38">
        <v>0.0</v>
      </c>
      <c r="J512" s="38">
        <v>0.0</v>
      </c>
      <c r="K512" s="38">
        <v>0.0</v>
      </c>
      <c r="L512" s="38">
        <v>0.0</v>
      </c>
      <c r="M512" s="38">
        <v>0.0</v>
      </c>
      <c r="N512" s="38">
        <v>0.0</v>
      </c>
      <c r="O512" s="38">
        <v>0.0</v>
      </c>
      <c r="P512" s="38">
        <v>0.0</v>
      </c>
      <c r="Q512" s="38">
        <v>0.0</v>
      </c>
    </row>
    <row r="513">
      <c r="A513" s="41" t="s">
        <v>102</v>
      </c>
      <c r="B513" s="40">
        <v>0.7347222222222223</v>
      </c>
      <c r="C513" s="41" t="s">
        <v>31</v>
      </c>
      <c r="D513" s="41" t="s">
        <v>95</v>
      </c>
      <c r="E513" s="41" t="s">
        <v>52</v>
      </c>
      <c r="F513" s="42">
        <v>0.0</v>
      </c>
      <c r="G513" s="42">
        <v>0.0</v>
      </c>
      <c r="H513" s="42">
        <v>0.0</v>
      </c>
      <c r="I513" s="42">
        <v>0.0</v>
      </c>
      <c r="J513" s="42">
        <v>0.0</v>
      </c>
      <c r="K513" s="42">
        <v>0.0</v>
      </c>
      <c r="L513" s="42">
        <v>0.0</v>
      </c>
      <c r="M513" s="42">
        <v>0.0</v>
      </c>
      <c r="N513" s="42">
        <v>0.0</v>
      </c>
      <c r="O513" s="42">
        <v>0.0</v>
      </c>
      <c r="P513" s="42">
        <v>0.0</v>
      </c>
      <c r="Q513" s="42">
        <v>0.0</v>
      </c>
    </row>
    <row r="514">
      <c r="A514" s="37" t="s">
        <v>102</v>
      </c>
      <c r="B514" s="36">
        <v>0.7347222222222223</v>
      </c>
      <c r="C514" s="37" t="s">
        <v>31</v>
      </c>
      <c r="D514" s="37" t="s">
        <v>95</v>
      </c>
      <c r="E514" s="37" t="s">
        <v>88</v>
      </c>
      <c r="F514" s="38">
        <v>0.0</v>
      </c>
      <c r="G514" s="38">
        <v>0.0</v>
      </c>
      <c r="H514" s="38">
        <v>0.0</v>
      </c>
      <c r="I514" s="38">
        <v>0.0</v>
      </c>
      <c r="J514" s="38">
        <v>0.0</v>
      </c>
      <c r="K514" s="38">
        <v>0.0</v>
      </c>
      <c r="L514" s="38">
        <v>0.0</v>
      </c>
      <c r="M514" s="38">
        <v>0.0</v>
      </c>
      <c r="N514" s="38">
        <v>0.0</v>
      </c>
      <c r="O514" s="38">
        <v>0.0</v>
      </c>
      <c r="P514" s="38">
        <v>0.0</v>
      </c>
      <c r="Q514" s="38">
        <v>0.0</v>
      </c>
    </row>
    <row r="515">
      <c r="A515" s="41" t="s">
        <v>102</v>
      </c>
      <c r="B515" s="40">
        <v>0.7347222222222223</v>
      </c>
      <c r="C515" s="41" t="s">
        <v>31</v>
      </c>
      <c r="D515" s="41" t="s">
        <v>95</v>
      </c>
      <c r="E515" s="41" t="s">
        <v>89</v>
      </c>
      <c r="F515" s="42">
        <v>0.0</v>
      </c>
      <c r="G515" s="42">
        <v>0.0</v>
      </c>
      <c r="H515" s="42">
        <v>0.0</v>
      </c>
      <c r="I515" s="42">
        <v>0.0</v>
      </c>
      <c r="J515" s="42">
        <v>0.0</v>
      </c>
      <c r="K515" s="42">
        <v>0.0</v>
      </c>
      <c r="L515" s="42">
        <v>0.0</v>
      </c>
      <c r="M515" s="42">
        <v>0.0</v>
      </c>
      <c r="N515" s="42">
        <v>0.0</v>
      </c>
      <c r="O515" s="42">
        <v>0.0</v>
      </c>
      <c r="P515" s="42">
        <v>0.0</v>
      </c>
      <c r="Q515" s="42">
        <v>0.0</v>
      </c>
    </row>
    <row r="516">
      <c r="A516" s="37" t="s">
        <v>102</v>
      </c>
      <c r="B516" s="36">
        <v>0.7347222222222223</v>
      </c>
      <c r="C516" s="37" t="s">
        <v>31</v>
      </c>
      <c r="D516" s="37" t="s">
        <v>95</v>
      </c>
      <c r="E516" s="37" t="s">
        <v>50</v>
      </c>
      <c r="F516" s="38">
        <v>1.0</v>
      </c>
      <c r="G516" s="38">
        <v>1.0</v>
      </c>
      <c r="H516" s="38">
        <v>0.0</v>
      </c>
      <c r="I516" s="38">
        <v>0.0</v>
      </c>
      <c r="J516" s="38">
        <v>0.0</v>
      </c>
      <c r="K516" s="38">
        <v>0.0</v>
      </c>
      <c r="L516" s="38">
        <v>1.0</v>
      </c>
      <c r="M516" s="38">
        <v>0.0</v>
      </c>
      <c r="N516" s="38">
        <v>0.0</v>
      </c>
      <c r="O516" s="38">
        <v>0.0</v>
      </c>
      <c r="P516" s="38">
        <v>0.0</v>
      </c>
      <c r="Q516" s="38">
        <v>1.0</v>
      </c>
    </row>
    <row r="517">
      <c r="A517" s="41" t="s">
        <v>102</v>
      </c>
      <c r="B517" s="40">
        <v>0.7347222222222223</v>
      </c>
      <c r="C517" s="41" t="s">
        <v>31</v>
      </c>
      <c r="D517" s="41" t="s">
        <v>95</v>
      </c>
      <c r="E517" s="41" t="s">
        <v>90</v>
      </c>
      <c r="F517" s="42">
        <v>0.0</v>
      </c>
      <c r="G517" s="42">
        <v>0.0</v>
      </c>
      <c r="H517" s="42">
        <v>0.0</v>
      </c>
      <c r="I517" s="42">
        <v>0.0</v>
      </c>
      <c r="J517" s="42">
        <v>0.0</v>
      </c>
      <c r="K517" s="42">
        <v>0.0</v>
      </c>
      <c r="L517" s="42">
        <v>0.0</v>
      </c>
      <c r="M517" s="42">
        <v>0.0</v>
      </c>
      <c r="N517" s="42">
        <v>0.0</v>
      </c>
      <c r="O517" s="42">
        <v>0.0</v>
      </c>
      <c r="P517" s="42">
        <v>0.0</v>
      </c>
      <c r="Q517" s="42">
        <v>0.0</v>
      </c>
    </row>
    <row r="518">
      <c r="A518" s="37" t="s">
        <v>102</v>
      </c>
      <c r="B518" s="36">
        <v>0.7347222222222223</v>
      </c>
      <c r="C518" s="37" t="s">
        <v>31</v>
      </c>
      <c r="D518" s="37" t="s">
        <v>95</v>
      </c>
      <c r="E518" s="37" t="s">
        <v>91</v>
      </c>
      <c r="F518" s="38">
        <v>0.0</v>
      </c>
      <c r="G518" s="38">
        <v>0.0</v>
      </c>
      <c r="H518" s="38">
        <v>0.0</v>
      </c>
      <c r="I518" s="38">
        <v>0.0</v>
      </c>
      <c r="J518" s="38">
        <v>0.0</v>
      </c>
      <c r="K518" s="38">
        <v>0.0</v>
      </c>
      <c r="L518" s="38">
        <v>0.0</v>
      </c>
      <c r="M518" s="38">
        <v>0.0</v>
      </c>
      <c r="N518" s="38">
        <v>0.0</v>
      </c>
      <c r="O518" s="38">
        <v>0.0</v>
      </c>
      <c r="P518" s="38">
        <v>0.0</v>
      </c>
      <c r="Q518" s="38">
        <v>0.0</v>
      </c>
    </row>
    <row r="519">
      <c r="A519" s="41" t="s">
        <v>102</v>
      </c>
      <c r="B519" s="40">
        <v>0.7347222222222223</v>
      </c>
      <c r="C519" s="41" t="s">
        <v>31</v>
      </c>
      <c r="D519" s="41" t="s">
        <v>95</v>
      </c>
      <c r="E519" s="41" t="s">
        <v>92</v>
      </c>
      <c r="F519" s="42">
        <v>0.0</v>
      </c>
      <c r="G519" s="42">
        <v>0.0</v>
      </c>
      <c r="H519" s="42">
        <v>0.0</v>
      </c>
      <c r="I519" s="42">
        <v>0.0</v>
      </c>
      <c r="J519" s="42">
        <v>0.0</v>
      </c>
      <c r="K519" s="42">
        <v>0.0</v>
      </c>
      <c r="L519" s="42">
        <v>0.0</v>
      </c>
      <c r="M519" s="42">
        <v>0.0</v>
      </c>
      <c r="N519" s="42">
        <v>0.0</v>
      </c>
      <c r="O519" s="42">
        <v>0.0</v>
      </c>
      <c r="P519" s="42">
        <v>0.0</v>
      </c>
      <c r="Q519" s="42">
        <v>0.0</v>
      </c>
    </row>
    <row r="520">
      <c r="A520" s="45" t="s">
        <v>102</v>
      </c>
      <c r="B520" s="44">
        <v>0.7347222222222223</v>
      </c>
      <c r="C520" s="45" t="s">
        <v>96</v>
      </c>
      <c r="D520" s="45" t="s">
        <v>75</v>
      </c>
      <c r="E520" s="45" t="s">
        <v>52</v>
      </c>
      <c r="F520" s="46">
        <v>8.0</v>
      </c>
      <c r="G520" s="46">
        <v>5.0</v>
      </c>
      <c r="H520" s="46">
        <v>1.0</v>
      </c>
      <c r="I520" s="46">
        <v>0.0</v>
      </c>
      <c r="J520" s="46">
        <v>0.0</v>
      </c>
      <c r="K520" s="46">
        <v>8.0</v>
      </c>
      <c r="L520" s="46">
        <v>8.0</v>
      </c>
      <c r="M520" s="46">
        <v>1.0</v>
      </c>
      <c r="N520" s="46">
        <v>0.0</v>
      </c>
      <c r="O520" s="46">
        <v>0.0</v>
      </c>
      <c r="P520" s="46">
        <v>5.0</v>
      </c>
      <c r="Q520" s="46">
        <v>5.0</v>
      </c>
    </row>
    <row r="521">
      <c r="A521" s="45" t="s">
        <v>102</v>
      </c>
      <c r="B521" s="44">
        <v>0.7347222222222223</v>
      </c>
      <c r="C521" s="45" t="s">
        <v>96</v>
      </c>
      <c r="D521" s="45" t="s">
        <v>75</v>
      </c>
      <c r="E521" s="45" t="s">
        <v>88</v>
      </c>
      <c r="F521" s="46">
        <v>0.0</v>
      </c>
      <c r="G521" s="46">
        <v>0.0</v>
      </c>
      <c r="H521" s="46">
        <v>0.0</v>
      </c>
      <c r="I521" s="46">
        <v>0.0</v>
      </c>
      <c r="J521" s="46">
        <v>0.0</v>
      </c>
      <c r="K521" s="46">
        <v>0.0</v>
      </c>
      <c r="L521" s="46">
        <v>0.0</v>
      </c>
      <c r="M521" s="46">
        <v>0.0</v>
      </c>
      <c r="N521" s="46">
        <v>0.0</v>
      </c>
      <c r="O521" s="46">
        <v>0.0</v>
      </c>
      <c r="P521" s="46">
        <v>0.0</v>
      </c>
      <c r="Q521" s="46">
        <v>0.0</v>
      </c>
    </row>
    <row r="522">
      <c r="A522" s="45" t="s">
        <v>102</v>
      </c>
      <c r="B522" s="44">
        <v>0.7347222222222223</v>
      </c>
      <c r="C522" s="45" t="s">
        <v>96</v>
      </c>
      <c r="D522" s="45" t="s">
        <v>75</v>
      </c>
      <c r="E522" s="45" t="s">
        <v>89</v>
      </c>
      <c r="F522" s="46">
        <v>1.0</v>
      </c>
      <c r="G522" s="46">
        <v>0.0</v>
      </c>
      <c r="H522" s="46">
        <v>0.0</v>
      </c>
      <c r="I522" s="46">
        <v>0.0</v>
      </c>
      <c r="J522" s="46">
        <v>0.0</v>
      </c>
      <c r="K522" s="46">
        <v>1.0</v>
      </c>
      <c r="L522" s="46">
        <v>1.0</v>
      </c>
      <c r="M522" s="46">
        <v>0.0</v>
      </c>
      <c r="N522" s="46">
        <v>0.0</v>
      </c>
      <c r="O522" s="46">
        <v>0.0</v>
      </c>
      <c r="P522" s="46">
        <v>0.0</v>
      </c>
      <c r="Q522" s="46">
        <v>0.0</v>
      </c>
    </row>
    <row r="523">
      <c r="A523" s="45" t="s">
        <v>102</v>
      </c>
      <c r="B523" s="44">
        <v>0.7347222222222223</v>
      </c>
      <c r="C523" s="45" t="s">
        <v>96</v>
      </c>
      <c r="D523" s="45" t="s">
        <v>75</v>
      </c>
      <c r="E523" s="45" t="s">
        <v>50</v>
      </c>
      <c r="F523" s="46">
        <v>1.0</v>
      </c>
      <c r="G523" s="46">
        <v>1.0</v>
      </c>
      <c r="H523" s="46">
        <v>0.0</v>
      </c>
      <c r="I523" s="46">
        <v>0.0</v>
      </c>
      <c r="J523" s="46">
        <v>0.0</v>
      </c>
      <c r="K523" s="46">
        <v>0.0</v>
      </c>
      <c r="L523" s="46">
        <v>1.0</v>
      </c>
      <c r="M523" s="46">
        <v>0.0</v>
      </c>
      <c r="N523" s="46">
        <v>0.0</v>
      </c>
      <c r="O523" s="46">
        <v>0.0</v>
      </c>
      <c r="P523" s="46">
        <v>0.0</v>
      </c>
      <c r="Q523" s="46">
        <v>1.0</v>
      </c>
    </row>
    <row r="524">
      <c r="A524" s="45" t="s">
        <v>102</v>
      </c>
      <c r="B524" s="44">
        <v>0.7347222222222223</v>
      </c>
      <c r="C524" s="45" t="s">
        <v>96</v>
      </c>
      <c r="D524" s="45" t="s">
        <v>75</v>
      </c>
      <c r="E524" s="45" t="s">
        <v>90</v>
      </c>
      <c r="F524" s="46">
        <v>0.0</v>
      </c>
      <c r="G524" s="46">
        <v>0.0</v>
      </c>
      <c r="H524" s="46">
        <v>0.0</v>
      </c>
      <c r="I524" s="46">
        <v>0.0</v>
      </c>
      <c r="J524" s="46">
        <v>0.0</v>
      </c>
      <c r="K524" s="46">
        <v>0.0</v>
      </c>
      <c r="L524" s="46">
        <v>0.0</v>
      </c>
      <c r="M524" s="46">
        <v>0.0</v>
      </c>
      <c r="N524" s="46">
        <v>0.0</v>
      </c>
      <c r="O524" s="46">
        <v>0.0</v>
      </c>
      <c r="P524" s="46">
        <v>0.0</v>
      </c>
      <c r="Q524" s="46">
        <v>0.0</v>
      </c>
    </row>
    <row r="525">
      <c r="A525" s="45" t="s">
        <v>102</v>
      </c>
      <c r="B525" s="44">
        <v>0.7347222222222223</v>
      </c>
      <c r="C525" s="45" t="s">
        <v>96</v>
      </c>
      <c r="D525" s="45" t="s">
        <v>75</v>
      </c>
      <c r="E525" s="45" t="s">
        <v>91</v>
      </c>
      <c r="F525" s="46">
        <v>0.0</v>
      </c>
      <c r="G525" s="46">
        <v>0.0</v>
      </c>
      <c r="H525" s="46">
        <v>0.0</v>
      </c>
      <c r="I525" s="46">
        <v>0.0</v>
      </c>
      <c r="J525" s="46">
        <v>0.0</v>
      </c>
      <c r="K525" s="46">
        <v>0.0</v>
      </c>
      <c r="L525" s="46">
        <v>0.0</v>
      </c>
      <c r="M525" s="46">
        <v>0.0</v>
      </c>
      <c r="N525" s="46">
        <v>0.0</v>
      </c>
      <c r="O525" s="46">
        <v>0.0</v>
      </c>
      <c r="P525" s="46">
        <v>0.0</v>
      </c>
      <c r="Q525" s="46">
        <v>0.0</v>
      </c>
    </row>
    <row r="526">
      <c r="A526" s="45" t="s">
        <v>102</v>
      </c>
      <c r="B526" s="44">
        <v>0.7347222222222223</v>
      </c>
      <c r="C526" s="45" t="s">
        <v>96</v>
      </c>
      <c r="D526" s="45" t="s">
        <v>75</v>
      </c>
      <c r="E526" s="45" t="s">
        <v>92</v>
      </c>
      <c r="F526" s="46">
        <v>0.0</v>
      </c>
      <c r="G526" s="46">
        <v>0.0</v>
      </c>
      <c r="H526" s="46">
        <v>0.0</v>
      </c>
      <c r="I526" s="46">
        <v>0.0</v>
      </c>
      <c r="J526" s="46">
        <v>0.0</v>
      </c>
      <c r="K526" s="46">
        <v>0.0</v>
      </c>
      <c r="L526" s="46">
        <v>0.0</v>
      </c>
      <c r="M526" s="46">
        <v>0.0</v>
      </c>
      <c r="N526" s="46">
        <v>0.0</v>
      </c>
      <c r="O526" s="46">
        <v>0.0</v>
      </c>
      <c r="P526" s="46">
        <v>0.0</v>
      </c>
      <c r="Q526" s="46">
        <v>0.0</v>
      </c>
    </row>
    <row r="527">
      <c r="A527" s="41" t="s">
        <v>103</v>
      </c>
      <c r="B527" s="40">
        <v>0.7354166666666667</v>
      </c>
      <c r="C527" s="41" t="s">
        <v>15</v>
      </c>
      <c r="D527" s="41" t="s">
        <v>87</v>
      </c>
      <c r="E527" s="41" t="s">
        <v>52</v>
      </c>
      <c r="F527" s="42">
        <v>1.0</v>
      </c>
      <c r="G527" s="42">
        <v>1.0</v>
      </c>
      <c r="H527" s="42">
        <v>0.0</v>
      </c>
      <c r="I527" s="42">
        <v>1.0</v>
      </c>
      <c r="J527" s="42">
        <v>0.0</v>
      </c>
      <c r="K527" s="42">
        <v>1.0</v>
      </c>
      <c r="L527" s="42">
        <v>1.0</v>
      </c>
      <c r="M527" s="42">
        <v>0.0</v>
      </c>
      <c r="N527" s="42">
        <v>1.0</v>
      </c>
      <c r="O527" s="42">
        <v>0.0</v>
      </c>
      <c r="P527" s="42">
        <v>1.0</v>
      </c>
      <c r="Q527" s="42">
        <v>1.0</v>
      </c>
    </row>
    <row r="528">
      <c r="A528" s="37" t="s">
        <v>103</v>
      </c>
      <c r="B528" s="36">
        <v>0.7354166666666667</v>
      </c>
      <c r="C528" s="37" t="s">
        <v>15</v>
      </c>
      <c r="D528" s="37" t="s">
        <v>87</v>
      </c>
      <c r="E528" s="37" t="s">
        <v>88</v>
      </c>
      <c r="F528" s="38">
        <v>0.0</v>
      </c>
      <c r="G528" s="38">
        <v>0.0</v>
      </c>
      <c r="H528" s="38">
        <v>0.0</v>
      </c>
      <c r="I528" s="38">
        <v>0.0</v>
      </c>
      <c r="J528" s="38">
        <v>0.0</v>
      </c>
      <c r="K528" s="38">
        <v>0.0</v>
      </c>
      <c r="L528" s="38">
        <v>0.0</v>
      </c>
      <c r="M528" s="38">
        <v>0.0</v>
      </c>
      <c r="N528" s="38">
        <v>0.0</v>
      </c>
      <c r="O528" s="38">
        <v>0.0</v>
      </c>
      <c r="P528" s="38">
        <v>0.0</v>
      </c>
      <c r="Q528" s="38">
        <v>0.0</v>
      </c>
    </row>
    <row r="529">
      <c r="A529" s="41" t="s">
        <v>103</v>
      </c>
      <c r="B529" s="40">
        <v>0.7354166666666667</v>
      </c>
      <c r="C529" s="41" t="s">
        <v>15</v>
      </c>
      <c r="D529" s="41" t="s">
        <v>87</v>
      </c>
      <c r="E529" s="41" t="s">
        <v>89</v>
      </c>
      <c r="F529" s="42">
        <v>0.0</v>
      </c>
      <c r="G529" s="42">
        <v>0.0</v>
      </c>
      <c r="H529" s="42">
        <v>0.0</v>
      </c>
      <c r="I529" s="42">
        <v>0.0</v>
      </c>
      <c r="J529" s="42">
        <v>0.0</v>
      </c>
      <c r="K529" s="42">
        <v>0.0</v>
      </c>
      <c r="L529" s="42">
        <v>0.0</v>
      </c>
      <c r="M529" s="42">
        <v>0.0</v>
      </c>
      <c r="N529" s="42">
        <v>0.0</v>
      </c>
      <c r="O529" s="42">
        <v>0.0</v>
      </c>
      <c r="P529" s="42">
        <v>0.0</v>
      </c>
      <c r="Q529" s="42">
        <v>0.0</v>
      </c>
    </row>
    <row r="530">
      <c r="A530" s="37" t="s">
        <v>103</v>
      </c>
      <c r="B530" s="36">
        <v>0.7354166666666667</v>
      </c>
      <c r="C530" s="37" t="s">
        <v>15</v>
      </c>
      <c r="D530" s="37" t="s">
        <v>87</v>
      </c>
      <c r="E530" s="37" t="s">
        <v>50</v>
      </c>
      <c r="F530" s="38">
        <v>0.0</v>
      </c>
      <c r="G530" s="38">
        <v>0.0</v>
      </c>
      <c r="H530" s="38">
        <v>0.0</v>
      </c>
      <c r="I530" s="38">
        <v>0.0</v>
      </c>
      <c r="J530" s="38">
        <v>0.0</v>
      </c>
      <c r="K530" s="38">
        <v>0.0</v>
      </c>
      <c r="L530" s="38">
        <v>0.0</v>
      </c>
      <c r="M530" s="38">
        <v>0.0</v>
      </c>
      <c r="N530" s="38">
        <v>0.0</v>
      </c>
      <c r="O530" s="38">
        <v>0.0</v>
      </c>
      <c r="P530" s="38">
        <v>0.0</v>
      </c>
      <c r="Q530" s="38">
        <v>0.0</v>
      </c>
    </row>
    <row r="531">
      <c r="A531" s="41" t="s">
        <v>103</v>
      </c>
      <c r="B531" s="40">
        <v>0.7354166666666667</v>
      </c>
      <c r="C531" s="41" t="s">
        <v>15</v>
      </c>
      <c r="D531" s="41" t="s">
        <v>87</v>
      </c>
      <c r="E531" s="41" t="s">
        <v>90</v>
      </c>
      <c r="F531" s="42">
        <v>0.0</v>
      </c>
      <c r="G531" s="42">
        <v>0.0</v>
      </c>
      <c r="H531" s="42">
        <v>0.0</v>
      </c>
      <c r="I531" s="42">
        <v>0.0</v>
      </c>
      <c r="J531" s="42">
        <v>0.0</v>
      </c>
      <c r="K531" s="42">
        <v>0.0</v>
      </c>
      <c r="L531" s="42">
        <v>0.0</v>
      </c>
      <c r="M531" s="42">
        <v>0.0</v>
      </c>
      <c r="N531" s="42">
        <v>0.0</v>
      </c>
      <c r="O531" s="42">
        <v>0.0</v>
      </c>
      <c r="P531" s="42">
        <v>0.0</v>
      </c>
      <c r="Q531" s="42">
        <v>0.0</v>
      </c>
    </row>
    <row r="532">
      <c r="A532" s="37" t="s">
        <v>103</v>
      </c>
      <c r="B532" s="36">
        <v>0.7354166666666667</v>
      </c>
      <c r="C532" s="37" t="s">
        <v>15</v>
      </c>
      <c r="D532" s="37" t="s">
        <v>87</v>
      </c>
      <c r="E532" s="37" t="s">
        <v>91</v>
      </c>
      <c r="F532" s="38">
        <v>0.0</v>
      </c>
      <c r="G532" s="38">
        <v>0.0</v>
      </c>
      <c r="H532" s="38">
        <v>0.0</v>
      </c>
      <c r="I532" s="38">
        <v>0.0</v>
      </c>
      <c r="J532" s="38">
        <v>0.0</v>
      </c>
      <c r="K532" s="38">
        <v>0.0</v>
      </c>
      <c r="L532" s="38">
        <v>0.0</v>
      </c>
      <c r="M532" s="38">
        <v>0.0</v>
      </c>
      <c r="N532" s="38">
        <v>0.0</v>
      </c>
      <c r="O532" s="38">
        <v>0.0</v>
      </c>
      <c r="P532" s="38">
        <v>0.0</v>
      </c>
      <c r="Q532" s="38">
        <v>0.0</v>
      </c>
    </row>
    <row r="533">
      <c r="A533" s="41" t="s">
        <v>103</v>
      </c>
      <c r="B533" s="40">
        <v>0.7354166666666667</v>
      </c>
      <c r="C533" s="41" t="s">
        <v>15</v>
      </c>
      <c r="D533" s="41" t="s">
        <v>87</v>
      </c>
      <c r="E533" s="41" t="s">
        <v>92</v>
      </c>
      <c r="F533" s="42">
        <v>0.0</v>
      </c>
      <c r="G533" s="42">
        <v>0.0</v>
      </c>
      <c r="H533" s="42">
        <v>0.0</v>
      </c>
      <c r="I533" s="42">
        <v>0.0</v>
      </c>
      <c r="J533" s="42">
        <v>0.0</v>
      </c>
      <c r="K533" s="42">
        <v>0.0</v>
      </c>
      <c r="L533" s="42">
        <v>0.0</v>
      </c>
      <c r="M533" s="42">
        <v>0.0</v>
      </c>
      <c r="N533" s="42">
        <v>0.0</v>
      </c>
      <c r="O533" s="42">
        <v>0.0</v>
      </c>
      <c r="P533" s="42">
        <v>0.0</v>
      </c>
      <c r="Q533" s="42">
        <v>0.0</v>
      </c>
    </row>
    <row r="534">
      <c r="A534" s="37" t="s">
        <v>103</v>
      </c>
      <c r="B534" s="36">
        <v>0.7354166666666667</v>
      </c>
      <c r="C534" s="37" t="s">
        <v>23</v>
      </c>
      <c r="D534" s="37" t="s">
        <v>93</v>
      </c>
      <c r="E534" s="37" t="s">
        <v>52</v>
      </c>
      <c r="F534" s="38">
        <v>1.0</v>
      </c>
      <c r="G534" s="38">
        <v>1.0</v>
      </c>
      <c r="H534" s="38">
        <v>0.0</v>
      </c>
      <c r="I534" s="38">
        <v>0.0</v>
      </c>
      <c r="J534" s="38">
        <v>0.0</v>
      </c>
      <c r="K534" s="38">
        <v>1.0</v>
      </c>
      <c r="L534" s="38">
        <v>1.0</v>
      </c>
      <c r="M534" s="38">
        <v>0.0</v>
      </c>
      <c r="N534" s="38">
        <v>0.0</v>
      </c>
      <c r="O534" s="38">
        <v>0.0</v>
      </c>
      <c r="P534" s="38">
        <v>1.0</v>
      </c>
      <c r="Q534" s="38">
        <v>1.0</v>
      </c>
    </row>
    <row r="535">
      <c r="A535" s="41" t="s">
        <v>103</v>
      </c>
      <c r="B535" s="40">
        <v>0.7354166666666667</v>
      </c>
      <c r="C535" s="41" t="s">
        <v>23</v>
      </c>
      <c r="D535" s="41" t="s">
        <v>93</v>
      </c>
      <c r="E535" s="41" t="s">
        <v>88</v>
      </c>
      <c r="F535" s="42">
        <v>0.0</v>
      </c>
      <c r="G535" s="42">
        <v>0.0</v>
      </c>
      <c r="H535" s="42">
        <v>0.0</v>
      </c>
      <c r="I535" s="42">
        <v>0.0</v>
      </c>
      <c r="J535" s="42">
        <v>0.0</v>
      </c>
      <c r="K535" s="42">
        <v>0.0</v>
      </c>
      <c r="L535" s="42">
        <v>0.0</v>
      </c>
      <c r="M535" s="42">
        <v>0.0</v>
      </c>
      <c r="N535" s="42">
        <v>0.0</v>
      </c>
      <c r="O535" s="42">
        <v>0.0</v>
      </c>
      <c r="P535" s="42">
        <v>0.0</v>
      </c>
      <c r="Q535" s="42">
        <v>0.0</v>
      </c>
    </row>
    <row r="536">
      <c r="A536" s="37" t="s">
        <v>103</v>
      </c>
      <c r="B536" s="36">
        <v>0.7354166666666667</v>
      </c>
      <c r="C536" s="37" t="s">
        <v>23</v>
      </c>
      <c r="D536" s="37" t="s">
        <v>93</v>
      </c>
      <c r="E536" s="37" t="s">
        <v>89</v>
      </c>
      <c r="F536" s="38">
        <v>0.0</v>
      </c>
      <c r="G536" s="38">
        <v>0.0</v>
      </c>
      <c r="H536" s="38">
        <v>0.0</v>
      </c>
      <c r="I536" s="38">
        <v>0.0</v>
      </c>
      <c r="J536" s="38">
        <v>0.0</v>
      </c>
      <c r="K536" s="38">
        <v>0.0</v>
      </c>
      <c r="L536" s="38">
        <v>0.0</v>
      </c>
      <c r="M536" s="38">
        <v>0.0</v>
      </c>
      <c r="N536" s="38">
        <v>0.0</v>
      </c>
      <c r="O536" s="38">
        <v>0.0</v>
      </c>
      <c r="P536" s="38">
        <v>0.0</v>
      </c>
      <c r="Q536" s="38">
        <v>0.0</v>
      </c>
    </row>
    <row r="537">
      <c r="A537" s="41" t="s">
        <v>103</v>
      </c>
      <c r="B537" s="40">
        <v>0.7354166666666667</v>
      </c>
      <c r="C537" s="41" t="s">
        <v>23</v>
      </c>
      <c r="D537" s="41" t="s">
        <v>93</v>
      </c>
      <c r="E537" s="41" t="s">
        <v>50</v>
      </c>
      <c r="F537" s="42">
        <v>0.0</v>
      </c>
      <c r="G537" s="42">
        <v>0.0</v>
      </c>
      <c r="H537" s="42">
        <v>0.0</v>
      </c>
      <c r="I537" s="42">
        <v>0.0</v>
      </c>
      <c r="J537" s="42">
        <v>0.0</v>
      </c>
      <c r="K537" s="42">
        <v>0.0</v>
      </c>
      <c r="L537" s="42">
        <v>0.0</v>
      </c>
      <c r="M537" s="42">
        <v>0.0</v>
      </c>
      <c r="N537" s="42">
        <v>0.0</v>
      </c>
      <c r="O537" s="42">
        <v>0.0</v>
      </c>
      <c r="P537" s="42">
        <v>0.0</v>
      </c>
      <c r="Q537" s="42">
        <v>0.0</v>
      </c>
    </row>
    <row r="538">
      <c r="A538" s="37" t="s">
        <v>103</v>
      </c>
      <c r="B538" s="36">
        <v>0.7354166666666667</v>
      </c>
      <c r="C538" s="37" t="s">
        <v>23</v>
      </c>
      <c r="D538" s="37" t="s">
        <v>93</v>
      </c>
      <c r="E538" s="37" t="s">
        <v>90</v>
      </c>
      <c r="F538" s="38">
        <v>0.0</v>
      </c>
      <c r="G538" s="38">
        <v>0.0</v>
      </c>
      <c r="H538" s="38">
        <v>0.0</v>
      </c>
      <c r="I538" s="38">
        <v>0.0</v>
      </c>
      <c r="J538" s="38">
        <v>0.0</v>
      </c>
      <c r="K538" s="38">
        <v>0.0</v>
      </c>
      <c r="L538" s="38">
        <v>0.0</v>
      </c>
      <c r="M538" s="38">
        <v>0.0</v>
      </c>
      <c r="N538" s="38">
        <v>0.0</v>
      </c>
      <c r="O538" s="38">
        <v>0.0</v>
      </c>
      <c r="P538" s="38">
        <v>0.0</v>
      </c>
      <c r="Q538" s="38">
        <v>0.0</v>
      </c>
    </row>
    <row r="539">
      <c r="A539" s="41" t="s">
        <v>103</v>
      </c>
      <c r="B539" s="40">
        <v>0.7354166666666667</v>
      </c>
      <c r="C539" s="41" t="s">
        <v>23</v>
      </c>
      <c r="D539" s="41" t="s">
        <v>93</v>
      </c>
      <c r="E539" s="41" t="s">
        <v>91</v>
      </c>
      <c r="F539" s="42">
        <v>0.0</v>
      </c>
      <c r="G539" s="42">
        <v>0.0</v>
      </c>
      <c r="H539" s="42">
        <v>0.0</v>
      </c>
      <c r="I539" s="42">
        <v>0.0</v>
      </c>
      <c r="J539" s="42">
        <v>0.0</v>
      </c>
      <c r="K539" s="42">
        <v>0.0</v>
      </c>
      <c r="L539" s="42">
        <v>0.0</v>
      </c>
      <c r="M539" s="42">
        <v>0.0</v>
      </c>
      <c r="N539" s="42">
        <v>0.0</v>
      </c>
      <c r="O539" s="42">
        <v>0.0</v>
      </c>
      <c r="P539" s="42">
        <v>0.0</v>
      </c>
      <c r="Q539" s="42">
        <v>0.0</v>
      </c>
    </row>
    <row r="540">
      <c r="A540" s="37" t="s">
        <v>103</v>
      </c>
      <c r="B540" s="36">
        <v>0.7354166666666667</v>
      </c>
      <c r="C540" s="37" t="s">
        <v>23</v>
      </c>
      <c r="D540" s="37" t="s">
        <v>93</v>
      </c>
      <c r="E540" s="37" t="s">
        <v>92</v>
      </c>
      <c r="F540" s="38">
        <v>0.0</v>
      </c>
      <c r="G540" s="38">
        <v>0.0</v>
      </c>
      <c r="H540" s="38">
        <v>0.0</v>
      </c>
      <c r="I540" s="38">
        <v>0.0</v>
      </c>
      <c r="J540" s="38">
        <v>0.0</v>
      </c>
      <c r="K540" s="38">
        <v>0.0</v>
      </c>
      <c r="L540" s="38">
        <v>0.0</v>
      </c>
      <c r="M540" s="38">
        <v>0.0</v>
      </c>
      <c r="N540" s="38">
        <v>0.0</v>
      </c>
      <c r="O540" s="38">
        <v>0.0</v>
      </c>
      <c r="P540" s="38">
        <v>0.0</v>
      </c>
      <c r="Q540" s="38">
        <v>0.0</v>
      </c>
    </row>
    <row r="541">
      <c r="A541" s="41" t="s">
        <v>103</v>
      </c>
      <c r="B541" s="40">
        <v>0.7354166666666667</v>
      </c>
      <c r="C541" s="41" t="s">
        <v>29</v>
      </c>
      <c r="D541" s="41" t="s">
        <v>94</v>
      </c>
      <c r="E541" s="41" t="s">
        <v>52</v>
      </c>
      <c r="F541" s="42">
        <v>6.0</v>
      </c>
      <c r="G541" s="42">
        <v>3.0</v>
      </c>
      <c r="H541" s="42">
        <v>0.0</v>
      </c>
      <c r="I541" s="42">
        <v>0.0</v>
      </c>
      <c r="J541" s="42">
        <v>0.0</v>
      </c>
      <c r="K541" s="42">
        <v>6.0</v>
      </c>
      <c r="L541" s="42">
        <v>6.0</v>
      </c>
      <c r="M541" s="42">
        <v>0.0</v>
      </c>
      <c r="N541" s="42">
        <v>0.0</v>
      </c>
      <c r="O541" s="42">
        <v>0.0</v>
      </c>
      <c r="P541" s="42">
        <v>3.0</v>
      </c>
      <c r="Q541" s="42">
        <v>3.0</v>
      </c>
    </row>
    <row r="542">
      <c r="A542" s="37" t="s">
        <v>103</v>
      </c>
      <c r="B542" s="36">
        <v>0.7354166666666667</v>
      </c>
      <c r="C542" s="37" t="s">
        <v>29</v>
      </c>
      <c r="D542" s="37" t="s">
        <v>94</v>
      </c>
      <c r="E542" s="37" t="s">
        <v>88</v>
      </c>
      <c r="F542" s="38">
        <v>0.0</v>
      </c>
      <c r="G542" s="38">
        <v>0.0</v>
      </c>
      <c r="H542" s="38">
        <v>0.0</v>
      </c>
      <c r="I542" s="38">
        <v>0.0</v>
      </c>
      <c r="J542" s="38">
        <v>0.0</v>
      </c>
      <c r="K542" s="38">
        <v>0.0</v>
      </c>
      <c r="L542" s="38">
        <v>0.0</v>
      </c>
      <c r="M542" s="38">
        <v>0.0</v>
      </c>
      <c r="N542" s="38">
        <v>0.0</v>
      </c>
      <c r="O542" s="38">
        <v>0.0</v>
      </c>
      <c r="P542" s="38">
        <v>0.0</v>
      </c>
      <c r="Q542" s="38">
        <v>0.0</v>
      </c>
    </row>
    <row r="543">
      <c r="A543" s="41" t="s">
        <v>103</v>
      </c>
      <c r="B543" s="40">
        <v>0.7354166666666667</v>
      </c>
      <c r="C543" s="41" t="s">
        <v>29</v>
      </c>
      <c r="D543" s="41" t="s">
        <v>94</v>
      </c>
      <c r="E543" s="41" t="s">
        <v>89</v>
      </c>
      <c r="F543" s="42">
        <v>1.0</v>
      </c>
      <c r="G543" s="42">
        <v>0.0</v>
      </c>
      <c r="H543" s="42">
        <v>0.0</v>
      </c>
      <c r="I543" s="42">
        <v>0.0</v>
      </c>
      <c r="J543" s="42">
        <v>0.0</v>
      </c>
      <c r="K543" s="42">
        <v>1.0</v>
      </c>
      <c r="L543" s="42">
        <v>1.0</v>
      </c>
      <c r="M543" s="42">
        <v>0.0</v>
      </c>
      <c r="N543" s="42">
        <v>0.0</v>
      </c>
      <c r="O543" s="42">
        <v>0.0</v>
      </c>
      <c r="P543" s="42">
        <v>0.0</v>
      </c>
      <c r="Q543" s="42">
        <v>0.0</v>
      </c>
    </row>
    <row r="544">
      <c r="A544" s="37" t="s">
        <v>103</v>
      </c>
      <c r="B544" s="36">
        <v>0.7354166666666667</v>
      </c>
      <c r="C544" s="37" t="s">
        <v>29</v>
      </c>
      <c r="D544" s="37" t="s">
        <v>94</v>
      </c>
      <c r="E544" s="37" t="s">
        <v>50</v>
      </c>
      <c r="F544" s="38">
        <v>0.0</v>
      </c>
      <c r="G544" s="38">
        <v>0.0</v>
      </c>
      <c r="H544" s="38">
        <v>0.0</v>
      </c>
      <c r="I544" s="38">
        <v>0.0</v>
      </c>
      <c r="J544" s="38">
        <v>0.0</v>
      </c>
      <c r="K544" s="38">
        <v>0.0</v>
      </c>
      <c r="L544" s="38">
        <v>0.0</v>
      </c>
      <c r="M544" s="38">
        <v>0.0</v>
      </c>
      <c r="N544" s="38">
        <v>0.0</v>
      </c>
      <c r="O544" s="38">
        <v>0.0</v>
      </c>
      <c r="P544" s="38">
        <v>0.0</v>
      </c>
      <c r="Q544" s="38">
        <v>0.0</v>
      </c>
    </row>
    <row r="545">
      <c r="A545" s="41" t="s">
        <v>103</v>
      </c>
      <c r="B545" s="40">
        <v>0.7354166666666667</v>
      </c>
      <c r="C545" s="41" t="s">
        <v>29</v>
      </c>
      <c r="D545" s="41" t="s">
        <v>94</v>
      </c>
      <c r="E545" s="41" t="s">
        <v>90</v>
      </c>
      <c r="F545" s="42">
        <v>0.0</v>
      </c>
      <c r="G545" s="42">
        <v>0.0</v>
      </c>
      <c r="H545" s="42">
        <v>0.0</v>
      </c>
      <c r="I545" s="42">
        <v>0.0</v>
      </c>
      <c r="J545" s="42">
        <v>0.0</v>
      </c>
      <c r="K545" s="42">
        <v>0.0</v>
      </c>
      <c r="L545" s="42">
        <v>0.0</v>
      </c>
      <c r="M545" s="42">
        <v>0.0</v>
      </c>
      <c r="N545" s="42">
        <v>0.0</v>
      </c>
      <c r="O545" s="42">
        <v>0.0</v>
      </c>
      <c r="P545" s="42">
        <v>0.0</v>
      </c>
      <c r="Q545" s="42">
        <v>0.0</v>
      </c>
    </row>
    <row r="546">
      <c r="A546" s="37" t="s">
        <v>103</v>
      </c>
      <c r="B546" s="36">
        <v>0.7354166666666667</v>
      </c>
      <c r="C546" s="37" t="s">
        <v>29</v>
      </c>
      <c r="D546" s="37" t="s">
        <v>94</v>
      </c>
      <c r="E546" s="37" t="s">
        <v>91</v>
      </c>
      <c r="F546" s="38">
        <v>0.0</v>
      </c>
      <c r="G546" s="38">
        <v>0.0</v>
      </c>
      <c r="H546" s="38">
        <v>0.0</v>
      </c>
      <c r="I546" s="38">
        <v>0.0</v>
      </c>
      <c r="J546" s="38">
        <v>0.0</v>
      </c>
      <c r="K546" s="38">
        <v>0.0</v>
      </c>
      <c r="L546" s="38">
        <v>0.0</v>
      </c>
      <c r="M546" s="38">
        <v>0.0</v>
      </c>
      <c r="N546" s="38">
        <v>0.0</v>
      </c>
      <c r="O546" s="38">
        <v>0.0</v>
      </c>
      <c r="P546" s="38">
        <v>0.0</v>
      </c>
      <c r="Q546" s="38">
        <v>0.0</v>
      </c>
    </row>
    <row r="547">
      <c r="A547" s="41" t="s">
        <v>103</v>
      </c>
      <c r="B547" s="40">
        <v>0.7354166666666667</v>
      </c>
      <c r="C547" s="41" t="s">
        <v>29</v>
      </c>
      <c r="D547" s="41" t="s">
        <v>94</v>
      </c>
      <c r="E547" s="41" t="s">
        <v>92</v>
      </c>
      <c r="F547" s="42">
        <v>0.0</v>
      </c>
      <c r="G547" s="42">
        <v>0.0</v>
      </c>
      <c r="H547" s="42">
        <v>0.0</v>
      </c>
      <c r="I547" s="42">
        <v>0.0</v>
      </c>
      <c r="J547" s="42">
        <v>0.0</v>
      </c>
      <c r="K547" s="42">
        <v>0.0</v>
      </c>
      <c r="L547" s="42">
        <v>0.0</v>
      </c>
      <c r="M547" s="42">
        <v>0.0</v>
      </c>
      <c r="N547" s="42">
        <v>0.0</v>
      </c>
      <c r="O547" s="42">
        <v>0.0</v>
      </c>
      <c r="P547" s="42">
        <v>0.0</v>
      </c>
      <c r="Q547" s="42">
        <v>0.0</v>
      </c>
    </row>
    <row r="548">
      <c r="A548" s="37" t="s">
        <v>103</v>
      </c>
      <c r="B548" s="36">
        <v>0.7354166666666667</v>
      </c>
      <c r="C548" s="37" t="s">
        <v>31</v>
      </c>
      <c r="D548" s="37" t="s">
        <v>95</v>
      </c>
      <c r="E548" s="37" t="s">
        <v>52</v>
      </c>
      <c r="F548" s="38">
        <v>0.0</v>
      </c>
      <c r="G548" s="38">
        <v>0.0</v>
      </c>
      <c r="H548" s="38">
        <v>0.0</v>
      </c>
      <c r="I548" s="38">
        <v>0.0</v>
      </c>
      <c r="J548" s="38">
        <v>0.0</v>
      </c>
      <c r="K548" s="38">
        <v>0.0</v>
      </c>
      <c r="L548" s="38">
        <v>0.0</v>
      </c>
      <c r="M548" s="38">
        <v>0.0</v>
      </c>
      <c r="N548" s="38">
        <v>0.0</v>
      </c>
      <c r="O548" s="38">
        <v>0.0</v>
      </c>
      <c r="P548" s="38">
        <v>0.0</v>
      </c>
      <c r="Q548" s="38">
        <v>0.0</v>
      </c>
    </row>
    <row r="549">
      <c r="A549" s="41" t="s">
        <v>103</v>
      </c>
      <c r="B549" s="40">
        <v>0.7354166666666667</v>
      </c>
      <c r="C549" s="41" t="s">
        <v>31</v>
      </c>
      <c r="D549" s="41" t="s">
        <v>95</v>
      </c>
      <c r="E549" s="41" t="s">
        <v>88</v>
      </c>
      <c r="F549" s="42">
        <v>0.0</v>
      </c>
      <c r="G549" s="42">
        <v>0.0</v>
      </c>
      <c r="H549" s="42">
        <v>0.0</v>
      </c>
      <c r="I549" s="42">
        <v>0.0</v>
      </c>
      <c r="J549" s="42">
        <v>0.0</v>
      </c>
      <c r="K549" s="42">
        <v>0.0</v>
      </c>
      <c r="L549" s="42">
        <v>0.0</v>
      </c>
      <c r="M549" s="42">
        <v>0.0</v>
      </c>
      <c r="N549" s="42">
        <v>0.0</v>
      </c>
      <c r="O549" s="42">
        <v>0.0</v>
      </c>
      <c r="P549" s="42">
        <v>0.0</v>
      </c>
      <c r="Q549" s="42">
        <v>0.0</v>
      </c>
    </row>
    <row r="550">
      <c r="A550" s="37" t="s">
        <v>103</v>
      </c>
      <c r="B550" s="36">
        <v>0.7354166666666667</v>
      </c>
      <c r="C550" s="37" t="s">
        <v>31</v>
      </c>
      <c r="D550" s="37" t="s">
        <v>95</v>
      </c>
      <c r="E550" s="37" t="s">
        <v>89</v>
      </c>
      <c r="F550" s="38">
        <v>0.0</v>
      </c>
      <c r="G550" s="38">
        <v>0.0</v>
      </c>
      <c r="H550" s="38">
        <v>0.0</v>
      </c>
      <c r="I550" s="38">
        <v>0.0</v>
      </c>
      <c r="J550" s="38">
        <v>0.0</v>
      </c>
      <c r="K550" s="38">
        <v>0.0</v>
      </c>
      <c r="L550" s="38">
        <v>0.0</v>
      </c>
      <c r="M550" s="38">
        <v>0.0</v>
      </c>
      <c r="N550" s="38">
        <v>0.0</v>
      </c>
      <c r="O550" s="38">
        <v>0.0</v>
      </c>
      <c r="P550" s="38">
        <v>0.0</v>
      </c>
      <c r="Q550" s="38">
        <v>0.0</v>
      </c>
    </row>
    <row r="551">
      <c r="A551" s="41" t="s">
        <v>103</v>
      </c>
      <c r="B551" s="40">
        <v>0.7354166666666667</v>
      </c>
      <c r="C551" s="41" t="s">
        <v>31</v>
      </c>
      <c r="D551" s="41" t="s">
        <v>95</v>
      </c>
      <c r="E551" s="41" t="s">
        <v>50</v>
      </c>
      <c r="F551" s="42">
        <v>1.0</v>
      </c>
      <c r="G551" s="42">
        <v>1.0</v>
      </c>
      <c r="H551" s="42">
        <v>0.0</v>
      </c>
      <c r="I551" s="42">
        <v>0.0</v>
      </c>
      <c r="J551" s="42">
        <v>0.0</v>
      </c>
      <c r="K551" s="42">
        <v>0.0</v>
      </c>
      <c r="L551" s="42">
        <v>1.0</v>
      </c>
      <c r="M551" s="42">
        <v>0.0</v>
      </c>
      <c r="N551" s="42">
        <v>0.0</v>
      </c>
      <c r="O551" s="42">
        <v>0.0</v>
      </c>
      <c r="P551" s="42">
        <v>0.0</v>
      </c>
      <c r="Q551" s="42">
        <v>1.0</v>
      </c>
    </row>
    <row r="552">
      <c r="A552" s="37" t="s">
        <v>103</v>
      </c>
      <c r="B552" s="36">
        <v>0.7354166666666667</v>
      </c>
      <c r="C552" s="37" t="s">
        <v>31</v>
      </c>
      <c r="D552" s="37" t="s">
        <v>95</v>
      </c>
      <c r="E552" s="37" t="s">
        <v>90</v>
      </c>
      <c r="F552" s="38">
        <v>0.0</v>
      </c>
      <c r="G552" s="38">
        <v>0.0</v>
      </c>
      <c r="H552" s="38">
        <v>0.0</v>
      </c>
      <c r="I552" s="38">
        <v>0.0</v>
      </c>
      <c r="J552" s="38">
        <v>0.0</v>
      </c>
      <c r="K552" s="38">
        <v>0.0</v>
      </c>
      <c r="L552" s="38">
        <v>0.0</v>
      </c>
      <c r="M552" s="38">
        <v>0.0</v>
      </c>
      <c r="N552" s="38">
        <v>0.0</v>
      </c>
      <c r="O552" s="38">
        <v>0.0</v>
      </c>
      <c r="P552" s="38">
        <v>0.0</v>
      </c>
      <c r="Q552" s="38">
        <v>0.0</v>
      </c>
    </row>
    <row r="553">
      <c r="A553" s="41" t="s">
        <v>103</v>
      </c>
      <c r="B553" s="40">
        <v>0.7354166666666667</v>
      </c>
      <c r="C553" s="41" t="s">
        <v>31</v>
      </c>
      <c r="D553" s="41" t="s">
        <v>95</v>
      </c>
      <c r="E553" s="41" t="s">
        <v>91</v>
      </c>
      <c r="F553" s="42">
        <v>0.0</v>
      </c>
      <c r="G553" s="42">
        <v>0.0</v>
      </c>
      <c r="H553" s="42">
        <v>0.0</v>
      </c>
      <c r="I553" s="42">
        <v>0.0</v>
      </c>
      <c r="J553" s="42">
        <v>0.0</v>
      </c>
      <c r="K553" s="42">
        <v>0.0</v>
      </c>
      <c r="L553" s="42">
        <v>0.0</v>
      </c>
      <c r="M553" s="42">
        <v>0.0</v>
      </c>
      <c r="N553" s="42">
        <v>0.0</v>
      </c>
      <c r="O553" s="42">
        <v>0.0</v>
      </c>
      <c r="P553" s="42">
        <v>0.0</v>
      </c>
      <c r="Q553" s="42">
        <v>0.0</v>
      </c>
    </row>
    <row r="554">
      <c r="A554" s="37" t="s">
        <v>103</v>
      </c>
      <c r="B554" s="36">
        <v>0.7354166666666667</v>
      </c>
      <c r="C554" s="37" t="s">
        <v>31</v>
      </c>
      <c r="D554" s="37" t="s">
        <v>95</v>
      </c>
      <c r="E554" s="37" t="s">
        <v>92</v>
      </c>
      <c r="F554" s="38">
        <v>0.0</v>
      </c>
      <c r="G554" s="38">
        <v>0.0</v>
      </c>
      <c r="H554" s="38">
        <v>0.0</v>
      </c>
      <c r="I554" s="38">
        <v>0.0</v>
      </c>
      <c r="J554" s="38">
        <v>0.0</v>
      </c>
      <c r="K554" s="38">
        <v>0.0</v>
      </c>
      <c r="L554" s="38">
        <v>0.0</v>
      </c>
      <c r="M554" s="38">
        <v>0.0</v>
      </c>
      <c r="N554" s="38">
        <v>0.0</v>
      </c>
      <c r="O554" s="38">
        <v>0.0</v>
      </c>
      <c r="P554" s="38">
        <v>0.0</v>
      </c>
      <c r="Q554" s="38">
        <v>0.0</v>
      </c>
    </row>
    <row r="555">
      <c r="A555" s="45" t="s">
        <v>103</v>
      </c>
      <c r="B555" s="44">
        <v>0.7354166666666667</v>
      </c>
      <c r="C555" s="45" t="s">
        <v>96</v>
      </c>
      <c r="D555" s="45" t="s">
        <v>75</v>
      </c>
      <c r="E555" s="45" t="s">
        <v>52</v>
      </c>
      <c r="F555" s="46">
        <v>8.0</v>
      </c>
      <c r="G555" s="46">
        <v>5.0</v>
      </c>
      <c r="H555" s="46">
        <v>0.0</v>
      </c>
      <c r="I555" s="46">
        <v>1.0</v>
      </c>
      <c r="J555" s="46">
        <v>0.0</v>
      </c>
      <c r="K555" s="46">
        <v>8.0</v>
      </c>
      <c r="L555" s="46">
        <v>8.0</v>
      </c>
      <c r="M555" s="46">
        <v>0.0</v>
      </c>
      <c r="N555" s="46">
        <v>1.0</v>
      </c>
      <c r="O555" s="46">
        <v>0.0</v>
      </c>
      <c r="P555" s="46">
        <v>5.0</v>
      </c>
      <c r="Q555" s="46">
        <v>5.0</v>
      </c>
    </row>
    <row r="556">
      <c r="A556" s="45" t="s">
        <v>103</v>
      </c>
      <c r="B556" s="44">
        <v>0.7354166666666667</v>
      </c>
      <c r="C556" s="45" t="s">
        <v>96</v>
      </c>
      <c r="D556" s="45" t="s">
        <v>75</v>
      </c>
      <c r="E556" s="45" t="s">
        <v>88</v>
      </c>
      <c r="F556" s="46">
        <v>0.0</v>
      </c>
      <c r="G556" s="46">
        <v>0.0</v>
      </c>
      <c r="H556" s="46">
        <v>0.0</v>
      </c>
      <c r="I556" s="46">
        <v>0.0</v>
      </c>
      <c r="J556" s="46">
        <v>0.0</v>
      </c>
      <c r="K556" s="46">
        <v>0.0</v>
      </c>
      <c r="L556" s="46">
        <v>0.0</v>
      </c>
      <c r="M556" s="46">
        <v>0.0</v>
      </c>
      <c r="N556" s="46">
        <v>0.0</v>
      </c>
      <c r="O556" s="46">
        <v>0.0</v>
      </c>
      <c r="P556" s="46">
        <v>0.0</v>
      </c>
      <c r="Q556" s="46">
        <v>0.0</v>
      </c>
    </row>
    <row r="557">
      <c r="A557" s="45" t="s">
        <v>103</v>
      </c>
      <c r="B557" s="44">
        <v>0.7354166666666667</v>
      </c>
      <c r="C557" s="45" t="s">
        <v>96</v>
      </c>
      <c r="D557" s="45" t="s">
        <v>75</v>
      </c>
      <c r="E557" s="45" t="s">
        <v>89</v>
      </c>
      <c r="F557" s="46">
        <v>1.0</v>
      </c>
      <c r="G557" s="46">
        <v>0.0</v>
      </c>
      <c r="H557" s="46">
        <v>0.0</v>
      </c>
      <c r="I557" s="46">
        <v>0.0</v>
      </c>
      <c r="J557" s="46">
        <v>0.0</v>
      </c>
      <c r="K557" s="46">
        <v>1.0</v>
      </c>
      <c r="L557" s="46">
        <v>1.0</v>
      </c>
      <c r="M557" s="46">
        <v>0.0</v>
      </c>
      <c r="N557" s="46">
        <v>0.0</v>
      </c>
      <c r="O557" s="46">
        <v>0.0</v>
      </c>
      <c r="P557" s="46">
        <v>0.0</v>
      </c>
      <c r="Q557" s="46">
        <v>0.0</v>
      </c>
    </row>
    <row r="558">
      <c r="A558" s="45" t="s">
        <v>103</v>
      </c>
      <c r="B558" s="44">
        <v>0.7354166666666667</v>
      </c>
      <c r="C558" s="45" t="s">
        <v>96</v>
      </c>
      <c r="D558" s="45" t="s">
        <v>75</v>
      </c>
      <c r="E558" s="45" t="s">
        <v>50</v>
      </c>
      <c r="F558" s="46">
        <v>1.0</v>
      </c>
      <c r="G558" s="46">
        <v>1.0</v>
      </c>
      <c r="H558" s="46">
        <v>0.0</v>
      </c>
      <c r="I558" s="46">
        <v>0.0</v>
      </c>
      <c r="J558" s="46">
        <v>0.0</v>
      </c>
      <c r="K558" s="46">
        <v>0.0</v>
      </c>
      <c r="L558" s="46">
        <v>1.0</v>
      </c>
      <c r="M558" s="46">
        <v>0.0</v>
      </c>
      <c r="N558" s="46">
        <v>0.0</v>
      </c>
      <c r="O558" s="46">
        <v>0.0</v>
      </c>
      <c r="P558" s="46">
        <v>0.0</v>
      </c>
      <c r="Q558" s="46">
        <v>1.0</v>
      </c>
    </row>
    <row r="559">
      <c r="A559" s="45" t="s">
        <v>103</v>
      </c>
      <c r="B559" s="44">
        <v>0.7354166666666667</v>
      </c>
      <c r="C559" s="45" t="s">
        <v>96</v>
      </c>
      <c r="D559" s="45" t="s">
        <v>75</v>
      </c>
      <c r="E559" s="45" t="s">
        <v>90</v>
      </c>
      <c r="F559" s="46">
        <v>0.0</v>
      </c>
      <c r="G559" s="46">
        <v>0.0</v>
      </c>
      <c r="H559" s="46">
        <v>0.0</v>
      </c>
      <c r="I559" s="46">
        <v>0.0</v>
      </c>
      <c r="J559" s="46">
        <v>0.0</v>
      </c>
      <c r="K559" s="46">
        <v>0.0</v>
      </c>
      <c r="L559" s="46">
        <v>0.0</v>
      </c>
      <c r="M559" s="46">
        <v>0.0</v>
      </c>
      <c r="N559" s="46">
        <v>0.0</v>
      </c>
      <c r="O559" s="46">
        <v>0.0</v>
      </c>
      <c r="P559" s="46">
        <v>0.0</v>
      </c>
      <c r="Q559" s="46">
        <v>0.0</v>
      </c>
    </row>
    <row r="560">
      <c r="A560" s="45" t="s">
        <v>103</v>
      </c>
      <c r="B560" s="44">
        <v>0.7354166666666667</v>
      </c>
      <c r="C560" s="45" t="s">
        <v>96</v>
      </c>
      <c r="D560" s="45" t="s">
        <v>75</v>
      </c>
      <c r="E560" s="45" t="s">
        <v>91</v>
      </c>
      <c r="F560" s="46">
        <v>0.0</v>
      </c>
      <c r="G560" s="46">
        <v>0.0</v>
      </c>
      <c r="H560" s="46">
        <v>0.0</v>
      </c>
      <c r="I560" s="46">
        <v>0.0</v>
      </c>
      <c r="J560" s="46">
        <v>0.0</v>
      </c>
      <c r="K560" s="46">
        <v>0.0</v>
      </c>
      <c r="L560" s="46">
        <v>0.0</v>
      </c>
      <c r="M560" s="46">
        <v>0.0</v>
      </c>
      <c r="N560" s="46">
        <v>0.0</v>
      </c>
      <c r="O560" s="46">
        <v>0.0</v>
      </c>
      <c r="P560" s="46">
        <v>0.0</v>
      </c>
      <c r="Q560" s="46">
        <v>0.0</v>
      </c>
    </row>
    <row r="561">
      <c r="A561" s="45" t="s">
        <v>103</v>
      </c>
      <c r="B561" s="44">
        <v>0.7354166666666667</v>
      </c>
      <c r="C561" s="45" t="s">
        <v>96</v>
      </c>
      <c r="D561" s="45" t="s">
        <v>75</v>
      </c>
      <c r="E561" s="45" t="s">
        <v>92</v>
      </c>
      <c r="F561" s="46">
        <v>0.0</v>
      </c>
      <c r="G561" s="46">
        <v>0.0</v>
      </c>
      <c r="H561" s="46">
        <v>0.0</v>
      </c>
      <c r="I561" s="46">
        <v>0.0</v>
      </c>
      <c r="J561" s="46">
        <v>0.0</v>
      </c>
      <c r="K561" s="46">
        <v>0.0</v>
      </c>
      <c r="L561" s="46">
        <v>0.0</v>
      </c>
      <c r="M561" s="46">
        <v>0.0</v>
      </c>
      <c r="N561" s="46">
        <v>0.0</v>
      </c>
      <c r="O561" s="46">
        <v>0.0</v>
      </c>
      <c r="P561" s="46">
        <v>0.0</v>
      </c>
      <c r="Q561" s="46">
        <v>0.0</v>
      </c>
    </row>
    <row r="562">
      <c r="A562" s="37" t="s">
        <v>104</v>
      </c>
      <c r="B562" s="36">
        <v>0.7347222222222223</v>
      </c>
      <c r="C562" s="37" t="s">
        <v>15</v>
      </c>
      <c r="D562" s="37" t="s">
        <v>87</v>
      </c>
      <c r="E562" s="37" t="s">
        <v>52</v>
      </c>
      <c r="F562" s="38">
        <v>2.0</v>
      </c>
      <c r="G562" s="38">
        <v>1.0</v>
      </c>
      <c r="H562" s="38">
        <v>1.0</v>
      </c>
      <c r="I562" s="38">
        <v>0.0</v>
      </c>
      <c r="J562" s="38">
        <v>1.0</v>
      </c>
      <c r="K562" s="38">
        <v>2.0</v>
      </c>
      <c r="L562" s="38">
        <v>2.0</v>
      </c>
      <c r="M562" s="38">
        <v>0.0</v>
      </c>
      <c r="N562" s="38">
        <v>0.0</v>
      </c>
      <c r="O562" s="38">
        <v>1.0</v>
      </c>
      <c r="P562" s="38">
        <v>1.0</v>
      </c>
      <c r="Q562" s="38">
        <v>1.0</v>
      </c>
    </row>
    <row r="563">
      <c r="A563" s="41" t="s">
        <v>104</v>
      </c>
      <c r="B563" s="40">
        <v>0.7347222222222223</v>
      </c>
      <c r="C563" s="41" t="s">
        <v>15</v>
      </c>
      <c r="D563" s="41" t="s">
        <v>87</v>
      </c>
      <c r="E563" s="41" t="s">
        <v>88</v>
      </c>
      <c r="F563" s="42">
        <v>0.0</v>
      </c>
      <c r="G563" s="42">
        <v>0.0</v>
      </c>
      <c r="H563" s="42">
        <v>0.0</v>
      </c>
      <c r="I563" s="42">
        <v>0.0</v>
      </c>
      <c r="J563" s="42">
        <v>0.0</v>
      </c>
      <c r="K563" s="42">
        <v>0.0</v>
      </c>
      <c r="L563" s="42">
        <v>0.0</v>
      </c>
      <c r="M563" s="42">
        <v>0.0</v>
      </c>
      <c r="N563" s="42">
        <v>0.0</v>
      </c>
      <c r="O563" s="42">
        <v>0.0</v>
      </c>
      <c r="P563" s="42">
        <v>0.0</v>
      </c>
      <c r="Q563" s="42">
        <v>0.0</v>
      </c>
    </row>
    <row r="564">
      <c r="A564" s="37" t="s">
        <v>104</v>
      </c>
      <c r="B564" s="36">
        <v>0.7347222222222223</v>
      </c>
      <c r="C564" s="37" t="s">
        <v>15</v>
      </c>
      <c r="D564" s="37" t="s">
        <v>87</v>
      </c>
      <c r="E564" s="37" t="s">
        <v>89</v>
      </c>
      <c r="F564" s="38">
        <v>0.0</v>
      </c>
      <c r="G564" s="38">
        <v>0.0</v>
      </c>
      <c r="H564" s="38">
        <v>0.0</v>
      </c>
      <c r="I564" s="38">
        <v>0.0</v>
      </c>
      <c r="J564" s="38">
        <v>0.0</v>
      </c>
      <c r="K564" s="38">
        <v>0.0</v>
      </c>
      <c r="L564" s="38">
        <v>0.0</v>
      </c>
      <c r="M564" s="38">
        <v>0.0</v>
      </c>
      <c r="N564" s="38">
        <v>0.0</v>
      </c>
      <c r="O564" s="38">
        <v>0.0</v>
      </c>
      <c r="P564" s="38">
        <v>0.0</v>
      </c>
      <c r="Q564" s="38">
        <v>0.0</v>
      </c>
    </row>
    <row r="565">
      <c r="A565" s="41" t="s">
        <v>104</v>
      </c>
      <c r="B565" s="40">
        <v>0.7347222222222223</v>
      </c>
      <c r="C565" s="41" t="s">
        <v>15</v>
      </c>
      <c r="D565" s="41" t="s">
        <v>87</v>
      </c>
      <c r="E565" s="41" t="s">
        <v>50</v>
      </c>
      <c r="F565" s="42">
        <v>0.0</v>
      </c>
      <c r="G565" s="42">
        <v>0.0</v>
      </c>
      <c r="H565" s="42">
        <v>0.0</v>
      </c>
      <c r="I565" s="42">
        <v>0.0</v>
      </c>
      <c r="J565" s="42">
        <v>0.0</v>
      </c>
      <c r="K565" s="42">
        <v>0.0</v>
      </c>
      <c r="L565" s="42">
        <v>0.0</v>
      </c>
      <c r="M565" s="42">
        <v>0.0</v>
      </c>
      <c r="N565" s="42">
        <v>0.0</v>
      </c>
      <c r="O565" s="42">
        <v>0.0</v>
      </c>
      <c r="P565" s="42">
        <v>0.0</v>
      </c>
      <c r="Q565" s="42">
        <v>0.0</v>
      </c>
    </row>
    <row r="566">
      <c r="A566" s="37" t="s">
        <v>104</v>
      </c>
      <c r="B566" s="36">
        <v>0.7347222222222223</v>
      </c>
      <c r="C566" s="37" t="s">
        <v>15</v>
      </c>
      <c r="D566" s="37" t="s">
        <v>87</v>
      </c>
      <c r="E566" s="37" t="s">
        <v>90</v>
      </c>
      <c r="F566" s="38">
        <v>0.0</v>
      </c>
      <c r="G566" s="38">
        <v>0.0</v>
      </c>
      <c r="H566" s="38">
        <v>0.0</v>
      </c>
      <c r="I566" s="38">
        <v>0.0</v>
      </c>
      <c r="J566" s="38">
        <v>0.0</v>
      </c>
      <c r="K566" s="38">
        <v>0.0</v>
      </c>
      <c r="L566" s="38">
        <v>0.0</v>
      </c>
      <c r="M566" s="38">
        <v>0.0</v>
      </c>
      <c r="N566" s="38">
        <v>0.0</v>
      </c>
      <c r="O566" s="38">
        <v>0.0</v>
      </c>
      <c r="P566" s="38">
        <v>0.0</v>
      </c>
      <c r="Q566" s="38">
        <v>0.0</v>
      </c>
    </row>
    <row r="567">
      <c r="A567" s="41" t="s">
        <v>104</v>
      </c>
      <c r="B567" s="40">
        <v>0.7347222222222223</v>
      </c>
      <c r="C567" s="41" t="s">
        <v>15</v>
      </c>
      <c r="D567" s="41" t="s">
        <v>87</v>
      </c>
      <c r="E567" s="41" t="s">
        <v>91</v>
      </c>
      <c r="F567" s="42">
        <v>0.0</v>
      </c>
      <c r="G567" s="42">
        <v>0.0</v>
      </c>
      <c r="H567" s="42">
        <v>0.0</v>
      </c>
      <c r="I567" s="42">
        <v>0.0</v>
      </c>
      <c r="J567" s="42">
        <v>0.0</v>
      </c>
      <c r="K567" s="42">
        <v>0.0</v>
      </c>
      <c r="L567" s="42">
        <v>0.0</v>
      </c>
      <c r="M567" s="42">
        <v>0.0</v>
      </c>
      <c r="N567" s="42">
        <v>0.0</v>
      </c>
      <c r="O567" s="42">
        <v>0.0</v>
      </c>
      <c r="P567" s="42">
        <v>0.0</v>
      </c>
      <c r="Q567" s="42">
        <v>0.0</v>
      </c>
    </row>
    <row r="568">
      <c r="A568" s="37" t="s">
        <v>104</v>
      </c>
      <c r="B568" s="36">
        <v>0.7347222222222223</v>
      </c>
      <c r="C568" s="37" t="s">
        <v>15</v>
      </c>
      <c r="D568" s="37" t="s">
        <v>87</v>
      </c>
      <c r="E568" s="37" t="s">
        <v>92</v>
      </c>
      <c r="F568" s="38">
        <v>0.0</v>
      </c>
      <c r="G568" s="38">
        <v>0.0</v>
      </c>
      <c r="H568" s="38">
        <v>0.0</v>
      </c>
      <c r="I568" s="38">
        <v>0.0</v>
      </c>
      <c r="J568" s="38">
        <v>0.0</v>
      </c>
      <c r="K568" s="38">
        <v>0.0</v>
      </c>
      <c r="L568" s="38">
        <v>0.0</v>
      </c>
      <c r="M568" s="38">
        <v>0.0</v>
      </c>
      <c r="N568" s="38">
        <v>0.0</v>
      </c>
      <c r="O568" s="38">
        <v>0.0</v>
      </c>
      <c r="P568" s="38">
        <v>0.0</v>
      </c>
      <c r="Q568" s="38">
        <v>0.0</v>
      </c>
    </row>
    <row r="569">
      <c r="A569" s="41" t="s">
        <v>104</v>
      </c>
      <c r="B569" s="40">
        <v>0.7347222222222223</v>
      </c>
      <c r="C569" s="41" t="s">
        <v>23</v>
      </c>
      <c r="D569" s="41" t="s">
        <v>93</v>
      </c>
      <c r="E569" s="41" t="s">
        <v>52</v>
      </c>
      <c r="F569" s="42">
        <v>1.0</v>
      </c>
      <c r="G569" s="42">
        <v>1.0</v>
      </c>
      <c r="H569" s="42">
        <v>0.0</v>
      </c>
      <c r="I569" s="42">
        <v>0.0</v>
      </c>
      <c r="J569" s="42">
        <v>0.0</v>
      </c>
      <c r="K569" s="42">
        <v>1.0</v>
      </c>
      <c r="L569" s="42">
        <v>1.0</v>
      </c>
      <c r="M569" s="42">
        <v>0.0</v>
      </c>
      <c r="N569" s="42">
        <v>0.0</v>
      </c>
      <c r="O569" s="42">
        <v>0.0</v>
      </c>
      <c r="P569" s="42">
        <v>1.0</v>
      </c>
      <c r="Q569" s="42">
        <v>1.0</v>
      </c>
    </row>
    <row r="570">
      <c r="A570" s="37" t="s">
        <v>104</v>
      </c>
      <c r="B570" s="36">
        <v>0.7347222222222223</v>
      </c>
      <c r="C570" s="37" t="s">
        <v>23</v>
      </c>
      <c r="D570" s="37" t="s">
        <v>93</v>
      </c>
      <c r="E570" s="37" t="s">
        <v>88</v>
      </c>
      <c r="F570" s="38">
        <v>0.0</v>
      </c>
      <c r="G570" s="38">
        <v>0.0</v>
      </c>
      <c r="H570" s="38">
        <v>0.0</v>
      </c>
      <c r="I570" s="38">
        <v>0.0</v>
      </c>
      <c r="J570" s="38">
        <v>0.0</v>
      </c>
      <c r="K570" s="38">
        <v>0.0</v>
      </c>
      <c r="L570" s="38">
        <v>0.0</v>
      </c>
      <c r="M570" s="38">
        <v>0.0</v>
      </c>
      <c r="N570" s="38">
        <v>0.0</v>
      </c>
      <c r="O570" s="38">
        <v>0.0</v>
      </c>
      <c r="P570" s="38">
        <v>0.0</v>
      </c>
      <c r="Q570" s="38">
        <v>0.0</v>
      </c>
    </row>
    <row r="571">
      <c r="A571" s="41" t="s">
        <v>104</v>
      </c>
      <c r="B571" s="40">
        <v>0.7347222222222223</v>
      </c>
      <c r="C571" s="41" t="s">
        <v>23</v>
      </c>
      <c r="D571" s="41" t="s">
        <v>93</v>
      </c>
      <c r="E571" s="41" t="s">
        <v>89</v>
      </c>
      <c r="F571" s="42">
        <v>0.0</v>
      </c>
      <c r="G571" s="42">
        <v>0.0</v>
      </c>
      <c r="H571" s="42">
        <v>0.0</v>
      </c>
      <c r="I571" s="42">
        <v>0.0</v>
      </c>
      <c r="J571" s="42">
        <v>0.0</v>
      </c>
      <c r="K571" s="42">
        <v>0.0</v>
      </c>
      <c r="L571" s="42">
        <v>0.0</v>
      </c>
      <c r="M571" s="42">
        <v>0.0</v>
      </c>
      <c r="N571" s="42">
        <v>0.0</v>
      </c>
      <c r="O571" s="42">
        <v>0.0</v>
      </c>
      <c r="P571" s="42">
        <v>0.0</v>
      </c>
      <c r="Q571" s="42">
        <v>0.0</v>
      </c>
    </row>
    <row r="572">
      <c r="A572" s="37" t="s">
        <v>104</v>
      </c>
      <c r="B572" s="36">
        <v>0.7347222222222223</v>
      </c>
      <c r="C572" s="37" t="s">
        <v>23</v>
      </c>
      <c r="D572" s="37" t="s">
        <v>93</v>
      </c>
      <c r="E572" s="37" t="s">
        <v>50</v>
      </c>
      <c r="F572" s="38">
        <v>0.0</v>
      </c>
      <c r="G572" s="38">
        <v>0.0</v>
      </c>
      <c r="H572" s="38">
        <v>0.0</v>
      </c>
      <c r="I572" s="38">
        <v>0.0</v>
      </c>
      <c r="J572" s="38">
        <v>0.0</v>
      </c>
      <c r="K572" s="38">
        <v>0.0</v>
      </c>
      <c r="L572" s="38">
        <v>0.0</v>
      </c>
      <c r="M572" s="38">
        <v>0.0</v>
      </c>
      <c r="N572" s="38">
        <v>0.0</v>
      </c>
      <c r="O572" s="38">
        <v>0.0</v>
      </c>
      <c r="P572" s="38">
        <v>0.0</v>
      </c>
      <c r="Q572" s="38">
        <v>0.0</v>
      </c>
    </row>
    <row r="573">
      <c r="A573" s="41" t="s">
        <v>104</v>
      </c>
      <c r="B573" s="40">
        <v>0.7347222222222223</v>
      </c>
      <c r="C573" s="41" t="s">
        <v>23</v>
      </c>
      <c r="D573" s="41" t="s">
        <v>93</v>
      </c>
      <c r="E573" s="41" t="s">
        <v>90</v>
      </c>
      <c r="F573" s="42">
        <v>0.0</v>
      </c>
      <c r="G573" s="42">
        <v>0.0</v>
      </c>
      <c r="H573" s="42">
        <v>0.0</v>
      </c>
      <c r="I573" s="42">
        <v>0.0</v>
      </c>
      <c r="J573" s="42">
        <v>0.0</v>
      </c>
      <c r="K573" s="42">
        <v>0.0</v>
      </c>
      <c r="L573" s="42">
        <v>0.0</v>
      </c>
      <c r="M573" s="42">
        <v>0.0</v>
      </c>
      <c r="N573" s="42">
        <v>0.0</v>
      </c>
      <c r="O573" s="42">
        <v>0.0</v>
      </c>
      <c r="P573" s="42">
        <v>0.0</v>
      </c>
      <c r="Q573" s="42">
        <v>0.0</v>
      </c>
    </row>
    <row r="574">
      <c r="A574" s="37" t="s">
        <v>104</v>
      </c>
      <c r="B574" s="36">
        <v>0.7347222222222223</v>
      </c>
      <c r="C574" s="37" t="s">
        <v>23</v>
      </c>
      <c r="D574" s="37" t="s">
        <v>93</v>
      </c>
      <c r="E574" s="37" t="s">
        <v>91</v>
      </c>
      <c r="F574" s="38">
        <v>0.0</v>
      </c>
      <c r="G574" s="38">
        <v>0.0</v>
      </c>
      <c r="H574" s="38">
        <v>0.0</v>
      </c>
      <c r="I574" s="38">
        <v>0.0</v>
      </c>
      <c r="J574" s="38">
        <v>0.0</v>
      </c>
      <c r="K574" s="38">
        <v>0.0</v>
      </c>
      <c r="L574" s="38">
        <v>0.0</v>
      </c>
      <c r="M574" s="38">
        <v>0.0</v>
      </c>
      <c r="N574" s="38">
        <v>0.0</v>
      </c>
      <c r="O574" s="38">
        <v>0.0</v>
      </c>
      <c r="P574" s="38">
        <v>0.0</v>
      </c>
      <c r="Q574" s="38">
        <v>0.0</v>
      </c>
    </row>
    <row r="575">
      <c r="A575" s="41" t="s">
        <v>104</v>
      </c>
      <c r="B575" s="40">
        <v>0.7347222222222223</v>
      </c>
      <c r="C575" s="41" t="s">
        <v>23</v>
      </c>
      <c r="D575" s="41" t="s">
        <v>93</v>
      </c>
      <c r="E575" s="41" t="s">
        <v>92</v>
      </c>
      <c r="F575" s="42">
        <v>0.0</v>
      </c>
      <c r="G575" s="42">
        <v>0.0</v>
      </c>
      <c r="H575" s="42">
        <v>0.0</v>
      </c>
      <c r="I575" s="42">
        <v>0.0</v>
      </c>
      <c r="J575" s="42">
        <v>0.0</v>
      </c>
      <c r="K575" s="42">
        <v>0.0</v>
      </c>
      <c r="L575" s="42">
        <v>0.0</v>
      </c>
      <c r="M575" s="42">
        <v>0.0</v>
      </c>
      <c r="N575" s="42">
        <v>0.0</v>
      </c>
      <c r="O575" s="42">
        <v>0.0</v>
      </c>
      <c r="P575" s="42">
        <v>0.0</v>
      </c>
      <c r="Q575" s="42">
        <v>0.0</v>
      </c>
    </row>
    <row r="576">
      <c r="A576" s="37" t="s">
        <v>104</v>
      </c>
      <c r="B576" s="36">
        <v>0.7347222222222223</v>
      </c>
      <c r="C576" s="37" t="s">
        <v>29</v>
      </c>
      <c r="D576" s="37" t="s">
        <v>94</v>
      </c>
      <c r="E576" s="37" t="s">
        <v>52</v>
      </c>
      <c r="F576" s="38">
        <v>6.0</v>
      </c>
      <c r="G576" s="38">
        <v>3.0</v>
      </c>
      <c r="H576" s="38">
        <v>0.0</v>
      </c>
      <c r="I576" s="38">
        <v>0.0</v>
      </c>
      <c r="J576" s="38">
        <v>0.0</v>
      </c>
      <c r="K576" s="38">
        <v>6.0</v>
      </c>
      <c r="L576" s="38">
        <v>6.0</v>
      </c>
      <c r="M576" s="38">
        <v>0.0</v>
      </c>
      <c r="N576" s="38">
        <v>0.0</v>
      </c>
      <c r="O576" s="38">
        <v>0.0</v>
      </c>
      <c r="P576" s="38">
        <v>3.0</v>
      </c>
      <c r="Q576" s="38">
        <v>3.0</v>
      </c>
    </row>
    <row r="577">
      <c r="A577" s="41" t="s">
        <v>104</v>
      </c>
      <c r="B577" s="40">
        <v>0.7347222222222223</v>
      </c>
      <c r="C577" s="41" t="s">
        <v>29</v>
      </c>
      <c r="D577" s="41" t="s">
        <v>94</v>
      </c>
      <c r="E577" s="41" t="s">
        <v>88</v>
      </c>
      <c r="F577" s="42">
        <v>0.0</v>
      </c>
      <c r="G577" s="42">
        <v>0.0</v>
      </c>
      <c r="H577" s="42">
        <v>0.0</v>
      </c>
      <c r="I577" s="42">
        <v>0.0</v>
      </c>
      <c r="J577" s="42">
        <v>0.0</v>
      </c>
      <c r="K577" s="42">
        <v>0.0</v>
      </c>
      <c r="L577" s="42">
        <v>0.0</v>
      </c>
      <c r="M577" s="42">
        <v>0.0</v>
      </c>
      <c r="N577" s="42">
        <v>0.0</v>
      </c>
      <c r="O577" s="42">
        <v>0.0</v>
      </c>
      <c r="P577" s="42">
        <v>0.0</v>
      </c>
      <c r="Q577" s="42">
        <v>0.0</v>
      </c>
    </row>
    <row r="578">
      <c r="A578" s="37" t="s">
        <v>104</v>
      </c>
      <c r="B578" s="36">
        <v>0.7347222222222223</v>
      </c>
      <c r="C578" s="37" t="s">
        <v>29</v>
      </c>
      <c r="D578" s="37" t="s">
        <v>94</v>
      </c>
      <c r="E578" s="37" t="s">
        <v>89</v>
      </c>
      <c r="F578" s="38">
        <v>1.0</v>
      </c>
      <c r="G578" s="38">
        <v>0.0</v>
      </c>
      <c r="H578" s="38">
        <v>0.0</v>
      </c>
      <c r="I578" s="38">
        <v>0.0</v>
      </c>
      <c r="J578" s="38">
        <v>0.0</v>
      </c>
      <c r="K578" s="38">
        <v>1.0</v>
      </c>
      <c r="L578" s="38">
        <v>1.0</v>
      </c>
      <c r="M578" s="38">
        <v>0.0</v>
      </c>
      <c r="N578" s="38">
        <v>0.0</v>
      </c>
      <c r="O578" s="38">
        <v>0.0</v>
      </c>
      <c r="P578" s="38">
        <v>0.0</v>
      </c>
      <c r="Q578" s="38">
        <v>0.0</v>
      </c>
    </row>
    <row r="579">
      <c r="A579" s="41" t="s">
        <v>104</v>
      </c>
      <c r="B579" s="40">
        <v>0.7347222222222223</v>
      </c>
      <c r="C579" s="41" t="s">
        <v>29</v>
      </c>
      <c r="D579" s="41" t="s">
        <v>94</v>
      </c>
      <c r="E579" s="41" t="s">
        <v>50</v>
      </c>
      <c r="F579" s="42">
        <v>0.0</v>
      </c>
      <c r="G579" s="42">
        <v>0.0</v>
      </c>
      <c r="H579" s="42">
        <v>0.0</v>
      </c>
      <c r="I579" s="42">
        <v>0.0</v>
      </c>
      <c r="J579" s="42">
        <v>0.0</v>
      </c>
      <c r="K579" s="42">
        <v>0.0</v>
      </c>
      <c r="L579" s="42">
        <v>0.0</v>
      </c>
      <c r="M579" s="42">
        <v>0.0</v>
      </c>
      <c r="N579" s="42">
        <v>0.0</v>
      </c>
      <c r="O579" s="42">
        <v>0.0</v>
      </c>
      <c r="P579" s="42">
        <v>0.0</v>
      </c>
      <c r="Q579" s="42">
        <v>0.0</v>
      </c>
    </row>
    <row r="580">
      <c r="A580" s="37" t="s">
        <v>104</v>
      </c>
      <c r="B580" s="36">
        <v>0.7347222222222223</v>
      </c>
      <c r="C580" s="37" t="s">
        <v>29</v>
      </c>
      <c r="D580" s="37" t="s">
        <v>94</v>
      </c>
      <c r="E580" s="37" t="s">
        <v>90</v>
      </c>
      <c r="F580" s="38">
        <v>0.0</v>
      </c>
      <c r="G580" s="38">
        <v>0.0</v>
      </c>
      <c r="H580" s="38">
        <v>0.0</v>
      </c>
      <c r="I580" s="38">
        <v>0.0</v>
      </c>
      <c r="J580" s="38">
        <v>0.0</v>
      </c>
      <c r="K580" s="38">
        <v>0.0</v>
      </c>
      <c r="L580" s="38">
        <v>0.0</v>
      </c>
      <c r="M580" s="38">
        <v>0.0</v>
      </c>
      <c r="N580" s="38">
        <v>0.0</v>
      </c>
      <c r="O580" s="38">
        <v>0.0</v>
      </c>
      <c r="P580" s="38">
        <v>0.0</v>
      </c>
      <c r="Q580" s="38">
        <v>0.0</v>
      </c>
    </row>
    <row r="581">
      <c r="A581" s="41" t="s">
        <v>104</v>
      </c>
      <c r="B581" s="40">
        <v>0.7347222222222223</v>
      </c>
      <c r="C581" s="41" t="s">
        <v>29</v>
      </c>
      <c r="D581" s="41" t="s">
        <v>94</v>
      </c>
      <c r="E581" s="41" t="s">
        <v>91</v>
      </c>
      <c r="F581" s="42">
        <v>0.0</v>
      </c>
      <c r="G581" s="42">
        <v>0.0</v>
      </c>
      <c r="H581" s="42">
        <v>0.0</v>
      </c>
      <c r="I581" s="42">
        <v>0.0</v>
      </c>
      <c r="J581" s="42">
        <v>0.0</v>
      </c>
      <c r="K581" s="42">
        <v>0.0</v>
      </c>
      <c r="L581" s="42">
        <v>0.0</v>
      </c>
      <c r="M581" s="42">
        <v>0.0</v>
      </c>
      <c r="N581" s="42">
        <v>0.0</v>
      </c>
      <c r="O581" s="42">
        <v>0.0</v>
      </c>
      <c r="P581" s="42">
        <v>0.0</v>
      </c>
      <c r="Q581" s="42">
        <v>0.0</v>
      </c>
    </row>
    <row r="582">
      <c r="A582" s="37" t="s">
        <v>104</v>
      </c>
      <c r="B582" s="36">
        <v>0.7347222222222223</v>
      </c>
      <c r="C582" s="37" t="s">
        <v>29</v>
      </c>
      <c r="D582" s="37" t="s">
        <v>94</v>
      </c>
      <c r="E582" s="37" t="s">
        <v>92</v>
      </c>
      <c r="F582" s="38">
        <v>0.0</v>
      </c>
      <c r="G582" s="38">
        <v>0.0</v>
      </c>
      <c r="H582" s="38">
        <v>0.0</v>
      </c>
      <c r="I582" s="38">
        <v>0.0</v>
      </c>
      <c r="J582" s="38">
        <v>0.0</v>
      </c>
      <c r="K582" s="38">
        <v>0.0</v>
      </c>
      <c r="L582" s="38">
        <v>0.0</v>
      </c>
      <c r="M582" s="38">
        <v>0.0</v>
      </c>
      <c r="N582" s="38">
        <v>0.0</v>
      </c>
      <c r="O582" s="38">
        <v>0.0</v>
      </c>
      <c r="P582" s="38">
        <v>0.0</v>
      </c>
      <c r="Q582" s="38">
        <v>0.0</v>
      </c>
    </row>
    <row r="583">
      <c r="A583" s="41" t="s">
        <v>104</v>
      </c>
      <c r="B583" s="40">
        <v>0.7347222222222223</v>
      </c>
      <c r="C583" s="41" t="s">
        <v>31</v>
      </c>
      <c r="D583" s="41" t="s">
        <v>95</v>
      </c>
      <c r="E583" s="41" t="s">
        <v>52</v>
      </c>
      <c r="F583" s="42">
        <v>0.0</v>
      </c>
      <c r="G583" s="42">
        <v>0.0</v>
      </c>
      <c r="H583" s="42">
        <v>0.0</v>
      </c>
      <c r="I583" s="42">
        <v>0.0</v>
      </c>
      <c r="J583" s="42">
        <v>0.0</v>
      </c>
      <c r="K583" s="42">
        <v>0.0</v>
      </c>
      <c r="L583" s="42">
        <v>0.0</v>
      </c>
      <c r="M583" s="42">
        <v>0.0</v>
      </c>
      <c r="N583" s="42">
        <v>0.0</v>
      </c>
      <c r="O583" s="42">
        <v>0.0</v>
      </c>
      <c r="P583" s="42">
        <v>0.0</v>
      </c>
      <c r="Q583" s="42">
        <v>0.0</v>
      </c>
    </row>
    <row r="584">
      <c r="A584" s="37" t="s">
        <v>104</v>
      </c>
      <c r="B584" s="36">
        <v>0.7347222222222223</v>
      </c>
      <c r="C584" s="37" t="s">
        <v>31</v>
      </c>
      <c r="D584" s="37" t="s">
        <v>95</v>
      </c>
      <c r="E584" s="37" t="s">
        <v>88</v>
      </c>
      <c r="F584" s="38">
        <v>0.0</v>
      </c>
      <c r="G584" s="38">
        <v>0.0</v>
      </c>
      <c r="H584" s="38">
        <v>0.0</v>
      </c>
      <c r="I584" s="38">
        <v>0.0</v>
      </c>
      <c r="J584" s="38">
        <v>0.0</v>
      </c>
      <c r="K584" s="38">
        <v>0.0</v>
      </c>
      <c r="L584" s="38">
        <v>0.0</v>
      </c>
      <c r="M584" s="38">
        <v>0.0</v>
      </c>
      <c r="N584" s="38">
        <v>0.0</v>
      </c>
      <c r="O584" s="38">
        <v>0.0</v>
      </c>
      <c r="P584" s="38">
        <v>0.0</v>
      </c>
      <c r="Q584" s="38">
        <v>0.0</v>
      </c>
    </row>
    <row r="585">
      <c r="A585" s="41" t="s">
        <v>104</v>
      </c>
      <c r="B585" s="40">
        <v>0.7347222222222223</v>
      </c>
      <c r="C585" s="41" t="s">
        <v>31</v>
      </c>
      <c r="D585" s="41" t="s">
        <v>95</v>
      </c>
      <c r="E585" s="41" t="s">
        <v>89</v>
      </c>
      <c r="F585" s="42">
        <v>0.0</v>
      </c>
      <c r="G585" s="42">
        <v>0.0</v>
      </c>
      <c r="H585" s="42">
        <v>0.0</v>
      </c>
      <c r="I585" s="42">
        <v>0.0</v>
      </c>
      <c r="J585" s="42">
        <v>0.0</v>
      </c>
      <c r="K585" s="42">
        <v>0.0</v>
      </c>
      <c r="L585" s="42">
        <v>0.0</v>
      </c>
      <c r="M585" s="42">
        <v>0.0</v>
      </c>
      <c r="N585" s="42">
        <v>0.0</v>
      </c>
      <c r="O585" s="42">
        <v>0.0</v>
      </c>
      <c r="P585" s="42">
        <v>0.0</v>
      </c>
      <c r="Q585" s="42">
        <v>0.0</v>
      </c>
    </row>
    <row r="586">
      <c r="A586" s="37" t="s">
        <v>104</v>
      </c>
      <c r="B586" s="36">
        <v>0.7347222222222223</v>
      </c>
      <c r="C586" s="37" t="s">
        <v>31</v>
      </c>
      <c r="D586" s="37" t="s">
        <v>95</v>
      </c>
      <c r="E586" s="37" t="s">
        <v>50</v>
      </c>
      <c r="F586" s="38">
        <v>1.0</v>
      </c>
      <c r="G586" s="38">
        <v>1.0</v>
      </c>
      <c r="H586" s="38">
        <v>0.0</v>
      </c>
      <c r="I586" s="38">
        <v>0.0</v>
      </c>
      <c r="J586" s="38">
        <v>0.0</v>
      </c>
      <c r="K586" s="38">
        <v>0.0</v>
      </c>
      <c r="L586" s="38">
        <v>1.0</v>
      </c>
      <c r="M586" s="38">
        <v>0.0</v>
      </c>
      <c r="N586" s="38">
        <v>0.0</v>
      </c>
      <c r="O586" s="38">
        <v>0.0</v>
      </c>
      <c r="P586" s="38">
        <v>0.0</v>
      </c>
      <c r="Q586" s="38">
        <v>1.0</v>
      </c>
    </row>
    <row r="587">
      <c r="A587" s="41" t="s">
        <v>104</v>
      </c>
      <c r="B587" s="40">
        <v>0.7347222222222223</v>
      </c>
      <c r="C587" s="41" t="s">
        <v>31</v>
      </c>
      <c r="D587" s="41" t="s">
        <v>95</v>
      </c>
      <c r="E587" s="41" t="s">
        <v>90</v>
      </c>
      <c r="F587" s="42">
        <v>0.0</v>
      </c>
      <c r="G587" s="42">
        <v>0.0</v>
      </c>
      <c r="H587" s="42">
        <v>0.0</v>
      </c>
      <c r="I587" s="42">
        <v>0.0</v>
      </c>
      <c r="J587" s="42">
        <v>0.0</v>
      </c>
      <c r="K587" s="42">
        <v>0.0</v>
      </c>
      <c r="L587" s="42">
        <v>0.0</v>
      </c>
      <c r="M587" s="42">
        <v>0.0</v>
      </c>
      <c r="N587" s="42">
        <v>0.0</v>
      </c>
      <c r="O587" s="42">
        <v>0.0</v>
      </c>
      <c r="P587" s="42">
        <v>0.0</v>
      </c>
      <c r="Q587" s="42">
        <v>0.0</v>
      </c>
    </row>
    <row r="588">
      <c r="A588" s="37" t="s">
        <v>104</v>
      </c>
      <c r="B588" s="36">
        <v>0.7347222222222223</v>
      </c>
      <c r="C588" s="37" t="s">
        <v>31</v>
      </c>
      <c r="D588" s="37" t="s">
        <v>95</v>
      </c>
      <c r="E588" s="37" t="s">
        <v>91</v>
      </c>
      <c r="F588" s="38">
        <v>0.0</v>
      </c>
      <c r="G588" s="38">
        <v>0.0</v>
      </c>
      <c r="H588" s="38">
        <v>0.0</v>
      </c>
      <c r="I588" s="38">
        <v>0.0</v>
      </c>
      <c r="J588" s="38">
        <v>0.0</v>
      </c>
      <c r="K588" s="38">
        <v>0.0</v>
      </c>
      <c r="L588" s="38">
        <v>0.0</v>
      </c>
      <c r="M588" s="38">
        <v>0.0</v>
      </c>
      <c r="N588" s="38">
        <v>0.0</v>
      </c>
      <c r="O588" s="38">
        <v>0.0</v>
      </c>
      <c r="P588" s="38">
        <v>0.0</v>
      </c>
      <c r="Q588" s="38">
        <v>0.0</v>
      </c>
    </row>
    <row r="589">
      <c r="A589" s="41" t="s">
        <v>104</v>
      </c>
      <c r="B589" s="40">
        <v>0.7347222222222223</v>
      </c>
      <c r="C589" s="41" t="s">
        <v>31</v>
      </c>
      <c r="D589" s="41" t="s">
        <v>95</v>
      </c>
      <c r="E589" s="41" t="s">
        <v>92</v>
      </c>
      <c r="F589" s="42">
        <v>0.0</v>
      </c>
      <c r="G589" s="42">
        <v>0.0</v>
      </c>
      <c r="H589" s="42">
        <v>0.0</v>
      </c>
      <c r="I589" s="42">
        <v>0.0</v>
      </c>
      <c r="J589" s="42">
        <v>0.0</v>
      </c>
      <c r="K589" s="42">
        <v>0.0</v>
      </c>
      <c r="L589" s="42">
        <v>0.0</v>
      </c>
      <c r="M589" s="42">
        <v>0.0</v>
      </c>
      <c r="N589" s="42">
        <v>0.0</v>
      </c>
      <c r="O589" s="42">
        <v>0.0</v>
      </c>
      <c r="P589" s="42">
        <v>0.0</v>
      </c>
      <c r="Q589" s="42">
        <v>0.0</v>
      </c>
    </row>
    <row r="590">
      <c r="A590" s="45" t="s">
        <v>104</v>
      </c>
      <c r="B590" s="44">
        <v>0.7347222222222223</v>
      </c>
      <c r="C590" s="45" t="s">
        <v>96</v>
      </c>
      <c r="D590" s="45" t="s">
        <v>75</v>
      </c>
      <c r="E590" s="45" t="s">
        <v>52</v>
      </c>
      <c r="F590" s="46">
        <v>9.0</v>
      </c>
      <c r="G590" s="46">
        <v>5.0</v>
      </c>
      <c r="H590" s="46">
        <v>1.0</v>
      </c>
      <c r="I590" s="46">
        <v>0.0</v>
      </c>
      <c r="J590" s="46">
        <v>1.0</v>
      </c>
      <c r="K590" s="46">
        <v>9.0</v>
      </c>
      <c r="L590" s="46">
        <v>9.0</v>
      </c>
      <c r="M590" s="46">
        <v>0.0</v>
      </c>
      <c r="N590" s="46">
        <v>0.0</v>
      </c>
      <c r="O590" s="46">
        <v>1.0</v>
      </c>
      <c r="P590" s="46">
        <v>5.0</v>
      </c>
      <c r="Q590" s="46">
        <v>5.0</v>
      </c>
    </row>
    <row r="591">
      <c r="A591" s="45" t="s">
        <v>104</v>
      </c>
      <c r="B591" s="44">
        <v>0.7347222222222223</v>
      </c>
      <c r="C591" s="45" t="s">
        <v>96</v>
      </c>
      <c r="D591" s="45" t="s">
        <v>75</v>
      </c>
      <c r="E591" s="45" t="s">
        <v>88</v>
      </c>
      <c r="F591" s="46">
        <v>0.0</v>
      </c>
      <c r="G591" s="46">
        <v>0.0</v>
      </c>
      <c r="H591" s="46">
        <v>0.0</v>
      </c>
      <c r="I591" s="46">
        <v>0.0</v>
      </c>
      <c r="J591" s="46">
        <v>0.0</v>
      </c>
      <c r="K591" s="46">
        <v>0.0</v>
      </c>
      <c r="L591" s="46">
        <v>0.0</v>
      </c>
      <c r="M591" s="46">
        <v>0.0</v>
      </c>
      <c r="N591" s="46">
        <v>0.0</v>
      </c>
      <c r="O591" s="46">
        <v>0.0</v>
      </c>
      <c r="P591" s="46">
        <v>0.0</v>
      </c>
      <c r="Q591" s="46">
        <v>0.0</v>
      </c>
    </row>
    <row r="592">
      <c r="A592" s="45" t="s">
        <v>104</v>
      </c>
      <c r="B592" s="44">
        <v>0.7347222222222223</v>
      </c>
      <c r="C592" s="45" t="s">
        <v>96</v>
      </c>
      <c r="D592" s="45" t="s">
        <v>75</v>
      </c>
      <c r="E592" s="45" t="s">
        <v>89</v>
      </c>
      <c r="F592" s="46">
        <v>1.0</v>
      </c>
      <c r="G592" s="46">
        <v>0.0</v>
      </c>
      <c r="H592" s="46">
        <v>0.0</v>
      </c>
      <c r="I592" s="46">
        <v>0.0</v>
      </c>
      <c r="J592" s="46">
        <v>0.0</v>
      </c>
      <c r="K592" s="46">
        <v>1.0</v>
      </c>
      <c r="L592" s="46">
        <v>1.0</v>
      </c>
      <c r="M592" s="46">
        <v>0.0</v>
      </c>
      <c r="N592" s="46">
        <v>0.0</v>
      </c>
      <c r="O592" s="46">
        <v>0.0</v>
      </c>
      <c r="P592" s="46">
        <v>0.0</v>
      </c>
      <c r="Q592" s="46">
        <v>0.0</v>
      </c>
    </row>
    <row r="593">
      <c r="A593" s="45" t="s">
        <v>104</v>
      </c>
      <c r="B593" s="44">
        <v>0.7347222222222223</v>
      </c>
      <c r="C593" s="45" t="s">
        <v>96</v>
      </c>
      <c r="D593" s="45" t="s">
        <v>75</v>
      </c>
      <c r="E593" s="45" t="s">
        <v>50</v>
      </c>
      <c r="F593" s="46">
        <v>1.0</v>
      </c>
      <c r="G593" s="46">
        <v>1.0</v>
      </c>
      <c r="H593" s="46">
        <v>0.0</v>
      </c>
      <c r="I593" s="46">
        <v>0.0</v>
      </c>
      <c r="J593" s="46">
        <v>0.0</v>
      </c>
      <c r="K593" s="46">
        <v>0.0</v>
      </c>
      <c r="L593" s="46">
        <v>1.0</v>
      </c>
      <c r="M593" s="46">
        <v>0.0</v>
      </c>
      <c r="N593" s="46">
        <v>0.0</v>
      </c>
      <c r="O593" s="46">
        <v>0.0</v>
      </c>
      <c r="P593" s="46">
        <v>0.0</v>
      </c>
      <c r="Q593" s="46">
        <v>1.0</v>
      </c>
    </row>
    <row r="594">
      <c r="A594" s="45" t="s">
        <v>104</v>
      </c>
      <c r="B594" s="44">
        <v>0.7347222222222223</v>
      </c>
      <c r="C594" s="45" t="s">
        <v>96</v>
      </c>
      <c r="D594" s="45" t="s">
        <v>75</v>
      </c>
      <c r="E594" s="45" t="s">
        <v>90</v>
      </c>
      <c r="F594" s="46">
        <v>0.0</v>
      </c>
      <c r="G594" s="46">
        <v>0.0</v>
      </c>
      <c r="H594" s="46">
        <v>0.0</v>
      </c>
      <c r="I594" s="46">
        <v>0.0</v>
      </c>
      <c r="J594" s="46">
        <v>0.0</v>
      </c>
      <c r="K594" s="46">
        <v>0.0</v>
      </c>
      <c r="L594" s="46">
        <v>0.0</v>
      </c>
      <c r="M594" s="46">
        <v>0.0</v>
      </c>
      <c r="N594" s="46">
        <v>0.0</v>
      </c>
      <c r="O594" s="46">
        <v>0.0</v>
      </c>
      <c r="P594" s="46">
        <v>0.0</v>
      </c>
      <c r="Q594" s="46">
        <v>0.0</v>
      </c>
    </row>
    <row r="595">
      <c r="A595" s="45" t="s">
        <v>104</v>
      </c>
      <c r="B595" s="44">
        <v>0.7347222222222223</v>
      </c>
      <c r="C595" s="45" t="s">
        <v>96</v>
      </c>
      <c r="D595" s="45" t="s">
        <v>75</v>
      </c>
      <c r="E595" s="45" t="s">
        <v>91</v>
      </c>
      <c r="F595" s="46">
        <v>0.0</v>
      </c>
      <c r="G595" s="46">
        <v>0.0</v>
      </c>
      <c r="H595" s="46">
        <v>0.0</v>
      </c>
      <c r="I595" s="46">
        <v>0.0</v>
      </c>
      <c r="J595" s="46">
        <v>0.0</v>
      </c>
      <c r="K595" s="46">
        <v>0.0</v>
      </c>
      <c r="L595" s="46">
        <v>0.0</v>
      </c>
      <c r="M595" s="46">
        <v>0.0</v>
      </c>
      <c r="N595" s="46">
        <v>0.0</v>
      </c>
      <c r="O595" s="46">
        <v>0.0</v>
      </c>
      <c r="P595" s="46">
        <v>0.0</v>
      </c>
      <c r="Q595" s="46">
        <v>0.0</v>
      </c>
    </row>
    <row r="596">
      <c r="A596" s="45" t="s">
        <v>104</v>
      </c>
      <c r="B596" s="44">
        <v>0.7347222222222223</v>
      </c>
      <c r="C596" s="45" t="s">
        <v>96</v>
      </c>
      <c r="D596" s="45" t="s">
        <v>75</v>
      </c>
      <c r="E596" s="45" t="s">
        <v>92</v>
      </c>
      <c r="F596" s="46">
        <v>0.0</v>
      </c>
      <c r="G596" s="46">
        <v>0.0</v>
      </c>
      <c r="H596" s="46">
        <v>0.0</v>
      </c>
      <c r="I596" s="46">
        <v>0.0</v>
      </c>
      <c r="J596" s="46">
        <v>0.0</v>
      </c>
      <c r="K596" s="46">
        <v>0.0</v>
      </c>
      <c r="L596" s="46">
        <v>0.0</v>
      </c>
      <c r="M596" s="46">
        <v>0.0</v>
      </c>
      <c r="N596" s="46">
        <v>0.0</v>
      </c>
      <c r="O596" s="46">
        <v>0.0</v>
      </c>
      <c r="P596" s="46">
        <v>0.0</v>
      </c>
      <c r="Q596" s="46">
        <v>0.0</v>
      </c>
    </row>
    <row r="597">
      <c r="A597" s="41" t="s">
        <v>105</v>
      </c>
      <c r="B597" s="40">
        <v>0.7354166666666667</v>
      </c>
      <c r="C597" s="41" t="s">
        <v>15</v>
      </c>
      <c r="D597" s="41" t="s">
        <v>87</v>
      </c>
      <c r="E597" s="41" t="s">
        <v>52</v>
      </c>
      <c r="F597" s="42">
        <v>2.0</v>
      </c>
      <c r="G597" s="42">
        <v>1.0</v>
      </c>
      <c r="H597" s="42">
        <v>0.0</v>
      </c>
      <c r="I597" s="42">
        <v>1.0</v>
      </c>
      <c r="J597" s="42">
        <v>0.0</v>
      </c>
      <c r="K597" s="42">
        <v>2.0</v>
      </c>
      <c r="L597" s="42">
        <v>2.0</v>
      </c>
      <c r="M597" s="42">
        <v>0.0</v>
      </c>
      <c r="N597" s="42">
        <v>0.0</v>
      </c>
      <c r="O597" s="42">
        <v>0.0</v>
      </c>
      <c r="P597" s="42">
        <v>1.0</v>
      </c>
      <c r="Q597" s="42">
        <v>1.0</v>
      </c>
    </row>
    <row r="598">
      <c r="A598" s="37" t="s">
        <v>105</v>
      </c>
      <c r="B598" s="36">
        <v>0.7354166666666667</v>
      </c>
      <c r="C598" s="37" t="s">
        <v>15</v>
      </c>
      <c r="D598" s="37" t="s">
        <v>87</v>
      </c>
      <c r="E598" s="37" t="s">
        <v>88</v>
      </c>
      <c r="F598" s="38">
        <v>0.0</v>
      </c>
      <c r="G598" s="38">
        <v>0.0</v>
      </c>
      <c r="H598" s="38">
        <v>0.0</v>
      </c>
      <c r="I598" s="38">
        <v>0.0</v>
      </c>
      <c r="J598" s="38">
        <v>0.0</v>
      </c>
      <c r="K598" s="38">
        <v>0.0</v>
      </c>
      <c r="L598" s="38">
        <v>0.0</v>
      </c>
      <c r="M598" s="38">
        <v>0.0</v>
      </c>
      <c r="N598" s="38">
        <v>0.0</v>
      </c>
      <c r="O598" s="38">
        <v>0.0</v>
      </c>
      <c r="P598" s="38">
        <v>0.0</v>
      </c>
      <c r="Q598" s="38">
        <v>0.0</v>
      </c>
    </row>
    <row r="599">
      <c r="A599" s="41" t="s">
        <v>105</v>
      </c>
      <c r="B599" s="40">
        <v>0.7354166666666667</v>
      </c>
      <c r="C599" s="41" t="s">
        <v>15</v>
      </c>
      <c r="D599" s="41" t="s">
        <v>87</v>
      </c>
      <c r="E599" s="41" t="s">
        <v>89</v>
      </c>
      <c r="F599" s="42">
        <v>0.0</v>
      </c>
      <c r="G599" s="42">
        <v>0.0</v>
      </c>
      <c r="H599" s="42">
        <v>0.0</v>
      </c>
      <c r="I599" s="42">
        <v>0.0</v>
      </c>
      <c r="J599" s="42">
        <v>0.0</v>
      </c>
      <c r="K599" s="42">
        <v>0.0</v>
      </c>
      <c r="L599" s="42">
        <v>0.0</v>
      </c>
      <c r="M599" s="42">
        <v>0.0</v>
      </c>
      <c r="N599" s="42">
        <v>0.0</v>
      </c>
      <c r="O599" s="42">
        <v>0.0</v>
      </c>
      <c r="P599" s="42">
        <v>0.0</v>
      </c>
      <c r="Q599" s="42">
        <v>0.0</v>
      </c>
    </row>
    <row r="600">
      <c r="A600" s="37" t="s">
        <v>105</v>
      </c>
      <c r="B600" s="36">
        <v>0.7354166666666667</v>
      </c>
      <c r="C600" s="37" t="s">
        <v>15</v>
      </c>
      <c r="D600" s="37" t="s">
        <v>87</v>
      </c>
      <c r="E600" s="37" t="s">
        <v>50</v>
      </c>
      <c r="F600" s="38">
        <v>0.0</v>
      </c>
      <c r="G600" s="38">
        <v>0.0</v>
      </c>
      <c r="H600" s="38">
        <v>0.0</v>
      </c>
      <c r="I600" s="38">
        <v>0.0</v>
      </c>
      <c r="J600" s="38">
        <v>0.0</v>
      </c>
      <c r="K600" s="38">
        <v>0.0</v>
      </c>
      <c r="L600" s="38">
        <v>0.0</v>
      </c>
      <c r="M600" s="38">
        <v>0.0</v>
      </c>
      <c r="N600" s="38">
        <v>0.0</v>
      </c>
      <c r="O600" s="38">
        <v>0.0</v>
      </c>
      <c r="P600" s="38">
        <v>0.0</v>
      </c>
      <c r="Q600" s="38">
        <v>0.0</v>
      </c>
    </row>
    <row r="601">
      <c r="A601" s="41" t="s">
        <v>105</v>
      </c>
      <c r="B601" s="40">
        <v>0.7354166666666667</v>
      </c>
      <c r="C601" s="41" t="s">
        <v>15</v>
      </c>
      <c r="D601" s="41" t="s">
        <v>87</v>
      </c>
      <c r="E601" s="41" t="s">
        <v>90</v>
      </c>
      <c r="F601" s="42">
        <v>0.0</v>
      </c>
      <c r="G601" s="42">
        <v>0.0</v>
      </c>
      <c r="H601" s="42">
        <v>0.0</v>
      </c>
      <c r="I601" s="42">
        <v>0.0</v>
      </c>
      <c r="J601" s="42">
        <v>0.0</v>
      </c>
      <c r="K601" s="42">
        <v>0.0</v>
      </c>
      <c r="L601" s="42">
        <v>0.0</v>
      </c>
      <c r="M601" s="42">
        <v>0.0</v>
      </c>
      <c r="N601" s="42">
        <v>0.0</v>
      </c>
      <c r="O601" s="42">
        <v>0.0</v>
      </c>
      <c r="P601" s="42">
        <v>0.0</v>
      </c>
      <c r="Q601" s="42">
        <v>0.0</v>
      </c>
    </row>
    <row r="602">
      <c r="A602" s="37" t="s">
        <v>105</v>
      </c>
      <c r="B602" s="36">
        <v>0.7354166666666667</v>
      </c>
      <c r="C602" s="37" t="s">
        <v>15</v>
      </c>
      <c r="D602" s="37" t="s">
        <v>87</v>
      </c>
      <c r="E602" s="37" t="s">
        <v>91</v>
      </c>
      <c r="F602" s="38">
        <v>0.0</v>
      </c>
      <c r="G602" s="38">
        <v>0.0</v>
      </c>
      <c r="H602" s="38">
        <v>0.0</v>
      </c>
      <c r="I602" s="38">
        <v>0.0</v>
      </c>
      <c r="J602" s="38">
        <v>0.0</v>
      </c>
      <c r="K602" s="38">
        <v>0.0</v>
      </c>
      <c r="L602" s="38">
        <v>0.0</v>
      </c>
      <c r="M602" s="38">
        <v>0.0</v>
      </c>
      <c r="N602" s="38">
        <v>0.0</v>
      </c>
      <c r="O602" s="38">
        <v>0.0</v>
      </c>
      <c r="P602" s="38">
        <v>0.0</v>
      </c>
      <c r="Q602" s="38">
        <v>0.0</v>
      </c>
    </row>
    <row r="603">
      <c r="A603" s="41" t="s">
        <v>105</v>
      </c>
      <c r="B603" s="40">
        <v>0.7354166666666667</v>
      </c>
      <c r="C603" s="41" t="s">
        <v>15</v>
      </c>
      <c r="D603" s="41" t="s">
        <v>87</v>
      </c>
      <c r="E603" s="41" t="s">
        <v>92</v>
      </c>
      <c r="F603" s="42">
        <v>0.0</v>
      </c>
      <c r="G603" s="42">
        <v>0.0</v>
      </c>
      <c r="H603" s="42">
        <v>0.0</v>
      </c>
      <c r="I603" s="42">
        <v>0.0</v>
      </c>
      <c r="J603" s="42">
        <v>0.0</v>
      </c>
      <c r="K603" s="42">
        <v>0.0</v>
      </c>
      <c r="L603" s="42">
        <v>0.0</v>
      </c>
      <c r="M603" s="42">
        <v>0.0</v>
      </c>
      <c r="N603" s="42">
        <v>0.0</v>
      </c>
      <c r="O603" s="42">
        <v>0.0</v>
      </c>
      <c r="P603" s="42">
        <v>0.0</v>
      </c>
      <c r="Q603" s="42">
        <v>0.0</v>
      </c>
    </row>
    <row r="604">
      <c r="A604" s="37" t="s">
        <v>105</v>
      </c>
      <c r="B604" s="36">
        <v>0.7354166666666667</v>
      </c>
      <c r="C604" s="37" t="s">
        <v>15</v>
      </c>
      <c r="D604" s="37" t="s">
        <v>87</v>
      </c>
      <c r="E604" s="37" t="s">
        <v>106</v>
      </c>
      <c r="F604" s="38">
        <v>0.0</v>
      </c>
      <c r="G604" s="38">
        <v>0.0</v>
      </c>
      <c r="H604" s="38">
        <v>0.0</v>
      </c>
      <c r="I604" s="38">
        <v>0.0</v>
      </c>
      <c r="J604" s="38">
        <v>0.0</v>
      </c>
      <c r="K604" s="38">
        <v>0.0</v>
      </c>
      <c r="L604" s="38">
        <v>0.0</v>
      </c>
      <c r="M604" s="38">
        <v>0.0</v>
      </c>
      <c r="N604" s="38">
        <v>0.0</v>
      </c>
      <c r="O604" s="38">
        <v>0.0</v>
      </c>
      <c r="P604" s="38">
        <v>0.0</v>
      </c>
      <c r="Q604" s="38">
        <v>0.0</v>
      </c>
    </row>
    <row r="605">
      <c r="A605" s="41" t="s">
        <v>105</v>
      </c>
      <c r="B605" s="40">
        <v>0.7354166666666667</v>
      </c>
      <c r="C605" s="41" t="s">
        <v>15</v>
      </c>
      <c r="D605" s="41" t="s">
        <v>87</v>
      </c>
      <c r="E605" s="41" t="s">
        <v>107</v>
      </c>
      <c r="F605" s="42">
        <v>0.0</v>
      </c>
      <c r="G605" s="42">
        <v>0.0</v>
      </c>
      <c r="H605" s="42">
        <v>0.0</v>
      </c>
      <c r="I605" s="42">
        <v>0.0</v>
      </c>
      <c r="J605" s="42">
        <v>0.0</v>
      </c>
      <c r="K605" s="42">
        <v>0.0</v>
      </c>
      <c r="L605" s="42">
        <v>0.0</v>
      </c>
      <c r="M605" s="42">
        <v>0.0</v>
      </c>
      <c r="N605" s="42">
        <v>0.0</v>
      </c>
      <c r="O605" s="42">
        <v>0.0</v>
      </c>
      <c r="P605" s="42">
        <v>0.0</v>
      </c>
      <c r="Q605" s="42">
        <v>0.0</v>
      </c>
    </row>
    <row r="606">
      <c r="A606" s="37" t="s">
        <v>105</v>
      </c>
      <c r="B606" s="36">
        <v>0.7354166666666667</v>
      </c>
      <c r="C606" s="37" t="s">
        <v>23</v>
      </c>
      <c r="D606" s="37" t="s">
        <v>93</v>
      </c>
      <c r="E606" s="37" t="s">
        <v>52</v>
      </c>
      <c r="F606" s="38">
        <v>1.0</v>
      </c>
      <c r="G606" s="38">
        <v>1.0</v>
      </c>
      <c r="H606" s="38">
        <v>0.0</v>
      </c>
      <c r="I606" s="38">
        <v>0.0</v>
      </c>
      <c r="J606" s="38">
        <v>0.0</v>
      </c>
      <c r="K606" s="38">
        <v>1.0</v>
      </c>
      <c r="L606" s="38">
        <v>1.0</v>
      </c>
      <c r="M606" s="38">
        <v>0.0</v>
      </c>
      <c r="N606" s="38">
        <v>0.0</v>
      </c>
      <c r="O606" s="38">
        <v>0.0</v>
      </c>
      <c r="P606" s="38">
        <v>1.0</v>
      </c>
      <c r="Q606" s="38">
        <v>1.0</v>
      </c>
    </row>
    <row r="607">
      <c r="A607" s="41" t="s">
        <v>105</v>
      </c>
      <c r="B607" s="40">
        <v>0.7354166666666667</v>
      </c>
      <c r="C607" s="41" t="s">
        <v>23</v>
      </c>
      <c r="D607" s="41" t="s">
        <v>93</v>
      </c>
      <c r="E607" s="41" t="s">
        <v>88</v>
      </c>
      <c r="F607" s="42">
        <v>0.0</v>
      </c>
      <c r="G607" s="42">
        <v>0.0</v>
      </c>
      <c r="H607" s="42">
        <v>0.0</v>
      </c>
      <c r="I607" s="42">
        <v>0.0</v>
      </c>
      <c r="J607" s="42">
        <v>0.0</v>
      </c>
      <c r="K607" s="42">
        <v>0.0</v>
      </c>
      <c r="L607" s="42">
        <v>0.0</v>
      </c>
      <c r="M607" s="42">
        <v>0.0</v>
      </c>
      <c r="N607" s="42">
        <v>0.0</v>
      </c>
      <c r="O607" s="42">
        <v>0.0</v>
      </c>
      <c r="P607" s="42">
        <v>0.0</v>
      </c>
      <c r="Q607" s="42">
        <v>0.0</v>
      </c>
    </row>
    <row r="608">
      <c r="A608" s="37" t="s">
        <v>105</v>
      </c>
      <c r="B608" s="36">
        <v>0.7354166666666667</v>
      </c>
      <c r="C608" s="37" t="s">
        <v>23</v>
      </c>
      <c r="D608" s="37" t="s">
        <v>93</v>
      </c>
      <c r="E608" s="37" t="s">
        <v>89</v>
      </c>
      <c r="F608" s="38">
        <v>0.0</v>
      </c>
      <c r="G608" s="38">
        <v>0.0</v>
      </c>
      <c r="H608" s="38">
        <v>0.0</v>
      </c>
      <c r="I608" s="38">
        <v>0.0</v>
      </c>
      <c r="J608" s="38">
        <v>0.0</v>
      </c>
      <c r="K608" s="38">
        <v>0.0</v>
      </c>
      <c r="L608" s="38">
        <v>0.0</v>
      </c>
      <c r="M608" s="38">
        <v>0.0</v>
      </c>
      <c r="N608" s="38">
        <v>0.0</v>
      </c>
      <c r="O608" s="38">
        <v>0.0</v>
      </c>
      <c r="P608" s="38">
        <v>0.0</v>
      </c>
      <c r="Q608" s="38">
        <v>0.0</v>
      </c>
    </row>
    <row r="609">
      <c r="A609" s="41" t="s">
        <v>105</v>
      </c>
      <c r="B609" s="40">
        <v>0.7354166666666667</v>
      </c>
      <c r="C609" s="41" t="s">
        <v>23</v>
      </c>
      <c r="D609" s="41" t="s">
        <v>93</v>
      </c>
      <c r="E609" s="41" t="s">
        <v>50</v>
      </c>
      <c r="F609" s="42">
        <v>0.0</v>
      </c>
      <c r="G609" s="42">
        <v>0.0</v>
      </c>
      <c r="H609" s="42">
        <v>0.0</v>
      </c>
      <c r="I609" s="42">
        <v>0.0</v>
      </c>
      <c r="J609" s="42">
        <v>0.0</v>
      </c>
      <c r="K609" s="42">
        <v>0.0</v>
      </c>
      <c r="L609" s="42">
        <v>0.0</v>
      </c>
      <c r="M609" s="42">
        <v>0.0</v>
      </c>
      <c r="N609" s="42">
        <v>0.0</v>
      </c>
      <c r="O609" s="42">
        <v>0.0</v>
      </c>
      <c r="P609" s="42">
        <v>0.0</v>
      </c>
      <c r="Q609" s="42">
        <v>0.0</v>
      </c>
    </row>
    <row r="610">
      <c r="A610" s="37" t="s">
        <v>105</v>
      </c>
      <c r="B610" s="36">
        <v>0.7354166666666667</v>
      </c>
      <c r="C610" s="37" t="s">
        <v>23</v>
      </c>
      <c r="D610" s="37" t="s">
        <v>93</v>
      </c>
      <c r="E610" s="37" t="s">
        <v>90</v>
      </c>
      <c r="F610" s="38">
        <v>0.0</v>
      </c>
      <c r="G610" s="38">
        <v>0.0</v>
      </c>
      <c r="H610" s="38">
        <v>0.0</v>
      </c>
      <c r="I610" s="38">
        <v>0.0</v>
      </c>
      <c r="J610" s="38">
        <v>0.0</v>
      </c>
      <c r="K610" s="38">
        <v>0.0</v>
      </c>
      <c r="L610" s="38">
        <v>0.0</v>
      </c>
      <c r="M610" s="38">
        <v>0.0</v>
      </c>
      <c r="N610" s="38">
        <v>0.0</v>
      </c>
      <c r="O610" s="38">
        <v>0.0</v>
      </c>
      <c r="P610" s="38">
        <v>0.0</v>
      </c>
      <c r="Q610" s="38">
        <v>0.0</v>
      </c>
    </row>
    <row r="611">
      <c r="A611" s="41" t="s">
        <v>105</v>
      </c>
      <c r="B611" s="40">
        <v>0.7354166666666667</v>
      </c>
      <c r="C611" s="41" t="s">
        <v>23</v>
      </c>
      <c r="D611" s="41" t="s">
        <v>93</v>
      </c>
      <c r="E611" s="41" t="s">
        <v>91</v>
      </c>
      <c r="F611" s="42">
        <v>0.0</v>
      </c>
      <c r="G611" s="42">
        <v>0.0</v>
      </c>
      <c r="H611" s="42">
        <v>0.0</v>
      </c>
      <c r="I611" s="42">
        <v>0.0</v>
      </c>
      <c r="J611" s="42">
        <v>0.0</v>
      </c>
      <c r="K611" s="42">
        <v>0.0</v>
      </c>
      <c r="L611" s="42">
        <v>0.0</v>
      </c>
      <c r="M611" s="42">
        <v>0.0</v>
      </c>
      <c r="N611" s="42">
        <v>0.0</v>
      </c>
      <c r="O611" s="42">
        <v>0.0</v>
      </c>
      <c r="P611" s="42">
        <v>0.0</v>
      </c>
      <c r="Q611" s="42">
        <v>0.0</v>
      </c>
    </row>
    <row r="612">
      <c r="A612" s="37" t="s">
        <v>105</v>
      </c>
      <c r="B612" s="36">
        <v>0.7354166666666667</v>
      </c>
      <c r="C612" s="37" t="s">
        <v>23</v>
      </c>
      <c r="D612" s="37" t="s">
        <v>93</v>
      </c>
      <c r="E612" s="37" t="s">
        <v>92</v>
      </c>
      <c r="F612" s="38">
        <v>0.0</v>
      </c>
      <c r="G612" s="38">
        <v>0.0</v>
      </c>
      <c r="H612" s="38">
        <v>0.0</v>
      </c>
      <c r="I612" s="38">
        <v>0.0</v>
      </c>
      <c r="J612" s="38">
        <v>0.0</v>
      </c>
      <c r="K612" s="38">
        <v>0.0</v>
      </c>
      <c r="L612" s="38">
        <v>0.0</v>
      </c>
      <c r="M612" s="38">
        <v>0.0</v>
      </c>
      <c r="N612" s="38">
        <v>0.0</v>
      </c>
      <c r="O612" s="38">
        <v>0.0</v>
      </c>
      <c r="P612" s="38">
        <v>0.0</v>
      </c>
      <c r="Q612" s="38">
        <v>0.0</v>
      </c>
    </row>
    <row r="613">
      <c r="A613" s="41" t="s">
        <v>105</v>
      </c>
      <c r="B613" s="40">
        <v>0.7354166666666667</v>
      </c>
      <c r="C613" s="41" t="s">
        <v>23</v>
      </c>
      <c r="D613" s="41" t="s">
        <v>93</v>
      </c>
      <c r="E613" s="41" t="s">
        <v>106</v>
      </c>
      <c r="F613" s="42">
        <v>0.0</v>
      </c>
      <c r="G613" s="42">
        <v>0.0</v>
      </c>
      <c r="H613" s="42">
        <v>0.0</v>
      </c>
      <c r="I613" s="42">
        <v>0.0</v>
      </c>
      <c r="J613" s="42">
        <v>0.0</v>
      </c>
      <c r="K613" s="42">
        <v>0.0</v>
      </c>
      <c r="L613" s="42">
        <v>0.0</v>
      </c>
      <c r="M613" s="42">
        <v>0.0</v>
      </c>
      <c r="N613" s="42">
        <v>0.0</v>
      </c>
      <c r="O613" s="42">
        <v>0.0</v>
      </c>
      <c r="P613" s="42">
        <v>0.0</v>
      </c>
      <c r="Q613" s="42">
        <v>0.0</v>
      </c>
    </row>
    <row r="614">
      <c r="A614" s="37" t="s">
        <v>105</v>
      </c>
      <c r="B614" s="36">
        <v>0.7354166666666667</v>
      </c>
      <c r="C614" s="37" t="s">
        <v>23</v>
      </c>
      <c r="D614" s="37" t="s">
        <v>93</v>
      </c>
      <c r="E614" s="37" t="s">
        <v>107</v>
      </c>
      <c r="F614" s="38">
        <v>0.0</v>
      </c>
      <c r="G614" s="38">
        <v>0.0</v>
      </c>
      <c r="H614" s="38">
        <v>0.0</v>
      </c>
      <c r="I614" s="38">
        <v>0.0</v>
      </c>
      <c r="J614" s="38">
        <v>0.0</v>
      </c>
      <c r="K614" s="38">
        <v>0.0</v>
      </c>
      <c r="L614" s="38">
        <v>0.0</v>
      </c>
      <c r="M614" s="38">
        <v>0.0</v>
      </c>
      <c r="N614" s="38">
        <v>0.0</v>
      </c>
      <c r="O614" s="38">
        <v>0.0</v>
      </c>
      <c r="P614" s="38">
        <v>0.0</v>
      </c>
      <c r="Q614" s="38">
        <v>0.0</v>
      </c>
    </row>
    <row r="615">
      <c r="A615" s="41" t="s">
        <v>105</v>
      </c>
      <c r="B615" s="40">
        <v>0.7354166666666667</v>
      </c>
      <c r="C615" s="41" t="s">
        <v>29</v>
      </c>
      <c r="D615" s="41" t="s">
        <v>94</v>
      </c>
      <c r="E615" s="41" t="s">
        <v>52</v>
      </c>
      <c r="F615" s="42">
        <v>6.0</v>
      </c>
      <c r="G615" s="42">
        <v>3.0</v>
      </c>
      <c r="H615" s="42">
        <v>0.0</v>
      </c>
      <c r="I615" s="42">
        <v>0.0</v>
      </c>
      <c r="J615" s="42">
        <v>0.0</v>
      </c>
      <c r="K615" s="42">
        <v>6.0</v>
      </c>
      <c r="L615" s="42">
        <v>6.0</v>
      </c>
      <c r="M615" s="42">
        <v>0.0</v>
      </c>
      <c r="N615" s="42">
        <v>0.0</v>
      </c>
      <c r="O615" s="42">
        <v>0.0</v>
      </c>
      <c r="P615" s="42">
        <v>3.0</v>
      </c>
      <c r="Q615" s="42">
        <v>3.0</v>
      </c>
    </row>
    <row r="616">
      <c r="A616" s="37" t="s">
        <v>105</v>
      </c>
      <c r="B616" s="36">
        <v>0.7354166666666667</v>
      </c>
      <c r="C616" s="37" t="s">
        <v>29</v>
      </c>
      <c r="D616" s="37" t="s">
        <v>94</v>
      </c>
      <c r="E616" s="37" t="s">
        <v>88</v>
      </c>
      <c r="F616" s="38">
        <v>0.0</v>
      </c>
      <c r="G616" s="38">
        <v>0.0</v>
      </c>
      <c r="H616" s="38">
        <v>0.0</v>
      </c>
      <c r="I616" s="38">
        <v>0.0</v>
      </c>
      <c r="J616" s="38">
        <v>0.0</v>
      </c>
      <c r="K616" s="38">
        <v>0.0</v>
      </c>
      <c r="L616" s="38">
        <v>0.0</v>
      </c>
      <c r="M616" s="38">
        <v>0.0</v>
      </c>
      <c r="N616" s="38">
        <v>0.0</v>
      </c>
      <c r="O616" s="38">
        <v>0.0</v>
      </c>
      <c r="P616" s="38">
        <v>0.0</v>
      </c>
      <c r="Q616" s="38">
        <v>0.0</v>
      </c>
    </row>
    <row r="617">
      <c r="A617" s="41" t="s">
        <v>105</v>
      </c>
      <c r="B617" s="40">
        <v>0.7354166666666667</v>
      </c>
      <c r="C617" s="41" t="s">
        <v>29</v>
      </c>
      <c r="D617" s="41" t="s">
        <v>94</v>
      </c>
      <c r="E617" s="41" t="s">
        <v>89</v>
      </c>
      <c r="F617" s="42">
        <v>1.0</v>
      </c>
      <c r="G617" s="42">
        <v>0.0</v>
      </c>
      <c r="H617" s="42">
        <v>0.0</v>
      </c>
      <c r="I617" s="42">
        <v>0.0</v>
      </c>
      <c r="J617" s="42">
        <v>0.0</v>
      </c>
      <c r="K617" s="42">
        <v>1.0</v>
      </c>
      <c r="L617" s="42">
        <v>1.0</v>
      </c>
      <c r="M617" s="42">
        <v>0.0</v>
      </c>
      <c r="N617" s="42">
        <v>0.0</v>
      </c>
      <c r="O617" s="42">
        <v>0.0</v>
      </c>
      <c r="P617" s="42">
        <v>0.0</v>
      </c>
      <c r="Q617" s="42">
        <v>0.0</v>
      </c>
    </row>
    <row r="618">
      <c r="A618" s="37" t="s">
        <v>105</v>
      </c>
      <c r="B618" s="36">
        <v>0.7354166666666667</v>
      </c>
      <c r="C618" s="37" t="s">
        <v>29</v>
      </c>
      <c r="D618" s="37" t="s">
        <v>94</v>
      </c>
      <c r="E618" s="37" t="s">
        <v>50</v>
      </c>
      <c r="F618" s="38">
        <v>0.0</v>
      </c>
      <c r="G618" s="38">
        <v>0.0</v>
      </c>
      <c r="H618" s="38">
        <v>0.0</v>
      </c>
      <c r="I618" s="38">
        <v>0.0</v>
      </c>
      <c r="J618" s="38">
        <v>0.0</v>
      </c>
      <c r="K618" s="38">
        <v>0.0</v>
      </c>
      <c r="L618" s="38">
        <v>0.0</v>
      </c>
      <c r="M618" s="38">
        <v>0.0</v>
      </c>
      <c r="N618" s="38">
        <v>0.0</v>
      </c>
      <c r="O618" s="38">
        <v>0.0</v>
      </c>
      <c r="P618" s="38">
        <v>0.0</v>
      </c>
      <c r="Q618" s="38">
        <v>0.0</v>
      </c>
    </row>
    <row r="619">
      <c r="A619" s="41" t="s">
        <v>105</v>
      </c>
      <c r="B619" s="40">
        <v>0.7354166666666667</v>
      </c>
      <c r="C619" s="41" t="s">
        <v>29</v>
      </c>
      <c r="D619" s="41" t="s">
        <v>94</v>
      </c>
      <c r="E619" s="41" t="s">
        <v>90</v>
      </c>
      <c r="F619" s="42">
        <v>0.0</v>
      </c>
      <c r="G619" s="42">
        <v>0.0</v>
      </c>
      <c r="H619" s="42">
        <v>0.0</v>
      </c>
      <c r="I619" s="42">
        <v>0.0</v>
      </c>
      <c r="J619" s="42">
        <v>0.0</v>
      </c>
      <c r="K619" s="42">
        <v>0.0</v>
      </c>
      <c r="L619" s="42">
        <v>0.0</v>
      </c>
      <c r="M619" s="42">
        <v>0.0</v>
      </c>
      <c r="N619" s="42">
        <v>0.0</v>
      </c>
      <c r="O619" s="42">
        <v>0.0</v>
      </c>
      <c r="P619" s="42">
        <v>0.0</v>
      </c>
      <c r="Q619" s="42">
        <v>0.0</v>
      </c>
    </row>
    <row r="620">
      <c r="A620" s="37" t="s">
        <v>105</v>
      </c>
      <c r="B620" s="36">
        <v>0.7354166666666667</v>
      </c>
      <c r="C620" s="37" t="s">
        <v>29</v>
      </c>
      <c r="D620" s="37" t="s">
        <v>94</v>
      </c>
      <c r="E620" s="37" t="s">
        <v>91</v>
      </c>
      <c r="F620" s="38">
        <v>0.0</v>
      </c>
      <c r="G620" s="38">
        <v>0.0</v>
      </c>
      <c r="H620" s="38">
        <v>0.0</v>
      </c>
      <c r="I620" s="38">
        <v>0.0</v>
      </c>
      <c r="J620" s="38">
        <v>0.0</v>
      </c>
      <c r="K620" s="38">
        <v>0.0</v>
      </c>
      <c r="L620" s="38">
        <v>0.0</v>
      </c>
      <c r="M620" s="38">
        <v>0.0</v>
      </c>
      <c r="N620" s="38">
        <v>0.0</v>
      </c>
      <c r="O620" s="38">
        <v>0.0</v>
      </c>
      <c r="P620" s="38">
        <v>0.0</v>
      </c>
      <c r="Q620" s="38">
        <v>0.0</v>
      </c>
    </row>
    <row r="621">
      <c r="A621" s="41" t="s">
        <v>105</v>
      </c>
      <c r="B621" s="40">
        <v>0.7354166666666667</v>
      </c>
      <c r="C621" s="41" t="s">
        <v>29</v>
      </c>
      <c r="D621" s="41" t="s">
        <v>94</v>
      </c>
      <c r="E621" s="41" t="s">
        <v>92</v>
      </c>
      <c r="F621" s="42">
        <v>0.0</v>
      </c>
      <c r="G621" s="42">
        <v>0.0</v>
      </c>
      <c r="H621" s="42">
        <v>0.0</v>
      </c>
      <c r="I621" s="42">
        <v>0.0</v>
      </c>
      <c r="J621" s="42">
        <v>0.0</v>
      </c>
      <c r="K621" s="42">
        <v>0.0</v>
      </c>
      <c r="L621" s="42">
        <v>0.0</v>
      </c>
      <c r="M621" s="42">
        <v>0.0</v>
      </c>
      <c r="N621" s="42">
        <v>0.0</v>
      </c>
      <c r="O621" s="42">
        <v>0.0</v>
      </c>
      <c r="P621" s="42">
        <v>0.0</v>
      </c>
      <c r="Q621" s="42">
        <v>0.0</v>
      </c>
    </row>
    <row r="622">
      <c r="A622" s="37" t="s">
        <v>105</v>
      </c>
      <c r="B622" s="36">
        <v>0.7354166666666667</v>
      </c>
      <c r="C622" s="37" t="s">
        <v>29</v>
      </c>
      <c r="D622" s="37" t="s">
        <v>94</v>
      </c>
      <c r="E622" s="37" t="s">
        <v>106</v>
      </c>
      <c r="F622" s="38">
        <v>0.0</v>
      </c>
      <c r="G622" s="38">
        <v>0.0</v>
      </c>
      <c r="H622" s="38">
        <v>0.0</v>
      </c>
      <c r="I622" s="38">
        <v>0.0</v>
      </c>
      <c r="J622" s="38">
        <v>0.0</v>
      </c>
      <c r="K622" s="38">
        <v>0.0</v>
      </c>
      <c r="L622" s="38">
        <v>0.0</v>
      </c>
      <c r="M622" s="38">
        <v>0.0</v>
      </c>
      <c r="N622" s="38">
        <v>0.0</v>
      </c>
      <c r="O622" s="38">
        <v>0.0</v>
      </c>
      <c r="P622" s="38">
        <v>0.0</v>
      </c>
      <c r="Q622" s="38">
        <v>0.0</v>
      </c>
    </row>
    <row r="623">
      <c r="A623" s="41" t="s">
        <v>105</v>
      </c>
      <c r="B623" s="40">
        <v>0.7354166666666667</v>
      </c>
      <c r="C623" s="41" t="s">
        <v>29</v>
      </c>
      <c r="D623" s="41" t="s">
        <v>94</v>
      </c>
      <c r="E623" s="41" t="s">
        <v>107</v>
      </c>
      <c r="F623" s="42">
        <v>0.0</v>
      </c>
      <c r="G623" s="42">
        <v>0.0</v>
      </c>
      <c r="H623" s="42">
        <v>0.0</v>
      </c>
      <c r="I623" s="42">
        <v>0.0</v>
      </c>
      <c r="J623" s="42">
        <v>0.0</v>
      </c>
      <c r="K623" s="42">
        <v>0.0</v>
      </c>
      <c r="L623" s="42">
        <v>0.0</v>
      </c>
      <c r="M623" s="42">
        <v>0.0</v>
      </c>
      <c r="N623" s="42">
        <v>0.0</v>
      </c>
      <c r="O623" s="42">
        <v>0.0</v>
      </c>
      <c r="P623" s="42">
        <v>0.0</v>
      </c>
      <c r="Q623" s="42">
        <v>0.0</v>
      </c>
    </row>
    <row r="624">
      <c r="A624" s="37" t="s">
        <v>105</v>
      </c>
      <c r="B624" s="36">
        <v>0.7354166666666667</v>
      </c>
      <c r="C624" s="37" t="s">
        <v>31</v>
      </c>
      <c r="D624" s="37" t="s">
        <v>95</v>
      </c>
      <c r="E624" s="37" t="s">
        <v>52</v>
      </c>
      <c r="F624" s="38">
        <v>0.0</v>
      </c>
      <c r="G624" s="38">
        <v>0.0</v>
      </c>
      <c r="H624" s="38">
        <v>0.0</v>
      </c>
      <c r="I624" s="38">
        <v>0.0</v>
      </c>
      <c r="J624" s="38">
        <v>0.0</v>
      </c>
      <c r="K624" s="38">
        <v>0.0</v>
      </c>
      <c r="L624" s="38">
        <v>0.0</v>
      </c>
      <c r="M624" s="38">
        <v>0.0</v>
      </c>
      <c r="N624" s="38">
        <v>0.0</v>
      </c>
      <c r="O624" s="38">
        <v>0.0</v>
      </c>
      <c r="P624" s="38">
        <v>0.0</v>
      </c>
      <c r="Q624" s="38">
        <v>0.0</v>
      </c>
    </row>
    <row r="625">
      <c r="A625" s="41" t="s">
        <v>105</v>
      </c>
      <c r="B625" s="40">
        <v>0.7354166666666667</v>
      </c>
      <c r="C625" s="41" t="s">
        <v>31</v>
      </c>
      <c r="D625" s="41" t="s">
        <v>95</v>
      </c>
      <c r="E625" s="41" t="s">
        <v>88</v>
      </c>
      <c r="F625" s="42">
        <v>0.0</v>
      </c>
      <c r="G625" s="42">
        <v>0.0</v>
      </c>
      <c r="H625" s="42">
        <v>0.0</v>
      </c>
      <c r="I625" s="42">
        <v>0.0</v>
      </c>
      <c r="J625" s="42">
        <v>0.0</v>
      </c>
      <c r="K625" s="42">
        <v>0.0</v>
      </c>
      <c r="L625" s="42">
        <v>0.0</v>
      </c>
      <c r="M625" s="42">
        <v>0.0</v>
      </c>
      <c r="N625" s="42">
        <v>0.0</v>
      </c>
      <c r="O625" s="42">
        <v>0.0</v>
      </c>
      <c r="P625" s="42">
        <v>0.0</v>
      </c>
      <c r="Q625" s="42">
        <v>0.0</v>
      </c>
    </row>
    <row r="626">
      <c r="A626" s="37" t="s">
        <v>105</v>
      </c>
      <c r="B626" s="36">
        <v>0.7354166666666667</v>
      </c>
      <c r="C626" s="37" t="s">
        <v>31</v>
      </c>
      <c r="D626" s="37" t="s">
        <v>95</v>
      </c>
      <c r="E626" s="37" t="s">
        <v>89</v>
      </c>
      <c r="F626" s="38">
        <v>0.0</v>
      </c>
      <c r="G626" s="38">
        <v>0.0</v>
      </c>
      <c r="H626" s="38">
        <v>0.0</v>
      </c>
      <c r="I626" s="38">
        <v>0.0</v>
      </c>
      <c r="J626" s="38">
        <v>0.0</v>
      </c>
      <c r="K626" s="38">
        <v>0.0</v>
      </c>
      <c r="L626" s="38">
        <v>0.0</v>
      </c>
      <c r="M626" s="38">
        <v>0.0</v>
      </c>
      <c r="N626" s="38">
        <v>0.0</v>
      </c>
      <c r="O626" s="38">
        <v>0.0</v>
      </c>
      <c r="P626" s="38">
        <v>0.0</v>
      </c>
      <c r="Q626" s="38">
        <v>0.0</v>
      </c>
    </row>
    <row r="627">
      <c r="A627" s="41" t="s">
        <v>105</v>
      </c>
      <c r="B627" s="40">
        <v>0.7354166666666667</v>
      </c>
      <c r="C627" s="41" t="s">
        <v>31</v>
      </c>
      <c r="D627" s="41" t="s">
        <v>95</v>
      </c>
      <c r="E627" s="41" t="s">
        <v>50</v>
      </c>
      <c r="F627" s="42">
        <v>1.0</v>
      </c>
      <c r="G627" s="42">
        <v>1.0</v>
      </c>
      <c r="H627" s="42">
        <v>0.0</v>
      </c>
      <c r="I627" s="42">
        <v>0.0</v>
      </c>
      <c r="J627" s="42">
        <v>0.0</v>
      </c>
      <c r="K627" s="42">
        <v>0.0</v>
      </c>
      <c r="L627" s="42">
        <v>1.0</v>
      </c>
      <c r="M627" s="42">
        <v>0.0</v>
      </c>
      <c r="N627" s="42">
        <v>0.0</v>
      </c>
      <c r="O627" s="42">
        <v>0.0</v>
      </c>
      <c r="P627" s="42">
        <v>0.0</v>
      </c>
      <c r="Q627" s="42">
        <v>1.0</v>
      </c>
    </row>
    <row r="628">
      <c r="A628" s="37" t="s">
        <v>105</v>
      </c>
      <c r="B628" s="36">
        <v>0.7354166666666667</v>
      </c>
      <c r="C628" s="37" t="s">
        <v>31</v>
      </c>
      <c r="D628" s="37" t="s">
        <v>95</v>
      </c>
      <c r="E628" s="37" t="s">
        <v>90</v>
      </c>
      <c r="F628" s="38">
        <v>0.0</v>
      </c>
      <c r="G628" s="38">
        <v>0.0</v>
      </c>
      <c r="H628" s="38">
        <v>0.0</v>
      </c>
      <c r="I628" s="38">
        <v>0.0</v>
      </c>
      <c r="J628" s="38">
        <v>0.0</v>
      </c>
      <c r="K628" s="38">
        <v>0.0</v>
      </c>
      <c r="L628" s="38">
        <v>0.0</v>
      </c>
      <c r="M628" s="38">
        <v>0.0</v>
      </c>
      <c r="N628" s="38">
        <v>0.0</v>
      </c>
      <c r="O628" s="38">
        <v>0.0</v>
      </c>
      <c r="P628" s="38">
        <v>0.0</v>
      </c>
      <c r="Q628" s="38">
        <v>0.0</v>
      </c>
    </row>
    <row r="629">
      <c r="A629" s="41" t="s">
        <v>105</v>
      </c>
      <c r="B629" s="40">
        <v>0.7354166666666667</v>
      </c>
      <c r="C629" s="41" t="s">
        <v>31</v>
      </c>
      <c r="D629" s="41" t="s">
        <v>95</v>
      </c>
      <c r="E629" s="41" t="s">
        <v>91</v>
      </c>
      <c r="F629" s="42">
        <v>0.0</v>
      </c>
      <c r="G629" s="42">
        <v>0.0</v>
      </c>
      <c r="H629" s="42">
        <v>0.0</v>
      </c>
      <c r="I629" s="42">
        <v>0.0</v>
      </c>
      <c r="J629" s="42">
        <v>0.0</v>
      </c>
      <c r="K629" s="42">
        <v>0.0</v>
      </c>
      <c r="L629" s="42">
        <v>0.0</v>
      </c>
      <c r="M629" s="42">
        <v>0.0</v>
      </c>
      <c r="N629" s="42">
        <v>0.0</v>
      </c>
      <c r="O629" s="42">
        <v>0.0</v>
      </c>
      <c r="P629" s="42">
        <v>0.0</v>
      </c>
      <c r="Q629" s="42">
        <v>0.0</v>
      </c>
    </row>
    <row r="630">
      <c r="A630" s="37" t="s">
        <v>105</v>
      </c>
      <c r="B630" s="36">
        <v>0.7354166666666667</v>
      </c>
      <c r="C630" s="37" t="s">
        <v>31</v>
      </c>
      <c r="D630" s="37" t="s">
        <v>95</v>
      </c>
      <c r="E630" s="37" t="s">
        <v>92</v>
      </c>
      <c r="F630" s="38">
        <v>0.0</v>
      </c>
      <c r="G630" s="38">
        <v>0.0</v>
      </c>
      <c r="H630" s="38">
        <v>0.0</v>
      </c>
      <c r="I630" s="38">
        <v>0.0</v>
      </c>
      <c r="J630" s="38">
        <v>0.0</v>
      </c>
      <c r="K630" s="38">
        <v>0.0</v>
      </c>
      <c r="L630" s="38">
        <v>0.0</v>
      </c>
      <c r="M630" s="38">
        <v>0.0</v>
      </c>
      <c r="N630" s="38">
        <v>0.0</v>
      </c>
      <c r="O630" s="38">
        <v>0.0</v>
      </c>
      <c r="P630" s="38">
        <v>0.0</v>
      </c>
      <c r="Q630" s="38">
        <v>0.0</v>
      </c>
    </row>
    <row r="631">
      <c r="A631" s="41" t="s">
        <v>105</v>
      </c>
      <c r="B631" s="40">
        <v>0.7354166666666667</v>
      </c>
      <c r="C631" s="41" t="s">
        <v>31</v>
      </c>
      <c r="D631" s="41" t="s">
        <v>95</v>
      </c>
      <c r="E631" s="41" t="s">
        <v>106</v>
      </c>
      <c r="F631" s="42">
        <v>0.0</v>
      </c>
      <c r="G631" s="42">
        <v>0.0</v>
      </c>
      <c r="H631" s="42">
        <v>0.0</v>
      </c>
      <c r="I631" s="42">
        <v>0.0</v>
      </c>
      <c r="J631" s="42">
        <v>0.0</v>
      </c>
      <c r="K631" s="42">
        <v>0.0</v>
      </c>
      <c r="L631" s="42">
        <v>0.0</v>
      </c>
      <c r="M631" s="42">
        <v>0.0</v>
      </c>
      <c r="N631" s="42">
        <v>0.0</v>
      </c>
      <c r="O631" s="42">
        <v>0.0</v>
      </c>
      <c r="P631" s="42">
        <v>0.0</v>
      </c>
      <c r="Q631" s="42">
        <v>0.0</v>
      </c>
    </row>
    <row r="632">
      <c r="A632" s="37" t="s">
        <v>105</v>
      </c>
      <c r="B632" s="36">
        <v>0.7354166666666667</v>
      </c>
      <c r="C632" s="37" t="s">
        <v>31</v>
      </c>
      <c r="D632" s="37" t="s">
        <v>95</v>
      </c>
      <c r="E632" s="37" t="s">
        <v>107</v>
      </c>
      <c r="F632" s="38">
        <v>0.0</v>
      </c>
      <c r="G632" s="38">
        <v>0.0</v>
      </c>
      <c r="H632" s="38">
        <v>0.0</v>
      </c>
      <c r="I632" s="38">
        <v>0.0</v>
      </c>
      <c r="J632" s="38">
        <v>0.0</v>
      </c>
      <c r="K632" s="38">
        <v>0.0</v>
      </c>
      <c r="L632" s="38">
        <v>0.0</v>
      </c>
      <c r="M632" s="38">
        <v>0.0</v>
      </c>
      <c r="N632" s="38">
        <v>0.0</v>
      </c>
      <c r="O632" s="38">
        <v>0.0</v>
      </c>
      <c r="P632" s="38">
        <v>0.0</v>
      </c>
      <c r="Q632" s="38">
        <v>0.0</v>
      </c>
    </row>
    <row r="633">
      <c r="A633" s="45" t="s">
        <v>105</v>
      </c>
      <c r="B633" s="44">
        <v>0.7354166666666667</v>
      </c>
      <c r="C633" s="45" t="s">
        <v>96</v>
      </c>
      <c r="D633" s="45" t="s">
        <v>75</v>
      </c>
      <c r="E633" s="45" t="s">
        <v>52</v>
      </c>
      <c r="F633" s="46">
        <v>9.0</v>
      </c>
      <c r="G633" s="46">
        <v>5.0</v>
      </c>
      <c r="H633" s="46">
        <v>0.0</v>
      </c>
      <c r="I633" s="46">
        <v>1.0</v>
      </c>
      <c r="J633" s="46">
        <v>0.0</v>
      </c>
      <c r="K633" s="46">
        <v>9.0</v>
      </c>
      <c r="L633" s="46">
        <v>9.0</v>
      </c>
      <c r="M633" s="46">
        <v>0.0</v>
      </c>
      <c r="N633" s="46">
        <v>0.0</v>
      </c>
      <c r="O633" s="46">
        <v>0.0</v>
      </c>
      <c r="P633" s="46">
        <v>5.0</v>
      </c>
      <c r="Q633" s="46">
        <v>5.0</v>
      </c>
    </row>
    <row r="634">
      <c r="A634" s="45" t="s">
        <v>105</v>
      </c>
      <c r="B634" s="44">
        <v>0.7354166666666667</v>
      </c>
      <c r="C634" s="45" t="s">
        <v>96</v>
      </c>
      <c r="D634" s="45" t="s">
        <v>75</v>
      </c>
      <c r="E634" s="45" t="s">
        <v>88</v>
      </c>
      <c r="F634" s="46">
        <v>0.0</v>
      </c>
      <c r="G634" s="46">
        <v>0.0</v>
      </c>
      <c r="H634" s="46">
        <v>0.0</v>
      </c>
      <c r="I634" s="46">
        <v>0.0</v>
      </c>
      <c r="J634" s="46">
        <v>0.0</v>
      </c>
      <c r="K634" s="46">
        <v>0.0</v>
      </c>
      <c r="L634" s="46">
        <v>0.0</v>
      </c>
      <c r="M634" s="46">
        <v>0.0</v>
      </c>
      <c r="N634" s="46">
        <v>0.0</v>
      </c>
      <c r="O634" s="46">
        <v>0.0</v>
      </c>
      <c r="P634" s="46">
        <v>0.0</v>
      </c>
      <c r="Q634" s="46">
        <v>0.0</v>
      </c>
    </row>
    <row r="635">
      <c r="A635" s="45" t="s">
        <v>105</v>
      </c>
      <c r="B635" s="44">
        <v>0.7354166666666667</v>
      </c>
      <c r="C635" s="45" t="s">
        <v>96</v>
      </c>
      <c r="D635" s="45" t="s">
        <v>75</v>
      </c>
      <c r="E635" s="45" t="s">
        <v>89</v>
      </c>
      <c r="F635" s="46">
        <v>1.0</v>
      </c>
      <c r="G635" s="46">
        <v>0.0</v>
      </c>
      <c r="H635" s="46">
        <v>0.0</v>
      </c>
      <c r="I635" s="46">
        <v>0.0</v>
      </c>
      <c r="J635" s="46">
        <v>0.0</v>
      </c>
      <c r="K635" s="46">
        <v>1.0</v>
      </c>
      <c r="L635" s="46">
        <v>1.0</v>
      </c>
      <c r="M635" s="46">
        <v>0.0</v>
      </c>
      <c r="N635" s="46">
        <v>0.0</v>
      </c>
      <c r="O635" s="46">
        <v>0.0</v>
      </c>
      <c r="P635" s="46">
        <v>0.0</v>
      </c>
      <c r="Q635" s="46">
        <v>0.0</v>
      </c>
    </row>
    <row r="636">
      <c r="A636" s="45" t="s">
        <v>105</v>
      </c>
      <c r="B636" s="44">
        <v>0.7354166666666667</v>
      </c>
      <c r="C636" s="45" t="s">
        <v>96</v>
      </c>
      <c r="D636" s="45" t="s">
        <v>75</v>
      </c>
      <c r="E636" s="45" t="s">
        <v>50</v>
      </c>
      <c r="F636" s="46">
        <v>1.0</v>
      </c>
      <c r="G636" s="46">
        <v>1.0</v>
      </c>
      <c r="H636" s="46">
        <v>0.0</v>
      </c>
      <c r="I636" s="46">
        <v>0.0</v>
      </c>
      <c r="J636" s="46">
        <v>0.0</v>
      </c>
      <c r="K636" s="46">
        <v>0.0</v>
      </c>
      <c r="L636" s="46">
        <v>1.0</v>
      </c>
      <c r="M636" s="46">
        <v>0.0</v>
      </c>
      <c r="N636" s="46">
        <v>0.0</v>
      </c>
      <c r="O636" s="46">
        <v>0.0</v>
      </c>
      <c r="P636" s="46">
        <v>0.0</v>
      </c>
      <c r="Q636" s="46">
        <v>1.0</v>
      </c>
    </row>
    <row r="637">
      <c r="A637" s="45" t="s">
        <v>105</v>
      </c>
      <c r="B637" s="44">
        <v>0.7354166666666667</v>
      </c>
      <c r="C637" s="45" t="s">
        <v>96</v>
      </c>
      <c r="D637" s="45" t="s">
        <v>75</v>
      </c>
      <c r="E637" s="45" t="s">
        <v>90</v>
      </c>
      <c r="F637" s="46">
        <v>0.0</v>
      </c>
      <c r="G637" s="46">
        <v>0.0</v>
      </c>
      <c r="H637" s="46">
        <v>0.0</v>
      </c>
      <c r="I637" s="46">
        <v>0.0</v>
      </c>
      <c r="J637" s="46">
        <v>0.0</v>
      </c>
      <c r="K637" s="46">
        <v>0.0</v>
      </c>
      <c r="L637" s="46">
        <v>0.0</v>
      </c>
      <c r="M637" s="46">
        <v>0.0</v>
      </c>
      <c r="N637" s="46">
        <v>0.0</v>
      </c>
      <c r="O637" s="46">
        <v>0.0</v>
      </c>
      <c r="P637" s="46">
        <v>0.0</v>
      </c>
      <c r="Q637" s="46">
        <v>0.0</v>
      </c>
    </row>
    <row r="638">
      <c r="A638" s="45" t="s">
        <v>105</v>
      </c>
      <c r="B638" s="44">
        <v>0.7354166666666667</v>
      </c>
      <c r="C638" s="45" t="s">
        <v>96</v>
      </c>
      <c r="D638" s="45" t="s">
        <v>75</v>
      </c>
      <c r="E638" s="45" t="s">
        <v>91</v>
      </c>
      <c r="F638" s="46">
        <v>0.0</v>
      </c>
      <c r="G638" s="46">
        <v>0.0</v>
      </c>
      <c r="H638" s="46">
        <v>0.0</v>
      </c>
      <c r="I638" s="46">
        <v>0.0</v>
      </c>
      <c r="J638" s="46">
        <v>0.0</v>
      </c>
      <c r="K638" s="46">
        <v>0.0</v>
      </c>
      <c r="L638" s="46">
        <v>0.0</v>
      </c>
      <c r="M638" s="46">
        <v>0.0</v>
      </c>
      <c r="N638" s="46">
        <v>0.0</v>
      </c>
      <c r="O638" s="46">
        <v>0.0</v>
      </c>
      <c r="P638" s="46">
        <v>0.0</v>
      </c>
      <c r="Q638" s="46">
        <v>0.0</v>
      </c>
    </row>
    <row r="639">
      <c r="A639" s="45" t="s">
        <v>105</v>
      </c>
      <c r="B639" s="44">
        <v>0.7354166666666667</v>
      </c>
      <c r="C639" s="45" t="s">
        <v>96</v>
      </c>
      <c r="D639" s="45" t="s">
        <v>75</v>
      </c>
      <c r="E639" s="45" t="s">
        <v>92</v>
      </c>
      <c r="F639" s="46">
        <v>0.0</v>
      </c>
      <c r="G639" s="46">
        <v>0.0</v>
      </c>
      <c r="H639" s="46">
        <v>0.0</v>
      </c>
      <c r="I639" s="46">
        <v>0.0</v>
      </c>
      <c r="J639" s="46">
        <v>0.0</v>
      </c>
      <c r="K639" s="46">
        <v>0.0</v>
      </c>
      <c r="L639" s="46">
        <v>0.0</v>
      </c>
      <c r="M639" s="46">
        <v>0.0</v>
      </c>
      <c r="N639" s="46">
        <v>0.0</v>
      </c>
      <c r="O639" s="46">
        <v>0.0</v>
      </c>
      <c r="P639" s="46">
        <v>0.0</v>
      </c>
      <c r="Q639" s="46">
        <v>0.0</v>
      </c>
    </row>
    <row r="640">
      <c r="A640" s="45" t="s">
        <v>105</v>
      </c>
      <c r="B640" s="44">
        <v>0.7354166666666667</v>
      </c>
      <c r="C640" s="45" t="s">
        <v>96</v>
      </c>
      <c r="D640" s="45" t="s">
        <v>75</v>
      </c>
      <c r="E640" s="45" t="s">
        <v>106</v>
      </c>
      <c r="F640" s="46">
        <v>0.0</v>
      </c>
      <c r="G640" s="46">
        <v>0.0</v>
      </c>
      <c r="H640" s="46">
        <v>0.0</v>
      </c>
      <c r="I640" s="46">
        <v>0.0</v>
      </c>
      <c r="J640" s="46">
        <v>0.0</v>
      </c>
      <c r="K640" s="46">
        <v>0.0</v>
      </c>
      <c r="L640" s="46">
        <v>0.0</v>
      </c>
      <c r="M640" s="46">
        <v>0.0</v>
      </c>
      <c r="N640" s="46">
        <v>0.0</v>
      </c>
      <c r="O640" s="46">
        <v>0.0</v>
      </c>
      <c r="P640" s="46">
        <v>0.0</v>
      </c>
      <c r="Q640" s="46">
        <v>0.0</v>
      </c>
    </row>
    <row r="641">
      <c r="A641" s="45" t="s">
        <v>105</v>
      </c>
      <c r="B641" s="44">
        <v>0.7354166666666667</v>
      </c>
      <c r="C641" s="45" t="s">
        <v>96</v>
      </c>
      <c r="D641" s="45" t="s">
        <v>75</v>
      </c>
      <c r="E641" s="45" t="s">
        <v>107</v>
      </c>
      <c r="F641" s="46">
        <v>0.0</v>
      </c>
      <c r="G641" s="46">
        <v>0.0</v>
      </c>
      <c r="H641" s="46">
        <v>0.0</v>
      </c>
      <c r="I641" s="46">
        <v>0.0</v>
      </c>
      <c r="J641" s="46">
        <v>0.0</v>
      </c>
      <c r="K641" s="46">
        <v>0.0</v>
      </c>
      <c r="L641" s="46">
        <v>0.0</v>
      </c>
      <c r="M641" s="46">
        <v>0.0</v>
      </c>
      <c r="N641" s="46">
        <v>0.0</v>
      </c>
      <c r="O641" s="46">
        <v>0.0</v>
      </c>
      <c r="P641" s="46">
        <v>0.0</v>
      </c>
      <c r="Q641" s="46">
        <v>0.0</v>
      </c>
    </row>
    <row r="642">
      <c r="A642" s="37" t="s">
        <v>108</v>
      </c>
      <c r="B642" s="36">
        <v>0.7347222222222223</v>
      </c>
      <c r="C642" s="37" t="s">
        <v>15</v>
      </c>
      <c r="D642" s="37" t="s">
        <v>87</v>
      </c>
      <c r="E642" s="37" t="s">
        <v>52</v>
      </c>
      <c r="F642" s="38">
        <v>3.0</v>
      </c>
      <c r="G642" s="38">
        <v>2.0</v>
      </c>
      <c r="H642" s="38">
        <v>1.0</v>
      </c>
      <c r="I642" s="38">
        <v>0.0</v>
      </c>
      <c r="J642" s="38">
        <v>1.0</v>
      </c>
      <c r="K642" s="38">
        <v>3.0</v>
      </c>
      <c r="L642" s="38">
        <v>3.0</v>
      </c>
      <c r="M642" s="38">
        <v>1.0</v>
      </c>
      <c r="N642" s="38">
        <v>0.0</v>
      </c>
      <c r="O642" s="38">
        <v>0.0</v>
      </c>
      <c r="P642" s="38">
        <v>2.0</v>
      </c>
      <c r="Q642" s="38">
        <v>2.0</v>
      </c>
    </row>
    <row r="643">
      <c r="A643" s="41" t="s">
        <v>108</v>
      </c>
      <c r="B643" s="40">
        <v>0.7347222222222223</v>
      </c>
      <c r="C643" s="41" t="s">
        <v>15</v>
      </c>
      <c r="D643" s="41" t="s">
        <v>87</v>
      </c>
      <c r="E643" s="41" t="s">
        <v>88</v>
      </c>
      <c r="F643" s="42">
        <v>0.0</v>
      </c>
      <c r="G643" s="42">
        <v>0.0</v>
      </c>
      <c r="H643" s="42">
        <v>0.0</v>
      </c>
      <c r="I643" s="42">
        <v>0.0</v>
      </c>
      <c r="J643" s="42">
        <v>0.0</v>
      </c>
      <c r="K643" s="42">
        <v>0.0</v>
      </c>
      <c r="L643" s="42">
        <v>0.0</v>
      </c>
      <c r="M643" s="42">
        <v>0.0</v>
      </c>
      <c r="N643" s="42">
        <v>0.0</v>
      </c>
      <c r="O643" s="42">
        <v>0.0</v>
      </c>
      <c r="P643" s="42">
        <v>0.0</v>
      </c>
      <c r="Q643" s="42">
        <v>0.0</v>
      </c>
    </row>
    <row r="644">
      <c r="A644" s="37" t="s">
        <v>108</v>
      </c>
      <c r="B644" s="36">
        <v>0.7347222222222223</v>
      </c>
      <c r="C644" s="37" t="s">
        <v>15</v>
      </c>
      <c r="D644" s="37" t="s">
        <v>87</v>
      </c>
      <c r="E644" s="37" t="s">
        <v>89</v>
      </c>
      <c r="F644" s="38">
        <v>0.0</v>
      </c>
      <c r="G644" s="38">
        <v>0.0</v>
      </c>
      <c r="H644" s="38">
        <v>0.0</v>
      </c>
      <c r="I644" s="38">
        <v>0.0</v>
      </c>
      <c r="J644" s="38">
        <v>0.0</v>
      </c>
      <c r="K644" s="38">
        <v>0.0</v>
      </c>
      <c r="L644" s="38">
        <v>0.0</v>
      </c>
      <c r="M644" s="38">
        <v>0.0</v>
      </c>
      <c r="N644" s="38">
        <v>0.0</v>
      </c>
      <c r="O644" s="38">
        <v>0.0</v>
      </c>
      <c r="P644" s="38">
        <v>0.0</v>
      </c>
      <c r="Q644" s="38">
        <v>0.0</v>
      </c>
    </row>
    <row r="645">
      <c r="A645" s="41" t="s">
        <v>108</v>
      </c>
      <c r="B645" s="40">
        <v>0.7347222222222223</v>
      </c>
      <c r="C645" s="41" t="s">
        <v>15</v>
      </c>
      <c r="D645" s="41" t="s">
        <v>87</v>
      </c>
      <c r="E645" s="41" t="s">
        <v>50</v>
      </c>
      <c r="F645" s="42">
        <v>0.0</v>
      </c>
      <c r="G645" s="42">
        <v>0.0</v>
      </c>
      <c r="H645" s="42">
        <v>0.0</v>
      </c>
      <c r="I645" s="42">
        <v>0.0</v>
      </c>
      <c r="J645" s="42">
        <v>0.0</v>
      </c>
      <c r="K645" s="42">
        <v>0.0</v>
      </c>
      <c r="L645" s="42">
        <v>0.0</v>
      </c>
      <c r="M645" s="42">
        <v>0.0</v>
      </c>
      <c r="N645" s="42">
        <v>0.0</v>
      </c>
      <c r="O645" s="42">
        <v>0.0</v>
      </c>
      <c r="P645" s="42">
        <v>0.0</v>
      </c>
      <c r="Q645" s="42">
        <v>0.0</v>
      </c>
    </row>
    <row r="646">
      <c r="A646" s="37" t="s">
        <v>108</v>
      </c>
      <c r="B646" s="36">
        <v>0.7347222222222223</v>
      </c>
      <c r="C646" s="37" t="s">
        <v>15</v>
      </c>
      <c r="D646" s="37" t="s">
        <v>87</v>
      </c>
      <c r="E646" s="37" t="s">
        <v>90</v>
      </c>
      <c r="F646" s="38">
        <v>0.0</v>
      </c>
      <c r="G646" s="38">
        <v>0.0</v>
      </c>
      <c r="H646" s="38">
        <v>0.0</v>
      </c>
      <c r="I646" s="38">
        <v>0.0</v>
      </c>
      <c r="J646" s="38">
        <v>0.0</v>
      </c>
      <c r="K646" s="38">
        <v>0.0</v>
      </c>
      <c r="L646" s="38">
        <v>0.0</v>
      </c>
      <c r="M646" s="38">
        <v>0.0</v>
      </c>
      <c r="N646" s="38">
        <v>0.0</v>
      </c>
      <c r="O646" s="38">
        <v>0.0</v>
      </c>
      <c r="P646" s="38">
        <v>0.0</v>
      </c>
      <c r="Q646" s="38">
        <v>0.0</v>
      </c>
    </row>
    <row r="647">
      <c r="A647" s="41" t="s">
        <v>108</v>
      </c>
      <c r="B647" s="40">
        <v>0.7347222222222223</v>
      </c>
      <c r="C647" s="41" t="s">
        <v>15</v>
      </c>
      <c r="D647" s="41" t="s">
        <v>87</v>
      </c>
      <c r="E647" s="41" t="s">
        <v>91</v>
      </c>
      <c r="F647" s="42">
        <v>0.0</v>
      </c>
      <c r="G647" s="42">
        <v>0.0</v>
      </c>
      <c r="H647" s="42">
        <v>0.0</v>
      </c>
      <c r="I647" s="42">
        <v>0.0</v>
      </c>
      <c r="J647" s="42">
        <v>0.0</v>
      </c>
      <c r="K647" s="42">
        <v>0.0</v>
      </c>
      <c r="L647" s="42">
        <v>0.0</v>
      </c>
      <c r="M647" s="42">
        <v>0.0</v>
      </c>
      <c r="N647" s="42">
        <v>0.0</v>
      </c>
      <c r="O647" s="42">
        <v>0.0</v>
      </c>
      <c r="P647" s="42">
        <v>0.0</v>
      </c>
      <c r="Q647" s="42">
        <v>0.0</v>
      </c>
    </row>
    <row r="648">
      <c r="A648" s="37" t="s">
        <v>108</v>
      </c>
      <c r="B648" s="36">
        <v>0.7347222222222223</v>
      </c>
      <c r="C648" s="37" t="s">
        <v>15</v>
      </c>
      <c r="D648" s="37" t="s">
        <v>87</v>
      </c>
      <c r="E648" s="37" t="s">
        <v>92</v>
      </c>
      <c r="F648" s="38">
        <v>0.0</v>
      </c>
      <c r="G648" s="38">
        <v>0.0</v>
      </c>
      <c r="H648" s="38">
        <v>0.0</v>
      </c>
      <c r="I648" s="38">
        <v>0.0</v>
      </c>
      <c r="J648" s="38">
        <v>0.0</v>
      </c>
      <c r="K648" s="38">
        <v>0.0</v>
      </c>
      <c r="L648" s="38">
        <v>0.0</v>
      </c>
      <c r="M648" s="38">
        <v>0.0</v>
      </c>
      <c r="N648" s="38">
        <v>0.0</v>
      </c>
      <c r="O648" s="38">
        <v>0.0</v>
      </c>
      <c r="P648" s="38">
        <v>0.0</v>
      </c>
      <c r="Q648" s="38">
        <v>0.0</v>
      </c>
    </row>
    <row r="649">
      <c r="A649" s="41" t="s">
        <v>108</v>
      </c>
      <c r="B649" s="40">
        <v>0.7347222222222223</v>
      </c>
      <c r="C649" s="41" t="s">
        <v>15</v>
      </c>
      <c r="D649" s="41" t="s">
        <v>87</v>
      </c>
      <c r="E649" s="41" t="s">
        <v>106</v>
      </c>
      <c r="F649" s="42">
        <v>0.0</v>
      </c>
      <c r="G649" s="42">
        <v>0.0</v>
      </c>
      <c r="H649" s="42">
        <v>0.0</v>
      </c>
      <c r="I649" s="42">
        <v>0.0</v>
      </c>
      <c r="J649" s="42">
        <v>0.0</v>
      </c>
      <c r="K649" s="42">
        <v>0.0</v>
      </c>
      <c r="L649" s="42">
        <v>0.0</v>
      </c>
      <c r="M649" s="42">
        <v>0.0</v>
      </c>
      <c r="N649" s="42">
        <v>0.0</v>
      </c>
      <c r="O649" s="42">
        <v>0.0</v>
      </c>
      <c r="P649" s="42">
        <v>0.0</v>
      </c>
      <c r="Q649" s="42">
        <v>0.0</v>
      </c>
    </row>
    <row r="650">
      <c r="A650" s="37" t="s">
        <v>108</v>
      </c>
      <c r="B650" s="36">
        <v>0.7347222222222223</v>
      </c>
      <c r="C650" s="37" t="s">
        <v>15</v>
      </c>
      <c r="D650" s="37" t="s">
        <v>87</v>
      </c>
      <c r="E650" s="37" t="s">
        <v>107</v>
      </c>
      <c r="F650" s="38">
        <v>0.0</v>
      </c>
      <c r="G650" s="38">
        <v>0.0</v>
      </c>
      <c r="H650" s="38">
        <v>0.0</v>
      </c>
      <c r="I650" s="38">
        <v>0.0</v>
      </c>
      <c r="J650" s="38">
        <v>0.0</v>
      </c>
      <c r="K650" s="38">
        <v>0.0</v>
      </c>
      <c r="L650" s="38">
        <v>0.0</v>
      </c>
      <c r="M650" s="38">
        <v>0.0</v>
      </c>
      <c r="N650" s="38">
        <v>0.0</v>
      </c>
      <c r="O650" s="38">
        <v>0.0</v>
      </c>
      <c r="P650" s="38">
        <v>0.0</v>
      </c>
      <c r="Q650" s="38">
        <v>0.0</v>
      </c>
    </row>
    <row r="651">
      <c r="A651" s="41" t="s">
        <v>108</v>
      </c>
      <c r="B651" s="40">
        <v>0.7347222222222223</v>
      </c>
      <c r="C651" s="41" t="s">
        <v>23</v>
      </c>
      <c r="D651" s="41" t="s">
        <v>93</v>
      </c>
      <c r="E651" s="41" t="s">
        <v>52</v>
      </c>
      <c r="F651" s="42">
        <v>1.0</v>
      </c>
      <c r="G651" s="42">
        <v>1.0</v>
      </c>
      <c r="H651" s="42">
        <v>0.0</v>
      </c>
      <c r="I651" s="42">
        <v>0.0</v>
      </c>
      <c r="J651" s="42">
        <v>0.0</v>
      </c>
      <c r="K651" s="42">
        <v>1.0</v>
      </c>
      <c r="L651" s="42">
        <v>1.0</v>
      </c>
      <c r="M651" s="42">
        <v>0.0</v>
      </c>
      <c r="N651" s="42">
        <v>0.0</v>
      </c>
      <c r="O651" s="42">
        <v>0.0</v>
      </c>
      <c r="P651" s="42">
        <v>1.0</v>
      </c>
      <c r="Q651" s="42">
        <v>1.0</v>
      </c>
    </row>
    <row r="652">
      <c r="A652" s="37" t="s">
        <v>108</v>
      </c>
      <c r="B652" s="36">
        <v>0.7347222222222223</v>
      </c>
      <c r="C652" s="37" t="s">
        <v>23</v>
      </c>
      <c r="D652" s="37" t="s">
        <v>93</v>
      </c>
      <c r="E652" s="37" t="s">
        <v>88</v>
      </c>
      <c r="F652" s="38">
        <v>0.0</v>
      </c>
      <c r="G652" s="38">
        <v>0.0</v>
      </c>
      <c r="H652" s="38">
        <v>0.0</v>
      </c>
      <c r="I652" s="38">
        <v>0.0</v>
      </c>
      <c r="J652" s="38">
        <v>0.0</v>
      </c>
      <c r="K652" s="38">
        <v>0.0</v>
      </c>
      <c r="L652" s="38">
        <v>0.0</v>
      </c>
      <c r="M652" s="38">
        <v>0.0</v>
      </c>
      <c r="N652" s="38">
        <v>0.0</v>
      </c>
      <c r="O652" s="38">
        <v>0.0</v>
      </c>
      <c r="P652" s="38">
        <v>0.0</v>
      </c>
      <c r="Q652" s="38">
        <v>0.0</v>
      </c>
    </row>
    <row r="653">
      <c r="A653" s="41" t="s">
        <v>108</v>
      </c>
      <c r="B653" s="40">
        <v>0.7347222222222223</v>
      </c>
      <c r="C653" s="41" t="s">
        <v>23</v>
      </c>
      <c r="D653" s="41" t="s">
        <v>93</v>
      </c>
      <c r="E653" s="41" t="s">
        <v>89</v>
      </c>
      <c r="F653" s="42">
        <v>0.0</v>
      </c>
      <c r="G653" s="42">
        <v>0.0</v>
      </c>
      <c r="H653" s="42">
        <v>0.0</v>
      </c>
      <c r="I653" s="42">
        <v>0.0</v>
      </c>
      <c r="J653" s="42">
        <v>0.0</v>
      </c>
      <c r="K653" s="42">
        <v>0.0</v>
      </c>
      <c r="L653" s="42">
        <v>0.0</v>
      </c>
      <c r="M653" s="42">
        <v>0.0</v>
      </c>
      <c r="N653" s="42">
        <v>0.0</v>
      </c>
      <c r="O653" s="42">
        <v>0.0</v>
      </c>
      <c r="P653" s="42">
        <v>0.0</v>
      </c>
      <c r="Q653" s="42">
        <v>0.0</v>
      </c>
    </row>
    <row r="654">
      <c r="A654" s="37" t="s">
        <v>108</v>
      </c>
      <c r="B654" s="36">
        <v>0.7347222222222223</v>
      </c>
      <c r="C654" s="37" t="s">
        <v>23</v>
      </c>
      <c r="D654" s="37" t="s">
        <v>93</v>
      </c>
      <c r="E654" s="37" t="s">
        <v>50</v>
      </c>
      <c r="F654" s="38">
        <v>0.0</v>
      </c>
      <c r="G654" s="38">
        <v>0.0</v>
      </c>
      <c r="H654" s="38">
        <v>0.0</v>
      </c>
      <c r="I654" s="38">
        <v>0.0</v>
      </c>
      <c r="J654" s="38">
        <v>0.0</v>
      </c>
      <c r="K654" s="38">
        <v>0.0</v>
      </c>
      <c r="L654" s="38">
        <v>0.0</v>
      </c>
      <c r="M654" s="38">
        <v>0.0</v>
      </c>
      <c r="N654" s="38">
        <v>0.0</v>
      </c>
      <c r="O654" s="38">
        <v>0.0</v>
      </c>
      <c r="P654" s="38">
        <v>0.0</v>
      </c>
      <c r="Q654" s="38">
        <v>0.0</v>
      </c>
    </row>
    <row r="655">
      <c r="A655" s="41" t="s">
        <v>108</v>
      </c>
      <c r="B655" s="40">
        <v>0.7347222222222223</v>
      </c>
      <c r="C655" s="41" t="s">
        <v>23</v>
      </c>
      <c r="D655" s="41" t="s">
        <v>93</v>
      </c>
      <c r="E655" s="41" t="s">
        <v>90</v>
      </c>
      <c r="F655" s="42">
        <v>0.0</v>
      </c>
      <c r="G655" s="42">
        <v>0.0</v>
      </c>
      <c r="H655" s="42">
        <v>0.0</v>
      </c>
      <c r="I655" s="42">
        <v>0.0</v>
      </c>
      <c r="J655" s="42">
        <v>0.0</v>
      </c>
      <c r="K655" s="42">
        <v>0.0</v>
      </c>
      <c r="L655" s="42">
        <v>0.0</v>
      </c>
      <c r="M655" s="42">
        <v>0.0</v>
      </c>
      <c r="N655" s="42">
        <v>0.0</v>
      </c>
      <c r="O655" s="42">
        <v>0.0</v>
      </c>
      <c r="P655" s="42">
        <v>0.0</v>
      </c>
      <c r="Q655" s="42">
        <v>0.0</v>
      </c>
    </row>
    <row r="656">
      <c r="A656" s="37" t="s">
        <v>108</v>
      </c>
      <c r="B656" s="36">
        <v>0.7347222222222223</v>
      </c>
      <c r="C656" s="37" t="s">
        <v>23</v>
      </c>
      <c r="D656" s="37" t="s">
        <v>93</v>
      </c>
      <c r="E656" s="37" t="s">
        <v>91</v>
      </c>
      <c r="F656" s="38">
        <v>0.0</v>
      </c>
      <c r="G656" s="38">
        <v>0.0</v>
      </c>
      <c r="H656" s="38">
        <v>0.0</v>
      </c>
      <c r="I656" s="38">
        <v>0.0</v>
      </c>
      <c r="J656" s="38">
        <v>0.0</v>
      </c>
      <c r="K656" s="38">
        <v>0.0</v>
      </c>
      <c r="L656" s="38">
        <v>0.0</v>
      </c>
      <c r="M656" s="38">
        <v>0.0</v>
      </c>
      <c r="N656" s="38">
        <v>0.0</v>
      </c>
      <c r="O656" s="38">
        <v>0.0</v>
      </c>
      <c r="P656" s="38">
        <v>0.0</v>
      </c>
      <c r="Q656" s="38">
        <v>0.0</v>
      </c>
    </row>
    <row r="657">
      <c r="A657" s="41" t="s">
        <v>108</v>
      </c>
      <c r="B657" s="40">
        <v>0.7347222222222223</v>
      </c>
      <c r="C657" s="41" t="s">
        <v>23</v>
      </c>
      <c r="D657" s="41" t="s">
        <v>93</v>
      </c>
      <c r="E657" s="41" t="s">
        <v>92</v>
      </c>
      <c r="F657" s="42">
        <v>0.0</v>
      </c>
      <c r="G657" s="42">
        <v>0.0</v>
      </c>
      <c r="H657" s="42">
        <v>0.0</v>
      </c>
      <c r="I657" s="42">
        <v>0.0</v>
      </c>
      <c r="J657" s="42">
        <v>0.0</v>
      </c>
      <c r="K657" s="42">
        <v>0.0</v>
      </c>
      <c r="L657" s="42">
        <v>0.0</v>
      </c>
      <c r="M657" s="42">
        <v>0.0</v>
      </c>
      <c r="N657" s="42">
        <v>0.0</v>
      </c>
      <c r="O657" s="42">
        <v>0.0</v>
      </c>
      <c r="P657" s="42">
        <v>0.0</v>
      </c>
      <c r="Q657" s="42">
        <v>0.0</v>
      </c>
    </row>
    <row r="658">
      <c r="A658" s="37" t="s">
        <v>108</v>
      </c>
      <c r="B658" s="36">
        <v>0.7347222222222223</v>
      </c>
      <c r="C658" s="37" t="s">
        <v>23</v>
      </c>
      <c r="D658" s="37" t="s">
        <v>93</v>
      </c>
      <c r="E658" s="37" t="s">
        <v>106</v>
      </c>
      <c r="F658" s="38">
        <v>0.0</v>
      </c>
      <c r="G658" s="38">
        <v>0.0</v>
      </c>
      <c r="H658" s="38">
        <v>0.0</v>
      </c>
      <c r="I658" s="38">
        <v>0.0</v>
      </c>
      <c r="J658" s="38">
        <v>0.0</v>
      </c>
      <c r="K658" s="38">
        <v>0.0</v>
      </c>
      <c r="L658" s="38">
        <v>0.0</v>
      </c>
      <c r="M658" s="38">
        <v>0.0</v>
      </c>
      <c r="N658" s="38">
        <v>0.0</v>
      </c>
      <c r="O658" s="38">
        <v>0.0</v>
      </c>
      <c r="P658" s="38">
        <v>0.0</v>
      </c>
      <c r="Q658" s="38">
        <v>0.0</v>
      </c>
    </row>
    <row r="659">
      <c r="A659" s="41" t="s">
        <v>108</v>
      </c>
      <c r="B659" s="40">
        <v>0.7347222222222223</v>
      </c>
      <c r="C659" s="41" t="s">
        <v>23</v>
      </c>
      <c r="D659" s="41" t="s">
        <v>93</v>
      </c>
      <c r="E659" s="41" t="s">
        <v>107</v>
      </c>
      <c r="F659" s="42">
        <v>0.0</v>
      </c>
      <c r="G659" s="42">
        <v>0.0</v>
      </c>
      <c r="H659" s="42">
        <v>0.0</v>
      </c>
      <c r="I659" s="42">
        <v>0.0</v>
      </c>
      <c r="J659" s="42">
        <v>0.0</v>
      </c>
      <c r="K659" s="42">
        <v>0.0</v>
      </c>
      <c r="L659" s="42">
        <v>0.0</v>
      </c>
      <c r="M659" s="42">
        <v>0.0</v>
      </c>
      <c r="N659" s="42">
        <v>0.0</v>
      </c>
      <c r="O659" s="42">
        <v>0.0</v>
      </c>
      <c r="P659" s="42">
        <v>0.0</v>
      </c>
      <c r="Q659" s="42">
        <v>0.0</v>
      </c>
    </row>
    <row r="660">
      <c r="A660" s="37" t="s">
        <v>108</v>
      </c>
      <c r="B660" s="36">
        <v>0.7347222222222223</v>
      </c>
      <c r="C660" s="37" t="s">
        <v>29</v>
      </c>
      <c r="D660" s="37" t="s">
        <v>94</v>
      </c>
      <c r="E660" s="37" t="s">
        <v>52</v>
      </c>
      <c r="F660" s="38">
        <v>6.0</v>
      </c>
      <c r="G660" s="38">
        <v>3.0</v>
      </c>
      <c r="H660" s="38">
        <v>0.0</v>
      </c>
      <c r="I660" s="38">
        <v>0.0</v>
      </c>
      <c r="J660" s="38">
        <v>0.0</v>
      </c>
      <c r="K660" s="38">
        <v>6.0</v>
      </c>
      <c r="L660" s="38">
        <v>6.0</v>
      </c>
      <c r="M660" s="38">
        <v>0.0</v>
      </c>
      <c r="N660" s="38">
        <v>0.0</v>
      </c>
      <c r="O660" s="38">
        <v>0.0</v>
      </c>
      <c r="P660" s="38">
        <v>3.0</v>
      </c>
      <c r="Q660" s="38">
        <v>3.0</v>
      </c>
    </row>
    <row r="661">
      <c r="A661" s="41" t="s">
        <v>108</v>
      </c>
      <c r="B661" s="40">
        <v>0.7347222222222223</v>
      </c>
      <c r="C661" s="41" t="s">
        <v>29</v>
      </c>
      <c r="D661" s="41" t="s">
        <v>94</v>
      </c>
      <c r="E661" s="41" t="s">
        <v>88</v>
      </c>
      <c r="F661" s="42">
        <v>0.0</v>
      </c>
      <c r="G661" s="42">
        <v>0.0</v>
      </c>
      <c r="H661" s="42">
        <v>0.0</v>
      </c>
      <c r="I661" s="42">
        <v>0.0</v>
      </c>
      <c r="J661" s="42">
        <v>0.0</v>
      </c>
      <c r="K661" s="42">
        <v>0.0</v>
      </c>
      <c r="L661" s="42">
        <v>0.0</v>
      </c>
      <c r="M661" s="42">
        <v>0.0</v>
      </c>
      <c r="N661" s="42">
        <v>0.0</v>
      </c>
      <c r="O661" s="42">
        <v>0.0</v>
      </c>
      <c r="P661" s="42">
        <v>0.0</v>
      </c>
      <c r="Q661" s="42">
        <v>0.0</v>
      </c>
    </row>
    <row r="662">
      <c r="A662" s="37" t="s">
        <v>108</v>
      </c>
      <c r="B662" s="36">
        <v>0.7347222222222223</v>
      </c>
      <c r="C662" s="37" t="s">
        <v>29</v>
      </c>
      <c r="D662" s="37" t="s">
        <v>94</v>
      </c>
      <c r="E662" s="37" t="s">
        <v>89</v>
      </c>
      <c r="F662" s="38">
        <v>1.0</v>
      </c>
      <c r="G662" s="38">
        <v>0.0</v>
      </c>
      <c r="H662" s="38">
        <v>0.0</v>
      </c>
      <c r="I662" s="38">
        <v>0.0</v>
      </c>
      <c r="J662" s="38">
        <v>0.0</v>
      </c>
      <c r="K662" s="38">
        <v>1.0</v>
      </c>
      <c r="L662" s="38">
        <v>1.0</v>
      </c>
      <c r="M662" s="38">
        <v>0.0</v>
      </c>
      <c r="N662" s="38">
        <v>0.0</v>
      </c>
      <c r="O662" s="38">
        <v>0.0</v>
      </c>
      <c r="P662" s="38">
        <v>0.0</v>
      </c>
      <c r="Q662" s="38">
        <v>0.0</v>
      </c>
    </row>
    <row r="663">
      <c r="A663" s="41" t="s">
        <v>108</v>
      </c>
      <c r="B663" s="40">
        <v>0.7347222222222223</v>
      </c>
      <c r="C663" s="41" t="s">
        <v>29</v>
      </c>
      <c r="D663" s="41" t="s">
        <v>94</v>
      </c>
      <c r="E663" s="41" t="s">
        <v>50</v>
      </c>
      <c r="F663" s="42">
        <v>0.0</v>
      </c>
      <c r="G663" s="42">
        <v>0.0</v>
      </c>
      <c r="H663" s="42">
        <v>0.0</v>
      </c>
      <c r="I663" s="42">
        <v>0.0</v>
      </c>
      <c r="J663" s="42">
        <v>0.0</v>
      </c>
      <c r="K663" s="42">
        <v>0.0</v>
      </c>
      <c r="L663" s="42">
        <v>0.0</v>
      </c>
      <c r="M663" s="42">
        <v>0.0</v>
      </c>
      <c r="N663" s="42">
        <v>0.0</v>
      </c>
      <c r="O663" s="42">
        <v>0.0</v>
      </c>
      <c r="P663" s="42">
        <v>0.0</v>
      </c>
      <c r="Q663" s="42">
        <v>0.0</v>
      </c>
    </row>
    <row r="664">
      <c r="A664" s="37" t="s">
        <v>108</v>
      </c>
      <c r="B664" s="36">
        <v>0.7347222222222223</v>
      </c>
      <c r="C664" s="37" t="s">
        <v>29</v>
      </c>
      <c r="D664" s="37" t="s">
        <v>94</v>
      </c>
      <c r="E664" s="37" t="s">
        <v>90</v>
      </c>
      <c r="F664" s="38">
        <v>0.0</v>
      </c>
      <c r="G664" s="38">
        <v>0.0</v>
      </c>
      <c r="H664" s="38">
        <v>0.0</v>
      </c>
      <c r="I664" s="38">
        <v>0.0</v>
      </c>
      <c r="J664" s="38">
        <v>0.0</v>
      </c>
      <c r="K664" s="38">
        <v>0.0</v>
      </c>
      <c r="L664" s="38">
        <v>0.0</v>
      </c>
      <c r="M664" s="38">
        <v>0.0</v>
      </c>
      <c r="N664" s="38">
        <v>0.0</v>
      </c>
      <c r="O664" s="38">
        <v>0.0</v>
      </c>
      <c r="P664" s="38">
        <v>0.0</v>
      </c>
      <c r="Q664" s="38">
        <v>0.0</v>
      </c>
    </row>
    <row r="665">
      <c r="A665" s="41" t="s">
        <v>108</v>
      </c>
      <c r="B665" s="40">
        <v>0.7347222222222223</v>
      </c>
      <c r="C665" s="41" t="s">
        <v>29</v>
      </c>
      <c r="D665" s="41" t="s">
        <v>94</v>
      </c>
      <c r="E665" s="41" t="s">
        <v>91</v>
      </c>
      <c r="F665" s="42">
        <v>0.0</v>
      </c>
      <c r="G665" s="42">
        <v>0.0</v>
      </c>
      <c r="H665" s="42">
        <v>0.0</v>
      </c>
      <c r="I665" s="42">
        <v>0.0</v>
      </c>
      <c r="J665" s="42">
        <v>0.0</v>
      </c>
      <c r="K665" s="42">
        <v>0.0</v>
      </c>
      <c r="L665" s="42">
        <v>0.0</v>
      </c>
      <c r="M665" s="42">
        <v>0.0</v>
      </c>
      <c r="N665" s="42">
        <v>0.0</v>
      </c>
      <c r="O665" s="42">
        <v>0.0</v>
      </c>
      <c r="P665" s="42">
        <v>0.0</v>
      </c>
      <c r="Q665" s="42">
        <v>0.0</v>
      </c>
    </row>
    <row r="666">
      <c r="A666" s="37" t="s">
        <v>108</v>
      </c>
      <c r="B666" s="36">
        <v>0.7347222222222223</v>
      </c>
      <c r="C666" s="37" t="s">
        <v>29</v>
      </c>
      <c r="D666" s="37" t="s">
        <v>94</v>
      </c>
      <c r="E666" s="37" t="s">
        <v>92</v>
      </c>
      <c r="F666" s="38">
        <v>0.0</v>
      </c>
      <c r="G666" s="38">
        <v>0.0</v>
      </c>
      <c r="H666" s="38">
        <v>0.0</v>
      </c>
      <c r="I666" s="38">
        <v>0.0</v>
      </c>
      <c r="J666" s="38">
        <v>0.0</v>
      </c>
      <c r="K666" s="38">
        <v>0.0</v>
      </c>
      <c r="L666" s="38">
        <v>0.0</v>
      </c>
      <c r="M666" s="38">
        <v>0.0</v>
      </c>
      <c r="N666" s="38">
        <v>0.0</v>
      </c>
      <c r="O666" s="38">
        <v>0.0</v>
      </c>
      <c r="P666" s="38">
        <v>0.0</v>
      </c>
      <c r="Q666" s="38">
        <v>0.0</v>
      </c>
    </row>
    <row r="667">
      <c r="A667" s="41" t="s">
        <v>108</v>
      </c>
      <c r="B667" s="40">
        <v>0.7347222222222223</v>
      </c>
      <c r="C667" s="41" t="s">
        <v>29</v>
      </c>
      <c r="D667" s="41" t="s">
        <v>94</v>
      </c>
      <c r="E667" s="41" t="s">
        <v>106</v>
      </c>
      <c r="F667" s="42">
        <v>1.0</v>
      </c>
      <c r="G667" s="42">
        <v>0.0</v>
      </c>
      <c r="H667" s="42">
        <v>1.0</v>
      </c>
      <c r="I667" s="42">
        <v>0.0</v>
      </c>
      <c r="J667" s="42">
        <v>0.0</v>
      </c>
      <c r="K667" s="42">
        <v>1.0</v>
      </c>
      <c r="L667" s="42">
        <v>1.0</v>
      </c>
      <c r="M667" s="42">
        <v>0.0</v>
      </c>
      <c r="N667" s="42">
        <v>0.0</v>
      </c>
      <c r="O667" s="42">
        <v>0.0</v>
      </c>
      <c r="P667" s="42">
        <v>0.0</v>
      </c>
      <c r="Q667" s="42">
        <v>0.0</v>
      </c>
    </row>
    <row r="668">
      <c r="A668" s="37" t="s">
        <v>108</v>
      </c>
      <c r="B668" s="36">
        <v>0.7347222222222223</v>
      </c>
      <c r="C668" s="37" t="s">
        <v>29</v>
      </c>
      <c r="D668" s="37" t="s">
        <v>94</v>
      </c>
      <c r="E668" s="37" t="s">
        <v>107</v>
      </c>
      <c r="F668" s="38">
        <v>0.0</v>
      </c>
      <c r="G668" s="38">
        <v>0.0</v>
      </c>
      <c r="H668" s="38">
        <v>0.0</v>
      </c>
      <c r="I668" s="38">
        <v>0.0</v>
      </c>
      <c r="J668" s="38">
        <v>0.0</v>
      </c>
      <c r="K668" s="38">
        <v>0.0</v>
      </c>
      <c r="L668" s="38">
        <v>0.0</v>
      </c>
      <c r="M668" s="38">
        <v>0.0</v>
      </c>
      <c r="N668" s="38">
        <v>0.0</v>
      </c>
      <c r="O668" s="38">
        <v>0.0</v>
      </c>
      <c r="P668" s="38">
        <v>0.0</v>
      </c>
      <c r="Q668" s="38">
        <v>0.0</v>
      </c>
    </row>
    <row r="669">
      <c r="A669" s="41" t="s">
        <v>108</v>
      </c>
      <c r="B669" s="40">
        <v>0.7347222222222223</v>
      </c>
      <c r="C669" s="41" t="s">
        <v>31</v>
      </c>
      <c r="D669" s="41" t="s">
        <v>95</v>
      </c>
      <c r="E669" s="41" t="s">
        <v>52</v>
      </c>
      <c r="F669" s="42">
        <v>0.0</v>
      </c>
      <c r="G669" s="42">
        <v>0.0</v>
      </c>
      <c r="H669" s="42">
        <v>0.0</v>
      </c>
      <c r="I669" s="42">
        <v>0.0</v>
      </c>
      <c r="J669" s="42">
        <v>0.0</v>
      </c>
      <c r="K669" s="42">
        <v>0.0</v>
      </c>
      <c r="L669" s="42">
        <v>0.0</v>
      </c>
      <c r="M669" s="42">
        <v>0.0</v>
      </c>
      <c r="N669" s="42">
        <v>0.0</v>
      </c>
      <c r="O669" s="42">
        <v>0.0</v>
      </c>
      <c r="P669" s="42">
        <v>0.0</v>
      </c>
      <c r="Q669" s="42">
        <v>0.0</v>
      </c>
    </row>
    <row r="670">
      <c r="A670" s="37" t="s">
        <v>108</v>
      </c>
      <c r="B670" s="36">
        <v>0.7347222222222223</v>
      </c>
      <c r="C670" s="37" t="s">
        <v>31</v>
      </c>
      <c r="D670" s="37" t="s">
        <v>95</v>
      </c>
      <c r="E670" s="37" t="s">
        <v>88</v>
      </c>
      <c r="F670" s="38">
        <v>0.0</v>
      </c>
      <c r="G670" s="38">
        <v>0.0</v>
      </c>
      <c r="H670" s="38">
        <v>0.0</v>
      </c>
      <c r="I670" s="38">
        <v>0.0</v>
      </c>
      <c r="J670" s="38">
        <v>0.0</v>
      </c>
      <c r="K670" s="38">
        <v>0.0</v>
      </c>
      <c r="L670" s="38">
        <v>0.0</v>
      </c>
      <c r="M670" s="38">
        <v>0.0</v>
      </c>
      <c r="N670" s="38">
        <v>0.0</v>
      </c>
      <c r="O670" s="38">
        <v>0.0</v>
      </c>
      <c r="P670" s="38">
        <v>0.0</v>
      </c>
      <c r="Q670" s="38">
        <v>0.0</v>
      </c>
    </row>
    <row r="671">
      <c r="A671" s="41" t="s">
        <v>108</v>
      </c>
      <c r="B671" s="40">
        <v>0.7347222222222223</v>
      </c>
      <c r="C671" s="41" t="s">
        <v>31</v>
      </c>
      <c r="D671" s="41" t="s">
        <v>95</v>
      </c>
      <c r="E671" s="41" t="s">
        <v>89</v>
      </c>
      <c r="F671" s="42">
        <v>0.0</v>
      </c>
      <c r="G671" s="42">
        <v>0.0</v>
      </c>
      <c r="H671" s="42">
        <v>0.0</v>
      </c>
      <c r="I671" s="42">
        <v>0.0</v>
      </c>
      <c r="J671" s="42">
        <v>0.0</v>
      </c>
      <c r="K671" s="42">
        <v>0.0</v>
      </c>
      <c r="L671" s="42">
        <v>0.0</v>
      </c>
      <c r="M671" s="42">
        <v>0.0</v>
      </c>
      <c r="N671" s="42">
        <v>0.0</v>
      </c>
      <c r="O671" s="42">
        <v>0.0</v>
      </c>
      <c r="P671" s="42">
        <v>0.0</v>
      </c>
      <c r="Q671" s="42">
        <v>0.0</v>
      </c>
    </row>
    <row r="672">
      <c r="A672" s="37" t="s">
        <v>108</v>
      </c>
      <c r="B672" s="36">
        <v>0.7347222222222223</v>
      </c>
      <c r="C672" s="37" t="s">
        <v>31</v>
      </c>
      <c r="D672" s="37" t="s">
        <v>95</v>
      </c>
      <c r="E672" s="37" t="s">
        <v>50</v>
      </c>
      <c r="F672" s="38">
        <v>1.0</v>
      </c>
      <c r="G672" s="38">
        <v>1.0</v>
      </c>
      <c r="H672" s="38">
        <v>0.0</v>
      </c>
      <c r="I672" s="38">
        <v>0.0</v>
      </c>
      <c r="J672" s="38">
        <v>0.0</v>
      </c>
      <c r="K672" s="38">
        <v>0.0</v>
      </c>
      <c r="L672" s="38">
        <v>0.0</v>
      </c>
      <c r="M672" s="38">
        <v>0.0</v>
      </c>
      <c r="N672" s="38">
        <v>0.0</v>
      </c>
      <c r="O672" s="38">
        <v>0.0</v>
      </c>
      <c r="P672" s="38">
        <v>0.0</v>
      </c>
      <c r="Q672" s="38">
        <v>0.0</v>
      </c>
    </row>
    <row r="673">
      <c r="A673" s="41" t="s">
        <v>108</v>
      </c>
      <c r="B673" s="40">
        <v>0.7347222222222223</v>
      </c>
      <c r="C673" s="41" t="s">
        <v>31</v>
      </c>
      <c r="D673" s="41" t="s">
        <v>95</v>
      </c>
      <c r="E673" s="41" t="s">
        <v>90</v>
      </c>
      <c r="F673" s="42">
        <v>0.0</v>
      </c>
      <c r="G673" s="42">
        <v>0.0</v>
      </c>
      <c r="H673" s="42">
        <v>0.0</v>
      </c>
      <c r="I673" s="42">
        <v>0.0</v>
      </c>
      <c r="J673" s="42">
        <v>0.0</v>
      </c>
      <c r="K673" s="42">
        <v>0.0</v>
      </c>
      <c r="L673" s="42">
        <v>0.0</v>
      </c>
      <c r="M673" s="42">
        <v>0.0</v>
      </c>
      <c r="N673" s="42">
        <v>0.0</v>
      </c>
      <c r="O673" s="42">
        <v>0.0</v>
      </c>
      <c r="P673" s="42">
        <v>0.0</v>
      </c>
      <c r="Q673" s="42">
        <v>0.0</v>
      </c>
    </row>
    <row r="674">
      <c r="A674" s="37" t="s">
        <v>108</v>
      </c>
      <c r="B674" s="36">
        <v>0.7347222222222223</v>
      </c>
      <c r="C674" s="37" t="s">
        <v>31</v>
      </c>
      <c r="D674" s="37" t="s">
        <v>95</v>
      </c>
      <c r="E674" s="37" t="s">
        <v>91</v>
      </c>
      <c r="F674" s="38">
        <v>0.0</v>
      </c>
      <c r="G674" s="38">
        <v>0.0</v>
      </c>
      <c r="H674" s="38">
        <v>0.0</v>
      </c>
      <c r="I674" s="38">
        <v>0.0</v>
      </c>
      <c r="J674" s="38">
        <v>0.0</v>
      </c>
      <c r="K674" s="38">
        <v>0.0</v>
      </c>
      <c r="L674" s="38">
        <v>0.0</v>
      </c>
      <c r="M674" s="38">
        <v>0.0</v>
      </c>
      <c r="N674" s="38">
        <v>0.0</v>
      </c>
      <c r="O674" s="38">
        <v>0.0</v>
      </c>
      <c r="P674" s="38">
        <v>0.0</v>
      </c>
      <c r="Q674" s="38">
        <v>0.0</v>
      </c>
    </row>
    <row r="675">
      <c r="A675" s="41" t="s">
        <v>108</v>
      </c>
      <c r="B675" s="40">
        <v>0.7347222222222223</v>
      </c>
      <c r="C675" s="41" t="s">
        <v>31</v>
      </c>
      <c r="D675" s="41" t="s">
        <v>95</v>
      </c>
      <c r="E675" s="41" t="s">
        <v>92</v>
      </c>
      <c r="F675" s="42">
        <v>0.0</v>
      </c>
      <c r="G675" s="42">
        <v>0.0</v>
      </c>
      <c r="H675" s="42">
        <v>0.0</v>
      </c>
      <c r="I675" s="42">
        <v>0.0</v>
      </c>
      <c r="J675" s="42">
        <v>0.0</v>
      </c>
      <c r="K675" s="42">
        <v>0.0</v>
      </c>
      <c r="L675" s="42">
        <v>0.0</v>
      </c>
      <c r="M675" s="42">
        <v>0.0</v>
      </c>
      <c r="N675" s="42">
        <v>0.0</v>
      </c>
      <c r="O675" s="42">
        <v>0.0</v>
      </c>
      <c r="P675" s="42">
        <v>0.0</v>
      </c>
      <c r="Q675" s="42">
        <v>0.0</v>
      </c>
    </row>
    <row r="676">
      <c r="A676" s="37" t="s">
        <v>108</v>
      </c>
      <c r="B676" s="36">
        <v>0.7347222222222223</v>
      </c>
      <c r="C676" s="37" t="s">
        <v>31</v>
      </c>
      <c r="D676" s="37" t="s">
        <v>95</v>
      </c>
      <c r="E676" s="37" t="s">
        <v>106</v>
      </c>
      <c r="F676" s="38">
        <v>0.0</v>
      </c>
      <c r="G676" s="38">
        <v>0.0</v>
      </c>
      <c r="H676" s="38">
        <v>0.0</v>
      </c>
      <c r="I676" s="38">
        <v>0.0</v>
      </c>
      <c r="J676" s="38">
        <v>0.0</v>
      </c>
      <c r="K676" s="38">
        <v>0.0</v>
      </c>
      <c r="L676" s="38">
        <v>0.0</v>
      </c>
      <c r="M676" s="38">
        <v>0.0</v>
      </c>
      <c r="N676" s="38">
        <v>0.0</v>
      </c>
      <c r="O676" s="38">
        <v>0.0</v>
      </c>
      <c r="P676" s="38">
        <v>0.0</v>
      </c>
      <c r="Q676" s="38">
        <v>0.0</v>
      </c>
    </row>
    <row r="677">
      <c r="A677" s="41" t="s">
        <v>108</v>
      </c>
      <c r="B677" s="40">
        <v>0.7347222222222223</v>
      </c>
      <c r="C677" s="41" t="s">
        <v>31</v>
      </c>
      <c r="D677" s="41" t="s">
        <v>95</v>
      </c>
      <c r="E677" s="41" t="s">
        <v>107</v>
      </c>
      <c r="F677" s="42">
        <v>0.0</v>
      </c>
      <c r="G677" s="42">
        <v>0.0</v>
      </c>
      <c r="H677" s="42">
        <v>0.0</v>
      </c>
      <c r="I677" s="42">
        <v>0.0</v>
      </c>
      <c r="J677" s="42">
        <v>0.0</v>
      </c>
      <c r="K677" s="42">
        <v>0.0</v>
      </c>
      <c r="L677" s="42">
        <v>0.0</v>
      </c>
      <c r="M677" s="42">
        <v>0.0</v>
      </c>
      <c r="N677" s="42">
        <v>0.0</v>
      </c>
      <c r="O677" s="42">
        <v>0.0</v>
      </c>
      <c r="P677" s="42">
        <v>0.0</v>
      </c>
      <c r="Q677" s="42">
        <v>0.0</v>
      </c>
    </row>
    <row r="678">
      <c r="A678" s="45" t="s">
        <v>108</v>
      </c>
      <c r="B678" s="44">
        <v>0.7347222222222223</v>
      </c>
      <c r="C678" s="45" t="s">
        <v>96</v>
      </c>
      <c r="D678" s="45" t="s">
        <v>75</v>
      </c>
      <c r="E678" s="45" t="s">
        <v>52</v>
      </c>
      <c r="F678" s="46">
        <v>10.0</v>
      </c>
      <c r="G678" s="46">
        <v>6.0</v>
      </c>
      <c r="H678" s="46">
        <v>1.0</v>
      </c>
      <c r="I678" s="46">
        <v>0.0</v>
      </c>
      <c r="J678" s="46">
        <v>1.0</v>
      </c>
      <c r="K678" s="46">
        <v>10.0</v>
      </c>
      <c r="L678" s="46">
        <v>10.0</v>
      </c>
      <c r="M678" s="46">
        <v>1.0</v>
      </c>
      <c r="N678" s="46">
        <v>0.0</v>
      </c>
      <c r="O678" s="46">
        <v>0.0</v>
      </c>
      <c r="P678" s="46">
        <v>6.0</v>
      </c>
      <c r="Q678" s="46">
        <v>6.0</v>
      </c>
    </row>
    <row r="679">
      <c r="A679" s="45" t="s">
        <v>108</v>
      </c>
      <c r="B679" s="44">
        <v>0.7347222222222223</v>
      </c>
      <c r="C679" s="45" t="s">
        <v>96</v>
      </c>
      <c r="D679" s="45" t="s">
        <v>75</v>
      </c>
      <c r="E679" s="45" t="s">
        <v>88</v>
      </c>
      <c r="F679" s="46">
        <v>0.0</v>
      </c>
      <c r="G679" s="46">
        <v>0.0</v>
      </c>
      <c r="H679" s="46">
        <v>0.0</v>
      </c>
      <c r="I679" s="46">
        <v>0.0</v>
      </c>
      <c r="J679" s="46">
        <v>0.0</v>
      </c>
      <c r="K679" s="46">
        <v>0.0</v>
      </c>
      <c r="L679" s="46">
        <v>0.0</v>
      </c>
      <c r="M679" s="46">
        <v>0.0</v>
      </c>
      <c r="N679" s="46">
        <v>0.0</v>
      </c>
      <c r="O679" s="46">
        <v>0.0</v>
      </c>
      <c r="P679" s="46">
        <v>0.0</v>
      </c>
      <c r="Q679" s="46">
        <v>0.0</v>
      </c>
    </row>
    <row r="680">
      <c r="A680" s="45" t="s">
        <v>108</v>
      </c>
      <c r="B680" s="44">
        <v>0.7347222222222223</v>
      </c>
      <c r="C680" s="45" t="s">
        <v>96</v>
      </c>
      <c r="D680" s="45" t="s">
        <v>75</v>
      </c>
      <c r="E680" s="45" t="s">
        <v>89</v>
      </c>
      <c r="F680" s="46">
        <v>1.0</v>
      </c>
      <c r="G680" s="46">
        <v>0.0</v>
      </c>
      <c r="H680" s="46">
        <v>0.0</v>
      </c>
      <c r="I680" s="46">
        <v>0.0</v>
      </c>
      <c r="J680" s="46">
        <v>0.0</v>
      </c>
      <c r="K680" s="46">
        <v>1.0</v>
      </c>
      <c r="L680" s="46">
        <v>1.0</v>
      </c>
      <c r="M680" s="46">
        <v>0.0</v>
      </c>
      <c r="N680" s="46">
        <v>0.0</v>
      </c>
      <c r="O680" s="46">
        <v>0.0</v>
      </c>
      <c r="P680" s="46">
        <v>0.0</v>
      </c>
      <c r="Q680" s="46">
        <v>0.0</v>
      </c>
    </row>
    <row r="681">
      <c r="A681" s="45" t="s">
        <v>108</v>
      </c>
      <c r="B681" s="44">
        <v>0.7347222222222223</v>
      </c>
      <c r="C681" s="45" t="s">
        <v>96</v>
      </c>
      <c r="D681" s="45" t="s">
        <v>75</v>
      </c>
      <c r="E681" s="45" t="s">
        <v>50</v>
      </c>
      <c r="F681" s="46">
        <v>1.0</v>
      </c>
      <c r="G681" s="46">
        <v>1.0</v>
      </c>
      <c r="H681" s="46">
        <v>0.0</v>
      </c>
      <c r="I681" s="46">
        <v>0.0</v>
      </c>
      <c r="J681" s="46">
        <v>0.0</v>
      </c>
      <c r="K681" s="46">
        <v>0.0</v>
      </c>
      <c r="L681" s="46">
        <v>0.0</v>
      </c>
      <c r="M681" s="46">
        <v>0.0</v>
      </c>
      <c r="N681" s="46">
        <v>0.0</v>
      </c>
      <c r="O681" s="46">
        <v>0.0</v>
      </c>
      <c r="P681" s="46">
        <v>0.0</v>
      </c>
      <c r="Q681" s="46">
        <v>0.0</v>
      </c>
    </row>
    <row r="682">
      <c r="A682" s="45" t="s">
        <v>108</v>
      </c>
      <c r="B682" s="44">
        <v>0.7347222222222223</v>
      </c>
      <c r="C682" s="45" t="s">
        <v>96</v>
      </c>
      <c r="D682" s="45" t="s">
        <v>75</v>
      </c>
      <c r="E682" s="45" t="s">
        <v>90</v>
      </c>
      <c r="F682" s="46">
        <v>0.0</v>
      </c>
      <c r="G682" s="46">
        <v>0.0</v>
      </c>
      <c r="H682" s="46">
        <v>0.0</v>
      </c>
      <c r="I682" s="46">
        <v>0.0</v>
      </c>
      <c r="J682" s="46">
        <v>0.0</v>
      </c>
      <c r="K682" s="46">
        <v>0.0</v>
      </c>
      <c r="L682" s="46">
        <v>0.0</v>
      </c>
      <c r="M682" s="46">
        <v>0.0</v>
      </c>
      <c r="N682" s="46">
        <v>0.0</v>
      </c>
      <c r="O682" s="46">
        <v>0.0</v>
      </c>
      <c r="P682" s="46">
        <v>0.0</v>
      </c>
      <c r="Q682" s="46">
        <v>0.0</v>
      </c>
    </row>
    <row r="683">
      <c r="A683" s="45" t="s">
        <v>108</v>
      </c>
      <c r="B683" s="44">
        <v>0.7347222222222223</v>
      </c>
      <c r="C683" s="45" t="s">
        <v>96</v>
      </c>
      <c r="D683" s="45" t="s">
        <v>75</v>
      </c>
      <c r="E683" s="45" t="s">
        <v>91</v>
      </c>
      <c r="F683" s="46">
        <v>0.0</v>
      </c>
      <c r="G683" s="46">
        <v>0.0</v>
      </c>
      <c r="H683" s="46">
        <v>0.0</v>
      </c>
      <c r="I683" s="46">
        <v>0.0</v>
      </c>
      <c r="J683" s="46">
        <v>0.0</v>
      </c>
      <c r="K683" s="46">
        <v>0.0</v>
      </c>
      <c r="L683" s="46">
        <v>0.0</v>
      </c>
      <c r="M683" s="46">
        <v>0.0</v>
      </c>
      <c r="N683" s="46">
        <v>0.0</v>
      </c>
      <c r="O683" s="46">
        <v>0.0</v>
      </c>
      <c r="P683" s="46">
        <v>0.0</v>
      </c>
      <c r="Q683" s="46">
        <v>0.0</v>
      </c>
    </row>
    <row r="684">
      <c r="A684" s="45" t="s">
        <v>108</v>
      </c>
      <c r="B684" s="44">
        <v>0.7347222222222223</v>
      </c>
      <c r="C684" s="45" t="s">
        <v>96</v>
      </c>
      <c r="D684" s="45" t="s">
        <v>75</v>
      </c>
      <c r="E684" s="45" t="s">
        <v>92</v>
      </c>
      <c r="F684" s="46">
        <v>0.0</v>
      </c>
      <c r="G684" s="46">
        <v>0.0</v>
      </c>
      <c r="H684" s="46">
        <v>0.0</v>
      </c>
      <c r="I684" s="46">
        <v>0.0</v>
      </c>
      <c r="J684" s="46">
        <v>0.0</v>
      </c>
      <c r="K684" s="46">
        <v>0.0</v>
      </c>
      <c r="L684" s="46">
        <v>0.0</v>
      </c>
      <c r="M684" s="46">
        <v>0.0</v>
      </c>
      <c r="N684" s="46">
        <v>0.0</v>
      </c>
      <c r="O684" s="46">
        <v>0.0</v>
      </c>
      <c r="P684" s="46">
        <v>0.0</v>
      </c>
      <c r="Q684" s="46">
        <v>0.0</v>
      </c>
    </row>
    <row r="685">
      <c r="A685" s="45" t="s">
        <v>108</v>
      </c>
      <c r="B685" s="44">
        <v>0.7347222222222223</v>
      </c>
      <c r="C685" s="45" t="s">
        <v>96</v>
      </c>
      <c r="D685" s="45" t="s">
        <v>75</v>
      </c>
      <c r="E685" s="45" t="s">
        <v>106</v>
      </c>
      <c r="F685" s="46">
        <v>1.0</v>
      </c>
      <c r="G685" s="46">
        <v>0.0</v>
      </c>
      <c r="H685" s="46">
        <v>1.0</v>
      </c>
      <c r="I685" s="46">
        <v>0.0</v>
      </c>
      <c r="J685" s="46">
        <v>0.0</v>
      </c>
      <c r="K685" s="46">
        <v>1.0</v>
      </c>
      <c r="L685" s="46">
        <v>1.0</v>
      </c>
      <c r="M685" s="46">
        <v>0.0</v>
      </c>
      <c r="N685" s="46">
        <v>0.0</v>
      </c>
      <c r="O685" s="46">
        <v>0.0</v>
      </c>
      <c r="P685" s="46">
        <v>0.0</v>
      </c>
      <c r="Q685" s="46">
        <v>0.0</v>
      </c>
    </row>
    <row r="686">
      <c r="A686" s="45" t="s">
        <v>108</v>
      </c>
      <c r="B686" s="44">
        <v>0.7347222222222223</v>
      </c>
      <c r="C686" s="45" t="s">
        <v>96</v>
      </c>
      <c r="D686" s="45" t="s">
        <v>75</v>
      </c>
      <c r="E686" s="45" t="s">
        <v>107</v>
      </c>
      <c r="F686" s="46">
        <v>0.0</v>
      </c>
      <c r="G686" s="46">
        <v>0.0</v>
      </c>
      <c r="H686" s="46">
        <v>0.0</v>
      </c>
      <c r="I686" s="46">
        <v>0.0</v>
      </c>
      <c r="J686" s="46">
        <v>0.0</v>
      </c>
      <c r="K686" s="46">
        <v>0.0</v>
      </c>
      <c r="L686" s="46">
        <v>0.0</v>
      </c>
      <c r="M686" s="46">
        <v>0.0</v>
      </c>
      <c r="N686" s="46">
        <v>0.0</v>
      </c>
      <c r="O686" s="46">
        <v>0.0</v>
      </c>
      <c r="P686" s="46">
        <v>0.0</v>
      </c>
      <c r="Q686" s="46">
        <v>0.0</v>
      </c>
    </row>
    <row r="687">
      <c r="A687" s="41" t="s">
        <v>109</v>
      </c>
      <c r="B687" s="40">
        <v>0.7354166666666667</v>
      </c>
      <c r="C687" s="41" t="s">
        <v>15</v>
      </c>
      <c r="D687" s="41" t="s">
        <v>87</v>
      </c>
      <c r="E687" s="41" t="s">
        <v>52</v>
      </c>
      <c r="F687" s="42">
        <v>3.0</v>
      </c>
      <c r="G687" s="42">
        <v>2.0</v>
      </c>
      <c r="H687" s="42">
        <v>0.0</v>
      </c>
      <c r="I687" s="42">
        <v>1.0</v>
      </c>
      <c r="J687" s="42">
        <v>0.0</v>
      </c>
      <c r="K687" s="42">
        <v>3.0</v>
      </c>
      <c r="L687" s="42">
        <v>3.0</v>
      </c>
      <c r="M687" s="42">
        <v>0.0</v>
      </c>
      <c r="N687" s="42">
        <v>1.0</v>
      </c>
      <c r="O687" s="42">
        <v>0.0</v>
      </c>
      <c r="P687" s="42">
        <v>2.0</v>
      </c>
      <c r="Q687" s="42">
        <v>2.0</v>
      </c>
    </row>
    <row r="688">
      <c r="A688" s="37" t="s">
        <v>109</v>
      </c>
      <c r="B688" s="36">
        <v>0.7354166666666667</v>
      </c>
      <c r="C688" s="37" t="s">
        <v>15</v>
      </c>
      <c r="D688" s="37" t="s">
        <v>87</v>
      </c>
      <c r="E688" s="37" t="s">
        <v>88</v>
      </c>
      <c r="F688" s="38">
        <v>0.0</v>
      </c>
      <c r="G688" s="38">
        <v>0.0</v>
      </c>
      <c r="H688" s="38">
        <v>0.0</v>
      </c>
      <c r="I688" s="38">
        <v>0.0</v>
      </c>
      <c r="J688" s="38">
        <v>0.0</v>
      </c>
      <c r="K688" s="38">
        <v>0.0</v>
      </c>
      <c r="L688" s="38">
        <v>0.0</v>
      </c>
      <c r="M688" s="38">
        <v>0.0</v>
      </c>
      <c r="N688" s="38">
        <v>0.0</v>
      </c>
      <c r="O688" s="38">
        <v>0.0</v>
      </c>
      <c r="P688" s="38">
        <v>0.0</v>
      </c>
      <c r="Q688" s="38">
        <v>0.0</v>
      </c>
    </row>
    <row r="689">
      <c r="A689" s="41" t="s">
        <v>109</v>
      </c>
      <c r="B689" s="40">
        <v>0.7354166666666667</v>
      </c>
      <c r="C689" s="41" t="s">
        <v>15</v>
      </c>
      <c r="D689" s="41" t="s">
        <v>87</v>
      </c>
      <c r="E689" s="41" t="s">
        <v>89</v>
      </c>
      <c r="F689" s="42">
        <v>0.0</v>
      </c>
      <c r="G689" s="42">
        <v>0.0</v>
      </c>
      <c r="H689" s="42">
        <v>0.0</v>
      </c>
      <c r="I689" s="42">
        <v>0.0</v>
      </c>
      <c r="J689" s="42">
        <v>0.0</v>
      </c>
      <c r="K689" s="42">
        <v>0.0</v>
      </c>
      <c r="L689" s="42">
        <v>0.0</v>
      </c>
      <c r="M689" s="42">
        <v>0.0</v>
      </c>
      <c r="N689" s="42">
        <v>0.0</v>
      </c>
      <c r="O689" s="42">
        <v>0.0</v>
      </c>
      <c r="P689" s="42">
        <v>0.0</v>
      </c>
      <c r="Q689" s="42">
        <v>0.0</v>
      </c>
    </row>
    <row r="690">
      <c r="A690" s="37" t="s">
        <v>109</v>
      </c>
      <c r="B690" s="36">
        <v>0.7354166666666667</v>
      </c>
      <c r="C690" s="37" t="s">
        <v>15</v>
      </c>
      <c r="D690" s="37" t="s">
        <v>87</v>
      </c>
      <c r="E690" s="37" t="s">
        <v>50</v>
      </c>
      <c r="F690" s="38">
        <v>0.0</v>
      </c>
      <c r="G690" s="38">
        <v>0.0</v>
      </c>
      <c r="H690" s="38">
        <v>0.0</v>
      </c>
      <c r="I690" s="38">
        <v>0.0</v>
      </c>
      <c r="J690" s="38">
        <v>0.0</v>
      </c>
      <c r="K690" s="38">
        <v>0.0</v>
      </c>
      <c r="L690" s="38">
        <v>0.0</v>
      </c>
      <c r="M690" s="38">
        <v>0.0</v>
      </c>
      <c r="N690" s="38">
        <v>0.0</v>
      </c>
      <c r="O690" s="38">
        <v>0.0</v>
      </c>
      <c r="P690" s="38">
        <v>0.0</v>
      </c>
      <c r="Q690" s="38">
        <v>0.0</v>
      </c>
    </row>
    <row r="691">
      <c r="A691" s="41" t="s">
        <v>109</v>
      </c>
      <c r="B691" s="40">
        <v>0.7354166666666667</v>
      </c>
      <c r="C691" s="41" t="s">
        <v>15</v>
      </c>
      <c r="D691" s="41" t="s">
        <v>87</v>
      </c>
      <c r="E691" s="41" t="s">
        <v>90</v>
      </c>
      <c r="F691" s="42">
        <v>0.0</v>
      </c>
      <c r="G691" s="42">
        <v>0.0</v>
      </c>
      <c r="H691" s="42">
        <v>0.0</v>
      </c>
      <c r="I691" s="42">
        <v>0.0</v>
      </c>
      <c r="J691" s="42">
        <v>0.0</v>
      </c>
      <c r="K691" s="42">
        <v>0.0</v>
      </c>
      <c r="L691" s="42">
        <v>0.0</v>
      </c>
      <c r="M691" s="42">
        <v>0.0</v>
      </c>
      <c r="N691" s="42">
        <v>0.0</v>
      </c>
      <c r="O691" s="42">
        <v>0.0</v>
      </c>
      <c r="P691" s="42">
        <v>0.0</v>
      </c>
      <c r="Q691" s="42">
        <v>0.0</v>
      </c>
    </row>
    <row r="692">
      <c r="A692" s="37" t="s">
        <v>109</v>
      </c>
      <c r="B692" s="36">
        <v>0.7354166666666667</v>
      </c>
      <c r="C692" s="37" t="s">
        <v>15</v>
      </c>
      <c r="D692" s="37" t="s">
        <v>87</v>
      </c>
      <c r="E692" s="37" t="s">
        <v>91</v>
      </c>
      <c r="F692" s="38">
        <v>0.0</v>
      </c>
      <c r="G692" s="38">
        <v>0.0</v>
      </c>
      <c r="H692" s="38">
        <v>0.0</v>
      </c>
      <c r="I692" s="38">
        <v>0.0</v>
      </c>
      <c r="J692" s="38">
        <v>0.0</v>
      </c>
      <c r="K692" s="38">
        <v>0.0</v>
      </c>
      <c r="L692" s="38">
        <v>0.0</v>
      </c>
      <c r="M692" s="38">
        <v>0.0</v>
      </c>
      <c r="N692" s="38">
        <v>0.0</v>
      </c>
      <c r="O692" s="38">
        <v>0.0</v>
      </c>
      <c r="P692" s="38">
        <v>0.0</v>
      </c>
      <c r="Q692" s="38">
        <v>0.0</v>
      </c>
    </row>
    <row r="693">
      <c r="A693" s="41" t="s">
        <v>109</v>
      </c>
      <c r="B693" s="40">
        <v>0.7354166666666667</v>
      </c>
      <c r="C693" s="41" t="s">
        <v>15</v>
      </c>
      <c r="D693" s="41" t="s">
        <v>87</v>
      </c>
      <c r="E693" s="41" t="s">
        <v>92</v>
      </c>
      <c r="F693" s="42">
        <v>0.0</v>
      </c>
      <c r="G693" s="42">
        <v>0.0</v>
      </c>
      <c r="H693" s="42">
        <v>0.0</v>
      </c>
      <c r="I693" s="42">
        <v>0.0</v>
      </c>
      <c r="J693" s="42">
        <v>0.0</v>
      </c>
      <c r="K693" s="42">
        <v>0.0</v>
      </c>
      <c r="L693" s="42">
        <v>0.0</v>
      </c>
      <c r="M693" s="42">
        <v>0.0</v>
      </c>
      <c r="N693" s="42">
        <v>0.0</v>
      </c>
      <c r="O693" s="42">
        <v>0.0</v>
      </c>
      <c r="P693" s="42">
        <v>0.0</v>
      </c>
      <c r="Q693" s="42">
        <v>0.0</v>
      </c>
    </row>
    <row r="694">
      <c r="A694" s="37" t="s">
        <v>109</v>
      </c>
      <c r="B694" s="36">
        <v>0.7354166666666667</v>
      </c>
      <c r="C694" s="37" t="s">
        <v>15</v>
      </c>
      <c r="D694" s="37" t="s">
        <v>87</v>
      </c>
      <c r="E694" s="37" t="s">
        <v>106</v>
      </c>
      <c r="F694" s="38">
        <v>0.0</v>
      </c>
      <c r="G694" s="38">
        <v>0.0</v>
      </c>
      <c r="H694" s="38">
        <v>0.0</v>
      </c>
      <c r="I694" s="38">
        <v>0.0</v>
      </c>
      <c r="J694" s="38">
        <v>0.0</v>
      </c>
      <c r="K694" s="38">
        <v>0.0</v>
      </c>
      <c r="L694" s="38">
        <v>0.0</v>
      </c>
      <c r="M694" s="38">
        <v>0.0</v>
      </c>
      <c r="N694" s="38">
        <v>0.0</v>
      </c>
      <c r="O694" s="38">
        <v>0.0</v>
      </c>
      <c r="P694" s="38">
        <v>0.0</v>
      </c>
      <c r="Q694" s="38">
        <v>0.0</v>
      </c>
    </row>
    <row r="695">
      <c r="A695" s="41" t="s">
        <v>109</v>
      </c>
      <c r="B695" s="40">
        <v>0.7354166666666667</v>
      </c>
      <c r="C695" s="41" t="s">
        <v>15</v>
      </c>
      <c r="D695" s="41" t="s">
        <v>87</v>
      </c>
      <c r="E695" s="41" t="s">
        <v>107</v>
      </c>
      <c r="F695" s="42">
        <v>0.0</v>
      </c>
      <c r="G695" s="42">
        <v>0.0</v>
      </c>
      <c r="H695" s="42">
        <v>0.0</v>
      </c>
      <c r="I695" s="42">
        <v>0.0</v>
      </c>
      <c r="J695" s="42">
        <v>0.0</v>
      </c>
      <c r="K695" s="42">
        <v>0.0</v>
      </c>
      <c r="L695" s="42">
        <v>0.0</v>
      </c>
      <c r="M695" s="42">
        <v>0.0</v>
      </c>
      <c r="N695" s="42">
        <v>0.0</v>
      </c>
      <c r="O695" s="42">
        <v>0.0</v>
      </c>
      <c r="P695" s="42">
        <v>0.0</v>
      </c>
      <c r="Q695" s="42">
        <v>0.0</v>
      </c>
    </row>
    <row r="696">
      <c r="A696" s="37" t="s">
        <v>109</v>
      </c>
      <c r="B696" s="36">
        <v>0.7354166666666667</v>
      </c>
      <c r="C696" s="37" t="s">
        <v>23</v>
      </c>
      <c r="D696" s="37" t="s">
        <v>93</v>
      </c>
      <c r="E696" s="37" t="s">
        <v>52</v>
      </c>
      <c r="F696" s="38">
        <v>1.0</v>
      </c>
      <c r="G696" s="38">
        <v>1.0</v>
      </c>
      <c r="H696" s="38">
        <v>0.0</v>
      </c>
      <c r="I696" s="38">
        <v>0.0</v>
      </c>
      <c r="J696" s="38">
        <v>0.0</v>
      </c>
      <c r="K696" s="38">
        <v>1.0</v>
      </c>
      <c r="L696" s="38">
        <v>1.0</v>
      </c>
      <c r="M696" s="38">
        <v>0.0</v>
      </c>
      <c r="N696" s="38">
        <v>0.0</v>
      </c>
      <c r="O696" s="38">
        <v>0.0</v>
      </c>
      <c r="P696" s="38">
        <v>1.0</v>
      </c>
      <c r="Q696" s="38">
        <v>1.0</v>
      </c>
    </row>
    <row r="697">
      <c r="A697" s="41" t="s">
        <v>109</v>
      </c>
      <c r="B697" s="40">
        <v>0.7354166666666667</v>
      </c>
      <c r="C697" s="41" t="s">
        <v>23</v>
      </c>
      <c r="D697" s="41" t="s">
        <v>93</v>
      </c>
      <c r="E697" s="41" t="s">
        <v>88</v>
      </c>
      <c r="F697" s="42">
        <v>0.0</v>
      </c>
      <c r="G697" s="42">
        <v>0.0</v>
      </c>
      <c r="H697" s="42">
        <v>0.0</v>
      </c>
      <c r="I697" s="42">
        <v>0.0</v>
      </c>
      <c r="J697" s="42">
        <v>0.0</v>
      </c>
      <c r="K697" s="42">
        <v>0.0</v>
      </c>
      <c r="L697" s="42">
        <v>0.0</v>
      </c>
      <c r="M697" s="42">
        <v>0.0</v>
      </c>
      <c r="N697" s="42">
        <v>0.0</v>
      </c>
      <c r="O697" s="42">
        <v>0.0</v>
      </c>
      <c r="P697" s="42">
        <v>0.0</v>
      </c>
      <c r="Q697" s="42">
        <v>0.0</v>
      </c>
    </row>
    <row r="698">
      <c r="A698" s="37" t="s">
        <v>109</v>
      </c>
      <c r="B698" s="36">
        <v>0.7354166666666667</v>
      </c>
      <c r="C698" s="37" t="s">
        <v>23</v>
      </c>
      <c r="D698" s="37" t="s">
        <v>93</v>
      </c>
      <c r="E698" s="37" t="s">
        <v>89</v>
      </c>
      <c r="F698" s="38">
        <v>0.0</v>
      </c>
      <c r="G698" s="38">
        <v>0.0</v>
      </c>
      <c r="H698" s="38">
        <v>0.0</v>
      </c>
      <c r="I698" s="38">
        <v>0.0</v>
      </c>
      <c r="J698" s="38">
        <v>0.0</v>
      </c>
      <c r="K698" s="38">
        <v>0.0</v>
      </c>
      <c r="L698" s="38">
        <v>0.0</v>
      </c>
      <c r="M698" s="38">
        <v>0.0</v>
      </c>
      <c r="N698" s="38">
        <v>0.0</v>
      </c>
      <c r="O698" s="38">
        <v>0.0</v>
      </c>
      <c r="P698" s="38">
        <v>0.0</v>
      </c>
      <c r="Q698" s="38">
        <v>0.0</v>
      </c>
    </row>
    <row r="699">
      <c r="A699" s="41" t="s">
        <v>109</v>
      </c>
      <c r="B699" s="40">
        <v>0.7354166666666667</v>
      </c>
      <c r="C699" s="41" t="s">
        <v>23</v>
      </c>
      <c r="D699" s="41" t="s">
        <v>93</v>
      </c>
      <c r="E699" s="41" t="s">
        <v>50</v>
      </c>
      <c r="F699" s="42">
        <v>0.0</v>
      </c>
      <c r="G699" s="42">
        <v>0.0</v>
      </c>
      <c r="H699" s="42">
        <v>0.0</v>
      </c>
      <c r="I699" s="42">
        <v>0.0</v>
      </c>
      <c r="J699" s="42">
        <v>0.0</v>
      </c>
      <c r="K699" s="42">
        <v>0.0</v>
      </c>
      <c r="L699" s="42">
        <v>0.0</v>
      </c>
      <c r="M699" s="42">
        <v>0.0</v>
      </c>
      <c r="N699" s="42">
        <v>0.0</v>
      </c>
      <c r="O699" s="42">
        <v>0.0</v>
      </c>
      <c r="P699" s="42">
        <v>0.0</v>
      </c>
      <c r="Q699" s="42">
        <v>0.0</v>
      </c>
    </row>
    <row r="700">
      <c r="A700" s="37" t="s">
        <v>109</v>
      </c>
      <c r="B700" s="36">
        <v>0.7354166666666667</v>
      </c>
      <c r="C700" s="37" t="s">
        <v>23</v>
      </c>
      <c r="D700" s="37" t="s">
        <v>93</v>
      </c>
      <c r="E700" s="37" t="s">
        <v>90</v>
      </c>
      <c r="F700" s="38">
        <v>0.0</v>
      </c>
      <c r="G700" s="38">
        <v>0.0</v>
      </c>
      <c r="H700" s="38">
        <v>0.0</v>
      </c>
      <c r="I700" s="38">
        <v>0.0</v>
      </c>
      <c r="J700" s="38">
        <v>0.0</v>
      </c>
      <c r="K700" s="38">
        <v>0.0</v>
      </c>
      <c r="L700" s="38">
        <v>0.0</v>
      </c>
      <c r="M700" s="38">
        <v>0.0</v>
      </c>
      <c r="N700" s="38">
        <v>0.0</v>
      </c>
      <c r="O700" s="38">
        <v>0.0</v>
      </c>
      <c r="P700" s="38">
        <v>0.0</v>
      </c>
      <c r="Q700" s="38">
        <v>0.0</v>
      </c>
    </row>
    <row r="701">
      <c r="A701" s="41" t="s">
        <v>109</v>
      </c>
      <c r="B701" s="40">
        <v>0.7354166666666667</v>
      </c>
      <c r="C701" s="41" t="s">
        <v>23</v>
      </c>
      <c r="D701" s="41" t="s">
        <v>93</v>
      </c>
      <c r="E701" s="41" t="s">
        <v>91</v>
      </c>
      <c r="F701" s="42">
        <v>0.0</v>
      </c>
      <c r="G701" s="42">
        <v>0.0</v>
      </c>
      <c r="H701" s="42">
        <v>0.0</v>
      </c>
      <c r="I701" s="42">
        <v>0.0</v>
      </c>
      <c r="J701" s="42">
        <v>0.0</v>
      </c>
      <c r="K701" s="42">
        <v>0.0</v>
      </c>
      <c r="L701" s="42">
        <v>0.0</v>
      </c>
      <c r="M701" s="42">
        <v>0.0</v>
      </c>
      <c r="N701" s="42">
        <v>0.0</v>
      </c>
      <c r="O701" s="42">
        <v>0.0</v>
      </c>
      <c r="P701" s="42">
        <v>0.0</v>
      </c>
      <c r="Q701" s="42">
        <v>0.0</v>
      </c>
    </row>
    <row r="702">
      <c r="A702" s="37" t="s">
        <v>109</v>
      </c>
      <c r="B702" s="36">
        <v>0.7354166666666667</v>
      </c>
      <c r="C702" s="37" t="s">
        <v>23</v>
      </c>
      <c r="D702" s="37" t="s">
        <v>93</v>
      </c>
      <c r="E702" s="37" t="s">
        <v>92</v>
      </c>
      <c r="F702" s="38">
        <v>0.0</v>
      </c>
      <c r="G702" s="38">
        <v>0.0</v>
      </c>
      <c r="H702" s="38">
        <v>0.0</v>
      </c>
      <c r="I702" s="38">
        <v>0.0</v>
      </c>
      <c r="J702" s="38">
        <v>0.0</v>
      </c>
      <c r="K702" s="38">
        <v>0.0</v>
      </c>
      <c r="L702" s="38">
        <v>0.0</v>
      </c>
      <c r="M702" s="38">
        <v>0.0</v>
      </c>
      <c r="N702" s="38">
        <v>0.0</v>
      </c>
      <c r="O702" s="38">
        <v>0.0</v>
      </c>
      <c r="P702" s="38">
        <v>0.0</v>
      </c>
      <c r="Q702" s="38">
        <v>0.0</v>
      </c>
    </row>
    <row r="703">
      <c r="A703" s="41" t="s">
        <v>109</v>
      </c>
      <c r="B703" s="40">
        <v>0.7354166666666667</v>
      </c>
      <c r="C703" s="41" t="s">
        <v>23</v>
      </c>
      <c r="D703" s="41" t="s">
        <v>93</v>
      </c>
      <c r="E703" s="41" t="s">
        <v>106</v>
      </c>
      <c r="F703" s="42">
        <v>0.0</v>
      </c>
      <c r="G703" s="42">
        <v>0.0</v>
      </c>
      <c r="H703" s="42">
        <v>0.0</v>
      </c>
      <c r="I703" s="42">
        <v>0.0</v>
      </c>
      <c r="J703" s="42">
        <v>0.0</v>
      </c>
      <c r="K703" s="42">
        <v>0.0</v>
      </c>
      <c r="L703" s="42">
        <v>0.0</v>
      </c>
      <c r="M703" s="42">
        <v>0.0</v>
      </c>
      <c r="N703" s="42">
        <v>0.0</v>
      </c>
      <c r="O703" s="42">
        <v>0.0</v>
      </c>
      <c r="P703" s="42">
        <v>0.0</v>
      </c>
      <c r="Q703" s="42">
        <v>0.0</v>
      </c>
    </row>
    <row r="704">
      <c r="A704" s="37" t="s">
        <v>109</v>
      </c>
      <c r="B704" s="36">
        <v>0.7354166666666667</v>
      </c>
      <c r="C704" s="37" t="s">
        <v>23</v>
      </c>
      <c r="D704" s="37" t="s">
        <v>93</v>
      </c>
      <c r="E704" s="37" t="s">
        <v>107</v>
      </c>
      <c r="F704" s="38">
        <v>0.0</v>
      </c>
      <c r="G704" s="38">
        <v>0.0</v>
      </c>
      <c r="H704" s="38">
        <v>0.0</v>
      </c>
      <c r="I704" s="38">
        <v>0.0</v>
      </c>
      <c r="J704" s="38">
        <v>0.0</v>
      </c>
      <c r="K704" s="38">
        <v>0.0</v>
      </c>
      <c r="L704" s="38">
        <v>0.0</v>
      </c>
      <c r="M704" s="38">
        <v>0.0</v>
      </c>
      <c r="N704" s="38">
        <v>0.0</v>
      </c>
      <c r="O704" s="38">
        <v>0.0</v>
      </c>
      <c r="P704" s="38">
        <v>0.0</v>
      </c>
      <c r="Q704" s="38">
        <v>0.0</v>
      </c>
    </row>
    <row r="705">
      <c r="A705" s="41" t="s">
        <v>109</v>
      </c>
      <c r="B705" s="40">
        <v>0.7354166666666667</v>
      </c>
      <c r="C705" s="41" t="s">
        <v>29</v>
      </c>
      <c r="D705" s="41" t="s">
        <v>94</v>
      </c>
      <c r="E705" s="41" t="s">
        <v>52</v>
      </c>
      <c r="F705" s="42">
        <v>6.0</v>
      </c>
      <c r="G705" s="42">
        <v>3.0</v>
      </c>
      <c r="H705" s="42">
        <v>0.0</v>
      </c>
      <c r="I705" s="42">
        <v>0.0</v>
      </c>
      <c r="J705" s="42">
        <v>0.0</v>
      </c>
      <c r="K705" s="42">
        <v>6.0</v>
      </c>
      <c r="L705" s="42">
        <v>6.0</v>
      </c>
      <c r="M705" s="42">
        <v>0.0</v>
      </c>
      <c r="N705" s="42">
        <v>0.0</v>
      </c>
      <c r="O705" s="42">
        <v>0.0</v>
      </c>
      <c r="P705" s="42">
        <v>3.0</v>
      </c>
      <c r="Q705" s="42">
        <v>3.0</v>
      </c>
    </row>
    <row r="706">
      <c r="A706" s="37" t="s">
        <v>109</v>
      </c>
      <c r="B706" s="36">
        <v>0.7354166666666667</v>
      </c>
      <c r="C706" s="37" t="s">
        <v>29</v>
      </c>
      <c r="D706" s="37" t="s">
        <v>94</v>
      </c>
      <c r="E706" s="37" t="s">
        <v>88</v>
      </c>
      <c r="F706" s="38">
        <v>0.0</v>
      </c>
      <c r="G706" s="38">
        <v>0.0</v>
      </c>
      <c r="H706" s="38">
        <v>0.0</v>
      </c>
      <c r="I706" s="38">
        <v>0.0</v>
      </c>
      <c r="J706" s="38">
        <v>0.0</v>
      </c>
      <c r="K706" s="38">
        <v>0.0</v>
      </c>
      <c r="L706" s="38">
        <v>0.0</v>
      </c>
      <c r="M706" s="38">
        <v>0.0</v>
      </c>
      <c r="N706" s="38">
        <v>0.0</v>
      </c>
      <c r="O706" s="38">
        <v>0.0</v>
      </c>
      <c r="P706" s="38">
        <v>0.0</v>
      </c>
      <c r="Q706" s="38">
        <v>0.0</v>
      </c>
    </row>
    <row r="707">
      <c r="A707" s="41" t="s">
        <v>109</v>
      </c>
      <c r="B707" s="40">
        <v>0.7354166666666667</v>
      </c>
      <c r="C707" s="41" t="s">
        <v>29</v>
      </c>
      <c r="D707" s="41" t="s">
        <v>94</v>
      </c>
      <c r="E707" s="41" t="s">
        <v>89</v>
      </c>
      <c r="F707" s="42">
        <v>1.0</v>
      </c>
      <c r="G707" s="42">
        <v>0.0</v>
      </c>
      <c r="H707" s="42">
        <v>0.0</v>
      </c>
      <c r="I707" s="42">
        <v>0.0</v>
      </c>
      <c r="J707" s="42">
        <v>0.0</v>
      </c>
      <c r="K707" s="42">
        <v>1.0</v>
      </c>
      <c r="L707" s="42">
        <v>1.0</v>
      </c>
      <c r="M707" s="42">
        <v>0.0</v>
      </c>
      <c r="N707" s="42">
        <v>0.0</v>
      </c>
      <c r="O707" s="42">
        <v>0.0</v>
      </c>
      <c r="P707" s="42">
        <v>0.0</v>
      </c>
      <c r="Q707" s="42">
        <v>0.0</v>
      </c>
    </row>
    <row r="708">
      <c r="A708" s="37" t="s">
        <v>109</v>
      </c>
      <c r="B708" s="36">
        <v>0.7354166666666667</v>
      </c>
      <c r="C708" s="37" t="s">
        <v>29</v>
      </c>
      <c r="D708" s="37" t="s">
        <v>94</v>
      </c>
      <c r="E708" s="37" t="s">
        <v>50</v>
      </c>
      <c r="F708" s="38">
        <v>0.0</v>
      </c>
      <c r="G708" s="38">
        <v>0.0</v>
      </c>
      <c r="H708" s="38">
        <v>0.0</v>
      </c>
      <c r="I708" s="38">
        <v>0.0</v>
      </c>
      <c r="J708" s="38">
        <v>0.0</v>
      </c>
      <c r="K708" s="38">
        <v>0.0</v>
      </c>
      <c r="L708" s="38">
        <v>0.0</v>
      </c>
      <c r="M708" s="38">
        <v>0.0</v>
      </c>
      <c r="N708" s="38">
        <v>0.0</v>
      </c>
      <c r="O708" s="38">
        <v>0.0</v>
      </c>
      <c r="P708" s="38">
        <v>0.0</v>
      </c>
      <c r="Q708" s="38">
        <v>0.0</v>
      </c>
    </row>
    <row r="709">
      <c r="A709" s="41" t="s">
        <v>109</v>
      </c>
      <c r="B709" s="40">
        <v>0.7354166666666667</v>
      </c>
      <c r="C709" s="41" t="s">
        <v>29</v>
      </c>
      <c r="D709" s="41" t="s">
        <v>94</v>
      </c>
      <c r="E709" s="41" t="s">
        <v>90</v>
      </c>
      <c r="F709" s="42">
        <v>0.0</v>
      </c>
      <c r="G709" s="42">
        <v>0.0</v>
      </c>
      <c r="H709" s="42">
        <v>0.0</v>
      </c>
      <c r="I709" s="42">
        <v>0.0</v>
      </c>
      <c r="J709" s="42">
        <v>0.0</v>
      </c>
      <c r="K709" s="42">
        <v>0.0</v>
      </c>
      <c r="L709" s="42">
        <v>0.0</v>
      </c>
      <c r="M709" s="42">
        <v>0.0</v>
      </c>
      <c r="N709" s="42">
        <v>0.0</v>
      </c>
      <c r="O709" s="42">
        <v>0.0</v>
      </c>
      <c r="P709" s="42">
        <v>0.0</v>
      </c>
      <c r="Q709" s="42">
        <v>0.0</v>
      </c>
    </row>
    <row r="710">
      <c r="A710" s="37" t="s">
        <v>109</v>
      </c>
      <c r="B710" s="36">
        <v>0.7354166666666667</v>
      </c>
      <c r="C710" s="37" t="s">
        <v>29</v>
      </c>
      <c r="D710" s="37" t="s">
        <v>94</v>
      </c>
      <c r="E710" s="37" t="s">
        <v>91</v>
      </c>
      <c r="F710" s="38">
        <v>0.0</v>
      </c>
      <c r="G710" s="38">
        <v>0.0</v>
      </c>
      <c r="H710" s="38">
        <v>0.0</v>
      </c>
      <c r="I710" s="38">
        <v>0.0</v>
      </c>
      <c r="J710" s="38">
        <v>0.0</v>
      </c>
      <c r="K710" s="38">
        <v>0.0</v>
      </c>
      <c r="L710" s="38">
        <v>0.0</v>
      </c>
      <c r="M710" s="38">
        <v>0.0</v>
      </c>
      <c r="N710" s="38">
        <v>0.0</v>
      </c>
      <c r="O710" s="38">
        <v>0.0</v>
      </c>
      <c r="P710" s="38">
        <v>0.0</v>
      </c>
      <c r="Q710" s="38">
        <v>0.0</v>
      </c>
    </row>
    <row r="711">
      <c r="A711" s="41" t="s">
        <v>109</v>
      </c>
      <c r="B711" s="40">
        <v>0.7354166666666667</v>
      </c>
      <c r="C711" s="41" t="s">
        <v>29</v>
      </c>
      <c r="D711" s="41" t="s">
        <v>94</v>
      </c>
      <c r="E711" s="41" t="s">
        <v>92</v>
      </c>
      <c r="F711" s="42">
        <v>0.0</v>
      </c>
      <c r="G711" s="42">
        <v>0.0</v>
      </c>
      <c r="H711" s="42">
        <v>0.0</v>
      </c>
      <c r="I711" s="42">
        <v>0.0</v>
      </c>
      <c r="J711" s="42">
        <v>0.0</v>
      </c>
      <c r="K711" s="42">
        <v>0.0</v>
      </c>
      <c r="L711" s="42">
        <v>0.0</v>
      </c>
      <c r="M711" s="42">
        <v>0.0</v>
      </c>
      <c r="N711" s="42">
        <v>0.0</v>
      </c>
      <c r="O711" s="42">
        <v>0.0</v>
      </c>
      <c r="P711" s="42">
        <v>0.0</v>
      </c>
      <c r="Q711" s="42">
        <v>0.0</v>
      </c>
    </row>
    <row r="712">
      <c r="A712" s="37" t="s">
        <v>109</v>
      </c>
      <c r="B712" s="36">
        <v>0.7354166666666667</v>
      </c>
      <c r="C712" s="37" t="s">
        <v>29</v>
      </c>
      <c r="D712" s="37" t="s">
        <v>94</v>
      </c>
      <c r="E712" s="37" t="s">
        <v>106</v>
      </c>
      <c r="F712" s="38">
        <v>1.0</v>
      </c>
      <c r="G712" s="38">
        <v>0.0</v>
      </c>
      <c r="H712" s="38">
        <v>0.0</v>
      </c>
      <c r="I712" s="38">
        <v>1.0</v>
      </c>
      <c r="J712" s="38">
        <v>0.0</v>
      </c>
      <c r="K712" s="38">
        <v>1.0</v>
      </c>
      <c r="L712" s="38">
        <v>1.0</v>
      </c>
      <c r="M712" s="38">
        <v>0.0</v>
      </c>
      <c r="N712" s="38">
        <v>0.0</v>
      </c>
      <c r="O712" s="38">
        <v>0.0</v>
      </c>
      <c r="P712" s="38">
        <v>0.0</v>
      </c>
      <c r="Q712" s="38">
        <v>0.0</v>
      </c>
    </row>
    <row r="713">
      <c r="A713" s="41" t="s">
        <v>109</v>
      </c>
      <c r="B713" s="40">
        <v>0.7354166666666667</v>
      </c>
      <c r="C713" s="41" t="s">
        <v>29</v>
      </c>
      <c r="D713" s="41" t="s">
        <v>94</v>
      </c>
      <c r="E713" s="41" t="s">
        <v>107</v>
      </c>
      <c r="F713" s="42">
        <v>0.0</v>
      </c>
      <c r="G713" s="42">
        <v>0.0</v>
      </c>
      <c r="H713" s="42">
        <v>0.0</v>
      </c>
      <c r="I713" s="42">
        <v>0.0</v>
      </c>
      <c r="J713" s="42">
        <v>0.0</v>
      </c>
      <c r="K713" s="42">
        <v>0.0</v>
      </c>
      <c r="L713" s="42">
        <v>0.0</v>
      </c>
      <c r="M713" s="42">
        <v>0.0</v>
      </c>
      <c r="N713" s="42">
        <v>0.0</v>
      </c>
      <c r="O713" s="42">
        <v>0.0</v>
      </c>
      <c r="P713" s="42">
        <v>0.0</v>
      </c>
      <c r="Q713" s="42">
        <v>0.0</v>
      </c>
    </row>
    <row r="714">
      <c r="A714" s="37" t="s">
        <v>109</v>
      </c>
      <c r="B714" s="36">
        <v>0.7354166666666667</v>
      </c>
      <c r="C714" s="37" t="s">
        <v>31</v>
      </c>
      <c r="D714" s="37" t="s">
        <v>95</v>
      </c>
      <c r="E714" s="37" t="s">
        <v>52</v>
      </c>
      <c r="F714" s="38">
        <v>0.0</v>
      </c>
      <c r="G714" s="38">
        <v>0.0</v>
      </c>
      <c r="H714" s="38">
        <v>0.0</v>
      </c>
      <c r="I714" s="38">
        <v>0.0</v>
      </c>
      <c r="J714" s="38">
        <v>0.0</v>
      </c>
      <c r="K714" s="38">
        <v>0.0</v>
      </c>
      <c r="L714" s="38">
        <v>0.0</v>
      </c>
      <c r="M714" s="38">
        <v>0.0</v>
      </c>
      <c r="N714" s="38">
        <v>0.0</v>
      </c>
      <c r="O714" s="38">
        <v>0.0</v>
      </c>
      <c r="P714" s="38">
        <v>0.0</v>
      </c>
      <c r="Q714" s="38">
        <v>0.0</v>
      </c>
    </row>
    <row r="715">
      <c r="A715" s="41" t="s">
        <v>109</v>
      </c>
      <c r="B715" s="40">
        <v>0.7354166666666667</v>
      </c>
      <c r="C715" s="41" t="s">
        <v>31</v>
      </c>
      <c r="D715" s="41" t="s">
        <v>95</v>
      </c>
      <c r="E715" s="41" t="s">
        <v>88</v>
      </c>
      <c r="F715" s="42">
        <v>0.0</v>
      </c>
      <c r="G715" s="42">
        <v>0.0</v>
      </c>
      <c r="H715" s="42">
        <v>0.0</v>
      </c>
      <c r="I715" s="42">
        <v>0.0</v>
      </c>
      <c r="J715" s="42">
        <v>0.0</v>
      </c>
      <c r="K715" s="42">
        <v>0.0</v>
      </c>
      <c r="L715" s="42">
        <v>0.0</v>
      </c>
      <c r="M715" s="42">
        <v>0.0</v>
      </c>
      <c r="N715" s="42">
        <v>0.0</v>
      </c>
      <c r="O715" s="42">
        <v>0.0</v>
      </c>
      <c r="P715" s="42">
        <v>0.0</v>
      </c>
      <c r="Q715" s="42">
        <v>0.0</v>
      </c>
    </row>
    <row r="716">
      <c r="A716" s="37" t="s">
        <v>109</v>
      </c>
      <c r="B716" s="36">
        <v>0.7354166666666667</v>
      </c>
      <c r="C716" s="37" t="s">
        <v>31</v>
      </c>
      <c r="D716" s="37" t="s">
        <v>95</v>
      </c>
      <c r="E716" s="37" t="s">
        <v>89</v>
      </c>
      <c r="F716" s="38">
        <v>0.0</v>
      </c>
      <c r="G716" s="38">
        <v>0.0</v>
      </c>
      <c r="H716" s="38">
        <v>0.0</v>
      </c>
      <c r="I716" s="38">
        <v>0.0</v>
      </c>
      <c r="J716" s="38">
        <v>0.0</v>
      </c>
      <c r="K716" s="38">
        <v>0.0</v>
      </c>
      <c r="L716" s="38">
        <v>0.0</v>
      </c>
      <c r="M716" s="38">
        <v>0.0</v>
      </c>
      <c r="N716" s="38">
        <v>0.0</v>
      </c>
      <c r="O716" s="38">
        <v>0.0</v>
      </c>
      <c r="P716" s="38">
        <v>0.0</v>
      </c>
      <c r="Q716" s="38">
        <v>0.0</v>
      </c>
    </row>
    <row r="717">
      <c r="A717" s="41" t="s">
        <v>109</v>
      </c>
      <c r="B717" s="40">
        <v>0.7354166666666667</v>
      </c>
      <c r="C717" s="41" t="s">
        <v>31</v>
      </c>
      <c r="D717" s="41" t="s">
        <v>95</v>
      </c>
      <c r="E717" s="41" t="s">
        <v>50</v>
      </c>
      <c r="F717" s="42">
        <v>1.0</v>
      </c>
      <c r="G717" s="42">
        <v>1.0</v>
      </c>
      <c r="H717" s="42">
        <v>0.0</v>
      </c>
      <c r="I717" s="42">
        <v>0.0</v>
      </c>
      <c r="J717" s="42">
        <v>0.0</v>
      </c>
      <c r="K717" s="42">
        <v>0.0</v>
      </c>
      <c r="L717" s="42">
        <v>0.0</v>
      </c>
      <c r="M717" s="42">
        <v>0.0</v>
      </c>
      <c r="N717" s="42">
        <v>0.0</v>
      </c>
      <c r="O717" s="42">
        <v>0.0</v>
      </c>
      <c r="P717" s="42">
        <v>0.0</v>
      </c>
      <c r="Q717" s="42">
        <v>0.0</v>
      </c>
    </row>
    <row r="718">
      <c r="A718" s="37" t="s">
        <v>109</v>
      </c>
      <c r="B718" s="36">
        <v>0.7354166666666667</v>
      </c>
      <c r="C718" s="37" t="s">
        <v>31</v>
      </c>
      <c r="D718" s="37" t="s">
        <v>95</v>
      </c>
      <c r="E718" s="37" t="s">
        <v>90</v>
      </c>
      <c r="F718" s="38">
        <v>0.0</v>
      </c>
      <c r="G718" s="38">
        <v>0.0</v>
      </c>
      <c r="H718" s="38">
        <v>0.0</v>
      </c>
      <c r="I718" s="38">
        <v>0.0</v>
      </c>
      <c r="J718" s="38">
        <v>0.0</v>
      </c>
      <c r="K718" s="38">
        <v>0.0</v>
      </c>
      <c r="L718" s="38">
        <v>0.0</v>
      </c>
      <c r="M718" s="38">
        <v>0.0</v>
      </c>
      <c r="N718" s="38">
        <v>0.0</v>
      </c>
      <c r="O718" s="38">
        <v>0.0</v>
      </c>
      <c r="P718" s="38">
        <v>0.0</v>
      </c>
      <c r="Q718" s="38">
        <v>0.0</v>
      </c>
    </row>
    <row r="719">
      <c r="A719" s="41" t="s">
        <v>109</v>
      </c>
      <c r="B719" s="40">
        <v>0.7354166666666667</v>
      </c>
      <c r="C719" s="41" t="s">
        <v>31</v>
      </c>
      <c r="D719" s="41" t="s">
        <v>95</v>
      </c>
      <c r="E719" s="41" t="s">
        <v>91</v>
      </c>
      <c r="F719" s="42">
        <v>0.0</v>
      </c>
      <c r="G719" s="42">
        <v>0.0</v>
      </c>
      <c r="H719" s="42">
        <v>0.0</v>
      </c>
      <c r="I719" s="42">
        <v>0.0</v>
      </c>
      <c r="J719" s="42">
        <v>0.0</v>
      </c>
      <c r="K719" s="42">
        <v>0.0</v>
      </c>
      <c r="L719" s="42">
        <v>0.0</v>
      </c>
      <c r="M719" s="42">
        <v>0.0</v>
      </c>
      <c r="N719" s="42">
        <v>0.0</v>
      </c>
      <c r="O719" s="42">
        <v>0.0</v>
      </c>
      <c r="P719" s="42">
        <v>0.0</v>
      </c>
      <c r="Q719" s="42">
        <v>0.0</v>
      </c>
    </row>
    <row r="720">
      <c r="A720" s="37" t="s">
        <v>109</v>
      </c>
      <c r="B720" s="36">
        <v>0.7354166666666667</v>
      </c>
      <c r="C720" s="37" t="s">
        <v>31</v>
      </c>
      <c r="D720" s="37" t="s">
        <v>95</v>
      </c>
      <c r="E720" s="37" t="s">
        <v>92</v>
      </c>
      <c r="F720" s="38">
        <v>0.0</v>
      </c>
      <c r="G720" s="38">
        <v>0.0</v>
      </c>
      <c r="H720" s="38">
        <v>0.0</v>
      </c>
      <c r="I720" s="38">
        <v>0.0</v>
      </c>
      <c r="J720" s="38">
        <v>0.0</v>
      </c>
      <c r="K720" s="38">
        <v>0.0</v>
      </c>
      <c r="L720" s="38">
        <v>0.0</v>
      </c>
      <c r="M720" s="38">
        <v>0.0</v>
      </c>
      <c r="N720" s="38">
        <v>0.0</v>
      </c>
      <c r="O720" s="38">
        <v>0.0</v>
      </c>
      <c r="P720" s="38">
        <v>0.0</v>
      </c>
      <c r="Q720" s="38">
        <v>0.0</v>
      </c>
    </row>
    <row r="721">
      <c r="A721" s="41" t="s">
        <v>109</v>
      </c>
      <c r="B721" s="40">
        <v>0.7354166666666667</v>
      </c>
      <c r="C721" s="41" t="s">
        <v>31</v>
      </c>
      <c r="D721" s="41" t="s">
        <v>95</v>
      </c>
      <c r="E721" s="41" t="s">
        <v>106</v>
      </c>
      <c r="F721" s="42">
        <v>0.0</v>
      </c>
      <c r="G721" s="42">
        <v>0.0</v>
      </c>
      <c r="H721" s="42">
        <v>0.0</v>
      </c>
      <c r="I721" s="42">
        <v>0.0</v>
      </c>
      <c r="J721" s="42">
        <v>0.0</v>
      </c>
      <c r="K721" s="42">
        <v>0.0</v>
      </c>
      <c r="L721" s="42">
        <v>0.0</v>
      </c>
      <c r="M721" s="42">
        <v>0.0</v>
      </c>
      <c r="N721" s="42">
        <v>0.0</v>
      </c>
      <c r="O721" s="42">
        <v>0.0</v>
      </c>
      <c r="P721" s="42">
        <v>0.0</v>
      </c>
      <c r="Q721" s="42">
        <v>0.0</v>
      </c>
    </row>
    <row r="722">
      <c r="A722" s="37" t="s">
        <v>109</v>
      </c>
      <c r="B722" s="36">
        <v>0.7354166666666667</v>
      </c>
      <c r="C722" s="37" t="s">
        <v>31</v>
      </c>
      <c r="D722" s="37" t="s">
        <v>95</v>
      </c>
      <c r="E722" s="37" t="s">
        <v>107</v>
      </c>
      <c r="F722" s="38">
        <v>0.0</v>
      </c>
      <c r="G722" s="38">
        <v>0.0</v>
      </c>
      <c r="H722" s="38">
        <v>0.0</v>
      </c>
      <c r="I722" s="38">
        <v>0.0</v>
      </c>
      <c r="J722" s="38">
        <v>0.0</v>
      </c>
      <c r="K722" s="38">
        <v>0.0</v>
      </c>
      <c r="L722" s="38">
        <v>0.0</v>
      </c>
      <c r="M722" s="38">
        <v>0.0</v>
      </c>
      <c r="N722" s="38">
        <v>0.0</v>
      </c>
      <c r="O722" s="38">
        <v>0.0</v>
      </c>
      <c r="P722" s="38">
        <v>0.0</v>
      </c>
      <c r="Q722" s="38">
        <v>0.0</v>
      </c>
    </row>
    <row r="723">
      <c r="A723" s="45" t="s">
        <v>109</v>
      </c>
      <c r="B723" s="44">
        <v>0.7354166666666667</v>
      </c>
      <c r="C723" s="45" t="s">
        <v>96</v>
      </c>
      <c r="D723" s="45" t="s">
        <v>75</v>
      </c>
      <c r="E723" s="45" t="s">
        <v>52</v>
      </c>
      <c r="F723" s="46">
        <v>10.0</v>
      </c>
      <c r="G723" s="46">
        <v>6.0</v>
      </c>
      <c r="H723" s="46">
        <v>0.0</v>
      </c>
      <c r="I723" s="46">
        <v>1.0</v>
      </c>
      <c r="J723" s="46">
        <v>0.0</v>
      </c>
      <c r="K723" s="46">
        <v>10.0</v>
      </c>
      <c r="L723" s="46">
        <v>10.0</v>
      </c>
      <c r="M723" s="46">
        <v>0.0</v>
      </c>
      <c r="N723" s="46">
        <v>1.0</v>
      </c>
      <c r="O723" s="46">
        <v>0.0</v>
      </c>
      <c r="P723" s="46">
        <v>6.0</v>
      </c>
      <c r="Q723" s="46">
        <v>6.0</v>
      </c>
    </row>
    <row r="724">
      <c r="A724" s="45" t="s">
        <v>109</v>
      </c>
      <c r="B724" s="44">
        <v>0.7354166666666667</v>
      </c>
      <c r="C724" s="45" t="s">
        <v>96</v>
      </c>
      <c r="D724" s="45" t="s">
        <v>75</v>
      </c>
      <c r="E724" s="45" t="s">
        <v>88</v>
      </c>
      <c r="F724" s="46">
        <v>0.0</v>
      </c>
      <c r="G724" s="46">
        <v>0.0</v>
      </c>
      <c r="H724" s="46">
        <v>0.0</v>
      </c>
      <c r="I724" s="46">
        <v>0.0</v>
      </c>
      <c r="J724" s="46">
        <v>0.0</v>
      </c>
      <c r="K724" s="46">
        <v>0.0</v>
      </c>
      <c r="L724" s="46">
        <v>0.0</v>
      </c>
      <c r="M724" s="46">
        <v>0.0</v>
      </c>
      <c r="N724" s="46">
        <v>0.0</v>
      </c>
      <c r="O724" s="46">
        <v>0.0</v>
      </c>
      <c r="P724" s="46">
        <v>0.0</v>
      </c>
      <c r="Q724" s="46">
        <v>0.0</v>
      </c>
    </row>
    <row r="725">
      <c r="A725" s="45" t="s">
        <v>109</v>
      </c>
      <c r="B725" s="44">
        <v>0.7354166666666667</v>
      </c>
      <c r="C725" s="45" t="s">
        <v>96</v>
      </c>
      <c r="D725" s="45" t="s">
        <v>75</v>
      </c>
      <c r="E725" s="45" t="s">
        <v>89</v>
      </c>
      <c r="F725" s="46">
        <v>1.0</v>
      </c>
      <c r="G725" s="46">
        <v>0.0</v>
      </c>
      <c r="H725" s="46">
        <v>0.0</v>
      </c>
      <c r="I725" s="46">
        <v>0.0</v>
      </c>
      <c r="J725" s="46">
        <v>0.0</v>
      </c>
      <c r="K725" s="46">
        <v>1.0</v>
      </c>
      <c r="L725" s="46">
        <v>1.0</v>
      </c>
      <c r="M725" s="46">
        <v>0.0</v>
      </c>
      <c r="N725" s="46">
        <v>0.0</v>
      </c>
      <c r="O725" s="46">
        <v>0.0</v>
      </c>
      <c r="P725" s="46">
        <v>0.0</v>
      </c>
      <c r="Q725" s="46">
        <v>0.0</v>
      </c>
    </row>
    <row r="726">
      <c r="A726" s="45" t="s">
        <v>109</v>
      </c>
      <c r="B726" s="44">
        <v>0.7354166666666667</v>
      </c>
      <c r="C726" s="45" t="s">
        <v>96</v>
      </c>
      <c r="D726" s="45" t="s">
        <v>75</v>
      </c>
      <c r="E726" s="45" t="s">
        <v>50</v>
      </c>
      <c r="F726" s="46">
        <v>1.0</v>
      </c>
      <c r="G726" s="46">
        <v>1.0</v>
      </c>
      <c r="H726" s="46">
        <v>0.0</v>
      </c>
      <c r="I726" s="46">
        <v>0.0</v>
      </c>
      <c r="J726" s="46">
        <v>0.0</v>
      </c>
      <c r="K726" s="46">
        <v>0.0</v>
      </c>
      <c r="L726" s="46">
        <v>0.0</v>
      </c>
      <c r="M726" s="46">
        <v>0.0</v>
      </c>
      <c r="N726" s="46">
        <v>0.0</v>
      </c>
      <c r="O726" s="46">
        <v>0.0</v>
      </c>
      <c r="P726" s="46">
        <v>0.0</v>
      </c>
      <c r="Q726" s="46">
        <v>0.0</v>
      </c>
    </row>
    <row r="727">
      <c r="A727" s="45" t="s">
        <v>109</v>
      </c>
      <c r="B727" s="44">
        <v>0.7354166666666667</v>
      </c>
      <c r="C727" s="45" t="s">
        <v>96</v>
      </c>
      <c r="D727" s="45" t="s">
        <v>75</v>
      </c>
      <c r="E727" s="45" t="s">
        <v>90</v>
      </c>
      <c r="F727" s="46">
        <v>0.0</v>
      </c>
      <c r="G727" s="46">
        <v>0.0</v>
      </c>
      <c r="H727" s="46">
        <v>0.0</v>
      </c>
      <c r="I727" s="46">
        <v>0.0</v>
      </c>
      <c r="J727" s="46">
        <v>0.0</v>
      </c>
      <c r="K727" s="46">
        <v>0.0</v>
      </c>
      <c r="L727" s="46">
        <v>0.0</v>
      </c>
      <c r="M727" s="46">
        <v>0.0</v>
      </c>
      <c r="N727" s="46">
        <v>0.0</v>
      </c>
      <c r="O727" s="46">
        <v>0.0</v>
      </c>
      <c r="P727" s="46">
        <v>0.0</v>
      </c>
      <c r="Q727" s="46">
        <v>0.0</v>
      </c>
    </row>
    <row r="728">
      <c r="A728" s="45" t="s">
        <v>109</v>
      </c>
      <c r="B728" s="44">
        <v>0.7354166666666667</v>
      </c>
      <c r="C728" s="45" t="s">
        <v>96</v>
      </c>
      <c r="D728" s="45" t="s">
        <v>75</v>
      </c>
      <c r="E728" s="45" t="s">
        <v>91</v>
      </c>
      <c r="F728" s="46">
        <v>0.0</v>
      </c>
      <c r="G728" s="46">
        <v>0.0</v>
      </c>
      <c r="H728" s="46">
        <v>0.0</v>
      </c>
      <c r="I728" s="46">
        <v>0.0</v>
      </c>
      <c r="J728" s="46">
        <v>0.0</v>
      </c>
      <c r="K728" s="46">
        <v>0.0</v>
      </c>
      <c r="L728" s="46">
        <v>0.0</v>
      </c>
      <c r="M728" s="46">
        <v>0.0</v>
      </c>
      <c r="N728" s="46">
        <v>0.0</v>
      </c>
      <c r="O728" s="46">
        <v>0.0</v>
      </c>
      <c r="P728" s="46">
        <v>0.0</v>
      </c>
      <c r="Q728" s="46">
        <v>0.0</v>
      </c>
    </row>
    <row r="729">
      <c r="A729" s="45" t="s">
        <v>109</v>
      </c>
      <c r="B729" s="44">
        <v>0.7354166666666667</v>
      </c>
      <c r="C729" s="45" t="s">
        <v>96</v>
      </c>
      <c r="D729" s="45" t="s">
        <v>75</v>
      </c>
      <c r="E729" s="45" t="s">
        <v>92</v>
      </c>
      <c r="F729" s="46">
        <v>0.0</v>
      </c>
      <c r="G729" s="46">
        <v>0.0</v>
      </c>
      <c r="H729" s="46">
        <v>0.0</v>
      </c>
      <c r="I729" s="46">
        <v>0.0</v>
      </c>
      <c r="J729" s="46">
        <v>0.0</v>
      </c>
      <c r="K729" s="46">
        <v>0.0</v>
      </c>
      <c r="L729" s="46">
        <v>0.0</v>
      </c>
      <c r="M729" s="46">
        <v>0.0</v>
      </c>
      <c r="N729" s="46">
        <v>0.0</v>
      </c>
      <c r="O729" s="46">
        <v>0.0</v>
      </c>
      <c r="P729" s="46">
        <v>0.0</v>
      </c>
      <c r="Q729" s="46">
        <v>0.0</v>
      </c>
    </row>
    <row r="730">
      <c r="A730" s="45" t="s">
        <v>109</v>
      </c>
      <c r="B730" s="44">
        <v>0.7354166666666667</v>
      </c>
      <c r="C730" s="45" t="s">
        <v>96</v>
      </c>
      <c r="D730" s="45" t="s">
        <v>75</v>
      </c>
      <c r="E730" s="45" t="s">
        <v>106</v>
      </c>
      <c r="F730" s="46">
        <v>1.0</v>
      </c>
      <c r="G730" s="46">
        <v>0.0</v>
      </c>
      <c r="H730" s="46">
        <v>0.0</v>
      </c>
      <c r="I730" s="46">
        <v>1.0</v>
      </c>
      <c r="J730" s="46">
        <v>0.0</v>
      </c>
      <c r="K730" s="46">
        <v>1.0</v>
      </c>
      <c r="L730" s="46">
        <v>1.0</v>
      </c>
      <c r="M730" s="46">
        <v>0.0</v>
      </c>
      <c r="N730" s="46">
        <v>0.0</v>
      </c>
      <c r="O730" s="46">
        <v>0.0</v>
      </c>
      <c r="P730" s="46">
        <v>0.0</v>
      </c>
      <c r="Q730" s="46">
        <v>0.0</v>
      </c>
    </row>
    <row r="731">
      <c r="A731" s="45" t="s">
        <v>109</v>
      </c>
      <c r="B731" s="44">
        <v>0.7354166666666667</v>
      </c>
      <c r="C731" s="45" t="s">
        <v>96</v>
      </c>
      <c r="D731" s="45" t="s">
        <v>75</v>
      </c>
      <c r="E731" s="45" t="s">
        <v>107</v>
      </c>
      <c r="F731" s="46">
        <v>0.0</v>
      </c>
      <c r="G731" s="46">
        <v>0.0</v>
      </c>
      <c r="H731" s="46">
        <v>0.0</v>
      </c>
      <c r="I731" s="46">
        <v>0.0</v>
      </c>
      <c r="J731" s="46">
        <v>0.0</v>
      </c>
      <c r="K731" s="46">
        <v>0.0</v>
      </c>
      <c r="L731" s="46">
        <v>0.0</v>
      </c>
      <c r="M731" s="46">
        <v>0.0</v>
      </c>
      <c r="N731" s="46">
        <v>0.0</v>
      </c>
      <c r="O731" s="46">
        <v>0.0</v>
      </c>
      <c r="P731" s="46">
        <v>0.0</v>
      </c>
      <c r="Q731" s="46">
        <v>0.0</v>
      </c>
    </row>
    <row r="732">
      <c r="A732" s="47">
        <v>46197.0</v>
      </c>
      <c r="B732" s="48">
        <v>0.7347222222222223</v>
      </c>
      <c r="C732" s="37" t="s">
        <v>15</v>
      </c>
      <c r="D732" s="37" t="s">
        <v>87</v>
      </c>
      <c r="E732" s="37" t="s">
        <v>52</v>
      </c>
      <c r="F732" s="38">
        <v>3.0</v>
      </c>
      <c r="G732" s="38">
        <v>2.0</v>
      </c>
      <c r="H732" s="38">
        <v>0.0</v>
      </c>
      <c r="I732" s="38">
        <v>0.0</v>
      </c>
      <c r="J732" s="38">
        <v>1.0</v>
      </c>
      <c r="K732" s="38">
        <v>2.0</v>
      </c>
      <c r="L732" s="38">
        <v>3.0</v>
      </c>
      <c r="M732" s="38">
        <v>0.0</v>
      </c>
      <c r="N732" s="38">
        <v>0.0</v>
      </c>
      <c r="O732" s="38">
        <v>1.0</v>
      </c>
      <c r="P732" s="38">
        <v>1.0</v>
      </c>
      <c r="Q732" s="38">
        <v>2.0</v>
      </c>
    </row>
    <row r="733">
      <c r="A733" s="49">
        <v>46197.0</v>
      </c>
      <c r="B733" s="50">
        <v>0.7347222222222223</v>
      </c>
      <c r="C733" s="41" t="s">
        <v>15</v>
      </c>
      <c r="D733" s="41" t="s">
        <v>87</v>
      </c>
      <c r="E733" s="41" t="s">
        <v>88</v>
      </c>
      <c r="F733" s="42">
        <v>0.0</v>
      </c>
      <c r="G733" s="42">
        <v>0.0</v>
      </c>
      <c r="H733" s="42">
        <v>0.0</v>
      </c>
      <c r="I733" s="42">
        <v>0.0</v>
      </c>
      <c r="J733" s="42">
        <v>0.0</v>
      </c>
      <c r="K733" s="42">
        <v>0.0</v>
      </c>
      <c r="L733" s="42">
        <v>0.0</v>
      </c>
      <c r="M733" s="42">
        <v>0.0</v>
      </c>
      <c r="N733" s="42">
        <v>0.0</v>
      </c>
      <c r="O733" s="42">
        <v>0.0</v>
      </c>
      <c r="P733" s="42">
        <v>0.0</v>
      </c>
      <c r="Q733" s="42">
        <v>0.0</v>
      </c>
    </row>
    <row r="734">
      <c r="A734" s="47">
        <v>46197.0</v>
      </c>
      <c r="B734" s="48">
        <v>0.7347222222222223</v>
      </c>
      <c r="C734" s="37" t="s">
        <v>15</v>
      </c>
      <c r="D734" s="37" t="s">
        <v>87</v>
      </c>
      <c r="E734" s="37" t="s">
        <v>89</v>
      </c>
      <c r="F734" s="38">
        <v>0.0</v>
      </c>
      <c r="G734" s="38">
        <v>0.0</v>
      </c>
      <c r="H734" s="38">
        <v>0.0</v>
      </c>
      <c r="I734" s="38">
        <v>0.0</v>
      </c>
      <c r="J734" s="38">
        <v>0.0</v>
      </c>
      <c r="K734" s="38">
        <v>0.0</v>
      </c>
      <c r="L734" s="38">
        <v>0.0</v>
      </c>
      <c r="M734" s="38">
        <v>0.0</v>
      </c>
      <c r="N734" s="38">
        <v>0.0</v>
      </c>
      <c r="O734" s="38">
        <v>0.0</v>
      </c>
      <c r="P734" s="38">
        <v>0.0</v>
      </c>
      <c r="Q734" s="38">
        <v>0.0</v>
      </c>
    </row>
    <row r="735">
      <c r="A735" s="49">
        <v>46197.0</v>
      </c>
      <c r="B735" s="50">
        <v>0.7347222222222223</v>
      </c>
      <c r="C735" s="41" t="s">
        <v>15</v>
      </c>
      <c r="D735" s="41" t="s">
        <v>87</v>
      </c>
      <c r="E735" s="41" t="s">
        <v>50</v>
      </c>
      <c r="F735" s="42">
        <v>0.0</v>
      </c>
      <c r="G735" s="42">
        <v>0.0</v>
      </c>
      <c r="H735" s="42">
        <v>0.0</v>
      </c>
      <c r="I735" s="42">
        <v>0.0</v>
      </c>
      <c r="J735" s="42">
        <v>0.0</v>
      </c>
      <c r="K735" s="42">
        <v>0.0</v>
      </c>
      <c r="L735" s="42">
        <v>0.0</v>
      </c>
      <c r="M735" s="42">
        <v>0.0</v>
      </c>
      <c r="N735" s="42">
        <v>0.0</v>
      </c>
      <c r="O735" s="42">
        <v>0.0</v>
      </c>
      <c r="P735" s="42">
        <v>0.0</v>
      </c>
      <c r="Q735" s="42">
        <v>0.0</v>
      </c>
    </row>
    <row r="736">
      <c r="A736" s="47">
        <v>46197.0</v>
      </c>
      <c r="B736" s="48">
        <v>0.7347222222222223</v>
      </c>
      <c r="C736" s="37" t="s">
        <v>15</v>
      </c>
      <c r="D736" s="37" t="s">
        <v>87</v>
      </c>
      <c r="E736" s="37" t="s">
        <v>90</v>
      </c>
      <c r="F736" s="38">
        <v>0.0</v>
      </c>
      <c r="G736" s="38">
        <v>0.0</v>
      </c>
      <c r="H736" s="38">
        <v>0.0</v>
      </c>
      <c r="I736" s="38">
        <v>0.0</v>
      </c>
      <c r="J736" s="38">
        <v>0.0</v>
      </c>
      <c r="K736" s="38">
        <v>0.0</v>
      </c>
      <c r="L736" s="38">
        <v>0.0</v>
      </c>
      <c r="M736" s="38">
        <v>0.0</v>
      </c>
      <c r="N736" s="38">
        <v>0.0</v>
      </c>
      <c r="O736" s="38">
        <v>0.0</v>
      </c>
      <c r="P736" s="38">
        <v>0.0</v>
      </c>
      <c r="Q736" s="38">
        <v>0.0</v>
      </c>
    </row>
    <row r="737">
      <c r="A737" s="49">
        <v>46197.0</v>
      </c>
      <c r="B737" s="50">
        <v>0.7347222222222223</v>
      </c>
      <c r="C737" s="41" t="s">
        <v>15</v>
      </c>
      <c r="D737" s="41" t="s">
        <v>87</v>
      </c>
      <c r="E737" s="41" t="s">
        <v>91</v>
      </c>
      <c r="F737" s="42">
        <v>0.0</v>
      </c>
      <c r="G737" s="42">
        <v>0.0</v>
      </c>
      <c r="H737" s="42">
        <v>0.0</v>
      </c>
      <c r="I737" s="42">
        <v>0.0</v>
      </c>
      <c r="J737" s="42">
        <v>0.0</v>
      </c>
      <c r="K737" s="42">
        <v>0.0</v>
      </c>
      <c r="L737" s="42">
        <v>0.0</v>
      </c>
      <c r="M737" s="42">
        <v>0.0</v>
      </c>
      <c r="N737" s="42">
        <v>0.0</v>
      </c>
      <c r="O737" s="42">
        <v>0.0</v>
      </c>
      <c r="P737" s="42">
        <v>0.0</v>
      </c>
      <c r="Q737" s="42">
        <v>0.0</v>
      </c>
    </row>
    <row r="738">
      <c r="A738" s="47">
        <v>46197.0</v>
      </c>
      <c r="B738" s="48">
        <v>0.7347222222222223</v>
      </c>
      <c r="C738" s="37" t="s">
        <v>15</v>
      </c>
      <c r="D738" s="37" t="s">
        <v>87</v>
      </c>
      <c r="E738" s="37" t="s">
        <v>92</v>
      </c>
      <c r="F738" s="38">
        <v>0.0</v>
      </c>
      <c r="G738" s="38">
        <v>0.0</v>
      </c>
      <c r="H738" s="38">
        <v>0.0</v>
      </c>
      <c r="I738" s="38">
        <v>0.0</v>
      </c>
      <c r="J738" s="38">
        <v>0.0</v>
      </c>
      <c r="K738" s="38">
        <v>0.0</v>
      </c>
      <c r="L738" s="38">
        <v>0.0</v>
      </c>
      <c r="M738" s="38">
        <v>0.0</v>
      </c>
      <c r="N738" s="38">
        <v>0.0</v>
      </c>
      <c r="O738" s="38">
        <v>0.0</v>
      </c>
      <c r="P738" s="38">
        <v>0.0</v>
      </c>
      <c r="Q738" s="38">
        <v>0.0</v>
      </c>
    </row>
    <row r="739">
      <c r="A739" s="49">
        <v>46197.0</v>
      </c>
      <c r="B739" s="50">
        <v>0.7347222222222223</v>
      </c>
      <c r="C739" s="41" t="s">
        <v>15</v>
      </c>
      <c r="D739" s="41" t="s">
        <v>87</v>
      </c>
      <c r="E739" s="41" t="s">
        <v>106</v>
      </c>
      <c r="F739" s="42">
        <v>0.0</v>
      </c>
      <c r="G739" s="42">
        <v>0.0</v>
      </c>
      <c r="H739" s="42">
        <v>0.0</v>
      </c>
      <c r="I739" s="42">
        <v>0.0</v>
      </c>
      <c r="J739" s="42">
        <v>0.0</v>
      </c>
      <c r="K739" s="42">
        <v>0.0</v>
      </c>
      <c r="L739" s="42">
        <v>0.0</v>
      </c>
      <c r="M739" s="42">
        <v>0.0</v>
      </c>
      <c r="N739" s="42">
        <v>0.0</v>
      </c>
      <c r="O739" s="42">
        <v>0.0</v>
      </c>
      <c r="P739" s="42">
        <v>0.0</v>
      </c>
      <c r="Q739" s="42">
        <v>0.0</v>
      </c>
    </row>
    <row r="740">
      <c r="A740" s="47">
        <v>46197.0</v>
      </c>
      <c r="B740" s="48">
        <v>0.7347222222222223</v>
      </c>
      <c r="C740" s="37" t="s">
        <v>15</v>
      </c>
      <c r="D740" s="37" t="s">
        <v>87</v>
      </c>
      <c r="E740" s="37" t="s">
        <v>107</v>
      </c>
      <c r="F740" s="38">
        <v>0.0</v>
      </c>
      <c r="G740" s="38">
        <v>0.0</v>
      </c>
      <c r="H740" s="38">
        <v>0.0</v>
      </c>
      <c r="I740" s="38">
        <v>0.0</v>
      </c>
      <c r="J740" s="38">
        <v>0.0</v>
      </c>
      <c r="K740" s="38">
        <v>0.0</v>
      </c>
      <c r="L740" s="38">
        <v>0.0</v>
      </c>
      <c r="M740" s="38">
        <v>0.0</v>
      </c>
      <c r="N740" s="38">
        <v>0.0</v>
      </c>
      <c r="O740" s="38">
        <v>0.0</v>
      </c>
      <c r="P740" s="38">
        <v>0.0</v>
      </c>
      <c r="Q740" s="38">
        <v>0.0</v>
      </c>
    </row>
    <row r="741">
      <c r="A741" s="49">
        <v>46197.0</v>
      </c>
      <c r="B741" s="50">
        <v>0.7347222222222223</v>
      </c>
      <c r="C741" s="41" t="s">
        <v>23</v>
      </c>
      <c r="D741" s="41" t="s">
        <v>93</v>
      </c>
      <c r="E741" s="41" t="s">
        <v>52</v>
      </c>
      <c r="F741" s="42">
        <v>1.0</v>
      </c>
      <c r="G741" s="42">
        <v>1.0</v>
      </c>
      <c r="H741" s="42">
        <v>0.0</v>
      </c>
      <c r="I741" s="42">
        <v>0.0</v>
      </c>
      <c r="J741" s="42">
        <v>0.0</v>
      </c>
      <c r="K741" s="42">
        <v>1.0</v>
      </c>
      <c r="L741" s="42">
        <v>1.0</v>
      </c>
      <c r="M741" s="42">
        <v>0.0</v>
      </c>
      <c r="N741" s="42">
        <v>0.0</v>
      </c>
      <c r="O741" s="42">
        <v>0.0</v>
      </c>
      <c r="P741" s="42">
        <v>1.0</v>
      </c>
      <c r="Q741" s="42">
        <v>1.0</v>
      </c>
    </row>
    <row r="742">
      <c r="A742" s="47">
        <v>46197.0</v>
      </c>
      <c r="B742" s="48">
        <v>0.7347222222222223</v>
      </c>
      <c r="C742" s="37" t="s">
        <v>23</v>
      </c>
      <c r="D742" s="37" t="s">
        <v>93</v>
      </c>
      <c r="E742" s="37" t="s">
        <v>88</v>
      </c>
      <c r="F742" s="38">
        <v>0.0</v>
      </c>
      <c r="G742" s="38">
        <v>0.0</v>
      </c>
      <c r="H742" s="38">
        <v>0.0</v>
      </c>
      <c r="I742" s="38">
        <v>0.0</v>
      </c>
      <c r="J742" s="38">
        <v>0.0</v>
      </c>
      <c r="K742" s="38">
        <v>0.0</v>
      </c>
      <c r="L742" s="38">
        <v>0.0</v>
      </c>
      <c r="M742" s="38">
        <v>0.0</v>
      </c>
      <c r="N742" s="38">
        <v>0.0</v>
      </c>
      <c r="O742" s="38">
        <v>0.0</v>
      </c>
      <c r="P742" s="38">
        <v>0.0</v>
      </c>
      <c r="Q742" s="38">
        <v>0.0</v>
      </c>
    </row>
    <row r="743">
      <c r="A743" s="49">
        <v>46197.0</v>
      </c>
      <c r="B743" s="50">
        <v>0.7347222222222223</v>
      </c>
      <c r="C743" s="41" t="s">
        <v>23</v>
      </c>
      <c r="D743" s="41" t="s">
        <v>93</v>
      </c>
      <c r="E743" s="41" t="s">
        <v>89</v>
      </c>
      <c r="F743" s="42">
        <v>0.0</v>
      </c>
      <c r="G743" s="42">
        <v>0.0</v>
      </c>
      <c r="H743" s="42">
        <v>0.0</v>
      </c>
      <c r="I743" s="42">
        <v>0.0</v>
      </c>
      <c r="J743" s="42">
        <v>0.0</v>
      </c>
      <c r="K743" s="42">
        <v>0.0</v>
      </c>
      <c r="L743" s="42">
        <v>0.0</v>
      </c>
      <c r="M743" s="42">
        <v>0.0</v>
      </c>
      <c r="N743" s="42">
        <v>0.0</v>
      </c>
      <c r="O743" s="42">
        <v>0.0</v>
      </c>
      <c r="P743" s="42">
        <v>0.0</v>
      </c>
      <c r="Q743" s="42">
        <v>0.0</v>
      </c>
    </row>
    <row r="744">
      <c r="A744" s="47">
        <v>46197.0</v>
      </c>
      <c r="B744" s="48">
        <v>0.7347222222222223</v>
      </c>
      <c r="C744" s="37" t="s">
        <v>23</v>
      </c>
      <c r="D744" s="37" t="s">
        <v>93</v>
      </c>
      <c r="E744" s="37" t="s">
        <v>50</v>
      </c>
      <c r="F744" s="38">
        <v>0.0</v>
      </c>
      <c r="G744" s="38">
        <v>0.0</v>
      </c>
      <c r="H744" s="38">
        <v>0.0</v>
      </c>
      <c r="I744" s="38">
        <v>0.0</v>
      </c>
      <c r="J744" s="38">
        <v>0.0</v>
      </c>
      <c r="K744" s="38">
        <v>0.0</v>
      </c>
      <c r="L744" s="38">
        <v>0.0</v>
      </c>
      <c r="M744" s="38">
        <v>0.0</v>
      </c>
      <c r="N744" s="38">
        <v>0.0</v>
      </c>
      <c r="O744" s="38">
        <v>0.0</v>
      </c>
      <c r="P744" s="38">
        <v>0.0</v>
      </c>
      <c r="Q744" s="38">
        <v>0.0</v>
      </c>
    </row>
    <row r="745">
      <c r="A745" s="49">
        <v>46197.0</v>
      </c>
      <c r="B745" s="50">
        <v>0.7347222222222223</v>
      </c>
      <c r="C745" s="41" t="s">
        <v>23</v>
      </c>
      <c r="D745" s="41" t="s">
        <v>93</v>
      </c>
      <c r="E745" s="41" t="s">
        <v>90</v>
      </c>
      <c r="F745" s="42">
        <v>0.0</v>
      </c>
      <c r="G745" s="42">
        <v>0.0</v>
      </c>
      <c r="H745" s="42">
        <v>0.0</v>
      </c>
      <c r="I745" s="42">
        <v>0.0</v>
      </c>
      <c r="J745" s="42">
        <v>0.0</v>
      </c>
      <c r="K745" s="42">
        <v>0.0</v>
      </c>
      <c r="L745" s="42">
        <v>0.0</v>
      </c>
      <c r="M745" s="42">
        <v>0.0</v>
      </c>
      <c r="N745" s="42">
        <v>0.0</v>
      </c>
      <c r="O745" s="42">
        <v>0.0</v>
      </c>
      <c r="P745" s="42">
        <v>0.0</v>
      </c>
      <c r="Q745" s="42">
        <v>0.0</v>
      </c>
    </row>
    <row r="746">
      <c r="A746" s="47">
        <v>46197.0</v>
      </c>
      <c r="B746" s="48">
        <v>0.7347222222222223</v>
      </c>
      <c r="C746" s="37" t="s">
        <v>23</v>
      </c>
      <c r="D746" s="37" t="s">
        <v>93</v>
      </c>
      <c r="E746" s="37" t="s">
        <v>91</v>
      </c>
      <c r="F746" s="38">
        <v>0.0</v>
      </c>
      <c r="G746" s="38">
        <v>0.0</v>
      </c>
      <c r="H746" s="38">
        <v>0.0</v>
      </c>
      <c r="I746" s="38">
        <v>0.0</v>
      </c>
      <c r="J746" s="38">
        <v>0.0</v>
      </c>
      <c r="K746" s="38">
        <v>0.0</v>
      </c>
      <c r="L746" s="38">
        <v>0.0</v>
      </c>
      <c r="M746" s="38">
        <v>0.0</v>
      </c>
      <c r="N746" s="38">
        <v>0.0</v>
      </c>
      <c r="O746" s="38">
        <v>0.0</v>
      </c>
      <c r="P746" s="38">
        <v>0.0</v>
      </c>
      <c r="Q746" s="38">
        <v>0.0</v>
      </c>
    </row>
    <row r="747">
      <c r="A747" s="49">
        <v>46197.0</v>
      </c>
      <c r="B747" s="50">
        <v>0.7347222222222223</v>
      </c>
      <c r="C747" s="41" t="s">
        <v>23</v>
      </c>
      <c r="D747" s="41" t="s">
        <v>93</v>
      </c>
      <c r="E747" s="41" t="s">
        <v>92</v>
      </c>
      <c r="F747" s="42">
        <v>0.0</v>
      </c>
      <c r="G747" s="42">
        <v>0.0</v>
      </c>
      <c r="H747" s="42">
        <v>0.0</v>
      </c>
      <c r="I747" s="42">
        <v>0.0</v>
      </c>
      <c r="J747" s="42">
        <v>0.0</v>
      </c>
      <c r="K747" s="42">
        <v>0.0</v>
      </c>
      <c r="L747" s="42">
        <v>0.0</v>
      </c>
      <c r="M747" s="42">
        <v>0.0</v>
      </c>
      <c r="N747" s="42">
        <v>0.0</v>
      </c>
      <c r="O747" s="42">
        <v>0.0</v>
      </c>
      <c r="P747" s="42">
        <v>0.0</v>
      </c>
      <c r="Q747" s="42">
        <v>0.0</v>
      </c>
    </row>
    <row r="748">
      <c r="A748" s="47">
        <v>46197.0</v>
      </c>
      <c r="B748" s="48">
        <v>0.7347222222222223</v>
      </c>
      <c r="C748" s="37" t="s">
        <v>23</v>
      </c>
      <c r="D748" s="37" t="s">
        <v>93</v>
      </c>
      <c r="E748" s="37" t="s">
        <v>106</v>
      </c>
      <c r="F748" s="38">
        <v>0.0</v>
      </c>
      <c r="G748" s="38">
        <v>0.0</v>
      </c>
      <c r="H748" s="38">
        <v>0.0</v>
      </c>
      <c r="I748" s="38">
        <v>0.0</v>
      </c>
      <c r="J748" s="38">
        <v>0.0</v>
      </c>
      <c r="K748" s="38">
        <v>0.0</v>
      </c>
      <c r="L748" s="38">
        <v>0.0</v>
      </c>
      <c r="M748" s="38">
        <v>0.0</v>
      </c>
      <c r="N748" s="38">
        <v>0.0</v>
      </c>
      <c r="O748" s="38">
        <v>0.0</v>
      </c>
      <c r="P748" s="38">
        <v>0.0</v>
      </c>
      <c r="Q748" s="38">
        <v>0.0</v>
      </c>
    </row>
    <row r="749">
      <c r="A749" s="49">
        <v>46197.0</v>
      </c>
      <c r="B749" s="50">
        <v>0.7347222222222223</v>
      </c>
      <c r="C749" s="41" t="s">
        <v>23</v>
      </c>
      <c r="D749" s="41" t="s">
        <v>93</v>
      </c>
      <c r="E749" s="41" t="s">
        <v>107</v>
      </c>
      <c r="F749" s="42">
        <v>0.0</v>
      </c>
      <c r="G749" s="42">
        <v>0.0</v>
      </c>
      <c r="H749" s="42">
        <v>0.0</v>
      </c>
      <c r="I749" s="42">
        <v>0.0</v>
      </c>
      <c r="J749" s="42">
        <v>0.0</v>
      </c>
      <c r="K749" s="42">
        <v>0.0</v>
      </c>
      <c r="L749" s="42">
        <v>0.0</v>
      </c>
      <c r="M749" s="42">
        <v>0.0</v>
      </c>
      <c r="N749" s="42">
        <v>0.0</v>
      </c>
      <c r="O749" s="42">
        <v>0.0</v>
      </c>
      <c r="P749" s="42">
        <v>0.0</v>
      </c>
      <c r="Q749" s="42">
        <v>0.0</v>
      </c>
    </row>
    <row r="750">
      <c r="A750" s="47">
        <v>46197.0</v>
      </c>
      <c r="B750" s="48">
        <v>0.7347222222222223</v>
      </c>
      <c r="C750" s="37" t="s">
        <v>29</v>
      </c>
      <c r="D750" s="37" t="s">
        <v>94</v>
      </c>
      <c r="E750" s="37" t="s">
        <v>52</v>
      </c>
      <c r="F750" s="38">
        <v>6.0</v>
      </c>
      <c r="G750" s="38">
        <v>3.0</v>
      </c>
      <c r="H750" s="38">
        <v>0.0</v>
      </c>
      <c r="I750" s="38">
        <v>0.0</v>
      </c>
      <c r="J750" s="38">
        <v>0.0</v>
      </c>
      <c r="K750" s="38">
        <v>6.0</v>
      </c>
      <c r="L750" s="38">
        <v>6.0</v>
      </c>
      <c r="M750" s="38">
        <v>0.0</v>
      </c>
      <c r="N750" s="38">
        <v>0.0</v>
      </c>
      <c r="O750" s="38">
        <v>0.0</v>
      </c>
      <c r="P750" s="38">
        <v>3.0</v>
      </c>
      <c r="Q750" s="38">
        <v>3.0</v>
      </c>
    </row>
    <row r="751">
      <c r="A751" s="49">
        <v>46197.0</v>
      </c>
      <c r="B751" s="50">
        <v>0.7347222222222223</v>
      </c>
      <c r="C751" s="41" t="s">
        <v>29</v>
      </c>
      <c r="D751" s="41" t="s">
        <v>94</v>
      </c>
      <c r="E751" s="41" t="s">
        <v>88</v>
      </c>
      <c r="F751" s="42">
        <v>0.0</v>
      </c>
      <c r="G751" s="42">
        <v>0.0</v>
      </c>
      <c r="H751" s="42">
        <v>0.0</v>
      </c>
      <c r="I751" s="42">
        <v>0.0</v>
      </c>
      <c r="J751" s="42">
        <v>0.0</v>
      </c>
      <c r="K751" s="42">
        <v>0.0</v>
      </c>
      <c r="L751" s="42">
        <v>0.0</v>
      </c>
      <c r="M751" s="42">
        <v>0.0</v>
      </c>
      <c r="N751" s="42">
        <v>0.0</v>
      </c>
      <c r="O751" s="42">
        <v>0.0</v>
      </c>
      <c r="P751" s="42">
        <v>0.0</v>
      </c>
      <c r="Q751" s="42">
        <v>0.0</v>
      </c>
    </row>
    <row r="752">
      <c r="A752" s="47">
        <v>46197.0</v>
      </c>
      <c r="B752" s="48">
        <v>0.7347222222222223</v>
      </c>
      <c r="C752" s="37" t="s">
        <v>29</v>
      </c>
      <c r="D752" s="37" t="s">
        <v>94</v>
      </c>
      <c r="E752" s="37" t="s">
        <v>89</v>
      </c>
      <c r="F752" s="38">
        <v>1.0</v>
      </c>
      <c r="G752" s="38">
        <v>0.0</v>
      </c>
      <c r="H752" s="38">
        <v>0.0</v>
      </c>
      <c r="I752" s="38">
        <v>0.0</v>
      </c>
      <c r="J752" s="38">
        <v>0.0</v>
      </c>
      <c r="K752" s="38">
        <v>1.0</v>
      </c>
      <c r="L752" s="38">
        <v>1.0</v>
      </c>
      <c r="M752" s="38">
        <v>0.0</v>
      </c>
      <c r="N752" s="38">
        <v>0.0</v>
      </c>
      <c r="O752" s="38">
        <v>0.0</v>
      </c>
      <c r="P752" s="38">
        <v>0.0</v>
      </c>
      <c r="Q752" s="38">
        <v>0.0</v>
      </c>
    </row>
    <row r="753">
      <c r="A753" s="49">
        <v>46197.0</v>
      </c>
      <c r="B753" s="50">
        <v>0.7347222222222223</v>
      </c>
      <c r="C753" s="41" t="s">
        <v>29</v>
      </c>
      <c r="D753" s="41" t="s">
        <v>94</v>
      </c>
      <c r="E753" s="41" t="s">
        <v>50</v>
      </c>
      <c r="F753" s="42">
        <v>0.0</v>
      </c>
      <c r="G753" s="42">
        <v>0.0</v>
      </c>
      <c r="H753" s="42">
        <v>0.0</v>
      </c>
      <c r="I753" s="42">
        <v>0.0</v>
      </c>
      <c r="J753" s="42">
        <v>0.0</v>
      </c>
      <c r="K753" s="42">
        <v>0.0</v>
      </c>
      <c r="L753" s="42">
        <v>0.0</v>
      </c>
      <c r="M753" s="42">
        <v>0.0</v>
      </c>
      <c r="N753" s="42">
        <v>0.0</v>
      </c>
      <c r="O753" s="42">
        <v>0.0</v>
      </c>
      <c r="P753" s="42">
        <v>0.0</v>
      </c>
      <c r="Q753" s="42">
        <v>0.0</v>
      </c>
    </row>
    <row r="754">
      <c r="A754" s="47">
        <v>46197.0</v>
      </c>
      <c r="B754" s="48">
        <v>0.7347222222222223</v>
      </c>
      <c r="C754" s="37" t="s">
        <v>29</v>
      </c>
      <c r="D754" s="37" t="s">
        <v>94</v>
      </c>
      <c r="E754" s="37" t="s">
        <v>90</v>
      </c>
      <c r="F754" s="38">
        <v>0.0</v>
      </c>
      <c r="G754" s="38">
        <v>0.0</v>
      </c>
      <c r="H754" s="38">
        <v>0.0</v>
      </c>
      <c r="I754" s="38">
        <v>0.0</v>
      </c>
      <c r="J754" s="38">
        <v>0.0</v>
      </c>
      <c r="K754" s="38">
        <v>0.0</v>
      </c>
      <c r="L754" s="38">
        <v>0.0</v>
      </c>
      <c r="M754" s="38">
        <v>0.0</v>
      </c>
      <c r="N754" s="38">
        <v>0.0</v>
      </c>
      <c r="O754" s="38">
        <v>0.0</v>
      </c>
      <c r="P754" s="38">
        <v>0.0</v>
      </c>
      <c r="Q754" s="38">
        <v>0.0</v>
      </c>
    </row>
    <row r="755">
      <c r="A755" s="49">
        <v>46197.0</v>
      </c>
      <c r="B755" s="50">
        <v>0.7347222222222223</v>
      </c>
      <c r="C755" s="41" t="s">
        <v>29</v>
      </c>
      <c r="D755" s="41" t="s">
        <v>94</v>
      </c>
      <c r="E755" s="41" t="s">
        <v>91</v>
      </c>
      <c r="F755" s="42">
        <v>0.0</v>
      </c>
      <c r="G755" s="42">
        <v>0.0</v>
      </c>
      <c r="H755" s="42">
        <v>0.0</v>
      </c>
      <c r="I755" s="42">
        <v>0.0</v>
      </c>
      <c r="J755" s="42">
        <v>0.0</v>
      </c>
      <c r="K755" s="42">
        <v>0.0</v>
      </c>
      <c r="L755" s="42">
        <v>0.0</v>
      </c>
      <c r="M755" s="42">
        <v>0.0</v>
      </c>
      <c r="N755" s="42">
        <v>0.0</v>
      </c>
      <c r="O755" s="42">
        <v>0.0</v>
      </c>
      <c r="P755" s="42">
        <v>0.0</v>
      </c>
      <c r="Q755" s="42">
        <v>0.0</v>
      </c>
    </row>
    <row r="756">
      <c r="A756" s="47">
        <v>46197.0</v>
      </c>
      <c r="B756" s="48">
        <v>0.7347222222222223</v>
      </c>
      <c r="C756" s="37" t="s">
        <v>29</v>
      </c>
      <c r="D756" s="37" t="s">
        <v>94</v>
      </c>
      <c r="E756" s="37" t="s">
        <v>92</v>
      </c>
      <c r="F756" s="38">
        <v>0.0</v>
      </c>
      <c r="G756" s="38">
        <v>0.0</v>
      </c>
      <c r="H756" s="38">
        <v>0.0</v>
      </c>
      <c r="I756" s="38">
        <v>0.0</v>
      </c>
      <c r="J756" s="38">
        <v>0.0</v>
      </c>
      <c r="K756" s="38">
        <v>0.0</v>
      </c>
      <c r="L756" s="38">
        <v>0.0</v>
      </c>
      <c r="M756" s="38">
        <v>0.0</v>
      </c>
      <c r="N756" s="38">
        <v>0.0</v>
      </c>
      <c r="O756" s="38">
        <v>0.0</v>
      </c>
      <c r="P756" s="38">
        <v>0.0</v>
      </c>
      <c r="Q756" s="38">
        <v>0.0</v>
      </c>
    </row>
    <row r="757">
      <c r="A757" s="49">
        <v>46197.0</v>
      </c>
      <c r="B757" s="50">
        <v>0.7347222222222223</v>
      </c>
      <c r="C757" s="41" t="s">
        <v>29</v>
      </c>
      <c r="D757" s="41" t="s">
        <v>94</v>
      </c>
      <c r="E757" s="41" t="s">
        <v>106</v>
      </c>
      <c r="F757" s="42">
        <v>1.0</v>
      </c>
      <c r="G757" s="42">
        <v>0.0</v>
      </c>
      <c r="H757" s="42">
        <v>0.0</v>
      </c>
      <c r="I757" s="42">
        <v>0.0</v>
      </c>
      <c r="J757" s="42">
        <v>1.0</v>
      </c>
      <c r="K757" s="42">
        <v>1.0</v>
      </c>
      <c r="L757" s="42">
        <v>1.0</v>
      </c>
      <c r="M757" s="42">
        <v>0.0</v>
      </c>
      <c r="N757" s="42">
        <v>0.0</v>
      </c>
      <c r="O757" s="42">
        <v>0.0</v>
      </c>
      <c r="P757" s="42">
        <v>0.0</v>
      </c>
      <c r="Q757" s="42">
        <v>0.0</v>
      </c>
    </row>
    <row r="758">
      <c r="A758" s="47">
        <v>46197.0</v>
      </c>
      <c r="B758" s="48">
        <v>0.7347222222222223</v>
      </c>
      <c r="C758" s="37" t="s">
        <v>29</v>
      </c>
      <c r="D758" s="37" t="s">
        <v>94</v>
      </c>
      <c r="E758" s="37" t="s">
        <v>107</v>
      </c>
      <c r="F758" s="38">
        <v>0.0</v>
      </c>
      <c r="G758" s="38">
        <v>0.0</v>
      </c>
      <c r="H758" s="38">
        <v>0.0</v>
      </c>
      <c r="I758" s="38">
        <v>0.0</v>
      </c>
      <c r="J758" s="38">
        <v>0.0</v>
      </c>
      <c r="K758" s="38">
        <v>0.0</v>
      </c>
      <c r="L758" s="38">
        <v>0.0</v>
      </c>
      <c r="M758" s="38">
        <v>0.0</v>
      </c>
      <c r="N758" s="38">
        <v>0.0</v>
      </c>
      <c r="O758" s="38">
        <v>0.0</v>
      </c>
      <c r="P758" s="38">
        <v>0.0</v>
      </c>
      <c r="Q758" s="38">
        <v>0.0</v>
      </c>
    </row>
    <row r="759">
      <c r="A759" s="49">
        <v>46197.0</v>
      </c>
      <c r="B759" s="50">
        <v>0.7347222222222223</v>
      </c>
      <c r="C759" s="41" t="s">
        <v>31</v>
      </c>
      <c r="D759" s="41" t="s">
        <v>95</v>
      </c>
      <c r="E759" s="41" t="s">
        <v>52</v>
      </c>
      <c r="F759" s="42">
        <v>0.0</v>
      </c>
      <c r="G759" s="42">
        <v>0.0</v>
      </c>
      <c r="H759" s="42">
        <v>0.0</v>
      </c>
      <c r="I759" s="42">
        <v>0.0</v>
      </c>
      <c r="J759" s="42">
        <v>0.0</v>
      </c>
      <c r="K759" s="42">
        <v>0.0</v>
      </c>
      <c r="L759" s="42">
        <v>0.0</v>
      </c>
      <c r="M759" s="42">
        <v>0.0</v>
      </c>
      <c r="N759" s="42">
        <v>0.0</v>
      </c>
      <c r="O759" s="42">
        <v>0.0</v>
      </c>
      <c r="P759" s="42">
        <v>0.0</v>
      </c>
      <c r="Q759" s="42">
        <v>0.0</v>
      </c>
    </row>
    <row r="760">
      <c r="A760" s="47">
        <v>46197.0</v>
      </c>
      <c r="B760" s="48">
        <v>0.7347222222222223</v>
      </c>
      <c r="C760" s="37" t="s">
        <v>31</v>
      </c>
      <c r="D760" s="37" t="s">
        <v>95</v>
      </c>
      <c r="E760" s="37" t="s">
        <v>88</v>
      </c>
      <c r="F760" s="38">
        <v>0.0</v>
      </c>
      <c r="G760" s="38">
        <v>0.0</v>
      </c>
      <c r="H760" s="38">
        <v>0.0</v>
      </c>
      <c r="I760" s="38">
        <v>0.0</v>
      </c>
      <c r="J760" s="38">
        <v>0.0</v>
      </c>
      <c r="K760" s="38">
        <v>0.0</v>
      </c>
      <c r="L760" s="38">
        <v>0.0</v>
      </c>
      <c r="M760" s="38">
        <v>0.0</v>
      </c>
      <c r="N760" s="38">
        <v>0.0</v>
      </c>
      <c r="O760" s="38">
        <v>0.0</v>
      </c>
      <c r="P760" s="38">
        <v>0.0</v>
      </c>
      <c r="Q760" s="38">
        <v>0.0</v>
      </c>
    </row>
    <row r="761">
      <c r="A761" s="49">
        <v>46197.0</v>
      </c>
      <c r="B761" s="50">
        <v>0.7347222222222223</v>
      </c>
      <c r="C761" s="41" t="s">
        <v>31</v>
      </c>
      <c r="D761" s="41" t="s">
        <v>95</v>
      </c>
      <c r="E761" s="41" t="s">
        <v>89</v>
      </c>
      <c r="F761" s="42">
        <v>0.0</v>
      </c>
      <c r="G761" s="42">
        <v>0.0</v>
      </c>
      <c r="H761" s="42">
        <v>0.0</v>
      </c>
      <c r="I761" s="42">
        <v>0.0</v>
      </c>
      <c r="J761" s="42">
        <v>0.0</v>
      </c>
      <c r="K761" s="42">
        <v>0.0</v>
      </c>
      <c r="L761" s="42">
        <v>0.0</v>
      </c>
      <c r="M761" s="42">
        <v>0.0</v>
      </c>
      <c r="N761" s="42">
        <v>0.0</v>
      </c>
      <c r="O761" s="42">
        <v>0.0</v>
      </c>
      <c r="P761" s="42">
        <v>0.0</v>
      </c>
      <c r="Q761" s="42">
        <v>0.0</v>
      </c>
    </row>
    <row r="762">
      <c r="A762" s="47">
        <v>46197.0</v>
      </c>
      <c r="B762" s="48">
        <v>0.7347222222222223</v>
      </c>
      <c r="C762" s="37" t="s">
        <v>31</v>
      </c>
      <c r="D762" s="37" t="s">
        <v>95</v>
      </c>
      <c r="E762" s="37" t="s">
        <v>50</v>
      </c>
      <c r="F762" s="38">
        <v>1.0</v>
      </c>
      <c r="G762" s="38">
        <v>1.0</v>
      </c>
      <c r="H762" s="38">
        <v>0.0</v>
      </c>
      <c r="I762" s="38">
        <v>0.0</v>
      </c>
      <c r="J762" s="38">
        <v>0.0</v>
      </c>
      <c r="K762" s="38">
        <v>0.0</v>
      </c>
      <c r="L762" s="38">
        <v>0.0</v>
      </c>
      <c r="M762" s="38">
        <v>0.0</v>
      </c>
      <c r="N762" s="38">
        <v>0.0</v>
      </c>
      <c r="O762" s="38">
        <v>0.0</v>
      </c>
      <c r="P762" s="38">
        <v>0.0</v>
      </c>
      <c r="Q762" s="38">
        <v>0.0</v>
      </c>
    </row>
    <row r="763">
      <c r="A763" s="49">
        <v>46197.0</v>
      </c>
      <c r="B763" s="50">
        <v>0.7347222222222223</v>
      </c>
      <c r="C763" s="41" t="s">
        <v>31</v>
      </c>
      <c r="D763" s="41" t="s">
        <v>95</v>
      </c>
      <c r="E763" s="41" t="s">
        <v>90</v>
      </c>
      <c r="F763" s="42">
        <v>0.0</v>
      </c>
      <c r="G763" s="42">
        <v>0.0</v>
      </c>
      <c r="H763" s="42">
        <v>0.0</v>
      </c>
      <c r="I763" s="42">
        <v>0.0</v>
      </c>
      <c r="J763" s="42">
        <v>0.0</v>
      </c>
      <c r="K763" s="42">
        <v>0.0</v>
      </c>
      <c r="L763" s="42">
        <v>0.0</v>
      </c>
      <c r="M763" s="42">
        <v>0.0</v>
      </c>
      <c r="N763" s="42">
        <v>0.0</v>
      </c>
      <c r="O763" s="42">
        <v>0.0</v>
      </c>
      <c r="P763" s="42">
        <v>0.0</v>
      </c>
      <c r="Q763" s="42">
        <v>0.0</v>
      </c>
    </row>
    <row r="764">
      <c r="A764" s="47">
        <v>46197.0</v>
      </c>
      <c r="B764" s="48">
        <v>0.7347222222222223</v>
      </c>
      <c r="C764" s="37" t="s">
        <v>31</v>
      </c>
      <c r="D764" s="37" t="s">
        <v>95</v>
      </c>
      <c r="E764" s="37" t="s">
        <v>91</v>
      </c>
      <c r="F764" s="38">
        <v>0.0</v>
      </c>
      <c r="G764" s="38">
        <v>0.0</v>
      </c>
      <c r="H764" s="38">
        <v>0.0</v>
      </c>
      <c r="I764" s="38">
        <v>0.0</v>
      </c>
      <c r="J764" s="38">
        <v>0.0</v>
      </c>
      <c r="K764" s="38">
        <v>0.0</v>
      </c>
      <c r="L764" s="38">
        <v>0.0</v>
      </c>
      <c r="M764" s="38">
        <v>0.0</v>
      </c>
      <c r="N764" s="38">
        <v>0.0</v>
      </c>
      <c r="O764" s="38">
        <v>0.0</v>
      </c>
      <c r="P764" s="38">
        <v>0.0</v>
      </c>
      <c r="Q764" s="38">
        <v>0.0</v>
      </c>
    </row>
    <row r="765">
      <c r="A765" s="49">
        <v>46197.0</v>
      </c>
      <c r="B765" s="50">
        <v>0.7347222222222223</v>
      </c>
      <c r="C765" s="41" t="s">
        <v>31</v>
      </c>
      <c r="D765" s="41" t="s">
        <v>95</v>
      </c>
      <c r="E765" s="41" t="s">
        <v>92</v>
      </c>
      <c r="F765" s="42">
        <v>0.0</v>
      </c>
      <c r="G765" s="42">
        <v>0.0</v>
      </c>
      <c r="H765" s="42">
        <v>0.0</v>
      </c>
      <c r="I765" s="42">
        <v>0.0</v>
      </c>
      <c r="J765" s="42">
        <v>0.0</v>
      </c>
      <c r="K765" s="42">
        <v>0.0</v>
      </c>
      <c r="L765" s="42">
        <v>0.0</v>
      </c>
      <c r="M765" s="42">
        <v>0.0</v>
      </c>
      <c r="N765" s="42">
        <v>0.0</v>
      </c>
      <c r="O765" s="42">
        <v>0.0</v>
      </c>
      <c r="P765" s="42">
        <v>0.0</v>
      </c>
      <c r="Q765" s="42">
        <v>0.0</v>
      </c>
    </row>
    <row r="766">
      <c r="A766" s="47">
        <v>46197.0</v>
      </c>
      <c r="B766" s="48">
        <v>0.7347222222222223</v>
      </c>
      <c r="C766" s="37" t="s">
        <v>31</v>
      </c>
      <c r="D766" s="37" t="s">
        <v>95</v>
      </c>
      <c r="E766" s="37" t="s">
        <v>106</v>
      </c>
      <c r="F766" s="38">
        <v>0.0</v>
      </c>
      <c r="G766" s="38">
        <v>0.0</v>
      </c>
      <c r="H766" s="38">
        <v>0.0</v>
      </c>
      <c r="I766" s="38">
        <v>0.0</v>
      </c>
      <c r="J766" s="38">
        <v>0.0</v>
      </c>
      <c r="K766" s="38">
        <v>0.0</v>
      </c>
      <c r="L766" s="38">
        <v>0.0</v>
      </c>
      <c r="M766" s="38">
        <v>0.0</v>
      </c>
      <c r="N766" s="38">
        <v>0.0</v>
      </c>
      <c r="O766" s="38">
        <v>0.0</v>
      </c>
      <c r="P766" s="38">
        <v>0.0</v>
      </c>
      <c r="Q766" s="38">
        <v>0.0</v>
      </c>
    </row>
    <row r="767">
      <c r="A767" s="49">
        <v>46197.0</v>
      </c>
      <c r="B767" s="50">
        <v>0.7347222222222223</v>
      </c>
      <c r="C767" s="41" t="s">
        <v>31</v>
      </c>
      <c r="D767" s="41" t="s">
        <v>95</v>
      </c>
      <c r="E767" s="41" t="s">
        <v>107</v>
      </c>
      <c r="F767" s="42">
        <v>0.0</v>
      </c>
      <c r="G767" s="42">
        <v>0.0</v>
      </c>
      <c r="H767" s="42">
        <v>0.0</v>
      </c>
      <c r="I767" s="42">
        <v>0.0</v>
      </c>
      <c r="J767" s="42">
        <v>0.0</v>
      </c>
      <c r="K767" s="42">
        <v>0.0</v>
      </c>
      <c r="L767" s="42">
        <v>0.0</v>
      </c>
      <c r="M767" s="42">
        <v>0.0</v>
      </c>
      <c r="N767" s="42">
        <v>0.0</v>
      </c>
      <c r="O767" s="42">
        <v>0.0</v>
      </c>
      <c r="P767" s="42">
        <v>0.0</v>
      </c>
      <c r="Q767" s="42">
        <v>0.0</v>
      </c>
    </row>
    <row r="768">
      <c r="A768" s="51">
        <v>46197.0</v>
      </c>
      <c r="B768" s="52">
        <v>0.7347222222222223</v>
      </c>
      <c r="C768" s="45" t="s">
        <v>96</v>
      </c>
      <c r="D768" s="45" t="s">
        <v>75</v>
      </c>
      <c r="E768" s="45" t="s">
        <v>52</v>
      </c>
      <c r="F768" s="46">
        <v>10.0</v>
      </c>
      <c r="G768" s="46">
        <v>6.0</v>
      </c>
      <c r="H768" s="46">
        <v>0.0</v>
      </c>
      <c r="I768" s="46">
        <v>0.0</v>
      </c>
      <c r="J768" s="46">
        <v>1.0</v>
      </c>
      <c r="K768" s="46">
        <v>9.0</v>
      </c>
      <c r="L768" s="46">
        <v>10.0</v>
      </c>
      <c r="M768" s="46">
        <v>0.0</v>
      </c>
      <c r="N768" s="46">
        <v>0.0</v>
      </c>
      <c r="O768" s="46">
        <v>1.0</v>
      </c>
      <c r="P768" s="46">
        <v>5.0</v>
      </c>
      <c r="Q768" s="46">
        <v>6.0</v>
      </c>
    </row>
    <row r="769">
      <c r="A769" s="51">
        <v>46197.0</v>
      </c>
      <c r="B769" s="52">
        <v>0.7347222222222223</v>
      </c>
      <c r="C769" s="45" t="s">
        <v>96</v>
      </c>
      <c r="D769" s="45" t="s">
        <v>75</v>
      </c>
      <c r="E769" s="45" t="s">
        <v>88</v>
      </c>
      <c r="F769" s="46">
        <v>0.0</v>
      </c>
      <c r="G769" s="46">
        <v>0.0</v>
      </c>
      <c r="H769" s="46">
        <v>0.0</v>
      </c>
      <c r="I769" s="46">
        <v>0.0</v>
      </c>
      <c r="J769" s="46">
        <v>0.0</v>
      </c>
      <c r="K769" s="46">
        <v>0.0</v>
      </c>
      <c r="L769" s="46">
        <v>0.0</v>
      </c>
      <c r="M769" s="46">
        <v>0.0</v>
      </c>
      <c r="N769" s="46">
        <v>0.0</v>
      </c>
      <c r="O769" s="46">
        <v>0.0</v>
      </c>
      <c r="P769" s="46">
        <v>0.0</v>
      </c>
      <c r="Q769" s="46">
        <v>0.0</v>
      </c>
    </row>
    <row r="770">
      <c r="A770" s="51">
        <v>46197.0</v>
      </c>
      <c r="B770" s="52">
        <v>0.7347222222222223</v>
      </c>
      <c r="C770" s="45" t="s">
        <v>96</v>
      </c>
      <c r="D770" s="45" t="s">
        <v>75</v>
      </c>
      <c r="E770" s="45" t="s">
        <v>89</v>
      </c>
      <c r="F770" s="46">
        <v>1.0</v>
      </c>
      <c r="G770" s="46">
        <v>0.0</v>
      </c>
      <c r="H770" s="46">
        <v>0.0</v>
      </c>
      <c r="I770" s="46">
        <v>0.0</v>
      </c>
      <c r="J770" s="46">
        <v>0.0</v>
      </c>
      <c r="K770" s="46">
        <v>1.0</v>
      </c>
      <c r="L770" s="46">
        <v>1.0</v>
      </c>
      <c r="M770" s="46">
        <v>0.0</v>
      </c>
      <c r="N770" s="46">
        <v>0.0</v>
      </c>
      <c r="O770" s="46">
        <v>0.0</v>
      </c>
      <c r="P770" s="46">
        <v>0.0</v>
      </c>
      <c r="Q770" s="46">
        <v>0.0</v>
      </c>
    </row>
    <row r="771">
      <c r="A771" s="51">
        <v>46197.0</v>
      </c>
      <c r="B771" s="52">
        <v>0.7347222222222223</v>
      </c>
      <c r="C771" s="45" t="s">
        <v>96</v>
      </c>
      <c r="D771" s="45" t="s">
        <v>75</v>
      </c>
      <c r="E771" s="45" t="s">
        <v>50</v>
      </c>
      <c r="F771" s="46">
        <v>1.0</v>
      </c>
      <c r="G771" s="46">
        <v>1.0</v>
      </c>
      <c r="H771" s="46">
        <v>0.0</v>
      </c>
      <c r="I771" s="46">
        <v>0.0</v>
      </c>
      <c r="J771" s="46">
        <v>0.0</v>
      </c>
      <c r="K771" s="46">
        <v>0.0</v>
      </c>
      <c r="L771" s="46">
        <v>0.0</v>
      </c>
      <c r="M771" s="46">
        <v>0.0</v>
      </c>
      <c r="N771" s="46">
        <v>0.0</v>
      </c>
      <c r="O771" s="46">
        <v>0.0</v>
      </c>
      <c r="P771" s="46">
        <v>0.0</v>
      </c>
      <c r="Q771" s="46">
        <v>0.0</v>
      </c>
    </row>
    <row r="772">
      <c r="A772" s="51">
        <v>46197.0</v>
      </c>
      <c r="B772" s="52">
        <v>0.7347222222222223</v>
      </c>
      <c r="C772" s="45" t="s">
        <v>96</v>
      </c>
      <c r="D772" s="45" t="s">
        <v>75</v>
      </c>
      <c r="E772" s="45" t="s">
        <v>90</v>
      </c>
      <c r="F772" s="46">
        <v>0.0</v>
      </c>
      <c r="G772" s="46">
        <v>0.0</v>
      </c>
      <c r="H772" s="46">
        <v>0.0</v>
      </c>
      <c r="I772" s="46">
        <v>0.0</v>
      </c>
      <c r="J772" s="46">
        <v>0.0</v>
      </c>
      <c r="K772" s="46">
        <v>0.0</v>
      </c>
      <c r="L772" s="46">
        <v>0.0</v>
      </c>
      <c r="M772" s="46">
        <v>0.0</v>
      </c>
      <c r="N772" s="46">
        <v>0.0</v>
      </c>
      <c r="O772" s="46">
        <v>0.0</v>
      </c>
      <c r="P772" s="46">
        <v>0.0</v>
      </c>
      <c r="Q772" s="46">
        <v>0.0</v>
      </c>
    </row>
    <row r="773">
      <c r="A773" s="51">
        <v>46197.0</v>
      </c>
      <c r="B773" s="52">
        <v>0.7347222222222223</v>
      </c>
      <c r="C773" s="45" t="s">
        <v>96</v>
      </c>
      <c r="D773" s="45" t="s">
        <v>75</v>
      </c>
      <c r="E773" s="45" t="s">
        <v>91</v>
      </c>
      <c r="F773" s="46">
        <v>0.0</v>
      </c>
      <c r="G773" s="46">
        <v>0.0</v>
      </c>
      <c r="H773" s="46">
        <v>0.0</v>
      </c>
      <c r="I773" s="46">
        <v>0.0</v>
      </c>
      <c r="J773" s="46">
        <v>0.0</v>
      </c>
      <c r="K773" s="46">
        <v>0.0</v>
      </c>
      <c r="L773" s="46">
        <v>0.0</v>
      </c>
      <c r="M773" s="46">
        <v>0.0</v>
      </c>
      <c r="N773" s="46">
        <v>0.0</v>
      </c>
      <c r="O773" s="46">
        <v>0.0</v>
      </c>
      <c r="P773" s="46">
        <v>0.0</v>
      </c>
      <c r="Q773" s="46">
        <v>0.0</v>
      </c>
    </row>
    <row r="774">
      <c r="A774" s="51">
        <v>46197.0</v>
      </c>
      <c r="B774" s="52">
        <v>0.7347222222222223</v>
      </c>
      <c r="C774" s="45" t="s">
        <v>96</v>
      </c>
      <c r="D774" s="45" t="s">
        <v>75</v>
      </c>
      <c r="E774" s="45" t="s">
        <v>92</v>
      </c>
      <c r="F774" s="46">
        <v>0.0</v>
      </c>
      <c r="G774" s="46">
        <v>0.0</v>
      </c>
      <c r="H774" s="46">
        <v>0.0</v>
      </c>
      <c r="I774" s="46">
        <v>0.0</v>
      </c>
      <c r="J774" s="46">
        <v>0.0</v>
      </c>
      <c r="K774" s="46">
        <v>0.0</v>
      </c>
      <c r="L774" s="46">
        <v>0.0</v>
      </c>
      <c r="M774" s="46">
        <v>0.0</v>
      </c>
      <c r="N774" s="46">
        <v>0.0</v>
      </c>
      <c r="O774" s="46">
        <v>0.0</v>
      </c>
      <c r="P774" s="46">
        <v>0.0</v>
      </c>
      <c r="Q774" s="46">
        <v>0.0</v>
      </c>
    </row>
    <row r="775">
      <c r="A775" s="51">
        <v>46197.0</v>
      </c>
      <c r="B775" s="52">
        <v>0.7347222222222223</v>
      </c>
      <c r="C775" s="45" t="s">
        <v>96</v>
      </c>
      <c r="D775" s="45" t="s">
        <v>75</v>
      </c>
      <c r="E775" s="45" t="s">
        <v>106</v>
      </c>
      <c r="F775" s="46">
        <v>1.0</v>
      </c>
      <c r="G775" s="46">
        <v>0.0</v>
      </c>
      <c r="H775" s="46">
        <v>0.0</v>
      </c>
      <c r="I775" s="46">
        <v>0.0</v>
      </c>
      <c r="J775" s="46">
        <v>1.0</v>
      </c>
      <c r="K775" s="46">
        <v>1.0</v>
      </c>
      <c r="L775" s="46">
        <v>1.0</v>
      </c>
      <c r="M775" s="46">
        <v>0.0</v>
      </c>
      <c r="N775" s="46">
        <v>0.0</v>
      </c>
      <c r="O775" s="46">
        <v>0.0</v>
      </c>
      <c r="P775" s="46">
        <v>0.0</v>
      </c>
      <c r="Q775" s="46">
        <v>0.0</v>
      </c>
    </row>
    <row r="776">
      <c r="A776" s="51">
        <v>46197.0</v>
      </c>
      <c r="B776" s="52">
        <v>0.7347222222222223</v>
      </c>
      <c r="C776" s="45" t="s">
        <v>96</v>
      </c>
      <c r="D776" s="45" t="s">
        <v>75</v>
      </c>
      <c r="E776" s="45" t="s">
        <v>107</v>
      </c>
      <c r="F776" s="46">
        <v>0.0</v>
      </c>
      <c r="G776" s="46">
        <v>0.0</v>
      </c>
      <c r="H776" s="46">
        <v>0.0</v>
      </c>
      <c r="I776" s="46">
        <v>0.0</v>
      </c>
      <c r="J776" s="46">
        <v>0.0</v>
      </c>
      <c r="K776" s="46">
        <v>0.0</v>
      </c>
      <c r="L776" s="46">
        <v>0.0</v>
      </c>
      <c r="M776" s="46">
        <v>0.0</v>
      </c>
      <c r="N776" s="46">
        <v>0.0</v>
      </c>
      <c r="O776" s="46">
        <v>0.0</v>
      </c>
      <c r="P776" s="46">
        <v>0.0</v>
      </c>
      <c r="Q776" s="46">
        <v>0.0</v>
      </c>
    </row>
    <row r="777">
      <c r="A777" s="49">
        <v>46197.0</v>
      </c>
      <c r="B777" s="50">
        <v>0.7902777777777777</v>
      </c>
      <c r="C777" s="41" t="s">
        <v>15</v>
      </c>
      <c r="D777" s="41" t="s">
        <v>87</v>
      </c>
      <c r="E777" s="41" t="s">
        <v>52</v>
      </c>
      <c r="F777" s="42">
        <v>3.0</v>
      </c>
      <c r="G777" s="42">
        <v>2.0</v>
      </c>
      <c r="H777" s="42">
        <v>0.0</v>
      </c>
      <c r="I777" s="42">
        <v>0.0</v>
      </c>
      <c r="J777" s="42">
        <v>1.0</v>
      </c>
      <c r="K777" s="42">
        <v>2.0</v>
      </c>
      <c r="L777" s="42">
        <v>3.0</v>
      </c>
      <c r="M777" s="42">
        <v>0.0</v>
      </c>
      <c r="N777" s="42">
        <v>0.0</v>
      </c>
      <c r="O777" s="42">
        <v>1.0</v>
      </c>
      <c r="P777" s="42">
        <v>1.0</v>
      </c>
      <c r="Q777" s="42">
        <v>2.0</v>
      </c>
    </row>
    <row r="778">
      <c r="A778" s="47">
        <v>46197.0</v>
      </c>
      <c r="B778" s="48">
        <v>0.7902777777777777</v>
      </c>
      <c r="C778" s="37" t="s">
        <v>15</v>
      </c>
      <c r="D778" s="37" t="s">
        <v>87</v>
      </c>
      <c r="E778" s="37" t="s">
        <v>88</v>
      </c>
      <c r="F778" s="38">
        <v>0.0</v>
      </c>
      <c r="G778" s="38">
        <v>0.0</v>
      </c>
      <c r="H778" s="38">
        <v>0.0</v>
      </c>
      <c r="I778" s="38">
        <v>0.0</v>
      </c>
      <c r="J778" s="38">
        <v>0.0</v>
      </c>
      <c r="K778" s="38">
        <v>0.0</v>
      </c>
      <c r="L778" s="38">
        <v>0.0</v>
      </c>
      <c r="M778" s="38">
        <v>0.0</v>
      </c>
      <c r="N778" s="38">
        <v>0.0</v>
      </c>
      <c r="O778" s="38">
        <v>0.0</v>
      </c>
      <c r="P778" s="38">
        <v>0.0</v>
      </c>
      <c r="Q778" s="38">
        <v>0.0</v>
      </c>
    </row>
    <row r="779">
      <c r="A779" s="49">
        <v>46197.0</v>
      </c>
      <c r="B779" s="50">
        <v>0.7902777777777777</v>
      </c>
      <c r="C779" s="41" t="s">
        <v>15</v>
      </c>
      <c r="D779" s="41" t="s">
        <v>87</v>
      </c>
      <c r="E779" s="41" t="s">
        <v>89</v>
      </c>
      <c r="F779" s="42">
        <v>0.0</v>
      </c>
      <c r="G779" s="42">
        <v>0.0</v>
      </c>
      <c r="H779" s="42">
        <v>0.0</v>
      </c>
      <c r="I779" s="42">
        <v>0.0</v>
      </c>
      <c r="J779" s="42">
        <v>0.0</v>
      </c>
      <c r="K779" s="42">
        <v>0.0</v>
      </c>
      <c r="L779" s="42">
        <v>0.0</v>
      </c>
      <c r="M779" s="42">
        <v>0.0</v>
      </c>
      <c r="N779" s="42">
        <v>0.0</v>
      </c>
      <c r="O779" s="42">
        <v>0.0</v>
      </c>
      <c r="P779" s="42">
        <v>0.0</v>
      </c>
      <c r="Q779" s="42">
        <v>0.0</v>
      </c>
    </row>
    <row r="780">
      <c r="A780" s="47">
        <v>46197.0</v>
      </c>
      <c r="B780" s="48">
        <v>0.7902777777777777</v>
      </c>
      <c r="C780" s="37" t="s">
        <v>15</v>
      </c>
      <c r="D780" s="37" t="s">
        <v>87</v>
      </c>
      <c r="E780" s="37" t="s">
        <v>50</v>
      </c>
      <c r="F780" s="38">
        <v>0.0</v>
      </c>
      <c r="G780" s="38">
        <v>0.0</v>
      </c>
      <c r="H780" s="38">
        <v>0.0</v>
      </c>
      <c r="I780" s="38">
        <v>0.0</v>
      </c>
      <c r="J780" s="38">
        <v>0.0</v>
      </c>
      <c r="K780" s="38">
        <v>0.0</v>
      </c>
      <c r="L780" s="38">
        <v>0.0</v>
      </c>
      <c r="M780" s="38">
        <v>0.0</v>
      </c>
      <c r="N780" s="38">
        <v>0.0</v>
      </c>
      <c r="O780" s="38">
        <v>0.0</v>
      </c>
      <c r="P780" s="38">
        <v>0.0</v>
      </c>
      <c r="Q780" s="38">
        <v>0.0</v>
      </c>
    </row>
    <row r="781">
      <c r="A781" s="49">
        <v>46197.0</v>
      </c>
      <c r="B781" s="50">
        <v>0.7902777777777777</v>
      </c>
      <c r="C781" s="41" t="s">
        <v>15</v>
      </c>
      <c r="D781" s="41" t="s">
        <v>87</v>
      </c>
      <c r="E781" s="41" t="s">
        <v>90</v>
      </c>
      <c r="F781" s="42">
        <v>0.0</v>
      </c>
      <c r="G781" s="42">
        <v>0.0</v>
      </c>
      <c r="H781" s="42">
        <v>0.0</v>
      </c>
      <c r="I781" s="42">
        <v>0.0</v>
      </c>
      <c r="J781" s="42">
        <v>0.0</v>
      </c>
      <c r="K781" s="42">
        <v>0.0</v>
      </c>
      <c r="L781" s="42">
        <v>0.0</v>
      </c>
      <c r="M781" s="42">
        <v>0.0</v>
      </c>
      <c r="N781" s="42">
        <v>0.0</v>
      </c>
      <c r="O781" s="42">
        <v>0.0</v>
      </c>
      <c r="P781" s="42">
        <v>0.0</v>
      </c>
      <c r="Q781" s="42">
        <v>0.0</v>
      </c>
    </row>
    <row r="782">
      <c r="A782" s="47">
        <v>46197.0</v>
      </c>
      <c r="B782" s="48">
        <v>0.7902777777777777</v>
      </c>
      <c r="C782" s="37" t="s">
        <v>15</v>
      </c>
      <c r="D782" s="37" t="s">
        <v>87</v>
      </c>
      <c r="E782" s="37" t="s">
        <v>91</v>
      </c>
      <c r="F782" s="38">
        <v>0.0</v>
      </c>
      <c r="G782" s="38">
        <v>0.0</v>
      </c>
      <c r="H782" s="38">
        <v>0.0</v>
      </c>
      <c r="I782" s="38">
        <v>0.0</v>
      </c>
      <c r="J782" s="38">
        <v>0.0</v>
      </c>
      <c r="K782" s="38">
        <v>0.0</v>
      </c>
      <c r="L782" s="38">
        <v>0.0</v>
      </c>
      <c r="M782" s="38">
        <v>0.0</v>
      </c>
      <c r="N782" s="38">
        <v>0.0</v>
      </c>
      <c r="O782" s="38">
        <v>0.0</v>
      </c>
      <c r="P782" s="38">
        <v>0.0</v>
      </c>
      <c r="Q782" s="38">
        <v>0.0</v>
      </c>
    </row>
    <row r="783">
      <c r="A783" s="49">
        <v>46197.0</v>
      </c>
      <c r="B783" s="50">
        <v>0.7902777777777777</v>
      </c>
      <c r="C783" s="41" t="s">
        <v>15</v>
      </c>
      <c r="D783" s="41" t="s">
        <v>87</v>
      </c>
      <c r="E783" s="41" t="s">
        <v>92</v>
      </c>
      <c r="F783" s="42">
        <v>0.0</v>
      </c>
      <c r="G783" s="42">
        <v>0.0</v>
      </c>
      <c r="H783" s="42">
        <v>0.0</v>
      </c>
      <c r="I783" s="42">
        <v>0.0</v>
      </c>
      <c r="J783" s="42">
        <v>0.0</v>
      </c>
      <c r="K783" s="42">
        <v>0.0</v>
      </c>
      <c r="L783" s="42">
        <v>0.0</v>
      </c>
      <c r="M783" s="42">
        <v>0.0</v>
      </c>
      <c r="N783" s="42">
        <v>0.0</v>
      </c>
      <c r="O783" s="42">
        <v>0.0</v>
      </c>
      <c r="P783" s="42">
        <v>0.0</v>
      </c>
      <c r="Q783" s="42">
        <v>0.0</v>
      </c>
    </row>
    <row r="784">
      <c r="A784" s="47">
        <v>46197.0</v>
      </c>
      <c r="B784" s="48">
        <v>0.7902777777777777</v>
      </c>
      <c r="C784" s="37" t="s">
        <v>15</v>
      </c>
      <c r="D784" s="37" t="s">
        <v>87</v>
      </c>
      <c r="E784" s="37" t="s">
        <v>106</v>
      </c>
      <c r="F784" s="38">
        <v>0.0</v>
      </c>
      <c r="G784" s="38">
        <v>0.0</v>
      </c>
      <c r="H784" s="38">
        <v>0.0</v>
      </c>
      <c r="I784" s="38">
        <v>0.0</v>
      </c>
      <c r="J784" s="38">
        <v>0.0</v>
      </c>
      <c r="K784" s="38">
        <v>0.0</v>
      </c>
      <c r="L784" s="38">
        <v>0.0</v>
      </c>
      <c r="M784" s="38">
        <v>0.0</v>
      </c>
      <c r="N784" s="38">
        <v>0.0</v>
      </c>
      <c r="O784" s="38">
        <v>0.0</v>
      </c>
      <c r="P784" s="38">
        <v>0.0</v>
      </c>
      <c r="Q784" s="38">
        <v>0.0</v>
      </c>
    </row>
    <row r="785">
      <c r="A785" s="49">
        <v>46197.0</v>
      </c>
      <c r="B785" s="50">
        <v>0.7902777777777777</v>
      </c>
      <c r="C785" s="41" t="s">
        <v>15</v>
      </c>
      <c r="D785" s="41" t="s">
        <v>87</v>
      </c>
      <c r="E785" s="41" t="s">
        <v>107</v>
      </c>
      <c r="F785" s="42">
        <v>0.0</v>
      </c>
      <c r="G785" s="42">
        <v>0.0</v>
      </c>
      <c r="H785" s="42">
        <v>0.0</v>
      </c>
      <c r="I785" s="42">
        <v>0.0</v>
      </c>
      <c r="J785" s="42">
        <v>0.0</v>
      </c>
      <c r="K785" s="42">
        <v>0.0</v>
      </c>
      <c r="L785" s="42">
        <v>0.0</v>
      </c>
      <c r="M785" s="42">
        <v>0.0</v>
      </c>
      <c r="N785" s="42">
        <v>0.0</v>
      </c>
      <c r="O785" s="42">
        <v>0.0</v>
      </c>
      <c r="P785" s="42">
        <v>0.0</v>
      </c>
      <c r="Q785" s="42">
        <v>0.0</v>
      </c>
    </row>
    <row r="786">
      <c r="A786" s="47">
        <v>46197.0</v>
      </c>
      <c r="B786" s="48">
        <v>0.7902777777777777</v>
      </c>
      <c r="C786" s="37" t="s">
        <v>23</v>
      </c>
      <c r="D786" s="37" t="s">
        <v>93</v>
      </c>
      <c r="E786" s="37" t="s">
        <v>52</v>
      </c>
      <c r="F786" s="38">
        <v>1.0</v>
      </c>
      <c r="G786" s="38">
        <v>1.0</v>
      </c>
      <c r="H786" s="38">
        <v>0.0</v>
      </c>
      <c r="I786" s="38">
        <v>0.0</v>
      </c>
      <c r="J786" s="38">
        <v>0.0</v>
      </c>
      <c r="K786" s="38">
        <v>1.0</v>
      </c>
      <c r="L786" s="38">
        <v>1.0</v>
      </c>
      <c r="M786" s="38">
        <v>0.0</v>
      </c>
      <c r="N786" s="38">
        <v>0.0</v>
      </c>
      <c r="O786" s="38">
        <v>0.0</v>
      </c>
      <c r="P786" s="38">
        <v>1.0</v>
      </c>
      <c r="Q786" s="38">
        <v>1.0</v>
      </c>
    </row>
    <row r="787">
      <c r="A787" s="49">
        <v>46197.0</v>
      </c>
      <c r="B787" s="50">
        <v>0.7902777777777777</v>
      </c>
      <c r="C787" s="41" t="s">
        <v>23</v>
      </c>
      <c r="D787" s="41" t="s">
        <v>93</v>
      </c>
      <c r="E787" s="41" t="s">
        <v>88</v>
      </c>
      <c r="F787" s="42">
        <v>0.0</v>
      </c>
      <c r="G787" s="42">
        <v>0.0</v>
      </c>
      <c r="H787" s="42">
        <v>0.0</v>
      </c>
      <c r="I787" s="42">
        <v>0.0</v>
      </c>
      <c r="J787" s="42">
        <v>0.0</v>
      </c>
      <c r="K787" s="42">
        <v>0.0</v>
      </c>
      <c r="L787" s="42">
        <v>0.0</v>
      </c>
      <c r="M787" s="42">
        <v>0.0</v>
      </c>
      <c r="N787" s="42">
        <v>0.0</v>
      </c>
      <c r="O787" s="42">
        <v>0.0</v>
      </c>
      <c r="P787" s="42">
        <v>0.0</v>
      </c>
      <c r="Q787" s="42">
        <v>0.0</v>
      </c>
    </row>
    <row r="788">
      <c r="A788" s="47">
        <v>46197.0</v>
      </c>
      <c r="B788" s="48">
        <v>0.7902777777777777</v>
      </c>
      <c r="C788" s="37" t="s">
        <v>23</v>
      </c>
      <c r="D788" s="37" t="s">
        <v>93</v>
      </c>
      <c r="E788" s="37" t="s">
        <v>89</v>
      </c>
      <c r="F788" s="38">
        <v>0.0</v>
      </c>
      <c r="G788" s="38">
        <v>0.0</v>
      </c>
      <c r="H788" s="38">
        <v>0.0</v>
      </c>
      <c r="I788" s="38">
        <v>0.0</v>
      </c>
      <c r="J788" s="38">
        <v>0.0</v>
      </c>
      <c r="K788" s="38">
        <v>0.0</v>
      </c>
      <c r="L788" s="38">
        <v>0.0</v>
      </c>
      <c r="M788" s="38">
        <v>0.0</v>
      </c>
      <c r="N788" s="38">
        <v>0.0</v>
      </c>
      <c r="O788" s="38">
        <v>0.0</v>
      </c>
      <c r="P788" s="38">
        <v>0.0</v>
      </c>
      <c r="Q788" s="38">
        <v>0.0</v>
      </c>
    </row>
    <row r="789">
      <c r="A789" s="49">
        <v>46197.0</v>
      </c>
      <c r="B789" s="50">
        <v>0.7902777777777777</v>
      </c>
      <c r="C789" s="41" t="s">
        <v>23</v>
      </c>
      <c r="D789" s="41" t="s">
        <v>93</v>
      </c>
      <c r="E789" s="41" t="s">
        <v>50</v>
      </c>
      <c r="F789" s="42">
        <v>0.0</v>
      </c>
      <c r="G789" s="42">
        <v>0.0</v>
      </c>
      <c r="H789" s="42">
        <v>0.0</v>
      </c>
      <c r="I789" s="42">
        <v>0.0</v>
      </c>
      <c r="J789" s="42">
        <v>0.0</v>
      </c>
      <c r="K789" s="42">
        <v>0.0</v>
      </c>
      <c r="L789" s="42">
        <v>0.0</v>
      </c>
      <c r="M789" s="42">
        <v>0.0</v>
      </c>
      <c r="N789" s="42">
        <v>0.0</v>
      </c>
      <c r="O789" s="42">
        <v>0.0</v>
      </c>
      <c r="P789" s="42">
        <v>0.0</v>
      </c>
      <c r="Q789" s="42">
        <v>0.0</v>
      </c>
    </row>
    <row r="790">
      <c r="A790" s="47">
        <v>46197.0</v>
      </c>
      <c r="B790" s="48">
        <v>0.7902777777777777</v>
      </c>
      <c r="C790" s="37" t="s">
        <v>23</v>
      </c>
      <c r="D790" s="37" t="s">
        <v>93</v>
      </c>
      <c r="E790" s="37" t="s">
        <v>90</v>
      </c>
      <c r="F790" s="38">
        <v>0.0</v>
      </c>
      <c r="G790" s="38">
        <v>0.0</v>
      </c>
      <c r="H790" s="38">
        <v>0.0</v>
      </c>
      <c r="I790" s="38">
        <v>0.0</v>
      </c>
      <c r="J790" s="38">
        <v>0.0</v>
      </c>
      <c r="K790" s="38">
        <v>0.0</v>
      </c>
      <c r="L790" s="38">
        <v>0.0</v>
      </c>
      <c r="M790" s="38">
        <v>0.0</v>
      </c>
      <c r="N790" s="38">
        <v>0.0</v>
      </c>
      <c r="O790" s="38">
        <v>0.0</v>
      </c>
      <c r="P790" s="38">
        <v>0.0</v>
      </c>
      <c r="Q790" s="38">
        <v>0.0</v>
      </c>
    </row>
    <row r="791">
      <c r="A791" s="49">
        <v>46197.0</v>
      </c>
      <c r="B791" s="50">
        <v>0.7902777777777777</v>
      </c>
      <c r="C791" s="41" t="s">
        <v>23</v>
      </c>
      <c r="D791" s="41" t="s">
        <v>93</v>
      </c>
      <c r="E791" s="41" t="s">
        <v>91</v>
      </c>
      <c r="F791" s="42">
        <v>0.0</v>
      </c>
      <c r="G791" s="42">
        <v>0.0</v>
      </c>
      <c r="H791" s="42">
        <v>0.0</v>
      </c>
      <c r="I791" s="42">
        <v>0.0</v>
      </c>
      <c r="J791" s="42">
        <v>0.0</v>
      </c>
      <c r="K791" s="42">
        <v>0.0</v>
      </c>
      <c r="L791" s="42">
        <v>0.0</v>
      </c>
      <c r="M791" s="42">
        <v>0.0</v>
      </c>
      <c r="N791" s="42">
        <v>0.0</v>
      </c>
      <c r="O791" s="42">
        <v>0.0</v>
      </c>
      <c r="P791" s="42">
        <v>0.0</v>
      </c>
      <c r="Q791" s="42">
        <v>0.0</v>
      </c>
    </row>
    <row r="792">
      <c r="A792" s="47">
        <v>46197.0</v>
      </c>
      <c r="B792" s="48">
        <v>0.7902777777777777</v>
      </c>
      <c r="C792" s="37" t="s">
        <v>23</v>
      </c>
      <c r="D792" s="37" t="s">
        <v>93</v>
      </c>
      <c r="E792" s="37" t="s">
        <v>92</v>
      </c>
      <c r="F792" s="38">
        <v>0.0</v>
      </c>
      <c r="G792" s="38">
        <v>0.0</v>
      </c>
      <c r="H792" s="38">
        <v>0.0</v>
      </c>
      <c r="I792" s="38">
        <v>0.0</v>
      </c>
      <c r="J792" s="38">
        <v>0.0</v>
      </c>
      <c r="K792" s="38">
        <v>0.0</v>
      </c>
      <c r="L792" s="38">
        <v>0.0</v>
      </c>
      <c r="M792" s="38">
        <v>0.0</v>
      </c>
      <c r="N792" s="38">
        <v>0.0</v>
      </c>
      <c r="O792" s="38">
        <v>0.0</v>
      </c>
      <c r="P792" s="38">
        <v>0.0</v>
      </c>
      <c r="Q792" s="38">
        <v>0.0</v>
      </c>
    </row>
    <row r="793">
      <c r="A793" s="49">
        <v>46197.0</v>
      </c>
      <c r="B793" s="50">
        <v>0.7902777777777777</v>
      </c>
      <c r="C793" s="41" t="s">
        <v>23</v>
      </c>
      <c r="D793" s="41" t="s">
        <v>93</v>
      </c>
      <c r="E793" s="41" t="s">
        <v>106</v>
      </c>
      <c r="F793" s="42">
        <v>0.0</v>
      </c>
      <c r="G793" s="42">
        <v>0.0</v>
      </c>
      <c r="H793" s="42">
        <v>0.0</v>
      </c>
      <c r="I793" s="42">
        <v>0.0</v>
      </c>
      <c r="J793" s="42">
        <v>0.0</v>
      </c>
      <c r="K793" s="42">
        <v>0.0</v>
      </c>
      <c r="L793" s="42">
        <v>0.0</v>
      </c>
      <c r="M793" s="42">
        <v>0.0</v>
      </c>
      <c r="N793" s="42">
        <v>0.0</v>
      </c>
      <c r="O793" s="42">
        <v>0.0</v>
      </c>
      <c r="P793" s="42">
        <v>0.0</v>
      </c>
      <c r="Q793" s="42">
        <v>0.0</v>
      </c>
    </row>
    <row r="794">
      <c r="A794" s="47">
        <v>46197.0</v>
      </c>
      <c r="B794" s="48">
        <v>0.7902777777777777</v>
      </c>
      <c r="C794" s="37" t="s">
        <v>23</v>
      </c>
      <c r="D794" s="37" t="s">
        <v>93</v>
      </c>
      <c r="E794" s="37" t="s">
        <v>107</v>
      </c>
      <c r="F794" s="38">
        <v>0.0</v>
      </c>
      <c r="G794" s="38">
        <v>0.0</v>
      </c>
      <c r="H794" s="38">
        <v>0.0</v>
      </c>
      <c r="I794" s="38">
        <v>0.0</v>
      </c>
      <c r="J794" s="38">
        <v>0.0</v>
      </c>
      <c r="K794" s="38">
        <v>0.0</v>
      </c>
      <c r="L794" s="38">
        <v>0.0</v>
      </c>
      <c r="M794" s="38">
        <v>0.0</v>
      </c>
      <c r="N794" s="38">
        <v>0.0</v>
      </c>
      <c r="O794" s="38">
        <v>0.0</v>
      </c>
      <c r="P794" s="38">
        <v>0.0</v>
      </c>
      <c r="Q794" s="38">
        <v>0.0</v>
      </c>
    </row>
    <row r="795">
      <c r="A795" s="49">
        <v>46197.0</v>
      </c>
      <c r="B795" s="50">
        <v>0.7902777777777777</v>
      </c>
      <c r="C795" s="41" t="s">
        <v>29</v>
      </c>
      <c r="D795" s="41" t="s">
        <v>94</v>
      </c>
      <c r="E795" s="41" t="s">
        <v>52</v>
      </c>
      <c r="F795" s="42">
        <v>6.0</v>
      </c>
      <c r="G795" s="42">
        <v>3.0</v>
      </c>
      <c r="H795" s="42">
        <v>0.0</v>
      </c>
      <c r="I795" s="42">
        <v>0.0</v>
      </c>
      <c r="J795" s="42">
        <v>0.0</v>
      </c>
      <c r="K795" s="42">
        <v>6.0</v>
      </c>
      <c r="L795" s="42">
        <v>6.0</v>
      </c>
      <c r="M795" s="42">
        <v>0.0</v>
      </c>
      <c r="N795" s="42">
        <v>0.0</v>
      </c>
      <c r="O795" s="42">
        <v>0.0</v>
      </c>
      <c r="P795" s="42">
        <v>3.0</v>
      </c>
      <c r="Q795" s="42">
        <v>3.0</v>
      </c>
    </row>
    <row r="796">
      <c r="A796" s="47">
        <v>46197.0</v>
      </c>
      <c r="B796" s="48">
        <v>0.7902777777777777</v>
      </c>
      <c r="C796" s="37" t="s">
        <v>29</v>
      </c>
      <c r="D796" s="37" t="s">
        <v>94</v>
      </c>
      <c r="E796" s="37" t="s">
        <v>88</v>
      </c>
      <c r="F796" s="38">
        <v>0.0</v>
      </c>
      <c r="G796" s="38">
        <v>0.0</v>
      </c>
      <c r="H796" s="38">
        <v>0.0</v>
      </c>
      <c r="I796" s="38">
        <v>0.0</v>
      </c>
      <c r="J796" s="38">
        <v>0.0</v>
      </c>
      <c r="K796" s="38">
        <v>0.0</v>
      </c>
      <c r="L796" s="38">
        <v>0.0</v>
      </c>
      <c r="M796" s="38">
        <v>0.0</v>
      </c>
      <c r="N796" s="38">
        <v>0.0</v>
      </c>
      <c r="O796" s="38">
        <v>0.0</v>
      </c>
      <c r="P796" s="38">
        <v>0.0</v>
      </c>
      <c r="Q796" s="38">
        <v>0.0</v>
      </c>
    </row>
    <row r="797">
      <c r="A797" s="49">
        <v>46197.0</v>
      </c>
      <c r="B797" s="50">
        <v>0.7902777777777777</v>
      </c>
      <c r="C797" s="41" t="s">
        <v>29</v>
      </c>
      <c r="D797" s="41" t="s">
        <v>94</v>
      </c>
      <c r="E797" s="41" t="s">
        <v>89</v>
      </c>
      <c r="F797" s="42">
        <v>1.0</v>
      </c>
      <c r="G797" s="42">
        <v>0.0</v>
      </c>
      <c r="H797" s="42">
        <v>0.0</v>
      </c>
      <c r="I797" s="42">
        <v>0.0</v>
      </c>
      <c r="J797" s="42">
        <v>0.0</v>
      </c>
      <c r="K797" s="42">
        <v>1.0</v>
      </c>
      <c r="L797" s="42">
        <v>1.0</v>
      </c>
      <c r="M797" s="42">
        <v>0.0</v>
      </c>
      <c r="N797" s="42">
        <v>0.0</v>
      </c>
      <c r="O797" s="42">
        <v>0.0</v>
      </c>
      <c r="P797" s="42">
        <v>0.0</v>
      </c>
      <c r="Q797" s="42">
        <v>0.0</v>
      </c>
    </row>
    <row r="798">
      <c r="A798" s="47">
        <v>46197.0</v>
      </c>
      <c r="B798" s="48">
        <v>0.7902777777777777</v>
      </c>
      <c r="C798" s="37" t="s">
        <v>29</v>
      </c>
      <c r="D798" s="37" t="s">
        <v>94</v>
      </c>
      <c r="E798" s="37" t="s">
        <v>50</v>
      </c>
      <c r="F798" s="38">
        <v>0.0</v>
      </c>
      <c r="G798" s="38">
        <v>0.0</v>
      </c>
      <c r="H798" s="38">
        <v>0.0</v>
      </c>
      <c r="I798" s="38">
        <v>0.0</v>
      </c>
      <c r="J798" s="38">
        <v>0.0</v>
      </c>
      <c r="K798" s="38">
        <v>0.0</v>
      </c>
      <c r="L798" s="38">
        <v>0.0</v>
      </c>
      <c r="M798" s="38">
        <v>0.0</v>
      </c>
      <c r="N798" s="38">
        <v>0.0</v>
      </c>
      <c r="O798" s="38">
        <v>0.0</v>
      </c>
      <c r="P798" s="38">
        <v>0.0</v>
      </c>
      <c r="Q798" s="38">
        <v>0.0</v>
      </c>
    </row>
    <row r="799">
      <c r="A799" s="49">
        <v>46197.0</v>
      </c>
      <c r="B799" s="50">
        <v>0.7902777777777777</v>
      </c>
      <c r="C799" s="41" t="s">
        <v>29</v>
      </c>
      <c r="D799" s="41" t="s">
        <v>94</v>
      </c>
      <c r="E799" s="41" t="s">
        <v>90</v>
      </c>
      <c r="F799" s="42">
        <v>0.0</v>
      </c>
      <c r="G799" s="42">
        <v>0.0</v>
      </c>
      <c r="H799" s="42">
        <v>0.0</v>
      </c>
      <c r="I799" s="42">
        <v>0.0</v>
      </c>
      <c r="J799" s="42">
        <v>0.0</v>
      </c>
      <c r="K799" s="42">
        <v>0.0</v>
      </c>
      <c r="L799" s="42">
        <v>0.0</v>
      </c>
      <c r="M799" s="42">
        <v>0.0</v>
      </c>
      <c r="N799" s="42">
        <v>0.0</v>
      </c>
      <c r="O799" s="42">
        <v>0.0</v>
      </c>
      <c r="P799" s="42">
        <v>0.0</v>
      </c>
      <c r="Q799" s="42">
        <v>0.0</v>
      </c>
    </row>
    <row r="800">
      <c r="A800" s="47">
        <v>46197.0</v>
      </c>
      <c r="B800" s="48">
        <v>0.7902777777777777</v>
      </c>
      <c r="C800" s="37" t="s">
        <v>29</v>
      </c>
      <c r="D800" s="37" t="s">
        <v>94</v>
      </c>
      <c r="E800" s="37" t="s">
        <v>91</v>
      </c>
      <c r="F800" s="38">
        <v>0.0</v>
      </c>
      <c r="G800" s="38">
        <v>0.0</v>
      </c>
      <c r="H800" s="38">
        <v>0.0</v>
      </c>
      <c r="I800" s="38">
        <v>0.0</v>
      </c>
      <c r="J800" s="38">
        <v>0.0</v>
      </c>
      <c r="K800" s="38">
        <v>0.0</v>
      </c>
      <c r="L800" s="38">
        <v>0.0</v>
      </c>
      <c r="M800" s="38">
        <v>0.0</v>
      </c>
      <c r="N800" s="38">
        <v>0.0</v>
      </c>
      <c r="O800" s="38">
        <v>0.0</v>
      </c>
      <c r="P800" s="38">
        <v>0.0</v>
      </c>
      <c r="Q800" s="38">
        <v>0.0</v>
      </c>
    </row>
    <row r="801">
      <c r="A801" s="49">
        <v>46197.0</v>
      </c>
      <c r="B801" s="50">
        <v>0.7902777777777777</v>
      </c>
      <c r="C801" s="41" t="s">
        <v>29</v>
      </c>
      <c r="D801" s="41" t="s">
        <v>94</v>
      </c>
      <c r="E801" s="41" t="s">
        <v>92</v>
      </c>
      <c r="F801" s="42">
        <v>0.0</v>
      </c>
      <c r="G801" s="42">
        <v>0.0</v>
      </c>
      <c r="H801" s="42">
        <v>0.0</v>
      </c>
      <c r="I801" s="42">
        <v>0.0</v>
      </c>
      <c r="J801" s="42">
        <v>0.0</v>
      </c>
      <c r="K801" s="42">
        <v>0.0</v>
      </c>
      <c r="L801" s="42">
        <v>0.0</v>
      </c>
      <c r="M801" s="42">
        <v>0.0</v>
      </c>
      <c r="N801" s="42">
        <v>0.0</v>
      </c>
      <c r="O801" s="42">
        <v>0.0</v>
      </c>
      <c r="P801" s="42">
        <v>0.0</v>
      </c>
      <c r="Q801" s="42">
        <v>0.0</v>
      </c>
    </row>
    <row r="802">
      <c r="A802" s="47">
        <v>46197.0</v>
      </c>
      <c r="B802" s="48">
        <v>0.7902777777777777</v>
      </c>
      <c r="C802" s="37" t="s">
        <v>29</v>
      </c>
      <c r="D802" s="37" t="s">
        <v>94</v>
      </c>
      <c r="E802" s="37" t="s">
        <v>106</v>
      </c>
      <c r="F802" s="38">
        <v>1.0</v>
      </c>
      <c r="G802" s="38">
        <v>0.0</v>
      </c>
      <c r="H802" s="38">
        <v>0.0</v>
      </c>
      <c r="I802" s="38">
        <v>0.0</v>
      </c>
      <c r="J802" s="38">
        <v>1.0</v>
      </c>
      <c r="K802" s="38">
        <v>1.0</v>
      </c>
      <c r="L802" s="38">
        <v>1.0</v>
      </c>
      <c r="M802" s="38">
        <v>0.0</v>
      </c>
      <c r="N802" s="38">
        <v>0.0</v>
      </c>
      <c r="O802" s="38">
        <v>0.0</v>
      </c>
      <c r="P802" s="38">
        <v>0.0</v>
      </c>
      <c r="Q802" s="38">
        <v>0.0</v>
      </c>
    </row>
    <row r="803">
      <c r="A803" s="49">
        <v>46197.0</v>
      </c>
      <c r="B803" s="50">
        <v>0.7902777777777777</v>
      </c>
      <c r="C803" s="41" t="s">
        <v>29</v>
      </c>
      <c r="D803" s="41" t="s">
        <v>94</v>
      </c>
      <c r="E803" s="41" t="s">
        <v>107</v>
      </c>
      <c r="F803" s="42">
        <v>0.0</v>
      </c>
      <c r="G803" s="42">
        <v>0.0</v>
      </c>
      <c r="H803" s="42">
        <v>0.0</v>
      </c>
      <c r="I803" s="42">
        <v>0.0</v>
      </c>
      <c r="J803" s="42">
        <v>0.0</v>
      </c>
      <c r="K803" s="42">
        <v>0.0</v>
      </c>
      <c r="L803" s="42">
        <v>0.0</v>
      </c>
      <c r="M803" s="42">
        <v>0.0</v>
      </c>
      <c r="N803" s="42">
        <v>0.0</v>
      </c>
      <c r="O803" s="42">
        <v>0.0</v>
      </c>
      <c r="P803" s="42">
        <v>0.0</v>
      </c>
      <c r="Q803" s="42">
        <v>0.0</v>
      </c>
    </row>
    <row r="804">
      <c r="A804" s="47">
        <v>46197.0</v>
      </c>
      <c r="B804" s="48">
        <v>0.7902777777777777</v>
      </c>
      <c r="C804" s="37" t="s">
        <v>31</v>
      </c>
      <c r="D804" s="37" t="s">
        <v>95</v>
      </c>
      <c r="E804" s="37" t="s">
        <v>52</v>
      </c>
      <c r="F804" s="38">
        <v>0.0</v>
      </c>
      <c r="G804" s="38">
        <v>0.0</v>
      </c>
      <c r="H804" s="38">
        <v>0.0</v>
      </c>
      <c r="I804" s="38">
        <v>0.0</v>
      </c>
      <c r="J804" s="38">
        <v>0.0</v>
      </c>
      <c r="K804" s="38">
        <v>0.0</v>
      </c>
      <c r="L804" s="38">
        <v>0.0</v>
      </c>
      <c r="M804" s="38">
        <v>0.0</v>
      </c>
      <c r="N804" s="38">
        <v>0.0</v>
      </c>
      <c r="O804" s="38">
        <v>0.0</v>
      </c>
      <c r="P804" s="38">
        <v>0.0</v>
      </c>
      <c r="Q804" s="38">
        <v>0.0</v>
      </c>
    </row>
    <row r="805">
      <c r="A805" s="49">
        <v>46197.0</v>
      </c>
      <c r="B805" s="50">
        <v>0.7902777777777777</v>
      </c>
      <c r="C805" s="41" t="s">
        <v>31</v>
      </c>
      <c r="D805" s="41" t="s">
        <v>95</v>
      </c>
      <c r="E805" s="41" t="s">
        <v>88</v>
      </c>
      <c r="F805" s="42">
        <v>0.0</v>
      </c>
      <c r="G805" s="42">
        <v>0.0</v>
      </c>
      <c r="H805" s="42">
        <v>0.0</v>
      </c>
      <c r="I805" s="42">
        <v>0.0</v>
      </c>
      <c r="J805" s="42">
        <v>0.0</v>
      </c>
      <c r="K805" s="42">
        <v>0.0</v>
      </c>
      <c r="L805" s="42">
        <v>0.0</v>
      </c>
      <c r="M805" s="42">
        <v>0.0</v>
      </c>
      <c r="N805" s="42">
        <v>0.0</v>
      </c>
      <c r="O805" s="42">
        <v>0.0</v>
      </c>
      <c r="P805" s="42">
        <v>0.0</v>
      </c>
      <c r="Q805" s="42">
        <v>0.0</v>
      </c>
    </row>
    <row r="806">
      <c r="A806" s="47">
        <v>46197.0</v>
      </c>
      <c r="B806" s="48">
        <v>0.7902777777777777</v>
      </c>
      <c r="C806" s="37" t="s">
        <v>31</v>
      </c>
      <c r="D806" s="37" t="s">
        <v>95</v>
      </c>
      <c r="E806" s="37" t="s">
        <v>89</v>
      </c>
      <c r="F806" s="38">
        <v>0.0</v>
      </c>
      <c r="G806" s="38">
        <v>0.0</v>
      </c>
      <c r="H806" s="38">
        <v>0.0</v>
      </c>
      <c r="I806" s="38">
        <v>0.0</v>
      </c>
      <c r="J806" s="38">
        <v>0.0</v>
      </c>
      <c r="K806" s="38">
        <v>0.0</v>
      </c>
      <c r="L806" s="38">
        <v>0.0</v>
      </c>
      <c r="M806" s="38">
        <v>0.0</v>
      </c>
      <c r="N806" s="38">
        <v>0.0</v>
      </c>
      <c r="O806" s="38">
        <v>0.0</v>
      </c>
      <c r="P806" s="38">
        <v>0.0</v>
      </c>
      <c r="Q806" s="38">
        <v>0.0</v>
      </c>
    </row>
    <row r="807">
      <c r="A807" s="49">
        <v>46197.0</v>
      </c>
      <c r="B807" s="50">
        <v>0.7902777777777777</v>
      </c>
      <c r="C807" s="41" t="s">
        <v>31</v>
      </c>
      <c r="D807" s="41" t="s">
        <v>95</v>
      </c>
      <c r="E807" s="41" t="s">
        <v>50</v>
      </c>
      <c r="F807" s="42">
        <v>1.0</v>
      </c>
      <c r="G807" s="42">
        <v>1.0</v>
      </c>
      <c r="H807" s="42">
        <v>0.0</v>
      </c>
      <c r="I807" s="42">
        <v>0.0</v>
      </c>
      <c r="J807" s="42">
        <v>0.0</v>
      </c>
      <c r="K807" s="42">
        <v>0.0</v>
      </c>
      <c r="L807" s="42">
        <v>0.0</v>
      </c>
      <c r="M807" s="42">
        <v>0.0</v>
      </c>
      <c r="N807" s="42">
        <v>0.0</v>
      </c>
      <c r="O807" s="42">
        <v>0.0</v>
      </c>
      <c r="P807" s="42">
        <v>0.0</v>
      </c>
      <c r="Q807" s="42">
        <v>0.0</v>
      </c>
    </row>
    <row r="808">
      <c r="A808" s="47">
        <v>46197.0</v>
      </c>
      <c r="B808" s="48">
        <v>0.7902777777777777</v>
      </c>
      <c r="C808" s="37" t="s">
        <v>31</v>
      </c>
      <c r="D808" s="37" t="s">
        <v>95</v>
      </c>
      <c r="E808" s="37" t="s">
        <v>90</v>
      </c>
      <c r="F808" s="38">
        <v>0.0</v>
      </c>
      <c r="G808" s="38">
        <v>0.0</v>
      </c>
      <c r="H808" s="38">
        <v>0.0</v>
      </c>
      <c r="I808" s="38">
        <v>0.0</v>
      </c>
      <c r="J808" s="38">
        <v>0.0</v>
      </c>
      <c r="K808" s="38">
        <v>0.0</v>
      </c>
      <c r="L808" s="38">
        <v>0.0</v>
      </c>
      <c r="M808" s="38">
        <v>0.0</v>
      </c>
      <c r="N808" s="38">
        <v>0.0</v>
      </c>
      <c r="O808" s="38">
        <v>0.0</v>
      </c>
      <c r="P808" s="38">
        <v>0.0</v>
      </c>
      <c r="Q808" s="38">
        <v>0.0</v>
      </c>
    </row>
    <row r="809">
      <c r="A809" s="49">
        <v>46197.0</v>
      </c>
      <c r="B809" s="50">
        <v>0.7902777777777777</v>
      </c>
      <c r="C809" s="41" t="s">
        <v>31</v>
      </c>
      <c r="D809" s="41" t="s">
        <v>95</v>
      </c>
      <c r="E809" s="41" t="s">
        <v>91</v>
      </c>
      <c r="F809" s="42">
        <v>0.0</v>
      </c>
      <c r="G809" s="42">
        <v>0.0</v>
      </c>
      <c r="H809" s="42">
        <v>0.0</v>
      </c>
      <c r="I809" s="42">
        <v>0.0</v>
      </c>
      <c r="J809" s="42">
        <v>0.0</v>
      </c>
      <c r="K809" s="42">
        <v>0.0</v>
      </c>
      <c r="L809" s="42">
        <v>0.0</v>
      </c>
      <c r="M809" s="42">
        <v>0.0</v>
      </c>
      <c r="N809" s="42">
        <v>0.0</v>
      </c>
      <c r="O809" s="42">
        <v>0.0</v>
      </c>
      <c r="P809" s="42">
        <v>0.0</v>
      </c>
      <c r="Q809" s="42">
        <v>0.0</v>
      </c>
    </row>
    <row r="810">
      <c r="A810" s="47">
        <v>46197.0</v>
      </c>
      <c r="B810" s="48">
        <v>0.7902777777777777</v>
      </c>
      <c r="C810" s="37" t="s">
        <v>31</v>
      </c>
      <c r="D810" s="37" t="s">
        <v>95</v>
      </c>
      <c r="E810" s="37" t="s">
        <v>92</v>
      </c>
      <c r="F810" s="38">
        <v>0.0</v>
      </c>
      <c r="G810" s="38">
        <v>0.0</v>
      </c>
      <c r="H810" s="38">
        <v>0.0</v>
      </c>
      <c r="I810" s="38">
        <v>0.0</v>
      </c>
      <c r="J810" s="38">
        <v>0.0</v>
      </c>
      <c r="K810" s="38">
        <v>0.0</v>
      </c>
      <c r="L810" s="38">
        <v>0.0</v>
      </c>
      <c r="M810" s="38">
        <v>0.0</v>
      </c>
      <c r="N810" s="38">
        <v>0.0</v>
      </c>
      <c r="O810" s="38">
        <v>0.0</v>
      </c>
      <c r="P810" s="38">
        <v>0.0</v>
      </c>
      <c r="Q810" s="38">
        <v>0.0</v>
      </c>
    </row>
    <row r="811">
      <c r="A811" s="49">
        <v>46197.0</v>
      </c>
      <c r="B811" s="50">
        <v>0.7902777777777777</v>
      </c>
      <c r="C811" s="41" t="s">
        <v>31</v>
      </c>
      <c r="D811" s="41" t="s">
        <v>95</v>
      </c>
      <c r="E811" s="41" t="s">
        <v>106</v>
      </c>
      <c r="F811" s="42">
        <v>0.0</v>
      </c>
      <c r="G811" s="42">
        <v>0.0</v>
      </c>
      <c r="H811" s="42">
        <v>0.0</v>
      </c>
      <c r="I811" s="42">
        <v>0.0</v>
      </c>
      <c r="J811" s="42">
        <v>0.0</v>
      </c>
      <c r="K811" s="42">
        <v>0.0</v>
      </c>
      <c r="L811" s="42">
        <v>0.0</v>
      </c>
      <c r="M811" s="42">
        <v>0.0</v>
      </c>
      <c r="N811" s="42">
        <v>0.0</v>
      </c>
      <c r="O811" s="42">
        <v>0.0</v>
      </c>
      <c r="P811" s="42">
        <v>0.0</v>
      </c>
      <c r="Q811" s="42">
        <v>0.0</v>
      </c>
    </row>
    <row r="812">
      <c r="A812" s="47">
        <v>46197.0</v>
      </c>
      <c r="B812" s="48">
        <v>0.7902777777777777</v>
      </c>
      <c r="C812" s="37" t="s">
        <v>31</v>
      </c>
      <c r="D812" s="37" t="s">
        <v>95</v>
      </c>
      <c r="E812" s="37" t="s">
        <v>107</v>
      </c>
      <c r="F812" s="38">
        <v>0.0</v>
      </c>
      <c r="G812" s="38">
        <v>0.0</v>
      </c>
      <c r="H812" s="38">
        <v>0.0</v>
      </c>
      <c r="I812" s="38">
        <v>0.0</v>
      </c>
      <c r="J812" s="38">
        <v>0.0</v>
      </c>
      <c r="K812" s="38">
        <v>0.0</v>
      </c>
      <c r="L812" s="38">
        <v>0.0</v>
      </c>
      <c r="M812" s="38">
        <v>0.0</v>
      </c>
      <c r="N812" s="38">
        <v>0.0</v>
      </c>
      <c r="O812" s="38">
        <v>0.0</v>
      </c>
      <c r="P812" s="38">
        <v>0.0</v>
      </c>
      <c r="Q812" s="38">
        <v>0.0</v>
      </c>
    </row>
    <row r="813">
      <c r="A813" s="51">
        <v>46197.0</v>
      </c>
      <c r="B813" s="52">
        <v>0.7902777777777777</v>
      </c>
      <c r="C813" s="45" t="s">
        <v>96</v>
      </c>
      <c r="D813" s="45" t="s">
        <v>75</v>
      </c>
      <c r="E813" s="45" t="s">
        <v>52</v>
      </c>
      <c r="F813" s="46">
        <v>10.0</v>
      </c>
      <c r="G813" s="46">
        <v>6.0</v>
      </c>
      <c r="H813" s="46">
        <v>0.0</v>
      </c>
      <c r="I813" s="46">
        <v>0.0</v>
      </c>
      <c r="J813" s="46">
        <v>1.0</v>
      </c>
      <c r="K813" s="46">
        <v>9.0</v>
      </c>
      <c r="L813" s="46">
        <v>10.0</v>
      </c>
      <c r="M813" s="46">
        <v>0.0</v>
      </c>
      <c r="N813" s="46">
        <v>0.0</v>
      </c>
      <c r="O813" s="46">
        <v>1.0</v>
      </c>
      <c r="P813" s="46">
        <v>5.0</v>
      </c>
      <c r="Q813" s="46">
        <v>6.0</v>
      </c>
    </row>
    <row r="814">
      <c r="A814" s="51">
        <v>46197.0</v>
      </c>
      <c r="B814" s="52">
        <v>0.7902777777777777</v>
      </c>
      <c r="C814" s="45" t="s">
        <v>96</v>
      </c>
      <c r="D814" s="45" t="s">
        <v>75</v>
      </c>
      <c r="E814" s="45" t="s">
        <v>88</v>
      </c>
      <c r="F814" s="46">
        <v>0.0</v>
      </c>
      <c r="G814" s="46">
        <v>0.0</v>
      </c>
      <c r="H814" s="46">
        <v>0.0</v>
      </c>
      <c r="I814" s="46">
        <v>0.0</v>
      </c>
      <c r="J814" s="46">
        <v>0.0</v>
      </c>
      <c r="K814" s="46">
        <v>0.0</v>
      </c>
      <c r="L814" s="46">
        <v>0.0</v>
      </c>
      <c r="M814" s="46">
        <v>0.0</v>
      </c>
      <c r="N814" s="46">
        <v>0.0</v>
      </c>
      <c r="O814" s="46">
        <v>0.0</v>
      </c>
      <c r="P814" s="46">
        <v>0.0</v>
      </c>
      <c r="Q814" s="46">
        <v>0.0</v>
      </c>
    </row>
    <row r="815">
      <c r="A815" s="51">
        <v>46197.0</v>
      </c>
      <c r="B815" s="52">
        <v>0.7902777777777777</v>
      </c>
      <c r="C815" s="45" t="s">
        <v>96</v>
      </c>
      <c r="D815" s="45" t="s">
        <v>75</v>
      </c>
      <c r="E815" s="45" t="s">
        <v>89</v>
      </c>
      <c r="F815" s="46">
        <v>1.0</v>
      </c>
      <c r="G815" s="46">
        <v>0.0</v>
      </c>
      <c r="H815" s="46">
        <v>0.0</v>
      </c>
      <c r="I815" s="46">
        <v>0.0</v>
      </c>
      <c r="J815" s="46">
        <v>0.0</v>
      </c>
      <c r="K815" s="46">
        <v>1.0</v>
      </c>
      <c r="L815" s="46">
        <v>1.0</v>
      </c>
      <c r="M815" s="46">
        <v>0.0</v>
      </c>
      <c r="N815" s="46">
        <v>0.0</v>
      </c>
      <c r="O815" s="46">
        <v>0.0</v>
      </c>
      <c r="P815" s="46">
        <v>0.0</v>
      </c>
      <c r="Q815" s="46">
        <v>0.0</v>
      </c>
    </row>
    <row r="816">
      <c r="A816" s="51">
        <v>46197.0</v>
      </c>
      <c r="B816" s="52">
        <v>0.7902777777777777</v>
      </c>
      <c r="C816" s="45" t="s">
        <v>96</v>
      </c>
      <c r="D816" s="45" t="s">
        <v>75</v>
      </c>
      <c r="E816" s="45" t="s">
        <v>50</v>
      </c>
      <c r="F816" s="46">
        <v>1.0</v>
      </c>
      <c r="G816" s="46">
        <v>1.0</v>
      </c>
      <c r="H816" s="46">
        <v>0.0</v>
      </c>
      <c r="I816" s="46">
        <v>0.0</v>
      </c>
      <c r="J816" s="46">
        <v>0.0</v>
      </c>
      <c r="K816" s="46">
        <v>0.0</v>
      </c>
      <c r="L816" s="46">
        <v>0.0</v>
      </c>
      <c r="M816" s="46">
        <v>0.0</v>
      </c>
      <c r="N816" s="46">
        <v>0.0</v>
      </c>
      <c r="O816" s="46">
        <v>0.0</v>
      </c>
      <c r="P816" s="46">
        <v>0.0</v>
      </c>
      <c r="Q816" s="46">
        <v>0.0</v>
      </c>
    </row>
    <row r="817">
      <c r="A817" s="51">
        <v>46197.0</v>
      </c>
      <c r="B817" s="52">
        <v>0.7902777777777777</v>
      </c>
      <c r="C817" s="45" t="s">
        <v>96</v>
      </c>
      <c r="D817" s="45" t="s">
        <v>75</v>
      </c>
      <c r="E817" s="45" t="s">
        <v>90</v>
      </c>
      <c r="F817" s="46">
        <v>0.0</v>
      </c>
      <c r="G817" s="46">
        <v>0.0</v>
      </c>
      <c r="H817" s="46">
        <v>0.0</v>
      </c>
      <c r="I817" s="46">
        <v>0.0</v>
      </c>
      <c r="J817" s="46">
        <v>0.0</v>
      </c>
      <c r="K817" s="46">
        <v>0.0</v>
      </c>
      <c r="L817" s="46">
        <v>0.0</v>
      </c>
      <c r="M817" s="46">
        <v>0.0</v>
      </c>
      <c r="N817" s="46">
        <v>0.0</v>
      </c>
      <c r="O817" s="46">
        <v>0.0</v>
      </c>
      <c r="P817" s="46">
        <v>0.0</v>
      </c>
      <c r="Q817" s="46">
        <v>0.0</v>
      </c>
    </row>
    <row r="818">
      <c r="A818" s="51">
        <v>46197.0</v>
      </c>
      <c r="B818" s="52">
        <v>0.7902777777777777</v>
      </c>
      <c r="C818" s="45" t="s">
        <v>96</v>
      </c>
      <c r="D818" s="45" t="s">
        <v>75</v>
      </c>
      <c r="E818" s="45" t="s">
        <v>91</v>
      </c>
      <c r="F818" s="46">
        <v>0.0</v>
      </c>
      <c r="G818" s="46">
        <v>0.0</v>
      </c>
      <c r="H818" s="46">
        <v>0.0</v>
      </c>
      <c r="I818" s="46">
        <v>0.0</v>
      </c>
      <c r="J818" s="46">
        <v>0.0</v>
      </c>
      <c r="K818" s="46">
        <v>0.0</v>
      </c>
      <c r="L818" s="46">
        <v>0.0</v>
      </c>
      <c r="M818" s="46">
        <v>0.0</v>
      </c>
      <c r="N818" s="46">
        <v>0.0</v>
      </c>
      <c r="O818" s="46">
        <v>0.0</v>
      </c>
      <c r="P818" s="46">
        <v>0.0</v>
      </c>
      <c r="Q818" s="46">
        <v>0.0</v>
      </c>
    </row>
    <row r="819">
      <c r="A819" s="51">
        <v>46197.0</v>
      </c>
      <c r="B819" s="52">
        <v>0.7902777777777777</v>
      </c>
      <c r="C819" s="45" t="s">
        <v>96</v>
      </c>
      <c r="D819" s="45" t="s">
        <v>75</v>
      </c>
      <c r="E819" s="45" t="s">
        <v>92</v>
      </c>
      <c r="F819" s="46">
        <v>0.0</v>
      </c>
      <c r="G819" s="46">
        <v>0.0</v>
      </c>
      <c r="H819" s="46">
        <v>0.0</v>
      </c>
      <c r="I819" s="46">
        <v>0.0</v>
      </c>
      <c r="J819" s="46">
        <v>0.0</v>
      </c>
      <c r="K819" s="46">
        <v>0.0</v>
      </c>
      <c r="L819" s="46">
        <v>0.0</v>
      </c>
      <c r="M819" s="46">
        <v>0.0</v>
      </c>
      <c r="N819" s="46">
        <v>0.0</v>
      </c>
      <c r="O819" s="46">
        <v>0.0</v>
      </c>
      <c r="P819" s="46">
        <v>0.0</v>
      </c>
      <c r="Q819" s="46">
        <v>0.0</v>
      </c>
    </row>
    <row r="820">
      <c r="A820" s="51">
        <v>46197.0</v>
      </c>
      <c r="B820" s="52">
        <v>0.7902777777777777</v>
      </c>
      <c r="C820" s="45" t="s">
        <v>96</v>
      </c>
      <c r="D820" s="45" t="s">
        <v>75</v>
      </c>
      <c r="E820" s="45" t="s">
        <v>106</v>
      </c>
      <c r="F820" s="46">
        <v>1.0</v>
      </c>
      <c r="G820" s="46">
        <v>0.0</v>
      </c>
      <c r="H820" s="46">
        <v>0.0</v>
      </c>
      <c r="I820" s="46">
        <v>0.0</v>
      </c>
      <c r="J820" s="46">
        <v>1.0</v>
      </c>
      <c r="K820" s="46">
        <v>1.0</v>
      </c>
      <c r="L820" s="46">
        <v>1.0</v>
      </c>
      <c r="M820" s="46">
        <v>0.0</v>
      </c>
      <c r="N820" s="46">
        <v>0.0</v>
      </c>
      <c r="O820" s="46">
        <v>0.0</v>
      </c>
      <c r="P820" s="46">
        <v>0.0</v>
      </c>
      <c r="Q820" s="46">
        <v>0.0</v>
      </c>
    </row>
    <row r="821">
      <c r="A821" s="51">
        <v>46197.0</v>
      </c>
      <c r="B821" s="52">
        <v>0.7902777777777777</v>
      </c>
      <c r="C821" s="45" t="s">
        <v>96</v>
      </c>
      <c r="D821" s="45" t="s">
        <v>75</v>
      </c>
      <c r="E821" s="45" t="s">
        <v>107</v>
      </c>
      <c r="F821" s="46">
        <v>0.0</v>
      </c>
      <c r="G821" s="46">
        <v>0.0</v>
      </c>
      <c r="H821" s="46">
        <v>0.0</v>
      </c>
      <c r="I821" s="46">
        <v>0.0</v>
      </c>
      <c r="J821" s="46">
        <v>0.0</v>
      </c>
      <c r="K821" s="46">
        <v>0.0</v>
      </c>
      <c r="L821" s="46">
        <v>0.0</v>
      </c>
      <c r="M821" s="46">
        <v>0.0</v>
      </c>
      <c r="N821" s="46">
        <v>0.0</v>
      </c>
      <c r="O821" s="46">
        <v>0.0</v>
      </c>
      <c r="P821" s="46">
        <v>0.0</v>
      </c>
      <c r="Q821" s="46">
        <v>0.0</v>
      </c>
    </row>
    <row r="822">
      <c r="A822" s="47">
        <v>46197.0</v>
      </c>
      <c r="B822" s="48">
        <v>0.7986111111111112</v>
      </c>
      <c r="C822" s="37" t="s">
        <v>15</v>
      </c>
      <c r="D822" s="37" t="s">
        <v>87</v>
      </c>
      <c r="E822" s="37" t="s">
        <v>52</v>
      </c>
      <c r="F822" s="38">
        <v>3.0</v>
      </c>
      <c r="G822" s="38">
        <v>2.0</v>
      </c>
      <c r="H822" s="38">
        <v>0.0</v>
      </c>
      <c r="I822" s="38">
        <v>0.0</v>
      </c>
      <c r="J822" s="38">
        <v>1.0</v>
      </c>
      <c r="K822" s="38">
        <v>2.0</v>
      </c>
      <c r="L822" s="38">
        <v>3.0</v>
      </c>
      <c r="M822" s="38">
        <v>0.0</v>
      </c>
      <c r="N822" s="38">
        <v>0.0</v>
      </c>
      <c r="O822" s="38">
        <v>1.0</v>
      </c>
      <c r="P822" s="38">
        <v>1.0</v>
      </c>
      <c r="Q822" s="38">
        <v>2.0</v>
      </c>
    </row>
    <row r="823">
      <c r="A823" s="49">
        <v>46197.0</v>
      </c>
      <c r="B823" s="50">
        <v>0.7986111111111112</v>
      </c>
      <c r="C823" s="41" t="s">
        <v>15</v>
      </c>
      <c r="D823" s="41" t="s">
        <v>87</v>
      </c>
      <c r="E823" s="41" t="s">
        <v>88</v>
      </c>
      <c r="F823" s="42">
        <v>0.0</v>
      </c>
      <c r="G823" s="42">
        <v>0.0</v>
      </c>
      <c r="H823" s="42">
        <v>0.0</v>
      </c>
      <c r="I823" s="42">
        <v>0.0</v>
      </c>
      <c r="J823" s="42">
        <v>0.0</v>
      </c>
      <c r="K823" s="42">
        <v>0.0</v>
      </c>
      <c r="L823" s="42">
        <v>0.0</v>
      </c>
      <c r="M823" s="42">
        <v>0.0</v>
      </c>
      <c r="N823" s="42">
        <v>0.0</v>
      </c>
      <c r="O823" s="42">
        <v>0.0</v>
      </c>
      <c r="P823" s="42">
        <v>0.0</v>
      </c>
      <c r="Q823" s="42">
        <v>0.0</v>
      </c>
    </row>
    <row r="824">
      <c r="A824" s="47">
        <v>46197.0</v>
      </c>
      <c r="B824" s="48">
        <v>0.7986111111111112</v>
      </c>
      <c r="C824" s="37" t="s">
        <v>15</v>
      </c>
      <c r="D824" s="37" t="s">
        <v>87</v>
      </c>
      <c r="E824" s="37" t="s">
        <v>89</v>
      </c>
      <c r="F824" s="38">
        <v>0.0</v>
      </c>
      <c r="G824" s="38">
        <v>0.0</v>
      </c>
      <c r="H824" s="38">
        <v>0.0</v>
      </c>
      <c r="I824" s="38">
        <v>0.0</v>
      </c>
      <c r="J824" s="38">
        <v>0.0</v>
      </c>
      <c r="K824" s="38">
        <v>0.0</v>
      </c>
      <c r="L824" s="38">
        <v>0.0</v>
      </c>
      <c r="M824" s="38">
        <v>0.0</v>
      </c>
      <c r="N824" s="38">
        <v>0.0</v>
      </c>
      <c r="O824" s="38">
        <v>0.0</v>
      </c>
      <c r="P824" s="38">
        <v>0.0</v>
      </c>
      <c r="Q824" s="38">
        <v>0.0</v>
      </c>
    </row>
    <row r="825">
      <c r="A825" s="49">
        <v>46197.0</v>
      </c>
      <c r="B825" s="50">
        <v>0.7986111111111112</v>
      </c>
      <c r="C825" s="41" t="s">
        <v>15</v>
      </c>
      <c r="D825" s="41" t="s">
        <v>87</v>
      </c>
      <c r="E825" s="41" t="s">
        <v>50</v>
      </c>
      <c r="F825" s="42">
        <v>0.0</v>
      </c>
      <c r="G825" s="42">
        <v>0.0</v>
      </c>
      <c r="H825" s="42">
        <v>0.0</v>
      </c>
      <c r="I825" s="42">
        <v>0.0</v>
      </c>
      <c r="J825" s="42">
        <v>0.0</v>
      </c>
      <c r="K825" s="42">
        <v>0.0</v>
      </c>
      <c r="L825" s="42">
        <v>0.0</v>
      </c>
      <c r="M825" s="42">
        <v>0.0</v>
      </c>
      <c r="N825" s="42">
        <v>0.0</v>
      </c>
      <c r="O825" s="42">
        <v>0.0</v>
      </c>
      <c r="P825" s="42">
        <v>0.0</v>
      </c>
      <c r="Q825" s="42">
        <v>0.0</v>
      </c>
    </row>
    <row r="826">
      <c r="A826" s="47">
        <v>46197.0</v>
      </c>
      <c r="B826" s="48">
        <v>0.7986111111111112</v>
      </c>
      <c r="C826" s="37" t="s">
        <v>15</v>
      </c>
      <c r="D826" s="37" t="s">
        <v>87</v>
      </c>
      <c r="E826" s="37" t="s">
        <v>90</v>
      </c>
      <c r="F826" s="38">
        <v>0.0</v>
      </c>
      <c r="G826" s="38">
        <v>0.0</v>
      </c>
      <c r="H826" s="38">
        <v>0.0</v>
      </c>
      <c r="I826" s="38">
        <v>0.0</v>
      </c>
      <c r="J826" s="38">
        <v>0.0</v>
      </c>
      <c r="K826" s="38">
        <v>0.0</v>
      </c>
      <c r="L826" s="38">
        <v>0.0</v>
      </c>
      <c r="M826" s="38">
        <v>0.0</v>
      </c>
      <c r="N826" s="38">
        <v>0.0</v>
      </c>
      <c r="O826" s="38">
        <v>0.0</v>
      </c>
      <c r="P826" s="38">
        <v>0.0</v>
      </c>
      <c r="Q826" s="38">
        <v>0.0</v>
      </c>
    </row>
    <row r="827">
      <c r="A827" s="49">
        <v>46197.0</v>
      </c>
      <c r="B827" s="50">
        <v>0.7986111111111112</v>
      </c>
      <c r="C827" s="41" t="s">
        <v>15</v>
      </c>
      <c r="D827" s="41" t="s">
        <v>87</v>
      </c>
      <c r="E827" s="41" t="s">
        <v>91</v>
      </c>
      <c r="F827" s="42">
        <v>0.0</v>
      </c>
      <c r="G827" s="42">
        <v>0.0</v>
      </c>
      <c r="H827" s="42">
        <v>0.0</v>
      </c>
      <c r="I827" s="42">
        <v>0.0</v>
      </c>
      <c r="J827" s="42">
        <v>0.0</v>
      </c>
      <c r="K827" s="42">
        <v>0.0</v>
      </c>
      <c r="L827" s="42">
        <v>0.0</v>
      </c>
      <c r="M827" s="42">
        <v>0.0</v>
      </c>
      <c r="N827" s="42">
        <v>0.0</v>
      </c>
      <c r="O827" s="42">
        <v>0.0</v>
      </c>
      <c r="P827" s="42">
        <v>0.0</v>
      </c>
      <c r="Q827" s="42">
        <v>0.0</v>
      </c>
    </row>
    <row r="828">
      <c r="A828" s="47">
        <v>46197.0</v>
      </c>
      <c r="B828" s="48">
        <v>0.7986111111111112</v>
      </c>
      <c r="C828" s="37" t="s">
        <v>15</v>
      </c>
      <c r="D828" s="37" t="s">
        <v>87</v>
      </c>
      <c r="E828" s="37" t="s">
        <v>92</v>
      </c>
      <c r="F828" s="38">
        <v>0.0</v>
      </c>
      <c r="G828" s="38">
        <v>0.0</v>
      </c>
      <c r="H828" s="38">
        <v>0.0</v>
      </c>
      <c r="I828" s="38">
        <v>0.0</v>
      </c>
      <c r="J828" s="38">
        <v>0.0</v>
      </c>
      <c r="K828" s="38">
        <v>0.0</v>
      </c>
      <c r="L828" s="38">
        <v>0.0</v>
      </c>
      <c r="M828" s="38">
        <v>0.0</v>
      </c>
      <c r="N828" s="38">
        <v>0.0</v>
      </c>
      <c r="O828" s="38">
        <v>0.0</v>
      </c>
      <c r="P828" s="38">
        <v>0.0</v>
      </c>
      <c r="Q828" s="38">
        <v>0.0</v>
      </c>
    </row>
    <row r="829">
      <c r="A829" s="49">
        <v>46197.0</v>
      </c>
      <c r="B829" s="50">
        <v>0.7986111111111112</v>
      </c>
      <c r="C829" s="41" t="s">
        <v>15</v>
      </c>
      <c r="D829" s="41" t="s">
        <v>87</v>
      </c>
      <c r="E829" s="41" t="s">
        <v>106</v>
      </c>
      <c r="F829" s="42">
        <v>0.0</v>
      </c>
      <c r="G829" s="42">
        <v>0.0</v>
      </c>
      <c r="H829" s="42">
        <v>0.0</v>
      </c>
      <c r="I829" s="42">
        <v>0.0</v>
      </c>
      <c r="J829" s="42">
        <v>0.0</v>
      </c>
      <c r="K829" s="42">
        <v>0.0</v>
      </c>
      <c r="L829" s="42">
        <v>0.0</v>
      </c>
      <c r="M829" s="42">
        <v>0.0</v>
      </c>
      <c r="N829" s="42">
        <v>0.0</v>
      </c>
      <c r="O829" s="42">
        <v>0.0</v>
      </c>
      <c r="P829" s="42">
        <v>0.0</v>
      </c>
      <c r="Q829" s="42">
        <v>0.0</v>
      </c>
    </row>
    <row r="830">
      <c r="A830" s="47">
        <v>46197.0</v>
      </c>
      <c r="B830" s="48">
        <v>0.7986111111111112</v>
      </c>
      <c r="C830" s="37" t="s">
        <v>15</v>
      </c>
      <c r="D830" s="37" t="s">
        <v>87</v>
      </c>
      <c r="E830" s="37" t="s">
        <v>107</v>
      </c>
      <c r="F830" s="38">
        <v>0.0</v>
      </c>
      <c r="G830" s="38">
        <v>0.0</v>
      </c>
      <c r="H830" s="38">
        <v>0.0</v>
      </c>
      <c r="I830" s="38">
        <v>0.0</v>
      </c>
      <c r="J830" s="38">
        <v>0.0</v>
      </c>
      <c r="K830" s="38">
        <v>0.0</v>
      </c>
      <c r="L830" s="38">
        <v>0.0</v>
      </c>
      <c r="M830" s="38">
        <v>0.0</v>
      </c>
      <c r="N830" s="38">
        <v>0.0</v>
      </c>
      <c r="O830" s="38">
        <v>0.0</v>
      </c>
      <c r="P830" s="38">
        <v>0.0</v>
      </c>
      <c r="Q830" s="38">
        <v>0.0</v>
      </c>
    </row>
    <row r="831">
      <c r="A831" s="49">
        <v>46197.0</v>
      </c>
      <c r="B831" s="50">
        <v>0.7986111111111112</v>
      </c>
      <c r="C831" s="41" t="s">
        <v>23</v>
      </c>
      <c r="D831" s="41" t="s">
        <v>93</v>
      </c>
      <c r="E831" s="41" t="s">
        <v>52</v>
      </c>
      <c r="F831" s="42">
        <v>1.0</v>
      </c>
      <c r="G831" s="42">
        <v>1.0</v>
      </c>
      <c r="H831" s="42">
        <v>0.0</v>
      </c>
      <c r="I831" s="42">
        <v>0.0</v>
      </c>
      <c r="J831" s="42">
        <v>0.0</v>
      </c>
      <c r="K831" s="42">
        <v>1.0</v>
      </c>
      <c r="L831" s="42">
        <v>1.0</v>
      </c>
      <c r="M831" s="42">
        <v>0.0</v>
      </c>
      <c r="N831" s="42">
        <v>0.0</v>
      </c>
      <c r="O831" s="42">
        <v>0.0</v>
      </c>
      <c r="P831" s="42">
        <v>1.0</v>
      </c>
      <c r="Q831" s="42">
        <v>1.0</v>
      </c>
    </row>
    <row r="832">
      <c r="A832" s="47">
        <v>46197.0</v>
      </c>
      <c r="B832" s="48">
        <v>0.7986111111111112</v>
      </c>
      <c r="C832" s="37" t="s">
        <v>23</v>
      </c>
      <c r="D832" s="37" t="s">
        <v>93</v>
      </c>
      <c r="E832" s="37" t="s">
        <v>88</v>
      </c>
      <c r="F832" s="38">
        <v>0.0</v>
      </c>
      <c r="G832" s="38">
        <v>0.0</v>
      </c>
      <c r="H832" s="38">
        <v>0.0</v>
      </c>
      <c r="I832" s="38">
        <v>0.0</v>
      </c>
      <c r="J832" s="38">
        <v>0.0</v>
      </c>
      <c r="K832" s="38">
        <v>0.0</v>
      </c>
      <c r="L832" s="38">
        <v>0.0</v>
      </c>
      <c r="M832" s="38">
        <v>0.0</v>
      </c>
      <c r="N832" s="38">
        <v>0.0</v>
      </c>
      <c r="O832" s="38">
        <v>0.0</v>
      </c>
      <c r="P832" s="38">
        <v>0.0</v>
      </c>
      <c r="Q832" s="38">
        <v>0.0</v>
      </c>
    </row>
    <row r="833">
      <c r="A833" s="49">
        <v>46197.0</v>
      </c>
      <c r="B833" s="50">
        <v>0.7986111111111112</v>
      </c>
      <c r="C833" s="41" t="s">
        <v>23</v>
      </c>
      <c r="D833" s="41" t="s">
        <v>93</v>
      </c>
      <c r="E833" s="41" t="s">
        <v>89</v>
      </c>
      <c r="F833" s="42">
        <v>0.0</v>
      </c>
      <c r="G833" s="42">
        <v>0.0</v>
      </c>
      <c r="H833" s="42">
        <v>0.0</v>
      </c>
      <c r="I833" s="42">
        <v>0.0</v>
      </c>
      <c r="J833" s="42">
        <v>0.0</v>
      </c>
      <c r="K833" s="42">
        <v>0.0</v>
      </c>
      <c r="L833" s="42">
        <v>0.0</v>
      </c>
      <c r="M833" s="42">
        <v>0.0</v>
      </c>
      <c r="N833" s="42">
        <v>0.0</v>
      </c>
      <c r="O833" s="42">
        <v>0.0</v>
      </c>
      <c r="P833" s="42">
        <v>0.0</v>
      </c>
      <c r="Q833" s="42">
        <v>0.0</v>
      </c>
    </row>
    <row r="834">
      <c r="A834" s="47">
        <v>46197.0</v>
      </c>
      <c r="B834" s="48">
        <v>0.7986111111111112</v>
      </c>
      <c r="C834" s="37" t="s">
        <v>23</v>
      </c>
      <c r="D834" s="37" t="s">
        <v>93</v>
      </c>
      <c r="E834" s="37" t="s">
        <v>50</v>
      </c>
      <c r="F834" s="38">
        <v>0.0</v>
      </c>
      <c r="G834" s="38">
        <v>0.0</v>
      </c>
      <c r="H834" s="38">
        <v>0.0</v>
      </c>
      <c r="I834" s="38">
        <v>0.0</v>
      </c>
      <c r="J834" s="38">
        <v>0.0</v>
      </c>
      <c r="K834" s="38">
        <v>0.0</v>
      </c>
      <c r="L834" s="38">
        <v>0.0</v>
      </c>
      <c r="M834" s="38">
        <v>0.0</v>
      </c>
      <c r="N834" s="38">
        <v>0.0</v>
      </c>
      <c r="O834" s="38">
        <v>0.0</v>
      </c>
      <c r="P834" s="38">
        <v>0.0</v>
      </c>
      <c r="Q834" s="38">
        <v>0.0</v>
      </c>
    </row>
    <row r="835">
      <c r="A835" s="49">
        <v>46197.0</v>
      </c>
      <c r="B835" s="50">
        <v>0.7986111111111112</v>
      </c>
      <c r="C835" s="41" t="s">
        <v>23</v>
      </c>
      <c r="D835" s="41" t="s">
        <v>93</v>
      </c>
      <c r="E835" s="41" t="s">
        <v>90</v>
      </c>
      <c r="F835" s="42">
        <v>0.0</v>
      </c>
      <c r="G835" s="42">
        <v>0.0</v>
      </c>
      <c r="H835" s="42">
        <v>0.0</v>
      </c>
      <c r="I835" s="42">
        <v>0.0</v>
      </c>
      <c r="J835" s="42">
        <v>0.0</v>
      </c>
      <c r="K835" s="42">
        <v>0.0</v>
      </c>
      <c r="L835" s="42">
        <v>0.0</v>
      </c>
      <c r="M835" s="42">
        <v>0.0</v>
      </c>
      <c r="N835" s="42">
        <v>0.0</v>
      </c>
      <c r="O835" s="42">
        <v>0.0</v>
      </c>
      <c r="P835" s="42">
        <v>0.0</v>
      </c>
      <c r="Q835" s="42">
        <v>0.0</v>
      </c>
    </row>
    <row r="836">
      <c r="A836" s="47">
        <v>46197.0</v>
      </c>
      <c r="B836" s="48">
        <v>0.7986111111111112</v>
      </c>
      <c r="C836" s="37" t="s">
        <v>23</v>
      </c>
      <c r="D836" s="37" t="s">
        <v>93</v>
      </c>
      <c r="E836" s="37" t="s">
        <v>91</v>
      </c>
      <c r="F836" s="38">
        <v>0.0</v>
      </c>
      <c r="G836" s="38">
        <v>0.0</v>
      </c>
      <c r="H836" s="38">
        <v>0.0</v>
      </c>
      <c r="I836" s="38">
        <v>0.0</v>
      </c>
      <c r="J836" s="38">
        <v>0.0</v>
      </c>
      <c r="K836" s="38">
        <v>0.0</v>
      </c>
      <c r="L836" s="38">
        <v>0.0</v>
      </c>
      <c r="M836" s="38">
        <v>0.0</v>
      </c>
      <c r="N836" s="38">
        <v>0.0</v>
      </c>
      <c r="O836" s="38">
        <v>0.0</v>
      </c>
      <c r="P836" s="38">
        <v>0.0</v>
      </c>
      <c r="Q836" s="38">
        <v>0.0</v>
      </c>
    </row>
    <row r="837">
      <c r="A837" s="49">
        <v>46197.0</v>
      </c>
      <c r="B837" s="50">
        <v>0.7986111111111112</v>
      </c>
      <c r="C837" s="41" t="s">
        <v>23</v>
      </c>
      <c r="D837" s="41" t="s">
        <v>93</v>
      </c>
      <c r="E837" s="41" t="s">
        <v>92</v>
      </c>
      <c r="F837" s="42">
        <v>0.0</v>
      </c>
      <c r="G837" s="42">
        <v>0.0</v>
      </c>
      <c r="H837" s="42">
        <v>0.0</v>
      </c>
      <c r="I837" s="42">
        <v>0.0</v>
      </c>
      <c r="J837" s="42">
        <v>0.0</v>
      </c>
      <c r="K837" s="42">
        <v>0.0</v>
      </c>
      <c r="L837" s="42">
        <v>0.0</v>
      </c>
      <c r="M837" s="42">
        <v>0.0</v>
      </c>
      <c r="N837" s="42">
        <v>0.0</v>
      </c>
      <c r="O837" s="42">
        <v>0.0</v>
      </c>
      <c r="P837" s="42">
        <v>0.0</v>
      </c>
      <c r="Q837" s="42">
        <v>0.0</v>
      </c>
    </row>
    <row r="838">
      <c r="A838" s="47">
        <v>46197.0</v>
      </c>
      <c r="B838" s="48">
        <v>0.7986111111111112</v>
      </c>
      <c r="C838" s="37" t="s">
        <v>23</v>
      </c>
      <c r="D838" s="37" t="s">
        <v>93</v>
      </c>
      <c r="E838" s="37" t="s">
        <v>106</v>
      </c>
      <c r="F838" s="38">
        <v>0.0</v>
      </c>
      <c r="G838" s="38">
        <v>0.0</v>
      </c>
      <c r="H838" s="38">
        <v>0.0</v>
      </c>
      <c r="I838" s="38">
        <v>0.0</v>
      </c>
      <c r="J838" s="38">
        <v>0.0</v>
      </c>
      <c r="K838" s="38">
        <v>0.0</v>
      </c>
      <c r="L838" s="38">
        <v>0.0</v>
      </c>
      <c r="M838" s="38">
        <v>0.0</v>
      </c>
      <c r="N838" s="38">
        <v>0.0</v>
      </c>
      <c r="O838" s="38">
        <v>0.0</v>
      </c>
      <c r="P838" s="38">
        <v>0.0</v>
      </c>
      <c r="Q838" s="38">
        <v>0.0</v>
      </c>
    </row>
    <row r="839">
      <c r="A839" s="49">
        <v>46197.0</v>
      </c>
      <c r="B839" s="50">
        <v>0.7986111111111112</v>
      </c>
      <c r="C839" s="41" t="s">
        <v>23</v>
      </c>
      <c r="D839" s="41" t="s">
        <v>93</v>
      </c>
      <c r="E839" s="41" t="s">
        <v>107</v>
      </c>
      <c r="F839" s="42">
        <v>0.0</v>
      </c>
      <c r="G839" s="42">
        <v>0.0</v>
      </c>
      <c r="H839" s="42">
        <v>0.0</v>
      </c>
      <c r="I839" s="42">
        <v>0.0</v>
      </c>
      <c r="J839" s="42">
        <v>0.0</v>
      </c>
      <c r="K839" s="42">
        <v>0.0</v>
      </c>
      <c r="L839" s="42">
        <v>0.0</v>
      </c>
      <c r="M839" s="42">
        <v>0.0</v>
      </c>
      <c r="N839" s="42">
        <v>0.0</v>
      </c>
      <c r="O839" s="42">
        <v>0.0</v>
      </c>
      <c r="P839" s="42">
        <v>0.0</v>
      </c>
      <c r="Q839" s="42">
        <v>0.0</v>
      </c>
    </row>
    <row r="840">
      <c r="A840" s="47">
        <v>46197.0</v>
      </c>
      <c r="B840" s="48">
        <v>0.7986111111111112</v>
      </c>
      <c r="C840" s="37" t="s">
        <v>29</v>
      </c>
      <c r="D840" s="37" t="s">
        <v>94</v>
      </c>
      <c r="E840" s="37" t="s">
        <v>52</v>
      </c>
      <c r="F840" s="38">
        <v>6.0</v>
      </c>
      <c r="G840" s="38">
        <v>3.0</v>
      </c>
      <c r="H840" s="38">
        <v>0.0</v>
      </c>
      <c r="I840" s="38">
        <v>0.0</v>
      </c>
      <c r="J840" s="38">
        <v>0.0</v>
      </c>
      <c r="K840" s="38">
        <v>6.0</v>
      </c>
      <c r="L840" s="38">
        <v>6.0</v>
      </c>
      <c r="M840" s="38">
        <v>0.0</v>
      </c>
      <c r="N840" s="38">
        <v>0.0</v>
      </c>
      <c r="O840" s="38">
        <v>0.0</v>
      </c>
      <c r="P840" s="38">
        <v>3.0</v>
      </c>
      <c r="Q840" s="38">
        <v>3.0</v>
      </c>
    </row>
    <row r="841">
      <c r="A841" s="49">
        <v>46197.0</v>
      </c>
      <c r="B841" s="50">
        <v>0.7986111111111112</v>
      </c>
      <c r="C841" s="41" t="s">
        <v>29</v>
      </c>
      <c r="D841" s="41" t="s">
        <v>94</v>
      </c>
      <c r="E841" s="41" t="s">
        <v>88</v>
      </c>
      <c r="F841" s="42">
        <v>0.0</v>
      </c>
      <c r="G841" s="42">
        <v>0.0</v>
      </c>
      <c r="H841" s="42">
        <v>0.0</v>
      </c>
      <c r="I841" s="42">
        <v>0.0</v>
      </c>
      <c r="J841" s="42">
        <v>0.0</v>
      </c>
      <c r="K841" s="42">
        <v>0.0</v>
      </c>
      <c r="L841" s="42">
        <v>0.0</v>
      </c>
      <c r="M841" s="42">
        <v>0.0</v>
      </c>
      <c r="N841" s="42">
        <v>0.0</v>
      </c>
      <c r="O841" s="42">
        <v>0.0</v>
      </c>
      <c r="P841" s="42">
        <v>0.0</v>
      </c>
      <c r="Q841" s="42">
        <v>0.0</v>
      </c>
    </row>
    <row r="842">
      <c r="A842" s="47">
        <v>46197.0</v>
      </c>
      <c r="B842" s="48">
        <v>0.7986111111111112</v>
      </c>
      <c r="C842" s="37" t="s">
        <v>29</v>
      </c>
      <c r="D842" s="37" t="s">
        <v>94</v>
      </c>
      <c r="E842" s="37" t="s">
        <v>89</v>
      </c>
      <c r="F842" s="38">
        <v>1.0</v>
      </c>
      <c r="G842" s="38">
        <v>0.0</v>
      </c>
      <c r="H842" s="38">
        <v>0.0</v>
      </c>
      <c r="I842" s="38">
        <v>0.0</v>
      </c>
      <c r="J842" s="38">
        <v>0.0</v>
      </c>
      <c r="K842" s="38">
        <v>1.0</v>
      </c>
      <c r="L842" s="38">
        <v>1.0</v>
      </c>
      <c r="M842" s="38">
        <v>0.0</v>
      </c>
      <c r="N842" s="38">
        <v>0.0</v>
      </c>
      <c r="O842" s="38">
        <v>0.0</v>
      </c>
      <c r="P842" s="38">
        <v>0.0</v>
      </c>
      <c r="Q842" s="38">
        <v>0.0</v>
      </c>
    </row>
    <row r="843">
      <c r="A843" s="49">
        <v>46197.0</v>
      </c>
      <c r="B843" s="50">
        <v>0.7986111111111112</v>
      </c>
      <c r="C843" s="41" t="s">
        <v>29</v>
      </c>
      <c r="D843" s="41" t="s">
        <v>94</v>
      </c>
      <c r="E843" s="41" t="s">
        <v>50</v>
      </c>
      <c r="F843" s="42">
        <v>0.0</v>
      </c>
      <c r="G843" s="42">
        <v>0.0</v>
      </c>
      <c r="H843" s="42">
        <v>0.0</v>
      </c>
      <c r="I843" s="42">
        <v>0.0</v>
      </c>
      <c r="J843" s="42">
        <v>0.0</v>
      </c>
      <c r="K843" s="42">
        <v>0.0</v>
      </c>
      <c r="L843" s="42">
        <v>0.0</v>
      </c>
      <c r="M843" s="42">
        <v>0.0</v>
      </c>
      <c r="N843" s="42">
        <v>0.0</v>
      </c>
      <c r="O843" s="42">
        <v>0.0</v>
      </c>
      <c r="P843" s="42">
        <v>0.0</v>
      </c>
      <c r="Q843" s="42">
        <v>0.0</v>
      </c>
    </row>
    <row r="844">
      <c r="A844" s="47">
        <v>46197.0</v>
      </c>
      <c r="B844" s="48">
        <v>0.7986111111111112</v>
      </c>
      <c r="C844" s="37" t="s">
        <v>29</v>
      </c>
      <c r="D844" s="37" t="s">
        <v>94</v>
      </c>
      <c r="E844" s="37" t="s">
        <v>90</v>
      </c>
      <c r="F844" s="38">
        <v>0.0</v>
      </c>
      <c r="G844" s="38">
        <v>0.0</v>
      </c>
      <c r="H844" s="38">
        <v>0.0</v>
      </c>
      <c r="I844" s="38">
        <v>0.0</v>
      </c>
      <c r="J844" s="38">
        <v>0.0</v>
      </c>
      <c r="K844" s="38">
        <v>0.0</v>
      </c>
      <c r="L844" s="38">
        <v>0.0</v>
      </c>
      <c r="M844" s="38">
        <v>0.0</v>
      </c>
      <c r="N844" s="38">
        <v>0.0</v>
      </c>
      <c r="O844" s="38">
        <v>0.0</v>
      </c>
      <c r="P844" s="38">
        <v>0.0</v>
      </c>
      <c r="Q844" s="38">
        <v>0.0</v>
      </c>
    </row>
    <row r="845">
      <c r="A845" s="49">
        <v>46197.0</v>
      </c>
      <c r="B845" s="50">
        <v>0.7986111111111112</v>
      </c>
      <c r="C845" s="41" t="s">
        <v>29</v>
      </c>
      <c r="D845" s="41" t="s">
        <v>94</v>
      </c>
      <c r="E845" s="41" t="s">
        <v>91</v>
      </c>
      <c r="F845" s="42">
        <v>0.0</v>
      </c>
      <c r="G845" s="42">
        <v>0.0</v>
      </c>
      <c r="H845" s="42">
        <v>0.0</v>
      </c>
      <c r="I845" s="42">
        <v>0.0</v>
      </c>
      <c r="J845" s="42">
        <v>0.0</v>
      </c>
      <c r="K845" s="42">
        <v>0.0</v>
      </c>
      <c r="L845" s="42">
        <v>0.0</v>
      </c>
      <c r="M845" s="42">
        <v>0.0</v>
      </c>
      <c r="N845" s="42">
        <v>0.0</v>
      </c>
      <c r="O845" s="42">
        <v>0.0</v>
      </c>
      <c r="P845" s="42">
        <v>0.0</v>
      </c>
      <c r="Q845" s="42">
        <v>0.0</v>
      </c>
    </row>
    <row r="846">
      <c r="A846" s="47">
        <v>46197.0</v>
      </c>
      <c r="B846" s="48">
        <v>0.7986111111111112</v>
      </c>
      <c r="C846" s="37" t="s">
        <v>29</v>
      </c>
      <c r="D846" s="37" t="s">
        <v>94</v>
      </c>
      <c r="E846" s="37" t="s">
        <v>92</v>
      </c>
      <c r="F846" s="38">
        <v>0.0</v>
      </c>
      <c r="G846" s="38">
        <v>0.0</v>
      </c>
      <c r="H846" s="38">
        <v>0.0</v>
      </c>
      <c r="I846" s="38">
        <v>0.0</v>
      </c>
      <c r="J846" s="38">
        <v>0.0</v>
      </c>
      <c r="K846" s="38">
        <v>0.0</v>
      </c>
      <c r="L846" s="38">
        <v>0.0</v>
      </c>
      <c r="M846" s="38">
        <v>0.0</v>
      </c>
      <c r="N846" s="38">
        <v>0.0</v>
      </c>
      <c r="O846" s="38">
        <v>0.0</v>
      </c>
      <c r="P846" s="38">
        <v>0.0</v>
      </c>
      <c r="Q846" s="38">
        <v>0.0</v>
      </c>
    </row>
    <row r="847">
      <c r="A847" s="49">
        <v>46197.0</v>
      </c>
      <c r="B847" s="50">
        <v>0.7986111111111112</v>
      </c>
      <c r="C847" s="41" t="s">
        <v>29</v>
      </c>
      <c r="D847" s="41" t="s">
        <v>94</v>
      </c>
      <c r="E847" s="41" t="s">
        <v>106</v>
      </c>
      <c r="F847" s="42">
        <v>1.0</v>
      </c>
      <c r="G847" s="42">
        <v>0.0</v>
      </c>
      <c r="H847" s="42">
        <v>0.0</v>
      </c>
      <c r="I847" s="42">
        <v>0.0</v>
      </c>
      <c r="J847" s="42">
        <v>1.0</v>
      </c>
      <c r="K847" s="42">
        <v>1.0</v>
      </c>
      <c r="L847" s="42">
        <v>1.0</v>
      </c>
      <c r="M847" s="42">
        <v>0.0</v>
      </c>
      <c r="N847" s="42">
        <v>0.0</v>
      </c>
      <c r="O847" s="42">
        <v>0.0</v>
      </c>
      <c r="P847" s="42">
        <v>0.0</v>
      </c>
      <c r="Q847" s="42">
        <v>0.0</v>
      </c>
    </row>
    <row r="848">
      <c r="A848" s="47">
        <v>46197.0</v>
      </c>
      <c r="B848" s="48">
        <v>0.7986111111111112</v>
      </c>
      <c r="C848" s="37" t="s">
        <v>29</v>
      </c>
      <c r="D848" s="37" t="s">
        <v>94</v>
      </c>
      <c r="E848" s="37" t="s">
        <v>107</v>
      </c>
      <c r="F848" s="38">
        <v>0.0</v>
      </c>
      <c r="G848" s="38">
        <v>0.0</v>
      </c>
      <c r="H848" s="38">
        <v>0.0</v>
      </c>
      <c r="I848" s="38">
        <v>0.0</v>
      </c>
      <c r="J848" s="38">
        <v>0.0</v>
      </c>
      <c r="K848" s="38">
        <v>0.0</v>
      </c>
      <c r="L848" s="38">
        <v>0.0</v>
      </c>
      <c r="M848" s="38">
        <v>0.0</v>
      </c>
      <c r="N848" s="38">
        <v>0.0</v>
      </c>
      <c r="O848" s="38">
        <v>0.0</v>
      </c>
      <c r="P848" s="38">
        <v>0.0</v>
      </c>
      <c r="Q848" s="38">
        <v>0.0</v>
      </c>
    </row>
    <row r="849">
      <c r="A849" s="49">
        <v>46197.0</v>
      </c>
      <c r="B849" s="50">
        <v>0.7986111111111112</v>
      </c>
      <c r="C849" s="41" t="s">
        <v>31</v>
      </c>
      <c r="D849" s="41" t="s">
        <v>95</v>
      </c>
      <c r="E849" s="41" t="s">
        <v>52</v>
      </c>
      <c r="F849" s="42">
        <v>0.0</v>
      </c>
      <c r="G849" s="42">
        <v>0.0</v>
      </c>
      <c r="H849" s="42">
        <v>0.0</v>
      </c>
      <c r="I849" s="42">
        <v>0.0</v>
      </c>
      <c r="J849" s="42">
        <v>0.0</v>
      </c>
      <c r="K849" s="42">
        <v>0.0</v>
      </c>
      <c r="L849" s="42">
        <v>0.0</v>
      </c>
      <c r="M849" s="42">
        <v>0.0</v>
      </c>
      <c r="N849" s="42">
        <v>0.0</v>
      </c>
      <c r="O849" s="42">
        <v>0.0</v>
      </c>
      <c r="P849" s="42">
        <v>0.0</v>
      </c>
      <c r="Q849" s="42">
        <v>0.0</v>
      </c>
    </row>
    <row r="850">
      <c r="A850" s="47">
        <v>46197.0</v>
      </c>
      <c r="B850" s="48">
        <v>0.7986111111111112</v>
      </c>
      <c r="C850" s="37" t="s">
        <v>31</v>
      </c>
      <c r="D850" s="37" t="s">
        <v>95</v>
      </c>
      <c r="E850" s="37" t="s">
        <v>88</v>
      </c>
      <c r="F850" s="38">
        <v>0.0</v>
      </c>
      <c r="G850" s="38">
        <v>0.0</v>
      </c>
      <c r="H850" s="38">
        <v>0.0</v>
      </c>
      <c r="I850" s="38">
        <v>0.0</v>
      </c>
      <c r="J850" s="38">
        <v>0.0</v>
      </c>
      <c r="K850" s="38">
        <v>0.0</v>
      </c>
      <c r="L850" s="38">
        <v>0.0</v>
      </c>
      <c r="M850" s="38">
        <v>0.0</v>
      </c>
      <c r="N850" s="38">
        <v>0.0</v>
      </c>
      <c r="O850" s="38">
        <v>0.0</v>
      </c>
      <c r="P850" s="38">
        <v>0.0</v>
      </c>
      <c r="Q850" s="38">
        <v>0.0</v>
      </c>
    </row>
    <row r="851">
      <c r="A851" s="49">
        <v>46197.0</v>
      </c>
      <c r="B851" s="50">
        <v>0.7986111111111112</v>
      </c>
      <c r="C851" s="41" t="s">
        <v>31</v>
      </c>
      <c r="D851" s="41" t="s">
        <v>95</v>
      </c>
      <c r="E851" s="41" t="s">
        <v>89</v>
      </c>
      <c r="F851" s="42">
        <v>0.0</v>
      </c>
      <c r="G851" s="42">
        <v>0.0</v>
      </c>
      <c r="H851" s="42">
        <v>0.0</v>
      </c>
      <c r="I851" s="42">
        <v>0.0</v>
      </c>
      <c r="J851" s="42">
        <v>0.0</v>
      </c>
      <c r="K851" s="42">
        <v>0.0</v>
      </c>
      <c r="L851" s="42">
        <v>0.0</v>
      </c>
      <c r="M851" s="42">
        <v>0.0</v>
      </c>
      <c r="N851" s="42">
        <v>0.0</v>
      </c>
      <c r="O851" s="42">
        <v>0.0</v>
      </c>
      <c r="P851" s="42">
        <v>0.0</v>
      </c>
      <c r="Q851" s="42">
        <v>0.0</v>
      </c>
    </row>
    <row r="852">
      <c r="A852" s="47">
        <v>46197.0</v>
      </c>
      <c r="B852" s="48">
        <v>0.7986111111111112</v>
      </c>
      <c r="C852" s="37" t="s">
        <v>31</v>
      </c>
      <c r="D852" s="37" t="s">
        <v>95</v>
      </c>
      <c r="E852" s="37" t="s">
        <v>50</v>
      </c>
      <c r="F852" s="38">
        <v>1.0</v>
      </c>
      <c r="G852" s="38">
        <v>1.0</v>
      </c>
      <c r="H852" s="38">
        <v>0.0</v>
      </c>
      <c r="I852" s="38">
        <v>0.0</v>
      </c>
      <c r="J852" s="38">
        <v>0.0</v>
      </c>
      <c r="K852" s="38">
        <v>0.0</v>
      </c>
      <c r="L852" s="38">
        <v>0.0</v>
      </c>
      <c r="M852" s="38">
        <v>0.0</v>
      </c>
      <c r="N852" s="38">
        <v>0.0</v>
      </c>
      <c r="O852" s="38">
        <v>0.0</v>
      </c>
      <c r="P852" s="38">
        <v>0.0</v>
      </c>
      <c r="Q852" s="38">
        <v>0.0</v>
      </c>
    </row>
    <row r="853">
      <c r="A853" s="49">
        <v>46197.0</v>
      </c>
      <c r="B853" s="50">
        <v>0.7986111111111112</v>
      </c>
      <c r="C853" s="41" t="s">
        <v>31</v>
      </c>
      <c r="D853" s="41" t="s">
        <v>95</v>
      </c>
      <c r="E853" s="41" t="s">
        <v>90</v>
      </c>
      <c r="F853" s="42">
        <v>0.0</v>
      </c>
      <c r="G853" s="42">
        <v>0.0</v>
      </c>
      <c r="H853" s="42">
        <v>0.0</v>
      </c>
      <c r="I853" s="42">
        <v>0.0</v>
      </c>
      <c r="J853" s="42">
        <v>0.0</v>
      </c>
      <c r="K853" s="42">
        <v>0.0</v>
      </c>
      <c r="L853" s="42">
        <v>0.0</v>
      </c>
      <c r="M853" s="42">
        <v>0.0</v>
      </c>
      <c r="N853" s="42">
        <v>0.0</v>
      </c>
      <c r="O853" s="42">
        <v>0.0</v>
      </c>
      <c r="P853" s="42">
        <v>0.0</v>
      </c>
      <c r="Q853" s="42">
        <v>0.0</v>
      </c>
    </row>
    <row r="854">
      <c r="A854" s="47">
        <v>46197.0</v>
      </c>
      <c r="B854" s="48">
        <v>0.7986111111111112</v>
      </c>
      <c r="C854" s="37" t="s">
        <v>31</v>
      </c>
      <c r="D854" s="37" t="s">
        <v>95</v>
      </c>
      <c r="E854" s="37" t="s">
        <v>91</v>
      </c>
      <c r="F854" s="38">
        <v>0.0</v>
      </c>
      <c r="G854" s="38">
        <v>0.0</v>
      </c>
      <c r="H854" s="38">
        <v>0.0</v>
      </c>
      <c r="I854" s="38">
        <v>0.0</v>
      </c>
      <c r="J854" s="38">
        <v>0.0</v>
      </c>
      <c r="K854" s="38">
        <v>0.0</v>
      </c>
      <c r="L854" s="38">
        <v>0.0</v>
      </c>
      <c r="M854" s="38">
        <v>0.0</v>
      </c>
      <c r="N854" s="38">
        <v>0.0</v>
      </c>
      <c r="O854" s="38">
        <v>0.0</v>
      </c>
      <c r="P854" s="38">
        <v>0.0</v>
      </c>
      <c r="Q854" s="38">
        <v>0.0</v>
      </c>
    </row>
    <row r="855">
      <c r="A855" s="49">
        <v>46197.0</v>
      </c>
      <c r="B855" s="50">
        <v>0.7986111111111112</v>
      </c>
      <c r="C855" s="41" t="s">
        <v>31</v>
      </c>
      <c r="D855" s="41" t="s">
        <v>95</v>
      </c>
      <c r="E855" s="41" t="s">
        <v>92</v>
      </c>
      <c r="F855" s="42">
        <v>0.0</v>
      </c>
      <c r="G855" s="42">
        <v>0.0</v>
      </c>
      <c r="H855" s="42">
        <v>0.0</v>
      </c>
      <c r="I855" s="42">
        <v>0.0</v>
      </c>
      <c r="J855" s="42">
        <v>0.0</v>
      </c>
      <c r="K855" s="42">
        <v>0.0</v>
      </c>
      <c r="L855" s="42">
        <v>0.0</v>
      </c>
      <c r="M855" s="42">
        <v>0.0</v>
      </c>
      <c r="N855" s="42">
        <v>0.0</v>
      </c>
      <c r="O855" s="42">
        <v>0.0</v>
      </c>
      <c r="P855" s="42">
        <v>0.0</v>
      </c>
      <c r="Q855" s="42">
        <v>0.0</v>
      </c>
    </row>
    <row r="856">
      <c r="A856" s="47">
        <v>46197.0</v>
      </c>
      <c r="B856" s="48">
        <v>0.7986111111111112</v>
      </c>
      <c r="C856" s="37" t="s">
        <v>31</v>
      </c>
      <c r="D856" s="37" t="s">
        <v>95</v>
      </c>
      <c r="E856" s="37" t="s">
        <v>106</v>
      </c>
      <c r="F856" s="38">
        <v>0.0</v>
      </c>
      <c r="G856" s="38">
        <v>0.0</v>
      </c>
      <c r="H856" s="38">
        <v>0.0</v>
      </c>
      <c r="I856" s="38">
        <v>0.0</v>
      </c>
      <c r="J856" s="38">
        <v>0.0</v>
      </c>
      <c r="K856" s="38">
        <v>0.0</v>
      </c>
      <c r="L856" s="38">
        <v>0.0</v>
      </c>
      <c r="M856" s="38">
        <v>0.0</v>
      </c>
      <c r="N856" s="38">
        <v>0.0</v>
      </c>
      <c r="O856" s="38">
        <v>0.0</v>
      </c>
      <c r="P856" s="38">
        <v>0.0</v>
      </c>
      <c r="Q856" s="38">
        <v>0.0</v>
      </c>
    </row>
    <row r="857">
      <c r="A857" s="49">
        <v>46197.0</v>
      </c>
      <c r="B857" s="50">
        <v>0.7986111111111112</v>
      </c>
      <c r="C857" s="41" t="s">
        <v>31</v>
      </c>
      <c r="D857" s="41" t="s">
        <v>95</v>
      </c>
      <c r="E857" s="41" t="s">
        <v>107</v>
      </c>
      <c r="F857" s="42">
        <v>0.0</v>
      </c>
      <c r="G857" s="42">
        <v>0.0</v>
      </c>
      <c r="H857" s="42">
        <v>0.0</v>
      </c>
      <c r="I857" s="42">
        <v>0.0</v>
      </c>
      <c r="J857" s="42">
        <v>0.0</v>
      </c>
      <c r="K857" s="42">
        <v>0.0</v>
      </c>
      <c r="L857" s="42">
        <v>0.0</v>
      </c>
      <c r="M857" s="42">
        <v>0.0</v>
      </c>
      <c r="N857" s="42">
        <v>0.0</v>
      </c>
      <c r="O857" s="42">
        <v>0.0</v>
      </c>
      <c r="P857" s="42">
        <v>0.0</v>
      </c>
      <c r="Q857" s="42">
        <v>0.0</v>
      </c>
    </row>
    <row r="858">
      <c r="A858" s="51">
        <v>46197.0</v>
      </c>
      <c r="B858" s="52">
        <v>0.7986111111111112</v>
      </c>
      <c r="C858" s="45" t="s">
        <v>96</v>
      </c>
      <c r="D858" s="45" t="s">
        <v>75</v>
      </c>
      <c r="E858" s="45" t="s">
        <v>52</v>
      </c>
      <c r="F858" s="46">
        <v>10.0</v>
      </c>
      <c r="G858" s="46">
        <v>6.0</v>
      </c>
      <c r="H858" s="46">
        <v>0.0</v>
      </c>
      <c r="I858" s="46">
        <v>0.0</v>
      </c>
      <c r="J858" s="46">
        <v>1.0</v>
      </c>
      <c r="K858" s="46">
        <v>9.0</v>
      </c>
      <c r="L858" s="46">
        <v>10.0</v>
      </c>
      <c r="M858" s="46">
        <v>0.0</v>
      </c>
      <c r="N858" s="46">
        <v>0.0</v>
      </c>
      <c r="O858" s="46">
        <v>1.0</v>
      </c>
      <c r="P858" s="46">
        <v>5.0</v>
      </c>
      <c r="Q858" s="46">
        <v>6.0</v>
      </c>
    </row>
    <row r="859">
      <c r="A859" s="51">
        <v>46197.0</v>
      </c>
      <c r="B859" s="52">
        <v>0.7986111111111112</v>
      </c>
      <c r="C859" s="45" t="s">
        <v>96</v>
      </c>
      <c r="D859" s="45" t="s">
        <v>75</v>
      </c>
      <c r="E859" s="45" t="s">
        <v>88</v>
      </c>
      <c r="F859" s="46">
        <v>0.0</v>
      </c>
      <c r="G859" s="46">
        <v>0.0</v>
      </c>
      <c r="H859" s="46">
        <v>0.0</v>
      </c>
      <c r="I859" s="46">
        <v>0.0</v>
      </c>
      <c r="J859" s="46">
        <v>0.0</v>
      </c>
      <c r="K859" s="46">
        <v>0.0</v>
      </c>
      <c r="L859" s="46">
        <v>0.0</v>
      </c>
      <c r="M859" s="46">
        <v>0.0</v>
      </c>
      <c r="N859" s="46">
        <v>0.0</v>
      </c>
      <c r="O859" s="46">
        <v>0.0</v>
      </c>
      <c r="P859" s="46">
        <v>0.0</v>
      </c>
      <c r="Q859" s="46">
        <v>0.0</v>
      </c>
    </row>
    <row r="860">
      <c r="A860" s="51">
        <v>46197.0</v>
      </c>
      <c r="B860" s="52">
        <v>0.7986111111111112</v>
      </c>
      <c r="C860" s="45" t="s">
        <v>96</v>
      </c>
      <c r="D860" s="45" t="s">
        <v>75</v>
      </c>
      <c r="E860" s="45" t="s">
        <v>89</v>
      </c>
      <c r="F860" s="46">
        <v>1.0</v>
      </c>
      <c r="G860" s="46">
        <v>0.0</v>
      </c>
      <c r="H860" s="46">
        <v>0.0</v>
      </c>
      <c r="I860" s="46">
        <v>0.0</v>
      </c>
      <c r="J860" s="46">
        <v>0.0</v>
      </c>
      <c r="K860" s="46">
        <v>1.0</v>
      </c>
      <c r="L860" s="46">
        <v>1.0</v>
      </c>
      <c r="M860" s="46">
        <v>0.0</v>
      </c>
      <c r="N860" s="46">
        <v>0.0</v>
      </c>
      <c r="O860" s="46">
        <v>0.0</v>
      </c>
      <c r="P860" s="46">
        <v>0.0</v>
      </c>
      <c r="Q860" s="46">
        <v>0.0</v>
      </c>
    </row>
    <row r="861">
      <c r="A861" s="51">
        <v>46197.0</v>
      </c>
      <c r="B861" s="52">
        <v>0.7986111111111112</v>
      </c>
      <c r="C861" s="45" t="s">
        <v>96</v>
      </c>
      <c r="D861" s="45" t="s">
        <v>75</v>
      </c>
      <c r="E861" s="45" t="s">
        <v>50</v>
      </c>
      <c r="F861" s="46">
        <v>1.0</v>
      </c>
      <c r="G861" s="46">
        <v>1.0</v>
      </c>
      <c r="H861" s="46">
        <v>0.0</v>
      </c>
      <c r="I861" s="46">
        <v>0.0</v>
      </c>
      <c r="J861" s="46">
        <v>0.0</v>
      </c>
      <c r="K861" s="46">
        <v>0.0</v>
      </c>
      <c r="L861" s="46">
        <v>0.0</v>
      </c>
      <c r="M861" s="46">
        <v>0.0</v>
      </c>
      <c r="N861" s="46">
        <v>0.0</v>
      </c>
      <c r="O861" s="46">
        <v>0.0</v>
      </c>
      <c r="P861" s="46">
        <v>0.0</v>
      </c>
      <c r="Q861" s="46">
        <v>0.0</v>
      </c>
    </row>
    <row r="862">
      <c r="A862" s="51">
        <v>46197.0</v>
      </c>
      <c r="B862" s="52">
        <v>0.7986111111111112</v>
      </c>
      <c r="C862" s="45" t="s">
        <v>96</v>
      </c>
      <c r="D862" s="45" t="s">
        <v>75</v>
      </c>
      <c r="E862" s="45" t="s">
        <v>90</v>
      </c>
      <c r="F862" s="46">
        <v>0.0</v>
      </c>
      <c r="G862" s="46">
        <v>0.0</v>
      </c>
      <c r="H862" s="46">
        <v>0.0</v>
      </c>
      <c r="I862" s="46">
        <v>0.0</v>
      </c>
      <c r="J862" s="46">
        <v>0.0</v>
      </c>
      <c r="K862" s="46">
        <v>0.0</v>
      </c>
      <c r="L862" s="46">
        <v>0.0</v>
      </c>
      <c r="M862" s="46">
        <v>0.0</v>
      </c>
      <c r="N862" s="46">
        <v>0.0</v>
      </c>
      <c r="O862" s="46">
        <v>0.0</v>
      </c>
      <c r="P862" s="46">
        <v>0.0</v>
      </c>
      <c r="Q862" s="46">
        <v>0.0</v>
      </c>
    </row>
    <row r="863">
      <c r="A863" s="51">
        <v>46197.0</v>
      </c>
      <c r="B863" s="52">
        <v>0.7986111111111112</v>
      </c>
      <c r="C863" s="45" t="s">
        <v>96</v>
      </c>
      <c r="D863" s="45" t="s">
        <v>75</v>
      </c>
      <c r="E863" s="45" t="s">
        <v>91</v>
      </c>
      <c r="F863" s="46">
        <v>0.0</v>
      </c>
      <c r="G863" s="46">
        <v>0.0</v>
      </c>
      <c r="H863" s="46">
        <v>0.0</v>
      </c>
      <c r="I863" s="46">
        <v>0.0</v>
      </c>
      <c r="J863" s="46">
        <v>0.0</v>
      </c>
      <c r="K863" s="46">
        <v>0.0</v>
      </c>
      <c r="L863" s="46">
        <v>0.0</v>
      </c>
      <c r="M863" s="46">
        <v>0.0</v>
      </c>
      <c r="N863" s="46">
        <v>0.0</v>
      </c>
      <c r="O863" s="46">
        <v>0.0</v>
      </c>
      <c r="P863" s="46">
        <v>0.0</v>
      </c>
      <c r="Q863" s="46">
        <v>0.0</v>
      </c>
    </row>
    <row r="864">
      <c r="A864" s="51">
        <v>46197.0</v>
      </c>
      <c r="B864" s="52">
        <v>0.7986111111111112</v>
      </c>
      <c r="C864" s="45" t="s">
        <v>96</v>
      </c>
      <c r="D864" s="45" t="s">
        <v>75</v>
      </c>
      <c r="E864" s="45" t="s">
        <v>92</v>
      </c>
      <c r="F864" s="46">
        <v>0.0</v>
      </c>
      <c r="G864" s="46">
        <v>0.0</v>
      </c>
      <c r="H864" s="46">
        <v>0.0</v>
      </c>
      <c r="I864" s="46">
        <v>0.0</v>
      </c>
      <c r="J864" s="46">
        <v>0.0</v>
      </c>
      <c r="K864" s="46">
        <v>0.0</v>
      </c>
      <c r="L864" s="46">
        <v>0.0</v>
      </c>
      <c r="M864" s="46">
        <v>0.0</v>
      </c>
      <c r="N864" s="46">
        <v>0.0</v>
      </c>
      <c r="O864" s="46">
        <v>0.0</v>
      </c>
      <c r="P864" s="46">
        <v>0.0</v>
      </c>
      <c r="Q864" s="46">
        <v>0.0</v>
      </c>
    </row>
    <row r="865">
      <c r="A865" s="51">
        <v>46197.0</v>
      </c>
      <c r="B865" s="52">
        <v>0.7986111111111112</v>
      </c>
      <c r="C865" s="45" t="s">
        <v>96</v>
      </c>
      <c r="D865" s="45" t="s">
        <v>75</v>
      </c>
      <c r="E865" s="45" t="s">
        <v>106</v>
      </c>
      <c r="F865" s="46">
        <v>1.0</v>
      </c>
      <c r="G865" s="46">
        <v>0.0</v>
      </c>
      <c r="H865" s="46">
        <v>0.0</v>
      </c>
      <c r="I865" s="46">
        <v>0.0</v>
      </c>
      <c r="J865" s="46">
        <v>1.0</v>
      </c>
      <c r="K865" s="46">
        <v>1.0</v>
      </c>
      <c r="L865" s="46">
        <v>1.0</v>
      </c>
      <c r="M865" s="46">
        <v>0.0</v>
      </c>
      <c r="N865" s="46">
        <v>0.0</v>
      </c>
      <c r="O865" s="46">
        <v>0.0</v>
      </c>
      <c r="P865" s="46">
        <v>0.0</v>
      </c>
      <c r="Q865" s="46">
        <v>0.0</v>
      </c>
    </row>
    <row r="866">
      <c r="A866" s="51">
        <v>46197.0</v>
      </c>
      <c r="B866" s="52">
        <v>0.7986111111111112</v>
      </c>
      <c r="C866" s="45" t="s">
        <v>96</v>
      </c>
      <c r="D866" s="45" t="s">
        <v>75</v>
      </c>
      <c r="E866" s="45" t="s">
        <v>107</v>
      </c>
      <c r="F866" s="46">
        <v>0.0</v>
      </c>
      <c r="G866" s="46">
        <v>0.0</v>
      </c>
      <c r="H866" s="46">
        <v>0.0</v>
      </c>
      <c r="I866" s="46">
        <v>0.0</v>
      </c>
      <c r="J866" s="46">
        <v>0.0</v>
      </c>
      <c r="K866" s="46">
        <v>0.0</v>
      </c>
      <c r="L866" s="46">
        <v>0.0</v>
      </c>
      <c r="M866" s="46">
        <v>0.0</v>
      </c>
      <c r="N866" s="46">
        <v>0.0</v>
      </c>
      <c r="O866" s="46">
        <v>0.0</v>
      </c>
      <c r="P866" s="46">
        <v>0.0</v>
      </c>
      <c r="Q866" s="46">
        <v>0.0</v>
      </c>
    </row>
    <row r="867">
      <c r="A867" s="49">
        <v>46197.0</v>
      </c>
      <c r="B867" s="50">
        <v>0.8166666666666667</v>
      </c>
      <c r="C867" s="41" t="s">
        <v>15</v>
      </c>
      <c r="D867" s="41" t="s">
        <v>87</v>
      </c>
      <c r="E867" s="41" t="s">
        <v>52</v>
      </c>
      <c r="F867" s="42">
        <v>3.0</v>
      </c>
      <c r="G867" s="42">
        <v>2.0</v>
      </c>
      <c r="H867" s="42">
        <v>0.0</v>
      </c>
      <c r="I867" s="42">
        <v>0.0</v>
      </c>
      <c r="J867" s="42">
        <v>1.0</v>
      </c>
      <c r="K867" s="42">
        <v>2.0</v>
      </c>
      <c r="L867" s="42">
        <v>3.0</v>
      </c>
      <c r="M867" s="42">
        <v>0.0</v>
      </c>
      <c r="N867" s="42">
        <v>0.0</v>
      </c>
      <c r="O867" s="42">
        <v>1.0</v>
      </c>
      <c r="P867" s="42">
        <v>1.0</v>
      </c>
      <c r="Q867" s="42">
        <v>2.0</v>
      </c>
    </row>
    <row r="868">
      <c r="A868" s="47">
        <v>46197.0</v>
      </c>
      <c r="B868" s="48">
        <v>0.8166666666666667</v>
      </c>
      <c r="C868" s="37" t="s">
        <v>15</v>
      </c>
      <c r="D868" s="37" t="s">
        <v>87</v>
      </c>
      <c r="E868" s="37" t="s">
        <v>88</v>
      </c>
      <c r="F868" s="38">
        <v>0.0</v>
      </c>
      <c r="G868" s="38">
        <v>0.0</v>
      </c>
      <c r="H868" s="38">
        <v>0.0</v>
      </c>
      <c r="I868" s="38">
        <v>0.0</v>
      </c>
      <c r="J868" s="38">
        <v>0.0</v>
      </c>
      <c r="K868" s="38">
        <v>0.0</v>
      </c>
      <c r="L868" s="38">
        <v>0.0</v>
      </c>
      <c r="M868" s="38">
        <v>0.0</v>
      </c>
      <c r="N868" s="38">
        <v>0.0</v>
      </c>
      <c r="O868" s="38">
        <v>0.0</v>
      </c>
      <c r="P868" s="38">
        <v>0.0</v>
      </c>
      <c r="Q868" s="38">
        <v>0.0</v>
      </c>
    </row>
    <row r="869">
      <c r="A869" s="49">
        <v>46197.0</v>
      </c>
      <c r="B869" s="50">
        <v>0.8166666666666667</v>
      </c>
      <c r="C869" s="41" t="s">
        <v>15</v>
      </c>
      <c r="D869" s="41" t="s">
        <v>87</v>
      </c>
      <c r="E869" s="41" t="s">
        <v>89</v>
      </c>
      <c r="F869" s="42">
        <v>0.0</v>
      </c>
      <c r="G869" s="42">
        <v>0.0</v>
      </c>
      <c r="H869" s="42">
        <v>0.0</v>
      </c>
      <c r="I869" s="42">
        <v>0.0</v>
      </c>
      <c r="J869" s="42">
        <v>0.0</v>
      </c>
      <c r="K869" s="42">
        <v>0.0</v>
      </c>
      <c r="L869" s="42">
        <v>0.0</v>
      </c>
      <c r="M869" s="42">
        <v>0.0</v>
      </c>
      <c r="N869" s="42">
        <v>0.0</v>
      </c>
      <c r="O869" s="42">
        <v>0.0</v>
      </c>
      <c r="P869" s="42">
        <v>0.0</v>
      </c>
      <c r="Q869" s="42">
        <v>0.0</v>
      </c>
    </row>
    <row r="870">
      <c r="A870" s="47">
        <v>46197.0</v>
      </c>
      <c r="B870" s="48">
        <v>0.8166666666666667</v>
      </c>
      <c r="C870" s="37" t="s">
        <v>15</v>
      </c>
      <c r="D870" s="37" t="s">
        <v>87</v>
      </c>
      <c r="E870" s="37" t="s">
        <v>50</v>
      </c>
      <c r="F870" s="38">
        <v>0.0</v>
      </c>
      <c r="G870" s="38">
        <v>0.0</v>
      </c>
      <c r="H870" s="38">
        <v>0.0</v>
      </c>
      <c r="I870" s="38">
        <v>0.0</v>
      </c>
      <c r="J870" s="38">
        <v>0.0</v>
      </c>
      <c r="K870" s="38">
        <v>0.0</v>
      </c>
      <c r="L870" s="38">
        <v>0.0</v>
      </c>
      <c r="M870" s="38">
        <v>0.0</v>
      </c>
      <c r="N870" s="38">
        <v>0.0</v>
      </c>
      <c r="O870" s="38">
        <v>0.0</v>
      </c>
      <c r="P870" s="38">
        <v>0.0</v>
      </c>
      <c r="Q870" s="38">
        <v>0.0</v>
      </c>
    </row>
    <row r="871">
      <c r="A871" s="49">
        <v>46197.0</v>
      </c>
      <c r="B871" s="50">
        <v>0.8166666666666667</v>
      </c>
      <c r="C871" s="41" t="s">
        <v>15</v>
      </c>
      <c r="D871" s="41" t="s">
        <v>87</v>
      </c>
      <c r="E871" s="41" t="s">
        <v>90</v>
      </c>
      <c r="F871" s="42">
        <v>0.0</v>
      </c>
      <c r="G871" s="42">
        <v>0.0</v>
      </c>
      <c r="H871" s="42">
        <v>0.0</v>
      </c>
      <c r="I871" s="42">
        <v>0.0</v>
      </c>
      <c r="J871" s="42">
        <v>0.0</v>
      </c>
      <c r="K871" s="42">
        <v>0.0</v>
      </c>
      <c r="L871" s="42">
        <v>0.0</v>
      </c>
      <c r="M871" s="42">
        <v>0.0</v>
      </c>
      <c r="N871" s="42">
        <v>0.0</v>
      </c>
      <c r="O871" s="42">
        <v>0.0</v>
      </c>
      <c r="P871" s="42">
        <v>0.0</v>
      </c>
      <c r="Q871" s="42">
        <v>0.0</v>
      </c>
    </row>
    <row r="872">
      <c r="A872" s="47">
        <v>46197.0</v>
      </c>
      <c r="B872" s="48">
        <v>0.8166666666666667</v>
      </c>
      <c r="C872" s="37" t="s">
        <v>15</v>
      </c>
      <c r="D872" s="37" t="s">
        <v>87</v>
      </c>
      <c r="E872" s="37" t="s">
        <v>91</v>
      </c>
      <c r="F872" s="38">
        <v>0.0</v>
      </c>
      <c r="G872" s="38">
        <v>0.0</v>
      </c>
      <c r="H872" s="38">
        <v>0.0</v>
      </c>
      <c r="I872" s="38">
        <v>0.0</v>
      </c>
      <c r="J872" s="38">
        <v>0.0</v>
      </c>
      <c r="K872" s="38">
        <v>0.0</v>
      </c>
      <c r="L872" s="38">
        <v>0.0</v>
      </c>
      <c r="M872" s="38">
        <v>0.0</v>
      </c>
      <c r="N872" s="38">
        <v>0.0</v>
      </c>
      <c r="O872" s="38">
        <v>0.0</v>
      </c>
      <c r="P872" s="38">
        <v>0.0</v>
      </c>
      <c r="Q872" s="38">
        <v>0.0</v>
      </c>
    </row>
    <row r="873">
      <c r="A873" s="49">
        <v>46197.0</v>
      </c>
      <c r="B873" s="50">
        <v>0.8166666666666667</v>
      </c>
      <c r="C873" s="41" t="s">
        <v>15</v>
      </c>
      <c r="D873" s="41" t="s">
        <v>87</v>
      </c>
      <c r="E873" s="41" t="s">
        <v>92</v>
      </c>
      <c r="F873" s="42">
        <v>0.0</v>
      </c>
      <c r="G873" s="42">
        <v>0.0</v>
      </c>
      <c r="H873" s="42">
        <v>0.0</v>
      </c>
      <c r="I873" s="42">
        <v>0.0</v>
      </c>
      <c r="J873" s="42">
        <v>0.0</v>
      </c>
      <c r="K873" s="42">
        <v>0.0</v>
      </c>
      <c r="L873" s="42">
        <v>0.0</v>
      </c>
      <c r="M873" s="42">
        <v>0.0</v>
      </c>
      <c r="N873" s="42">
        <v>0.0</v>
      </c>
      <c r="O873" s="42">
        <v>0.0</v>
      </c>
      <c r="P873" s="42">
        <v>0.0</v>
      </c>
      <c r="Q873" s="42">
        <v>0.0</v>
      </c>
    </row>
    <row r="874">
      <c r="A874" s="47">
        <v>46197.0</v>
      </c>
      <c r="B874" s="48">
        <v>0.8166666666666667</v>
      </c>
      <c r="C874" s="37" t="s">
        <v>15</v>
      </c>
      <c r="D874" s="37" t="s">
        <v>87</v>
      </c>
      <c r="E874" s="37" t="s">
        <v>106</v>
      </c>
      <c r="F874" s="38">
        <v>0.0</v>
      </c>
      <c r="G874" s="38">
        <v>0.0</v>
      </c>
      <c r="H874" s="38">
        <v>0.0</v>
      </c>
      <c r="I874" s="38">
        <v>0.0</v>
      </c>
      <c r="J874" s="38">
        <v>0.0</v>
      </c>
      <c r="K874" s="38">
        <v>0.0</v>
      </c>
      <c r="L874" s="38">
        <v>0.0</v>
      </c>
      <c r="M874" s="38">
        <v>0.0</v>
      </c>
      <c r="N874" s="38">
        <v>0.0</v>
      </c>
      <c r="O874" s="38">
        <v>0.0</v>
      </c>
      <c r="P874" s="38">
        <v>0.0</v>
      </c>
      <c r="Q874" s="38">
        <v>0.0</v>
      </c>
    </row>
    <row r="875">
      <c r="A875" s="49">
        <v>46197.0</v>
      </c>
      <c r="B875" s="50">
        <v>0.8166666666666667</v>
      </c>
      <c r="C875" s="41" t="s">
        <v>15</v>
      </c>
      <c r="D875" s="41" t="s">
        <v>87</v>
      </c>
      <c r="E875" s="41" t="s">
        <v>107</v>
      </c>
      <c r="F875" s="42">
        <v>0.0</v>
      </c>
      <c r="G875" s="42">
        <v>0.0</v>
      </c>
      <c r="H875" s="42">
        <v>0.0</v>
      </c>
      <c r="I875" s="42">
        <v>0.0</v>
      </c>
      <c r="J875" s="42">
        <v>0.0</v>
      </c>
      <c r="K875" s="42">
        <v>0.0</v>
      </c>
      <c r="L875" s="42">
        <v>0.0</v>
      </c>
      <c r="M875" s="42">
        <v>0.0</v>
      </c>
      <c r="N875" s="42">
        <v>0.0</v>
      </c>
      <c r="O875" s="42">
        <v>0.0</v>
      </c>
      <c r="P875" s="42">
        <v>0.0</v>
      </c>
      <c r="Q875" s="42">
        <v>0.0</v>
      </c>
    </row>
    <row r="876">
      <c r="A876" s="47">
        <v>46197.0</v>
      </c>
      <c r="B876" s="48">
        <v>0.8166666666666667</v>
      </c>
      <c r="C876" s="37" t="s">
        <v>23</v>
      </c>
      <c r="D876" s="37" t="s">
        <v>93</v>
      </c>
      <c r="E876" s="37" t="s">
        <v>52</v>
      </c>
      <c r="F876" s="38">
        <v>1.0</v>
      </c>
      <c r="G876" s="38">
        <v>1.0</v>
      </c>
      <c r="H876" s="38">
        <v>0.0</v>
      </c>
      <c r="I876" s="38">
        <v>0.0</v>
      </c>
      <c r="J876" s="38">
        <v>0.0</v>
      </c>
      <c r="K876" s="38">
        <v>1.0</v>
      </c>
      <c r="L876" s="38">
        <v>1.0</v>
      </c>
      <c r="M876" s="38">
        <v>0.0</v>
      </c>
      <c r="N876" s="38">
        <v>0.0</v>
      </c>
      <c r="O876" s="38">
        <v>0.0</v>
      </c>
      <c r="P876" s="38">
        <v>1.0</v>
      </c>
      <c r="Q876" s="38">
        <v>1.0</v>
      </c>
    </row>
    <row r="877">
      <c r="A877" s="49">
        <v>46197.0</v>
      </c>
      <c r="B877" s="50">
        <v>0.8166666666666667</v>
      </c>
      <c r="C877" s="41" t="s">
        <v>23</v>
      </c>
      <c r="D877" s="41" t="s">
        <v>93</v>
      </c>
      <c r="E877" s="41" t="s">
        <v>88</v>
      </c>
      <c r="F877" s="42">
        <v>0.0</v>
      </c>
      <c r="G877" s="42">
        <v>0.0</v>
      </c>
      <c r="H877" s="42">
        <v>0.0</v>
      </c>
      <c r="I877" s="42">
        <v>0.0</v>
      </c>
      <c r="J877" s="42">
        <v>0.0</v>
      </c>
      <c r="K877" s="42">
        <v>0.0</v>
      </c>
      <c r="L877" s="42">
        <v>0.0</v>
      </c>
      <c r="M877" s="42">
        <v>0.0</v>
      </c>
      <c r="N877" s="42">
        <v>0.0</v>
      </c>
      <c r="O877" s="42">
        <v>0.0</v>
      </c>
      <c r="P877" s="42">
        <v>0.0</v>
      </c>
      <c r="Q877" s="42">
        <v>0.0</v>
      </c>
    </row>
    <row r="878">
      <c r="A878" s="47">
        <v>46197.0</v>
      </c>
      <c r="B878" s="48">
        <v>0.8166666666666667</v>
      </c>
      <c r="C878" s="37" t="s">
        <v>23</v>
      </c>
      <c r="D878" s="37" t="s">
        <v>93</v>
      </c>
      <c r="E878" s="37" t="s">
        <v>89</v>
      </c>
      <c r="F878" s="38">
        <v>0.0</v>
      </c>
      <c r="G878" s="38">
        <v>0.0</v>
      </c>
      <c r="H878" s="38">
        <v>0.0</v>
      </c>
      <c r="I878" s="38">
        <v>0.0</v>
      </c>
      <c r="J878" s="38">
        <v>0.0</v>
      </c>
      <c r="K878" s="38">
        <v>0.0</v>
      </c>
      <c r="L878" s="38">
        <v>0.0</v>
      </c>
      <c r="M878" s="38">
        <v>0.0</v>
      </c>
      <c r="N878" s="38">
        <v>0.0</v>
      </c>
      <c r="O878" s="38">
        <v>0.0</v>
      </c>
      <c r="P878" s="38">
        <v>0.0</v>
      </c>
      <c r="Q878" s="38">
        <v>0.0</v>
      </c>
    </row>
    <row r="879">
      <c r="A879" s="49">
        <v>46197.0</v>
      </c>
      <c r="B879" s="50">
        <v>0.8166666666666667</v>
      </c>
      <c r="C879" s="41" t="s">
        <v>23</v>
      </c>
      <c r="D879" s="41" t="s">
        <v>93</v>
      </c>
      <c r="E879" s="41" t="s">
        <v>50</v>
      </c>
      <c r="F879" s="42">
        <v>0.0</v>
      </c>
      <c r="G879" s="42">
        <v>0.0</v>
      </c>
      <c r="H879" s="42">
        <v>0.0</v>
      </c>
      <c r="I879" s="42">
        <v>0.0</v>
      </c>
      <c r="J879" s="42">
        <v>0.0</v>
      </c>
      <c r="K879" s="42">
        <v>0.0</v>
      </c>
      <c r="L879" s="42">
        <v>0.0</v>
      </c>
      <c r="M879" s="42">
        <v>0.0</v>
      </c>
      <c r="N879" s="42">
        <v>0.0</v>
      </c>
      <c r="O879" s="42">
        <v>0.0</v>
      </c>
      <c r="P879" s="42">
        <v>0.0</v>
      </c>
      <c r="Q879" s="42">
        <v>0.0</v>
      </c>
    </row>
    <row r="880">
      <c r="A880" s="47">
        <v>46197.0</v>
      </c>
      <c r="B880" s="48">
        <v>0.8166666666666667</v>
      </c>
      <c r="C880" s="37" t="s">
        <v>23</v>
      </c>
      <c r="D880" s="37" t="s">
        <v>93</v>
      </c>
      <c r="E880" s="37" t="s">
        <v>90</v>
      </c>
      <c r="F880" s="38">
        <v>0.0</v>
      </c>
      <c r="G880" s="38">
        <v>0.0</v>
      </c>
      <c r="H880" s="38">
        <v>0.0</v>
      </c>
      <c r="I880" s="38">
        <v>0.0</v>
      </c>
      <c r="J880" s="38">
        <v>0.0</v>
      </c>
      <c r="K880" s="38">
        <v>0.0</v>
      </c>
      <c r="L880" s="38">
        <v>0.0</v>
      </c>
      <c r="M880" s="38">
        <v>0.0</v>
      </c>
      <c r="N880" s="38">
        <v>0.0</v>
      </c>
      <c r="O880" s="38">
        <v>0.0</v>
      </c>
      <c r="P880" s="38">
        <v>0.0</v>
      </c>
      <c r="Q880" s="38">
        <v>0.0</v>
      </c>
    </row>
    <row r="881">
      <c r="A881" s="49">
        <v>46197.0</v>
      </c>
      <c r="B881" s="50">
        <v>0.8166666666666667</v>
      </c>
      <c r="C881" s="41" t="s">
        <v>23</v>
      </c>
      <c r="D881" s="41" t="s">
        <v>93</v>
      </c>
      <c r="E881" s="41" t="s">
        <v>91</v>
      </c>
      <c r="F881" s="42">
        <v>0.0</v>
      </c>
      <c r="G881" s="42">
        <v>0.0</v>
      </c>
      <c r="H881" s="42">
        <v>0.0</v>
      </c>
      <c r="I881" s="42">
        <v>0.0</v>
      </c>
      <c r="J881" s="42">
        <v>0.0</v>
      </c>
      <c r="K881" s="42">
        <v>0.0</v>
      </c>
      <c r="L881" s="42">
        <v>0.0</v>
      </c>
      <c r="M881" s="42">
        <v>0.0</v>
      </c>
      <c r="N881" s="42">
        <v>0.0</v>
      </c>
      <c r="O881" s="42">
        <v>0.0</v>
      </c>
      <c r="P881" s="42">
        <v>0.0</v>
      </c>
      <c r="Q881" s="42">
        <v>0.0</v>
      </c>
    </row>
    <row r="882">
      <c r="A882" s="47">
        <v>46197.0</v>
      </c>
      <c r="B882" s="48">
        <v>0.8166666666666667</v>
      </c>
      <c r="C882" s="37" t="s">
        <v>23</v>
      </c>
      <c r="D882" s="37" t="s">
        <v>93</v>
      </c>
      <c r="E882" s="37" t="s">
        <v>92</v>
      </c>
      <c r="F882" s="38">
        <v>0.0</v>
      </c>
      <c r="G882" s="38">
        <v>0.0</v>
      </c>
      <c r="H882" s="38">
        <v>0.0</v>
      </c>
      <c r="I882" s="38">
        <v>0.0</v>
      </c>
      <c r="J882" s="38">
        <v>0.0</v>
      </c>
      <c r="K882" s="38">
        <v>0.0</v>
      </c>
      <c r="L882" s="38">
        <v>0.0</v>
      </c>
      <c r="M882" s="38">
        <v>0.0</v>
      </c>
      <c r="N882" s="38">
        <v>0.0</v>
      </c>
      <c r="O882" s="38">
        <v>0.0</v>
      </c>
      <c r="P882" s="38">
        <v>0.0</v>
      </c>
      <c r="Q882" s="38">
        <v>0.0</v>
      </c>
    </row>
    <row r="883">
      <c r="A883" s="49">
        <v>46197.0</v>
      </c>
      <c r="B883" s="50">
        <v>0.8166666666666667</v>
      </c>
      <c r="C883" s="41" t="s">
        <v>23</v>
      </c>
      <c r="D883" s="41" t="s">
        <v>93</v>
      </c>
      <c r="E883" s="41" t="s">
        <v>106</v>
      </c>
      <c r="F883" s="42">
        <v>0.0</v>
      </c>
      <c r="G883" s="42">
        <v>0.0</v>
      </c>
      <c r="H883" s="42">
        <v>0.0</v>
      </c>
      <c r="I883" s="42">
        <v>0.0</v>
      </c>
      <c r="J883" s="42">
        <v>0.0</v>
      </c>
      <c r="K883" s="42">
        <v>0.0</v>
      </c>
      <c r="L883" s="42">
        <v>0.0</v>
      </c>
      <c r="M883" s="42">
        <v>0.0</v>
      </c>
      <c r="N883" s="42">
        <v>0.0</v>
      </c>
      <c r="O883" s="42">
        <v>0.0</v>
      </c>
      <c r="P883" s="42">
        <v>0.0</v>
      </c>
      <c r="Q883" s="42">
        <v>0.0</v>
      </c>
    </row>
    <row r="884">
      <c r="A884" s="47">
        <v>46197.0</v>
      </c>
      <c r="B884" s="48">
        <v>0.8166666666666667</v>
      </c>
      <c r="C884" s="37" t="s">
        <v>23</v>
      </c>
      <c r="D884" s="37" t="s">
        <v>93</v>
      </c>
      <c r="E884" s="37" t="s">
        <v>107</v>
      </c>
      <c r="F884" s="38">
        <v>0.0</v>
      </c>
      <c r="G884" s="38">
        <v>0.0</v>
      </c>
      <c r="H884" s="38">
        <v>0.0</v>
      </c>
      <c r="I884" s="38">
        <v>0.0</v>
      </c>
      <c r="J884" s="38">
        <v>0.0</v>
      </c>
      <c r="K884" s="38">
        <v>0.0</v>
      </c>
      <c r="L884" s="38">
        <v>0.0</v>
      </c>
      <c r="M884" s="38">
        <v>0.0</v>
      </c>
      <c r="N884" s="38">
        <v>0.0</v>
      </c>
      <c r="O884" s="38">
        <v>0.0</v>
      </c>
      <c r="P884" s="38">
        <v>0.0</v>
      </c>
      <c r="Q884" s="38">
        <v>0.0</v>
      </c>
    </row>
    <row r="885">
      <c r="A885" s="49">
        <v>46197.0</v>
      </c>
      <c r="B885" s="50">
        <v>0.8166666666666667</v>
      </c>
      <c r="C885" s="41" t="s">
        <v>29</v>
      </c>
      <c r="D885" s="41" t="s">
        <v>94</v>
      </c>
      <c r="E885" s="41" t="s">
        <v>52</v>
      </c>
      <c r="F885" s="42">
        <v>6.0</v>
      </c>
      <c r="G885" s="42">
        <v>3.0</v>
      </c>
      <c r="H885" s="42">
        <v>0.0</v>
      </c>
      <c r="I885" s="42">
        <v>0.0</v>
      </c>
      <c r="J885" s="42">
        <v>0.0</v>
      </c>
      <c r="K885" s="42">
        <v>6.0</v>
      </c>
      <c r="L885" s="42">
        <v>6.0</v>
      </c>
      <c r="M885" s="42">
        <v>0.0</v>
      </c>
      <c r="N885" s="42">
        <v>0.0</v>
      </c>
      <c r="O885" s="42">
        <v>0.0</v>
      </c>
      <c r="P885" s="42">
        <v>3.0</v>
      </c>
      <c r="Q885" s="42">
        <v>3.0</v>
      </c>
    </row>
    <row r="886">
      <c r="A886" s="47">
        <v>46197.0</v>
      </c>
      <c r="B886" s="48">
        <v>0.8166666666666667</v>
      </c>
      <c r="C886" s="37" t="s">
        <v>29</v>
      </c>
      <c r="D886" s="37" t="s">
        <v>94</v>
      </c>
      <c r="E886" s="37" t="s">
        <v>88</v>
      </c>
      <c r="F886" s="38">
        <v>0.0</v>
      </c>
      <c r="G886" s="38">
        <v>0.0</v>
      </c>
      <c r="H886" s="38">
        <v>0.0</v>
      </c>
      <c r="I886" s="38">
        <v>0.0</v>
      </c>
      <c r="J886" s="38">
        <v>0.0</v>
      </c>
      <c r="K886" s="38">
        <v>0.0</v>
      </c>
      <c r="L886" s="38">
        <v>0.0</v>
      </c>
      <c r="M886" s="38">
        <v>0.0</v>
      </c>
      <c r="N886" s="38">
        <v>0.0</v>
      </c>
      <c r="O886" s="38">
        <v>0.0</v>
      </c>
      <c r="P886" s="38">
        <v>0.0</v>
      </c>
      <c r="Q886" s="38">
        <v>0.0</v>
      </c>
    </row>
    <row r="887">
      <c r="A887" s="49">
        <v>46197.0</v>
      </c>
      <c r="B887" s="50">
        <v>0.8166666666666667</v>
      </c>
      <c r="C887" s="41" t="s">
        <v>29</v>
      </c>
      <c r="D887" s="41" t="s">
        <v>94</v>
      </c>
      <c r="E887" s="41" t="s">
        <v>89</v>
      </c>
      <c r="F887" s="42">
        <v>1.0</v>
      </c>
      <c r="G887" s="42">
        <v>0.0</v>
      </c>
      <c r="H887" s="42">
        <v>0.0</v>
      </c>
      <c r="I887" s="42">
        <v>0.0</v>
      </c>
      <c r="J887" s="42">
        <v>0.0</v>
      </c>
      <c r="K887" s="42">
        <v>1.0</v>
      </c>
      <c r="L887" s="42">
        <v>1.0</v>
      </c>
      <c r="M887" s="42">
        <v>0.0</v>
      </c>
      <c r="N887" s="42">
        <v>0.0</v>
      </c>
      <c r="O887" s="42">
        <v>0.0</v>
      </c>
      <c r="P887" s="42">
        <v>0.0</v>
      </c>
      <c r="Q887" s="42">
        <v>0.0</v>
      </c>
    </row>
    <row r="888">
      <c r="A888" s="47">
        <v>46197.0</v>
      </c>
      <c r="B888" s="48">
        <v>0.8166666666666667</v>
      </c>
      <c r="C888" s="37" t="s">
        <v>29</v>
      </c>
      <c r="D888" s="37" t="s">
        <v>94</v>
      </c>
      <c r="E888" s="37" t="s">
        <v>50</v>
      </c>
      <c r="F888" s="38">
        <v>0.0</v>
      </c>
      <c r="G888" s="38">
        <v>0.0</v>
      </c>
      <c r="H888" s="38">
        <v>0.0</v>
      </c>
      <c r="I888" s="38">
        <v>0.0</v>
      </c>
      <c r="J888" s="38">
        <v>0.0</v>
      </c>
      <c r="K888" s="38">
        <v>0.0</v>
      </c>
      <c r="L888" s="38">
        <v>0.0</v>
      </c>
      <c r="M888" s="38">
        <v>0.0</v>
      </c>
      <c r="N888" s="38">
        <v>0.0</v>
      </c>
      <c r="O888" s="38">
        <v>0.0</v>
      </c>
      <c r="P888" s="38">
        <v>0.0</v>
      </c>
      <c r="Q888" s="38">
        <v>0.0</v>
      </c>
    </row>
    <row r="889">
      <c r="A889" s="49">
        <v>46197.0</v>
      </c>
      <c r="B889" s="50">
        <v>0.8166666666666667</v>
      </c>
      <c r="C889" s="41" t="s">
        <v>29</v>
      </c>
      <c r="D889" s="41" t="s">
        <v>94</v>
      </c>
      <c r="E889" s="41" t="s">
        <v>90</v>
      </c>
      <c r="F889" s="42">
        <v>0.0</v>
      </c>
      <c r="G889" s="42">
        <v>0.0</v>
      </c>
      <c r="H889" s="42">
        <v>0.0</v>
      </c>
      <c r="I889" s="42">
        <v>0.0</v>
      </c>
      <c r="J889" s="42">
        <v>0.0</v>
      </c>
      <c r="K889" s="42">
        <v>0.0</v>
      </c>
      <c r="L889" s="42">
        <v>0.0</v>
      </c>
      <c r="M889" s="42">
        <v>0.0</v>
      </c>
      <c r="N889" s="42">
        <v>0.0</v>
      </c>
      <c r="O889" s="42">
        <v>0.0</v>
      </c>
      <c r="P889" s="42">
        <v>0.0</v>
      </c>
      <c r="Q889" s="42">
        <v>0.0</v>
      </c>
    </row>
    <row r="890">
      <c r="A890" s="47">
        <v>46197.0</v>
      </c>
      <c r="B890" s="48">
        <v>0.8166666666666667</v>
      </c>
      <c r="C890" s="37" t="s">
        <v>29</v>
      </c>
      <c r="D890" s="37" t="s">
        <v>94</v>
      </c>
      <c r="E890" s="37" t="s">
        <v>91</v>
      </c>
      <c r="F890" s="38">
        <v>0.0</v>
      </c>
      <c r="G890" s="38">
        <v>0.0</v>
      </c>
      <c r="H890" s="38">
        <v>0.0</v>
      </c>
      <c r="I890" s="38">
        <v>0.0</v>
      </c>
      <c r="J890" s="38">
        <v>0.0</v>
      </c>
      <c r="K890" s="38">
        <v>0.0</v>
      </c>
      <c r="L890" s="38">
        <v>0.0</v>
      </c>
      <c r="M890" s="38">
        <v>0.0</v>
      </c>
      <c r="N890" s="38">
        <v>0.0</v>
      </c>
      <c r="O890" s="38">
        <v>0.0</v>
      </c>
      <c r="P890" s="38">
        <v>0.0</v>
      </c>
      <c r="Q890" s="38">
        <v>0.0</v>
      </c>
    </row>
    <row r="891">
      <c r="A891" s="49">
        <v>46197.0</v>
      </c>
      <c r="B891" s="50">
        <v>0.8166666666666667</v>
      </c>
      <c r="C891" s="41" t="s">
        <v>29</v>
      </c>
      <c r="D891" s="41" t="s">
        <v>94</v>
      </c>
      <c r="E891" s="41" t="s">
        <v>92</v>
      </c>
      <c r="F891" s="42">
        <v>0.0</v>
      </c>
      <c r="G891" s="42">
        <v>0.0</v>
      </c>
      <c r="H891" s="42">
        <v>0.0</v>
      </c>
      <c r="I891" s="42">
        <v>0.0</v>
      </c>
      <c r="J891" s="42">
        <v>0.0</v>
      </c>
      <c r="K891" s="42">
        <v>0.0</v>
      </c>
      <c r="L891" s="42">
        <v>0.0</v>
      </c>
      <c r="M891" s="42">
        <v>0.0</v>
      </c>
      <c r="N891" s="42">
        <v>0.0</v>
      </c>
      <c r="O891" s="42">
        <v>0.0</v>
      </c>
      <c r="P891" s="42">
        <v>0.0</v>
      </c>
      <c r="Q891" s="42">
        <v>0.0</v>
      </c>
    </row>
    <row r="892">
      <c r="A892" s="47">
        <v>46197.0</v>
      </c>
      <c r="B892" s="48">
        <v>0.8166666666666667</v>
      </c>
      <c r="C892" s="37" t="s">
        <v>29</v>
      </c>
      <c r="D892" s="37" t="s">
        <v>94</v>
      </c>
      <c r="E892" s="37" t="s">
        <v>106</v>
      </c>
      <c r="F892" s="38">
        <v>1.0</v>
      </c>
      <c r="G892" s="38">
        <v>0.0</v>
      </c>
      <c r="H892" s="38">
        <v>0.0</v>
      </c>
      <c r="I892" s="38">
        <v>0.0</v>
      </c>
      <c r="J892" s="38">
        <v>1.0</v>
      </c>
      <c r="K892" s="38">
        <v>1.0</v>
      </c>
      <c r="L892" s="38">
        <v>1.0</v>
      </c>
      <c r="M892" s="38">
        <v>0.0</v>
      </c>
      <c r="N892" s="38">
        <v>0.0</v>
      </c>
      <c r="O892" s="38">
        <v>0.0</v>
      </c>
      <c r="P892" s="38">
        <v>0.0</v>
      </c>
      <c r="Q892" s="38">
        <v>0.0</v>
      </c>
    </row>
    <row r="893">
      <c r="A893" s="49">
        <v>46197.0</v>
      </c>
      <c r="B893" s="50">
        <v>0.8166666666666667</v>
      </c>
      <c r="C893" s="41" t="s">
        <v>29</v>
      </c>
      <c r="D893" s="41" t="s">
        <v>94</v>
      </c>
      <c r="E893" s="41" t="s">
        <v>107</v>
      </c>
      <c r="F893" s="42">
        <v>0.0</v>
      </c>
      <c r="G893" s="42">
        <v>0.0</v>
      </c>
      <c r="H893" s="42">
        <v>0.0</v>
      </c>
      <c r="I893" s="42">
        <v>0.0</v>
      </c>
      <c r="J893" s="42">
        <v>0.0</v>
      </c>
      <c r="K893" s="42">
        <v>0.0</v>
      </c>
      <c r="L893" s="42">
        <v>0.0</v>
      </c>
      <c r="M893" s="42">
        <v>0.0</v>
      </c>
      <c r="N893" s="42">
        <v>0.0</v>
      </c>
      <c r="O893" s="42">
        <v>0.0</v>
      </c>
      <c r="P893" s="42">
        <v>0.0</v>
      </c>
      <c r="Q893" s="42">
        <v>0.0</v>
      </c>
    </row>
    <row r="894">
      <c r="A894" s="47">
        <v>46197.0</v>
      </c>
      <c r="B894" s="48">
        <v>0.8166666666666667</v>
      </c>
      <c r="C894" s="37" t="s">
        <v>31</v>
      </c>
      <c r="D894" s="37" t="s">
        <v>95</v>
      </c>
      <c r="E894" s="37" t="s">
        <v>52</v>
      </c>
      <c r="F894" s="38">
        <v>0.0</v>
      </c>
      <c r="G894" s="38">
        <v>0.0</v>
      </c>
      <c r="H894" s="38">
        <v>0.0</v>
      </c>
      <c r="I894" s="38">
        <v>0.0</v>
      </c>
      <c r="J894" s="38">
        <v>0.0</v>
      </c>
      <c r="K894" s="38">
        <v>0.0</v>
      </c>
      <c r="L894" s="38">
        <v>0.0</v>
      </c>
      <c r="M894" s="38">
        <v>0.0</v>
      </c>
      <c r="N894" s="38">
        <v>0.0</v>
      </c>
      <c r="O894" s="38">
        <v>0.0</v>
      </c>
      <c r="P894" s="38">
        <v>0.0</v>
      </c>
      <c r="Q894" s="38">
        <v>0.0</v>
      </c>
    </row>
    <row r="895">
      <c r="A895" s="49">
        <v>46197.0</v>
      </c>
      <c r="B895" s="50">
        <v>0.8166666666666667</v>
      </c>
      <c r="C895" s="41" t="s">
        <v>31</v>
      </c>
      <c r="D895" s="41" t="s">
        <v>95</v>
      </c>
      <c r="E895" s="41" t="s">
        <v>88</v>
      </c>
      <c r="F895" s="42">
        <v>0.0</v>
      </c>
      <c r="G895" s="42">
        <v>0.0</v>
      </c>
      <c r="H895" s="42">
        <v>0.0</v>
      </c>
      <c r="I895" s="42">
        <v>0.0</v>
      </c>
      <c r="J895" s="42">
        <v>0.0</v>
      </c>
      <c r="K895" s="42">
        <v>0.0</v>
      </c>
      <c r="L895" s="42">
        <v>0.0</v>
      </c>
      <c r="M895" s="42">
        <v>0.0</v>
      </c>
      <c r="N895" s="42">
        <v>0.0</v>
      </c>
      <c r="O895" s="42">
        <v>0.0</v>
      </c>
      <c r="P895" s="42">
        <v>0.0</v>
      </c>
      <c r="Q895" s="42">
        <v>0.0</v>
      </c>
    </row>
    <row r="896">
      <c r="A896" s="47">
        <v>46197.0</v>
      </c>
      <c r="B896" s="48">
        <v>0.8166666666666667</v>
      </c>
      <c r="C896" s="37" t="s">
        <v>31</v>
      </c>
      <c r="D896" s="37" t="s">
        <v>95</v>
      </c>
      <c r="E896" s="37" t="s">
        <v>89</v>
      </c>
      <c r="F896" s="38">
        <v>0.0</v>
      </c>
      <c r="G896" s="38">
        <v>0.0</v>
      </c>
      <c r="H896" s="38">
        <v>0.0</v>
      </c>
      <c r="I896" s="38">
        <v>0.0</v>
      </c>
      <c r="J896" s="38">
        <v>0.0</v>
      </c>
      <c r="K896" s="38">
        <v>0.0</v>
      </c>
      <c r="L896" s="38">
        <v>0.0</v>
      </c>
      <c r="M896" s="38">
        <v>0.0</v>
      </c>
      <c r="N896" s="38">
        <v>0.0</v>
      </c>
      <c r="O896" s="38">
        <v>0.0</v>
      </c>
      <c r="P896" s="38">
        <v>0.0</v>
      </c>
      <c r="Q896" s="38">
        <v>0.0</v>
      </c>
    </row>
    <row r="897">
      <c r="A897" s="49">
        <v>46197.0</v>
      </c>
      <c r="B897" s="50">
        <v>0.8166666666666667</v>
      </c>
      <c r="C897" s="41" t="s">
        <v>31</v>
      </c>
      <c r="D897" s="41" t="s">
        <v>95</v>
      </c>
      <c r="E897" s="41" t="s">
        <v>50</v>
      </c>
      <c r="F897" s="42">
        <v>1.0</v>
      </c>
      <c r="G897" s="42">
        <v>1.0</v>
      </c>
      <c r="H897" s="42">
        <v>0.0</v>
      </c>
      <c r="I897" s="42">
        <v>0.0</v>
      </c>
      <c r="J897" s="42">
        <v>0.0</v>
      </c>
      <c r="K897" s="42">
        <v>0.0</v>
      </c>
      <c r="L897" s="42">
        <v>0.0</v>
      </c>
      <c r="M897" s="42">
        <v>0.0</v>
      </c>
      <c r="N897" s="42">
        <v>0.0</v>
      </c>
      <c r="O897" s="42">
        <v>0.0</v>
      </c>
      <c r="P897" s="42">
        <v>0.0</v>
      </c>
      <c r="Q897" s="42">
        <v>0.0</v>
      </c>
    </row>
    <row r="898">
      <c r="A898" s="47">
        <v>46197.0</v>
      </c>
      <c r="B898" s="48">
        <v>0.8166666666666667</v>
      </c>
      <c r="C898" s="37" t="s">
        <v>31</v>
      </c>
      <c r="D898" s="37" t="s">
        <v>95</v>
      </c>
      <c r="E898" s="37" t="s">
        <v>90</v>
      </c>
      <c r="F898" s="38">
        <v>0.0</v>
      </c>
      <c r="G898" s="38">
        <v>0.0</v>
      </c>
      <c r="H898" s="38">
        <v>0.0</v>
      </c>
      <c r="I898" s="38">
        <v>0.0</v>
      </c>
      <c r="J898" s="38">
        <v>0.0</v>
      </c>
      <c r="K898" s="38">
        <v>0.0</v>
      </c>
      <c r="L898" s="38">
        <v>0.0</v>
      </c>
      <c r="M898" s="38">
        <v>0.0</v>
      </c>
      <c r="N898" s="38">
        <v>0.0</v>
      </c>
      <c r="O898" s="38">
        <v>0.0</v>
      </c>
      <c r="P898" s="38">
        <v>0.0</v>
      </c>
      <c r="Q898" s="38">
        <v>0.0</v>
      </c>
    </row>
    <row r="899">
      <c r="A899" s="49">
        <v>46197.0</v>
      </c>
      <c r="B899" s="50">
        <v>0.8166666666666667</v>
      </c>
      <c r="C899" s="41" t="s">
        <v>31</v>
      </c>
      <c r="D899" s="41" t="s">
        <v>95</v>
      </c>
      <c r="E899" s="41" t="s">
        <v>91</v>
      </c>
      <c r="F899" s="42">
        <v>0.0</v>
      </c>
      <c r="G899" s="42">
        <v>0.0</v>
      </c>
      <c r="H899" s="42">
        <v>0.0</v>
      </c>
      <c r="I899" s="42">
        <v>0.0</v>
      </c>
      <c r="J899" s="42">
        <v>0.0</v>
      </c>
      <c r="K899" s="42">
        <v>0.0</v>
      </c>
      <c r="L899" s="42">
        <v>0.0</v>
      </c>
      <c r="M899" s="42">
        <v>0.0</v>
      </c>
      <c r="N899" s="42">
        <v>0.0</v>
      </c>
      <c r="O899" s="42">
        <v>0.0</v>
      </c>
      <c r="P899" s="42">
        <v>0.0</v>
      </c>
      <c r="Q899" s="42">
        <v>0.0</v>
      </c>
    </row>
    <row r="900">
      <c r="A900" s="47">
        <v>46197.0</v>
      </c>
      <c r="B900" s="48">
        <v>0.8166666666666667</v>
      </c>
      <c r="C900" s="37" t="s">
        <v>31</v>
      </c>
      <c r="D900" s="37" t="s">
        <v>95</v>
      </c>
      <c r="E900" s="37" t="s">
        <v>92</v>
      </c>
      <c r="F900" s="38">
        <v>0.0</v>
      </c>
      <c r="G900" s="38">
        <v>0.0</v>
      </c>
      <c r="H900" s="38">
        <v>0.0</v>
      </c>
      <c r="I900" s="38">
        <v>0.0</v>
      </c>
      <c r="J900" s="38">
        <v>0.0</v>
      </c>
      <c r="K900" s="38">
        <v>0.0</v>
      </c>
      <c r="L900" s="38">
        <v>0.0</v>
      </c>
      <c r="M900" s="38">
        <v>0.0</v>
      </c>
      <c r="N900" s="38">
        <v>0.0</v>
      </c>
      <c r="O900" s="38">
        <v>0.0</v>
      </c>
      <c r="P900" s="38">
        <v>0.0</v>
      </c>
      <c r="Q900" s="38">
        <v>0.0</v>
      </c>
    </row>
    <row r="901">
      <c r="A901" s="49">
        <v>46197.0</v>
      </c>
      <c r="B901" s="50">
        <v>0.8166666666666667</v>
      </c>
      <c r="C901" s="41" t="s">
        <v>31</v>
      </c>
      <c r="D901" s="41" t="s">
        <v>95</v>
      </c>
      <c r="E901" s="41" t="s">
        <v>106</v>
      </c>
      <c r="F901" s="42">
        <v>0.0</v>
      </c>
      <c r="G901" s="42">
        <v>0.0</v>
      </c>
      <c r="H901" s="42">
        <v>0.0</v>
      </c>
      <c r="I901" s="42">
        <v>0.0</v>
      </c>
      <c r="J901" s="42">
        <v>0.0</v>
      </c>
      <c r="K901" s="42">
        <v>0.0</v>
      </c>
      <c r="L901" s="42">
        <v>0.0</v>
      </c>
      <c r="M901" s="42">
        <v>0.0</v>
      </c>
      <c r="N901" s="42">
        <v>0.0</v>
      </c>
      <c r="O901" s="42">
        <v>0.0</v>
      </c>
      <c r="P901" s="42">
        <v>0.0</v>
      </c>
      <c r="Q901" s="42">
        <v>0.0</v>
      </c>
    </row>
    <row r="902">
      <c r="A902" s="47">
        <v>46197.0</v>
      </c>
      <c r="B902" s="48">
        <v>0.8166666666666667</v>
      </c>
      <c r="C902" s="37" t="s">
        <v>31</v>
      </c>
      <c r="D902" s="37" t="s">
        <v>95</v>
      </c>
      <c r="E902" s="37" t="s">
        <v>107</v>
      </c>
      <c r="F902" s="38">
        <v>0.0</v>
      </c>
      <c r="G902" s="38">
        <v>0.0</v>
      </c>
      <c r="H902" s="38">
        <v>0.0</v>
      </c>
      <c r="I902" s="38">
        <v>0.0</v>
      </c>
      <c r="J902" s="38">
        <v>0.0</v>
      </c>
      <c r="K902" s="38">
        <v>0.0</v>
      </c>
      <c r="L902" s="38">
        <v>0.0</v>
      </c>
      <c r="M902" s="38">
        <v>0.0</v>
      </c>
      <c r="N902" s="38">
        <v>0.0</v>
      </c>
      <c r="O902" s="38">
        <v>0.0</v>
      </c>
      <c r="P902" s="38">
        <v>0.0</v>
      </c>
      <c r="Q902" s="38">
        <v>0.0</v>
      </c>
    </row>
    <row r="903">
      <c r="A903" s="51">
        <v>46197.0</v>
      </c>
      <c r="B903" s="52">
        <v>0.8166666666666667</v>
      </c>
      <c r="C903" s="45" t="s">
        <v>96</v>
      </c>
      <c r="D903" s="45" t="s">
        <v>75</v>
      </c>
      <c r="E903" s="45" t="s">
        <v>52</v>
      </c>
      <c r="F903" s="46">
        <v>10.0</v>
      </c>
      <c r="G903" s="46">
        <v>6.0</v>
      </c>
      <c r="H903" s="46">
        <v>0.0</v>
      </c>
      <c r="I903" s="46">
        <v>0.0</v>
      </c>
      <c r="J903" s="46">
        <v>1.0</v>
      </c>
      <c r="K903" s="46">
        <v>9.0</v>
      </c>
      <c r="L903" s="46">
        <v>10.0</v>
      </c>
      <c r="M903" s="46">
        <v>0.0</v>
      </c>
      <c r="N903" s="46">
        <v>0.0</v>
      </c>
      <c r="O903" s="46">
        <v>1.0</v>
      </c>
      <c r="P903" s="46">
        <v>5.0</v>
      </c>
      <c r="Q903" s="46">
        <v>6.0</v>
      </c>
    </row>
    <row r="904">
      <c r="A904" s="51">
        <v>46197.0</v>
      </c>
      <c r="B904" s="52">
        <v>0.8166666666666667</v>
      </c>
      <c r="C904" s="45" t="s">
        <v>96</v>
      </c>
      <c r="D904" s="45" t="s">
        <v>75</v>
      </c>
      <c r="E904" s="45" t="s">
        <v>88</v>
      </c>
      <c r="F904" s="46">
        <v>0.0</v>
      </c>
      <c r="G904" s="46">
        <v>0.0</v>
      </c>
      <c r="H904" s="46">
        <v>0.0</v>
      </c>
      <c r="I904" s="46">
        <v>0.0</v>
      </c>
      <c r="J904" s="46">
        <v>0.0</v>
      </c>
      <c r="K904" s="46">
        <v>0.0</v>
      </c>
      <c r="L904" s="46">
        <v>0.0</v>
      </c>
      <c r="M904" s="46">
        <v>0.0</v>
      </c>
      <c r="N904" s="46">
        <v>0.0</v>
      </c>
      <c r="O904" s="46">
        <v>0.0</v>
      </c>
      <c r="P904" s="46">
        <v>0.0</v>
      </c>
      <c r="Q904" s="46">
        <v>0.0</v>
      </c>
    </row>
    <row r="905">
      <c r="A905" s="51">
        <v>46197.0</v>
      </c>
      <c r="B905" s="52">
        <v>0.8166666666666667</v>
      </c>
      <c r="C905" s="45" t="s">
        <v>96</v>
      </c>
      <c r="D905" s="45" t="s">
        <v>75</v>
      </c>
      <c r="E905" s="45" t="s">
        <v>89</v>
      </c>
      <c r="F905" s="46">
        <v>1.0</v>
      </c>
      <c r="G905" s="46">
        <v>0.0</v>
      </c>
      <c r="H905" s="46">
        <v>0.0</v>
      </c>
      <c r="I905" s="46">
        <v>0.0</v>
      </c>
      <c r="J905" s="46">
        <v>0.0</v>
      </c>
      <c r="K905" s="46">
        <v>1.0</v>
      </c>
      <c r="L905" s="46">
        <v>1.0</v>
      </c>
      <c r="M905" s="46">
        <v>0.0</v>
      </c>
      <c r="N905" s="46">
        <v>0.0</v>
      </c>
      <c r="O905" s="46">
        <v>0.0</v>
      </c>
      <c r="P905" s="46">
        <v>0.0</v>
      </c>
      <c r="Q905" s="46">
        <v>0.0</v>
      </c>
    </row>
    <row r="906">
      <c r="A906" s="51">
        <v>46197.0</v>
      </c>
      <c r="B906" s="52">
        <v>0.8166666666666667</v>
      </c>
      <c r="C906" s="45" t="s">
        <v>96</v>
      </c>
      <c r="D906" s="45" t="s">
        <v>75</v>
      </c>
      <c r="E906" s="45" t="s">
        <v>50</v>
      </c>
      <c r="F906" s="46">
        <v>1.0</v>
      </c>
      <c r="G906" s="46">
        <v>1.0</v>
      </c>
      <c r="H906" s="46">
        <v>0.0</v>
      </c>
      <c r="I906" s="46">
        <v>0.0</v>
      </c>
      <c r="J906" s="46">
        <v>0.0</v>
      </c>
      <c r="K906" s="46">
        <v>0.0</v>
      </c>
      <c r="L906" s="46">
        <v>0.0</v>
      </c>
      <c r="M906" s="46">
        <v>0.0</v>
      </c>
      <c r="N906" s="46">
        <v>0.0</v>
      </c>
      <c r="O906" s="46">
        <v>0.0</v>
      </c>
      <c r="P906" s="46">
        <v>0.0</v>
      </c>
      <c r="Q906" s="46">
        <v>0.0</v>
      </c>
    </row>
    <row r="907">
      <c r="A907" s="51">
        <v>46197.0</v>
      </c>
      <c r="B907" s="52">
        <v>0.8166666666666667</v>
      </c>
      <c r="C907" s="45" t="s">
        <v>96</v>
      </c>
      <c r="D907" s="45" t="s">
        <v>75</v>
      </c>
      <c r="E907" s="45" t="s">
        <v>90</v>
      </c>
      <c r="F907" s="46">
        <v>0.0</v>
      </c>
      <c r="G907" s="46">
        <v>0.0</v>
      </c>
      <c r="H907" s="46">
        <v>0.0</v>
      </c>
      <c r="I907" s="46">
        <v>0.0</v>
      </c>
      <c r="J907" s="46">
        <v>0.0</v>
      </c>
      <c r="K907" s="46">
        <v>0.0</v>
      </c>
      <c r="L907" s="46">
        <v>0.0</v>
      </c>
      <c r="M907" s="46">
        <v>0.0</v>
      </c>
      <c r="N907" s="46">
        <v>0.0</v>
      </c>
      <c r="O907" s="46">
        <v>0.0</v>
      </c>
      <c r="P907" s="46">
        <v>0.0</v>
      </c>
      <c r="Q907" s="46">
        <v>0.0</v>
      </c>
    </row>
    <row r="908">
      <c r="A908" s="51">
        <v>46197.0</v>
      </c>
      <c r="B908" s="52">
        <v>0.8166666666666667</v>
      </c>
      <c r="C908" s="45" t="s">
        <v>96</v>
      </c>
      <c r="D908" s="45" t="s">
        <v>75</v>
      </c>
      <c r="E908" s="45" t="s">
        <v>91</v>
      </c>
      <c r="F908" s="46">
        <v>0.0</v>
      </c>
      <c r="G908" s="46">
        <v>0.0</v>
      </c>
      <c r="H908" s="46">
        <v>0.0</v>
      </c>
      <c r="I908" s="46">
        <v>0.0</v>
      </c>
      <c r="J908" s="46">
        <v>0.0</v>
      </c>
      <c r="K908" s="46">
        <v>0.0</v>
      </c>
      <c r="L908" s="46">
        <v>0.0</v>
      </c>
      <c r="M908" s="46">
        <v>0.0</v>
      </c>
      <c r="N908" s="46">
        <v>0.0</v>
      </c>
      <c r="O908" s="46">
        <v>0.0</v>
      </c>
      <c r="P908" s="46">
        <v>0.0</v>
      </c>
      <c r="Q908" s="46">
        <v>0.0</v>
      </c>
    </row>
    <row r="909">
      <c r="A909" s="51">
        <v>46197.0</v>
      </c>
      <c r="B909" s="52">
        <v>0.8166666666666667</v>
      </c>
      <c r="C909" s="45" t="s">
        <v>96</v>
      </c>
      <c r="D909" s="45" t="s">
        <v>75</v>
      </c>
      <c r="E909" s="45" t="s">
        <v>92</v>
      </c>
      <c r="F909" s="46">
        <v>0.0</v>
      </c>
      <c r="G909" s="46">
        <v>0.0</v>
      </c>
      <c r="H909" s="46">
        <v>0.0</v>
      </c>
      <c r="I909" s="46">
        <v>0.0</v>
      </c>
      <c r="J909" s="46">
        <v>0.0</v>
      </c>
      <c r="K909" s="46">
        <v>0.0</v>
      </c>
      <c r="L909" s="46">
        <v>0.0</v>
      </c>
      <c r="M909" s="46">
        <v>0.0</v>
      </c>
      <c r="N909" s="46">
        <v>0.0</v>
      </c>
      <c r="O909" s="46">
        <v>0.0</v>
      </c>
      <c r="P909" s="46">
        <v>0.0</v>
      </c>
      <c r="Q909" s="46">
        <v>0.0</v>
      </c>
    </row>
    <row r="910">
      <c r="A910" s="51">
        <v>46197.0</v>
      </c>
      <c r="B910" s="52">
        <v>0.8166666666666667</v>
      </c>
      <c r="C910" s="45" t="s">
        <v>96</v>
      </c>
      <c r="D910" s="45" t="s">
        <v>75</v>
      </c>
      <c r="E910" s="45" t="s">
        <v>106</v>
      </c>
      <c r="F910" s="46">
        <v>1.0</v>
      </c>
      <c r="G910" s="46">
        <v>0.0</v>
      </c>
      <c r="H910" s="46">
        <v>0.0</v>
      </c>
      <c r="I910" s="46">
        <v>0.0</v>
      </c>
      <c r="J910" s="46">
        <v>1.0</v>
      </c>
      <c r="K910" s="46">
        <v>1.0</v>
      </c>
      <c r="L910" s="46">
        <v>1.0</v>
      </c>
      <c r="M910" s="46">
        <v>0.0</v>
      </c>
      <c r="N910" s="46">
        <v>0.0</v>
      </c>
      <c r="O910" s="46">
        <v>0.0</v>
      </c>
      <c r="P910" s="46">
        <v>0.0</v>
      </c>
      <c r="Q910" s="46">
        <v>0.0</v>
      </c>
    </row>
    <row r="911">
      <c r="A911" s="51">
        <v>46197.0</v>
      </c>
      <c r="B911" s="52">
        <v>0.8166666666666667</v>
      </c>
      <c r="C911" s="45" t="s">
        <v>96</v>
      </c>
      <c r="D911" s="45" t="s">
        <v>75</v>
      </c>
      <c r="E911" s="45" t="s">
        <v>107</v>
      </c>
      <c r="F911" s="46">
        <v>0.0</v>
      </c>
      <c r="G911" s="46">
        <v>0.0</v>
      </c>
      <c r="H911" s="46">
        <v>0.0</v>
      </c>
      <c r="I911" s="46">
        <v>0.0</v>
      </c>
      <c r="J911" s="46">
        <v>0.0</v>
      </c>
      <c r="K911" s="46">
        <v>0.0</v>
      </c>
      <c r="L911" s="46">
        <v>0.0</v>
      </c>
      <c r="M911" s="46">
        <v>0.0</v>
      </c>
      <c r="N911" s="46">
        <v>0.0</v>
      </c>
      <c r="O911" s="46">
        <v>0.0</v>
      </c>
      <c r="P911" s="46">
        <v>0.0</v>
      </c>
      <c r="Q911" s="46">
        <v>0.0</v>
      </c>
    </row>
    <row r="912">
      <c r="A912" s="47">
        <v>46197.0</v>
      </c>
      <c r="B912" s="48">
        <v>0.8923611111111112</v>
      </c>
      <c r="C912" s="37" t="s">
        <v>15</v>
      </c>
      <c r="D912" s="37" t="s">
        <v>87</v>
      </c>
      <c r="E912" s="37" t="s">
        <v>52</v>
      </c>
      <c r="F912" s="38">
        <v>4.0</v>
      </c>
      <c r="G912" s="38">
        <v>2.0</v>
      </c>
      <c r="H912" s="38">
        <v>0.0</v>
      </c>
      <c r="I912" s="38">
        <v>0.0</v>
      </c>
      <c r="J912" s="38">
        <v>1.0</v>
      </c>
      <c r="K912" s="38">
        <v>3.0</v>
      </c>
      <c r="L912" s="38">
        <v>4.0</v>
      </c>
      <c r="M912" s="38">
        <v>0.0</v>
      </c>
      <c r="N912" s="38">
        <v>0.0</v>
      </c>
      <c r="O912" s="38">
        <v>1.0</v>
      </c>
      <c r="P912" s="38">
        <v>1.0</v>
      </c>
      <c r="Q912" s="38">
        <v>2.0</v>
      </c>
    </row>
    <row r="913">
      <c r="A913" s="49">
        <v>46197.0</v>
      </c>
      <c r="B913" s="50">
        <v>0.8923611111111112</v>
      </c>
      <c r="C913" s="41" t="s">
        <v>15</v>
      </c>
      <c r="D913" s="41" t="s">
        <v>87</v>
      </c>
      <c r="E913" s="41" t="s">
        <v>88</v>
      </c>
      <c r="F913" s="42">
        <v>0.0</v>
      </c>
      <c r="G913" s="42">
        <v>0.0</v>
      </c>
      <c r="H913" s="42">
        <v>0.0</v>
      </c>
      <c r="I913" s="42">
        <v>0.0</v>
      </c>
      <c r="J913" s="42">
        <v>0.0</v>
      </c>
      <c r="K913" s="42">
        <v>0.0</v>
      </c>
      <c r="L913" s="42">
        <v>0.0</v>
      </c>
      <c r="M913" s="42">
        <v>0.0</v>
      </c>
      <c r="N913" s="42">
        <v>0.0</v>
      </c>
      <c r="O913" s="42">
        <v>0.0</v>
      </c>
      <c r="P913" s="42">
        <v>0.0</v>
      </c>
      <c r="Q913" s="42">
        <v>0.0</v>
      </c>
    </row>
    <row r="914">
      <c r="A914" s="47">
        <v>46197.0</v>
      </c>
      <c r="B914" s="48">
        <v>0.8923611111111112</v>
      </c>
      <c r="C914" s="37" t="s">
        <v>15</v>
      </c>
      <c r="D914" s="37" t="s">
        <v>87</v>
      </c>
      <c r="E914" s="37" t="s">
        <v>89</v>
      </c>
      <c r="F914" s="38">
        <v>0.0</v>
      </c>
      <c r="G914" s="38">
        <v>0.0</v>
      </c>
      <c r="H914" s="38">
        <v>0.0</v>
      </c>
      <c r="I914" s="38">
        <v>0.0</v>
      </c>
      <c r="J914" s="38">
        <v>0.0</v>
      </c>
      <c r="K914" s="38">
        <v>0.0</v>
      </c>
      <c r="L914" s="38">
        <v>0.0</v>
      </c>
      <c r="M914" s="38">
        <v>0.0</v>
      </c>
      <c r="N914" s="38">
        <v>0.0</v>
      </c>
      <c r="O914" s="38">
        <v>0.0</v>
      </c>
      <c r="P914" s="38">
        <v>0.0</v>
      </c>
      <c r="Q914" s="38">
        <v>0.0</v>
      </c>
    </row>
    <row r="915">
      <c r="A915" s="49">
        <v>46197.0</v>
      </c>
      <c r="B915" s="50">
        <v>0.8923611111111112</v>
      </c>
      <c r="C915" s="41" t="s">
        <v>15</v>
      </c>
      <c r="D915" s="41" t="s">
        <v>87</v>
      </c>
      <c r="E915" s="41" t="s">
        <v>50</v>
      </c>
      <c r="F915" s="42">
        <v>0.0</v>
      </c>
      <c r="G915" s="42">
        <v>0.0</v>
      </c>
      <c r="H915" s="42">
        <v>0.0</v>
      </c>
      <c r="I915" s="42">
        <v>0.0</v>
      </c>
      <c r="J915" s="42">
        <v>0.0</v>
      </c>
      <c r="K915" s="42">
        <v>0.0</v>
      </c>
      <c r="L915" s="42">
        <v>0.0</v>
      </c>
      <c r="M915" s="42">
        <v>0.0</v>
      </c>
      <c r="N915" s="42">
        <v>0.0</v>
      </c>
      <c r="O915" s="42">
        <v>0.0</v>
      </c>
      <c r="P915" s="42">
        <v>0.0</v>
      </c>
      <c r="Q915" s="42">
        <v>0.0</v>
      </c>
    </row>
    <row r="916">
      <c r="A916" s="47">
        <v>46197.0</v>
      </c>
      <c r="B916" s="48">
        <v>0.8923611111111112</v>
      </c>
      <c r="C916" s="37" t="s">
        <v>15</v>
      </c>
      <c r="D916" s="37" t="s">
        <v>87</v>
      </c>
      <c r="E916" s="37" t="s">
        <v>90</v>
      </c>
      <c r="F916" s="38">
        <v>0.0</v>
      </c>
      <c r="G916" s="38">
        <v>0.0</v>
      </c>
      <c r="H916" s="38">
        <v>0.0</v>
      </c>
      <c r="I916" s="38">
        <v>0.0</v>
      </c>
      <c r="J916" s="38">
        <v>0.0</v>
      </c>
      <c r="K916" s="38">
        <v>0.0</v>
      </c>
      <c r="L916" s="38">
        <v>0.0</v>
      </c>
      <c r="M916" s="38">
        <v>0.0</v>
      </c>
      <c r="N916" s="38">
        <v>0.0</v>
      </c>
      <c r="O916" s="38">
        <v>0.0</v>
      </c>
      <c r="P916" s="38">
        <v>0.0</v>
      </c>
      <c r="Q916" s="38">
        <v>0.0</v>
      </c>
    </row>
    <row r="917">
      <c r="A917" s="49">
        <v>46197.0</v>
      </c>
      <c r="B917" s="50">
        <v>0.8923611111111112</v>
      </c>
      <c r="C917" s="41" t="s">
        <v>15</v>
      </c>
      <c r="D917" s="41" t="s">
        <v>87</v>
      </c>
      <c r="E917" s="41" t="s">
        <v>91</v>
      </c>
      <c r="F917" s="42">
        <v>0.0</v>
      </c>
      <c r="G917" s="42">
        <v>0.0</v>
      </c>
      <c r="H917" s="42">
        <v>0.0</v>
      </c>
      <c r="I917" s="42">
        <v>0.0</v>
      </c>
      <c r="J917" s="42">
        <v>0.0</v>
      </c>
      <c r="K917" s="42">
        <v>0.0</v>
      </c>
      <c r="L917" s="42">
        <v>0.0</v>
      </c>
      <c r="M917" s="42">
        <v>0.0</v>
      </c>
      <c r="N917" s="42">
        <v>0.0</v>
      </c>
      <c r="O917" s="42">
        <v>0.0</v>
      </c>
      <c r="P917" s="42">
        <v>0.0</v>
      </c>
      <c r="Q917" s="42">
        <v>0.0</v>
      </c>
    </row>
    <row r="918">
      <c r="A918" s="47">
        <v>46197.0</v>
      </c>
      <c r="B918" s="48">
        <v>0.8923611111111112</v>
      </c>
      <c r="C918" s="37" t="s">
        <v>15</v>
      </c>
      <c r="D918" s="37" t="s">
        <v>87</v>
      </c>
      <c r="E918" s="37" t="s">
        <v>92</v>
      </c>
      <c r="F918" s="38">
        <v>0.0</v>
      </c>
      <c r="G918" s="38">
        <v>0.0</v>
      </c>
      <c r="H918" s="38">
        <v>0.0</v>
      </c>
      <c r="I918" s="38">
        <v>0.0</v>
      </c>
      <c r="J918" s="38">
        <v>0.0</v>
      </c>
      <c r="K918" s="38">
        <v>0.0</v>
      </c>
      <c r="L918" s="38">
        <v>0.0</v>
      </c>
      <c r="M918" s="38">
        <v>0.0</v>
      </c>
      <c r="N918" s="38">
        <v>0.0</v>
      </c>
      <c r="O918" s="38">
        <v>0.0</v>
      </c>
      <c r="P918" s="38">
        <v>0.0</v>
      </c>
      <c r="Q918" s="38">
        <v>0.0</v>
      </c>
    </row>
    <row r="919">
      <c r="A919" s="49">
        <v>46197.0</v>
      </c>
      <c r="B919" s="50">
        <v>0.8923611111111112</v>
      </c>
      <c r="C919" s="41" t="s">
        <v>15</v>
      </c>
      <c r="D919" s="41" t="s">
        <v>87</v>
      </c>
      <c r="E919" s="41" t="s">
        <v>106</v>
      </c>
      <c r="F919" s="42">
        <v>0.0</v>
      </c>
      <c r="G919" s="42">
        <v>0.0</v>
      </c>
      <c r="H919" s="42">
        <v>0.0</v>
      </c>
      <c r="I919" s="42">
        <v>0.0</v>
      </c>
      <c r="J919" s="42">
        <v>0.0</v>
      </c>
      <c r="K919" s="42">
        <v>0.0</v>
      </c>
      <c r="L919" s="42">
        <v>0.0</v>
      </c>
      <c r="M919" s="42">
        <v>0.0</v>
      </c>
      <c r="N919" s="42">
        <v>0.0</v>
      </c>
      <c r="O919" s="42">
        <v>0.0</v>
      </c>
      <c r="P919" s="42">
        <v>0.0</v>
      </c>
      <c r="Q919" s="42">
        <v>0.0</v>
      </c>
    </row>
    <row r="920">
      <c r="A920" s="47">
        <v>46197.0</v>
      </c>
      <c r="B920" s="48">
        <v>0.8923611111111112</v>
      </c>
      <c r="C920" s="37" t="s">
        <v>15</v>
      </c>
      <c r="D920" s="37" t="s">
        <v>87</v>
      </c>
      <c r="E920" s="37" t="s">
        <v>107</v>
      </c>
      <c r="F920" s="38">
        <v>0.0</v>
      </c>
      <c r="G920" s="38">
        <v>0.0</v>
      </c>
      <c r="H920" s="38">
        <v>0.0</v>
      </c>
      <c r="I920" s="38">
        <v>0.0</v>
      </c>
      <c r="J920" s="38">
        <v>0.0</v>
      </c>
      <c r="K920" s="38">
        <v>0.0</v>
      </c>
      <c r="L920" s="38">
        <v>0.0</v>
      </c>
      <c r="M920" s="38">
        <v>0.0</v>
      </c>
      <c r="N920" s="38">
        <v>0.0</v>
      </c>
      <c r="O920" s="38">
        <v>0.0</v>
      </c>
      <c r="P920" s="38">
        <v>0.0</v>
      </c>
      <c r="Q920" s="38">
        <v>0.0</v>
      </c>
    </row>
    <row r="921">
      <c r="A921" s="49">
        <v>46197.0</v>
      </c>
      <c r="B921" s="50">
        <v>0.8923611111111112</v>
      </c>
      <c r="C921" s="41" t="s">
        <v>23</v>
      </c>
      <c r="D921" s="41" t="s">
        <v>93</v>
      </c>
      <c r="E921" s="41" t="s">
        <v>52</v>
      </c>
      <c r="F921" s="42">
        <v>1.0</v>
      </c>
      <c r="G921" s="42">
        <v>1.0</v>
      </c>
      <c r="H921" s="42">
        <v>0.0</v>
      </c>
      <c r="I921" s="42">
        <v>0.0</v>
      </c>
      <c r="J921" s="42">
        <v>0.0</v>
      </c>
      <c r="K921" s="42">
        <v>1.0</v>
      </c>
      <c r="L921" s="42">
        <v>1.0</v>
      </c>
      <c r="M921" s="42">
        <v>0.0</v>
      </c>
      <c r="N921" s="42">
        <v>0.0</v>
      </c>
      <c r="O921" s="42">
        <v>0.0</v>
      </c>
      <c r="P921" s="42">
        <v>1.0</v>
      </c>
      <c r="Q921" s="42">
        <v>1.0</v>
      </c>
    </row>
    <row r="922">
      <c r="A922" s="47">
        <v>46197.0</v>
      </c>
      <c r="B922" s="48">
        <v>0.8923611111111112</v>
      </c>
      <c r="C922" s="37" t="s">
        <v>23</v>
      </c>
      <c r="D922" s="37" t="s">
        <v>93</v>
      </c>
      <c r="E922" s="37" t="s">
        <v>88</v>
      </c>
      <c r="F922" s="38">
        <v>0.0</v>
      </c>
      <c r="G922" s="38">
        <v>0.0</v>
      </c>
      <c r="H922" s="38">
        <v>0.0</v>
      </c>
      <c r="I922" s="38">
        <v>0.0</v>
      </c>
      <c r="J922" s="38">
        <v>0.0</v>
      </c>
      <c r="K922" s="38">
        <v>0.0</v>
      </c>
      <c r="L922" s="38">
        <v>0.0</v>
      </c>
      <c r="M922" s="38">
        <v>0.0</v>
      </c>
      <c r="N922" s="38">
        <v>0.0</v>
      </c>
      <c r="O922" s="38">
        <v>0.0</v>
      </c>
      <c r="P922" s="38">
        <v>0.0</v>
      </c>
      <c r="Q922" s="38">
        <v>0.0</v>
      </c>
    </row>
    <row r="923">
      <c r="A923" s="49">
        <v>46197.0</v>
      </c>
      <c r="B923" s="50">
        <v>0.8923611111111112</v>
      </c>
      <c r="C923" s="41" t="s">
        <v>23</v>
      </c>
      <c r="D923" s="41" t="s">
        <v>93</v>
      </c>
      <c r="E923" s="41" t="s">
        <v>89</v>
      </c>
      <c r="F923" s="42">
        <v>0.0</v>
      </c>
      <c r="G923" s="42">
        <v>0.0</v>
      </c>
      <c r="H923" s="42">
        <v>0.0</v>
      </c>
      <c r="I923" s="42">
        <v>0.0</v>
      </c>
      <c r="J923" s="42">
        <v>0.0</v>
      </c>
      <c r="K923" s="42">
        <v>0.0</v>
      </c>
      <c r="L923" s="42">
        <v>0.0</v>
      </c>
      <c r="M923" s="42">
        <v>0.0</v>
      </c>
      <c r="N923" s="42">
        <v>0.0</v>
      </c>
      <c r="O923" s="42">
        <v>0.0</v>
      </c>
      <c r="P923" s="42">
        <v>0.0</v>
      </c>
      <c r="Q923" s="42">
        <v>0.0</v>
      </c>
    </row>
    <row r="924">
      <c r="A924" s="47">
        <v>46197.0</v>
      </c>
      <c r="B924" s="48">
        <v>0.8923611111111112</v>
      </c>
      <c r="C924" s="37" t="s">
        <v>23</v>
      </c>
      <c r="D924" s="37" t="s">
        <v>93</v>
      </c>
      <c r="E924" s="37" t="s">
        <v>50</v>
      </c>
      <c r="F924" s="38">
        <v>0.0</v>
      </c>
      <c r="G924" s="38">
        <v>0.0</v>
      </c>
      <c r="H924" s="38">
        <v>0.0</v>
      </c>
      <c r="I924" s="38">
        <v>0.0</v>
      </c>
      <c r="J924" s="38">
        <v>0.0</v>
      </c>
      <c r="K924" s="38">
        <v>0.0</v>
      </c>
      <c r="L924" s="38">
        <v>0.0</v>
      </c>
      <c r="M924" s="38">
        <v>0.0</v>
      </c>
      <c r="N924" s="38">
        <v>0.0</v>
      </c>
      <c r="O924" s="38">
        <v>0.0</v>
      </c>
      <c r="P924" s="38">
        <v>0.0</v>
      </c>
      <c r="Q924" s="38">
        <v>0.0</v>
      </c>
    </row>
    <row r="925">
      <c r="A925" s="49">
        <v>46197.0</v>
      </c>
      <c r="B925" s="50">
        <v>0.8923611111111112</v>
      </c>
      <c r="C925" s="41" t="s">
        <v>23</v>
      </c>
      <c r="D925" s="41" t="s">
        <v>93</v>
      </c>
      <c r="E925" s="41" t="s">
        <v>90</v>
      </c>
      <c r="F925" s="42">
        <v>0.0</v>
      </c>
      <c r="G925" s="42">
        <v>0.0</v>
      </c>
      <c r="H925" s="42">
        <v>0.0</v>
      </c>
      <c r="I925" s="42">
        <v>0.0</v>
      </c>
      <c r="J925" s="42">
        <v>0.0</v>
      </c>
      <c r="K925" s="42">
        <v>0.0</v>
      </c>
      <c r="L925" s="42">
        <v>0.0</v>
      </c>
      <c r="M925" s="42">
        <v>0.0</v>
      </c>
      <c r="N925" s="42">
        <v>0.0</v>
      </c>
      <c r="O925" s="42">
        <v>0.0</v>
      </c>
      <c r="P925" s="42">
        <v>0.0</v>
      </c>
      <c r="Q925" s="42">
        <v>0.0</v>
      </c>
    </row>
    <row r="926">
      <c r="A926" s="47">
        <v>46197.0</v>
      </c>
      <c r="B926" s="48">
        <v>0.8923611111111112</v>
      </c>
      <c r="C926" s="37" t="s">
        <v>23</v>
      </c>
      <c r="D926" s="37" t="s">
        <v>93</v>
      </c>
      <c r="E926" s="37" t="s">
        <v>91</v>
      </c>
      <c r="F926" s="38">
        <v>0.0</v>
      </c>
      <c r="G926" s="38">
        <v>0.0</v>
      </c>
      <c r="H926" s="38">
        <v>0.0</v>
      </c>
      <c r="I926" s="38">
        <v>0.0</v>
      </c>
      <c r="J926" s="38">
        <v>0.0</v>
      </c>
      <c r="K926" s="38">
        <v>0.0</v>
      </c>
      <c r="L926" s="38">
        <v>0.0</v>
      </c>
      <c r="M926" s="38">
        <v>0.0</v>
      </c>
      <c r="N926" s="38">
        <v>0.0</v>
      </c>
      <c r="O926" s="38">
        <v>0.0</v>
      </c>
      <c r="P926" s="38">
        <v>0.0</v>
      </c>
      <c r="Q926" s="38">
        <v>0.0</v>
      </c>
    </row>
    <row r="927">
      <c r="A927" s="49">
        <v>46197.0</v>
      </c>
      <c r="B927" s="50">
        <v>0.8923611111111112</v>
      </c>
      <c r="C927" s="41" t="s">
        <v>23</v>
      </c>
      <c r="D927" s="41" t="s">
        <v>93</v>
      </c>
      <c r="E927" s="41" t="s">
        <v>92</v>
      </c>
      <c r="F927" s="42">
        <v>0.0</v>
      </c>
      <c r="G927" s="42">
        <v>0.0</v>
      </c>
      <c r="H927" s="42">
        <v>0.0</v>
      </c>
      <c r="I927" s="42">
        <v>0.0</v>
      </c>
      <c r="J927" s="42">
        <v>0.0</v>
      </c>
      <c r="K927" s="42">
        <v>0.0</v>
      </c>
      <c r="L927" s="42">
        <v>0.0</v>
      </c>
      <c r="M927" s="42">
        <v>0.0</v>
      </c>
      <c r="N927" s="42">
        <v>0.0</v>
      </c>
      <c r="O927" s="42">
        <v>0.0</v>
      </c>
      <c r="P927" s="42">
        <v>0.0</v>
      </c>
      <c r="Q927" s="42">
        <v>0.0</v>
      </c>
    </row>
    <row r="928">
      <c r="A928" s="47">
        <v>46197.0</v>
      </c>
      <c r="B928" s="48">
        <v>0.8923611111111112</v>
      </c>
      <c r="C928" s="37" t="s">
        <v>23</v>
      </c>
      <c r="D928" s="37" t="s">
        <v>93</v>
      </c>
      <c r="E928" s="37" t="s">
        <v>106</v>
      </c>
      <c r="F928" s="38">
        <v>0.0</v>
      </c>
      <c r="G928" s="38">
        <v>0.0</v>
      </c>
      <c r="H928" s="38">
        <v>0.0</v>
      </c>
      <c r="I928" s="38">
        <v>0.0</v>
      </c>
      <c r="J928" s="38">
        <v>0.0</v>
      </c>
      <c r="K928" s="38">
        <v>0.0</v>
      </c>
      <c r="L928" s="38">
        <v>0.0</v>
      </c>
      <c r="M928" s="38">
        <v>0.0</v>
      </c>
      <c r="N928" s="38">
        <v>0.0</v>
      </c>
      <c r="O928" s="38">
        <v>0.0</v>
      </c>
      <c r="P928" s="38">
        <v>0.0</v>
      </c>
      <c r="Q928" s="38">
        <v>0.0</v>
      </c>
    </row>
    <row r="929">
      <c r="A929" s="49">
        <v>46197.0</v>
      </c>
      <c r="B929" s="50">
        <v>0.8923611111111112</v>
      </c>
      <c r="C929" s="41" t="s">
        <v>23</v>
      </c>
      <c r="D929" s="41" t="s">
        <v>93</v>
      </c>
      <c r="E929" s="41" t="s">
        <v>107</v>
      </c>
      <c r="F929" s="42">
        <v>0.0</v>
      </c>
      <c r="G929" s="42">
        <v>0.0</v>
      </c>
      <c r="H929" s="42">
        <v>0.0</v>
      </c>
      <c r="I929" s="42">
        <v>0.0</v>
      </c>
      <c r="J929" s="42">
        <v>0.0</v>
      </c>
      <c r="K929" s="42">
        <v>0.0</v>
      </c>
      <c r="L929" s="42">
        <v>0.0</v>
      </c>
      <c r="M929" s="42">
        <v>0.0</v>
      </c>
      <c r="N929" s="42">
        <v>0.0</v>
      </c>
      <c r="O929" s="42">
        <v>0.0</v>
      </c>
      <c r="P929" s="42">
        <v>0.0</v>
      </c>
      <c r="Q929" s="42">
        <v>0.0</v>
      </c>
    </row>
    <row r="930">
      <c r="A930" s="47">
        <v>46197.0</v>
      </c>
      <c r="B930" s="48">
        <v>0.8923611111111112</v>
      </c>
      <c r="C930" s="37" t="s">
        <v>29</v>
      </c>
      <c r="D930" s="37" t="s">
        <v>94</v>
      </c>
      <c r="E930" s="37" t="s">
        <v>52</v>
      </c>
      <c r="F930" s="38">
        <v>6.0</v>
      </c>
      <c r="G930" s="38">
        <v>3.0</v>
      </c>
      <c r="H930" s="38">
        <v>0.0</v>
      </c>
      <c r="I930" s="38">
        <v>0.0</v>
      </c>
      <c r="J930" s="38">
        <v>0.0</v>
      </c>
      <c r="K930" s="38">
        <v>6.0</v>
      </c>
      <c r="L930" s="38">
        <v>6.0</v>
      </c>
      <c r="M930" s="38">
        <v>0.0</v>
      </c>
      <c r="N930" s="38">
        <v>0.0</v>
      </c>
      <c r="O930" s="38">
        <v>0.0</v>
      </c>
      <c r="P930" s="38">
        <v>3.0</v>
      </c>
      <c r="Q930" s="38">
        <v>3.0</v>
      </c>
    </row>
    <row r="931">
      <c r="A931" s="49">
        <v>46197.0</v>
      </c>
      <c r="B931" s="50">
        <v>0.8923611111111112</v>
      </c>
      <c r="C931" s="41" t="s">
        <v>29</v>
      </c>
      <c r="D931" s="41" t="s">
        <v>94</v>
      </c>
      <c r="E931" s="41" t="s">
        <v>88</v>
      </c>
      <c r="F931" s="42">
        <v>0.0</v>
      </c>
      <c r="G931" s="42">
        <v>0.0</v>
      </c>
      <c r="H931" s="42">
        <v>0.0</v>
      </c>
      <c r="I931" s="42">
        <v>0.0</v>
      </c>
      <c r="J931" s="42">
        <v>0.0</v>
      </c>
      <c r="K931" s="42">
        <v>0.0</v>
      </c>
      <c r="L931" s="42">
        <v>0.0</v>
      </c>
      <c r="M931" s="42">
        <v>0.0</v>
      </c>
      <c r="N931" s="42">
        <v>0.0</v>
      </c>
      <c r="O931" s="42">
        <v>0.0</v>
      </c>
      <c r="P931" s="42">
        <v>0.0</v>
      </c>
      <c r="Q931" s="42">
        <v>0.0</v>
      </c>
    </row>
    <row r="932">
      <c r="A932" s="47">
        <v>46197.0</v>
      </c>
      <c r="B932" s="48">
        <v>0.8923611111111112</v>
      </c>
      <c r="C932" s="37" t="s">
        <v>29</v>
      </c>
      <c r="D932" s="37" t="s">
        <v>94</v>
      </c>
      <c r="E932" s="37" t="s">
        <v>89</v>
      </c>
      <c r="F932" s="38">
        <v>1.0</v>
      </c>
      <c r="G932" s="38">
        <v>0.0</v>
      </c>
      <c r="H932" s="38">
        <v>0.0</v>
      </c>
      <c r="I932" s="38">
        <v>0.0</v>
      </c>
      <c r="J932" s="38">
        <v>0.0</v>
      </c>
      <c r="K932" s="38">
        <v>1.0</v>
      </c>
      <c r="L932" s="38">
        <v>1.0</v>
      </c>
      <c r="M932" s="38">
        <v>0.0</v>
      </c>
      <c r="N932" s="38">
        <v>0.0</v>
      </c>
      <c r="O932" s="38">
        <v>0.0</v>
      </c>
      <c r="P932" s="38">
        <v>0.0</v>
      </c>
      <c r="Q932" s="38">
        <v>0.0</v>
      </c>
    </row>
    <row r="933">
      <c r="A933" s="49">
        <v>46197.0</v>
      </c>
      <c r="B933" s="50">
        <v>0.8923611111111112</v>
      </c>
      <c r="C933" s="41" t="s">
        <v>29</v>
      </c>
      <c r="D933" s="41" t="s">
        <v>94</v>
      </c>
      <c r="E933" s="41" t="s">
        <v>50</v>
      </c>
      <c r="F933" s="42">
        <v>0.0</v>
      </c>
      <c r="G933" s="42">
        <v>0.0</v>
      </c>
      <c r="H933" s="42">
        <v>0.0</v>
      </c>
      <c r="I933" s="42">
        <v>0.0</v>
      </c>
      <c r="J933" s="42">
        <v>0.0</v>
      </c>
      <c r="K933" s="42">
        <v>0.0</v>
      </c>
      <c r="L933" s="42">
        <v>0.0</v>
      </c>
      <c r="M933" s="42">
        <v>0.0</v>
      </c>
      <c r="N933" s="42">
        <v>0.0</v>
      </c>
      <c r="O933" s="42">
        <v>0.0</v>
      </c>
      <c r="P933" s="42">
        <v>0.0</v>
      </c>
      <c r="Q933" s="42">
        <v>0.0</v>
      </c>
    </row>
    <row r="934">
      <c r="A934" s="47">
        <v>46197.0</v>
      </c>
      <c r="B934" s="48">
        <v>0.8923611111111112</v>
      </c>
      <c r="C934" s="37" t="s">
        <v>29</v>
      </c>
      <c r="D934" s="37" t="s">
        <v>94</v>
      </c>
      <c r="E934" s="37" t="s">
        <v>90</v>
      </c>
      <c r="F934" s="38">
        <v>0.0</v>
      </c>
      <c r="G934" s="38">
        <v>0.0</v>
      </c>
      <c r="H934" s="38">
        <v>0.0</v>
      </c>
      <c r="I934" s="38">
        <v>0.0</v>
      </c>
      <c r="J934" s="38">
        <v>0.0</v>
      </c>
      <c r="K934" s="38">
        <v>0.0</v>
      </c>
      <c r="L934" s="38">
        <v>0.0</v>
      </c>
      <c r="M934" s="38">
        <v>0.0</v>
      </c>
      <c r="N934" s="38">
        <v>0.0</v>
      </c>
      <c r="O934" s="38">
        <v>0.0</v>
      </c>
      <c r="P934" s="38">
        <v>0.0</v>
      </c>
      <c r="Q934" s="38">
        <v>0.0</v>
      </c>
    </row>
    <row r="935">
      <c r="A935" s="49">
        <v>46197.0</v>
      </c>
      <c r="B935" s="50">
        <v>0.8923611111111112</v>
      </c>
      <c r="C935" s="41" t="s">
        <v>29</v>
      </c>
      <c r="D935" s="41" t="s">
        <v>94</v>
      </c>
      <c r="E935" s="41" t="s">
        <v>91</v>
      </c>
      <c r="F935" s="42">
        <v>0.0</v>
      </c>
      <c r="G935" s="42">
        <v>0.0</v>
      </c>
      <c r="H935" s="42">
        <v>0.0</v>
      </c>
      <c r="I935" s="42">
        <v>0.0</v>
      </c>
      <c r="J935" s="42">
        <v>0.0</v>
      </c>
      <c r="K935" s="42">
        <v>0.0</v>
      </c>
      <c r="L935" s="42">
        <v>0.0</v>
      </c>
      <c r="M935" s="42">
        <v>0.0</v>
      </c>
      <c r="N935" s="42">
        <v>0.0</v>
      </c>
      <c r="O935" s="42">
        <v>0.0</v>
      </c>
      <c r="P935" s="42">
        <v>0.0</v>
      </c>
      <c r="Q935" s="42">
        <v>0.0</v>
      </c>
    </row>
    <row r="936">
      <c r="A936" s="47">
        <v>46197.0</v>
      </c>
      <c r="B936" s="48">
        <v>0.8923611111111112</v>
      </c>
      <c r="C936" s="37" t="s">
        <v>29</v>
      </c>
      <c r="D936" s="37" t="s">
        <v>94</v>
      </c>
      <c r="E936" s="37" t="s">
        <v>92</v>
      </c>
      <c r="F936" s="38">
        <v>0.0</v>
      </c>
      <c r="G936" s="38">
        <v>0.0</v>
      </c>
      <c r="H936" s="38">
        <v>0.0</v>
      </c>
      <c r="I936" s="38">
        <v>0.0</v>
      </c>
      <c r="J936" s="38">
        <v>0.0</v>
      </c>
      <c r="K936" s="38">
        <v>0.0</v>
      </c>
      <c r="L936" s="38">
        <v>0.0</v>
      </c>
      <c r="M936" s="38">
        <v>0.0</v>
      </c>
      <c r="N936" s="38">
        <v>0.0</v>
      </c>
      <c r="O936" s="38">
        <v>0.0</v>
      </c>
      <c r="P936" s="38">
        <v>0.0</v>
      </c>
      <c r="Q936" s="38">
        <v>0.0</v>
      </c>
    </row>
    <row r="937">
      <c r="A937" s="49">
        <v>46197.0</v>
      </c>
      <c r="B937" s="50">
        <v>0.8923611111111112</v>
      </c>
      <c r="C937" s="41" t="s">
        <v>29</v>
      </c>
      <c r="D937" s="41" t="s">
        <v>94</v>
      </c>
      <c r="E937" s="41" t="s">
        <v>106</v>
      </c>
      <c r="F937" s="42">
        <v>1.0</v>
      </c>
      <c r="G937" s="42">
        <v>0.0</v>
      </c>
      <c r="H937" s="42">
        <v>0.0</v>
      </c>
      <c r="I937" s="42">
        <v>0.0</v>
      </c>
      <c r="J937" s="42">
        <v>1.0</v>
      </c>
      <c r="K937" s="42">
        <v>1.0</v>
      </c>
      <c r="L937" s="42">
        <v>1.0</v>
      </c>
      <c r="M937" s="42">
        <v>0.0</v>
      </c>
      <c r="N937" s="42">
        <v>0.0</v>
      </c>
      <c r="O937" s="42">
        <v>0.0</v>
      </c>
      <c r="P937" s="42">
        <v>0.0</v>
      </c>
      <c r="Q937" s="42">
        <v>0.0</v>
      </c>
    </row>
    <row r="938">
      <c r="A938" s="47">
        <v>46197.0</v>
      </c>
      <c r="B938" s="48">
        <v>0.8923611111111112</v>
      </c>
      <c r="C938" s="37" t="s">
        <v>29</v>
      </c>
      <c r="D938" s="37" t="s">
        <v>94</v>
      </c>
      <c r="E938" s="37" t="s">
        <v>107</v>
      </c>
      <c r="F938" s="38">
        <v>0.0</v>
      </c>
      <c r="G938" s="38">
        <v>0.0</v>
      </c>
      <c r="H938" s="38">
        <v>0.0</v>
      </c>
      <c r="I938" s="38">
        <v>0.0</v>
      </c>
      <c r="J938" s="38">
        <v>0.0</v>
      </c>
      <c r="K938" s="38">
        <v>0.0</v>
      </c>
      <c r="L938" s="38">
        <v>0.0</v>
      </c>
      <c r="M938" s="38">
        <v>0.0</v>
      </c>
      <c r="N938" s="38">
        <v>0.0</v>
      </c>
      <c r="O938" s="38">
        <v>0.0</v>
      </c>
      <c r="P938" s="38">
        <v>0.0</v>
      </c>
      <c r="Q938" s="38">
        <v>0.0</v>
      </c>
    </row>
    <row r="939">
      <c r="A939" s="49">
        <v>46197.0</v>
      </c>
      <c r="B939" s="50">
        <v>0.8923611111111112</v>
      </c>
      <c r="C939" s="41" t="s">
        <v>31</v>
      </c>
      <c r="D939" s="41" t="s">
        <v>95</v>
      </c>
      <c r="E939" s="41" t="s">
        <v>52</v>
      </c>
      <c r="F939" s="42">
        <v>0.0</v>
      </c>
      <c r="G939" s="42">
        <v>0.0</v>
      </c>
      <c r="H939" s="42">
        <v>0.0</v>
      </c>
      <c r="I939" s="42">
        <v>0.0</v>
      </c>
      <c r="J939" s="42">
        <v>0.0</v>
      </c>
      <c r="K939" s="42">
        <v>0.0</v>
      </c>
      <c r="L939" s="42">
        <v>0.0</v>
      </c>
      <c r="M939" s="42">
        <v>0.0</v>
      </c>
      <c r="N939" s="42">
        <v>0.0</v>
      </c>
      <c r="O939" s="42">
        <v>0.0</v>
      </c>
      <c r="P939" s="42">
        <v>0.0</v>
      </c>
      <c r="Q939" s="42">
        <v>0.0</v>
      </c>
    </row>
    <row r="940">
      <c r="A940" s="47">
        <v>46197.0</v>
      </c>
      <c r="B940" s="48">
        <v>0.8923611111111112</v>
      </c>
      <c r="C940" s="37" t="s">
        <v>31</v>
      </c>
      <c r="D940" s="37" t="s">
        <v>95</v>
      </c>
      <c r="E940" s="37" t="s">
        <v>88</v>
      </c>
      <c r="F940" s="38">
        <v>0.0</v>
      </c>
      <c r="G940" s="38">
        <v>0.0</v>
      </c>
      <c r="H940" s="38">
        <v>0.0</v>
      </c>
      <c r="I940" s="38">
        <v>0.0</v>
      </c>
      <c r="J940" s="38">
        <v>0.0</v>
      </c>
      <c r="K940" s="38">
        <v>0.0</v>
      </c>
      <c r="L940" s="38">
        <v>0.0</v>
      </c>
      <c r="M940" s="38">
        <v>0.0</v>
      </c>
      <c r="N940" s="38">
        <v>0.0</v>
      </c>
      <c r="O940" s="38">
        <v>0.0</v>
      </c>
      <c r="P940" s="38">
        <v>0.0</v>
      </c>
      <c r="Q940" s="38">
        <v>0.0</v>
      </c>
    </row>
    <row r="941">
      <c r="A941" s="49">
        <v>46197.0</v>
      </c>
      <c r="B941" s="50">
        <v>0.8923611111111112</v>
      </c>
      <c r="C941" s="41" t="s">
        <v>31</v>
      </c>
      <c r="D941" s="41" t="s">
        <v>95</v>
      </c>
      <c r="E941" s="41" t="s">
        <v>89</v>
      </c>
      <c r="F941" s="42">
        <v>0.0</v>
      </c>
      <c r="G941" s="42">
        <v>0.0</v>
      </c>
      <c r="H941" s="42">
        <v>0.0</v>
      </c>
      <c r="I941" s="42">
        <v>0.0</v>
      </c>
      <c r="J941" s="42">
        <v>0.0</v>
      </c>
      <c r="K941" s="42">
        <v>0.0</v>
      </c>
      <c r="L941" s="42">
        <v>0.0</v>
      </c>
      <c r="M941" s="42">
        <v>0.0</v>
      </c>
      <c r="N941" s="42">
        <v>0.0</v>
      </c>
      <c r="O941" s="42">
        <v>0.0</v>
      </c>
      <c r="P941" s="42">
        <v>0.0</v>
      </c>
      <c r="Q941" s="42">
        <v>0.0</v>
      </c>
    </row>
    <row r="942">
      <c r="A942" s="47">
        <v>46197.0</v>
      </c>
      <c r="B942" s="48">
        <v>0.8923611111111112</v>
      </c>
      <c r="C942" s="37" t="s">
        <v>31</v>
      </c>
      <c r="D942" s="37" t="s">
        <v>95</v>
      </c>
      <c r="E942" s="37" t="s">
        <v>50</v>
      </c>
      <c r="F942" s="38">
        <v>1.0</v>
      </c>
      <c r="G942" s="38">
        <v>1.0</v>
      </c>
      <c r="H942" s="38">
        <v>0.0</v>
      </c>
      <c r="I942" s="38">
        <v>0.0</v>
      </c>
      <c r="J942" s="38">
        <v>0.0</v>
      </c>
      <c r="K942" s="38">
        <v>0.0</v>
      </c>
      <c r="L942" s="38">
        <v>0.0</v>
      </c>
      <c r="M942" s="38">
        <v>0.0</v>
      </c>
      <c r="N942" s="38">
        <v>0.0</v>
      </c>
      <c r="O942" s="38">
        <v>0.0</v>
      </c>
      <c r="P942" s="38">
        <v>0.0</v>
      </c>
      <c r="Q942" s="38">
        <v>0.0</v>
      </c>
    </row>
    <row r="943">
      <c r="A943" s="49">
        <v>46197.0</v>
      </c>
      <c r="B943" s="50">
        <v>0.8923611111111112</v>
      </c>
      <c r="C943" s="41" t="s">
        <v>31</v>
      </c>
      <c r="D943" s="41" t="s">
        <v>95</v>
      </c>
      <c r="E943" s="41" t="s">
        <v>90</v>
      </c>
      <c r="F943" s="42">
        <v>0.0</v>
      </c>
      <c r="G943" s="42">
        <v>0.0</v>
      </c>
      <c r="H943" s="42">
        <v>0.0</v>
      </c>
      <c r="I943" s="42">
        <v>0.0</v>
      </c>
      <c r="J943" s="42">
        <v>0.0</v>
      </c>
      <c r="K943" s="42">
        <v>0.0</v>
      </c>
      <c r="L943" s="42">
        <v>0.0</v>
      </c>
      <c r="M943" s="42">
        <v>0.0</v>
      </c>
      <c r="N943" s="42">
        <v>0.0</v>
      </c>
      <c r="O943" s="42">
        <v>0.0</v>
      </c>
      <c r="P943" s="42">
        <v>0.0</v>
      </c>
      <c r="Q943" s="42">
        <v>0.0</v>
      </c>
    </row>
    <row r="944">
      <c r="A944" s="47">
        <v>46197.0</v>
      </c>
      <c r="B944" s="48">
        <v>0.8923611111111112</v>
      </c>
      <c r="C944" s="37" t="s">
        <v>31</v>
      </c>
      <c r="D944" s="37" t="s">
        <v>95</v>
      </c>
      <c r="E944" s="37" t="s">
        <v>91</v>
      </c>
      <c r="F944" s="38">
        <v>0.0</v>
      </c>
      <c r="G944" s="38">
        <v>0.0</v>
      </c>
      <c r="H944" s="38">
        <v>0.0</v>
      </c>
      <c r="I944" s="38">
        <v>0.0</v>
      </c>
      <c r="J944" s="38">
        <v>0.0</v>
      </c>
      <c r="K944" s="38">
        <v>0.0</v>
      </c>
      <c r="L944" s="38">
        <v>0.0</v>
      </c>
      <c r="M944" s="38">
        <v>0.0</v>
      </c>
      <c r="N944" s="38">
        <v>0.0</v>
      </c>
      <c r="O944" s="38">
        <v>0.0</v>
      </c>
      <c r="P944" s="38">
        <v>0.0</v>
      </c>
      <c r="Q944" s="38">
        <v>0.0</v>
      </c>
    </row>
    <row r="945">
      <c r="A945" s="49">
        <v>46197.0</v>
      </c>
      <c r="B945" s="50">
        <v>0.8923611111111112</v>
      </c>
      <c r="C945" s="41" t="s">
        <v>31</v>
      </c>
      <c r="D945" s="41" t="s">
        <v>95</v>
      </c>
      <c r="E945" s="41" t="s">
        <v>92</v>
      </c>
      <c r="F945" s="42">
        <v>0.0</v>
      </c>
      <c r="G945" s="42">
        <v>0.0</v>
      </c>
      <c r="H945" s="42">
        <v>0.0</v>
      </c>
      <c r="I945" s="42">
        <v>0.0</v>
      </c>
      <c r="J945" s="42">
        <v>0.0</v>
      </c>
      <c r="K945" s="42">
        <v>0.0</v>
      </c>
      <c r="L945" s="42">
        <v>0.0</v>
      </c>
      <c r="M945" s="42">
        <v>0.0</v>
      </c>
      <c r="N945" s="42">
        <v>0.0</v>
      </c>
      <c r="O945" s="42">
        <v>0.0</v>
      </c>
      <c r="P945" s="42">
        <v>0.0</v>
      </c>
      <c r="Q945" s="42">
        <v>0.0</v>
      </c>
    </row>
    <row r="946">
      <c r="A946" s="47">
        <v>46197.0</v>
      </c>
      <c r="B946" s="48">
        <v>0.8923611111111112</v>
      </c>
      <c r="C946" s="37" t="s">
        <v>31</v>
      </c>
      <c r="D946" s="37" t="s">
        <v>95</v>
      </c>
      <c r="E946" s="37" t="s">
        <v>106</v>
      </c>
      <c r="F946" s="38">
        <v>0.0</v>
      </c>
      <c r="G946" s="38">
        <v>0.0</v>
      </c>
      <c r="H946" s="38">
        <v>0.0</v>
      </c>
      <c r="I946" s="38">
        <v>0.0</v>
      </c>
      <c r="J946" s="38">
        <v>0.0</v>
      </c>
      <c r="K946" s="38">
        <v>0.0</v>
      </c>
      <c r="L946" s="38">
        <v>0.0</v>
      </c>
      <c r="M946" s="38">
        <v>0.0</v>
      </c>
      <c r="N946" s="38">
        <v>0.0</v>
      </c>
      <c r="O946" s="38">
        <v>0.0</v>
      </c>
      <c r="P946" s="38">
        <v>0.0</v>
      </c>
      <c r="Q946" s="38">
        <v>0.0</v>
      </c>
    </row>
    <row r="947">
      <c r="A947" s="49">
        <v>46197.0</v>
      </c>
      <c r="B947" s="50">
        <v>0.8923611111111112</v>
      </c>
      <c r="C947" s="41" t="s">
        <v>31</v>
      </c>
      <c r="D947" s="41" t="s">
        <v>95</v>
      </c>
      <c r="E947" s="41" t="s">
        <v>107</v>
      </c>
      <c r="F947" s="42">
        <v>0.0</v>
      </c>
      <c r="G947" s="42">
        <v>0.0</v>
      </c>
      <c r="H947" s="42">
        <v>0.0</v>
      </c>
      <c r="I947" s="42">
        <v>0.0</v>
      </c>
      <c r="J947" s="42">
        <v>0.0</v>
      </c>
      <c r="K947" s="42">
        <v>0.0</v>
      </c>
      <c r="L947" s="42">
        <v>0.0</v>
      </c>
      <c r="M947" s="42">
        <v>0.0</v>
      </c>
      <c r="N947" s="42">
        <v>0.0</v>
      </c>
      <c r="O947" s="42">
        <v>0.0</v>
      </c>
      <c r="P947" s="42">
        <v>0.0</v>
      </c>
      <c r="Q947" s="42">
        <v>0.0</v>
      </c>
    </row>
    <row r="948">
      <c r="A948" s="51">
        <v>46197.0</v>
      </c>
      <c r="B948" s="52">
        <v>0.8923611111111112</v>
      </c>
      <c r="C948" s="45" t="s">
        <v>96</v>
      </c>
      <c r="D948" s="45" t="s">
        <v>75</v>
      </c>
      <c r="E948" s="45" t="s">
        <v>52</v>
      </c>
      <c r="F948" s="46">
        <v>11.0</v>
      </c>
      <c r="G948" s="46">
        <v>6.0</v>
      </c>
      <c r="H948" s="46">
        <v>0.0</v>
      </c>
      <c r="I948" s="46">
        <v>0.0</v>
      </c>
      <c r="J948" s="46">
        <v>1.0</v>
      </c>
      <c r="K948" s="46">
        <v>10.0</v>
      </c>
      <c r="L948" s="46">
        <v>11.0</v>
      </c>
      <c r="M948" s="46">
        <v>0.0</v>
      </c>
      <c r="N948" s="46">
        <v>0.0</v>
      </c>
      <c r="O948" s="46">
        <v>1.0</v>
      </c>
      <c r="P948" s="46">
        <v>5.0</v>
      </c>
      <c r="Q948" s="46">
        <v>6.0</v>
      </c>
    </row>
    <row r="949">
      <c r="A949" s="51">
        <v>46197.0</v>
      </c>
      <c r="B949" s="52">
        <v>0.8923611111111112</v>
      </c>
      <c r="C949" s="45" t="s">
        <v>96</v>
      </c>
      <c r="D949" s="45" t="s">
        <v>75</v>
      </c>
      <c r="E949" s="45" t="s">
        <v>88</v>
      </c>
      <c r="F949" s="46">
        <v>0.0</v>
      </c>
      <c r="G949" s="46">
        <v>0.0</v>
      </c>
      <c r="H949" s="46">
        <v>0.0</v>
      </c>
      <c r="I949" s="46">
        <v>0.0</v>
      </c>
      <c r="J949" s="46">
        <v>0.0</v>
      </c>
      <c r="K949" s="46">
        <v>0.0</v>
      </c>
      <c r="L949" s="46">
        <v>0.0</v>
      </c>
      <c r="M949" s="46">
        <v>0.0</v>
      </c>
      <c r="N949" s="46">
        <v>0.0</v>
      </c>
      <c r="O949" s="46">
        <v>0.0</v>
      </c>
      <c r="P949" s="46">
        <v>0.0</v>
      </c>
      <c r="Q949" s="46">
        <v>0.0</v>
      </c>
    </row>
    <row r="950">
      <c r="A950" s="51">
        <v>46197.0</v>
      </c>
      <c r="B950" s="52">
        <v>0.8923611111111112</v>
      </c>
      <c r="C950" s="45" t="s">
        <v>96</v>
      </c>
      <c r="D950" s="45" t="s">
        <v>75</v>
      </c>
      <c r="E950" s="45" t="s">
        <v>89</v>
      </c>
      <c r="F950" s="46">
        <v>1.0</v>
      </c>
      <c r="G950" s="46">
        <v>0.0</v>
      </c>
      <c r="H950" s="46">
        <v>0.0</v>
      </c>
      <c r="I950" s="46">
        <v>0.0</v>
      </c>
      <c r="J950" s="46">
        <v>0.0</v>
      </c>
      <c r="K950" s="46">
        <v>1.0</v>
      </c>
      <c r="L950" s="46">
        <v>1.0</v>
      </c>
      <c r="M950" s="46">
        <v>0.0</v>
      </c>
      <c r="N950" s="46">
        <v>0.0</v>
      </c>
      <c r="O950" s="46">
        <v>0.0</v>
      </c>
      <c r="P950" s="46">
        <v>0.0</v>
      </c>
      <c r="Q950" s="46">
        <v>0.0</v>
      </c>
    </row>
    <row r="951">
      <c r="A951" s="51">
        <v>46197.0</v>
      </c>
      <c r="B951" s="52">
        <v>0.8923611111111112</v>
      </c>
      <c r="C951" s="45" t="s">
        <v>96</v>
      </c>
      <c r="D951" s="45" t="s">
        <v>75</v>
      </c>
      <c r="E951" s="45" t="s">
        <v>50</v>
      </c>
      <c r="F951" s="46">
        <v>1.0</v>
      </c>
      <c r="G951" s="46">
        <v>1.0</v>
      </c>
      <c r="H951" s="46">
        <v>0.0</v>
      </c>
      <c r="I951" s="46">
        <v>0.0</v>
      </c>
      <c r="J951" s="46">
        <v>0.0</v>
      </c>
      <c r="K951" s="46">
        <v>0.0</v>
      </c>
      <c r="L951" s="46">
        <v>0.0</v>
      </c>
      <c r="M951" s="46">
        <v>0.0</v>
      </c>
      <c r="N951" s="46">
        <v>0.0</v>
      </c>
      <c r="O951" s="46">
        <v>0.0</v>
      </c>
      <c r="P951" s="46">
        <v>0.0</v>
      </c>
      <c r="Q951" s="46">
        <v>0.0</v>
      </c>
    </row>
    <row r="952">
      <c r="A952" s="51">
        <v>46197.0</v>
      </c>
      <c r="B952" s="52">
        <v>0.8923611111111112</v>
      </c>
      <c r="C952" s="45" t="s">
        <v>96</v>
      </c>
      <c r="D952" s="45" t="s">
        <v>75</v>
      </c>
      <c r="E952" s="45" t="s">
        <v>90</v>
      </c>
      <c r="F952" s="46">
        <v>0.0</v>
      </c>
      <c r="G952" s="46">
        <v>0.0</v>
      </c>
      <c r="H952" s="46">
        <v>0.0</v>
      </c>
      <c r="I952" s="46">
        <v>0.0</v>
      </c>
      <c r="J952" s="46">
        <v>0.0</v>
      </c>
      <c r="K952" s="46">
        <v>0.0</v>
      </c>
      <c r="L952" s="46">
        <v>0.0</v>
      </c>
      <c r="M952" s="46">
        <v>0.0</v>
      </c>
      <c r="N952" s="46">
        <v>0.0</v>
      </c>
      <c r="O952" s="46">
        <v>0.0</v>
      </c>
      <c r="P952" s="46">
        <v>0.0</v>
      </c>
      <c r="Q952" s="46">
        <v>0.0</v>
      </c>
    </row>
    <row r="953">
      <c r="A953" s="51">
        <v>46197.0</v>
      </c>
      <c r="B953" s="52">
        <v>0.8923611111111112</v>
      </c>
      <c r="C953" s="45" t="s">
        <v>96</v>
      </c>
      <c r="D953" s="45" t="s">
        <v>75</v>
      </c>
      <c r="E953" s="45" t="s">
        <v>91</v>
      </c>
      <c r="F953" s="46">
        <v>0.0</v>
      </c>
      <c r="G953" s="46">
        <v>0.0</v>
      </c>
      <c r="H953" s="46">
        <v>0.0</v>
      </c>
      <c r="I953" s="46">
        <v>0.0</v>
      </c>
      <c r="J953" s="46">
        <v>0.0</v>
      </c>
      <c r="K953" s="46">
        <v>0.0</v>
      </c>
      <c r="L953" s="46">
        <v>0.0</v>
      </c>
      <c r="M953" s="46">
        <v>0.0</v>
      </c>
      <c r="N953" s="46">
        <v>0.0</v>
      </c>
      <c r="O953" s="46">
        <v>0.0</v>
      </c>
      <c r="P953" s="46">
        <v>0.0</v>
      </c>
      <c r="Q953" s="46">
        <v>0.0</v>
      </c>
    </row>
    <row r="954">
      <c r="A954" s="51">
        <v>46197.0</v>
      </c>
      <c r="B954" s="52">
        <v>0.8923611111111112</v>
      </c>
      <c r="C954" s="45" t="s">
        <v>96</v>
      </c>
      <c r="D954" s="45" t="s">
        <v>75</v>
      </c>
      <c r="E954" s="45" t="s">
        <v>92</v>
      </c>
      <c r="F954" s="46">
        <v>0.0</v>
      </c>
      <c r="G954" s="46">
        <v>0.0</v>
      </c>
      <c r="H954" s="46">
        <v>0.0</v>
      </c>
      <c r="I954" s="46">
        <v>0.0</v>
      </c>
      <c r="J954" s="46">
        <v>0.0</v>
      </c>
      <c r="K954" s="46">
        <v>0.0</v>
      </c>
      <c r="L954" s="46">
        <v>0.0</v>
      </c>
      <c r="M954" s="46">
        <v>0.0</v>
      </c>
      <c r="N954" s="46">
        <v>0.0</v>
      </c>
      <c r="O954" s="46">
        <v>0.0</v>
      </c>
      <c r="P954" s="46">
        <v>0.0</v>
      </c>
      <c r="Q954" s="46">
        <v>0.0</v>
      </c>
    </row>
    <row r="955">
      <c r="A955" s="51">
        <v>46197.0</v>
      </c>
      <c r="B955" s="52">
        <v>0.8923611111111112</v>
      </c>
      <c r="C955" s="45" t="s">
        <v>96</v>
      </c>
      <c r="D955" s="45" t="s">
        <v>75</v>
      </c>
      <c r="E955" s="45" t="s">
        <v>106</v>
      </c>
      <c r="F955" s="46">
        <v>1.0</v>
      </c>
      <c r="G955" s="46">
        <v>0.0</v>
      </c>
      <c r="H955" s="46">
        <v>0.0</v>
      </c>
      <c r="I955" s="46">
        <v>0.0</v>
      </c>
      <c r="J955" s="46">
        <v>1.0</v>
      </c>
      <c r="K955" s="46">
        <v>1.0</v>
      </c>
      <c r="L955" s="46">
        <v>1.0</v>
      </c>
      <c r="M955" s="46">
        <v>0.0</v>
      </c>
      <c r="N955" s="46">
        <v>0.0</v>
      </c>
      <c r="O955" s="46">
        <v>0.0</v>
      </c>
      <c r="P955" s="46">
        <v>0.0</v>
      </c>
      <c r="Q955" s="46">
        <v>0.0</v>
      </c>
    </row>
    <row r="956">
      <c r="A956" s="51">
        <v>46197.0</v>
      </c>
      <c r="B956" s="52">
        <v>0.8923611111111112</v>
      </c>
      <c r="C956" s="45" t="s">
        <v>96</v>
      </c>
      <c r="D956" s="45" t="s">
        <v>75</v>
      </c>
      <c r="E956" s="45" t="s">
        <v>107</v>
      </c>
      <c r="F956" s="46">
        <v>0.0</v>
      </c>
      <c r="G956" s="46">
        <v>0.0</v>
      </c>
      <c r="H956" s="46">
        <v>0.0</v>
      </c>
      <c r="I956" s="46">
        <v>0.0</v>
      </c>
      <c r="J956" s="46">
        <v>0.0</v>
      </c>
      <c r="K956" s="46">
        <v>0.0</v>
      </c>
      <c r="L956" s="46">
        <v>0.0</v>
      </c>
      <c r="M956" s="46">
        <v>0.0</v>
      </c>
      <c r="N956" s="46">
        <v>0.0</v>
      </c>
      <c r="O956" s="46">
        <v>0.0</v>
      </c>
      <c r="P956" s="46">
        <v>0.0</v>
      </c>
      <c r="Q956" s="46">
        <v>0.0</v>
      </c>
    </row>
    <row r="957">
      <c r="A957" s="49">
        <v>46197.0</v>
      </c>
      <c r="B957" s="50">
        <v>0.8979166666666667</v>
      </c>
      <c r="C957" s="41" t="s">
        <v>15</v>
      </c>
      <c r="D957" s="41" t="s">
        <v>87</v>
      </c>
      <c r="E957" s="41" t="s">
        <v>52</v>
      </c>
      <c r="F957" s="42">
        <v>4.0</v>
      </c>
      <c r="G957" s="42">
        <v>2.0</v>
      </c>
      <c r="H957" s="42">
        <v>0.0</v>
      </c>
      <c r="I957" s="42">
        <v>0.0</v>
      </c>
      <c r="J957" s="42">
        <v>1.0</v>
      </c>
      <c r="K957" s="42">
        <v>3.0</v>
      </c>
      <c r="L957" s="42">
        <v>4.0</v>
      </c>
      <c r="M957" s="42">
        <v>0.0</v>
      </c>
      <c r="N957" s="42">
        <v>0.0</v>
      </c>
      <c r="O957" s="42">
        <v>1.0</v>
      </c>
      <c r="P957" s="42">
        <v>1.0</v>
      </c>
      <c r="Q957" s="42">
        <v>2.0</v>
      </c>
    </row>
    <row r="958">
      <c r="A958" s="47">
        <v>46197.0</v>
      </c>
      <c r="B958" s="48">
        <v>0.8979166666666667</v>
      </c>
      <c r="C958" s="37" t="s">
        <v>15</v>
      </c>
      <c r="D958" s="37" t="s">
        <v>87</v>
      </c>
      <c r="E958" s="37" t="s">
        <v>88</v>
      </c>
      <c r="F958" s="38">
        <v>0.0</v>
      </c>
      <c r="G958" s="38">
        <v>0.0</v>
      </c>
      <c r="H958" s="38">
        <v>0.0</v>
      </c>
      <c r="I958" s="38">
        <v>0.0</v>
      </c>
      <c r="J958" s="38">
        <v>0.0</v>
      </c>
      <c r="K958" s="38">
        <v>0.0</v>
      </c>
      <c r="L958" s="38">
        <v>0.0</v>
      </c>
      <c r="M958" s="38">
        <v>0.0</v>
      </c>
      <c r="N958" s="38">
        <v>0.0</v>
      </c>
      <c r="O958" s="38">
        <v>0.0</v>
      </c>
      <c r="P958" s="38">
        <v>0.0</v>
      </c>
      <c r="Q958" s="38">
        <v>0.0</v>
      </c>
    </row>
    <row r="959">
      <c r="A959" s="49">
        <v>46197.0</v>
      </c>
      <c r="B959" s="50">
        <v>0.8979166666666667</v>
      </c>
      <c r="C959" s="41" t="s">
        <v>15</v>
      </c>
      <c r="D959" s="41" t="s">
        <v>87</v>
      </c>
      <c r="E959" s="41" t="s">
        <v>89</v>
      </c>
      <c r="F959" s="42">
        <v>0.0</v>
      </c>
      <c r="G959" s="42">
        <v>0.0</v>
      </c>
      <c r="H959" s="42">
        <v>0.0</v>
      </c>
      <c r="I959" s="42">
        <v>0.0</v>
      </c>
      <c r="J959" s="42">
        <v>0.0</v>
      </c>
      <c r="K959" s="42">
        <v>0.0</v>
      </c>
      <c r="L959" s="42">
        <v>0.0</v>
      </c>
      <c r="M959" s="42">
        <v>0.0</v>
      </c>
      <c r="N959" s="42">
        <v>0.0</v>
      </c>
      <c r="O959" s="42">
        <v>0.0</v>
      </c>
      <c r="P959" s="42">
        <v>0.0</v>
      </c>
      <c r="Q959" s="42">
        <v>0.0</v>
      </c>
    </row>
    <row r="960">
      <c r="A960" s="47">
        <v>46197.0</v>
      </c>
      <c r="B960" s="48">
        <v>0.8979166666666667</v>
      </c>
      <c r="C960" s="37" t="s">
        <v>15</v>
      </c>
      <c r="D960" s="37" t="s">
        <v>87</v>
      </c>
      <c r="E960" s="37" t="s">
        <v>50</v>
      </c>
      <c r="F960" s="38">
        <v>0.0</v>
      </c>
      <c r="G960" s="38">
        <v>0.0</v>
      </c>
      <c r="H960" s="38">
        <v>0.0</v>
      </c>
      <c r="I960" s="38">
        <v>0.0</v>
      </c>
      <c r="J960" s="38">
        <v>0.0</v>
      </c>
      <c r="K960" s="38">
        <v>0.0</v>
      </c>
      <c r="L960" s="38">
        <v>0.0</v>
      </c>
      <c r="M960" s="38">
        <v>0.0</v>
      </c>
      <c r="N960" s="38">
        <v>0.0</v>
      </c>
      <c r="O960" s="38">
        <v>0.0</v>
      </c>
      <c r="P960" s="38">
        <v>0.0</v>
      </c>
      <c r="Q960" s="38">
        <v>0.0</v>
      </c>
    </row>
    <row r="961">
      <c r="A961" s="49">
        <v>46197.0</v>
      </c>
      <c r="B961" s="50">
        <v>0.8979166666666667</v>
      </c>
      <c r="C961" s="41" t="s">
        <v>15</v>
      </c>
      <c r="D961" s="41" t="s">
        <v>87</v>
      </c>
      <c r="E961" s="41" t="s">
        <v>90</v>
      </c>
      <c r="F961" s="42">
        <v>0.0</v>
      </c>
      <c r="G961" s="42">
        <v>0.0</v>
      </c>
      <c r="H961" s="42">
        <v>0.0</v>
      </c>
      <c r="I961" s="42">
        <v>0.0</v>
      </c>
      <c r="J961" s="42">
        <v>0.0</v>
      </c>
      <c r="K961" s="42">
        <v>0.0</v>
      </c>
      <c r="L961" s="42">
        <v>0.0</v>
      </c>
      <c r="M961" s="42">
        <v>0.0</v>
      </c>
      <c r="N961" s="42">
        <v>0.0</v>
      </c>
      <c r="O961" s="42">
        <v>0.0</v>
      </c>
      <c r="P961" s="42">
        <v>0.0</v>
      </c>
      <c r="Q961" s="42">
        <v>0.0</v>
      </c>
    </row>
    <row r="962">
      <c r="A962" s="47">
        <v>46197.0</v>
      </c>
      <c r="B962" s="48">
        <v>0.8979166666666667</v>
      </c>
      <c r="C962" s="37" t="s">
        <v>15</v>
      </c>
      <c r="D962" s="37" t="s">
        <v>87</v>
      </c>
      <c r="E962" s="37" t="s">
        <v>91</v>
      </c>
      <c r="F962" s="38">
        <v>0.0</v>
      </c>
      <c r="G962" s="38">
        <v>0.0</v>
      </c>
      <c r="H962" s="38">
        <v>0.0</v>
      </c>
      <c r="I962" s="38">
        <v>0.0</v>
      </c>
      <c r="J962" s="38">
        <v>0.0</v>
      </c>
      <c r="K962" s="38">
        <v>0.0</v>
      </c>
      <c r="L962" s="38">
        <v>0.0</v>
      </c>
      <c r="M962" s="38">
        <v>0.0</v>
      </c>
      <c r="N962" s="38">
        <v>0.0</v>
      </c>
      <c r="O962" s="38">
        <v>0.0</v>
      </c>
      <c r="P962" s="38">
        <v>0.0</v>
      </c>
      <c r="Q962" s="38">
        <v>0.0</v>
      </c>
    </row>
    <row r="963">
      <c r="A963" s="49">
        <v>46197.0</v>
      </c>
      <c r="B963" s="50">
        <v>0.8979166666666667</v>
      </c>
      <c r="C963" s="41" t="s">
        <v>15</v>
      </c>
      <c r="D963" s="41" t="s">
        <v>87</v>
      </c>
      <c r="E963" s="41" t="s">
        <v>92</v>
      </c>
      <c r="F963" s="42">
        <v>0.0</v>
      </c>
      <c r="G963" s="42">
        <v>0.0</v>
      </c>
      <c r="H963" s="42">
        <v>0.0</v>
      </c>
      <c r="I963" s="42">
        <v>0.0</v>
      </c>
      <c r="J963" s="42">
        <v>0.0</v>
      </c>
      <c r="K963" s="42">
        <v>0.0</v>
      </c>
      <c r="L963" s="42">
        <v>0.0</v>
      </c>
      <c r="M963" s="42">
        <v>0.0</v>
      </c>
      <c r="N963" s="42">
        <v>0.0</v>
      </c>
      <c r="O963" s="42">
        <v>0.0</v>
      </c>
      <c r="P963" s="42">
        <v>0.0</v>
      </c>
      <c r="Q963" s="42">
        <v>0.0</v>
      </c>
    </row>
    <row r="964">
      <c r="A964" s="47">
        <v>46197.0</v>
      </c>
      <c r="B964" s="48">
        <v>0.8979166666666667</v>
      </c>
      <c r="C964" s="37" t="s">
        <v>15</v>
      </c>
      <c r="D964" s="37" t="s">
        <v>87</v>
      </c>
      <c r="E964" s="37" t="s">
        <v>106</v>
      </c>
      <c r="F964" s="38">
        <v>0.0</v>
      </c>
      <c r="G964" s="38">
        <v>0.0</v>
      </c>
      <c r="H964" s="38">
        <v>0.0</v>
      </c>
      <c r="I964" s="38">
        <v>0.0</v>
      </c>
      <c r="J964" s="38">
        <v>0.0</v>
      </c>
      <c r="K964" s="38">
        <v>0.0</v>
      </c>
      <c r="L964" s="38">
        <v>0.0</v>
      </c>
      <c r="M964" s="38">
        <v>0.0</v>
      </c>
      <c r="N964" s="38">
        <v>0.0</v>
      </c>
      <c r="O964" s="38">
        <v>0.0</v>
      </c>
      <c r="P964" s="38">
        <v>0.0</v>
      </c>
      <c r="Q964" s="38">
        <v>0.0</v>
      </c>
    </row>
    <row r="965">
      <c r="A965" s="49">
        <v>46197.0</v>
      </c>
      <c r="B965" s="50">
        <v>0.8979166666666667</v>
      </c>
      <c r="C965" s="41" t="s">
        <v>15</v>
      </c>
      <c r="D965" s="41" t="s">
        <v>87</v>
      </c>
      <c r="E965" s="41" t="s">
        <v>107</v>
      </c>
      <c r="F965" s="42">
        <v>0.0</v>
      </c>
      <c r="G965" s="42">
        <v>0.0</v>
      </c>
      <c r="H965" s="42">
        <v>0.0</v>
      </c>
      <c r="I965" s="42">
        <v>0.0</v>
      </c>
      <c r="J965" s="42">
        <v>0.0</v>
      </c>
      <c r="K965" s="42">
        <v>0.0</v>
      </c>
      <c r="L965" s="42">
        <v>0.0</v>
      </c>
      <c r="M965" s="42">
        <v>0.0</v>
      </c>
      <c r="N965" s="42">
        <v>0.0</v>
      </c>
      <c r="O965" s="42">
        <v>0.0</v>
      </c>
      <c r="P965" s="42">
        <v>0.0</v>
      </c>
      <c r="Q965" s="42">
        <v>0.0</v>
      </c>
    </row>
    <row r="966">
      <c r="A966" s="47">
        <v>46197.0</v>
      </c>
      <c r="B966" s="48">
        <v>0.8979166666666667</v>
      </c>
      <c r="C966" s="37" t="s">
        <v>23</v>
      </c>
      <c r="D966" s="37" t="s">
        <v>93</v>
      </c>
      <c r="E966" s="37" t="s">
        <v>52</v>
      </c>
      <c r="F966" s="38">
        <v>1.0</v>
      </c>
      <c r="G966" s="38">
        <v>1.0</v>
      </c>
      <c r="H966" s="38">
        <v>0.0</v>
      </c>
      <c r="I966" s="38">
        <v>0.0</v>
      </c>
      <c r="J966" s="38">
        <v>0.0</v>
      </c>
      <c r="K966" s="38">
        <v>1.0</v>
      </c>
      <c r="L966" s="38">
        <v>1.0</v>
      </c>
      <c r="M966" s="38">
        <v>0.0</v>
      </c>
      <c r="N966" s="38">
        <v>0.0</v>
      </c>
      <c r="O966" s="38">
        <v>0.0</v>
      </c>
      <c r="P966" s="38">
        <v>1.0</v>
      </c>
      <c r="Q966" s="38">
        <v>1.0</v>
      </c>
    </row>
    <row r="967">
      <c r="A967" s="49">
        <v>46197.0</v>
      </c>
      <c r="B967" s="50">
        <v>0.8979166666666667</v>
      </c>
      <c r="C967" s="41" t="s">
        <v>23</v>
      </c>
      <c r="D967" s="41" t="s">
        <v>93</v>
      </c>
      <c r="E967" s="41" t="s">
        <v>88</v>
      </c>
      <c r="F967" s="42">
        <v>0.0</v>
      </c>
      <c r="G967" s="42">
        <v>0.0</v>
      </c>
      <c r="H967" s="42">
        <v>0.0</v>
      </c>
      <c r="I967" s="42">
        <v>0.0</v>
      </c>
      <c r="J967" s="42">
        <v>0.0</v>
      </c>
      <c r="K967" s="42">
        <v>0.0</v>
      </c>
      <c r="L967" s="42">
        <v>0.0</v>
      </c>
      <c r="M967" s="42">
        <v>0.0</v>
      </c>
      <c r="N967" s="42">
        <v>0.0</v>
      </c>
      <c r="O967" s="42">
        <v>0.0</v>
      </c>
      <c r="P967" s="42">
        <v>0.0</v>
      </c>
      <c r="Q967" s="42">
        <v>0.0</v>
      </c>
    </row>
    <row r="968">
      <c r="A968" s="47">
        <v>46197.0</v>
      </c>
      <c r="B968" s="48">
        <v>0.8979166666666667</v>
      </c>
      <c r="C968" s="37" t="s">
        <v>23</v>
      </c>
      <c r="D968" s="37" t="s">
        <v>93</v>
      </c>
      <c r="E968" s="37" t="s">
        <v>89</v>
      </c>
      <c r="F968" s="38">
        <v>0.0</v>
      </c>
      <c r="G968" s="38">
        <v>0.0</v>
      </c>
      <c r="H968" s="38">
        <v>0.0</v>
      </c>
      <c r="I968" s="38">
        <v>0.0</v>
      </c>
      <c r="J968" s="38">
        <v>0.0</v>
      </c>
      <c r="K968" s="38">
        <v>0.0</v>
      </c>
      <c r="L968" s="38">
        <v>0.0</v>
      </c>
      <c r="M968" s="38">
        <v>0.0</v>
      </c>
      <c r="N968" s="38">
        <v>0.0</v>
      </c>
      <c r="O968" s="38">
        <v>0.0</v>
      </c>
      <c r="P968" s="38">
        <v>0.0</v>
      </c>
      <c r="Q968" s="38">
        <v>0.0</v>
      </c>
    </row>
    <row r="969">
      <c r="A969" s="49">
        <v>46197.0</v>
      </c>
      <c r="B969" s="50">
        <v>0.8979166666666667</v>
      </c>
      <c r="C969" s="41" t="s">
        <v>23</v>
      </c>
      <c r="D969" s="41" t="s">
        <v>93</v>
      </c>
      <c r="E969" s="41" t="s">
        <v>50</v>
      </c>
      <c r="F969" s="42">
        <v>0.0</v>
      </c>
      <c r="G969" s="42">
        <v>0.0</v>
      </c>
      <c r="H969" s="42">
        <v>0.0</v>
      </c>
      <c r="I969" s="42">
        <v>0.0</v>
      </c>
      <c r="J969" s="42">
        <v>0.0</v>
      </c>
      <c r="K969" s="42">
        <v>0.0</v>
      </c>
      <c r="L969" s="42">
        <v>0.0</v>
      </c>
      <c r="M969" s="42">
        <v>0.0</v>
      </c>
      <c r="N969" s="42">
        <v>0.0</v>
      </c>
      <c r="O969" s="42">
        <v>0.0</v>
      </c>
      <c r="P969" s="42">
        <v>0.0</v>
      </c>
      <c r="Q969" s="42">
        <v>0.0</v>
      </c>
    </row>
    <row r="970">
      <c r="A970" s="47">
        <v>46197.0</v>
      </c>
      <c r="B970" s="48">
        <v>0.8979166666666667</v>
      </c>
      <c r="C970" s="37" t="s">
        <v>23</v>
      </c>
      <c r="D970" s="37" t="s">
        <v>93</v>
      </c>
      <c r="E970" s="37" t="s">
        <v>90</v>
      </c>
      <c r="F970" s="38">
        <v>0.0</v>
      </c>
      <c r="G970" s="38">
        <v>0.0</v>
      </c>
      <c r="H970" s="38">
        <v>0.0</v>
      </c>
      <c r="I970" s="38">
        <v>0.0</v>
      </c>
      <c r="J970" s="38">
        <v>0.0</v>
      </c>
      <c r="K970" s="38">
        <v>0.0</v>
      </c>
      <c r="L970" s="38">
        <v>0.0</v>
      </c>
      <c r="M970" s="38">
        <v>0.0</v>
      </c>
      <c r="N970" s="38">
        <v>0.0</v>
      </c>
      <c r="O970" s="38">
        <v>0.0</v>
      </c>
      <c r="P970" s="38">
        <v>0.0</v>
      </c>
      <c r="Q970" s="38">
        <v>0.0</v>
      </c>
    </row>
    <row r="971">
      <c r="A971" s="49">
        <v>46197.0</v>
      </c>
      <c r="B971" s="50">
        <v>0.8979166666666667</v>
      </c>
      <c r="C971" s="41" t="s">
        <v>23</v>
      </c>
      <c r="D971" s="41" t="s">
        <v>93</v>
      </c>
      <c r="E971" s="41" t="s">
        <v>91</v>
      </c>
      <c r="F971" s="42">
        <v>0.0</v>
      </c>
      <c r="G971" s="42">
        <v>0.0</v>
      </c>
      <c r="H971" s="42">
        <v>0.0</v>
      </c>
      <c r="I971" s="42">
        <v>0.0</v>
      </c>
      <c r="J971" s="42">
        <v>0.0</v>
      </c>
      <c r="K971" s="42">
        <v>0.0</v>
      </c>
      <c r="L971" s="42">
        <v>0.0</v>
      </c>
      <c r="M971" s="42">
        <v>0.0</v>
      </c>
      <c r="N971" s="42">
        <v>0.0</v>
      </c>
      <c r="O971" s="42">
        <v>0.0</v>
      </c>
      <c r="P971" s="42">
        <v>0.0</v>
      </c>
      <c r="Q971" s="42">
        <v>0.0</v>
      </c>
    </row>
    <row r="972">
      <c r="A972" s="47">
        <v>46197.0</v>
      </c>
      <c r="B972" s="48">
        <v>0.8979166666666667</v>
      </c>
      <c r="C972" s="37" t="s">
        <v>23</v>
      </c>
      <c r="D972" s="37" t="s">
        <v>93</v>
      </c>
      <c r="E972" s="37" t="s">
        <v>92</v>
      </c>
      <c r="F972" s="38">
        <v>0.0</v>
      </c>
      <c r="G972" s="38">
        <v>0.0</v>
      </c>
      <c r="H972" s="38">
        <v>0.0</v>
      </c>
      <c r="I972" s="38">
        <v>0.0</v>
      </c>
      <c r="J972" s="38">
        <v>0.0</v>
      </c>
      <c r="K972" s="38">
        <v>0.0</v>
      </c>
      <c r="L972" s="38">
        <v>0.0</v>
      </c>
      <c r="M972" s="38">
        <v>0.0</v>
      </c>
      <c r="N972" s="38">
        <v>0.0</v>
      </c>
      <c r="O972" s="38">
        <v>0.0</v>
      </c>
      <c r="P972" s="38">
        <v>0.0</v>
      </c>
      <c r="Q972" s="38">
        <v>0.0</v>
      </c>
    </row>
    <row r="973">
      <c r="A973" s="49">
        <v>46197.0</v>
      </c>
      <c r="B973" s="50">
        <v>0.8979166666666667</v>
      </c>
      <c r="C973" s="41" t="s">
        <v>23</v>
      </c>
      <c r="D973" s="41" t="s">
        <v>93</v>
      </c>
      <c r="E973" s="41" t="s">
        <v>106</v>
      </c>
      <c r="F973" s="42">
        <v>0.0</v>
      </c>
      <c r="G973" s="42">
        <v>0.0</v>
      </c>
      <c r="H973" s="42">
        <v>0.0</v>
      </c>
      <c r="I973" s="42">
        <v>0.0</v>
      </c>
      <c r="J973" s="42">
        <v>0.0</v>
      </c>
      <c r="K973" s="42">
        <v>0.0</v>
      </c>
      <c r="L973" s="42">
        <v>0.0</v>
      </c>
      <c r="M973" s="42">
        <v>0.0</v>
      </c>
      <c r="N973" s="42">
        <v>0.0</v>
      </c>
      <c r="O973" s="42">
        <v>0.0</v>
      </c>
      <c r="P973" s="42">
        <v>0.0</v>
      </c>
      <c r="Q973" s="42">
        <v>0.0</v>
      </c>
    </row>
    <row r="974">
      <c r="A974" s="47">
        <v>46197.0</v>
      </c>
      <c r="B974" s="48">
        <v>0.8979166666666667</v>
      </c>
      <c r="C974" s="37" t="s">
        <v>23</v>
      </c>
      <c r="D974" s="37" t="s">
        <v>93</v>
      </c>
      <c r="E974" s="37" t="s">
        <v>107</v>
      </c>
      <c r="F974" s="38">
        <v>0.0</v>
      </c>
      <c r="G974" s="38">
        <v>0.0</v>
      </c>
      <c r="H974" s="38">
        <v>0.0</v>
      </c>
      <c r="I974" s="38">
        <v>0.0</v>
      </c>
      <c r="J974" s="38">
        <v>0.0</v>
      </c>
      <c r="K974" s="38">
        <v>0.0</v>
      </c>
      <c r="L974" s="38">
        <v>0.0</v>
      </c>
      <c r="M974" s="38">
        <v>0.0</v>
      </c>
      <c r="N974" s="38">
        <v>0.0</v>
      </c>
      <c r="O974" s="38">
        <v>0.0</v>
      </c>
      <c r="P974" s="38">
        <v>0.0</v>
      </c>
      <c r="Q974" s="38">
        <v>0.0</v>
      </c>
    </row>
    <row r="975">
      <c r="A975" s="49">
        <v>46197.0</v>
      </c>
      <c r="B975" s="50">
        <v>0.8979166666666667</v>
      </c>
      <c r="C975" s="41" t="s">
        <v>29</v>
      </c>
      <c r="D975" s="41" t="s">
        <v>94</v>
      </c>
      <c r="E975" s="41" t="s">
        <v>52</v>
      </c>
      <c r="F975" s="42">
        <v>6.0</v>
      </c>
      <c r="G975" s="42">
        <v>3.0</v>
      </c>
      <c r="H975" s="42">
        <v>0.0</v>
      </c>
      <c r="I975" s="42">
        <v>0.0</v>
      </c>
      <c r="J975" s="42">
        <v>0.0</v>
      </c>
      <c r="K975" s="42">
        <v>6.0</v>
      </c>
      <c r="L975" s="42">
        <v>6.0</v>
      </c>
      <c r="M975" s="42">
        <v>0.0</v>
      </c>
      <c r="N975" s="42">
        <v>0.0</v>
      </c>
      <c r="O975" s="42">
        <v>0.0</v>
      </c>
      <c r="P975" s="42">
        <v>3.0</v>
      </c>
      <c r="Q975" s="42">
        <v>3.0</v>
      </c>
    </row>
    <row r="976">
      <c r="A976" s="47">
        <v>46197.0</v>
      </c>
      <c r="B976" s="48">
        <v>0.8979166666666667</v>
      </c>
      <c r="C976" s="37" t="s">
        <v>29</v>
      </c>
      <c r="D976" s="37" t="s">
        <v>94</v>
      </c>
      <c r="E976" s="37" t="s">
        <v>88</v>
      </c>
      <c r="F976" s="38">
        <v>0.0</v>
      </c>
      <c r="G976" s="38">
        <v>0.0</v>
      </c>
      <c r="H976" s="38">
        <v>0.0</v>
      </c>
      <c r="I976" s="38">
        <v>0.0</v>
      </c>
      <c r="J976" s="38">
        <v>0.0</v>
      </c>
      <c r="K976" s="38">
        <v>0.0</v>
      </c>
      <c r="L976" s="38">
        <v>0.0</v>
      </c>
      <c r="M976" s="38">
        <v>0.0</v>
      </c>
      <c r="N976" s="38">
        <v>0.0</v>
      </c>
      <c r="O976" s="38">
        <v>0.0</v>
      </c>
      <c r="P976" s="38">
        <v>0.0</v>
      </c>
      <c r="Q976" s="38">
        <v>0.0</v>
      </c>
    </row>
    <row r="977">
      <c r="A977" s="49">
        <v>46197.0</v>
      </c>
      <c r="B977" s="50">
        <v>0.8979166666666667</v>
      </c>
      <c r="C977" s="41" t="s">
        <v>29</v>
      </c>
      <c r="D977" s="41" t="s">
        <v>94</v>
      </c>
      <c r="E977" s="41" t="s">
        <v>89</v>
      </c>
      <c r="F977" s="42">
        <v>1.0</v>
      </c>
      <c r="G977" s="42">
        <v>0.0</v>
      </c>
      <c r="H977" s="42">
        <v>0.0</v>
      </c>
      <c r="I977" s="42">
        <v>0.0</v>
      </c>
      <c r="J977" s="42">
        <v>0.0</v>
      </c>
      <c r="K977" s="42">
        <v>1.0</v>
      </c>
      <c r="L977" s="42">
        <v>1.0</v>
      </c>
      <c r="M977" s="42">
        <v>0.0</v>
      </c>
      <c r="N977" s="42">
        <v>0.0</v>
      </c>
      <c r="O977" s="42">
        <v>0.0</v>
      </c>
      <c r="P977" s="42">
        <v>0.0</v>
      </c>
      <c r="Q977" s="42">
        <v>0.0</v>
      </c>
    </row>
    <row r="978">
      <c r="A978" s="47">
        <v>46197.0</v>
      </c>
      <c r="B978" s="48">
        <v>0.8979166666666667</v>
      </c>
      <c r="C978" s="37" t="s">
        <v>29</v>
      </c>
      <c r="D978" s="37" t="s">
        <v>94</v>
      </c>
      <c r="E978" s="37" t="s">
        <v>50</v>
      </c>
      <c r="F978" s="38">
        <v>0.0</v>
      </c>
      <c r="G978" s="38">
        <v>0.0</v>
      </c>
      <c r="H978" s="38">
        <v>0.0</v>
      </c>
      <c r="I978" s="38">
        <v>0.0</v>
      </c>
      <c r="J978" s="38">
        <v>0.0</v>
      </c>
      <c r="K978" s="38">
        <v>0.0</v>
      </c>
      <c r="L978" s="38">
        <v>0.0</v>
      </c>
      <c r="M978" s="38">
        <v>0.0</v>
      </c>
      <c r="N978" s="38">
        <v>0.0</v>
      </c>
      <c r="O978" s="38">
        <v>0.0</v>
      </c>
      <c r="P978" s="38">
        <v>0.0</v>
      </c>
      <c r="Q978" s="38">
        <v>0.0</v>
      </c>
    </row>
    <row r="979">
      <c r="A979" s="49">
        <v>46197.0</v>
      </c>
      <c r="B979" s="50">
        <v>0.8979166666666667</v>
      </c>
      <c r="C979" s="41" t="s">
        <v>29</v>
      </c>
      <c r="D979" s="41" t="s">
        <v>94</v>
      </c>
      <c r="E979" s="41" t="s">
        <v>90</v>
      </c>
      <c r="F979" s="42">
        <v>0.0</v>
      </c>
      <c r="G979" s="42">
        <v>0.0</v>
      </c>
      <c r="H979" s="42">
        <v>0.0</v>
      </c>
      <c r="I979" s="42">
        <v>0.0</v>
      </c>
      <c r="J979" s="42">
        <v>0.0</v>
      </c>
      <c r="K979" s="42">
        <v>0.0</v>
      </c>
      <c r="L979" s="42">
        <v>0.0</v>
      </c>
      <c r="M979" s="42">
        <v>0.0</v>
      </c>
      <c r="N979" s="42">
        <v>0.0</v>
      </c>
      <c r="O979" s="42">
        <v>0.0</v>
      </c>
      <c r="P979" s="42">
        <v>0.0</v>
      </c>
      <c r="Q979" s="42">
        <v>0.0</v>
      </c>
    </row>
    <row r="980">
      <c r="A980" s="47">
        <v>46197.0</v>
      </c>
      <c r="B980" s="48">
        <v>0.8979166666666667</v>
      </c>
      <c r="C980" s="37" t="s">
        <v>29</v>
      </c>
      <c r="D980" s="37" t="s">
        <v>94</v>
      </c>
      <c r="E980" s="37" t="s">
        <v>91</v>
      </c>
      <c r="F980" s="38">
        <v>0.0</v>
      </c>
      <c r="G980" s="38">
        <v>0.0</v>
      </c>
      <c r="H980" s="38">
        <v>0.0</v>
      </c>
      <c r="I980" s="38">
        <v>0.0</v>
      </c>
      <c r="J980" s="38">
        <v>0.0</v>
      </c>
      <c r="K980" s="38">
        <v>0.0</v>
      </c>
      <c r="L980" s="38">
        <v>0.0</v>
      </c>
      <c r="M980" s="38">
        <v>0.0</v>
      </c>
      <c r="N980" s="38">
        <v>0.0</v>
      </c>
      <c r="O980" s="38">
        <v>0.0</v>
      </c>
      <c r="P980" s="38">
        <v>0.0</v>
      </c>
      <c r="Q980" s="38">
        <v>0.0</v>
      </c>
    </row>
    <row r="981">
      <c r="A981" s="49">
        <v>46197.0</v>
      </c>
      <c r="B981" s="50">
        <v>0.8979166666666667</v>
      </c>
      <c r="C981" s="41" t="s">
        <v>29</v>
      </c>
      <c r="D981" s="41" t="s">
        <v>94</v>
      </c>
      <c r="E981" s="41" t="s">
        <v>92</v>
      </c>
      <c r="F981" s="42">
        <v>0.0</v>
      </c>
      <c r="G981" s="42">
        <v>0.0</v>
      </c>
      <c r="H981" s="42">
        <v>0.0</v>
      </c>
      <c r="I981" s="42">
        <v>0.0</v>
      </c>
      <c r="J981" s="42">
        <v>0.0</v>
      </c>
      <c r="K981" s="42">
        <v>0.0</v>
      </c>
      <c r="L981" s="42">
        <v>0.0</v>
      </c>
      <c r="M981" s="42">
        <v>0.0</v>
      </c>
      <c r="N981" s="42">
        <v>0.0</v>
      </c>
      <c r="O981" s="42">
        <v>0.0</v>
      </c>
      <c r="P981" s="42">
        <v>0.0</v>
      </c>
      <c r="Q981" s="42">
        <v>0.0</v>
      </c>
    </row>
    <row r="982">
      <c r="A982" s="47">
        <v>46197.0</v>
      </c>
      <c r="B982" s="48">
        <v>0.8979166666666667</v>
      </c>
      <c r="C982" s="37" t="s">
        <v>29</v>
      </c>
      <c r="D982" s="37" t="s">
        <v>94</v>
      </c>
      <c r="E982" s="37" t="s">
        <v>106</v>
      </c>
      <c r="F982" s="38">
        <v>1.0</v>
      </c>
      <c r="G982" s="38">
        <v>0.0</v>
      </c>
      <c r="H982" s="38">
        <v>0.0</v>
      </c>
      <c r="I982" s="38">
        <v>0.0</v>
      </c>
      <c r="J982" s="38">
        <v>1.0</v>
      </c>
      <c r="K982" s="38">
        <v>1.0</v>
      </c>
      <c r="L982" s="38">
        <v>1.0</v>
      </c>
      <c r="M982" s="38">
        <v>0.0</v>
      </c>
      <c r="N982" s="38">
        <v>0.0</v>
      </c>
      <c r="O982" s="38">
        <v>0.0</v>
      </c>
      <c r="P982" s="38">
        <v>0.0</v>
      </c>
      <c r="Q982" s="38">
        <v>0.0</v>
      </c>
    </row>
    <row r="983">
      <c r="A983" s="49">
        <v>46197.0</v>
      </c>
      <c r="B983" s="50">
        <v>0.8979166666666667</v>
      </c>
      <c r="C983" s="41" t="s">
        <v>29</v>
      </c>
      <c r="D983" s="41" t="s">
        <v>94</v>
      </c>
      <c r="E983" s="41" t="s">
        <v>107</v>
      </c>
      <c r="F983" s="42">
        <v>0.0</v>
      </c>
      <c r="G983" s="42">
        <v>0.0</v>
      </c>
      <c r="H983" s="42">
        <v>0.0</v>
      </c>
      <c r="I983" s="42">
        <v>0.0</v>
      </c>
      <c r="J983" s="42">
        <v>0.0</v>
      </c>
      <c r="K983" s="42">
        <v>0.0</v>
      </c>
      <c r="L983" s="42">
        <v>0.0</v>
      </c>
      <c r="M983" s="42">
        <v>0.0</v>
      </c>
      <c r="N983" s="42">
        <v>0.0</v>
      </c>
      <c r="O983" s="42">
        <v>0.0</v>
      </c>
      <c r="P983" s="42">
        <v>0.0</v>
      </c>
      <c r="Q983" s="42">
        <v>0.0</v>
      </c>
    </row>
    <row r="984">
      <c r="A984" s="47">
        <v>46197.0</v>
      </c>
      <c r="B984" s="48">
        <v>0.8979166666666667</v>
      </c>
      <c r="C984" s="37" t="s">
        <v>31</v>
      </c>
      <c r="D984" s="37" t="s">
        <v>95</v>
      </c>
      <c r="E984" s="37" t="s">
        <v>52</v>
      </c>
      <c r="F984" s="38">
        <v>0.0</v>
      </c>
      <c r="G984" s="38">
        <v>0.0</v>
      </c>
      <c r="H984" s="38">
        <v>0.0</v>
      </c>
      <c r="I984" s="38">
        <v>0.0</v>
      </c>
      <c r="J984" s="38">
        <v>0.0</v>
      </c>
      <c r="K984" s="38">
        <v>0.0</v>
      </c>
      <c r="L984" s="38">
        <v>0.0</v>
      </c>
      <c r="M984" s="38">
        <v>0.0</v>
      </c>
      <c r="N984" s="38">
        <v>0.0</v>
      </c>
      <c r="O984" s="38">
        <v>0.0</v>
      </c>
      <c r="P984" s="38">
        <v>0.0</v>
      </c>
      <c r="Q984" s="38">
        <v>0.0</v>
      </c>
    </row>
    <row r="985">
      <c r="A985" s="49">
        <v>46197.0</v>
      </c>
      <c r="B985" s="50">
        <v>0.8979166666666667</v>
      </c>
      <c r="C985" s="41" t="s">
        <v>31</v>
      </c>
      <c r="D985" s="41" t="s">
        <v>95</v>
      </c>
      <c r="E985" s="41" t="s">
        <v>88</v>
      </c>
      <c r="F985" s="42">
        <v>0.0</v>
      </c>
      <c r="G985" s="42">
        <v>0.0</v>
      </c>
      <c r="H985" s="42">
        <v>0.0</v>
      </c>
      <c r="I985" s="42">
        <v>0.0</v>
      </c>
      <c r="J985" s="42">
        <v>0.0</v>
      </c>
      <c r="K985" s="42">
        <v>0.0</v>
      </c>
      <c r="L985" s="42">
        <v>0.0</v>
      </c>
      <c r="M985" s="42">
        <v>0.0</v>
      </c>
      <c r="N985" s="42">
        <v>0.0</v>
      </c>
      <c r="O985" s="42">
        <v>0.0</v>
      </c>
      <c r="P985" s="42">
        <v>0.0</v>
      </c>
      <c r="Q985" s="42">
        <v>0.0</v>
      </c>
    </row>
    <row r="986">
      <c r="A986" s="47">
        <v>46197.0</v>
      </c>
      <c r="B986" s="48">
        <v>0.8979166666666667</v>
      </c>
      <c r="C986" s="37" t="s">
        <v>31</v>
      </c>
      <c r="D986" s="37" t="s">
        <v>95</v>
      </c>
      <c r="E986" s="37" t="s">
        <v>89</v>
      </c>
      <c r="F986" s="38">
        <v>0.0</v>
      </c>
      <c r="G986" s="38">
        <v>0.0</v>
      </c>
      <c r="H986" s="38">
        <v>0.0</v>
      </c>
      <c r="I986" s="38">
        <v>0.0</v>
      </c>
      <c r="J986" s="38">
        <v>0.0</v>
      </c>
      <c r="K986" s="38">
        <v>0.0</v>
      </c>
      <c r="L986" s="38">
        <v>0.0</v>
      </c>
      <c r="M986" s="38">
        <v>0.0</v>
      </c>
      <c r="N986" s="38">
        <v>0.0</v>
      </c>
      <c r="O986" s="38">
        <v>0.0</v>
      </c>
      <c r="P986" s="38">
        <v>0.0</v>
      </c>
      <c r="Q986" s="38">
        <v>0.0</v>
      </c>
    </row>
    <row r="987">
      <c r="A987" s="49">
        <v>46197.0</v>
      </c>
      <c r="B987" s="50">
        <v>0.8979166666666667</v>
      </c>
      <c r="C987" s="41" t="s">
        <v>31</v>
      </c>
      <c r="D987" s="41" t="s">
        <v>95</v>
      </c>
      <c r="E987" s="41" t="s">
        <v>50</v>
      </c>
      <c r="F987" s="42">
        <v>1.0</v>
      </c>
      <c r="G987" s="42">
        <v>1.0</v>
      </c>
      <c r="H987" s="42">
        <v>0.0</v>
      </c>
      <c r="I987" s="42">
        <v>0.0</v>
      </c>
      <c r="J987" s="42">
        <v>0.0</v>
      </c>
      <c r="K987" s="42">
        <v>0.0</v>
      </c>
      <c r="L987" s="42">
        <v>0.0</v>
      </c>
      <c r="M987" s="42">
        <v>0.0</v>
      </c>
      <c r="N987" s="42">
        <v>0.0</v>
      </c>
      <c r="O987" s="42">
        <v>0.0</v>
      </c>
      <c r="P987" s="42">
        <v>0.0</v>
      </c>
      <c r="Q987" s="42">
        <v>0.0</v>
      </c>
    </row>
    <row r="988">
      <c r="A988" s="47">
        <v>46197.0</v>
      </c>
      <c r="B988" s="48">
        <v>0.8979166666666667</v>
      </c>
      <c r="C988" s="37" t="s">
        <v>31</v>
      </c>
      <c r="D988" s="37" t="s">
        <v>95</v>
      </c>
      <c r="E988" s="37" t="s">
        <v>90</v>
      </c>
      <c r="F988" s="38">
        <v>0.0</v>
      </c>
      <c r="G988" s="38">
        <v>0.0</v>
      </c>
      <c r="H988" s="38">
        <v>0.0</v>
      </c>
      <c r="I988" s="38">
        <v>0.0</v>
      </c>
      <c r="J988" s="38">
        <v>0.0</v>
      </c>
      <c r="K988" s="38">
        <v>0.0</v>
      </c>
      <c r="L988" s="38">
        <v>0.0</v>
      </c>
      <c r="M988" s="38">
        <v>0.0</v>
      </c>
      <c r="N988" s="38">
        <v>0.0</v>
      </c>
      <c r="O988" s="38">
        <v>0.0</v>
      </c>
      <c r="P988" s="38">
        <v>0.0</v>
      </c>
      <c r="Q988" s="38">
        <v>0.0</v>
      </c>
    </row>
    <row r="989">
      <c r="A989" s="49">
        <v>46197.0</v>
      </c>
      <c r="B989" s="50">
        <v>0.8979166666666667</v>
      </c>
      <c r="C989" s="41" t="s">
        <v>31</v>
      </c>
      <c r="D989" s="41" t="s">
        <v>95</v>
      </c>
      <c r="E989" s="41" t="s">
        <v>91</v>
      </c>
      <c r="F989" s="42">
        <v>0.0</v>
      </c>
      <c r="G989" s="42">
        <v>0.0</v>
      </c>
      <c r="H989" s="42">
        <v>0.0</v>
      </c>
      <c r="I989" s="42">
        <v>0.0</v>
      </c>
      <c r="J989" s="42">
        <v>0.0</v>
      </c>
      <c r="K989" s="42">
        <v>0.0</v>
      </c>
      <c r="L989" s="42">
        <v>0.0</v>
      </c>
      <c r="M989" s="42">
        <v>0.0</v>
      </c>
      <c r="N989" s="42">
        <v>0.0</v>
      </c>
      <c r="O989" s="42">
        <v>0.0</v>
      </c>
      <c r="P989" s="42">
        <v>0.0</v>
      </c>
      <c r="Q989" s="42">
        <v>0.0</v>
      </c>
    </row>
    <row r="990">
      <c r="A990" s="47">
        <v>46197.0</v>
      </c>
      <c r="B990" s="48">
        <v>0.8979166666666667</v>
      </c>
      <c r="C990" s="37" t="s">
        <v>31</v>
      </c>
      <c r="D990" s="37" t="s">
        <v>95</v>
      </c>
      <c r="E990" s="37" t="s">
        <v>92</v>
      </c>
      <c r="F990" s="38">
        <v>0.0</v>
      </c>
      <c r="G990" s="38">
        <v>0.0</v>
      </c>
      <c r="H990" s="38">
        <v>0.0</v>
      </c>
      <c r="I990" s="38">
        <v>0.0</v>
      </c>
      <c r="J990" s="38">
        <v>0.0</v>
      </c>
      <c r="K990" s="38">
        <v>0.0</v>
      </c>
      <c r="L990" s="38">
        <v>0.0</v>
      </c>
      <c r="M990" s="38">
        <v>0.0</v>
      </c>
      <c r="N990" s="38">
        <v>0.0</v>
      </c>
      <c r="O990" s="38">
        <v>0.0</v>
      </c>
      <c r="P990" s="38">
        <v>0.0</v>
      </c>
      <c r="Q990" s="38">
        <v>0.0</v>
      </c>
    </row>
    <row r="991">
      <c r="A991" s="49">
        <v>46197.0</v>
      </c>
      <c r="B991" s="50">
        <v>0.8979166666666667</v>
      </c>
      <c r="C991" s="41" t="s">
        <v>31</v>
      </c>
      <c r="D991" s="41" t="s">
        <v>95</v>
      </c>
      <c r="E991" s="41" t="s">
        <v>106</v>
      </c>
      <c r="F991" s="42">
        <v>0.0</v>
      </c>
      <c r="G991" s="42">
        <v>0.0</v>
      </c>
      <c r="H991" s="42">
        <v>0.0</v>
      </c>
      <c r="I991" s="42">
        <v>0.0</v>
      </c>
      <c r="J991" s="42">
        <v>0.0</v>
      </c>
      <c r="K991" s="42">
        <v>0.0</v>
      </c>
      <c r="L991" s="42">
        <v>0.0</v>
      </c>
      <c r="M991" s="42">
        <v>0.0</v>
      </c>
      <c r="N991" s="42">
        <v>0.0</v>
      </c>
      <c r="O991" s="42">
        <v>0.0</v>
      </c>
      <c r="P991" s="42">
        <v>0.0</v>
      </c>
      <c r="Q991" s="42">
        <v>0.0</v>
      </c>
    </row>
    <row r="992">
      <c r="A992" s="47">
        <v>46197.0</v>
      </c>
      <c r="B992" s="48">
        <v>0.8979166666666667</v>
      </c>
      <c r="C992" s="37" t="s">
        <v>31</v>
      </c>
      <c r="D992" s="37" t="s">
        <v>95</v>
      </c>
      <c r="E992" s="37" t="s">
        <v>107</v>
      </c>
      <c r="F992" s="38">
        <v>0.0</v>
      </c>
      <c r="G992" s="38">
        <v>0.0</v>
      </c>
      <c r="H992" s="38">
        <v>0.0</v>
      </c>
      <c r="I992" s="38">
        <v>0.0</v>
      </c>
      <c r="J992" s="38">
        <v>0.0</v>
      </c>
      <c r="K992" s="38">
        <v>0.0</v>
      </c>
      <c r="L992" s="38">
        <v>0.0</v>
      </c>
      <c r="M992" s="38">
        <v>0.0</v>
      </c>
      <c r="N992" s="38">
        <v>0.0</v>
      </c>
      <c r="O992" s="38">
        <v>0.0</v>
      </c>
      <c r="P992" s="38">
        <v>0.0</v>
      </c>
      <c r="Q992" s="38">
        <v>0.0</v>
      </c>
    </row>
    <row r="993">
      <c r="A993" s="51">
        <v>46197.0</v>
      </c>
      <c r="B993" s="52">
        <v>0.8979166666666667</v>
      </c>
      <c r="C993" s="45" t="s">
        <v>96</v>
      </c>
      <c r="D993" s="45" t="s">
        <v>75</v>
      </c>
      <c r="E993" s="45" t="s">
        <v>52</v>
      </c>
      <c r="F993" s="46">
        <v>11.0</v>
      </c>
      <c r="G993" s="46">
        <v>6.0</v>
      </c>
      <c r="H993" s="46">
        <v>0.0</v>
      </c>
      <c r="I993" s="46">
        <v>0.0</v>
      </c>
      <c r="J993" s="46">
        <v>1.0</v>
      </c>
      <c r="K993" s="46">
        <v>10.0</v>
      </c>
      <c r="L993" s="46">
        <v>11.0</v>
      </c>
      <c r="M993" s="46">
        <v>0.0</v>
      </c>
      <c r="N993" s="46">
        <v>0.0</v>
      </c>
      <c r="O993" s="46">
        <v>1.0</v>
      </c>
      <c r="P993" s="46">
        <v>5.0</v>
      </c>
      <c r="Q993" s="46">
        <v>6.0</v>
      </c>
    </row>
    <row r="994">
      <c r="A994" s="51">
        <v>46197.0</v>
      </c>
      <c r="B994" s="52">
        <v>0.8979166666666667</v>
      </c>
      <c r="C994" s="45" t="s">
        <v>96</v>
      </c>
      <c r="D994" s="45" t="s">
        <v>75</v>
      </c>
      <c r="E994" s="45" t="s">
        <v>88</v>
      </c>
      <c r="F994" s="46">
        <v>0.0</v>
      </c>
      <c r="G994" s="46">
        <v>0.0</v>
      </c>
      <c r="H994" s="46">
        <v>0.0</v>
      </c>
      <c r="I994" s="46">
        <v>0.0</v>
      </c>
      <c r="J994" s="46">
        <v>0.0</v>
      </c>
      <c r="K994" s="46">
        <v>0.0</v>
      </c>
      <c r="L994" s="46">
        <v>0.0</v>
      </c>
      <c r="M994" s="46">
        <v>0.0</v>
      </c>
      <c r="N994" s="46">
        <v>0.0</v>
      </c>
      <c r="O994" s="46">
        <v>0.0</v>
      </c>
      <c r="P994" s="46">
        <v>0.0</v>
      </c>
      <c r="Q994" s="46">
        <v>0.0</v>
      </c>
    </row>
    <row r="995">
      <c r="A995" s="51">
        <v>46197.0</v>
      </c>
      <c r="B995" s="52">
        <v>0.8979166666666667</v>
      </c>
      <c r="C995" s="45" t="s">
        <v>96</v>
      </c>
      <c r="D995" s="45" t="s">
        <v>75</v>
      </c>
      <c r="E995" s="45" t="s">
        <v>89</v>
      </c>
      <c r="F995" s="46">
        <v>1.0</v>
      </c>
      <c r="G995" s="46">
        <v>0.0</v>
      </c>
      <c r="H995" s="46">
        <v>0.0</v>
      </c>
      <c r="I995" s="46">
        <v>0.0</v>
      </c>
      <c r="J995" s="46">
        <v>0.0</v>
      </c>
      <c r="K995" s="46">
        <v>1.0</v>
      </c>
      <c r="L995" s="46">
        <v>1.0</v>
      </c>
      <c r="M995" s="46">
        <v>0.0</v>
      </c>
      <c r="N995" s="46">
        <v>0.0</v>
      </c>
      <c r="O995" s="46">
        <v>0.0</v>
      </c>
      <c r="P995" s="46">
        <v>0.0</v>
      </c>
      <c r="Q995" s="46">
        <v>0.0</v>
      </c>
    </row>
    <row r="996">
      <c r="A996" s="51">
        <v>46197.0</v>
      </c>
      <c r="B996" s="52">
        <v>0.8979166666666667</v>
      </c>
      <c r="C996" s="45" t="s">
        <v>96</v>
      </c>
      <c r="D996" s="45" t="s">
        <v>75</v>
      </c>
      <c r="E996" s="45" t="s">
        <v>50</v>
      </c>
      <c r="F996" s="46">
        <v>1.0</v>
      </c>
      <c r="G996" s="46">
        <v>1.0</v>
      </c>
      <c r="H996" s="46">
        <v>0.0</v>
      </c>
      <c r="I996" s="46">
        <v>0.0</v>
      </c>
      <c r="J996" s="46">
        <v>0.0</v>
      </c>
      <c r="K996" s="46">
        <v>0.0</v>
      </c>
      <c r="L996" s="46">
        <v>0.0</v>
      </c>
      <c r="M996" s="46">
        <v>0.0</v>
      </c>
      <c r="N996" s="46">
        <v>0.0</v>
      </c>
      <c r="O996" s="46">
        <v>0.0</v>
      </c>
      <c r="P996" s="46">
        <v>0.0</v>
      </c>
      <c r="Q996" s="46">
        <v>0.0</v>
      </c>
    </row>
    <row r="997">
      <c r="A997" s="51">
        <v>46197.0</v>
      </c>
      <c r="B997" s="52">
        <v>0.8979166666666667</v>
      </c>
      <c r="C997" s="45" t="s">
        <v>96</v>
      </c>
      <c r="D997" s="45" t="s">
        <v>75</v>
      </c>
      <c r="E997" s="45" t="s">
        <v>90</v>
      </c>
      <c r="F997" s="46">
        <v>0.0</v>
      </c>
      <c r="G997" s="46">
        <v>0.0</v>
      </c>
      <c r="H997" s="46">
        <v>0.0</v>
      </c>
      <c r="I997" s="46">
        <v>0.0</v>
      </c>
      <c r="J997" s="46">
        <v>0.0</v>
      </c>
      <c r="K997" s="46">
        <v>0.0</v>
      </c>
      <c r="L997" s="46">
        <v>0.0</v>
      </c>
      <c r="M997" s="46">
        <v>0.0</v>
      </c>
      <c r="N997" s="46">
        <v>0.0</v>
      </c>
      <c r="O997" s="46">
        <v>0.0</v>
      </c>
      <c r="P997" s="46">
        <v>0.0</v>
      </c>
      <c r="Q997" s="46">
        <v>0.0</v>
      </c>
    </row>
    <row r="998">
      <c r="A998" s="51">
        <v>46197.0</v>
      </c>
      <c r="B998" s="52">
        <v>0.8979166666666667</v>
      </c>
      <c r="C998" s="45" t="s">
        <v>96</v>
      </c>
      <c r="D998" s="45" t="s">
        <v>75</v>
      </c>
      <c r="E998" s="45" t="s">
        <v>91</v>
      </c>
      <c r="F998" s="46">
        <v>0.0</v>
      </c>
      <c r="G998" s="46">
        <v>0.0</v>
      </c>
      <c r="H998" s="46">
        <v>0.0</v>
      </c>
      <c r="I998" s="46">
        <v>0.0</v>
      </c>
      <c r="J998" s="46">
        <v>0.0</v>
      </c>
      <c r="K998" s="46">
        <v>0.0</v>
      </c>
      <c r="L998" s="46">
        <v>0.0</v>
      </c>
      <c r="M998" s="46">
        <v>0.0</v>
      </c>
      <c r="N998" s="46">
        <v>0.0</v>
      </c>
      <c r="O998" s="46">
        <v>0.0</v>
      </c>
      <c r="P998" s="46">
        <v>0.0</v>
      </c>
      <c r="Q998" s="46">
        <v>0.0</v>
      </c>
    </row>
    <row r="999">
      <c r="A999" s="51">
        <v>46197.0</v>
      </c>
      <c r="B999" s="52">
        <v>0.8979166666666667</v>
      </c>
      <c r="C999" s="45" t="s">
        <v>96</v>
      </c>
      <c r="D999" s="45" t="s">
        <v>75</v>
      </c>
      <c r="E999" s="45" t="s">
        <v>92</v>
      </c>
      <c r="F999" s="46">
        <v>0.0</v>
      </c>
      <c r="G999" s="46">
        <v>0.0</v>
      </c>
      <c r="H999" s="46">
        <v>0.0</v>
      </c>
      <c r="I999" s="46">
        <v>0.0</v>
      </c>
      <c r="J999" s="46">
        <v>0.0</v>
      </c>
      <c r="K999" s="46">
        <v>0.0</v>
      </c>
      <c r="L999" s="46">
        <v>0.0</v>
      </c>
      <c r="M999" s="46">
        <v>0.0</v>
      </c>
      <c r="N999" s="46">
        <v>0.0</v>
      </c>
      <c r="O999" s="46">
        <v>0.0</v>
      </c>
      <c r="P999" s="46">
        <v>0.0</v>
      </c>
      <c r="Q999" s="46">
        <v>0.0</v>
      </c>
    </row>
    <row r="1000">
      <c r="A1000" s="51">
        <v>46197.0</v>
      </c>
      <c r="B1000" s="52">
        <v>0.8979166666666667</v>
      </c>
      <c r="C1000" s="45" t="s">
        <v>96</v>
      </c>
      <c r="D1000" s="45" t="s">
        <v>75</v>
      </c>
      <c r="E1000" s="45" t="s">
        <v>106</v>
      </c>
      <c r="F1000" s="46">
        <v>1.0</v>
      </c>
      <c r="G1000" s="46">
        <v>0.0</v>
      </c>
      <c r="H1000" s="46">
        <v>0.0</v>
      </c>
      <c r="I1000" s="46">
        <v>0.0</v>
      </c>
      <c r="J1000" s="46">
        <v>1.0</v>
      </c>
      <c r="K1000" s="46">
        <v>1.0</v>
      </c>
      <c r="L1000" s="46">
        <v>1.0</v>
      </c>
      <c r="M1000" s="46">
        <v>0.0</v>
      </c>
      <c r="N1000" s="46">
        <v>0.0</v>
      </c>
      <c r="O1000" s="46">
        <v>0.0</v>
      </c>
      <c r="P1000" s="46">
        <v>0.0</v>
      </c>
      <c r="Q1000" s="46">
        <v>0.0</v>
      </c>
    </row>
    <row r="1001">
      <c r="A1001" s="51">
        <v>46197.0</v>
      </c>
      <c r="B1001" s="52">
        <v>0.8979166666666667</v>
      </c>
      <c r="C1001" s="45" t="s">
        <v>96</v>
      </c>
      <c r="D1001" s="45" t="s">
        <v>75</v>
      </c>
      <c r="E1001" s="45" t="s">
        <v>107</v>
      </c>
      <c r="F1001" s="46">
        <v>0.0</v>
      </c>
      <c r="G1001" s="46">
        <v>0.0</v>
      </c>
      <c r="H1001" s="46">
        <v>0.0</v>
      </c>
      <c r="I1001" s="46">
        <v>0.0</v>
      </c>
      <c r="J1001" s="46">
        <v>0.0</v>
      </c>
      <c r="K1001" s="46">
        <v>0.0</v>
      </c>
      <c r="L1001" s="46">
        <v>0.0</v>
      </c>
      <c r="M1001" s="46">
        <v>0.0</v>
      </c>
      <c r="N1001" s="46">
        <v>0.0</v>
      </c>
      <c r="O1001" s="46">
        <v>0.0</v>
      </c>
      <c r="P1001" s="46">
        <v>0.0</v>
      </c>
      <c r="Q1001" s="46">
        <v>0.0</v>
      </c>
    </row>
    <row r="1002">
      <c r="A1002" s="47">
        <v>46197.0</v>
      </c>
      <c r="B1002" s="48">
        <v>0.9</v>
      </c>
      <c r="C1002" s="37" t="s">
        <v>15</v>
      </c>
      <c r="D1002" s="37" t="s">
        <v>87</v>
      </c>
      <c r="E1002" s="37" t="s">
        <v>52</v>
      </c>
      <c r="F1002" s="38">
        <v>4.0</v>
      </c>
      <c r="G1002" s="38">
        <v>2.0</v>
      </c>
      <c r="H1002" s="38">
        <v>0.0</v>
      </c>
      <c r="I1002" s="38">
        <v>0.0</v>
      </c>
      <c r="J1002" s="38">
        <v>1.0</v>
      </c>
      <c r="K1002" s="38">
        <v>3.0</v>
      </c>
      <c r="L1002" s="38">
        <v>4.0</v>
      </c>
      <c r="M1002" s="38">
        <v>0.0</v>
      </c>
      <c r="N1002" s="38">
        <v>0.0</v>
      </c>
      <c r="O1002" s="38">
        <v>1.0</v>
      </c>
      <c r="P1002" s="38">
        <v>1.0</v>
      </c>
      <c r="Q1002" s="38">
        <v>2.0</v>
      </c>
    </row>
    <row r="1003">
      <c r="A1003" s="49">
        <v>46197.0</v>
      </c>
      <c r="B1003" s="50">
        <v>0.9</v>
      </c>
      <c r="C1003" s="41" t="s">
        <v>15</v>
      </c>
      <c r="D1003" s="41" t="s">
        <v>87</v>
      </c>
      <c r="E1003" s="41" t="s">
        <v>88</v>
      </c>
      <c r="F1003" s="42">
        <v>0.0</v>
      </c>
      <c r="G1003" s="42">
        <v>0.0</v>
      </c>
      <c r="H1003" s="42">
        <v>0.0</v>
      </c>
      <c r="I1003" s="42">
        <v>0.0</v>
      </c>
      <c r="J1003" s="42">
        <v>0.0</v>
      </c>
      <c r="K1003" s="42">
        <v>0.0</v>
      </c>
      <c r="L1003" s="42">
        <v>0.0</v>
      </c>
      <c r="M1003" s="42">
        <v>0.0</v>
      </c>
      <c r="N1003" s="42">
        <v>0.0</v>
      </c>
      <c r="O1003" s="42">
        <v>0.0</v>
      </c>
      <c r="P1003" s="42">
        <v>0.0</v>
      </c>
      <c r="Q1003" s="42">
        <v>0.0</v>
      </c>
    </row>
    <row r="1004">
      <c r="A1004" s="47">
        <v>46197.0</v>
      </c>
      <c r="B1004" s="48">
        <v>0.9</v>
      </c>
      <c r="C1004" s="37" t="s">
        <v>15</v>
      </c>
      <c r="D1004" s="37" t="s">
        <v>87</v>
      </c>
      <c r="E1004" s="37" t="s">
        <v>89</v>
      </c>
      <c r="F1004" s="38">
        <v>0.0</v>
      </c>
      <c r="G1004" s="38">
        <v>0.0</v>
      </c>
      <c r="H1004" s="38">
        <v>0.0</v>
      </c>
      <c r="I1004" s="38">
        <v>0.0</v>
      </c>
      <c r="J1004" s="38">
        <v>0.0</v>
      </c>
      <c r="K1004" s="38">
        <v>0.0</v>
      </c>
      <c r="L1004" s="38">
        <v>0.0</v>
      </c>
      <c r="M1004" s="38">
        <v>0.0</v>
      </c>
      <c r="N1004" s="38">
        <v>0.0</v>
      </c>
      <c r="O1004" s="38">
        <v>0.0</v>
      </c>
      <c r="P1004" s="38">
        <v>0.0</v>
      </c>
      <c r="Q1004" s="38">
        <v>0.0</v>
      </c>
    </row>
    <row r="1005">
      <c r="A1005" s="49">
        <v>46197.0</v>
      </c>
      <c r="B1005" s="50">
        <v>0.9</v>
      </c>
      <c r="C1005" s="41" t="s">
        <v>15</v>
      </c>
      <c r="D1005" s="41" t="s">
        <v>87</v>
      </c>
      <c r="E1005" s="41" t="s">
        <v>50</v>
      </c>
      <c r="F1005" s="42">
        <v>0.0</v>
      </c>
      <c r="G1005" s="42">
        <v>0.0</v>
      </c>
      <c r="H1005" s="42">
        <v>0.0</v>
      </c>
      <c r="I1005" s="42">
        <v>0.0</v>
      </c>
      <c r="J1005" s="42">
        <v>0.0</v>
      </c>
      <c r="K1005" s="42">
        <v>0.0</v>
      </c>
      <c r="L1005" s="42">
        <v>0.0</v>
      </c>
      <c r="M1005" s="42">
        <v>0.0</v>
      </c>
      <c r="N1005" s="42">
        <v>0.0</v>
      </c>
      <c r="O1005" s="42">
        <v>0.0</v>
      </c>
      <c r="P1005" s="42">
        <v>0.0</v>
      </c>
      <c r="Q1005" s="42">
        <v>0.0</v>
      </c>
    </row>
    <row r="1006">
      <c r="A1006" s="47">
        <v>46197.0</v>
      </c>
      <c r="B1006" s="48">
        <v>0.9</v>
      </c>
      <c r="C1006" s="37" t="s">
        <v>15</v>
      </c>
      <c r="D1006" s="37" t="s">
        <v>87</v>
      </c>
      <c r="E1006" s="37" t="s">
        <v>90</v>
      </c>
      <c r="F1006" s="38">
        <v>0.0</v>
      </c>
      <c r="G1006" s="38">
        <v>0.0</v>
      </c>
      <c r="H1006" s="38">
        <v>0.0</v>
      </c>
      <c r="I1006" s="38">
        <v>0.0</v>
      </c>
      <c r="J1006" s="38">
        <v>0.0</v>
      </c>
      <c r="K1006" s="38">
        <v>0.0</v>
      </c>
      <c r="L1006" s="38">
        <v>0.0</v>
      </c>
      <c r="M1006" s="38">
        <v>0.0</v>
      </c>
      <c r="N1006" s="38">
        <v>0.0</v>
      </c>
      <c r="O1006" s="38">
        <v>0.0</v>
      </c>
      <c r="P1006" s="38">
        <v>0.0</v>
      </c>
      <c r="Q1006" s="38">
        <v>0.0</v>
      </c>
    </row>
    <row r="1007">
      <c r="A1007" s="49">
        <v>46197.0</v>
      </c>
      <c r="B1007" s="50">
        <v>0.9</v>
      </c>
      <c r="C1007" s="41" t="s">
        <v>15</v>
      </c>
      <c r="D1007" s="41" t="s">
        <v>87</v>
      </c>
      <c r="E1007" s="41" t="s">
        <v>91</v>
      </c>
      <c r="F1007" s="42">
        <v>0.0</v>
      </c>
      <c r="G1007" s="42">
        <v>0.0</v>
      </c>
      <c r="H1007" s="42">
        <v>0.0</v>
      </c>
      <c r="I1007" s="42">
        <v>0.0</v>
      </c>
      <c r="J1007" s="42">
        <v>0.0</v>
      </c>
      <c r="K1007" s="42">
        <v>0.0</v>
      </c>
      <c r="L1007" s="42">
        <v>0.0</v>
      </c>
      <c r="M1007" s="42">
        <v>0.0</v>
      </c>
      <c r="N1007" s="42">
        <v>0.0</v>
      </c>
      <c r="O1007" s="42">
        <v>0.0</v>
      </c>
      <c r="P1007" s="42">
        <v>0.0</v>
      </c>
      <c r="Q1007" s="42">
        <v>0.0</v>
      </c>
    </row>
    <row r="1008">
      <c r="A1008" s="47">
        <v>46197.0</v>
      </c>
      <c r="B1008" s="48">
        <v>0.9</v>
      </c>
      <c r="C1008" s="37" t="s">
        <v>15</v>
      </c>
      <c r="D1008" s="37" t="s">
        <v>87</v>
      </c>
      <c r="E1008" s="37" t="s">
        <v>92</v>
      </c>
      <c r="F1008" s="38">
        <v>0.0</v>
      </c>
      <c r="G1008" s="38">
        <v>0.0</v>
      </c>
      <c r="H1008" s="38">
        <v>0.0</v>
      </c>
      <c r="I1008" s="38">
        <v>0.0</v>
      </c>
      <c r="J1008" s="38">
        <v>0.0</v>
      </c>
      <c r="K1008" s="38">
        <v>0.0</v>
      </c>
      <c r="L1008" s="38">
        <v>0.0</v>
      </c>
      <c r="M1008" s="38">
        <v>0.0</v>
      </c>
      <c r="N1008" s="38">
        <v>0.0</v>
      </c>
      <c r="O1008" s="38">
        <v>0.0</v>
      </c>
      <c r="P1008" s="38">
        <v>0.0</v>
      </c>
      <c r="Q1008" s="38">
        <v>0.0</v>
      </c>
    </row>
    <row r="1009">
      <c r="A1009" s="49">
        <v>46197.0</v>
      </c>
      <c r="B1009" s="50">
        <v>0.9</v>
      </c>
      <c r="C1009" s="41" t="s">
        <v>15</v>
      </c>
      <c r="D1009" s="41" t="s">
        <v>87</v>
      </c>
      <c r="E1009" s="41" t="s">
        <v>106</v>
      </c>
      <c r="F1009" s="42">
        <v>0.0</v>
      </c>
      <c r="G1009" s="42">
        <v>0.0</v>
      </c>
      <c r="H1009" s="42">
        <v>0.0</v>
      </c>
      <c r="I1009" s="42">
        <v>0.0</v>
      </c>
      <c r="J1009" s="42">
        <v>0.0</v>
      </c>
      <c r="K1009" s="42">
        <v>0.0</v>
      </c>
      <c r="L1009" s="42">
        <v>0.0</v>
      </c>
      <c r="M1009" s="42">
        <v>0.0</v>
      </c>
      <c r="N1009" s="42">
        <v>0.0</v>
      </c>
      <c r="O1009" s="42">
        <v>0.0</v>
      </c>
      <c r="P1009" s="42">
        <v>0.0</v>
      </c>
      <c r="Q1009" s="42">
        <v>0.0</v>
      </c>
    </row>
    <row r="1010">
      <c r="A1010" s="47">
        <v>46197.0</v>
      </c>
      <c r="B1010" s="48">
        <v>0.9</v>
      </c>
      <c r="C1010" s="37" t="s">
        <v>15</v>
      </c>
      <c r="D1010" s="37" t="s">
        <v>87</v>
      </c>
      <c r="E1010" s="37" t="s">
        <v>107</v>
      </c>
      <c r="F1010" s="38">
        <v>0.0</v>
      </c>
      <c r="G1010" s="38">
        <v>0.0</v>
      </c>
      <c r="H1010" s="38">
        <v>0.0</v>
      </c>
      <c r="I1010" s="38">
        <v>0.0</v>
      </c>
      <c r="J1010" s="38">
        <v>0.0</v>
      </c>
      <c r="K1010" s="38">
        <v>0.0</v>
      </c>
      <c r="L1010" s="38">
        <v>0.0</v>
      </c>
      <c r="M1010" s="38">
        <v>0.0</v>
      </c>
      <c r="N1010" s="38">
        <v>0.0</v>
      </c>
      <c r="O1010" s="38">
        <v>0.0</v>
      </c>
      <c r="P1010" s="38">
        <v>0.0</v>
      </c>
      <c r="Q1010" s="38">
        <v>0.0</v>
      </c>
    </row>
    <row r="1011">
      <c r="A1011" s="49">
        <v>46197.0</v>
      </c>
      <c r="B1011" s="50">
        <v>0.9</v>
      </c>
      <c r="C1011" s="41" t="s">
        <v>23</v>
      </c>
      <c r="D1011" s="41" t="s">
        <v>93</v>
      </c>
      <c r="E1011" s="41" t="s">
        <v>52</v>
      </c>
      <c r="F1011" s="42">
        <v>1.0</v>
      </c>
      <c r="G1011" s="42">
        <v>1.0</v>
      </c>
      <c r="H1011" s="42">
        <v>0.0</v>
      </c>
      <c r="I1011" s="42">
        <v>0.0</v>
      </c>
      <c r="J1011" s="42">
        <v>0.0</v>
      </c>
      <c r="K1011" s="42">
        <v>1.0</v>
      </c>
      <c r="L1011" s="42">
        <v>1.0</v>
      </c>
      <c r="M1011" s="42">
        <v>0.0</v>
      </c>
      <c r="N1011" s="42">
        <v>0.0</v>
      </c>
      <c r="O1011" s="42">
        <v>0.0</v>
      </c>
      <c r="P1011" s="42">
        <v>1.0</v>
      </c>
      <c r="Q1011" s="42">
        <v>1.0</v>
      </c>
    </row>
    <row r="1012">
      <c r="A1012" s="47">
        <v>46197.0</v>
      </c>
      <c r="B1012" s="48">
        <v>0.9</v>
      </c>
      <c r="C1012" s="37" t="s">
        <v>23</v>
      </c>
      <c r="D1012" s="37" t="s">
        <v>93</v>
      </c>
      <c r="E1012" s="37" t="s">
        <v>88</v>
      </c>
      <c r="F1012" s="38">
        <v>0.0</v>
      </c>
      <c r="G1012" s="38">
        <v>0.0</v>
      </c>
      <c r="H1012" s="38">
        <v>0.0</v>
      </c>
      <c r="I1012" s="38">
        <v>0.0</v>
      </c>
      <c r="J1012" s="38">
        <v>0.0</v>
      </c>
      <c r="K1012" s="38">
        <v>0.0</v>
      </c>
      <c r="L1012" s="38">
        <v>0.0</v>
      </c>
      <c r="M1012" s="38">
        <v>0.0</v>
      </c>
      <c r="N1012" s="38">
        <v>0.0</v>
      </c>
      <c r="O1012" s="38">
        <v>0.0</v>
      </c>
      <c r="P1012" s="38">
        <v>0.0</v>
      </c>
      <c r="Q1012" s="38">
        <v>0.0</v>
      </c>
    </row>
    <row r="1013">
      <c r="A1013" s="49">
        <v>46197.0</v>
      </c>
      <c r="B1013" s="50">
        <v>0.9</v>
      </c>
      <c r="C1013" s="41" t="s">
        <v>23</v>
      </c>
      <c r="D1013" s="41" t="s">
        <v>93</v>
      </c>
      <c r="E1013" s="41" t="s">
        <v>89</v>
      </c>
      <c r="F1013" s="42">
        <v>0.0</v>
      </c>
      <c r="G1013" s="42">
        <v>0.0</v>
      </c>
      <c r="H1013" s="42">
        <v>0.0</v>
      </c>
      <c r="I1013" s="42">
        <v>0.0</v>
      </c>
      <c r="J1013" s="42">
        <v>0.0</v>
      </c>
      <c r="K1013" s="42">
        <v>0.0</v>
      </c>
      <c r="L1013" s="42">
        <v>0.0</v>
      </c>
      <c r="M1013" s="42">
        <v>0.0</v>
      </c>
      <c r="N1013" s="42">
        <v>0.0</v>
      </c>
      <c r="O1013" s="42">
        <v>0.0</v>
      </c>
      <c r="P1013" s="42">
        <v>0.0</v>
      </c>
      <c r="Q1013" s="42">
        <v>0.0</v>
      </c>
    </row>
    <row r="1014">
      <c r="A1014" s="47">
        <v>46197.0</v>
      </c>
      <c r="B1014" s="48">
        <v>0.9</v>
      </c>
      <c r="C1014" s="37" t="s">
        <v>23</v>
      </c>
      <c r="D1014" s="37" t="s">
        <v>93</v>
      </c>
      <c r="E1014" s="37" t="s">
        <v>50</v>
      </c>
      <c r="F1014" s="38">
        <v>0.0</v>
      </c>
      <c r="G1014" s="38">
        <v>0.0</v>
      </c>
      <c r="H1014" s="38">
        <v>0.0</v>
      </c>
      <c r="I1014" s="38">
        <v>0.0</v>
      </c>
      <c r="J1014" s="38">
        <v>0.0</v>
      </c>
      <c r="K1014" s="38">
        <v>0.0</v>
      </c>
      <c r="L1014" s="38">
        <v>0.0</v>
      </c>
      <c r="M1014" s="38">
        <v>0.0</v>
      </c>
      <c r="N1014" s="38">
        <v>0.0</v>
      </c>
      <c r="O1014" s="38">
        <v>0.0</v>
      </c>
      <c r="P1014" s="38">
        <v>0.0</v>
      </c>
      <c r="Q1014" s="38">
        <v>0.0</v>
      </c>
    </row>
    <row r="1015">
      <c r="A1015" s="49">
        <v>46197.0</v>
      </c>
      <c r="B1015" s="50">
        <v>0.9</v>
      </c>
      <c r="C1015" s="41" t="s">
        <v>23</v>
      </c>
      <c r="D1015" s="41" t="s">
        <v>93</v>
      </c>
      <c r="E1015" s="41" t="s">
        <v>90</v>
      </c>
      <c r="F1015" s="42">
        <v>0.0</v>
      </c>
      <c r="G1015" s="42">
        <v>0.0</v>
      </c>
      <c r="H1015" s="42">
        <v>0.0</v>
      </c>
      <c r="I1015" s="42">
        <v>0.0</v>
      </c>
      <c r="J1015" s="42">
        <v>0.0</v>
      </c>
      <c r="K1015" s="42">
        <v>0.0</v>
      </c>
      <c r="L1015" s="42">
        <v>0.0</v>
      </c>
      <c r="M1015" s="42">
        <v>0.0</v>
      </c>
      <c r="N1015" s="42">
        <v>0.0</v>
      </c>
      <c r="O1015" s="42">
        <v>0.0</v>
      </c>
      <c r="P1015" s="42">
        <v>0.0</v>
      </c>
      <c r="Q1015" s="42">
        <v>0.0</v>
      </c>
    </row>
    <row r="1016">
      <c r="A1016" s="47">
        <v>46197.0</v>
      </c>
      <c r="B1016" s="48">
        <v>0.9</v>
      </c>
      <c r="C1016" s="37" t="s">
        <v>23</v>
      </c>
      <c r="D1016" s="37" t="s">
        <v>93</v>
      </c>
      <c r="E1016" s="37" t="s">
        <v>91</v>
      </c>
      <c r="F1016" s="38">
        <v>0.0</v>
      </c>
      <c r="G1016" s="38">
        <v>0.0</v>
      </c>
      <c r="H1016" s="38">
        <v>0.0</v>
      </c>
      <c r="I1016" s="38">
        <v>0.0</v>
      </c>
      <c r="J1016" s="38">
        <v>0.0</v>
      </c>
      <c r="K1016" s="38">
        <v>0.0</v>
      </c>
      <c r="L1016" s="38">
        <v>0.0</v>
      </c>
      <c r="M1016" s="38">
        <v>0.0</v>
      </c>
      <c r="N1016" s="38">
        <v>0.0</v>
      </c>
      <c r="O1016" s="38">
        <v>0.0</v>
      </c>
      <c r="P1016" s="38">
        <v>0.0</v>
      </c>
      <c r="Q1016" s="38">
        <v>0.0</v>
      </c>
    </row>
    <row r="1017">
      <c r="A1017" s="49">
        <v>46197.0</v>
      </c>
      <c r="B1017" s="50">
        <v>0.9</v>
      </c>
      <c r="C1017" s="41" t="s">
        <v>23</v>
      </c>
      <c r="D1017" s="41" t="s">
        <v>93</v>
      </c>
      <c r="E1017" s="41" t="s">
        <v>92</v>
      </c>
      <c r="F1017" s="42">
        <v>0.0</v>
      </c>
      <c r="G1017" s="42">
        <v>0.0</v>
      </c>
      <c r="H1017" s="42">
        <v>0.0</v>
      </c>
      <c r="I1017" s="42">
        <v>0.0</v>
      </c>
      <c r="J1017" s="42">
        <v>0.0</v>
      </c>
      <c r="K1017" s="42">
        <v>0.0</v>
      </c>
      <c r="L1017" s="42">
        <v>0.0</v>
      </c>
      <c r="M1017" s="42">
        <v>0.0</v>
      </c>
      <c r="N1017" s="42">
        <v>0.0</v>
      </c>
      <c r="O1017" s="42">
        <v>0.0</v>
      </c>
      <c r="P1017" s="42">
        <v>0.0</v>
      </c>
      <c r="Q1017" s="42">
        <v>0.0</v>
      </c>
    </row>
    <row r="1018">
      <c r="A1018" s="47">
        <v>46197.0</v>
      </c>
      <c r="B1018" s="48">
        <v>0.9</v>
      </c>
      <c r="C1018" s="37" t="s">
        <v>23</v>
      </c>
      <c r="D1018" s="37" t="s">
        <v>93</v>
      </c>
      <c r="E1018" s="37" t="s">
        <v>106</v>
      </c>
      <c r="F1018" s="38">
        <v>0.0</v>
      </c>
      <c r="G1018" s="38">
        <v>0.0</v>
      </c>
      <c r="H1018" s="38">
        <v>0.0</v>
      </c>
      <c r="I1018" s="38">
        <v>0.0</v>
      </c>
      <c r="J1018" s="38">
        <v>0.0</v>
      </c>
      <c r="K1018" s="38">
        <v>0.0</v>
      </c>
      <c r="L1018" s="38">
        <v>0.0</v>
      </c>
      <c r="M1018" s="38">
        <v>0.0</v>
      </c>
      <c r="N1018" s="38">
        <v>0.0</v>
      </c>
      <c r="O1018" s="38">
        <v>0.0</v>
      </c>
      <c r="P1018" s="38">
        <v>0.0</v>
      </c>
      <c r="Q1018" s="38">
        <v>0.0</v>
      </c>
    </row>
    <row r="1019">
      <c r="A1019" s="49">
        <v>46197.0</v>
      </c>
      <c r="B1019" s="50">
        <v>0.9</v>
      </c>
      <c r="C1019" s="41" t="s">
        <v>23</v>
      </c>
      <c r="D1019" s="41" t="s">
        <v>93</v>
      </c>
      <c r="E1019" s="41" t="s">
        <v>107</v>
      </c>
      <c r="F1019" s="42">
        <v>0.0</v>
      </c>
      <c r="G1019" s="42">
        <v>0.0</v>
      </c>
      <c r="H1019" s="42">
        <v>0.0</v>
      </c>
      <c r="I1019" s="42">
        <v>0.0</v>
      </c>
      <c r="J1019" s="42">
        <v>0.0</v>
      </c>
      <c r="K1019" s="42">
        <v>0.0</v>
      </c>
      <c r="L1019" s="42">
        <v>0.0</v>
      </c>
      <c r="M1019" s="42">
        <v>0.0</v>
      </c>
      <c r="N1019" s="42">
        <v>0.0</v>
      </c>
      <c r="O1019" s="42">
        <v>0.0</v>
      </c>
      <c r="P1019" s="42">
        <v>0.0</v>
      </c>
      <c r="Q1019" s="42">
        <v>0.0</v>
      </c>
    </row>
    <row r="1020">
      <c r="A1020" s="47">
        <v>46197.0</v>
      </c>
      <c r="B1020" s="48">
        <v>0.9</v>
      </c>
      <c r="C1020" s="37" t="s">
        <v>29</v>
      </c>
      <c r="D1020" s="37" t="s">
        <v>94</v>
      </c>
      <c r="E1020" s="37" t="s">
        <v>52</v>
      </c>
      <c r="F1020" s="38">
        <v>6.0</v>
      </c>
      <c r="G1020" s="38">
        <v>3.0</v>
      </c>
      <c r="H1020" s="38">
        <v>0.0</v>
      </c>
      <c r="I1020" s="38">
        <v>0.0</v>
      </c>
      <c r="J1020" s="38">
        <v>0.0</v>
      </c>
      <c r="K1020" s="38">
        <v>6.0</v>
      </c>
      <c r="L1020" s="38">
        <v>6.0</v>
      </c>
      <c r="M1020" s="38">
        <v>0.0</v>
      </c>
      <c r="N1020" s="38">
        <v>0.0</v>
      </c>
      <c r="O1020" s="38">
        <v>0.0</v>
      </c>
      <c r="P1020" s="38">
        <v>3.0</v>
      </c>
      <c r="Q1020" s="38">
        <v>3.0</v>
      </c>
    </row>
    <row r="1021">
      <c r="A1021" s="49">
        <v>46197.0</v>
      </c>
      <c r="B1021" s="50">
        <v>0.9</v>
      </c>
      <c r="C1021" s="41" t="s">
        <v>29</v>
      </c>
      <c r="D1021" s="41" t="s">
        <v>94</v>
      </c>
      <c r="E1021" s="41" t="s">
        <v>88</v>
      </c>
      <c r="F1021" s="42">
        <v>0.0</v>
      </c>
      <c r="G1021" s="42">
        <v>0.0</v>
      </c>
      <c r="H1021" s="42">
        <v>0.0</v>
      </c>
      <c r="I1021" s="42">
        <v>0.0</v>
      </c>
      <c r="J1021" s="42">
        <v>0.0</v>
      </c>
      <c r="K1021" s="42">
        <v>0.0</v>
      </c>
      <c r="L1021" s="42">
        <v>0.0</v>
      </c>
      <c r="M1021" s="42">
        <v>0.0</v>
      </c>
      <c r="N1021" s="42">
        <v>0.0</v>
      </c>
      <c r="O1021" s="42">
        <v>0.0</v>
      </c>
      <c r="P1021" s="42">
        <v>0.0</v>
      </c>
      <c r="Q1021" s="42">
        <v>0.0</v>
      </c>
    </row>
    <row r="1022">
      <c r="A1022" s="47">
        <v>46197.0</v>
      </c>
      <c r="B1022" s="48">
        <v>0.9</v>
      </c>
      <c r="C1022" s="37" t="s">
        <v>29</v>
      </c>
      <c r="D1022" s="37" t="s">
        <v>94</v>
      </c>
      <c r="E1022" s="37" t="s">
        <v>89</v>
      </c>
      <c r="F1022" s="38">
        <v>1.0</v>
      </c>
      <c r="G1022" s="38">
        <v>0.0</v>
      </c>
      <c r="H1022" s="38">
        <v>0.0</v>
      </c>
      <c r="I1022" s="38">
        <v>0.0</v>
      </c>
      <c r="J1022" s="38">
        <v>0.0</v>
      </c>
      <c r="K1022" s="38">
        <v>1.0</v>
      </c>
      <c r="L1022" s="38">
        <v>1.0</v>
      </c>
      <c r="M1022" s="38">
        <v>0.0</v>
      </c>
      <c r="N1022" s="38">
        <v>0.0</v>
      </c>
      <c r="O1022" s="38">
        <v>0.0</v>
      </c>
      <c r="P1022" s="38">
        <v>0.0</v>
      </c>
      <c r="Q1022" s="38">
        <v>0.0</v>
      </c>
    </row>
    <row r="1023">
      <c r="A1023" s="49">
        <v>46197.0</v>
      </c>
      <c r="B1023" s="50">
        <v>0.9</v>
      </c>
      <c r="C1023" s="41" t="s">
        <v>29</v>
      </c>
      <c r="D1023" s="41" t="s">
        <v>94</v>
      </c>
      <c r="E1023" s="41" t="s">
        <v>50</v>
      </c>
      <c r="F1023" s="42">
        <v>0.0</v>
      </c>
      <c r="G1023" s="42">
        <v>0.0</v>
      </c>
      <c r="H1023" s="42">
        <v>0.0</v>
      </c>
      <c r="I1023" s="42">
        <v>0.0</v>
      </c>
      <c r="J1023" s="42">
        <v>0.0</v>
      </c>
      <c r="K1023" s="42">
        <v>0.0</v>
      </c>
      <c r="L1023" s="42">
        <v>0.0</v>
      </c>
      <c r="M1023" s="42">
        <v>0.0</v>
      </c>
      <c r="N1023" s="42">
        <v>0.0</v>
      </c>
      <c r="O1023" s="42">
        <v>0.0</v>
      </c>
      <c r="P1023" s="42">
        <v>0.0</v>
      </c>
      <c r="Q1023" s="42">
        <v>0.0</v>
      </c>
    </row>
    <row r="1024">
      <c r="A1024" s="47">
        <v>46197.0</v>
      </c>
      <c r="B1024" s="48">
        <v>0.9</v>
      </c>
      <c r="C1024" s="37" t="s">
        <v>29</v>
      </c>
      <c r="D1024" s="37" t="s">
        <v>94</v>
      </c>
      <c r="E1024" s="37" t="s">
        <v>90</v>
      </c>
      <c r="F1024" s="38">
        <v>0.0</v>
      </c>
      <c r="G1024" s="38">
        <v>0.0</v>
      </c>
      <c r="H1024" s="38">
        <v>0.0</v>
      </c>
      <c r="I1024" s="38">
        <v>0.0</v>
      </c>
      <c r="J1024" s="38">
        <v>0.0</v>
      </c>
      <c r="K1024" s="38">
        <v>0.0</v>
      </c>
      <c r="L1024" s="38">
        <v>0.0</v>
      </c>
      <c r="M1024" s="38">
        <v>0.0</v>
      </c>
      <c r="N1024" s="38">
        <v>0.0</v>
      </c>
      <c r="O1024" s="38">
        <v>0.0</v>
      </c>
      <c r="P1024" s="38">
        <v>0.0</v>
      </c>
      <c r="Q1024" s="38">
        <v>0.0</v>
      </c>
    </row>
    <row r="1025">
      <c r="A1025" s="49">
        <v>46197.0</v>
      </c>
      <c r="B1025" s="50">
        <v>0.9</v>
      </c>
      <c r="C1025" s="41" t="s">
        <v>29</v>
      </c>
      <c r="D1025" s="41" t="s">
        <v>94</v>
      </c>
      <c r="E1025" s="41" t="s">
        <v>91</v>
      </c>
      <c r="F1025" s="42">
        <v>0.0</v>
      </c>
      <c r="G1025" s="42">
        <v>0.0</v>
      </c>
      <c r="H1025" s="42">
        <v>0.0</v>
      </c>
      <c r="I1025" s="42">
        <v>0.0</v>
      </c>
      <c r="J1025" s="42">
        <v>0.0</v>
      </c>
      <c r="K1025" s="42">
        <v>0.0</v>
      </c>
      <c r="L1025" s="42">
        <v>0.0</v>
      </c>
      <c r="M1025" s="42">
        <v>0.0</v>
      </c>
      <c r="N1025" s="42">
        <v>0.0</v>
      </c>
      <c r="O1025" s="42">
        <v>0.0</v>
      </c>
      <c r="P1025" s="42">
        <v>0.0</v>
      </c>
      <c r="Q1025" s="42">
        <v>0.0</v>
      </c>
    </row>
    <row r="1026">
      <c r="A1026" s="47">
        <v>46197.0</v>
      </c>
      <c r="B1026" s="48">
        <v>0.9</v>
      </c>
      <c r="C1026" s="37" t="s">
        <v>29</v>
      </c>
      <c r="D1026" s="37" t="s">
        <v>94</v>
      </c>
      <c r="E1026" s="37" t="s">
        <v>92</v>
      </c>
      <c r="F1026" s="38">
        <v>0.0</v>
      </c>
      <c r="G1026" s="38">
        <v>0.0</v>
      </c>
      <c r="H1026" s="38">
        <v>0.0</v>
      </c>
      <c r="I1026" s="38">
        <v>0.0</v>
      </c>
      <c r="J1026" s="38">
        <v>0.0</v>
      </c>
      <c r="K1026" s="38">
        <v>0.0</v>
      </c>
      <c r="L1026" s="38">
        <v>0.0</v>
      </c>
      <c r="M1026" s="38">
        <v>0.0</v>
      </c>
      <c r="N1026" s="38">
        <v>0.0</v>
      </c>
      <c r="O1026" s="38">
        <v>0.0</v>
      </c>
      <c r="P1026" s="38">
        <v>0.0</v>
      </c>
      <c r="Q1026" s="38">
        <v>0.0</v>
      </c>
    </row>
    <row r="1027">
      <c r="A1027" s="49">
        <v>46197.0</v>
      </c>
      <c r="B1027" s="50">
        <v>0.9</v>
      </c>
      <c r="C1027" s="41" t="s">
        <v>29</v>
      </c>
      <c r="D1027" s="41" t="s">
        <v>94</v>
      </c>
      <c r="E1027" s="41" t="s">
        <v>106</v>
      </c>
      <c r="F1027" s="42">
        <v>1.0</v>
      </c>
      <c r="G1027" s="42">
        <v>0.0</v>
      </c>
      <c r="H1027" s="42">
        <v>0.0</v>
      </c>
      <c r="I1027" s="42">
        <v>0.0</v>
      </c>
      <c r="J1027" s="42">
        <v>1.0</v>
      </c>
      <c r="K1027" s="42">
        <v>1.0</v>
      </c>
      <c r="L1027" s="42">
        <v>1.0</v>
      </c>
      <c r="M1027" s="42">
        <v>0.0</v>
      </c>
      <c r="N1027" s="42">
        <v>0.0</v>
      </c>
      <c r="O1027" s="42">
        <v>0.0</v>
      </c>
      <c r="P1027" s="42">
        <v>0.0</v>
      </c>
      <c r="Q1027" s="42">
        <v>0.0</v>
      </c>
    </row>
    <row r="1028">
      <c r="A1028" s="47">
        <v>46197.0</v>
      </c>
      <c r="B1028" s="48">
        <v>0.9</v>
      </c>
      <c r="C1028" s="37" t="s">
        <v>29</v>
      </c>
      <c r="D1028" s="37" t="s">
        <v>94</v>
      </c>
      <c r="E1028" s="37" t="s">
        <v>107</v>
      </c>
      <c r="F1028" s="38">
        <v>0.0</v>
      </c>
      <c r="G1028" s="38">
        <v>0.0</v>
      </c>
      <c r="H1028" s="38">
        <v>0.0</v>
      </c>
      <c r="I1028" s="38">
        <v>0.0</v>
      </c>
      <c r="J1028" s="38">
        <v>0.0</v>
      </c>
      <c r="K1028" s="38">
        <v>0.0</v>
      </c>
      <c r="L1028" s="38">
        <v>0.0</v>
      </c>
      <c r="M1028" s="38">
        <v>0.0</v>
      </c>
      <c r="N1028" s="38">
        <v>0.0</v>
      </c>
      <c r="O1028" s="38">
        <v>0.0</v>
      </c>
      <c r="P1028" s="38">
        <v>0.0</v>
      </c>
      <c r="Q1028" s="38">
        <v>0.0</v>
      </c>
    </row>
    <row r="1029">
      <c r="A1029" s="49">
        <v>46197.0</v>
      </c>
      <c r="B1029" s="50">
        <v>0.9</v>
      </c>
      <c r="C1029" s="41" t="s">
        <v>31</v>
      </c>
      <c r="D1029" s="41" t="s">
        <v>95</v>
      </c>
      <c r="E1029" s="41" t="s">
        <v>52</v>
      </c>
      <c r="F1029" s="42">
        <v>0.0</v>
      </c>
      <c r="G1029" s="42">
        <v>0.0</v>
      </c>
      <c r="H1029" s="42">
        <v>0.0</v>
      </c>
      <c r="I1029" s="42">
        <v>0.0</v>
      </c>
      <c r="J1029" s="42">
        <v>0.0</v>
      </c>
      <c r="K1029" s="42">
        <v>0.0</v>
      </c>
      <c r="L1029" s="42">
        <v>0.0</v>
      </c>
      <c r="M1029" s="42">
        <v>0.0</v>
      </c>
      <c r="N1029" s="42">
        <v>0.0</v>
      </c>
      <c r="O1029" s="42">
        <v>0.0</v>
      </c>
      <c r="P1029" s="42">
        <v>0.0</v>
      </c>
      <c r="Q1029" s="42">
        <v>0.0</v>
      </c>
    </row>
    <row r="1030">
      <c r="A1030" s="47">
        <v>46197.0</v>
      </c>
      <c r="B1030" s="48">
        <v>0.9</v>
      </c>
      <c r="C1030" s="37" t="s">
        <v>31</v>
      </c>
      <c r="D1030" s="37" t="s">
        <v>95</v>
      </c>
      <c r="E1030" s="37" t="s">
        <v>88</v>
      </c>
      <c r="F1030" s="38">
        <v>0.0</v>
      </c>
      <c r="G1030" s="38">
        <v>0.0</v>
      </c>
      <c r="H1030" s="38">
        <v>0.0</v>
      </c>
      <c r="I1030" s="38">
        <v>0.0</v>
      </c>
      <c r="J1030" s="38">
        <v>0.0</v>
      </c>
      <c r="K1030" s="38">
        <v>0.0</v>
      </c>
      <c r="L1030" s="38">
        <v>0.0</v>
      </c>
      <c r="M1030" s="38">
        <v>0.0</v>
      </c>
      <c r="N1030" s="38">
        <v>0.0</v>
      </c>
      <c r="O1030" s="38">
        <v>0.0</v>
      </c>
      <c r="P1030" s="38">
        <v>0.0</v>
      </c>
      <c r="Q1030" s="38">
        <v>0.0</v>
      </c>
    </row>
    <row r="1031">
      <c r="A1031" s="49">
        <v>46197.0</v>
      </c>
      <c r="B1031" s="50">
        <v>0.9</v>
      </c>
      <c r="C1031" s="41" t="s">
        <v>31</v>
      </c>
      <c r="D1031" s="41" t="s">
        <v>95</v>
      </c>
      <c r="E1031" s="41" t="s">
        <v>89</v>
      </c>
      <c r="F1031" s="42">
        <v>0.0</v>
      </c>
      <c r="G1031" s="42">
        <v>0.0</v>
      </c>
      <c r="H1031" s="42">
        <v>0.0</v>
      </c>
      <c r="I1031" s="42">
        <v>0.0</v>
      </c>
      <c r="J1031" s="42">
        <v>0.0</v>
      </c>
      <c r="K1031" s="42">
        <v>0.0</v>
      </c>
      <c r="L1031" s="42">
        <v>0.0</v>
      </c>
      <c r="M1031" s="42">
        <v>0.0</v>
      </c>
      <c r="N1031" s="42">
        <v>0.0</v>
      </c>
      <c r="O1031" s="42">
        <v>0.0</v>
      </c>
      <c r="P1031" s="42">
        <v>0.0</v>
      </c>
      <c r="Q1031" s="42">
        <v>0.0</v>
      </c>
    </row>
    <row r="1032">
      <c r="A1032" s="47">
        <v>46197.0</v>
      </c>
      <c r="B1032" s="48">
        <v>0.9</v>
      </c>
      <c r="C1032" s="37" t="s">
        <v>31</v>
      </c>
      <c r="D1032" s="37" t="s">
        <v>95</v>
      </c>
      <c r="E1032" s="37" t="s">
        <v>50</v>
      </c>
      <c r="F1032" s="38">
        <v>1.0</v>
      </c>
      <c r="G1032" s="38">
        <v>1.0</v>
      </c>
      <c r="H1032" s="38">
        <v>0.0</v>
      </c>
      <c r="I1032" s="38">
        <v>0.0</v>
      </c>
      <c r="J1032" s="38">
        <v>0.0</v>
      </c>
      <c r="K1032" s="38">
        <v>0.0</v>
      </c>
      <c r="L1032" s="38">
        <v>0.0</v>
      </c>
      <c r="M1032" s="38">
        <v>0.0</v>
      </c>
      <c r="N1032" s="38">
        <v>0.0</v>
      </c>
      <c r="O1032" s="38">
        <v>0.0</v>
      </c>
      <c r="P1032" s="38">
        <v>0.0</v>
      </c>
      <c r="Q1032" s="38">
        <v>0.0</v>
      </c>
    </row>
    <row r="1033">
      <c r="A1033" s="49">
        <v>46197.0</v>
      </c>
      <c r="B1033" s="50">
        <v>0.9</v>
      </c>
      <c r="C1033" s="41" t="s">
        <v>31</v>
      </c>
      <c r="D1033" s="41" t="s">
        <v>95</v>
      </c>
      <c r="E1033" s="41" t="s">
        <v>90</v>
      </c>
      <c r="F1033" s="42">
        <v>0.0</v>
      </c>
      <c r="G1033" s="42">
        <v>0.0</v>
      </c>
      <c r="H1033" s="42">
        <v>0.0</v>
      </c>
      <c r="I1033" s="42">
        <v>0.0</v>
      </c>
      <c r="J1033" s="42">
        <v>0.0</v>
      </c>
      <c r="K1033" s="42">
        <v>0.0</v>
      </c>
      <c r="L1033" s="42">
        <v>0.0</v>
      </c>
      <c r="M1033" s="42">
        <v>0.0</v>
      </c>
      <c r="N1033" s="42">
        <v>0.0</v>
      </c>
      <c r="O1033" s="42">
        <v>0.0</v>
      </c>
      <c r="P1033" s="42">
        <v>0.0</v>
      </c>
      <c r="Q1033" s="42">
        <v>0.0</v>
      </c>
    </row>
    <row r="1034">
      <c r="A1034" s="47">
        <v>46197.0</v>
      </c>
      <c r="B1034" s="48">
        <v>0.9</v>
      </c>
      <c r="C1034" s="37" t="s">
        <v>31</v>
      </c>
      <c r="D1034" s="37" t="s">
        <v>95</v>
      </c>
      <c r="E1034" s="37" t="s">
        <v>91</v>
      </c>
      <c r="F1034" s="38">
        <v>0.0</v>
      </c>
      <c r="G1034" s="38">
        <v>0.0</v>
      </c>
      <c r="H1034" s="38">
        <v>0.0</v>
      </c>
      <c r="I1034" s="38">
        <v>0.0</v>
      </c>
      <c r="J1034" s="38">
        <v>0.0</v>
      </c>
      <c r="K1034" s="38">
        <v>0.0</v>
      </c>
      <c r="L1034" s="38">
        <v>0.0</v>
      </c>
      <c r="M1034" s="38">
        <v>0.0</v>
      </c>
      <c r="N1034" s="38">
        <v>0.0</v>
      </c>
      <c r="O1034" s="38">
        <v>0.0</v>
      </c>
      <c r="P1034" s="38">
        <v>0.0</v>
      </c>
      <c r="Q1034" s="38">
        <v>0.0</v>
      </c>
    </row>
    <row r="1035">
      <c r="A1035" s="49">
        <v>46197.0</v>
      </c>
      <c r="B1035" s="50">
        <v>0.9</v>
      </c>
      <c r="C1035" s="41" t="s">
        <v>31</v>
      </c>
      <c r="D1035" s="41" t="s">
        <v>95</v>
      </c>
      <c r="E1035" s="41" t="s">
        <v>92</v>
      </c>
      <c r="F1035" s="42">
        <v>0.0</v>
      </c>
      <c r="G1035" s="42">
        <v>0.0</v>
      </c>
      <c r="H1035" s="42">
        <v>0.0</v>
      </c>
      <c r="I1035" s="42">
        <v>0.0</v>
      </c>
      <c r="J1035" s="42">
        <v>0.0</v>
      </c>
      <c r="K1035" s="42">
        <v>0.0</v>
      </c>
      <c r="L1035" s="42">
        <v>0.0</v>
      </c>
      <c r="M1035" s="42">
        <v>0.0</v>
      </c>
      <c r="N1035" s="42">
        <v>0.0</v>
      </c>
      <c r="O1035" s="42">
        <v>0.0</v>
      </c>
      <c r="P1035" s="42">
        <v>0.0</v>
      </c>
      <c r="Q1035" s="42">
        <v>0.0</v>
      </c>
    </row>
    <row r="1036">
      <c r="A1036" s="47">
        <v>46197.0</v>
      </c>
      <c r="B1036" s="48">
        <v>0.9</v>
      </c>
      <c r="C1036" s="37" t="s">
        <v>31</v>
      </c>
      <c r="D1036" s="37" t="s">
        <v>95</v>
      </c>
      <c r="E1036" s="37" t="s">
        <v>106</v>
      </c>
      <c r="F1036" s="38">
        <v>0.0</v>
      </c>
      <c r="G1036" s="38">
        <v>0.0</v>
      </c>
      <c r="H1036" s="38">
        <v>0.0</v>
      </c>
      <c r="I1036" s="38">
        <v>0.0</v>
      </c>
      <c r="J1036" s="38">
        <v>0.0</v>
      </c>
      <c r="K1036" s="38">
        <v>0.0</v>
      </c>
      <c r="L1036" s="38">
        <v>0.0</v>
      </c>
      <c r="M1036" s="38">
        <v>0.0</v>
      </c>
      <c r="N1036" s="38">
        <v>0.0</v>
      </c>
      <c r="O1036" s="38">
        <v>0.0</v>
      </c>
      <c r="P1036" s="38">
        <v>0.0</v>
      </c>
      <c r="Q1036" s="38">
        <v>0.0</v>
      </c>
    </row>
    <row r="1037">
      <c r="A1037" s="49">
        <v>46197.0</v>
      </c>
      <c r="B1037" s="50">
        <v>0.9</v>
      </c>
      <c r="C1037" s="41" t="s">
        <v>31</v>
      </c>
      <c r="D1037" s="41" t="s">
        <v>95</v>
      </c>
      <c r="E1037" s="41" t="s">
        <v>107</v>
      </c>
      <c r="F1037" s="42">
        <v>0.0</v>
      </c>
      <c r="G1037" s="42">
        <v>0.0</v>
      </c>
      <c r="H1037" s="42">
        <v>0.0</v>
      </c>
      <c r="I1037" s="42">
        <v>0.0</v>
      </c>
      <c r="J1037" s="42">
        <v>0.0</v>
      </c>
      <c r="K1037" s="42">
        <v>0.0</v>
      </c>
      <c r="L1037" s="42">
        <v>0.0</v>
      </c>
      <c r="M1037" s="42">
        <v>0.0</v>
      </c>
      <c r="N1037" s="42">
        <v>0.0</v>
      </c>
      <c r="O1037" s="42">
        <v>0.0</v>
      </c>
      <c r="P1037" s="42">
        <v>0.0</v>
      </c>
      <c r="Q1037" s="42">
        <v>0.0</v>
      </c>
    </row>
    <row r="1038">
      <c r="A1038" s="51">
        <v>46197.0</v>
      </c>
      <c r="B1038" s="52">
        <v>0.9</v>
      </c>
      <c r="C1038" s="45" t="s">
        <v>96</v>
      </c>
      <c r="D1038" s="45" t="s">
        <v>75</v>
      </c>
      <c r="E1038" s="45" t="s">
        <v>52</v>
      </c>
      <c r="F1038" s="46">
        <v>11.0</v>
      </c>
      <c r="G1038" s="46">
        <v>6.0</v>
      </c>
      <c r="H1038" s="46">
        <v>0.0</v>
      </c>
      <c r="I1038" s="46">
        <v>0.0</v>
      </c>
      <c r="J1038" s="46">
        <v>1.0</v>
      </c>
      <c r="K1038" s="46">
        <v>10.0</v>
      </c>
      <c r="L1038" s="46">
        <v>11.0</v>
      </c>
      <c r="M1038" s="46">
        <v>0.0</v>
      </c>
      <c r="N1038" s="46">
        <v>0.0</v>
      </c>
      <c r="O1038" s="46">
        <v>1.0</v>
      </c>
      <c r="P1038" s="46">
        <v>5.0</v>
      </c>
      <c r="Q1038" s="46">
        <v>6.0</v>
      </c>
    </row>
    <row r="1039">
      <c r="A1039" s="51">
        <v>46197.0</v>
      </c>
      <c r="B1039" s="52">
        <v>0.9</v>
      </c>
      <c r="C1039" s="45" t="s">
        <v>96</v>
      </c>
      <c r="D1039" s="45" t="s">
        <v>75</v>
      </c>
      <c r="E1039" s="45" t="s">
        <v>88</v>
      </c>
      <c r="F1039" s="46">
        <v>0.0</v>
      </c>
      <c r="G1039" s="46">
        <v>0.0</v>
      </c>
      <c r="H1039" s="46">
        <v>0.0</v>
      </c>
      <c r="I1039" s="46">
        <v>0.0</v>
      </c>
      <c r="J1039" s="46">
        <v>0.0</v>
      </c>
      <c r="K1039" s="46">
        <v>0.0</v>
      </c>
      <c r="L1039" s="46">
        <v>0.0</v>
      </c>
      <c r="M1039" s="46">
        <v>0.0</v>
      </c>
      <c r="N1039" s="46">
        <v>0.0</v>
      </c>
      <c r="O1039" s="46">
        <v>0.0</v>
      </c>
      <c r="P1039" s="46">
        <v>0.0</v>
      </c>
      <c r="Q1039" s="46">
        <v>0.0</v>
      </c>
    </row>
    <row r="1040">
      <c r="A1040" s="51">
        <v>46197.0</v>
      </c>
      <c r="B1040" s="52">
        <v>0.9</v>
      </c>
      <c r="C1040" s="45" t="s">
        <v>96</v>
      </c>
      <c r="D1040" s="45" t="s">
        <v>75</v>
      </c>
      <c r="E1040" s="45" t="s">
        <v>89</v>
      </c>
      <c r="F1040" s="46">
        <v>1.0</v>
      </c>
      <c r="G1040" s="46">
        <v>0.0</v>
      </c>
      <c r="H1040" s="46">
        <v>0.0</v>
      </c>
      <c r="I1040" s="46">
        <v>0.0</v>
      </c>
      <c r="J1040" s="46">
        <v>0.0</v>
      </c>
      <c r="K1040" s="46">
        <v>1.0</v>
      </c>
      <c r="L1040" s="46">
        <v>1.0</v>
      </c>
      <c r="M1040" s="46">
        <v>0.0</v>
      </c>
      <c r="N1040" s="46">
        <v>0.0</v>
      </c>
      <c r="O1040" s="46">
        <v>0.0</v>
      </c>
      <c r="P1040" s="46">
        <v>0.0</v>
      </c>
      <c r="Q1040" s="46">
        <v>0.0</v>
      </c>
    </row>
    <row r="1041">
      <c r="A1041" s="51">
        <v>46197.0</v>
      </c>
      <c r="B1041" s="52">
        <v>0.9</v>
      </c>
      <c r="C1041" s="45" t="s">
        <v>96</v>
      </c>
      <c r="D1041" s="45" t="s">
        <v>75</v>
      </c>
      <c r="E1041" s="45" t="s">
        <v>50</v>
      </c>
      <c r="F1041" s="46">
        <v>1.0</v>
      </c>
      <c r="G1041" s="46">
        <v>1.0</v>
      </c>
      <c r="H1041" s="46">
        <v>0.0</v>
      </c>
      <c r="I1041" s="46">
        <v>0.0</v>
      </c>
      <c r="J1041" s="46">
        <v>0.0</v>
      </c>
      <c r="K1041" s="46">
        <v>0.0</v>
      </c>
      <c r="L1041" s="46">
        <v>0.0</v>
      </c>
      <c r="M1041" s="46">
        <v>0.0</v>
      </c>
      <c r="N1041" s="46">
        <v>0.0</v>
      </c>
      <c r="O1041" s="46">
        <v>0.0</v>
      </c>
      <c r="P1041" s="46">
        <v>0.0</v>
      </c>
      <c r="Q1041" s="46">
        <v>0.0</v>
      </c>
    </row>
    <row r="1042">
      <c r="A1042" s="51">
        <v>46197.0</v>
      </c>
      <c r="B1042" s="52">
        <v>0.9</v>
      </c>
      <c r="C1042" s="45" t="s">
        <v>96</v>
      </c>
      <c r="D1042" s="45" t="s">
        <v>75</v>
      </c>
      <c r="E1042" s="45" t="s">
        <v>90</v>
      </c>
      <c r="F1042" s="46">
        <v>0.0</v>
      </c>
      <c r="G1042" s="46">
        <v>0.0</v>
      </c>
      <c r="H1042" s="46">
        <v>0.0</v>
      </c>
      <c r="I1042" s="46">
        <v>0.0</v>
      </c>
      <c r="J1042" s="46">
        <v>0.0</v>
      </c>
      <c r="K1042" s="46">
        <v>0.0</v>
      </c>
      <c r="L1042" s="46">
        <v>0.0</v>
      </c>
      <c r="M1042" s="46">
        <v>0.0</v>
      </c>
      <c r="N1042" s="46">
        <v>0.0</v>
      </c>
      <c r="O1042" s="46">
        <v>0.0</v>
      </c>
      <c r="P1042" s="46">
        <v>0.0</v>
      </c>
      <c r="Q1042" s="46">
        <v>0.0</v>
      </c>
    </row>
    <row r="1043">
      <c r="A1043" s="51">
        <v>46197.0</v>
      </c>
      <c r="B1043" s="52">
        <v>0.9</v>
      </c>
      <c r="C1043" s="45" t="s">
        <v>96</v>
      </c>
      <c r="D1043" s="45" t="s">
        <v>75</v>
      </c>
      <c r="E1043" s="45" t="s">
        <v>91</v>
      </c>
      <c r="F1043" s="46">
        <v>0.0</v>
      </c>
      <c r="G1043" s="46">
        <v>0.0</v>
      </c>
      <c r="H1043" s="46">
        <v>0.0</v>
      </c>
      <c r="I1043" s="46">
        <v>0.0</v>
      </c>
      <c r="J1043" s="46">
        <v>0.0</v>
      </c>
      <c r="K1043" s="46">
        <v>0.0</v>
      </c>
      <c r="L1043" s="46">
        <v>0.0</v>
      </c>
      <c r="M1043" s="46">
        <v>0.0</v>
      </c>
      <c r="N1043" s="46">
        <v>0.0</v>
      </c>
      <c r="O1043" s="46">
        <v>0.0</v>
      </c>
      <c r="P1043" s="46">
        <v>0.0</v>
      </c>
      <c r="Q1043" s="46">
        <v>0.0</v>
      </c>
    </row>
    <row r="1044">
      <c r="A1044" s="51">
        <v>46197.0</v>
      </c>
      <c r="B1044" s="52">
        <v>0.9</v>
      </c>
      <c r="C1044" s="45" t="s">
        <v>96</v>
      </c>
      <c r="D1044" s="45" t="s">
        <v>75</v>
      </c>
      <c r="E1044" s="45" t="s">
        <v>92</v>
      </c>
      <c r="F1044" s="46">
        <v>0.0</v>
      </c>
      <c r="G1044" s="46">
        <v>0.0</v>
      </c>
      <c r="H1044" s="46">
        <v>0.0</v>
      </c>
      <c r="I1044" s="46">
        <v>0.0</v>
      </c>
      <c r="J1044" s="46">
        <v>0.0</v>
      </c>
      <c r="K1044" s="46">
        <v>0.0</v>
      </c>
      <c r="L1044" s="46">
        <v>0.0</v>
      </c>
      <c r="M1044" s="46">
        <v>0.0</v>
      </c>
      <c r="N1044" s="46">
        <v>0.0</v>
      </c>
      <c r="O1044" s="46">
        <v>0.0</v>
      </c>
      <c r="P1044" s="46">
        <v>0.0</v>
      </c>
      <c r="Q1044" s="46">
        <v>0.0</v>
      </c>
    </row>
    <row r="1045">
      <c r="A1045" s="51">
        <v>46197.0</v>
      </c>
      <c r="B1045" s="52">
        <v>0.9</v>
      </c>
      <c r="C1045" s="45" t="s">
        <v>96</v>
      </c>
      <c r="D1045" s="45" t="s">
        <v>75</v>
      </c>
      <c r="E1045" s="45" t="s">
        <v>106</v>
      </c>
      <c r="F1045" s="46">
        <v>1.0</v>
      </c>
      <c r="G1045" s="46">
        <v>0.0</v>
      </c>
      <c r="H1045" s="46">
        <v>0.0</v>
      </c>
      <c r="I1045" s="46">
        <v>0.0</v>
      </c>
      <c r="J1045" s="46">
        <v>1.0</v>
      </c>
      <c r="K1045" s="46">
        <v>1.0</v>
      </c>
      <c r="L1045" s="46">
        <v>1.0</v>
      </c>
      <c r="M1045" s="46">
        <v>0.0</v>
      </c>
      <c r="N1045" s="46">
        <v>0.0</v>
      </c>
      <c r="O1045" s="46">
        <v>0.0</v>
      </c>
      <c r="P1045" s="46">
        <v>0.0</v>
      </c>
      <c r="Q1045" s="46">
        <v>0.0</v>
      </c>
    </row>
    <row r="1046">
      <c r="A1046" s="51">
        <v>46197.0</v>
      </c>
      <c r="B1046" s="52">
        <v>0.9</v>
      </c>
      <c r="C1046" s="45" t="s">
        <v>96</v>
      </c>
      <c r="D1046" s="45" t="s">
        <v>75</v>
      </c>
      <c r="E1046" s="45" t="s">
        <v>107</v>
      </c>
      <c r="F1046" s="46">
        <v>0.0</v>
      </c>
      <c r="G1046" s="46">
        <v>0.0</v>
      </c>
      <c r="H1046" s="46">
        <v>0.0</v>
      </c>
      <c r="I1046" s="46">
        <v>0.0</v>
      </c>
      <c r="J1046" s="46">
        <v>0.0</v>
      </c>
      <c r="K1046" s="46">
        <v>0.0</v>
      </c>
      <c r="L1046" s="46">
        <v>0.0</v>
      </c>
      <c r="M1046" s="46">
        <v>0.0</v>
      </c>
      <c r="N1046" s="46">
        <v>0.0</v>
      </c>
      <c r="O1046" s="46">
        <v>0.0</v>
      </c>
      <c r="P1046" s="46">
        <v>0.0</v>
      </c>
      <c r="Q1046" s="46">
        <v>0.0</v>
      </c>
    </row>
    <row r="1047">
      <c r="A1047" s="49">
        <v>46198.0</v>
      </c>
      <c r="B1047" s="50">
        <v>0.7347222222222223</v>
      </c>
      <c r="C1047" s="41" t="s">
        <v>15</v>
      </c>
      <c r="D1047" s="41" t="s">
        <v>87</v>
      </c>
      <c r="E1047" s="41" t="s">
        <v>52</v>
      </c>
      <c r="F1047" s="42">
        <v>4.0</v>
      </c>
      <c r="G1047" s="42">
        <v>1.0</v>
      </c>
      <c r="H1047" s="42">
        <v>1.0</v>
      </c>
      <c r="I1047" s="42">
        <v>0.0</v>
      </c>
      <c r="J1047" s="42">
        <v>0.0</v>
      </c>
      <c r="K1047" s="42">
        <v>4.0</v>
      </c>
      <c r="L1047" s="42">
        <v>4.0</v>
      </c>
      <c r="M1047" s="42">
        <v>0.0</v>
      </c>
      <c r="N1047" s="42">
        <v>0.0</v>
      </c>
      <c r="O1047" s="42">
        <v>0.0</v>
      </c>
      <c r="P1047" s="42">
        <v>1.0</v>
      </c>
      <c r="Q1047" s="42">
        <v>1.0</v>
      </c>
    </row>
    <row r="1048">
      <c r="A1048" s="47">
        <v>46198.0</v>
      </c>
      <c r="B1048" s="48">
        <v>0.7347222222222223</v>
      </c>
      <c r="C1048" s="37" t="s">
        <v>15</v>
      </c>
      <c r="D1048" s="37" t="s">
        <v>87</v>
      </c>
      <c r="E1048" s="37" t="s">
        <v>88</v>
      </c>
      <c r="F1048" s="38">
        <v>0.0</v>
      </c>
      <c r="G1048" s="38">
        <v>0.0</v>
      </c>
      <c r="H1048" s="38">
        <v>0.0</v>
      </c>
      <c r="I1048" s="38">
        <v>0.0</v>
      </c>
      <c r="J1048" s="38">
        <v>0.0</v>
      </c>
      <c r="K1048" s="38">
        <v>0.0</v>
      </c>
      <c r="L1048" s="38">
        <v>0.0</v>
      </c>
      <c r="M1048" s="38">
        <v>0.0</v>
      </c>
      <c r="N1048" s="38">
        <v>0.0</v>
      </c>
      <c r="O1048" s="38">
        <v>0.0</v>
      </c>
      <c r="P1048" s="38">
        <v>0.0</v>
      </c>
      <c r="Q1048" s="38">
        <v>0.0</v>
      </c>
    </row>
    <row r="1049">
      <c r="A1049" s="49">
        <v>46198.0</v>
      </c>
      <c r="B1049" s="50">
        <v>0.7347222222222223</v>
      </c>
      <c r="C1049" s="41" t="s">
        <v>15</v>
      </c>
      <c r="D1049" s="41" t="s">
        <v>87</v>
      </c>
      <c r="E1049" s="41" t="s">
        <v>89</v>
      </c>
      <c r="F1049" s="42">
        <v>0.0</v>
      </c>
      <c r="G1049" s="42">
        <v>0.0</v>
      </c>
      <c r="H1049" s="42">
        <v>0.0</v>
      </c>
      <c r="I1049" s="42">
        <v>0.0</v>
      </c>
      <c r="J1049" s="42">
        <v>0.0</v>
      </c>
      <c r="K1049" s="42">
        <v>0.0</v>
      </c>
      <c r="L1049" s="42">
        <v>0.0</v>
      </c>
      <c r="M1049" s="42">
        <v>0.0</v>
      </c>
      <c r="N1049" s="42">
        <v>0.0</v>
      </c>
      <c r="O1049" s="42">
        <v>0.0</v>
      </c>
      <c r="P1049" s="42">
        <v>0.0</v>
      </c>
      <c r="Q1049" s="42">
        <v>0.0</v>
      </c>
    </row>
    <row r="1050">
      <c r="A1050" s="47">
        <v>46198.0</v>
      </c>
      <c r="B1050" s="48">
        <v>0.7347222222222223</v>
      </c>
      <c r="C1050" s="37" t="s">
        <v>15</v>
      </c>
      <c r="D1050" s="37" t="s">
        <v>87</v>
      </c>
      <c r="E1050" s="37" t="s">
        <v>50</v>
      </c>
      <c r="F1050" s="38">
        <v>0.0</v>
      </c>
      <c r="G1050" s="38">
        <v>0.0</v>
      </c>
      <c r="H1050" s="38">
        <v>0.0</v>
      </c>
      <c r="I1050" s="38">
        <v>0.0</v>
      </c>
      <c r="J1050" s="38">
        <v>0.0</v>
      </c>
      <c r="K1050" s="38">
        <v>0.0</v>
      </c>
      <c r="L1050" s="38">
        <v>0.0</v>
      </c>
      <c r="M1050" s="38">
        <v>0.0</v>
      </c>
      <c r="N1050" s="38">
        <v>0.0</v>
      </c>
      <c r="O1050" s="38">
        <v>0.0</v>
      </c>
      <c r="P1050" s="38">
        <v>0.0</v>
      </c>
      <c r="Q1050" s="38">
        <v>0.0</v>
      </c>
    </row>
    <row r="1051">
      <c r="A1051" s="49">
        <v>46198.0</v>
      </c>
      <c r="B1051" s="50">
        <v>0.7347222222222223</v>
      </c>
      <c r="C1051" s="41" t="s">
        <v>15</v>
      </c>
      <c r="D1051" s="41" t="s">
        <v>87</v>
      </c>
      <c r="E1051" s="41" t="s">
        <v>90</v>
      </c>
      <c r="F1051" s="42">
        <v>0.0</v>
      </c>
      <c r="G1051" s="42">
        <v>0.0</v>
      </c>
      <c r="H1051" s="42">
        <v>0.0</v>
      </c>
      <c r="I1051" s="42">
        <v>0.0</v>
      </c>
      <c r="J1051" s="42">
        <v>0.0</v>
      </c>
      <c r="K1051" s="42">
        <v>0.0</v>
      </c>
      <c r="L1051" s="42">
        <v>0.0</v>
      </c>
      <c r="M1051" s="42">
        <v>0.0</v>
      </c>
      <c r="N1051" s="42">
        <v>0.0</v>
      </c>
      <c r="O1051" s="42">
        <v>0.0</v>
      </c>
      <c r="P1051" s="42">
        <v>0.0</v>
      </c>
      <c r="Q1051" s="42">
        <v>0.0</v>
      </c>
    </row>
    <row r="1052">
      <c r="A1052" s="47">
        <v>46198.0</v>
      </c>
      <c r="B1052" s="48">
        <v>0.7347222222222223</v>
      </c>
      <c r="C1052" s="37" t="s">
        <v>15</v>
      </c>
      <c r="D1052" s="37" t="s">
        <v>87</v>
      </c>
      <c r="E1052" s="37" t="s">
        <v>91</v>
      </c>
      <c r="F1052" s="38">
        <v>0.0</v>
      </c>
      <c r="G1052" s="38">
        <v>0.0</v>
      </c>
      <c r="H1052" s="38">
        <v>0.0</v>
      </c>
      <c r="I1052" s="38">
        <v>0.0</v>
      </c>
      <c r="J1052" s="38">
        <v>0.0</v>
      </c>
      <c r="K1052" s="38">
        <v>0.0</v>
      </c>
      <c r="L1052" s="38">
        <v>0.0</v>
      </c>
      <c r="M1052" s="38">
        <v>0.0</v>
      </c>
      <c r="N1052" s="38">
        <v>0.0</v>
      </c>
      <c r="O1052" s="38">
        <v>0.0</v>
      </c>
      <c r="P1052" s="38">
        <v>0.0</v>
      </c>
      <c r="Q1052" s="38">
        <v>0.0</v>
      </c>
    </row>
    <row r="1053">
      <c r="A1053" s="49">
        <v>46198.0</v>
      </c>
      <c r="B1053" s="50">
        <v>0.7347222222222223</v>
      </c>
      <c r="C1053" s="41" t="s">
        <v>15</v>
      </c>
      <c r="D1053" s="41" t="s">
        <v>87</v>
      </c>
      <c r="E1053" s="41" t="s">
        <v>92</v>
      </c>
      <c r="F1053" s="42">
        <v>0.0</v>
      </c>
      <c r="G1053" s="42">
        <v>0.0</v>
      </c>
      <c r="H1053" s="42">
        <v>0.0</v>
      </c>
      <c r="I1053" s="42">
        <v>0.0</v>
      </c>
      <c r="J1053" s="42">
        <v>0.0</v>
      </c>
      <c r="K1053" s="42">
        <v>0.0</v>
      </c>
      <c r="L1053" s="42">
        <v>0.0</v>
      </c>
      <c r="M1053" s="42">
        <v>0.0</v>
      </c>
      <c r="N1053" s="42">
        <v>0.0</v>
      </c>
      <c r="O1053" s="42">
        <v>0.0</v>
      </c>
      <c r="P1053" s="42">
        <v>0.0</v>
      </c>
      <c r="Q1053" s="42">
        <v>0.0</v>
      </c>
    </row>
    <row r="1054">
      <c r="A1054" s="47">
        <v>46198.0</v>
      </c>
      <c r="B1054" s="48">
        <v>0.7347222222222223</v>
      </c>
      <c r="C1054" s="37" t="s">
        <v>15</v>
      </c>
      <c r="D1054" s="37" t="s">
        <v>87</v>
      </c>
      <c r="E1054" s="37" t="s">
        <v>106</v>
      </c>
      <c r="F1054" s="38">
        <v>0.0</v>
      </c>
      <c r="G1054" s="38">
        <v>0.0</v>
      </c>
      <c r="H1054" s="38">
        <v>0.0</v>
      </c>
      <c r="I1054" s="38">
        <v>0.0</v>
      </c>
      <c r="J1054" s="38">
        <v>0.0</v>
      </c>
      <c r="K1054" s="38">
        <v>0.0</v>
      </c>
      <c r="L1054" s="38">
        <v>0.0</v>
      </c>
      <c r="M1054" s="38">
        <v>0.0</v>
      </c>
      <c r="N1054" s="38">
        <v>0.0</v>
      </c>
      <c r="O1054" s="38">
        <v>0.0</v>
      </c>
      <c r="P1054" s="38">
        <v>0.0</v>
      </c>
      <c r="Q1054" s="38">
        <v>0.0</v>
      </c>
    </row>
    <row r="1055">
      <c r="A1055" s="49">
        <v>46198.0</v>
      </c>
      <c r="B1055" s="50">
        <v>0.7347222222222223</v>
      </c>
      <c r="C1055" s="41" t="s">
        <v>15</v>
      </c>
      <c r="D1055" s="41" t="s">
        <v>87</v>
      </c>
      <c r="E1055" s="41" t="s">
        <v>107</v>
      </c>
      <c r="F1055" s="42">
        <v>0.0</v>
      </c>
      <c r="G1055" s="42">
        <v>0.0</v>
      </c>
      <c r="H1055" s="42">
        <v>0.0</v>
      </c>
      <c r="I1055" s="42">
        <v>0.0</v>
      </c>
      <c r="J1055" s="42">
        <v>0.0</v>
      </c>
      <c r="K1055" s="42">
        <v>0.0</v>
      </c>
      <c r="L1055" s="42">
        <v>0.0</v>
      </c>
      <c r="M1055" s="42">
        <v>0.0</v>
      </c>
      <c r="N1055" s="42">
        <v>0.0</v>
      </c>
      <c r="O1055" s="42">
        <v>0.0</v>
      </c>
      <c r="P1055" s="42">
        <v>0.0</v>
      </c>
      <c r="Q1055" s="42">
        <v>0.0</v>
      </c>
    </row>
    <row r="1056">
      <c r="A1056" s="47">
        <v>46198.0</v>
      </c>
      <c r="B1056" s="48">
        <v>0.7347222222222223</v>
      </c>
      <c r="C1056" s="37" t="s">
        <v>23</v>
      </c>
      <c r="D1056" s="37" t="s">
        <v>93</v>
      </c>
      <c r="E1056" s="37" t="s">
        <v>52</v>
      </c>
      <c r="F1056" s="38">
        <v>1.0</v>
      </c>
      <c r="G1056" s="38">
        <v>1.0</v>
      </c>
      <c r="H1056" s="38">
        <v>0.0</v>
      </c>
      <c r="I1056" s="38">
        <v>0.0</v>
      </c>
      <c r="J1056" s="38">
        <v>0.0</v>
      </c>
      <c r="K1056" s="38">
        <v>1.0</v>
      </c>
      <c r="L1056" s="38">
        <v>1.0</v>
      </c>
      <c r="M1056" s="38">
        <v>0.0</v>
      </c>
      <c r="N1056" s="38">
        <v>0.0</v>
      </c>
      <c r="O1056" s="38">
        <v>0.0</v>
      </c>
      <c r="P1056" s="38">
        <v>1.0</v>
      </c>
      <c r="Q1056" s="38">
        <v>1.0</v>
      </c>
    </row>
    <row r="1057">
      <c r="A1057" s="49">
        <v>46198.0</v>
      </c>
      <c r="B1057" s="50">
        <v>0.7347222222222223</v>
      </c>
      <c r="C1057" s="41" t="s">
        <v>23</v>
      </c>
      <c r="D1057" s="41" t="s">
        <v>93</v>
      </c>
      <c r="E1057" s="41" t="s">
        <v>88</v>
      </c>
      <c r="F1057" s="42">
        <v>0.0</v>
      </c>
      <c r="G1057" s="42">
        <v>0.0</v>
      </c>
      <c r="H1057" s="42">
        <v>0.0</v>
      </c>
      <c r="I1057" s="42">
        <v>0.0</v>
      </c>
      <c r="J1057" s="42">
        <v>0.0</v>
      </c>
      <c r="K1057" s="42">
        <v>0.0</v>
      </c>
      <c r="L1057" s="42">
        <v>0.0</v>
      </c>
      <c r="M1057" s="42">
        <v>0.0</v>
      </c>
      <c r="N1057" s="42">
        <v>0.0</v>
      </c>
      <c r="O1057" s="42">
        <v>0.0</v>
      </c>
      <c r="P1057" s="42">
        <v>0.0</v>
      </c>
      <c r="Q1057" s="42">
        <v>0.0</v>
      </c>
    </row>
    <row r="1058">
      <c r="A1058" s="47">
        <v>46198.0</v>
      </c>
      <c r="B1058" s="48">
        <v>0.7347222222222223</v>
      </c>
      <c r="C1058" s="37" t="s">
        <v>23</v>
      </c>
      <c r="D1058" s="37" t="s">
        <v>93</v>
      </c>
      <c r="E1058" s="37" t="s">
        <v>89</v>
      </c>
      <c r="F1058" s="38">
        <v>0.0</v>
      </c>
      <c r="G1058" s="38">
        <v>0.0</v>
      </c>
      <c r="H1058" s="38">
        <v>0.0</v>
      </c>
      <c r="I1058" s="38">
        <v>0.0</v>
      </c>
      <c r="J1058" s="38">
        <v>0.0</v>
      </c>
      <c r="K1058" s="38">
        <v>0.0</v>
      </c>
      <c r="L1058" s="38">
        <v>0.0</v>
      </c>
      <c r="M1058" s="38">
        <v>0.0</v>
      </c>
      <c r="N1058" s="38">
        <v>0.0</v>
      </c>
      <c r="O1058" s="38">
        <v>0.0</v>
      </c>
      <c r="P1058" s="38">
        <v>0.0</v>
      </c>
      <c r="Q1058" s="38">
        <v>0.0</v>
      </c>
    </row>
    <row r="1059">
      <c r="A1059" s="49">
        <v>46198.0</v>
      </c>
      <c r="B1059" s="50">
        <v>0.7347222222222223</v>
      </c>
      <c r="C1059" s="41" t="s">
        <v>23</v>
      </c>
      <c r="D1059" s="41" t="s">
        <v>93</v>
      </c>
      <c r="E1059" s="41" t="s">
        <v>50</v>
      </c>
      <c r="F1059" s="42">
        <v>0.0</v>
      </c>
      <c r="G1059" s="42">
        <v>0.0</v>
      </c>
      <c r="H1059" s="42">
        <v>0.0</v>
      </c>
      <c r="I1059" s="42">
        <v>0.0</v>
      </c>
      <c r="J1059" s="42">
        <v>0.0</v>
      </c>
      <c r="K1059" s="42">
        <v>0.0</v>
      </c>
      <c r="L1059" s="42">
        <v>0.0</v>
      </c>
      <c r="M1059" s="42">
        <v>0.0</v>
      </c>
      <c r="N1059" s="42">
        <v>0.0</v>
      </c>
      <c r="O1059" s="42">
        <v>0.0</v>
      </c>
      <c r="P1059" s="42">
        <v>0.0</v>
      </c>
      <c r="Q1059" s="42">
        <v>0.0</v>
      </c>
    </row>
    <row r="1060">
      <c r="A1060" s="47">
        <v>46198.0</v>
      </c>
      <c r="B1060" s="48">
        <v>0.7347222222222223</v>
      </c>
      <c r="C1060" s="37" t="s">
        <v>23</v>
      </c>
      <c r="D1060" s="37" t="s">
        <v>93</v>
      </c>
      <c r="E1060" s="37" t="s">
        <v>90</v>
      </c>
      <c r="F1060" s="38">
        <v>0.0</v>
      </c>
      <c r="G1060" s="38">
        <v>0.0</v>
      </c>
      <c r="H1060" s="38">
        <v>0.0</v>
      </c>
      <c r="I1060" s="38">
        <v>0.0</v>
      </c>
      <c r="J1060" s="38">
        <v>0.0</v>
      </c>
      <c r="K1060" s="38">
        <v>0.0</v>
      </c>
      <c r="L1060" s="38">
        <v>0.0</v>
      </c>
      <c r="M1060" s="38">
        <v>0.0</v>
      </c>
      <c r="N1060" s="38">
        <v>0.0</v>
      </c>
      <c r="O1060" s="38">
        <v>0.0</v>
      </c>
      <c r="P1060" s="38">
        <v>0.0</v>
      </c>
      <c r="Q1060" s="38">
        <v>0.0</v>
      </c>
    </row>
    <row r="1061">
      <c r="A1061" s="49">
        <v>46198.0</v>
      </c>
      <c r="B1061" s="50">
        <v>0.7347222222222223</v>
      </c>
      <c r="C1061" s="41" t="s">
        <v>23</v>
      </c>
      <c r="D1061" s="41" t="s">
        <v>93</v>
      </c>
      <c r="E1061" s="41" t="s">
        <v>91</v>
      </c>
      <c r="F1061" s="42">
        <v>0.0</v>
      </c>
      <c r="G1061" s="42">
        <v>0.0</v>
      </c>
      <c r="H1061" s="42">
        <v>0.0</v>
      </c>
      <c r="I1061" s="42">
        <v>0.0</v>
      </c>
      <c r="J1061" s="42">
        <v>0.0</v>
      </c>
      <c r="K1061" s="42">
        <v>0.0</v>
      </c>
      <c r="L1061" s="42">
        <v>0.0</v>
      </c>
      <c r="M1061" s="42">
        <v>0.0</v>
      </c>
      <c r="N1061" s="42">
        <v>0.0</v>
      </c>
      <c r="O1061" s="42">
        <v>0.0</v>
      </c>
      <c r="P1061" s="42">
        <v>0.0</v>
      </c>
      <c r="Q1061" s="42">
        <v>0.0</v>
      </c>
    </row>
    <row r="1062">
      <c r="A1062" s="47">
        <v>46198.0</v>
      </c>
      <c r="B1062" s="48">
        <v>0.7347222222222223</v>
      </c>
      <c r="C1062" s="37" t="s">
        <v>23</v>
      </c>
      <c r="D1062" s="37" t="s">
        <v>93</v>
      </c>
      <c r="E1062" s="37" t="s">
        <v>92</v>
      </c>
      <c r="F1062" s="38">
        <v>0.0</v>
      </c>
      <c r="G1062" s="38">
        <v>0.0</v>
      </c>
      <c r="H1062" s="38">
        <v>0.0</v>
      </c>
      <c r="I1062" s="38">
        <v>0.0</v>
      </c>
      <c r="J1062" s="38">
        <v>0.0</v>
      </c>
      <c r="K1062" s="38">
        <v>0.0</v>
      </c>
      <c r="L1062" s="38">
        <v>0.0</v>
      </c>
      <c r="M1062" s="38">
        <v>0.0</v>
      </c>
      <c r="N1062" s="38">
        <v>0.0</v>
      </c>
      <c r="O1062" s="38">
        <v>0.0</v>
      </c>
      <c r="P1062" s="38">
        <v>0.0</v>
      </c>
      <c r="Q1062" s="38">
        <v>0.0</v>
      </c>
    </row>
    <row r="1063">
      <c r="A1063" s="49">
        <v>46198.0</v>
      </c>
      <c r="B1063" s="50">
        <v>0.7347222222222223</v>
      </c>
      <c r="C1063" s="41" t="s">
        <v>23</v>
      </c>
      <c r="D1063" s="41" t="s">
        <v>93</v>
      </c>
      <c r="E1063" s="41" t="s">
        <v>106</v>
      </c>
      <c r="F1063" s="42">
        <v>0.0</v>
      </c>
      <c r="G1063" s="42">
        <v>0.0</v>
      </c>
      <c r="H1063" s="42">
        <v>0.0</v>
      </c>
      <c r="I1063" s="42">
        <v>0.0</v>
      </c>
      <c r="J1063" s="42">
        <v>0.0</v>
      </c>
      <c r="K1063" s="42">
        <v>0.0</v>
      </c>
      <c r="L1063" s="42">
        <v>0.0</v>
      </c>
      <c r="M1063" s="42">
        <v>0.0</v>
      </c>
      <c r="N1063" s="42">
        <v>0.0</v>
      </c>
      <c r="O1063" s="42">
        <v>0.0</v>
      </c>
      <c r="P1063" s="42">
        <v>0.0</v>
      </c>
      <c r="Q1063" s="42">
        <v>0.0</v>
      </c>
    </row>
    <row r="1064">
      <c r="A1064" s="47">
        <v>46198.0</v>
      </c>
      <c r="B1064" s="48">
        <v>0.7347222222222223</v>
      </c>
      <c r="C1064" s="37" t="s">
        <v>23</v>
      </c>
      <c r="D1064" s="37" t="s">
        <v>93</v>
      </c>
      <c r="E1064" s="37" t="s">
        <v>107</v>
      </c>
      <c r="F1064" s="38">
        <v>0.0</v>
      </c>
      <c r="G1064" s="38">
        <v>0.0</v>
      </c>
      <c r="H1064" s="38">
        <v>0.0</v>
      </c>
      <c r="I1064" s="38">
        <v>0.0</v>
      </c>
      <c r="J1064" s="38">
        <v>0.0</v>
      </c>
      <c r="K1064" s="38">
        <v>0.0</v>
      </c>
      <c r="L1064" s="38">
        <v>0.0</v>
      </c>
      <c r="M1064" s="38">
        <v>0.0</v>
      </c>
      <c r="N1064" s="38">
        <v>0.0</v>
      </c>
      <c r="O1064" s="38">
        <v>0.0</v>
      </c>
      <c r="P1064" s="38">
        <v>0.0</v>
      </c>
      <c r="Q1064" s="38">
        <v>0.0</v>
      </c>
    </row>
    <row r="1065">
      <c r="A1065" s="49">
        <v>46198.0</v>
      </c>
      <c r="B1065" s="50">
        <v>0.7347222222222223</v>
      </c>
      <c r="C1065" s="41" t="s">
        <v>29</v>
      </c>
      <c r="D1065" s="41" t="s">
        <v>94</v>
      </c>
      <c r="E1065" s="41" t="s">
        <v>52</v>
      </c>
      <c r="F1065" s="42">
        <v>7.0</v>
      </c>
      <c r="G1065" s="42">
        <v>3.0</v>
      </c>
      <c r="H1065" s="42">
        <v>0.0</v>
      </c>
      <c r="I1065" s="42">
        <v>0.0</v>
      </c>
      <c r="J1065" s="42">
        <v>0.0</v>
      </c>
      <c r="K1065" s="42">
        <v>7.0</v>
      </c>
      <c r="L1065" s="42">
        <v>7.0</v>
      </c>
      <c r="M1065" s="42">
        <v>0.0</v>
      </c>
      <c r="N1065" s="42">
        <v>0.0</v>
      </c>
      <c r="O1065" s="42">
        <v>0.0</v>
      </c>
      <c r="P1065" s="42">
        <v>3.0</v>
      </c>
      <c r="Q1065" s="42">
        <v>3.0</v>
      </c>
    </row>
    <row r="1066">
      <c r="A1066" s="47">
        <v>46198.0</v>
      </c>
      <c r="B1066" s="48">
        <v>0.7347222222222223</v>
      </c>
      <c r="C1066" s="37" t="s">
        <v>29</v>
      </c>
      <c r="D1066" s="37" t="s">
        <v>94</v>
      </c>
      <c r="E1066" s="37" t="s">
        <v>88</v>
      </c>
      <c r="F1066" s="38">
        <v>0.0</v>
      </c>
      <c r="G1066" s="38">
        <v>0.0</v>
      </c>
      <c r="H1066" s="38">
        <v>0.0</v>
      </c>
      <c r="I1066" s="38">
        <v>0.0</v>
      </c>
      <c r="J1066" s="38">
        <v>0.0</v>
      </c>
      <c r="K1066" s="38">
        <v>0.0</v>
      </c>
      <c r="L1066" s="38">
        <v>0.0</v>
      </c>
      <c r="M1066" s="38">
        <v>0.0</v>
      </c>
      <c r="N1066" s="38">
        <v>0.0</v>
      </c>
      <c r="O1066" s="38">
        <v>0.0</v>
      </c>
      <c r="P1066" s="38">
        <v>0.0</v>
      </c>
      <c r="Q1066" s="38">
        <v>0.0</v>
      </c>
    </row>
    <row r="1067">
      <c r="A1067" s="49">
        <v>46198.0</v>
      </c>
      <c r="B1067" s="50">
        <v>0.7347222222222223</v>
      </c>
      <c r="C1067" s="41" t="s">
        <v>29</v>
      </c>
      <c r="D1067" s="41" t="s">
        <v>94</v>
      </c>
      <c r="E1067" s="41" t="s">
        <v>89</v>
      </c>
      <c r="F1067" s="42">
        <v>1.0</v>
      </c>
      <c r="G1067" s="42">
        <v>0.0</v>
      </c>
      <c r="H1067" s="42">
        <v>0.0</v>
      </c>
      <c r="I1067" s="42">
        <v>0.0</v>
      </c>
      <c r="J1067" s="42">
        <v>0.0</v>
      </c>
      <c r="K1067" s="42">
        <v>1.0</v>
      </c>
      <c r="L1067" s="42">
        <v>1.0</v>
      </c>
      <c r="M1067" s="42">
        <v>0.0</v>
      </c>
      <c r="N1067" s="42">
        <v>0.0</v>
      </c>
      <c r="O1067" s="42">
        <v>0.0</v>
      </c>
      <c r="P1067" s="42">
        <v>0.0</v>
      </c>
      <c r="Q1067" s="42">
        <v>0.0</v>
      </c>
    </row>
    <row r="1068">
      <c r="A1068" s="47">
        <v>46198.0</v>
      </c>
      <c r="B1068" s="48">
        <v>0.7347222222222223</v>
      </c>
      <c r="C1068" s="37" t="s">
        <v>29</v>
      </c>
      <c r="D1068" s="37" t="s">
        <v>94</v>
      </c>
      <c r="E1068" s="37" t="s">
        <v>50</v>
      </c>
      <c r="F1068" s="38">
        <v>0.0</v>
      </c>
      <c r="G1068" s="38">
        <v>0.0</v>
      </c>
      <c r="H1068" s="38">
        <v>0.0</v>
      </c>
      <c r="I1068" s="38">
        <v>0.0</v>
      </c>
      <c r="J1068" s="38">
        <v>0.0</v>
      </c>
      <c r="K1068" s="38">
        <v>0.0</v>
      </c>
      <c r="L1068" s="38">
        <v>0.0</v>
      </c>
      <c r="M1068" s="38">
        <v>0.0</v>
      </c>
      <c r="N1068" s="38">
        <v>0.0</v>
      </c>
      <c r="O1068" s="38">
        <v>0.0</v>
      </c>
      <c r="P1068" s="38">
        <v>0.0</v>
      </c>
      <c r="Q1068" s="38">
        <v>0.0</v>
      </c>
    </row>
    <row r="1069">
      <c r="A1069" s="49">
        <v>46198.0</v>
      </c>
      <c r="B1069" s="50">
        <v>0.7347222222222223</v>
      </c>
      <c r="C1069" s="41" t="s">
        <v>29</v>
      </c>
      <c r="D1069" s="41" t="s">
        <v>94</v>
      </c>
      <c r="E1069" s="41" t="s">
        <v>90</v>
      </c>
      <c r="F1069" s="42">
        <v>0.0</v>
      </c>
      <c r="G1069" s="42">
        <v>0.0</v>
      </c>
      <c r="H1069" s="42">
        <v>0.0</v>
      </c>
      <c r="I1069" s="42">
        <v>0.0</v>
      </c>
      <c r="J1069" s="42">
        <v>0.0</v>
      </c>
      <c r="K1069" s="42">
        <v>0.0</v>
      </c>
      <c r="L1069" s="42">
        <v>0.0</v>
      </c>
      <c r="M1069" s="42">
        <v>0.0</v>
      </c>
      <c r="N1069" s="42">
        <v>0.0</v>
      </c>
      <c r="O1069" s="42">
        <v>0.0</v>
      </c>
      <c r="P1069" s="42">
        <v>0.0</v>
      </c>
      <c r="Q1069" s="42">
        <v>0.0</v>
      </c>
    </row>
    <row r="1070">
      <c r="A1070" s="47">
        <v>46198.0</v>
      </c>
      <c r="B1070" s="48">
        <v>0.7347222222222223</v>
      </c>
      <c r="C1070" s="37" t="s">
        <v>29</v>
      </c>
      <c r="D1070" s="37" t="s">
        <v>94</v>
      </c>
      <c r="E1070" s="37" t="s">
        <v>91</v>
      </c>
      <c r="F1070" s="38">
        <v>0.0</v>
      </c>
      <c r="G1070" s="38">
        <v>0.0</v>
      </c>
      <c r="H1070" s="38">
        <v>0.0</v>
      </c>
      <c r="I1070" s="38">
        <v>0.0</v>
      </c>
      <c r="J1070" s="38">
        <v>0.0</v>
      </c>
      <c r="K1070" s="38">
        <v>0.0</v>
      </c>
      <c r="L1070" s="38">
        <v>0.0</v>
      </c>
      <c r="M1070" s="38">
        <v>0.0</v>
      </c>
      <c r="N1070" s="38">
        <v>0.0</v>
      </c>
      <c r="O1070" s="38">
        <v>0.0</v>
      </c>
      <c r="P1070" s="38">
        <v>0.0</v>
      </c>
      <c r="Q1070" s="38">
        <v>0.0</v>
      </c>
    </row>
    <row r="1071">
      <c r="A1071" s="49">
        <v>46198.0</v>
      </c>
      <c r="B1071" s="50">
        <v>0.7347222222222223</v>
      </c>
      <c r="C1071" s="41" t="s">
        <v>29</v>
      </c>
      <c r="D1071" s="41" t="s">
        <v>94</v>
      </c>
      <c r="E1071" s="41" t="s">
        <v>92</v>
      </c>
      <c r="F1071" s="42">
        <v>0.0</v>
      </c>
      <c r="G1071" s="42">
        <v>0.0</v>
      </c>
      <c r="H1071" s="42">
        <v>0.0</v>
      </c>
      <c r="I1071" s="42">
        <v>0.0</v>
      </c>
      <c r="J1071" s="42">
        <v>0.0</v>
      </c>
      <c r="K1071" s="42">
        <v>0.0</v>
      </c>
      <c r="L1071" s="42">
        <v>0.0</v>
      </c>
      <c r="M1071" s="42">
        <v>0.0</v>
      </c>
      <c r="N1071" s="42">
        <v>0.0</v>
      </c>
      <c r="O1071" s="42">
        <v>0.0</v>
      </c>
      <c r="P1071" s="42">
        <v>0.0</v>
      </c>
      <c r="Q1071" s="42">
        <v>0.0</v>
      </c>
    </row>
    <row r="1072">
      <c r="A1072" s="47">
        <v>46198.0</v>
      </c>
      <c r="B1072" s="48">
        <v>0.7347222222222223</v>
      </c>
      <c r="C1072" s="37" t="s">
        <v>29</v>
      </c>
      <c r="D1072" s="37" t="s">
        <v>94</v>
      </c>
      <c r="E1072" s="37" t="s">
        <v>106</v>
      </c>
      <c r="F1072" s="38">
        <v>2.0</v>
      </c>
      <c r="G1072" s="38">
        <v>0.0</v>
      </c>
      <c r="H1072" s="38">
        <v>0.0</v>
      </c>
      <c r="I1072" s="38">
        <v>0.0</v>
      </c>
      <c r="J1072" s="38">
        <v>0.0</v>
      </c>
      <c r="K1072" s="38">
        <v>2.0</v>
      </c>
      <c r="L1072" s="38">
        <v>2.0</v>
      </c>
      <c r="M1072" s="38">
        <v>0.0</v>
      </c>
      <c r="N1072" s="38">
        <v>0.0</v>
      </c>
      <c r="O1072" s="38">
        <v>0.0</v>
      </c>
      <c r="P1072" s="38">
        <v>0.0</v>
      </c>
      <c r="Q1072" s="38">
        <v>0.0</v>
      </c>
    </row>
    <row r="1073">
      <c r="A1073" s="49">
        <v>46198.0</v>
      </c>
      <c r="B1073" s="50">
        <v>0.7347222222222223</v>
      </c>
      <c r="C1073" s="41" t="s">
        <v>29</v>
      </c>
      <c r="D1073" s="41" t="s">
        <v>94</v>
      </c>
      <c r="E1073" s="41" t="s">
        <v>107</v>
      </c>
      <c r="F1073" s="42">
        <v>0.0</v>
      </c>
      <c r="G1073" s="42">
        <v>0.0</v>
      </c>
      <c r="H1073" s="42">
        <v>0.0</v>
      </c>
      <c r="I1073" s="42">
        <v>0.0</v>
      </c>
      <c r="J1073" s="42">
        <v>0.0</v>
      </c>
      <c r="K1073" s="42">
        <v>0.0</v>
      </c>
      <c r="L1073" s="42">
        <v>0.0</v>
      </c>
      <c r="M1073" s="42">
        <v>0.0</v>
      </c>
      <c r="N1073" s="42">
        <v>0.0</v>
      </c>
      <c r="O1073" s="42">
        <v>0.0</v>
      </c>
      <c r="P1073" s="42">
        <v>0.0</v>
      </c>
      <c r="Q1073" s="42">
        <v>0.0</v>
      </c>
    </row>
    <row r="1074">
      <c r="A1074" s="47">
        <v>46198.0</v>
      </c>
      <c r="B1074" s="48">
        <v>0.7347222222222223</v>
      </c>
      <c r="C1074" s="37" t="s">
        <v>31</v>
      </c>
      <c r="D1074" s="37" t="s">
        <v>95</v>
      </c>
      <c r="E1074" s="37" t="s">
        <v>52</v>
      </c>
      <c r="F1074" s="38">
        <v>0.0</v>
      </c>
      <c r="G1074" s="38">
        <v>0.0</v>
      </c>
      <c r="H1074" s="38">
        <v>0.0</v>
      </c>
      <c r="I1074" s="38">
        <v>0.0</v>
      </c>
      <c r="J1074" s="38">
        <v>0.0</v>
      </c>
      <c r="K1074" s="38">
        <v>0.0</v>
      </c>
      <c r="L1074" s="38">
        <v>0.0</v>
      </c>
      <c r="M1074" s="38">
        <v>0.0</v>
      </c>
      <c r="N1074" s="38">
        <v>0.0</v>
      </c>
      <c r="O1074" s="38">
        <v>0.0</v>
      </c>
      <c r="P1074" s="38">
        <v>0.0</v>
      </c>
      <c r="Q1074" s="38">
        <v>0.0</v>
      </c>
    </row>
    <row r="1075">
      <c r="A1075" s="49">
        <v>46198.0</v>
      </c>
      <c r="B1075" s="50">
        <v>0.7347222222222223</v>
      </c>
      <c r="C1075" s="41" t="s">
        <v>31</v>
      </c>
      <c r="D1075" s="41" t="s">
        <v>95</v>
      </c>
      <c r="E1075" s="41" t="s">
        <v>88</v>
      </c>
      <c r="F1075" s="42">
        <v>0.0</v>
      </c>
      <c r="G1075" s="42">
        <v>0.0</v>
      </c>
      <c r="H1075" s="42">
        <v>0.0</v>
      </c>
      <c r="I1075" s="42">
        <v>0.0</v>
      </c>
      <c r="J1075" s="42">
        <v>0.0</v>
      </c>
      <c r="K1075" s="42">
        <v>0.0</v>
      </c>
      <c r="L1075" s="42">
        <v>0.0</v>
      </c>
      <c r="M1075" s="42">
        <v>0.0</v>
      </c>
      <c r="N1075" s="42">
        <v>0.0</v>
      </c>
      <c r="O1075" s="42">
        <v>0.0</v>
      </c>
      <c r="P1075" s="42">
        <v>0.0</v>
      </c>
      <c r="Q1075" s="42">
        <v>0.0</v>
      </c>
    </row>
    <row r="1076">
      <c r="A1076" s="47">
        <v>46198.0</v>
      </c>
      <c r="B1076" s="48">
        <v>0.7347222222222223</v>
      </c>
      <c r="C1076" s="37" t="s">
        <v>31</v>
      </c>
      <c r="D1076" s="37" t="s">
        <v>95</v>
      </c>
      <c r="E1076" s="37" t="s">
        <v>89</v>
      </c>
      <c r="F1076" s="38">
        <v>0.0</v>
      </c>
      <c r="G1076" s="38">
        <v>0.0</v>
      </c>
      <c r="H1076" s="38">
        <v>0.0</v>
      </c>
      <c r="I1076" s="38">
        <v>0.0</v>
      </c>
      <c r="J1076" s="38">
        <v>0.0</v>
      </c>
      <c r="K1076" s="38">
        <v>0.0</v>
      </c>
      <c r="L1076" s="38">
        <v>0.0</v>
      </c>
      <c r="M1076" s="38">
        <v>0.0</v>
      </c>
      <c r="N1076" s="38">
        <v>0.0</v>
      </c>
      <c r="O1076" s="38">
        <v>0.0</v>
      </c>
      <c r="P1076" s="38">
        <v>0.0</v>
      </c>
      <c r="Q1076" s="38">
        <v>0.0</v>
      </c>
    </row>
    <row r="1077">
      <c r="A1077" s="49">
        <v>46198.0</v>
      </c>
      <c r="B1077" s="50">
        <v>0.7347222222222223</v>
      </c>
      <c r="C1077" s="41" t="s">
        <v>31</v>
      </c>
      <c r="D1077" s="41" t="s">
        <v>95</v>
      </c>
      <c r="E1077" s="41" t="s">
        <v>50</v>
      </c>
      <c r="F1077" s="42">
        <v>1.0</v>
      </c>
      <c r="G1077" s="42">
        <v>1.0</v>
      </c>
      <c r="H1077" s="42">
        <v>0.0</v>
      </c>
      <c r="I1077" s="42">
        <v>0.0</v>
      </c>
      <c r="J1077" s="42">
        <v>0.0</v>
      </c>
      <c r="K1077" s="42">
        <v>0.0</v>
      </c>
      <c r="L1077" s="42">
        <v>0.0</v>
      </c>
      <c r="M1077" s="42">
        <v>0.0</v>
      </c>
      <c r="N1077" s="42">
        <v>0.0</v>
      </c>
      <c r="O1077" s="42">
        <v>0.0</v>
      </c>
      <c r="P1077" s="42">
        <v>0.0</v>
      </c>
      <c r="Q1077" s="42">
        <v>0.0</v>
      </c>
    </row>
    <row r="1078">
      <c r="A1078" s="47">
        <v>46198.0</v>
      </c>
      <c r="B1078" s="48">
        <v>0.7347222222222223</v>
      </c>
      <c r="C1078" s="37" t="s">
        <v>31</v>
      </c>
      <c r="D1078" s="37" t="s">
        <v>95</v>
      </c>
      <c r="E1078" s="37" t="s">
        <v>90</v>
      </c>
      <c r="F1078" s="38">
        <v>0.0</v>
      </c>
      <c r="G1078" s="38">
        <v>0.0</v>
      </c>
      <c r="H1078" s="38">
        <v>0.0</v>
      </c>
      <c r="I1078" s="38">
        <v>0.0</v>
      </c>
      <c r="J1078" s="38">
        <v>0.0</v>
      </c>
      <c r="K1078" s="38">
        <v>0.0</v>
      </c>
      <c r="L1078" s="38">
        <v>0.0</v>
      </c>
      <c r="M1078" s="38">
        <v>0.0</v>
      </c>
      <c r="N1078" s="38">
        <v>0.0</v>
      </c>
      <c r="O1078" s="38">
        <v>0.0</v>
      </c>
      <c r="P1078" s="38">
        <v>0.0</v>
      </c>
      <c r="Q1078" s="38">
        <v>0.0</v>
      </c>
    </row>
    <row r="1079">
      <c r="A1079" s="49">
        <v>46198.0</v>
      </c>
      <c r="B1079" s="50">
        <v>0.7347222222222223</v>
      </c>
      <c r="C1079" s="41" t="s">
        <v>31</v>
      </c>
      <c r="D1079" s="41" t="s">
        <v>95</v>
      </c>
      <c r="E1079" s="41" t="s">
        <v>91</v>
      </c>
      <c r="F1079" s="42">
        <v>0.0</v>
      </c>
      <c r="G1079" s="42">
        <v>0.0</v>
      </c>
      <c r="H1079" s="42">
        <v>0.0</v>
      </c>
      <c r="I1079" s="42">
        <v>0.0</v>
      </c>
      <c r="J1079" s="42">
        <v>0.0</v>
      </c>
      <c r="K1079" s="42">
        <v>0.0</v>
      </c>
      <c r="L1079" s="42">
        <v>0.0</v>
      </c>
      <c r="M1079" s="42">
        <v>0.0</v>
      </c>
      <c r="N1079" s="42">
        <v>0.0</v>
      </c>
      <c r="O1079" s="42">
        <v>0.0</v>
      </c>
      <c r="P1079" s="42">
        <v>0.0</v>
      </c>
      <c r="Q1079" s="42">
        <v>0.0</v>
      </c>
    </row>
    <row r="1080">
      <c r="A1080" s="47">
        <v>46198.0</v>
      </c>
      <c r="B1080" s="48">
        <v>0.7347222222222223</v>
      </c>
      <c r="C1080" s="37" t="s">
        <v>31</v>
      </c>
      <c r="D1080" s="37" t="s">
        <v>95</v>
      </c>
      <c r="E1080" s="37" t="s">
        <v>92</v>
      </c>
      <c r="F1080" s="38">
        <v>0.0</v>
      </c>
      <c r="G1080" s="38">
        <v>0.0</v>
      </c>
      <c r="H1080" s="38">
        <v>0.0</v>
      </c>
      <c r="I1080" s="38">
        <v>0.0</v>
      </c>
      <c r="J1080" s="38">
        <v>0.0</v>
      </c>
      <c r="K1080" s="38">
        <v>0.0</v>
      </c>
      <c r="L1080" s="38">
        <v>0.0</v>
      </c>
      <c r="M1080" s="38">
        <v>0.0</v>
      </c>
      <c r="N1080" s="38">
        <v>0.0</v>
      </c>
      <c r="O1080" s="38">
        <v>0.0</v>
      </c>
      <c r="P1080" s="38">
        <v>0.0</v>
      </c>
      <c r="Q1080" s="38">
        <v>0.0</v>
      </c>
    </row>
    <row r="1081">
      <c r="A1081" s="49">
        <v>46198.0</v>
      </c>
      <c r="B1081" s="50">
        <v>0.7347222222222223</v>
      </c>
      <c r="C1081" s="41" t="s">
        <v>31</v>
      </c>
      <c r="D1081" s="41" t="s">
        <v>95</v>
      </c>
      <c r="E1081" s="41" t="s">
        <v>106</v>
      </c>
      <c r="F1081" s="42">
        <v>0.0</v>
      </c>
      <c r="G1081" s="42">
        <v>0.0</v>
      </c>
      <c r="H1081" s="42">
        <v>0.0</v>
      </c>
      <c r="I1081" s="42">
        <v>0.0</v>
      </c>
      <c r="J1081" s="42">
        <v>0.0</v>
      </c>
      <c r="K1081" s="42">
        <v>0.0</v>
      </c>
      <c r="L1081" s="42">
        <v>0.0</v>
      </c>
      <c r="M1081" s="42">
        <v>0.0</v>
      </c>
      <c r="N1081" s="42">
        <v>0.0</v>
      </c>
      <c r="O1081" s="42">
        <v>0.0</v>
      </c>
      <c r="P1081" s="42">
        <v>0.0</v>
      </c>
      <c r="Q1081" s="42">
        <v>0.0</v>
      </c>
    </row>
    <row r="1082">
      <c r="A1082" s="47">
        <v>46198.0</v>
      </c>
      <c r="B1082" s="48">
        <v>0.7347222222222223</v>
      </c>
      <c r="C1082" s="37" t="s">
        <v>31</v>
      </c>
      <c r="D1082" s="37" t="s">
        <v>95</v>
      </c>
      <c r="E1082" s="37" t="s">
        <v>107</v>
      </c>
      <c r="F1082" s="38">
        <v>0.0</v>
      </c>
      <c r="G1082" s="38">
        <v>0.0</v>
      </c>
      <c r="H1082" s="38">
        <v>0.0</v>
      </c>
      <c r="I1082" s="38">
        <v>0.0</v>
      </c>
      <c r="J1082" s="38">
        <v>0.0</v>
      </c>
      <c r="K1082" s="38">
        <v>0.0</v>
      </c>
      <c r="L1082" s="38">
        <v>0.0</v>
      </c>
      <c r="M1082" s="38">
        <v>0.0</v>
      </c>
      <c r="N1082" s="38">
        <v>0.0</v>
      </c>
      <c r="O1082" s="38">
        <v>0.0</v>
      </c>
      <c r="P1082" s="38">
        <v>0.0</v>
      </c>
      <c r="Q1082" s="38">
        <v>0.0</v>
      </c>
    </row>
    <row r="1083">
      <c r="A1083" s="51">
        <v>46198.0</v>
      </c>
      <c r="B1083" s="52">
        <v>0.7347222222222223</v>
      </c>
      <c r="C1083" s="45" t="s">
        <v>96</v>
      </c>
      <c r="D1083" s="45" t="s">
        <v>75</v>
      </c>
      <c r="E1083" s="45" t="s">
        <v>52</v>
      </c>
      <c r="F1083" s="46">
        <v>12.0</v>
      </c>
      <c r="G1083" s="46">
        <v>5.0</v>
      </c>
      <c r="H1083" s="46">
        <v>1.0</v>
      </c>
      <c r="I1083" s="46">
        <v>0.0</v>
      </c>
      <c r="J1083" s="46">
        <v>0.0</v>
      </c>
      <c r="K1083" s="46">
        <v>12.0</v>
      </c>
      <c r="L1083" s="46">
        <v>12.0</v>
      </c>
      <c r="M1083" s="46">
        <v>0.0</v>
      </c>
      <c r="N1083" s="46">
        <v>0.0</v>
      </c>
      <c r="O1083" s="46">
        <v>0.0</v>
      </c>
      <c r="P1083" s="46">
        <v>5.0</v>
      </c>
      <c r="Q1083" s="46">
        <v>5.0</v>
      </c>
    </row>
    <row r="1084">
      <c r="A1084" s="51">
        <v>46198.0</v>
      </c>
      <c r="B1084" s="52">
        <v>0.7347222222222223</v>
      </c>
      <c r="C1084" s="45" t="s">
        <v>96</v>
      </c>
      <c r="D1084" s="45" t="s">
        <v>75</v>
      </c>
      <c r="E1084" s="45" t="s">
        <v>88</v>
      </c>
      <c r="F1084" s="46">
        <v>0.0</v>
      </c>
      <c r="G1084" s="46">
        <v>0.0</v>
      </c>
      <c r="H1084" s="46">
        <v>0.0</v>
      </c>
      <c r="I1084" s="46">
        <v>0.0</v>
      </c>
      <c r="J1084" s="46">
        <v>0.0</v>
      </c>
      <c r="K1084" s="46">
        <v>0.0</v>
      </c>
      <c r="L1084" s="46">
        <v>0.0</v>
      </c>
      <c r="M1084" s="46">
        <v>0.0</v>
      </c>
      <c r="N1084" s="46">
        <v>0.0</v>
      </c>
      <c r="O1084" s="46">
        <v>0.0</v>
      </c>
      <c r="P1084" s="46">
        <v>0.0</v>
      </c>
      <c r="Q1084" s="46">
        <v>0.0</v>
      </c>
    </row>
    <row r="1085">
      <c r="A1085" s="51">
        <v>46198.0</v>
      </c>
      <c r="B1085" s="52">
        <v>0.7347222222222223</v>
      </c>
      <c r="C1085" s="45" t="s">
        <v>96</v>
      </c>
      <c r="D1085" s="45" t="s">
        <v>75</v>
      </c>
      <c r="E1085" s="45" t="s">
        <v>89</v>
      </c>
      <c r="F1085" s="46">
        <v>1.0</v>
      </c>
      <c r="G1085" s="46">
        <v>0.0</v>
      </c>
      <c r="H1085" s="46">
        <v>0.0</v>
      </c>
      <c r="I1085" s="46">
        <v>0.0</v>
      </c>
      <c r="J1085" s="46">
        <v>0.0</v>
      </c>
      <c r="K1085" s="46">
        <v>1.0</v>
      </c>
      <c r="L1085" s="46">
        <v>1.0</v>
      </c>
      <c r="M1085" s="46">
        <v>0.0</v>
      </c>
      <c r="N1085" s="46">
        <v>0.0</v>
      </c>
      <c r="O1085" s="46">
        <v>0.0</v>
      </c>
      <c r="P1085" s="46">
        <v>0.0</v>
      </c>
      <c r="Q1085" s="46">
        <v>0.0</v>
      </c>
    </row>
    <row r="1086">
      <c r="A1086" s="51">
        <v>46198.0</v>
      </c>
      <c r="B1086" s="52">
        <v>0.7347222222222223</v>
      </c>
      <c r="C1086" s="45" t="s">
        <v>96</v>
      </c>
      <c r="D1086" s="45" t="s">
        <v>75</v>
      </c>
      <c r="E1086" s="45" t="s">
        <v>50</v>
      </c>
      <c r="F1086" s="46">
        <v>1.0</v>
      </c>
      <c r="G1086" s="46">
        <v>1.0</v>
      </c>
      <c r="H1086" s="46">
        <v>0.0</v>
      </c>
      <c r="I1086" s="46">
        <v>0.0</v>
      </c>
      <c r="J1086" s="46">
        <v>0.0</v>
      </c>
      <c r="K1086" s="46">
        <v>0.0</v>
      </c>
      <c r="L1086" s="46">
        <v>0.0</v>
      </c>
      <c r="M1086" s="46">
        <v>0.0</v>
      </c>
      <c r="N1086" s="46">
        <v>0.0</v>
      </c>
      <c r="O1086" s="46">
        <v>0.0</v>
      </c>
      <c r="P1086" s="46">
        <v>0.0</v>
      </c>
      <c r="Q1086" s="46">
        <v>0.0</v>
      </c>
    </row>
    <row r="1087">
      <c r="A1087" s="51">
        <v>46198.0</v>
      </c>
      <c r="B1087" s="52">
        <v>0.7347222222222223</v>
      </c>
      <c r="C1087" s="45" t="s">
        <v>96</v>
      </c>
      <c r="D1087" s="45" t="s">
        <v>75</v>
      </c>
      <c r="E1087" s="45" t="s">
        <v>90</v>
      </c>
      <c r="F1087" s="46">
        <v>0.0</v>
      </c>
      <c r="G1087" s="46">
        <v>0.0</v>
      </c>
      <c r="H1087" s="46">
        <v>0.0</v>
      </c>
      <c r="I1087" s="46">
        <v>0.0</v>
      </c>
      <c r="J1087" s="46">
        <v>0.0</v>
      </c>
      <c r="K1087" s="46">
        <v>0.0</v>
      </c>
      <c r="L1087" s="46">
        <v>0.0</v>
      </c>
      <c r="M1087" s="46">
        <v>0.0</v>
      </c>
      <c r="N1087" s="46">
        <v>0.0</v>
      </c>
      <c r="O1087" s="46">
        <v>0.0</v>
      </c>
      <c r="P1087" s="46">
        <v>0.0</v>
      </c>
      <c r="Q1087" s="46">
        <v>0.0</v>
      </c>
    </row>
    <row r="1088">
      <c r="A1088" s="51">
        <v>46198.0</v>
      </c>
      <c r="B1088" s="52">
        <v>0.7347222222222223</v>
      </c>
      <c r="C1088" s="45" t="s">
        <v>96</v>
      </c>
      <c r="D1088" s="45" t="s">
        <v>75</v>
      </c>
      <c r="E1088" s="45" t="s">
        <v>91</v>
      </c>
      <c r="F1088" s="46">
        <v>0.0</v>
      </c>
      <c r="G1088" s="46">
        <v>0.0</v>
      </c>
      <c r="H1088" s="46">
        <v>0.0</v>
      </c>
      <c r="I1088" s="46">
        <v>0.0</v>
      </c>
      <c r="J1088" s="46">
        <v>0.0</v>
      </c>
      <c r="K1088" s="46">
        <v>0.0</v>
      </c>
      <c r="L1088" s="46">
        <v>0.0</v>
      </c>
      <c r="M1088" s="46">
        <v>0.0</v>
      </c>
      <c r="N1088" s="46">
        <v>0.0</v>
      </c>
      <c r="O1088" s="46">
        <v>0.0</v>
      </c>
      <c r="P1088" s="46">
        <v>0.0</v>
      </c>
      <c r="Q1088" s="46">
        <v>0.0</v>
      </c>
    </row>
    <row r="1089">
      <c r="A1089" s="51">
        <v>46198.0</v>
      </c>
      <c r="B1089" s="52">
        <v>0.7347222222222223</v>
      </c>
      <c r="C1089" s="45" t="s">
        <v>96</v>
      </c>
      <c r="D1089" s="45" t="s">
        <v>75</v>
      </c>
      <c r="E1089" s="45" t="s">
        <v>92</v>
      </c>
      <c r="F1089" s="46">
        <v>0.0</v>
      </c>
      <c r="G1089" s="46">
        <v>0.0</v>
      </c>
      <c r="H1089" s="46">
        <v>0.0</v>
      </c>
      <c r="I1089" s="46">
        <v>0.0</v>
      </c>
      <c r="J1089" s="46">
        <v>0.0</v>
      </c>
      <c r="K1089" s="46">
        <v>0.0</v>
      </c>
      <c r="L1089" s="46">
        <v>0.0</v>
      </c>
      <c r="M1089" s="46">
        <v>0.0</v>
      </c>
      <c r="N1089" s="46">
        <v>0.0</v>
      </c>
      <c r="O1089" s="46">
        <v>0.0</v>
      </c>
      <c r="P1089" s="46">
        <v>0.0</v>
      </c>
      <c r="Q1089" s="46">
        <v>0.0</v>
      </c>
    </row>
    <row r="1090">
      <c r="A1090" s="51">
        <v>46198.0</v>
      </c>
      <c r="B1090" s="52">
        <v>0.7347222222222223</v>
      </c>
      <c r="C1090" s="45" t="s">
        <v>96</v>
      </c>
      <c r="D1090" s="45" t="s">
        <v>75</v>
      </c>
      <c r="E1090" s="45" t="s">
        <v>106</v>
      </c>
      <c r="F1090" s="46">
        <v>2.0</v>
      </c>
      <c r="G1090" s="46">
        <v>0.0</v>
      </c>
      <c r="H1090" s="46">
        <v>0.0</v>
      </c>
      <c r="I1090" s="46">
        <v>0.0</v>
      </c>
      <c r="J1090" s="46">
        <v>0.0</v>
      </c>
      <c r="K1090" s="46">
        <v>2.0</v>
      </c>
      <c r="L1090" s="46">
        <v>2.0</v>
      </c>
      <c r="M1090" s="46">
        <v>0.0</v>
      </c>
      <c r="N1090" s="46">
        <v>0.0</v>
      </c>
      <c r="O1090" s="46">
        <v>0.0</v>
      </c>
      <c r="P1090" s="46">
        <v>0.0</v>
      </c>
      <c r="Q1090" s="46">
        <v>0.0</v>
      </c>
    </row>
    <row r="1091">
      <c r="A1091" s="51">
        <v>46198.0</v>
      </c>
      <c r="B1091" s="52">
        <v>0.7347222222222223</v>
      </c>
      <c r="C1091" s="45" t="s">
        <v>96</v>
      </c>
      <c r="D1091" s="45" t="s">
        <v>75</v>
      </c>
      <c r="E1091" s="45" t="s">
        <v>107</v>
      </c>
      <c r="F1091" s="46">
        <v>0.0</v>
      </c>
      <c r="G1091" s="46">
        <v>0.0</v>
      </c>
      <c r="H1091" s="46">
        <v>0.0</v>
      </c>
      <c r="I1091" s="46">
        <v>0.0</v>
      </c>
      <c r="J1091" s="46">
        <v>0.0</v>
      </c>
      <c r="K1091" s="46">
        <v>0.0</v>
      </c>
      <c r="L1091" s="46">
        <v>0.0</v>
      </c>
      <c r="M1091" s="46">
        <v>0.0</v>
      </c>
      <c r="N1091" s="46">
        <v>0.0</v>
      </c>
      <c r="O1091" s="46">
        <v>0.0</v>
      </c>
      <c r="P1091" s="46">
        <v>0.0</v>
      </c>
      <c r="Q1091" s="46">
        <v>0.0</v>
      </c>
    </row>
    <row r="1092">
      <c r="A1092" s="47">
        <v>46199.0</v>
      </c>
      <c r="B1092" s="48">
        <v>0.3736111111111111</v>
      </c>
      <c r="C1092" s="37" t="s">
        <v>15</v>
      </c>
      <c r="D1092" s="37" t="s">
        <v>87</v>
      </c>
      <c r="E1092" s="37" t="s">
        <v>52</v>
      </c>
      <c r="F1092" s="38">
        <v>5.0</v>
      </c>
      <c r="G1092" s="38">
        <v>2.0</v>
      </c>
      <c r="H1092" s="38">
        <v>1.0</v>
      </c>
      <c r="I1092" s="38">
        <v>1.0</v>
      </c>
      <c r="J1092" s="38">
        <v>0.0</v>
      </c>
      <c r="K1092" s="38">
        <v>3.0</v>
      </c>
      <c r="L1092" s="38">
        <v>5.0</v>
      </c>
      <c r="M1092" s="38">
        <v>0.0</v>
      </c>
      <c r="N1092" s="38">
        <v>0.0</v>
      </c>
      <c r="O1092" s="38">
        <v>0.0</v>
      </c>
      <c r="P1092" s="38">
        <v>1.0</v>
      </c>
      <c r="Q1092" s="38">
        <v>2.0</v>
      </c>
    </row>
    <row r="1093">
      <c r="A1093" s="49">
        <v>46199.0</v>
      </c>
      <c r="B1093" s="50">
        <v>0.3736111111111111</v>
      </c>
      <c r="C1093" s="41" t="s">
        <v>15</v>
      </c>
      <c r="D1093" s="41" t="s">
        <v>87</v>
      </c>
      <c r="E1093" s="41" t="s">
        <v>88</v>
      </c>
      <c r="F1093" s="42">
        <v>0.0</v>
      </c>
      <c r="G1093" s="42">
        <v>0.0</v>
      </c>
      <c r="H1093" s="42">
        <v>0.0</v>
      </c>
      <c r="I1093" s="42">
        <v>0.0</v>
      </c>
      <c r="J1093" s="42">
        <v>0.0</v>
      </c>
      <c r="K1093" s="42">
        <v>0.0</v>
      </c>
      <c r="L1093" s="42">
        <v>0.0</v>
      </c>
      <c r="M1093" s="42">
        <v>0.0</v>
      </c>
      <c r="N1093" s="42">
        <v>0.0</v>
      </c>
      <c r="O1093" s="42">
        <v>0.0</v>
      </c>
      <c r="P1093" s="42">
        <v>0.0</v>
      </c>
      <c r="Q1093" s="42">
        <v>0.0</v>
      </c>
    </row>
    <row r="1094">
      <c r="A1094" s="47">
        <v>46199.0</v>
      </c>
      <c r="B1094" s="48">
        <v>0.3736111111111111</v>
      </c>
      <c r="C1094" s="37" t="s">
        <v>15</v>
      </c>
      <c r="D1094" s="37" t="s">
        <v>87</v>
      </c>
      <c r="E1094" s="37" t="s">
        <v>89</v>
      </c>
      <c r="F1094" s="38">
        <v>0.0</v>
      </c>
      <c r="G1094" s="38">
        <v>0.0</v>
      </c>
      <c r="H1094" s="38">
        <v>0.0</v>
      </c>
      <c r="I1094" s="38">
        <v>0.0</v>
      </c>
      <c r="J1094" s="38">
        <v>0.0</v>
      </c>
      <c r="K1094" s="38">
        <v>0.0</v>
      </c>
      <c r="L1094" s="38">
        <v>0.0</v>
      </c>
      <c r="M1094" s="38">
        <v>0.0</v>
      </c>
      <c r="N1094" s="38">
        <v>0.0</v>
      </c>
      <c r="O1094" s="38">
        <v>0.0</v>
      </c>
      <c r="P1094" s="38">
        <v>0.0</v>
      </c>
      <c r="Q1094" s="38">
        <v>0.0</v>
      </c>
    </row>
    <row r="1095">
      <c r="A1095" s="49">
        <v>46199.0</v>
      </c>
      <c r="B1095" s="50">
        <v>0.3736111111111111</v>
      </c>
      <c r="C1095" s="41" t="s">
        <v>15</v>
      </c>
      <c r="D1095" s="41" t="s">
        <v>87</v>
      </c>
      <c r="E1095" s="41" t="s">
        <v>50</v>
      </c>
      <c r="F1095" s="42">
        <v>0.0</v>
      </c>
      <c r="G1095" s="42">
        <v>0.0</v>
      </c>
      <c r="H1095" s="42">
        <v>0.0</v>
      </c>
      <c r="I1095" s="42">
        <v>0.0</v>
      </c>
      <c r="J1095" s="42">
        <v>0.0</v>
      </c>
      <c r="K1095" s="42">
        <v>0.0</v>
      </c>
      <c r="L1095" s="42">
        <v>0.0</v>
      </c>
      <c r="M1095" s="42">
        <v>0.0</v>
      </c>
      <c r="N1095" s="42">
        <v>0.0</v>
      </c>
      <c r="O1095" s="42">
        <v>0.0</v>
      </c>
      <c r="P1095" s="42">
        <v>0.0</v>
      </c>
      <c r="Q1095" s="42">
        <v>0.0</v>
      </c>
    </row>
    <row r="1096">
      <c r="A1096" s="47">
        <v>46199.0</v>
      </c>
      <c r="B1096" s="48">
        <v>0.3736111111111111</v>
      </c>
      <c r="C1096" s="37" t="s">
        <v>15</v>
      </c>
      <c r="D1096" s="37" t="s">
        <v>87</v>
      </c>
      <c r="E1096" s="37" t="s">
        <v>90</v>
      </c>
      <c r="F1096" s="38">
        <v>0.0</v>
      </c>
      <c r="G1096" s="38">
        <v>0.0</v>
      </c>
      <c r="H1096" s="38">
        <v>0.0</v>
      </c>
      <c r="I1096" s="38">
        <v>0.0</v>
      </c>
      <c r="J1096" s="38">
        <v>0.0</v>
      </c>
      <c r="K1096" s="38">
        <v>0.0</v>
      </c>
      <c r="L1096" s="38">
        <v>0.0</v>
      </c>
      <c r="M1096" s="38">
        <v>0.0</v>
      </c>
      <c r="N1096" s="38">
        <v>0.0</v>
      </c>
      <c r="O1096" s="38">
        <v>0.0</v>
      </c>
      <c r="P1096" s="38">
        <v>0.0</v>
      </c>
      <c r="Q1096" s="38">
        <v>0.0</v>
      </c>
    </row>
    <row r="1097">
      <c r="A1097" s="49">
        <v>46199.0</v>
      </c>
      <c r="B1097" s="50">
        <v>0.3736111111111111</v>
      </c>
      <c r="C1097" s="41" t="s">
        <v>15</v>
      </c>
      <c r="D1097" s="41" t="s">
        <v>87</v>
      </c>
      <c r="E1097" s="41" t="s">
        <v>91</v>
      </c>
      <c r="F1097" s="42">
        <v>0.0</v>
      </c>
      <c r="G1097" s="42">
        <v>0.0</v>
      </c>
      <c r="H1097" s="42">
        <v>0.0</v>
      </c>
      <c r="I1097" s="42">
        <v>0.0</v>
      </c>
      <c r="J1097" s="42">
        <v>0.0</v>
      </c>
      <c r="K1097" s="42">
        <v>0.0</v>
      </c>
      <c r="L1097" s="42">
        <v>0.0</v>
      </c>
      <c r="M1097" s="42">
        <v>0.0</v>
      </c>
      <c r="N1097" s="42">
        <v>0.0</v>
      </c>
      <c r="O1097" s="42">
        <v>0.0</v>
      </c>
      <c r="P1097" s="42">
        <v>0.0</v>
      </c>
      <c r="Q1097" s="42">
        <v>0.0</v>
      </c>
    </row>
    <row r="1098">
      <c r="A1098" s="47">
        <v>46199.0</v>
      </c>
      <c r="B1098" s="48">
        <v>0.3736111111111111</v>
      </c>
      <c r="C1098" s="37" t="s">
        <v>15</v>
      </c>
      <c r="D1098" s="37" t="s">
        <v>87</v>
      </c>
      <c r="E1098" s="37" t="s">
        <v>92</v>
      </c>
      <c r="F1098" s="38">
        <v>0.0</v>
      </c>
      <c r="G1098" s="38">
        <v>0.0</v>
      </c>
      <c r="H1098" s="38">
        <v>0.0</v>
      </c>
      <c r="I1098" s="38">
        <v>0.0</v>
      </c>
      <c r="J1098" s="38">
        <v>0.0</v>
      </c>
      <c r="K1098" s="38">
        <v>0.0</v>
      </c>
      <c r="L1098" s="38">
        <v>0.0</v>
      </c>
      <c r="M1098" s="38">
        <v>0.0</v>
      </c>
      <c r="N1098" s="38">
        <v>0.0</v>
      </c>
      <c r="O1098" s="38">
        <v>0.0</v>
      </c>
      <c r="P1098" s="38">
        <v>0.0</v>
      </c>
      <c r="Q1098" s="38">
        <v>0.0</v>
      </c>
    </row>
    <row r="1099">
      <c r="A1099" s="49">
        <v>46199.0</v>
      </c>
      <c r="B1099" s="50">
        <v>0.3736111111111111</v>
      </c>
      <c r="C1099" s="41" t="s">
        <v>15</v>
      </c>
      <c r="D1099" s="41" t="s">
        <v>87</v>
      </c>
      <c r="E1099" s="41" t="s">
        <v>106</v>
      </c>
      <c r="F1099" s="42">
        <v>0.0</v>
      </c>
      <c r="G1099" s="42">
        <v>0.0</v>
      </c>
      <c r="H1099" s="42">
        <v>0.0</v>
      </c>
      <c r="I1099" s="42">
        <v>0.0</v>
      </c>
      <c r="J1099" s="42">
        <v>0.0</v>
      </c>
      <c r="K1099" s="42">
        <v>0.0</v>
      </c>
      <c r="L1099" s="42">
        <v>0.0</v>
      </c>
      <c r="M1099" s="42">
        <v>0.0</v>
      </c>
      <c r="N1099" s="42">
        <v>0.0</v>
      </c>
      <c r="O1099" s="42">
        <v>0.0</v>
      </c>
      <c r="P1099" s="42">
        <v>0.0</v>
      </c>
      <c r="Q1099" s="42">
        <v>0.0</v>
      </c>
    </row>
    <row r="1100">
      <c r="A1100" s="47">
        <v>46199.0</v>
      </c>
      <c r="B1100" s="48">
        <v>0.3736111111111111</v>
      </c>
      <c r="C1100" s="37" t="s">
        <v>15</v>
      </c>
      <c r="D1100" s="37" t="s">
        <v>87</v>
      </c>
      <c r="E1100" s="37" t="s">
        <v>107</v>
      </c>
      <c r="F1100" s="38">
        <v>0.0</v>
      </c>
      <c r="G1100" s="38">
        <v>0.0</v>
      </c>
      <c r="H1100" s="38">
        <v>0.0</v>
      </c>
      <c r="I1100" s="38">
        <v>0.0</v>
      </c>
      <c r="J1100" s="38">
        <v>0.0</v>
      </c>
      <c r="K1100" s="38">
        <v>0.0</v>
      </c>
      <c r="L1100" s="38">
        <v>0.0</v>
      </c>
      <c r="M1100" s="38">
        <v>0.0</v>
      </c>
      <c r="N1100" s="38">
        <v>0.0</v>
      </c>
      <c r="O1100" s="38">
        <v>0.0</v>
      </c>
      <c r="P1100" s="38">
        <v>0.0</v>
      </c>
      <c r="Q1100" s="38">
        <v>0.0</v>
      </c>
    </row>
    <row r="1101">
      <c r="A1101" s="49">
        <v>46199.0</v>
      </c>
      <c r="B1101" s="50">
        <v>0.3736111111111111</v>
      </c>
      <c r="C1101" s="41" t="s">
        <v>23</v>
      </c>
      <c r="D1101" s="41" t="s">
        <v>93</v>
      </c>
      <c r="E1101" s="41" t="s">
        <v>52</v>
      </c>
      <c r="F1101" s="42">
        <v>1.0</v>
      </c>
      <c r="G1101" s="42">
        <v>1.0</v>
      </c>
      <c r="H1101" s="42">
        <v>0.0</v>
      </c>
      <c r="I1101" s="42">
        <v>0.0</v>
      </c>
      <c r="J1101" s="42">
        <v>0.0</v>
      </c>
      <c r="K1101" s="42">
        <v>1.0</v>
      </c>
      <c r="L1101" s="42">
        <v>1.0</v>
      </c>
      <c r="M1101" s="42">
        <v>0.0</v>
      </c>
      <c r="N1101" s="42">
        <v>0.0</v>
      </c>
      <c r="O1101" s="42">
        <v>0.0</v>
      </c>
      <c r="P1101" s="42">
        <v>1.0</v>
      </c>
      <c r="Q1101" s="42">
        <v>1.0</v>
      </c>
    </row>
    <row r="1102">
      <c r="A1102" s="47">
        <v>46199.0</v>
      </c>
      <c r="B1102" s="48">
        <v>0.3736111111111111</v>
      </c>
      <c r="C1102" s="37" t="s">
        <v>23</v>
      </c>
      <c r="D1102" s="37" t="s">
        <v>93</v>
      </c>
      <c r="E1102" s="37" t="s">
        <v>88</v>
      </c>
      <c r="F1102" s="38">
        <v>0.0</v>
      </c>
      <c r="G1102" s="38">
        <v>0.0</v>
      </c>
      <c r="H1102" s="38">
        <v>0.0</v>
      </c>
      <c r="I1102" s="38">
        <v>0.0</v>
      </c>
      <c r="J1102" s="38">
        <v>0.0</v>
      </c>
      <c r="K1102" s="38">
        <v>0.0</v>
      </c>
      <c r="L1102" s="38">
        <v>0.0</v>
      </c>
      <c r="M1102" s="38">
        <v>0.0</v>
      </c>
      <c r="N1102" s="38">
        <v>0.0</v>
      </c>
      <c r="O1102" s="38">
        <v>0.0</v>
      </c>
      <c r="P1102" s="38">
        <v>0.0</v>
      </c>
      <c r="Q1102" s="38">
        <v>0.0</v>
      </c>
    </row>
    <row r="1103">
      <c r="A1103" s="49">
        <v>46199.0</v>
      </c>
      <c r="B1103" s="50">
        <v>0.3736111111111111</v>
      </c>
      <c r="C1103" s="41" t="s">
        <v>23</v>
      </c>
      <c r="D1103" s="41" t="s">
        <v>93</v>
      </c>
      <c r="E1103" s="41" t="s">
        <v>89</v>
      </c>
      <c r="F1103" s="42">
        <v>0.0</v>
      </c>
      <c r="G1103" s="42">
        <v>0.0</v>
      </c>
      <c r="H1103" s="42">
        <v>0.0</v>
      </c>
      <c r="I1103" s="42">
        <v>0.0</v>
      </c>
      <c r="J1103" s="42">
        <v>0.0</v>
      </c>
      <c r="K1103" s="42">
        <v>0.0</v>
      </c>
      <c r="L1103" s="42">
        <v>0.0</v>
      </c>
      <c r="M1103" s="42">
        <v>0.0</v>
      </c>
      <c r="N1103" s="42">
        <v>0.0</v>
      </c>
      <c r="O1103" s="42">
        <v>0.0</v>
      </c>
      <c r="P1103" s="42">
        <v>0.0</v>
      </c>
      <c r="Q1103" s="42">
        <v>0.0</v>
      </c>
    </row>
    <row r="1104">
      <c r="A1104" s="47">
        <v>46199.0</v>
      </c>
      <c r="B1104" s="48">
        <v>0.3736111111111111</v>
      </c>
      <c r="C1104" s="37" t="s">
        <v>23</v>
      </c>
      <c r="D1104" s="37" t="s">
        <v>93</v>
      </c>
      <c r="E1104" s="37" t="s">
        <v>50</v>
      </c>
      <c r="F1104" s="38">
        <v>0.0</v>
      </c>
      <c r="G1104" s="38">
        <v>0.0</v>
      </c>
      <c r="H1104" s="38">
        <v>0.0</v>
      </c>
      <c r="I1104" s="38">
        <v>0.0</v>
      </c>
      <c r="J1104" s="38">
        <v>0.0</v>
      </c>
      <c r="K1104" s="38">
        <v>0.0</v>
      </c>
      <c r="L1104" s="38">
        <v>0.0</v>
      </c>
      <c r="M1104" s="38">
        <v>0.0</v>
      </c>
      <c r="N1104" s="38">
        <v>0.0</v>
      </c>
      <c r="O1104" s="38">
        <v>0.0</v>
      </c>
      <c r="P1104" s="38">
        <v>0.0</v>
      </c>
      <c r="Q1104" s="38">
        <v>0.0</v>
      </c>
    </row>
    <row r="1105">
      <c r="A1105" s="49">
        <v>46199.0</v>
      </c>
      <c r="B1105" s="50">
        <v>0.3736111111111111</v>
      </c>
      <c r="C1105" s="41" t="s">
        <v>23</v>
      </c>
      <c r="D1105" s="41" t="s">
        <v>93</v>
      </c>
      <c r="E1105" s="41" t="s">
        <v>90</v>
      </c>
      <c r="F1105" s="42">
        <v>0.0</v>
      </c>
      <c r="G1105" s="42">
        <v>0.0</v>
      </c>
      <c r="H1105" s="42">
        <v>0.0</v>
      </c>
      <c r="I1105" s="42">
        <v>0.0</v>
      </c>
      <c r="J1105" s="42">
        <v>0.0</v>
      </c>
      <c r="K1105" s="42">
        <v>0.0</v>
      </c>
      <c r="L1105" s="42">
        <v>0.0</v>
      </c>
      <c r="M1105" s="42">
        <v>0.0</v>
      </c>
      <c r="N1105" s="42">
        <v>0.0</v>
      </c>
      <c r="O1105" s="42">
        <v>0.0</v>
      </c>
      <c r="P1105" s="42">
        <v>0.0</v>
      </c>
      <c r="Q1105" s="42">
        <v>0.0</v>
      </c>
    </row>
    <row r="1106">
      <c r="A1106" s="47">
        <v>46199.0</v>
      </c>
      <c r="B1106" s="48">
        <v>0.3736111111111111</v>
      </c>
      <c r="C1106" s="37" t="s">
        <v>23</v>
      </c>
      <c r="D1106" s="37" t="s">
        <v>93</v>
      </c>
      <c r="E1106" s="37" t="s">
        <v>91</v>
      </c>
      <c r="F1106" s="38">
        <v>0.0</v>
      </c>
      <c r="G1106" s="38">
        <v>0.0</v>
      </c>
      <c r="H1106" s="38">
        <v>0.0</v>
      </c>
      <c r="I1106" s="38">
        <v>0.0</v>
      </c>
      <c r="J1106" s="38">
        <v>0.0</v>
      </c>
      <c r="K1106" s="38">
        <v>0.0</v>
      </c>
      <c r="L1106" s="38">
        <v>0.0</v>
      </c>
      <c r="M1106" s="38">
        <v>0.0</v>
      </c>
      <c r="N1106" s="38">
        <v>0.0</v>
      </c>
      <c r="O1106" s="38">
        <v>0.0</v>
      </c>
      <c r="P1106" s="38">
        <v>0.0</v>
      </c>
      <c r="Q1106" s="38">
        <v>0.0</v>
      </c>
    </row>
    <row r="1107">
      <c r="A1107" s="49">
        <v>46199.0</v>
      </c>
      <c r="B1107" s="50">
        <v>0.3736111111111111</v>
      </c>
      <c r="C1107" s="41" t="s">
        <v>23</v>
      </c>
      <c r="D1107" s="41" t="s">
        <v>93</v>
      </c>
      <c r="E1107" s="41" t="s">
        <v>92</v>
      </c>
      <c r="F1107" s="42">
        <v>0.0</v>
      </c>
      <c r="G1107" s="42">
        <v>0.0</v>
      </c>
      <c r="H1107" s="42">
        <v>0.0</v>
      </c>
      <c r="I1107" s="42">
        <v>0.0</v>
      </c>
      <c r="J1107" s="42">
        <v>0.0</v>
      </c>
      <c r="K1107" s="42">
        <v>0.0</v>
      </c>
      <c r="L1107" s="42">
        <v>0.0</v>
      </c>
      <c r="M1107" s="42">
        <v>0.0</v>
      </c>
      <c r="N1107" s="42">
        <v>0.0</v>
      </c>
      <c r="O1107" s="42">
        <v>0.0</v>
      </c>
      <c r="P1107" s="42">
        <v>0.0</v>
      </c>
      <c r="Q1107" s="42">
        <v>0.0</v>
      </c>
    </row>
    <row r="1108">
      <c r="A1108" s="47">
        <v>46199.0</v>
      </c>
      <c r="B1108" s="48">
        <v>0.3736111111111111</v>
      </c>
      <c r="C1108" s="37" t="s">
        <v>23</v>
      </c>
      <c r="D1108" s="37" t="s">
        <v>93</v>
      </c>
      <c r="E1108" s="37" t="s">
        <v>106</v>
      </c>
      <c r="F1108" s="38">
        <v>0.0</v>
      </c>
      <c r="G1108" s="38">
        <v>0.0</v>
      </c>
      <c r="H1108" s="38">
        <v>0.0</v>
      </c>
      <c r="I1108" s="38">
        <v>0.0</v>
      </c>
      <c r="J1108" s="38">
        <v>0.0</v>
      </c>
      <c r="K1108" s="38">
        <v>0.0</v>
      </c>
      <c r="L1108" s="38">
        <v>0.0</v>
      </c>
      <c r="M1108" s="38">
        <v>0.0</v>
      </c>
      <c r="N1108" s="38">
        <v>0.0</v>
      </c>
      <c r="O1108" s="38">
        <v>0.0</v>
      </c>
      <c r="P1108" s="38">
        <v>0.0</v>
      </c>
      <c r="Q1108" s="38">
        <v>0.0</v>
      </c>
    </row>
    <row r="1109">
      <c r="A1109" s="49">
        <v>46199.0</v>
      </c>
      <c r="B1109" s="50">
        <v>0.3736111111111111</v>
      </c>
      <c r="C1109" s="41" t="s">
        <v>23</v>
      </c>
      <c r="D1109" s="41" t="s">
        <v>93</v>
      </c>
      <c r="E1109" s="41" t="s">
        <v>107</v>
      </c>
      <c r="F1109" s="42">
        <v>0.0</v>
      </c>
      <c r="G1109" s="42">
        <v>0.0</v>
      </c>
      <c r="H1109" s="42">
        <v>0.0</v>
      </c>
      <c r="I1109" s="42">
        <v>0.0</v>
      </c>
      <c r="J1109" s="42">
        <v>0.0</v>
      </c>
      <c r="K1109" s="42">
        <v>0.0</v>
      </c>
      <c r="L1109" s="42">
        <v>0.0</v>
      </c>
      <c r="M1109" s="42">
        <v>0.0</v>
      </c>
      <c r="N1109" s="42">
        <v>0.0</v>
      </c>
      <c r="O1109" s="42">
        <v>0.0</v>
      </c>
      <c r="P1109" s="42">
        <v>0.0</v>
      </c>
      <c r="Q1109" s="42">
        <v>0.0</v>
      </c>
    </row>
    <row r="1110">
      <c r="A1110" s="47">
        <v>46199.0</v>
      </c>
      <c r="B1110" s="48">
        <v>0.3736111111111111</v>
      </c>
      <c r="C1110" s="37" t="s">
        <v>29</v>
      </c>
      <c r="D1110" s="37" t="s">
        <v>94</v>
      </c>
      <c r="E1110" s="37" t="s">
        <v>52</v>
      </c>
      <c r="F1110" s="38">
        <v>7.0</v>
      </c>
      <c r="G1110" s="38">
        <v>3.0</v>
      </c>
      <c r="H1110" s="38">
        <v>1.0</v>
      </c>
      <c r="I1110" s="38">
        <v>0.0</v>
      </c>
      <c r="J1110" s="38">
        <v>0.0</v>
      </c>
      <c r="K1110" s="38">
        <v>7.0</v>
      </c>
      <c r="L1110" s="38">
        <v>7.0</v>
      </c>
      <c r="M1110" s="38">
        <v>0.0</v>
      </c>
      <c r="N1110" s="38">
        <v>0.0</v>
      </c>
      <c r="O1110" s="38">
        <v>0.0</v>
      </c>
      <c r="P1110" s="38">
        <v>3.0</v>
      </c>
      <c r="Q1110" s="38">
        <v>3.0</v>
      </c>
    </row>
    <row r="1111">
      <c r="A1111" s="49">
        <v>46199.0</v>
      </c>
      <c r="B1111" s="50">
        <v>0.3736111111111111</v>
      </c>
      <c r="C1111" s="41" t="s">
        <v>29</v>
      </c>
      <c r="D1111" s="41" t="s">
        <v>94</v>
      </c>
      <c r="E1111" s="41" t="s">
        <v>88</v>
      </c>
      <c r="F1111" s="42">
        <v>0.0</v>
      </c>
      <c r="G1111" s="42">
        <v>0.0</v>
      </c>
      <c r="H1111" s="42">
        <v>0.0</v>
      </c>
      <c r="I1111" s="42">
        <v>0.0</v>
      </c>
      <c r="J1111" s="42">
        <v>0.0</v>
      </c>
      <c r="K1111" s="42">
        <v>0.0</v>
      </c>
      <c r="L1111" s="42">
        <v>0.0</v>
      </c>
      <c r="M1111" s="42">
        <v>0.0</v>
      </c>
      <c r="N1111" s="42">
        <v>0.0</v>
      </c>
      <c r="O1111" s="42">
        <v>0.0</v>
      </c>
      <c r="P1111" s="42">
        <v>0.0</v>
      </c>
      <c r="Q1111" s="42">
        <v>0.0</v>
      </c>
    </row>
    <row r="1112">
      <c r="A1112" s="47">
        <v>46199.0</v>
      </c>
      <c r="B1112" s="48">
        <v>0.3736111111111111</v>
      </c>
      <c r="C1112" s="37" t="s">
        <v>29</v>
      </c>
      <c r="D1112" s="37" t="s">
        <v>94</v>
      </c>
      <c r="E1112" s="37" t="s">
        <v>89</v>
      </c>
      <c r="F1112" s="38">
        <v>1.0</v>
      </c>
      <c r="G1112" s="38">
        <v>0.0</v>
      </c>
      <c r="H1112" s="38">
        <v>0.0</v>
      </c>
      <c r="I1112" s="38">
        <v>0.0</v>
      </c>
      <c r="J1112" s="38">
        <v>0.0</v>
      </c>
      <c r="K1112" s="38">
        <v>1.0</v>
      </c>
      <c r="L1112" s="38">
        <v>1.0</v>
      </c>
      <c r="M1112" s="38">
        <v>0.0</v>
      </c>
      <c r="N1112" s="38">
        <v>0.0</v>
      </c>
      <c r="O1112" s="38">
        <v>0.0</v>
      </c>
      <c r="P1112" s="38">
        <v>0.0</v>
      </c>
      <c r="Q1112" s="38">
        <v>0.0</v>
      </c>
    </row>
    <row r="1113">
      <c r="A1113" s="49">
        <v>46199.0</v>
      </c>
      <c r="B1113" s="50">
        <v>0.3736111111111111</v>
      </c>
      <c r="C1113" s="41" t="s">
        <v>29</v>
      </c>
      <c r="D1113" s="41" t="s">
        <v>94</v>
      </c>
      <c r="E1113" s="41" t="s">
        <v>50</v>
      </c>
      <c r="F1113" s="42">
        <v>0.0</v>
      </c>
      <c r="G1113" s="42">
        <v>0.0</v>
      </c>
      <c r="H1113" s="42">
        <v>0.0</v>
      </c>
      <c r="I1113" s="42">
        <v>0.0</v>
      </c>
      <c r="J1113" s="42">
        <v>0.0</v>
      </c>
      <c r="K1113" s="42">
        <v>0.0</v>
      </c>
      <c r="L1113" s="42">
        <v>0.0</v>
      </c>
      <c r="M1113" s="42">
        <v>0.0</v>
      </c>
      <c r="N1113" s="42">
        <v>0.0</v>
      </c>
      <c r="O1113" s="42">
        <v>0.0</v>
      </c>
      <c r="P1113" s="42">
        <v>0.0</v>
      </c>
      <c r="Q1113" s="42">
        <v>0.0</v>
      </c>
    </row>
    <row r="1114">
      <c r="A1114" s="47">
        <v>46199.0</v>
      </c>
      <c r="B1114" s="48">
        <v>0.3736111111111111</v>
      </c>
      <c r="C1114" s="37" t="s">
        <v>29</v>
      </c>
      <c r="D1114" s="37" t="s">
        <v>94</v>
      </c>
      <c r="E1114" s="37" t="s">
        <v>90</v>
      </c>
      <c r="F1114" s="38">
        <v>0.0</v>
      </c>
      <c r="G1114" s="38">
        <v>0.0</v>
      </c>
      <c r="H1114" s="38">
        <v>0.0</v>
      </c>
      <c r="I1114" s="38">
        <v>0.0</v>
      </c>
      <c r="J1114" s="38">
        <v>0.0</v>
      </c>
      <c r="K1114" s="38">
        <v>0.0</v>
      </c>
      <c r="L1114" s="38">
        <v>0.0</v>
      </c>
      <c r="M1114" s="38">
        <v>0.0</v>
      </c>
      <c r="N1114" s="38">
        <v>0.0</v>
      </c>
      <c r="O1114" s="38">
        <v>0.0</v>
      </c>
      <c r="P1114" s="38">
        <v>0.0</v>
      </c>
      <c r="Q1114" s="38">
        <v>0.0</v>
      </c>
    </row>
    <row r="1115">
      <c r="A1115" s="49">
        <v>46199.0</v>
      </c>
      <c r="B1115" s="50">
        <v>0.3736111111111111</v>
      </c>
      <c r="C1115" s="41" t="s">
        <v>29</v>
      </c>
      <c r="D1115" s="41" t="s">
        <v>94</v>
      </c>
      <c r="E1115" s="41" t="s">
        <v>91</v>
      </c>
      <c r="F1115" s="42">
        <v>0.0</v>
      </c>
      <c r="G1115" s="42">
        <v>0.0</v>
      </c>
      <c r="H1115" s="42">
        <v>0.0</v>
      </c>
      <c r="I1115" s="42">
        <v>0.0</v>
      </c>
      <c r="J1115" s="42">
        <v>0.0</v>
      </c>
      <c r="K1115" s="42">
        <v>0.0</v>
      </c>
      <c r="L1115" s="42">
        <v>0.0</v>
      </c>
      <c r="M1115" s="42">
        <v>0.0</v>
      </c>
      <c r="N1115" s="42">
        <v>0.0</v>
      </c>
      <c r="O1115" s="42">
        <v>0.0</v>
      </c>
      <c r="P1115" s="42">
        <v>0.0</v>
      </c>
      <c r="Q1115" s="42">
        <v>0.0</v>
      </c>
    </row>
    <row r="1116">
      <c r="A1116" s="47">
        <v>46199.0</v>
      </c>
      <c r="B1116" s="48">
        <v>0.3736111111111111</v>
      </c>
      <c r="C1116" s="37" t="s">
        <v>29</v>
      </c>
      <c r="D1116" s="37" t="s">
        <v>94</v>
      </c>
      <c r="E1116" s="37" t="s">
        <v>92</v>
      </c>
      <c r="F1116" s="38">
        <v>0.0</v>
      </c>
      <c r="G1116" s="38">
        <v>0.0</v>
      </c>
      <c r="H1116" s="38">
        <v>0.0</v>
      </c>
      <c r="I1116" s="38">
        <v>0.0</v>
      </c>
      <c r="J1116" s="38">
        <v>0.0</v>
      </c>
      <c r="K1116" s="38">
        <v>0.0</v>
      </c>
      <c r="L1116" s="38">
        <v>0.0</v>
      </c>
      <c r="M1116" s="38">
        <v>0.0</v>
      </c>
      <c r="N1116" s="38">
        <v>0.0</v>
      </c>
      <c r="O1116" s="38">
        <v>0.0</v>
      </c>
      <c r="P1116" s="38">
        <v>0.0</v>
      </c>
      <c r="Q1116" s="38">
        <v>0.0</v>
      </c>
    </row>
    <row r="1117">
      <c r="A1117" s="49">
        <v>46199.0</v>
      </c>
      <c r="B1117" s="50">
        <v>0.3736111111111111</v>
      </c>
      <c r="C1117" s="41" t="s">
        <v>29</v>
      </c>
      <c r="D1117" s="41" t="s">
        <v>94</v>
      </c>
      <c r="E1117" s="41" t="s">
        <v>106</v>
      </c>
      <c r="F1117" s="42">
        <v>2.0</v>
      </c>
      <c r="G1117" s="42">
        <v>0.0</v>
      </c>
      <c r="H1117" s="42">
        <v>1.0</v>
      </c>
      <c r="I1117" s="42">
        <v>0.0</v>
      </c>
      <c r="J1117" s="42">
        <v>0.0</v>
      </c>
      <c r="K1117" s="42">
        <v>2.0</v>
      </c>
      <c r="L1117" s="42">
        <v>2.0</v>
      </c>
      <c r="M1117" s="42">
        <v>0.0</v>
      </c>
      <c r="N1117" s="42">
        <v>0.0</v>
      </c>
      <c r="O1117" s="42">
        <v>0.0</v>
      </c>
      <c r="P1117" s="42">
        <v>0.0</v>
      </c>
      <c r="Q1117" s="42">
        <v>0.0</v>
      </c>
    </row>
    <row r="1118">
      <c r="A1118" s="47">
        <v>46199.0</v>
      </c>
      <c r="B1118" s="48">
        <v>0.3736111111111111</v>
      </c>
      <c r="C1118" s="37" t="s">
        <v>29</v>
      </c>
      <c r="D1118" s="37" t="s">
        <v>94</v>
      </c>
      <c r="E1118" s="37" t="s">
        <v>107</v>
      </c>
      <c r="F1118" s="38">
        <v>0.0</v>
      </c>
      <c r="G1118" s="38">
        <v>0.0</v>
      </c>
      <c r="H1118" s="38">
        <v>0.0</v>
      </c>
      <c r="I1118" s="38">
        <v>0.0</v>
      </c>
      <c r="J1118" s="38">
        <v>0.0</v>
      </c>
      <c r="K1118" s="38">
        <v>0.0</v>
      </c>
      <c r="L1118" s="38">
        <v>0.0</v>
      </c>
      <c r="M1118" s="38">
        <v>0.0</v>
      </c>
      <c r="N1118" s="38">
        <v>0.0</v>
      </c>
      <c r="O1118" s="38">
        <v>0.0</v>
      </c>
      <c r="P1118" s="38">
        <v>0.0</v>
      </c>
      <c r="Q1118" s="38">
        <v>0.0</v>
      </c>
    </row>
    <row r="1119">
      <c r="A1119" s="49">
        <v>46199.0</v>
      </c>
      <c r="B1119" s="50">
        <v>0.3736111111111111</v>
      </c>
      <c r="C1119" s="41" t="s">
        <v>31</v>
      </c>
      <c r="D1119" s="41" t="s">
        <v>95</v>
      </c>
      <c r="E1119" s="41" t="s">
        <v>52</v>
      </c>
      <c r="F1119" s="42">
        <v>0.0</v>
      </c>
      <c r="G1119" s="42">
        <v>0.0</v>
      </c>
      <c r="H1119" s="42">
        <v>0.0</v>
      </c>
      <c r="I1119" s="42">
        <v>0.0</v>
      </c>
      <c r="J1119" s="42">
        <v>0.0</v>
      </c>
      <c r="K1119" s="42">
        <v>0.0</v>
      </c>
      <c r="L1119" s="42">
        <v>0.0</v>
      </c>
      <c r="M1119" s="42">
        <v>0.0</v>
      </c>
      <c r="N1119" s="42">
        <v>0.0</v>
      </c>
      <c r="O1119" s="42">
        <v>0.0</v>
      </c>
      <c r="P1119" s="42">
        <v>0.0</v>
      </c>
      <c r="Q1119" s="42">
        <v>0.0</v>
      </c>
    </row>
    <row r="1120">
      <c r="A1120" s="47">
        <v>46199.0</v>
      </c>
      <c r="B1120" s="48">
        <v>0.3736111111111111</v>
      </c>
      <c r="C1120" s="37" t="s">
        <v>31</v>
      </c>
      <c r="D1120" s="37" t="s">
        <v>95</v>
      </c>
      <c r="E1120" s="37" t="s">
        <v>88</v>
      </c>
      <c r="F1120" s="38">
        <v>0.0</v>
      </c>
      <c r="G1120" s="38">
        <v>0.0</v>
      </c>
      <c r="H1120" s="38">
        <v>0.0</v>
      </c>
      <c r="I1120" s="38">
        <v>0.0</v>
      </c>
      <c r="J1120" s="38">
        <v>0.0</v>
      </c>
      <c r="K1120" s="38">
        <v>0.0</v>
      </c>
      <c r="L1120" s="38">
        <v>0.0</v>
      </c>
      <c r="M1120" s="38">
        <v>0.0</v>
      </c>
      <c r="N1120" s="38">
        <v>0.0</v>
      </c>
      <c r="O1120" s="38">
        <v>0.0</v>
      </c>
      <c r="P1120" s="38">
        <v>0.0</v>
      </c>
      <c r="Q1120" s="38">
        <v>0.0</v>
      </c>
    </row>
    <row r="1121">
      <c r="A1121" s="49">
        <v>46199.0</v>
      </c>
      <c r="B1121" s="50">
        <v>0.3736111111111111</v>
      </c>
      <c r="C1121" s="41" t="s">
        <v>31</v>
      </c>
      <c r="D1121" s="41" t="s">
        <v>95</v>
      </c>
      <c r="E1121" s="41" t="s">
        <v>89</v>
      </c>
      <c r="F1121" s="42">
        <v>0.0</v>
      </c>
      <c r="G1121" s="42">
        <v>0.0</v>
      </c>
      <c r="H1121" s="42">
        <v>0.0</v>
      </c>
      <c r="I1121" s="42">
        <v>0.0</v>
      </c>
      <c r="J1121" s="42">
        <v>0.0</v>
      </c>
      <c r="K1121" s="42">
        <v>0.0</v>
      </c>
      <c r="L1121" s="42">
        <v>0.0</v>
      </c>
      <c r="M1121" s="42">
        <v>0.0</v>
      </c>
      <c r="N1121" s="42">
        <v>0.0</v>
      </c>
      <c r="O1121" s="42">
        <v>0.0</v>
      </c>
      <c r="P1121" s="42">
        <v>0.0</v>
      </c>
      <c r="Q1121" s="42">
        <v>0.0</v>
      </c>
    </row>
    <row r="1122">
      <c r="A1122" s="47">
        <v>46199.0</v>
      </c>
      <c r="B1122" s="48">
        <v>0.3736111111111111</v>
      </c>
      <c r="C1122" s="37" t="s">
        <v>31</v>
      </c>
      <c r="D1122" s="37" t="s">
        <v>95</v>
      </c>
      <c r="E1122" s="37" t="s">
        <v>50</v>
      </c>
      <c r="F1122" s="38">
        <v>1.0</v>
      </c>
      <c r="G1122" s="38">
        <v>1.0</v>
      </c>
      <c r="H1122" s="38">
        <v>0.0</v>
      </c>
      <c r="I1122" s="38">
        <v>0.0</v>
      </c>
      <c r="J1122" s="38">
        <v>0.0</v>
      </c>
      <c r="K1122" s="38">
        <v>0.0</v>
      </c>
      <c r="L1122" s="38">
        <v>0.0</v>
      </c>
      <c r="M1122" s="38">
        <v>0.0</v>
      </c>
      <c r="N1122" s="38">
        <v>0.0</v>
      </c>
      <c r="O1122" s="38">
        <v>0.0</v>
      </c>
      <c r="P1122" s="38">
        <v>0.0</v>
      </c>
      <c r="Q1122" s="38">
        <v>0.0</v>
      </c>
    </row>
    <row r="1123">
      <c r="A1123" s="49">
        <v>46199.0</v>
      </c>
      <c r="B1123" s="50">
        <v>0.3736111111111111</v>
      </c>
      <c r="C1123" s="41" t="s">
        <v>31</v>
      </c>
      <c r="D1123" s="41" t="s">
        <v>95</v>
      </c>
      <c r="E1123" s="41" t="s">
        <v>90</v>
      </c>
      <c r="F1123" s="42">
        <v>0.0</v>
      </c>
      <c r="G1123" s="42">
        <v>0.0</v>
      </c>
      <c r="H1123" s="42">
        <v>0.0</v>
      </c>
      <c r="I1123" s="42">
        <v>0.0</v>
      </c>
      <c r="J1123" s="42">
        <v>0.0</v>
      </c>
      <c r="K1123" s="42">
        <v>0.0</v>
      </c>
      <c r="L1123" s="42">
        <v>0.0</v>
      </c>
      <c r="M1123" s="42">
        <v>0.0</v>
      </c>
      <c r="N1123" s="42">
        <v>0.0</v>
      </c>
      <c r="O1123" s="42">
        <v>0.0</v>
      </c>
      <c r="P1123" s="42">
        <v>0.0</v>
      </c>
      <c r="Q1123" s="42">
        <v>0.0</v>
      </c>
    </row>
    <row r="1124">
      <c r="A1124" s="47">
        <v>46199.0</v>
      </c>
      <c r="B1124" s="48">
        <v>0.3736111111111111</v>
      </c>
      <c r="C1124" s="37" t="s">
        <v>31</v>
      </c>
      <c r="D1124" s="37" t="s">
        <v>95</v>
      </c>
      <c r="E1124" s="37" t="s">
        <v>91</v>
      </c>
      <c r="F1124" s="38">
        <v>0.0</v>
      </c>
      <c r="G1124" s="38">
        <v>0.0</v>
      </c>
      <c r="H1124" s="38">
        <v>0.0</v>
      </c>
      <c r="I1124" s="38">
        <v>0.0</v>
      </c>
      <c r="J1124" s="38">
        <v>0.0</v>
      </c>
      <c r="K1124" s="38">
        <v>0.0</v>
      </c>
      <c r="L1124" s="38">
        <v>0.0</v>
      </c>
      <c r="M1124" s="38">
        <v>0.0</v>
      </c>
      <c r="N1124" s="38">
        <v>0.0</v>
      </c>
      <c r="O1124" s="38">
        <v>0.0</v>
      </c>
      <c r="P1124" s="38">
        <v>0.0</v>
      </c>
      <c r="Q1124" s="38">
        <v>0.0</v>
      </c>
    </row>
    <row r="1125">
      <c r="A1125" s="49">
        <v>46199.0</v>
      </c>
      <c r="B1125" s="50">
        <v>0.3736111111111111</v>
      </c>
      <c r="C1125" s="41" t="s">
        <v>31</v>
      </c>
      <c r="D1125" s="41" t="s">
        <v>95</v>
      </c>
      <c r="E1125" s="41" t="s">
        <v>92</v>
      </c>
      <c r="F1125" s="42">
        <v>0.0</v>
      </c>
      <c r="G1125" s="42">
        <v>0.0</v>
      </c>
      <c r="H1125" s="42">
        <v>0.0</v>
      </c>
      <c r="I1125" s="42">
        <v>0.0</v>
      </c>
      <c r="J1125" s="42">
        <v>0.0</v>
      </c>
      <c r="K1125" s="42">
        <v>0.0</v>
      </c>
      <c r="L1125" s="42">
        <v>0.0</v>
      </c>
      <c r="M1125" s="42">
        <v>0.0</v>
      </c>
      <c r="N1125" s="42">
        <v>0.0</v>
      </c>
      <c r="O1125" s="42">
        <v>0.0</v>
      </c>
      <c r="P1125" s="42">
        <v>0.0</v>
      </c>
      <c r="Q1125" s="42">
        <v>0.0</v>
      </c>
    </row>
    <row r="1126">
      <c r="A1126" s="47">
        <v>46199.0</v>
      </c>
      <c r="B1126" s="48">
        <v>0.3736111111111111</v>
      </c>
      <c r="C1126" s="37" t="s">
        <v>31</v>
      </c>
      <c r="D1126" s="37" t="s">
        <v>95</v>
      </c>
      <c r="E1126" s="37" t="s">
        <v>106</v>
      </c>
      <c r="F1126" s="38">
        <v>0.0</v>
      </c>
      <c r="G1126" s="38">
        <v>0.0</v>
      </c>
      <c r="H1126" s="38">
        <v>0.0</v>
      </c>
      <c r="I1126" s="38">
        <v>0.0</v>
      </c>
      <c r="J1126" s="38">
        <v>0.0</v>
      </c>
      <c r="K1126" s="38">
        <v>0.0</v>
      </c>
      <c r="L1126" s="38">
        <v>0.0</v>
      </c>
      <c r="M1126" s="38">
        <v>0.0</v>
      </c>
      <c r="N1126" s="38">
        <v>0.0</v>
      </c>
      <c r="O1126" s="38">
        <v>0.0</v>
      </c>
      <c r="P1126" s="38">
        <v>0.0</v>
      </c>
      <c r="Q1126" s="38">
        <v>0.0</v>
      </c>
    </row>
    <row r="1127">
      <c r="A1127" s="49">
        <v>46199.0</v>
      </c>
      <c r="B1127" s="50">
        <v>0.3736111111111111</v>
      </c>
      <c r="C1127" s="41" t="s">
        <v>31</v>
      </c>
      <c r="D1127" s="41" t="s">
        <v>95</v>
      </c>
      <c r="E1127" s="41" t="s">
        <v>107</v>
      </c>
      <c r="F1127" s="42">
        <v>0.0</v>
      </c>
      <c r="G1127" s="42">
        <v>0.0</v>
      </c>
      <c r="H1127" s="42">
        <v>0.0</v>
      </c>
      <c r="I1127" s="42">
        <v>0.0</v>
      </c>
      <c r="J1127" s="42">
        <v>0.0</v>
      </c>
      <c r="K1127" s="42">
        <v>0.0</v>
      </c>
      <c r="L1127" s="42">
        <v>0.0</v>
      </c>
      <c r="M1127" s="42">
        <v>0.0</v>
      </c>
      <c r="N1127" s="42">
        <v>0.0</v>
      </c>
      <c r="O1127" s="42">
        <v>0.0</v>
      </c>
      <c r="P1127" s="42">
        <v>0.0</v>
      </c>
      <c r="Q1127" s="42">
        <v>0.0</v>
      </c>
    </row>
    <row r="1128">
      <c r="A1128" s="51">
        <v>46199.0</v>
      </c>
      <c r="B1128" s="52">
        <v>0.3736111111111111</v>
      </c>
      <c r="C1128" s="45" t="s">
        <v>96</v>
      </c>
      <c r="D1128" s="45" t="s">
        <v>75</v>
      </c>
      <c r="E1128" s="45" t="s">
        <v>52</v>
      </c>
      <c r="F1128" s="46">
        <v>13.0</v>
      </c>
      <c r="G1128" s="46">
        <v>6.0</v>
      </c>
      <c r="H1128" s="46">
        <v>2.0</v>
      </c>
      <c r="I1128" s="46">
        <v>1.0</v>
      </c>
      <c r="J1128" s="46">
        <v>0.0</v>
      </c>
      <c r="K1128" s="46">
        <v>11.0</v>
      </c>
      <c r="L1128" s="46">
        <v>13.0</v>
      </c>
      <c r="M1128" s="46">
        <v>0.0</v>
      </c>
      <c r="N1128" s="46">
        <v>0.0</v>
      </c>
      <c r="O1128" s="46">
        <v>0.0</v>
      </c>
      <c r="P1128" s="46">
        <v>5.0</v>
      </c>
      <c r="Q1128" s="46">
        <v>6.0</v>
      </c>
    </row>
    <row r="1129">
      <c r="A1129" s="51">
        <v>46199.0</v>
      </c>
      <c r="B1129" s="52">
        <v>0.3736111111111111</v>
      </c>
      <c r="C1129" s="45" t="s">
        <v>96</v>
      </c>
      <c r="D1129" s="45" t="s">
        <v>75</v>
      </c>
      <c r="E1129" s="45" t="s">
        <v>88</v>
      </c>
      <c r="F1129" s="46">
        <v>0.0</v>
      </c>
      <c r="G1129" s="46">
        <v>0.0</v>
      </c>
      <c r="H1129" s="46">
        <v>0.0</v>
      </c>
      <c r="I1129" s="46">
        <v>0.0</v>
      </c>
      <c r="J1129" s="46">
        <v>0.0</v>
      </c>
      <c r="K1129" s="46">
        <v>0.0</v>
      </c>
      <c r="L1129" s="46">
        <v>0.0</v>
      </c>
      <c r="M1129" s="46">
        <v>0.0</v>
      </c>
      <c r="N1129" s="46">
        <v>0.0</v>
      </c>
      <c r="O1129" s="46">
        <v>0.0</v>
      </c>
      <c r="P1129" s="46">
        <v>0.0</v>
      </c>
      <c r="Q1129" s="46">
        <v>0.0</v>
      </c>
    </row>
    <row r="1130">
      <c r="A1130" s="51">
        <v>46199.0</v>
      </c>
      <c r="B1130" s="52">
        <v>0.3736111111111111</v>
      </c>
      <c r="C1130" s="45" t="s">
        <v>96</v>
      </c>
      <c r="D1130" s="45" t="s">
        <v>75</v>
      </c>
      <c r="E1130" s="45" t="s">
        <v>89</v>
      </c>
      <c r="F1130" s="46">
        <v>1.0</v>
      </c>
      <c r="G1130" s="46">
        <v>0.0</v>
      </c>
      <c r="H1130" s="46">
        <v>0.0</v>
      </c>
      <c r="I1130" s="46">
        <v>0.0</v>
      </c>
      <c r="J1130" s="46">
        <v>0.0</v>
      </c>
      <c r="K1130" s="46">
        <v>1.0</v>
      </c>
      <c r="L1130" s="46">
        <v>1.0</v>
      </c>
      <c r="M1130" s="46">
        <v>0.0</v>
      </c>
      <c r="N1130" s="46">
        <v>0.0</v>
      </c>
      <c r="O1130" s="46">
        <v>0.0</v>
      </c>
      <c r="P1130" s="46">
        <v>0.0</v>
      </c>
      <c r="Q1130" s="46">
        <v>0.0</v>
      </c>
    </row>
    <row r="1131">
      <c r="A1131" s="51">
        <v>46199.0</v>
      </c>
      <c r="B1131" s="52">
        <v>0.3736111111111111</v>
      </c>
      <c r="C1131" s="45" t="s">
        <v>96</v>
      </c>
      <c r="D1131" s="45" t="s">
        <v>75</v>
      </c>
      <c r="E1131" s="45" t="s">
        <v>50</v>
      </c>
      <c r="F1131" s="46">
        <v>1.0</v>
      </c>
      <c r="G1131" s="46">
        <v>1.0</v>
      </c>
      <c r="H1131" s="46">
        <v>0.0</v>
      </c>
      <c r="I1131" s="46">
        <v>0.0</v>
      </c>
      <c r="J1131" s="46">
        <v>0.0</v>
      </c>
      <c r="K1131" s="46">
        <v>0.0</v>
      </c>
      <c r="L1131" s="46">
        <v>0.0</v>
      </c>
      <c r="M1131" s="46">
        <v>0.0</v>
      </c>
      <c r="N1131" s="46">
        <v>0.0</v>
      </c>
      <c r="O1131" s="46">
        <v>0.0</v>
      </c>
      <c r="P1131" s="46">
        <v>0.0</v>
      </c>
      <c r="Q1131" s="46">
        <v>0.0</v>
      </c>
    </row>
    <row r="1132">
      <c r="A1132" s="51">
        <v>46199.0</v>
      </c>
      <c r="B1132" s="52">
        <v>0.3736111111111111</v>
      </c>
      <c r="C1132" s="45" t="s">
        <v>96</v>
      </c>
      <c r="D1132" s="45" t="s">
        <v>75</v>
      </c>
      <c r="E1132" s="45" t="s">
        <v>90</v>
      </c>
      <c r="F1132" s="46">
        <v>0.0</v>
      </c>
      <c r="G1132" s="46">
        <v>0.0</v>
      </c>
      <c r="H1132" s="46">
        <v>0.0</v>
      </c>
      <c r="I1132" s="46">
        <v>0.0</v>
      </c>
      <c r="J1132" s="46">
        <v>0.0</v>
      </c>
      <c r="K1132" s="46">
        <v>0.0</v>
      </c>
      <c r="L1132" s="46">
        <v>0.0</v>
      </c>
      <c r="M1132" s="46">
        <v>0.0</v>
      </c>
      <c r="N1132" s="46">
        <v>0.0</v>
      </c>
      <c r="O1132" s="46">
        <v>0.0</v>
      </c>
      <c r="P1132" s="46">
        <v>0.0</v>
      </c>
      <c r="Q1132" s="46">
        <v>0.0</v>
      </c>
    </row>
    <row r="1133">
      <c r="A1133" s="51">
        <v>46199.0</v>
      </c>
      <c r="B1133" s="52">
        <v>0.3736111111111111</v>
      </c>
      <c r="C1133" s="45" t="s">
        <v>96</v>
      </c>
      <c r="D1133" s="45" t="s">
        <v>75</v>
      </c>
      <c r="E1133" s="45" t="s">
        <v>91</v>
      </c>
      <c r="F1133" s="46">
        <v>0.0</v>
      </c>
      <c r="G1133" s="46">
        <v>0.0</v>
      </c>
      <c r="H1133" s="46">
        <v>0.0</v>
      </c>
      <c r="I1133" s="46">
        <v>0.0</v>
      </c>
      <c r="J1133" s="46">
        <v>0.0</v>
      </c>
      <c r="K1133" s="46">
        <v>0.0</v>
      </c>
      <c r="L1133" s="46">
        <v>0.0</v>
      </c>
      <c r="M1133" s="46">
        <v>0.0</v>
      </c>
      <c r="N1133" s="46">
        <v>0.0</v>
      </c>
      <c r="O1133" s="46">
        <v>0.0</v>
      </c>
      <c r="P1133" s="46">
        <v>0.0</v>
      </c>
      <c r="Q1133" s="46">
        <v>0.0</v>
      </c>
    </row>
    <row r="1134">
      <c r="A1134" s="51">
        <v>46199.0</v>
      </c>
      <c r="B1134" s="52">
        <v>0.3736111111111111</v>
      </c>
      <c r="C1134" s="45" t="s">
        <v>96</v>
      </c>
      <c r="D1134" s="45" t="s">
        <v>75</v>
      </c>
      <c r="E1134" s="45" t="s">
        <v>92</v>
      </c>
      <c r="F1134" s="46">
        <v>0.0</v>
      </c>
      <c r="G1134" s="46">
        <v>0.0</v>
      </c>
      <c r="H1134" s="46">
        <v>0.0</v>
      </c>
      <c r="I1134" s="46">
        <v>0.0</v>
      </c>
      <c r="J1134" s="46">
        <v>0.0</v>
      </c>
      <c r="K1134" s="46">
        <v>0.0</v>
      </c>
      <c r="L1134" s="46">
        <v>0.0</v>
      </c>
      <c r="M1134" s="46">
        <v>0.0</v>
      </c>
      <c r="N1134" s="46">
        <v>0.0</v>
      </c>
      <c r="O1134" s="46">
        <v>0.0</v>
      </c>
      <c r="P1134" s="46">
        <v>0.0</v>
      </c>
      <c r="Q1134" s="46">
        <v>0.0</v>
      </c>
    </row>
    <row r="1135">
      <c r="A1135" s="51">
        <v>46199.0</v>
      </c>
      <c r="B1135" s="52">
        <v>0.3736111111111111</v>
      </c>
      <c r="C1135" s="45" t="s">
        <v>96</v>
      </c>
      <c r="D1135" s="45" t="s">
        <v>75</v>
      </c>
      <c r="E1135" s="45" t="s">
        <v>106</v>
      </c>
      <c r="F1135" s="46">
        <v>2.0</v>
      </c>
      <c r="G1135" s="46">
        <v>0.0</v>
      </c>
      <c r="H1135" s="46">
        <v>1.0</v>
      </c>
      <c r="I1135" s="46">
        <v>0.0</v>
      </c>
      <c r="J1135" s="46">
        <v>0.0</v>
      </c>
      <c r="K1135" s="46">
        <v>2.0</v>
      </c>
      <c r="L1135" s="46">
        <v>2.0</v>
      </c>
      <c r="M1135" s="46">
        <v>0.0</v>
      </c>
      <c r="N1135" s="46">
        <v>0.0</v>
      </c>
      <c r="O1135" s="46">
        <v>0.0</v>
      </c>
      <c r="P1135" s="46">
        <v>0.0</v>
      </c>
      <c r="Q1135" s="46">
        <v>0.0</v>
      </c>
    </row>
    <row r="1136">
      <c r="A1136" s="51">
        <v>46199.0</v>
      </c>
      <c r="B1136" s="52">
        <v>0.3736111111111111</v>
      </c>
      <c r="C1136" s="45" t="s">
        <v>96</v>
      </c>
      <c r="D1136" s="45" t="s">
        <v>75</v>
      </c>
      <c r="E1136" s="45" t="s">
        <v>107</v>
      </c>
      <c r="F1136" s="46">
        <v>0.0</v>
      </c>
      <c r="G1136" s="46">
        <v>0.0</v>
      </c>
      <c r="H1136" s="46">
        <v>0.0</v>
      </c>
      <c r="I1136" s="46">
        <v>0.0</v>
      </c>
      <c r="J1136" s="46">
        <v>0.0</v>
      </c>
      <c r="K1136" s="46">
        <v>0.0</v>
      </c>
      <c r="L1136" s="46">
        <v>0.0</v>
      </c>
      <c r="M1136" s="46">
        <v>0.0</v>
      </c>
      <c r="N1136" s="46">
        <v>0.0</v>
      </c>
      <c r="O1136" s="46">
        <v>0.0</v>
      </c>
      <c r="P1136" s="46">
        <v>0.0</v>
      </c>
      <c r="Q1136" s="46">
        <v>0.0</v>
      </c>
    </row>
    <row r="1137">
      <c r="A1137" s="49">
        <v>46199.0</v>
      </c>
      <c r="B1137" s="50">
        <v>0.7347222222222223</v>
      </c>
      <c r="C1137" s="41" t="s">
        <v>15</v>
      </c>
      <c r="D1137" s="41" t="s">
        <v>87</v>
      </c>
      <c r="E1137" s="41" t="s">
        <v>52</v>
      </c>
      <c r="F1137" s="42">
        <v>4.0</v>
      </c>
      <c r="G1137" s="42">
        <v>1.0</v>
      </c>
      <c r="H1137" s="42">
        <v>1.0</v>
      </c>
      <c r="I1137" s="42">
        <v>1.0</v>
      </c>
      <c r="J1137" s="42">
        <v>0.0</v>
      </c>
      <c r="K1137" s="42">
        <v>3.0</v>
      </c>
      <c r="L1137" s="42">
        <v>4.0</v>
      </c>
      <c r="M1137" s="42">
        <v>0.0</v>
      </c>
      <c r="N1137" s="42">
        <v>0.0</v>
      </c>
      <c r="O1137" s="42">
        <v>0.0</v>
      </c>
      <c r="P1137" s="42">
        <v>1.0</v>
      </c>
      <c r="Q1137" s="42">
        <v>1.0</v>
      </c>
    </row>
    <row r="1138">
      <c r="A1138" s="47">
        <v>46199.0</v>
      </c>
      <c r="B1138" s="48">
        <v>0.7347222222222223</v>
      </c>
      <c r="C1138" s="37" t="s">
        <v>15</v>
      </c>
      <c r="D1138" s="37" t="s">
        <v>87</v>
      </c>
      <c r="E1138" s="37" t="s">
        <v>88</v>
      </c>
      <c r="F1138" s="38">
        <v>0.0</v>
      </c>
      <c r="G1138" s="38">
        <v>0.0</v>
      </c>
      <c r="H1138" s="38">
        <v>0.0</v>
      </c>
      <c r="I1138" s="38">
        <v>0.0</v>
      </c>
      <c r="J1138" s="38">
        <v>0.0</v>
      </c>
      <c r="K1138" s="38">
        <v>0.0</v>
      </c>
      <c r="L1138" s="38">
        <v>0.0</v>
      </c>
      <c r="M1138" s="38">
        <v>0.0</v>
      </c>
      <c r="N1138" s="38">
        <v>0.0</v>
      </c>
      <c r="O1138" s="38">
        <v>0.0</v>
      </c>
      <c r="P1138" s="38">
        <v>0.0</v>
      </c>
      <c r="Q1138" s="38">
        <v>0.0</v>
      </c>
    </row>
    <row r="1139">
      <c r="A1139" s="49">
        <v>46199.0</v>
      </c>
      <c r="B1139" s="50">
        <v>0.7347222222222223</v>
      </c>
      <c r="C1139" s="41" t="s">
        <v>15</v>
      </c>
      <c r="D1139" s="41" t="s">
        <v>87</v>
      </c>
      <c r="E1139" s="41" t="s">
        <v>89</v>
      </c>
      <c r="F1139" s="42">
        <v>0.0</v>
      </c>
      <c r="G1139" s="42">
        <v>0.0</v>
      </c>
      <c r="H1139" s="42">
        <v>0.0</v>
      </c>
      <c r="I1139" s="42">
        <v>0.0</v>
      </c>
      <c r="J1139" s="42">
        <v>0.0</v>
      </c>
      <c r="K1139" s="42">
        <v>0.0</v>
      </c>
      <c r="L1139" s="42">
        <v>0.0</v>
      </c>
      <c r="M1139" s="42">
        <v>0.0</v>
      </c>
      <c r="N1139" s="42">
        <v>0.0</v>
      </c>
      <c r="O1139" s="42">
        <v>0.0</v>
      </c>
      <c r="P1139" s="42">
        <v>0.0</v>
      </c>
      <c r="Q1139" s="42">
        <v>0.0</v>
      </c>
    </row>
    <row r="1140">
      <c r="A1140" s="47">
        <v>46199.0</v>
      </c>
      <c r="B1140" s="48">
        <v>0.7347222222222223</v>
      </c>
      <c r="C1140" s="37" t="s">
        <v>15</v>
      </c>
      <c r="D1140" s="37" t="s">
        <v>87</v>
      </c>
      <c r="E1140" s="37" t="s">
        <v>50</v>
      </c>
      <c r="F1140" s="38">
        <v>0.0</v>
      </c>
      <c r="G1140" s="38">
        <v>0.0</v>
      </c>
      <c r="H1140" s="38">
        <v>0.0</v>
      </c>
      <c r="I1140" s="38">
        <v>0.0</v>
      </c>
      <c r="J1140" s="38">
        <v>0.0</v>
      </c>
      <c r="K1140" s="38">
        <v>0.0</v>
      </c>
      <c r="L1140" s="38">
        <v>0.0</v>
      </c>
      <c r="M1140" s="38">
        <v>0.0</v>
      </c>
      <c r="N1140" s="38">
        <v>0.0</v>
      </c>
      <c r="O1140" s="38">
        <v>0.0</v>
      </c>
      <c r="P1140" s="38">
        <v>0.0</v>
      </c>
      <c r="Q1140" s="38">
        <v>0.0</v>
      </c>
    </row>
    <row r="1141">
      <c r="A1141" s="49">
        <v>46199.0</v>
      </c>
      <c r="B1141" s="50">
        <v>0.7347222222222223</v>
      </c>
      <c r="C1141" s="41" t="s">
        <v>15</v>
      </c>
      <c r="D1141" s="41" t="s">
        <v>87</v>
      </c>
      <c r="E1141" s="41" t="s">
        <v>90</v>
      </c>
      <c r="F1141" s="42">
        <v>0.0</v>
      </c>
      <c r="G1141" s="42">
        <v>0.0</v>
      </c>
      <c r="H1141" s="42">
        <v>0.0</v>
      </c>
      <c r="I1141" s="42">
        <v>0.0</v>
      </c>
      <c r="J1141" s="42">
        <v>0.0</v>
      </c>
      <c r="K1141" s="42">
        <v>0.0</v>
      </c>
      <c r="L1141" s="42">
        <v>0.0</v>
      </c>
      <c r="M1141" s="42">
        <v>0.0</v>
      </c>
      <c r="N1141" s="42">
        <v>0.0</v>
      </c>
      <c r="O1141" s="42">
        <v>0.0</v>
      </c>
      <c r="P1141" s="42">
        <v>0.0</v>
      </c>
      <c r="Q1141" s="42">
        <v>0.0</v>
      </c>
    </row>
    <row r="1142">
      <c r="A1142" s="47">
        <v>46199.0</v>
      </c>
      <c r="B1142" s="48">
        <v>0.7347222222222223</v>
      </c>
      <c r="C1142" s="37" t="s">
        <v>15</v>
      </c>
      <c r="D1142" s="37" t="s">
        <v>87</v>
      </c>
      <c r="E1142" s="37" t="s">
        <v>91</v>
      </c>
      <c r="F1142" s="38">
        <v>0.0</v>
      </c>
      <c r="G1142" s="38">
        <v>0.0</v>
      </c>
      <c r="H1142" s="38">
        <v>0.0</v>
      </c>
      <c r="I1142" s="38">
        <v>0.0</v>
      </c>
      <c r="J1142" s="38">
        <v>0.0</v>
      </c>
      <c r="K1142" s="38">
        <v>0.0</v>
      </c>
      <c r="L1142" s="38">
        <v>0.0</v>
      </c>
      <c r="M1142" s="38">
        <v>0.0</v>
      </c>
      <c r="N1142" s="38">
        <v>0.0</v>
      </c>
      <c r="O1142" s="38">
        <v>0.0</v>
      </c>
      <c r="P1142" s="38">
        <v>0.0</v>
      </c>
      <c r="Q1142" s="38">
        <v>0.0</v>
      </c>
    </row>
    <row r="1143">
      <c r="A1143" s="49">
        <v>46199.0</v>
      </c>
      <c r="B1143" s="50">
        <v>0.7347222222222223</v>
      </c>
      <c r="C1143" s="41" t="s">
        <v>15</v>
      </c>
      <c r="D1143" s="41" t="s">
        <v>87</v>
      </c>
      <c r="E1143" s="41" t="s">
        <v>92</v>
      </c>
      <c r="F1143" s="42">
        <v>0.0</v>
      </c>
      <c r="G1143" s="42">
        <v>0.0</v>
      </c>
      <c r="H1143" s="42">
        <v>0.0</v>
      </c>
      <c r="I1143" s="42">
        <v>0.0</v>
      </c>
      <c r="J1143" s="42">
        <v>0.0</v>
      </c>
      <c r="K1143" s="42">
        <v>0.0</v>
      </c>
      <c r="L1143" s="42">
        <v>0.0</v>
      </c>
      <c r="M1143" s="42">
        <v>0.0</v>
      </c>
      <c r="N1143" s="42">
        <v>0.0</v>
      </c>
      <c r="O1143" s="42">
        <v>0.0</v>
      </c>
      <c r="P1143" s="42">
        <v>0.0</v>
      </c>
      <c r="Q1143" s="42">
        <v>0.0</v>
      </c>
    </row>
    <row r="1144">
      <c r="A1144" s="47">
        <v>46199.0</v>
      </c>
      <c r="B1144" s="48">
        <v>0.7347222222222223</v>
      </c>
      <c r="C1144" s="37" t="s">
        <v>15</v>
      </c>
      <c r="D1144" s="37" t="s">
        <v>87</v>
      </c>
      <c r="E1144" s="37" t="s">
        <v>106</v>
      </c>
      <c r="F1144" s="38">
        <v>0.0</v>
      </c>
      <c r="G1144" s="38">
        <v>0.0</v>
      </c>
      <c r="H1144" s="38">
        <v>0.0</v>
      </c>
      <c r="I1144" s="38">
        <v>0.0</v>
      </c>
      <c r="J1144" s="38">
        <v>0.0</v>
      </c>
      <c r="K1144" s="38">
        <v>0.0</v>
      </c>
      <c r="L1144" s="38">
        <v>0.0</v>
      </c>
      <c r="M1144" s="38">
        <v>0.0</v>
      </c>
      <c r="N1144" s="38">
        <v>0.0</v>
      </c>
      <c r="O1144" s="38">
        <v>0.0</v>
      </c>
      <c r="P1144" s="38">
        <v>0.0</v>
      </c>
      <c r="Q1144" s="38">
        <v>0.0</v>
      </c>
    </row>
    <row r="1145">
      <c r="A1145" s="49">
        <v>46199.0</v>
      </c>
      <c r="B1145" s="50">
        <v>0.7347222222222223</v>
      </c>
      <c r="C1145" s="41" t="s">
        <v>15</v>
      </c>
      <c r="D1145" s="41" t="s">
        <v>87</v>
      </c>
      <c r="E1145" s="41" t="s">
        <v>107</v>
      </c>
      <c r="F1145" s="42">
        <v>0.0</v>
      </c>
      <c r="G1145" s="42">
        <v>0.0</v>
      </c>
      <c r="H1145" s="42">
        <v>0.0</v>
      </c>
      <c r="I1145" s="42">
        <v>0.0</v>
      </c>
      <c r="J1145" s="42">
        <v>0.0</v>
      </c>
      <c r="K1145" s="42">
        <v>0.0</v>
      </c>
      <c r="L1145" s="42">
        <v>0.0</v>
      </c>
      <c r="M1145" s="42">
        <v>0.0</v>
      </c>
      <c r="N1145" s="42">
        <v>0.0</v>
      </c>
      <c r="O1145" s="42">
        <v>0.0</v>
      </c>
      <c r="P1145" s="42">
        <v>0.0</v>
      </c>
      <c r="Q1145" s="42">
        <v>0.0</v>
      </c>
    </row>
    <row r="1146">
      <c r="A1146" s="47">
        <v>46199.0</v>
      </c>
      <c r="B1146" s="48">
        <v>0.7347222222222223</v>
      </c>
      <c r="C1146" s="37" t="s">
        <v>23</v>
      </c>
      <c r="D1146" s="37" t="s">
        <v>93</v>
      </c>
      <c r="E1146" s="37" t="s">
        <v>52</v>
      </c>
      <c r="F1146" s="38">
        <v>1.0</v>
      </c>
      <c r="G1146" s="38">
        <v>1.0</v>
      </c>
      <c r="H1146" s="38">
        <v>0.0</v>
      </c>
      <c r="I1146" s="38">
        <v>0.0</v>
      </c>
      <c r="J1146" s="38">
        <v>0.0</v>
      </c>
      <c r="K1146" s="38">
        <v>1.0</v>
      </c>
      <c r="L1146" s="38">
        <v>1.0</v>
      </c>
      <c r="M1146" s="38">
        <v>0.0</v>
      </c>
      <c r="N1146" s="38">
        <v>0.0</v>
      </c>
      <c r="O1146" s="38">
        <v>0.0</v>
      </c>
      <c r="P1146" s="38">
        <v>1.0</v>
      </c>
      <c r="Q1146" s="38">
        <v>1.0</v>
      </c>
    </row>
    <row r="1147">
      <c r="A1147" s="49">
        <v>46199.0</v>
      </c>
      <c r="B1147" s="50">
        <v>0.7347222222222223</v>
      </c>
      <c r="C1147" s="41" t="s">
        <v>23</v>
      </c>
      <c r="D1147" s="41" t="s">
        <v>93</v>
      </c>
      <c r="E1147" s="41" t="s">
        <v>88</v>
      </c>
      <c r="F1147" s="42">
        <v>0.0</v>
      </c>
      <c r="G1147" s="42">
        <v>0.0</v>
      </c>
      <c r="H1147" s="42">
        <v>0.0</v>
      </c>
      <c r="I1147" s="42">
        <v>0.0</v>
      </c>
      <c r="J1147" s="42">
        <v>0.0</v>
      </c>
      <c r="K1147" s="42">
        <v>0.0</v>
      </c>
      <c r="L1147" s="42">
        <v>0.0</v>
      </c>
      <c r="M1147" s="42">
        <v>0.0</v>
      </c>
      <c r="N1147" s="42">
        <v>0.0</v>
      </c>
      <c r="O1147" s="42">
        <v>0.0</v>
      </c>
      <c r="P1147" s="42">
        <v>0.0</v>
      </c>
      <c r="Q1147" s="42">
        <v>0.0</v>
      </c>
    </row>
    <row r="1148">
      <c r="A1148" s="47">
        <v>46199.0</v>
      </c>
      <c r="B1148" s="48">
        <v>0.7347222222222223</v>
      </c>
      <c r="C1148" s="37" t="s">
        <v>23</v>
      </c>
      <c r="D1148" s="37" t="s">
        <v>93</v>
      </c>
      <c r="E1148" s="37" t="s">
        <v>89</v>
      </c>
      <c r="F1148" s="38">
        <v>0.0</v>
      </c>
      <c r="G1148" s="38">
        <v>0.0</v>
      </c>
      <c r="H1148" s="38">
        <v>0.0</v>
      </c>
      <c r="I1148" s="38">
        <v>0.0</v>
      </c>
      <c r="J1148" s="38">
        <v>0.0</v>
      </c>
      <c r="K1148" s="38">
        <v>0.0</v>
      </c>
      <c r="L1148" s="38">
        <v>0.0</v>
      </c>
      <c r="M1148" s="38">
        <v>0.0</v>
      </c>
      <c r="N1148" s="38">
        <v>0.0</v>
      </c>
      <c r="O1148" s="38">
        <v>0.0</v>
      </c>
      <c r="P1148" s="38">
        <v>0.0</v>
      </c>
      <c r="Q1148" s="38">
        <v>0.0</v>
      </c>
    </row>
    <row r="1149">
      <c r="A1149" s="49">
        <v>46199.0</v>
      </c>
      <c r="B1149" s="50">
        <v>0.7347222222222223</v>
      </c>
      <c r="C1149" s="41" t="s">
        <v>23</v>
      </c>
      <c r="D1149" s="41" t="s">
        <v>93</v>
      </c>
      <c r="E1149" s="41" t="s">
        <v>50</v>
      </c>
      <c r="F1149" s="42">
        <v>0.0</v>
      </c>
      <c r="G1149" s="42">
        <v>0.0</v>
      </c>
      <c r="H1149" s="42">
        <v>0.0</v>
      </c>
      <c r="I1149" s="42">
        <v>0.0</v>
      </c>
      <c r="J1149" s="42">
        <v>0.0</v>
      </c>
      <c r="K1149" s="42">
        <v>0.0</v>
      </c>
      <c r="L1149" s="42">
        <v>0.0</v>
      </c>
      <c r="M1149" s="42">
        <v>0.0</v>
      </c>
      <c r="N1149" s="42">
        <v>0.0</v>
      </c>
      <c r="O1149" s="42">
        <v>0.0</v>
      </c>
      <c r="P1149" s="42">
        <v>0.0</v>
      </c>
      <c r="Q1149" s="42">
        <v>0.0</v>
      </c>
    </row>
    <row r="1150">
      <c r="A1150" s="47">
        <v>46199.0</v>
      </c>
      <c r="B1150" s="48">
        <v>0.7347222222222223</v>
      </c>
      <c r="C1150" s="37" t="s">
        <v>23</v>
      </c>
      <c r="D1150" s="37" t="s">
        <v>93</v>
      </c>
      <c r="E1150" s="37" t="s">
        <v>90</v>
      </c>
      <c r="F1150" s="38">
        <v>0.0</v>
      </c>
      <c r="G1150" s="38">
        <v>0.0</v>
      </c>
      <c r="H1150" s="38">
        <v>0.0</v>
      </c>
      <c r="I1150" s="38">
        <v>0.0</v>
      </c>
      <c r="J1150" s="38">
        <v>0.0</v>
      </c>
      <c r="K1150" s="38">
        <v>0.0</v>
      </c>
      <c r="L1150" s="38">
        <v>0.0</v>
      </c>
      <c r="M1150" s="38">
        <v>0.0</v>
      </c>
      <c r="N1150" s="38">
        <v>0.0</v>
      </c>
      <c r="O1150" s="38">
        <v>0.0</v>
      </c>
      <c r="P1150" s="38">
        <v>0.0</v>
      </c>
      <c r="Q1150" s="38">
        <v>0.0</v>
      </c>
    </row>
    <row r="1151">
      <c r="A1151" s="49">
        <v>46199.0</v>
      </c>
      <c r="B1151" s="50">
        <v>0.7347222222222223</v>
      </c>
      <c r="C1151" s="41" t="s">
        <v>23</v>
      </c>
      <c r="D1151" s="41" t="s">
        <v>93</v>
      </c>
      <c r="E1151" s="41" t="s">
        <v>91</v>
      </c>
      <c r="F1151" s="42">
        <v>0.0</v>
      </c>
      <c r="G1151" s="42">
        <v>0.0</v>
      </c>
      <c r="H1151" s="42">
        <v>0.0</v>
      </c>
      <c r="I1151" s="42">
        <v>0.0</v>
      </c>
      <c r="J1151" s="42">
        <v>0.0</v>
      </c>
      <c r="K1151" s="42">
        <v>0.0</v>
      </c>
      <c r="L1151" s="42">
        <v>0.0</v>
      </c>
      <c r="M1151" s="42">
        <v>0.0</v>
      </c>
      <c r="N1151" s="42">
        <v>0.0</v>
      </c>
      <c r="O1151" s="42">
        <v>0.0</v>
      </c>
      <c r="P1151" s="42">
        <v>0.0</v>
      </c>
      <c r="Q1151" s="42">
        <v>0.0</v>
      </c>
    </row>
    <row r="1152">
      <c r="A1152" s="47">
        <v>46199.0</v>
      </c>
      <c r="B1152" s="48">
        <v>0.7347222222222223</v>
      </c>
      <c r="C1152" s="37" t="s">
        <v>23</v>
      </c>
      <c r="D1152" s="37" t="s">
        <v>93</v>
      </c>
      <c r="E1152" s="37" t="s">
        <v>92</v>
      </c>
      <c r="F1152" s="38">
        <v>0.0</v>
      </c>
      <c r="G1152" s="38">
        <v>0.0</v>
      </c>
      <c r="H1152" s="38">
        <v>0.0</v>
      </c>
      <c r="I1152" s="38">
        <v>0.0</v>
      </c>
      <c r="J1152" s="38">
        <v>0.0</v>
      </c>
      <c r="K1152" s="38">
        <v>0.0</v>
      </c>
      <c r="L1152" s="38">
        <v>0.0</v>
      </c>
      <c r="M1152" s="38">
        <v>0.0</v>
      </c>
      <c r="N1152" s="38">
        <v>0.0</v>
      </c>
      <c r="O1152" s="38">
        <v>0.0</v>
      </c>
      <c r="P1152" s="38">
        <v>0.0</v>
      </c>
      <c r="Q1152" s="38">
        <v>0.0</v>
      </c>
    </row>
    <row r="1153">
      <c r="A1153" s="49">
        <v>46199.0</v>
      </c>
      <c r="B1153" s="50">
        <v>0.7347222222222223</v>
      </c>
      <c r="C1153" s="41" t="s">
        <v>23</v>
      </c>
      <c r="D1153" s="41" t="s">
        <v>93</v>
      </c>
      <c r="E1153" s="41" t="s">
        <v>106</v>
      </c>
      <c r="F1153" s="42">
        <v>0.0</v>
      </c>
      <c r="G1153" s="42">
        <v>0.0</v>
      </c>
      <c r="H1153" s="42">
        <v>0.0</v>
      </c>
      <c r="I1153" s="42">
        <v>0.0</v>
      </c>
      <c r="J1153" s="42">
        <v>0.0</v>
      </c>
      <c r="K1153" s="42">
        <v>0.0</v>
      </c>
      <c r="L1153" s="42">
        <v>0.0</v>
      </c>
      <c r="M1153" s="42">
        <v>0.0</v>
      </c>
      <c r="N1153" s="42">
        <v>0.0</v>
      </c>
      <c r="O1153" s="42">
        <v>0.0</v>
      </c>
      <c r="P1153" s="42">
        <v>0.0</v>
      </c>
      <c r="Q1153" s="42">
        <v>0.0</v>
      </c>
    </row>
    <row r="1154">
      <c r="A1154" s="47">
        <v>46199.0</v>
      </c>
      <c r="B1154" s="48">
        <v>0.7347222222222223</v>
      </c>
      <c r="C1154" s="37" t="s">
        <v>23</v>
      </c>
      <c r="D1154" s="37" t="s">
        <v>93</v>
      </c>
      <c r="E1154" s="37" t="s">
        <v>107</v>
      </c>
      <c r="F1154" s="38">
        <v>0.0</v>
      </c>
      <c r="G1154" s="38">
        <v>0.0</v>
      </c>
      <c r="H1154" s="38">
        <v>0.0</v>
      </c>
      <c r="I1154" s="38">
        <v>0.0</v>
      </c>
      <c r="J1154" s="38">
        <v>0.0</v>
      </c>
      <c r="K1154" s="38">
        <v>0.0</v>
      </c>
      <c r="L1154" s="38">
        <v>0.0</v>
      </c>
      <c r="M1154" s="38">
        <v>0.0</v>
      </c>
      <c r="N1154" s="38">
        <v>0.0</v>
      </c>
      <c r="O1154" s="38">
        <v>0.0</v>
      </c>
      <c r="P1154" s="38">
        <v>0.0</v>
      </c>
      <c r="Q1154" s="38">
        <v>0.0</v>
      </c>
    </row>
    <row r="1155">
      <c r="A1155" s="49">
        <v>46199.0</v>
      </c>
      <c r="B1155" s="50">
        <v>0.7347222222222223</v>
      </c>
      <c r="C1155" s="41" t="s">
        <v>29</v>
      </c>
      <c r="D1155" s="41" t="s">
        <v>94</v>
      </c>
      <c r="E1155" s="41" t="s">
        <v>52</v>
      </c>
      <c r="F1155" s="42">
        <v>7.0</v>
      </c>
      <c r="G1155" s="42">
        <v>3.0</v>
      </c>
      <c r="H1155" s="42">
        <v>1.0</v>
      </c>
      <c r="I1155" s="42">
        <v>0.0</v>
      </c>
      <c r="J1155" s="42">
        <v>0.0</v>
      </c>
      <c r="K1155" s="42">
        <v>7.0</v>
      </c>
      <c r="L1155" s="42">
        <v>7.0</v>
      </c>
      <c r="M1155" s="42">
        <v>0.0</v>
      </c>
      <c r="N1155" s="42">
        <v>0.0</v>
      </c>
      <c r="O1155" s="42">
        <v>0.0</v>
      </c>
      <c r="P1155" s="42">
        <v>3.0</v>
      </c>
      <c r="Q1155" s="42">
        <v>3.0</v>
      </c>
    </row>
    <row r="1156">
      <c r="A1156" s="47">
        <v>46199.0</v>
      </c>
      <c r="B1156" s="48">
        <v>0.7347222222222223</v>
      </c>
      <c r="C1156" s="37" t="s">
        <v>29</v>
      </c>
      <c r="D1156" s="37" t="s">
        <v>94</v>
      </c>
      <c r="E1156" s="37" t="s">
        <v>88</v>
      </c>
      <c r="F1156" s="38">
        <v>0.0</v>
      </c>
      <c r="G1156" s="38">
        <v>0.0</v>
      </c>
      <c r="H1156" s="38">
        <v>0.0</v>
      </c>
      <c r="I1156" s="38">
        <v>0.0</v>
      </c>
      <c r="J1156" s="38">
        <v>0.0</v>
      </c>
      <c r="K1156" s="38">
        <v>0.0</v>
      </c>
      <c r="L1156" s="38">
        <v>0.0</v>
      </c>
      <c r="M1156" s="38">
        <v>0.0</v>
      </c>
      <c r="N1156" s="38">
        <v>0.0</v>
      </c>
      <c r="O1156" s="38">
        <v>0.0</v>
      </c>
      <c r="P1156" s="38">
        <v>0.0</v>
      </c>
      <c r="Q1156" s="38">
        <v>0.0</v>
      </c>
    </row>
    <row r="1157">
      <c r="A1157" s="49">
        <v>46199.0</v>
      </c>
      <c r="B1157" s="50">
        <v>0.7347222222222223</v>
      </c>
      <c r="C1157" s="41" t="s">
        <v>29</v>
      </c>
      <c r="D1157" s="41" t="s">
        <v>94</v>
      </c>
      <c r="E1157" s="41" t="s">
        <v>89</v>
      </c>
      <c r="F1157" s="42">
        <v>1.0</v>
      </c>
      <c r="G1157" s="42">
        <v>0.0</v>
      </c>
      <c r="H1157" s="42">
        <v>0.0</v>
      </c>
      <c r="I1157" s="42">
        <v>0.0</v>
      </c>
      <c r="J1157" s="42">
        <v>0.0</v>
      </c>
      <c r="K1157" s="42">
        <v>1.0</v>
      </c>
      <c r="L1157" s="42">
        <v>1.0</v>
      </c>
      <c r="M1157" s="42">
        <v>0.0</v>
      </c>
      <c r="N1157" s="42">
        <v>0.0</v>
      </c>
      <c r="O1157" s="42">
        <v>0.0</v>
      </c>
      <c r="P1157" s="42">
        <v>0.0</v>
      </c>
      <c r="Q1157" s="42">
        <v>0.0</v>
      </c>
    </row>
    <row r="1158">
      <c r="A1158" s="47">
        <v>46199.0</v>
      </c>
      <c r="B1158" s="48">
        <v>0.7347222222222223</v>
      </c>
      <c r="C1158" s="37" t="s">
        <v>29</v>
      </c>
      <c r="D1158" s="37" t="s">
        <v>94</v>
      </c>
      <c r="E1158" s="37" t="s">
        <v>50</v>
      </c>
      <c r="F1158" s="38">
        <v>0.0</v>
      </c>
      <c r="G1158" s="38">
        <v>0.0</v>
      </c>
      <c r="H1158" s="38">
        <v>0.0</v>
      </c>
      <c r="I1158" s="38">
        <v>0.0</v>
      </c>
      <c r="J1158" s="38">
        <v>0.0</v>
      </c>
      <c r="K1158" s="38">
        <v>0.0</v>
      </c>
      <c r="L1158" s="38">
        <v>0.0</v>
      </c>
      <c r="M1158" s="38">
        <v>0.0</v>
      </c>
      <c r="N1158" s="38">
        <v>0.0</v>
      </c>
      <c r="O1158" s="38">
        <v>0.0</v>
      </c>
      <c r="P1158" s="38">
        <v>0.0</v>
      </c>
      <c r="Q1158" s="38">
        <v>0.0</v>
      </c>
    </row>
    <row r="1159">
      <c r="A1159" s="49">
        <v>46199.0</v>
      </c>
      <c r="B1159" s="50">
        <v>0.7347222222222223</v>
      </c>
      <c r="C1159" s="41" t="s">
        <v>29</v>
      </c>
      <c r="D1159" s="41" t="s">
        <v>94</v>
      </c>
      <c r="E1159" s="41" t="s">
        <v>90</v>
      </c>
      <c r="F1159" s="42">
        <v>0.0</v>
      </c>
      <c r="G1159" s="42">
        <v>0.0</v>
      </c>
      <c r="H1159" s="42">
        <v>0.0</v>
      </c>
      <c r="I1159" s="42">
        <v>0.0</v>
      </c>
      <c r="J1159" s="42">
        <v>0.0</v>
      </c>
      <c r="K1159" s="42">
        <v>0.0</v>
      </c>
      <c r="L1159" s="42">
        <v>0.0</v>
      </c>
      <c r="M1159" s="42">
        <v>0.0</v>
      </c>
      <c r="N1159" s="42">
        <v>0.0</v>
      </c>
      <c r="O1159" s="42">
        <v>0.0</v>
      </c>
      <c r="P1159" s="42">
        <v>0.0</v>
      </c>
      <c r="Q1159" s="42">
        <v>0.0</v>
      </c>
    </row>
    <row r="1160">
      <c r="A1160" s="47">
        <v>46199.0</v>
      </c>
      <c r="B1160" s="48">
        <v>0.7347222222222223</v>
      </c>
      <c r="C1160" s="37" t="s">
        <v>29</v>
      </c>
      <c r="D1160" s="37" t="s">
        <v>94</v>
      </c>
      <c r="E1160" s="37" t="s">
        <v>91</v>
      </c>
      <c r="F1160" s="38">
        <v>0.0</v>
      </c>
      <c r="G1160" s="38">
        <v>0.0</v>
      </c>
      <c r="H1160" s="38">
        <v>0.0</v>
      </c>
      <c r="I1160" s="38">
        <v>0.0</v>
      </c>
      <c r="J1160" s="38">
        <v>0.0</v>
      </c>
      <c r="K1160" s="38">
        <v>0.0</v>
      </c>
      <c r="L1160" s="38">
        <v>0.0</v>
      </c>
      <c r="M1160" s="38">
        <v>0.0</v>
      </c>
      <c r="N1160" s="38">
        <v>0.0</v>
      </c>
      <c r="O1160" s="38">
        <v>0.0</v>
      </c>
      <c r="P1160" s="38">
        <v>0.0</v>
      </c>
      <c r="Q1160" s="38">
        <v>0.0</v>
      </c>
    </row>
    <row r="1161">
      <c r="A1161" s="49">
        <v>46199.0</v>
      </c>
      <c r="B1161" s="50">
        <v>0.7347222222222223</v>
      </c>
      <c r="C1161" s="41" t="s">
        <v>29</v>
      </c>
      <c r="D1161" s="41" t="s">
        <v>94</v>
      </c>
      <c r="E1161" s="41" t="s">
        <v>92</v>
      </c>
      <c r="F1161" s="42">
        <v>0.0</v>
      </c>
      <c r="G1161" s="42">
        <v>0.0</v>
      </c>
      <c r="H1161" s="42">
        <v>0.0</v>
      </c>
      <c r="I1161" s="42">
        <v>0.0</v>
      </c>
      <c r="J1161" s="42">
        <v>0.0</v>
      </c>
      <c r="K1161" s="42">
        <v>0.0</v>
      </c>
      <c r="L1161" s="42">
        <v>0.0</v>
      </c>
      <c r="M1161" s="42">
        <v>0.0</v>
      </c>
      <c r="N1161" s="42">
        <v>0.0</v>
      </c>
      <c r="O1161" s="42">
        <v>0.0</v>
      </c>
      <c r="P1161" s="42">
        <v>0.0</v>
      </c>
      <c r="Q1161" s="42">
        <v>0.0</v>
      </c>
    </row>
    <row r="1162">
      <c r="A1162" s="47">
        <v>46199.0</v>
      </c>
      <c r="B1162" s="48">
        <v>0.7347222222222223</v>
      </c>
      <c r="C1162" s="37" t="s">
        <v>29</v>
      </c>
      <c r="D1162" s="37" t="s">
        <v>94</v>
      </c>
      <c r="E1162" s="37" t="s">
        <v>106</v>
      </c>
      <c r="F1162" s="38">
        <v>2.0</v>
      </c>
      <c r="G1162" s="38">
        <v>0.0</v>
      </c>
      <c r="H1162" s="38">
        <v>1.0</v>
      </c>
      <c r="I1162" s="38">
        <v>0.0</v>
      </c>
      <c r="J1162" s="38">
        <v>0.0</v>
      </c>
      <c r="K1162" s="38">
        <v>2.0</v>
      </c>
      <c r="L1162" s="38">
        <v>2.0</v>
      </c>
      <c r="M1162" s="38">
        <v>0.0</v>
      </c>
      <c r="N1162" s="38">
        <v>0.0</v>
      </c>
      <c r="O1162" s="38">
        <v>0.0</v>
      </c>
      <c r="P1162" s="38">
        <v>0.0</v>
      </c>
      <c r="Q1162" s="38">
        <v>0.0</v>
      </c>
    </row>
    <row r="1163">
      <c r="A1163" s="49">
        <v>46199.0</v>
      </c>
      <c r="B1163" s="50">
        <v>0.7347222222222223</v>
      </c>
      <c r="C1163" s="41" t="s">
        <v>29</v>
      </c>
      <c r="D1163" s="41" t="s">
        <v>94</v>
      </c>
      <c r="E1163" s="41" t="s">
        <v>107</v>
      </c>
      <c r="F1163" s="42">
        <v>0.0</v>
      </c>
      <c r="G1163" s="42">
        <v>0.0</v>
      </c>
      <c r="H1163" s="42">
        <v>0.0</v>
      </c>
      <c r="I1163" s="42">
        <v>0.0</v>
      </c>
      <c r="J1163" s="42">
        <v>0.0</v>
      </c>
      <c r="K1163" s="42">
        <v>0.0</v>
      </c>
      <c r="L1163" s="42">
        <v>0.0</v>
      </c>
      <c r="M1163" s="42">
        <v>0.0</v>
      </c>
      <c r="N1163" s="42">
        <v>0.0</v>
      </c>
      <c r="O1163" s="42">
        <v>0.0</v>
      </c>
      <c r="P1163" s="42">
        <v>0.0</v>
      </c>
      <c r="Q1163" s="42">
        <v>0.0</v>
      </c>
    </row>
    <row r="1164">
      <c r="A1164" s="47">
        <v>46199.0</v>
      </c>
      <c r="B1164" s="48">
        <v>0.7347222222222223</v>
      </c>
      <c r="C1164" s="37" t="s">
        <v>31</v>
      </c>
      <c r="D1164" s="37" t="s">
        <v>95</v>
      </c>
      <c r="E1164" s="37" t="s">
        <v>52</v>
      </c>
      <c r="F1164" s="38">
        <v>0.0</v>
      </c>
      <c r="G1164" s="38">
        <v>0.0</v>
      </c>
      <c r="H1164" s="38">
        <v>0.0</v>
      </c>
      <c r="I1164" s="38">
        <v>0.0</v>
      </c>
      <c r="J1164" s="38">
        <v>0.0</v>
      </c>
      <c r="K1164" s="38">
        <v>0.0</v>
      </c>
      <c r="L1164" s="38">
        <v>0.0</v>
      </c>
      <c r="M1164" s="38">
        <v>0.0</v>
      </c>
      <c r="N1164" s="38">
        <v>0.0</v>
      </c>
      <c r="O1164" s="38">
        <v>0.0</v>
      </c>
      <c r="P1164" s="38">
        <v>0.0</v>
      </c>
      <c r="Q1164" s="38">
        <v>0.0</v>
      </c>
    </row>
    <row r="1165">
      <c r="A1165" s="49">
        <v>46199.0</v>
      </c>
      <c r="B1165" s="50">
        <v>0.7347222222222223</v>
      </c>
      <c r="C1165" s="41" t="s">
        <v>31</v>
      </c>
      <c r="D1165" s="41" t="s">
        <v>95</v>
      </c>
      <c r="E1165" s="41" t="s">
        <v>88</v>
      </c>
      <c r="F1165" s="42">
        <v>0.0</v>
      </c>
      <c r="G1165" s="42">
        <v>0.0</v>
      </c>
      <c r="H1165" s="42">
        <v>0.0</v>
      </c>
      <c r="I1165" s="42">
        <v>0.0</v>
      </c>
      <c r="J1165" s="42">
        <v>0.0</v>
      </c>
      <c r="K1165" s="42">
        <v>0.0</v>
      </c>
      <c r="L1165" s="42">
        <v>0.0</v>
      </c>
      <c r="M1165" s="42">
        <v>0.0</v>
      </c>
      <c r="N1165" s="42">
        <v>0.0</v>
      </c>
      <c r="O1165" s="42">
        <v>0.0</v>
      </c>
      <c r="P1165" s="42">
        <v>0.0</v>
      </c>
      <c r="Q1165" s="42">
        <v>0.0</v>
      </c>
    </row>
    <row r="1166">
      <c r="A1166" s="47">
        <v>46199.0</v>
      </c>
      <c r="B1166" s="48">
        <v>0.7347222222222223</v>
      </c>
      <c r="C1166" s="37" t="s">
        <v>31</v>
      </c>
      <c r="D1166" s="37" t="s">
        <v>95</v>
      </c>
      <c r="E1166" s="37" t="s">
        <v>89</v>
      </c>
      <c r="F1166" s="38">
        <v>0.0</v>
      </c>
      <c r="G1166" s="38">
        <v>0.0</v>
      </c>
      <c r="H1166" s="38">
        <v>0.0</v>
      </c>
      <c r="I1166" s="38">
        <v>0.0</v>
      </c>
      <c r="J1166" s="38">
        <v>0.0</v>
      </c>
      <c r="K1166" s="38">
        <v>0.0</v>
      </c>
      <c r="L1166" s="38">
        <v>0.0</v>
      </c>
      <c r="M1166" s="38">
        <v>0.0</v>
      </c>
      <c r="N1166" s="38">
        <v>0.0</v>
      </c>
      <c r="O1166" s="38">
        <v>0.0</v>
      </c>
      <c r="P1166" s="38">
        <v>0.0</v>
      </c>
      <c r="Q1166" s="38">
        <v>0.0</v>
      </c>
    </row>
    <row r="1167">
      <c r="A1167" s="49">
        <v>46199.0</v>
      </c>
      <c r="B1167" s="50">
        <v>0.7347222222222223</v>
      </c>
      <c r="C1167" s="41" t="s">
        <v>31</v>
      </c>
      <c r="D1167" s="41" t="s">
        <v>95</v>
      </c>
      <c r="E1167" s="41" t="s">
        <v>50</v>
      </c>
      <c r="F1167" s="42">
        <v>1.0</v>
      </c>
      <c r="G1167" s="42">
        <v>1.0</v>
      </c>
      <c r="H1167" s="42">
        <v>0.0</v>
      </c>
      <c r="I1167" s="42">
        <v>0.0</v>
      </c>
      <c r="J1167" s="42">
        <v>0.0</v>
      </c>
      <c r="K1167" s="42">
        <v>0.0</v>
      </c>
      <c r="L1167" s="42">
        <v>0.0</v>
      </c>
      <c r="M1167" s="42">
        <v>0.0</v>
      </c>
      <c r="N1167" s="42">
        <v>0.0</v>
      </c>
      <c r="O1167" s="42">
        <v>0.0</v>
      </c>
      <c r="P1167" s="42">
        <v>0.0</v>
      </c>
      <c r="Q1167" s="42">
        <v>0.0</v>
      </c>
    </row>
    <row r="1168">
      <c r="A1168" s="47">
        <v>46199.0</v>
      </c>
      <c r="B1168" s="48">
        <v>0.7347222222222223</v>
      </c>
      <c r="C1168" s="37" t="s">
        <v>31</v>
      </c>
      <c r="D1168" s="37" t="s">
        <v>95</v>
      </c>
      <c r="E1168" s="37" t="s">
        <v>90</v>
      </c>
      <c r="F1168" s="38">
        <v>0.0</v>
      </c>
      <c r="G1168" s="38">
        <v>0.0</v>
      </c>
      <c r="H1168" s="38">
        <v>0.0</v>
      </c>
      <c r="I1168" s="38">
        <v>0.0</v>
      </c>
      <c r="J1168" s="38">
        <v>0.0</v>
      </c>
      <c r="K1168" s="38">
        <v>0.0</v>
      </c>
      <c r="L1168" s="38">
        <v>0.0</v>
      </c>
      <c r="M1168" s="38">
        <v>0.0</v>
      </c>
      <c r="N1168" s="38">
        <v>0.0</v>
      </c>
      <c r="O1168" s="38">
        <v>0.0</v>
      </c>
      <c r="P1168" s="38">
        <v>0.0</v>
      </c>
      <c r="Q1168" s="38">
        <v>0.0</v>
      </c>
    </row>
    <row r="1169">
      <c r="A1169" s="49">
        <v>46199.0</v>
      </c>
      <c r="B1169" s="50">
        <v>0.7347222222222223</v>
      </c>
      <c r="C1169" s="41" t="s">
        <v>31</v>
      </c>
      <c r="D1169" s="41" t="s">
        <v>95</v>
      </c>
      <c r="E1169" s="41" t="s">
        <v>91</v>
      </c>
      <c r="F1169" s="42">
        <v>0.0</v>
      </c>
      <c r="G1169" s="42">
        <v>0.0</v>
      </c>
      <c r="H1169" s="42">
        <v>0.0</v>
      </c>
      <c r="I1169" s="42">
        <v>0.0</v>
      </c>
      <c r="J1169" s="42">
        <v>0.0</v>
      </c>
      <c r="K1169" s="42">
        <v>0.0</v>
      </c>
      <c r="L1169" s="42">
        <v>0.0</v>
      </c>
      <c r="M1169" s="42">
        <v>0.0</v>
      </c>
      <c r="N1169" s="42">
        <v>0.0</v>
      </c>
      <c r="O1169" s="42">
        <v>0.0</v>
      </c>
      <c r="P1169" s="42">
        <v>0.0</v>
      </c>
      <c r="Q1169" s="42">
        <v>0.0</v>
      </c>
    </row>
    <row r="1170">
      <c r="A1170" s="47">
        <v>46199.0</v>
      </c>
      <c r="B1170" s="48">
        <v>0.7347222222222223</v>
      </c>
      <c r="C1170" s="37" t="s">
        <v>31</v>
      </c>
      <c r="D1170" s="37" t="s">
        <v>95</v>
      </c>
      <c r="E1170" s="37" t="s">
        <v>92</v>
      </c>
      <c r="F1170" s="38">
        <v>0.0</v>
      </c>
      <c r="G1170" s="38">
        <v>0.0</v>
      </c>
      <c r="H1170" s="38">
        <v>0.0</v>
      </c>
      <c r="I1170" s="38">
        <v>0.0</v>
      </c>
      <c r="J1170" s="38">
        <v>0.0</v>
      </c>
      <c r="K1170" s="38">
        <v>0.0</v>
      </c>
      <c r="L1170" s="38">
        <v>0.0</v>
      </c>
      <c r="M1170" s="38">
        <v>0.0</v>
      </c>
      <c r="N1170" s="38">
        <v>0.0</v>
      </c>
      <c r="O1170" s="38">
        <v>0.0</v>
      </c>
      <c r="P1170" s="38">
        <v>0.0</v>
      </c>
      <c r="Q1170" s="38">
        <v>0.0</v>
      </c>
    </row>
    <row r="1171">
      <c r="A1171" s="49">
        <v>46199.0</v>
      </c>
      <c r="B1171" s="50">
        <v>0.7347222222222223</v>
      </c>
      <c r="C1171" s="41" t="s">
        <v>31</v>
      </c>
      <c r="D1171" s="41" t="s">
        <v>95</v>
      </c>
      <c r="E1171" s="41" t="s">
        <v>106</v>
      </c>
      <c r="F1171" s="42">
        <v>0.0</v>
      </c>
      <c r="G1171" s="42">
        <v>0.0</v>
      </c>
      <c r="H1171" s="42">
        <v>0.0</v>
      </c>
      <c r="I1171" s="42">
        <v>0.0</v>
      </c>
      <c r="J1171" s="42">
        <v>0.0</v>
      </c>
      <c r="K1171" s="42">
        <v>0.0</v>
      </c>
      <c r="L1171" s="42">
        <v>0.0</v>
      </c>
      <c r="M1171" s="42">
        <v>0.0</v>
      </c>
      <c r="N1171" s="42">
        <v>0.0</v>
      </c>
      <c r="O1171" s="42">
        <v>0.0</v>
      </c>
      <c r="P1171" s="42">
        <v>0.0</v>
      </c>
      <c r="Q1171" s="42">
        <v>0.0</v>
      </c>
    </row>
    <row r="1172">
      <c r="A1172" s="47">
        <v>46199.0</v>
      </c>
      <c r="B1172" s="48">
        <v>0.7347222222222223</v>
      </c>
      <c r="C1172" s="37" t="s">
        <v>31</v>
      </c>
      <c r="D1172" s="37" t="s">
        <v>95</v>
      </c>
      <c r="E1172" s="37" t="s">
        <v>107</v>
      </c>
      <c r="F1172" s="38">
        <v>0.0</v>
      </c>
      <c r="G1172" s="38">
        <v>0.0</v>
      </c>
      <c r="H1172" s="38">
        <v>0.0</v>
      </c>
      <c r="I1172" s="38">
        <v>0.0</v>
      </c>
      <c r="J1172" s="38">
        <v>0.0</v>
      </c>
      <c r="K1172" s="38">
        <v>0.0</v>
      </c>
      <c r="L1172" s="38">
        <v>0.0</v>
      </c>
      <c r="M1172" s="38">
        <v>0.0</v>
      </c>
      <c r="N1172" s="38">
        <v>0.0</v>
      </c>
      <c r="O1172" s="38">
        <v>0.0</v>
      </c>
      <c r="P1172" s="38">
        <v>0.0</v>
      </c>
      <c r="Q1172" s="38">
        <v>0.0</v>
      </c>
    </row>
    <row r="1173">
      <c r="A1173" s="51">
        <v>46199.0</v>
      </c>
      <c r="B1173" s="52">
        <v>0.7347222222222223</v>
      </c>
      <c r="C1173" s="45" t="s">
        <v>96</v>
      </c>
      <c r="D1173" s="45" t="s">
        <v>75</v>
      </c>
      <c r="E1173" s="45" t="s">
        <v>52</v>
      </c>
      <c r="F1173" s="46">
        <v>12.0</v>
      </c>
      <c r="G1173" s="46">
        <v>5.0</v>
      </c>
      <c r="H1173" s="46">
        <v>2.0</v>
      </c>
      <c r="I1173" s="46">
        <v>1.0</v>
      </c>
      <c r="J1173" s="46">
        <v>0.0</v>
      </c>
      <c r="K1173" s="46">
        <v>11.0</v>
      </c>
      <c r="L1173" s="46">
        <v>12.0</v>
      </c>
      <c r="M1173" s="46">
        <v>0.0</v>
      </c>
      <c r="N1173" s="46">
        <v>0.0</v>
      </c>
      <c r="O1173" s="46">
        <v>0.0</v>
      </c>
      <c r="P1173" s="46">
        <v>5.0</v>
      </c>
      <c r="Q1173" s="46">
        <v>5.0</v>
      </c>
    </row>
    <row r="1174">
      <c r="A1174" s="51">
        <v>46199.0</v>
      </c>
      <c r="B1174" s="52">
        <v>0.7347222222222223</v>
      </c>
      <c r="C1174" s="45" t="s">
        <v>96</v>
      </c>
      <c r="D1174" s="45" t="s">
        <v>75</v>
      </c>
      <c r="E1174" s="45" t="s">
        <v>88</v>
      </c>
      <c r="F1174" s="46">
        <v>0.0</v>
      </c>
      <c r="G1174" s="46">
        <v>0.0</v>
      </c>
      <c r="H1174" s="46">
        <v>0.0</v>
      </c>
      <c r="I1174" s="46">
        <v>0.0</v>
      </c>
      <c r="J1174" s="46">
        <v>0.0</v>
      </c>
      <c r="K1174" s="46">
        <v>0.0</v>
      </c>
      <c r="L1174" s="46">
        <v>0.0</v>
      </c>
      <c r="M1174" s="46">
        <v>0.0</v>
      </c>
      <c r="N1174" s="46">
        <v>0.0</v>
      </c>
      <c r="O1174" s="46">
        <v>0.0</v>
      </c>
      <c r="P1174" s="46">
        <v>0.0</v>
      </c>
      <c r="Q1174" s="46">
        <v>0.0</v>
      </c>
    </row>
    <row r="1175">
      <c r="A1175" s="51">
        <v>46199.0</v>
      </c>
      <c r="B1175" s="52">
        <v>0.7347222222222223</v>
      </c>
      <c r="C1175" s="45" t="s">
        <v>96</v>
      </c>
      <c r="D1175" s="45" t="s">
        <v>75</v>
      </c>
      <c r="E1175" s="45" t="s">
        <v>89</v>
      </c>
      <c r="F1175" s="46">
        <v>1.0</v>
      </c>
      <c r="G1175" s="46">
        <v>0.0</v>
      </c>
      <c r="H1175" s="46">
        <v>0.0</v>
      </c>
      <c r="I1175" s="46">
        <v>0.0</v>
      </c>
      <c r="J1175" s="46">
        <v>0.0</v>
      </c>
      <c r="K1175" s="46">
        <v>1.0</v>
      </c>
      <c r="L1175" s="46">
        <v>1.0</v>
      </c>
      <c r="M1175" s="46">
        <v>0.0</v>
      </c>
      <c r="N1175" s="46">
        <v>0.0</v>
      </c>
      <c r="O1175" s="46">
        <v>0.0</v>
      </c>
      <c r="P1175" s="46">
        <v>0.0</v>
      </c>
      <c r="Q1175" s="46">
        <v>0.0</v>
      </c>
    </row>
    <row r="1176">
      <c r="A1176" s="51">
        <v>46199.0</v>
      </c>
      <c r="B1176" s="52">
        <v>0.7347222222222223</v>
      </c>
      <c r="C1176" s="45" t="s">
        <v>96</v>
      </c>
      <c r="D1176" s="45" t="s">
        <v>75</v>
      </c>
      <c r="E1176" s="45" t="s">
        <v>50</v>
      </c>
      <c r="F1176" s="46">
        <v>1.0</v>
      </c>
      <c r="G1176" s="46">
        <v>1.0</v>
      </c>
      <c r="H1176" s="46">
        <v>0.0</v>
      </c>
      <c r="I1176" s="46">
        <v>0.0</v>
      </c>
      <c r="J1176" s="46">
        <v>0.0</v>
      </c>
      <c r="K1176" s="46">
        <v>0.0</v>
      </c>
      <c r="L1176" s="46">
        <v>0.0</v>
      </c>
      <c r="M1176" s="46">
        <v>0.0</v>
      </c>
      <c r="N1176" s="46">
        <v>0.0</v>
      </c>
      <c r="O1176" s="46">
        <v>0.0</v>
      </c>
      <c r="P1176" s="46">
        <v>0.0</v>
      </c>
      <c r="Q1176" s="46">
        <v>0.0</v>
      </c>
    </row>
    <row r="1177">
      <c r="A1177" s="51">
        <v>46199.0</v>
      </c>
      <c r="B1177" s="52">
        <v>0.7347222222222223</v>
      </c>
      <c r="C1177" s="45" t="s">
        <v>96</v>
      </c>
      <c r="D1177" s="45" t="s">
        <v>75</v>
      </c>
      <c r="E1177" s="45" t="s">
        <v>90</v>
      </c>
      <c r="F1177" s="46">
        <v>0.0</v>
      </c>
      <c r="G1177" s="46">
        <v>0.0</v>
      </c>
      <c r="H1177" s="46">
        <v>0.0</v>
      </c>
      <c r="I1177" s="46">
        <v>0.0</v>
      </c>
      <c r="J1177" s="46">
        <v>0.0</v>
      </c>
      <c r="K1177" s="46">
        <v>0.0</v>
      </c>
      <c r="L1177" s="46">
        <v>0.0</v>
      </c>
      <c r="M1177" s="46">
        <v>0.0</v>
      </c>
      <c r="N1177" s="46">
        <v>0.0</v>
      </c>
      <c r="O1177" s="46">
        <v>0.0</v>
      </c>
      <c r="P1177" s="46">
        <v>0.0</v>
      </c>
      <c r="Q1177" s="46">
        <v>0.0</v>
      </c>
    </row>
    <row r="1178">
      <c r="A1178" s="51">
        <v>46199.0</v>
      </c>
      <c r="B1178" s="52">
        <v>0.7347222222222223</v>
      </c>
      <c r="C1178" s="45" t="s">
        <v>96</v>
      </c>
      <c r="D1178" s="45" t="s">
        <v>75</v>
      </c>
      <c r="E1178" s="45" t="s">
        <v>91</v>
      </c>
      <c r="F1178" s="46">
        <v>0.0</v>
      </c>
      <c r="G1178" s="46">
        <v>0.0</v>
      </c>
      <c r="H1178" s="46">
        <v>0.0</v>
      </c>
      <c r="I1178" s="46">
        <v>0.0</v>
      </c>
      <c r="J1178" s="46">
        <v>0.0</v>
      </c>
      <c r="K1178" s="46">
        <v>0.0</v>
      </c>
      <c r="L1178" s="46">
        <v>0.0</v>
      </c>
      <c r="M1178" s="46">
        <v>0.0</v>
      </c>
      <c r="N1178" s="46">
        <v>0.0</v>
      </c>
      <c r="O1178" s="46">
        <v>0.0</v>
      </c>
      <c r="P1178" s="46">
        <v>0.0</v>
      </c>
      <c r="Q1178" s="46">
        <v>0.0</v>
      </c>
    </row>
    <row r="1179">
      <c r="A1179" s="51">
        <v>46199.0</v>
      </c>
      <c r="B1179" s="52">
        <v>0.7347222222222223</v>
      </c>
      <c r="C1179" s="45" t="s">
        <v>96</v>
      </c>
      <c r="D1179" s="45" t="s">
        <v>75</v>
      </c>
      <c r="E1179" s="45" t="s">
        <v>92</v>
      </c>
      <c r="F1179" s="46">
        <v>0.0</v>
      </c>
      <c r="G1179" s="46">
        <v>0.0</v>
      </c>
      <c r="H1179" s="46">
        <v>0.0</v>
      </c>
      <c r="I1179" s="46">
        <v>0.0</v>
      </c>
      <c r="J1179" s="46">
        <v>0.0</v>
      </c>
      <c r="K1179" s="46">
        <v>0.0</v>
      </c>
      <c r="L1179" s="46">
        <v>0.0</v>
      </c>
      <c r="M1179" s="46">
        <v>0.0</v>
      </c>
      <c r="N1179" s="46">
        <v>0.0</v>
      </c>
      <c r="O1179" s="46">
        <v>0.0</v>
      </c>
      <c r="P1179" s="46">
        <v>0.0</v>
      </c>
      <c r="Q1179" s="46">
        <v>0.0</v>
      </c>
    </row>
    <row r="1180">
      <c r="A1180" s="51">
        <v>46199.0</v>
      </c>
      <c r="B1180" s="52">
        <v>0.7347222222222223</v>
      </c>
      <c r="C1180" s="45" t="s">
        <v>96</v>
      </c>
      <c r="D1180" s="45" t="s">
        <v>75</v>
      </c>
      <c r="E1180" s="45" t="s">
        <v>106</v>
      </c>
      <c r="F1180" s="46">
        <v>2.0</v>
      </c>
      <c r="G1180" s="46">
        <v>0.0</v>
      </c>
      <c r="H1180" s="46">
        <v>1.0</v>
      </c>
      <c r="I1180" s="46">
        <v>0.0</v>
      </c>
      <c r="J1180" s="46">
        <v>0.0</v>
      </c>
      <c r="K1180" s="46">
        <v>2.0</v>
      </c>
      <c r="L1180" s="46">
        <v>2.0</v>
      </c>
      <c r="M1180" s="46">
        <v>0.0</v>
      </c>
      <c r="N1180" s="46">
        <v>0.0</v>
      </c>
      <c r="O1180" s="46">
        <v>0.0</v>
      </c>
      <c r="P1180" s="46">
        <v>0.0</v>
      </c>
      <c r="Q1180" s="46">
        <v>0.0</v>
      </c>
    </row>
    <row r="1181">
      <c r="A1181" s="51">
        <v>46199.0</v>
      </c>
      <c r="B1181" s="52">
        <v>0.7347222222222223</v>
      </c>
      <c r="C1181" s="45" t="s">
        <v>96</v>
      </c>
      <c r="D1181" s="45" t="s">
        <v>75</v>
      </c>
      <c r="E1181" s="45" t="s">
        <v>107</v>
      </c>
      <c r="F1181" s="46">
        <v>0.0</v>
      </c>
      <c r="G1181" s="46">
        <v>0.0</v>
      </c>
      <c r="H1181" s="46">
        <v>0.0</v>
      </c>
      <c r="I1181" s="46">
        <v>0.0</v>
      </c>
      <c r="J1181" s="46">
        <v>0.0</v>
      </c>
      <c r="K1181" s="46">
        <v>0.0</v>
      </c>
      <c r="L1181" s="46">
        <v>0.0</v>
      </c>
      <c r="M1181" s="46">
        <v>0.0</v>
      </c>
      <c r="N1181" s="46">
        <v>0.0</v>
      </c>
      <c r="O1181" s="46">
        <v>0.0</v>
      </c>
      <c r="P1181" s="46">
        <v>0.0</v>
      </c>
      <c r="Q1181" s="46">
        <v>0.0</v>
      </c>
    </row>
    <row r="1182">
      <c r="A1182" s="47">
        <v>46200.0</v>
      </c>
      <c r="B1182" s="48">
        <v>0.7354166666666667</v>
      </c>
      <c r="C1182" s="37" t="s">
        <v>15</v>
      </c>
      <c r="D1182" s="37" t="s">
        <v>87</v>
      </c>
      <c r="E1182" s="37" t="s">
        <v>52</v>
      </c>
      <c r="F1182" s="38">
        <v>5.0</v>
      </c>
      <c r="G1182" s="38">
        <v>1.0</v>
      </c>
      <c r="H1182" s="38">
        <v>1.0</v>
      </c>
      <c r="I1182" s="38">
        <v>1.0</v>
      </c>
      <c r="J1182" s="38">
        <v>1.0</v>
      </c>
      <c r="K1182" s="38">
        <v>4.0</v>
      </c>
      <c r="L1182" s="38">
        <v>5.0</v>
      </c>
      <c r="M1182" s="38">
        <v>0.0</v>
      </c>
      <c r="N1182" s="38">
        <v>0.0</v>
      </c>
      <c r="O1182" s="38">
        <v>0.0</v>
      </c>
      <c r="P1182" s="38">
        <v>1.0</v>
      </c>
      <c r="Q1182" s="38">
        <v>1.0</v>
      </c>
    </row>
    <row r="1183">
      <c r="A1183" s="49">
        <v>46200.0</v>
      </c>
      <c r="B1183" s="50">
        <v>0.7354166666666667</v>
      </c>
      <c r="C1183" s="41" t="s">
        <v>15</v>
      </c>
      <c r="D1183" s="41" t="s">
        <v>87</v>
      </c>
      <c r="E1183" s="41" t="s">
        <v>88</v>
      </c>
      <c r="F1183" s="42">
        <v>0.0</v>
      </c>
      <c r="G1183" s="42">
        <v>0.0</v>
      </c>
      <c r="H1183" s="42">
        <v>0.0</v>
      </c>
      <c r="I1183" s="42">
        <v>0.0</v>
      </c>
      <c r="J1183" s="42">
        <v>0.0</v>
      </c>
      <c r="K1183" s="42">
        <v>0.0</v>
      </c>
      <c r="L1183" s="42">
        <v>0.0</v>
      </c>
      <c r="M1183" s="42">
        <v>0.0</v>
      </c>
      <c r="N1183" s="42">
        <v>0.0</v>
      </c>
      <c r="O1183" s="42">
        <v>0.0</v>
      </c>
      <c r="P1183" s="42">
        <v>0.0</v>
      </c>
      <c r="Q1183" s="42">
        <v>0.0</v>
      </c>
    </row>
    <row r="1184">
      <c r="A1184" s="47">
        <v>46200.0</v>
      </c>
      <c r="B1184" s="48">
        <v>0.7354166666666667</v>
      </c>
      <c r="C1184" s="37" t="s">
        <v>15</v>
      </c>
      <c r="D1184" s="37" t="s">
        <v>87</v>
      </c>
      <c r="E1184" s="37" t="s">
        <v>89</v>
      </c>
      <c r="F1184" s="38">
        <v>0.0</v>
      </c>
      <c r="G1184" s="38">
        <v>0.0</v>
      </c>
      <c r="H1184" s="38">
        <v>0.0</v>
      </c>
      <c r="I1184" s="38">
        <v>0.0</v>
      </c>
      <c r="J1184" s="38">
        <v>0.0</v>
      </c>
      <c r="K1184" s="38">
        <v>0.0</v>
      </c>
      <c r="L1184" s="38">
        <v>0.0</v>
      </c>
      <c r="M1184" s="38">
        <v>0.0</v>
      </c>
      <c r="N1184" s="38">
        <v>0.0</v>
      </c>
      <c r="O1184" s="38">
        <v>0.0</v>
      </c>
      <c r="P1184" s="38">
        <v>0.0</v>
      </c>
      <c r="Q1184" s="38">
        <v>0.0</v>
      </c>
    </row>
    <row r="1185">
      <c r="A1185" s="49">
        <v>46200.0</v>
      </c>
      <c r="B1185" s="50">
        <v>0.7354166666666667</v>
      </c>
      <c r="C1185" s="41" t="s">
        <v>15</v>
      </c>
      <c r="D1185" s="41" t="s">
        <v>87</v>
      </c>
      <c r="E1185" s="41" t="s">
        <v>50</v>
      </c>
      <c r="F1185" s="42">
        <v>0.0</v>
      </c>
      <c r="G1185" s="42">
        <v>0.0</v>
      </c>
      <c r="H1185" s="42">
        <v>0.0</v>
      </c>
      <c r="I1185" s="42">
        <v>0.0</v>
      </c>
      <c r="J1185" s="42">
        <v>0.0</v>
      </c>
      <c r="K1185" s="42">
        <v>0.0</v>
      </c>
      <c r="L1185" s="42">
        <v>0.0</v>
      </c>
      <c r="M1185" s="42">
        <v>0.0</v>
      </c>
      <c r="N1185" s="42">
        <v>0.0</v>
      </c>
      <c r="O1185" s="42">
        <v>0.0</v>
      </c>
      <c r="P1185" s="42">
        <v>0.0</v>
      </c>
      <c r="Q1185" s="42">
        <v>0.0</v>
      </c>
    </row>
    <row r="1186">
      <c r="A1186" s="47">
        <v>46200.0</v>
      </c>
      <c r="B1186" s="48">
        <v>0.7354166666666667</v>
      </c>
      <c r="C1186" s="37" t="s">
        <v>15</v>
      </c>
      <c r="D1186" s="37" t="s">
        <v>87</v>
      </c>
      <c r="E1186" s="37" t="s">
        <v>90</v>
      </c>
      <c r="F1186" s="38">
        <v>0.0</v>
      </c>
      <c r="G1186" s="38">
        <v>0.0</v>
      </c>
      <c r="H1186" s="38">
        <v>0.0</v>
      </c>
      <c r="I1186" s="38">
        <v>0.0</v>
      </c>
      <c r="J1186" s="38">
        <v>0.0</v>
      </c>
      <c r="K1186" s="38">
        <v>0.0</v>
      </c>
      <c r="L1186" s="38">
        <v>0.0</v>
      </c>
      <c r="M1186" s="38">
        <v>0.0</v>
      </c>
      <c r="N1186" s="38">
        <v>0.0</v>
      </c>
      <c r="O1186" s="38">
        <v>0.0</v>
      </c>
      <c r="P1186" s="38">
        <v>0.0</v>
      </c>
      <c r="Q1186" s="38">
        <v>0.0</v>
      </c>
    </row>
    <row r="1187">
      <c r="A1187" s="49">
        <v>46200.0</v>
      </c>
      <c r="B1187" s="50">
        <v>0.7354166666666667</v>
      </c>
      <c r="C1187" s="41" t="s">
        <v>15</v>
      </c>
      <c r="D1187" s="41" t="s">
        <v>87</v>
      </c>
      <c r="E1187" s="41" t="s">
        <v>91</v>
      </c>
      <c r="F1187" s="42">
        <v>0.0</v>
      </c>
      <c r="G1187" s="42">
        <v>0.0</v>
      </c>
      <c r="H1187" s="42">
        <v>0.0</v>
      </c>
      <c r="I1187" s="42">
        <v>0.0</v>
      </c>
      <c r="J1187" s="42">
        <v>0.0</v>
      </c>
      <c r="K1187" s="42">
        <v>0.0</v>
      </c>
      <c r="L1187" s="42">
        <v>0.0</v>
      </c>
      <c r="M1187" s="42">
        <v>0.0</v>
      </c>
      <c r="N1187" s="42">
        <v>0.0</v>
      </c>
      <c r="O1187" s="42">
        <v>0.0</v>
      </c>
      <c r="P1187" s="42">
        <v>0.0</v>
      </c>
      <c r="Q1187" s="42">
        <v>0.0</v>
      </c>
    </row>
    <row r="1188">
      <c r="A1188" s="47">
        <v>46200.0</v>
      </c>
      <c r="B1188" s="48">
        <v>0.7354166666666667</v>
      </c>
      <c r="C1188" s="37" t="s">
        <v>15</v>
      </c>
      <c r="D1188" s="37" t="s">
        <v>87</v>
      </c>
      <c r="E1188" s="37" t="s">
        <v>92</v>
      </c>
      <c r="F1188" s="38">
        <v>0.0</v>
      </c>
      <c r="G1188" s="38">
        <v>0.0</v>
      </c>
      <c r="H1188" s="38">
        <v>0.0</v>
      </c>
      <c r="I1188" s="38">
        <v>0.0</v>
      </c>
      <c r="J1188" s="38">
        <v>0.0</v>
      </c>
      <c r="K1188" s="38">
        <v>0.0</v>
      </c>
      <c r="L1188" s="38">
        <v>0.0</v>
      </c>
      <c r="M1188" s="38">
        <v>0.0</v>
      </c>
      <c r="N1188" s="38">
        <v>0.0</v>
      </c>
      <c r="O1188" s="38">
        <v>0.0</v>
      </c>
      <c r="P1188" s="38">
        <v>0.0</v>
      </c>
      <c r="Q1188" s="38">
        <v>0.0</v>
      </c>
    </row>
    <row r="1189">
      <c r="A1189" s="49">
        <v>46200.0</v>
      </c>
      <c r="B1189" s="50">
        <v>0.7354166666666667</v>
      </c>
      <c r="C1189" s="41" t="s">
        <v>15</v>
      </c>
      <c r="D1189" s="41" t="s">
        <v>87</v>
      </c>
      <c r="E1189" s="41" t="s">
        <v>106</v>
      </c>
      <c r="F1189" s="42">
        <v>0.0</v>
      </c>
      <c r="G1189" s="42">
        <v>0.0</v>
      </c>
      <c r="H1189" s="42">
        <v>0.0</v>
      </c>
      <c r="I1189" s="42">
        <v>0.0</v>
      </c>
      <c r="J1189" s="42">
        <v>0.0</v>
      </c>
      <c r="K1189" s="42">
        <v>0.0</v>
      </c>
      <c r="L1189" s="42">
        <v>0.0</v>
      </c>
      <c r="M1189" s="42">
        <v>0.0</v>
      </c>
      <c r="N1189" s="42">
        <v>0.0</v>
      </c>
      <c r="O1189" s="42">
        <v>0.0</v>
      </c>
      <c r="P1189" s="42">
        <v>0.0</v>
      </c>
      <c r="Q1189" s="42">
        <v>0.0</v>
      </c>
    </row>
    <row r="1190">
      <c r="A1190" s="47">
        <v>46200.0</v>
      </c>
      <c r="B1190" s="48">
        <v>0.7354166666666667</v>
      </c>
      <c r="C1190" s="37" t="s">
        <v>15</v>
      </c>
      <c r="D1190" s="37" t="s">
        <v>87</v>
      </c>
      <c r="E1190" s="37" t="s">
        <v>107</v>
      </c>
      <c r="F1190" s="38">
        <v>0.0</v>
      </c>
      <c r="G1190" s="38">
        <v>0.0</v>
      </c>
      <c r="H1190" s="38">
        <v>0.0</v>
      </c>
      <c r="I1190" s="38">
        <v>0.0</v>
      </c>
      <c r="J1190" s="38">
        <v>0.0</v>
      </c>
      <c r="K1190" s="38">
        <v>0.0</v>
      </c>
      <c r="L1190" s="38">
        <v>0.0</v>
      </c>
      <c r="M1190" s="38">
        <v>0.0</v>
      </c>
      <c r="N1190" s="38">
        <v>0.0</v>
      </c>
      <c r="O1190" s="38">
        <v>0.0</v>
      </c>
      <c r="P1190" s="38">
        <v>0.0</v>
      </c>
      <c r="Q1190" s="38">
        <v>0.0</v>
      </c>
    </row>
    <row r="1191">
      <c r="A1191" s="49">
        <v>46200.0</v>
      </c>
      <c r="B1191" s="50">
        <v>0.7354166666666667</v>
      </c>
      <c r="C1191" s="41" t="s">
        <v>23</v>
      </c>
      <c r="D1191" s="41" t="s">
        <v>93</v>
      </c>
      <c r="E1191" s="41" t="s">
        <v>52</v>
      </c>
      <c r="F1191" s="42">
        <v>1.0</v>
      </c>
      <c r="G1191" s="42">
        <v>1.0</v>
      </c>
      <c r="H1191" s="42">
        <v>0.0</v>
      </c>
      <c r="I1191" s="42">
        <v>0.0</v>
      </c>
      <c r="J1191" s="42">
        <v>0.0</v>
      </c>
      <c r="K1191" s="42">
        <v>1.0</v>
      </c>
      <c r="L1191" s="42">
        <v>1.0</v>
      </c>
      <c r="M1191" s="42">
        <v>0.0</v>
      </c>
      <c r="N1191" s="42">
        <v>0.0</v>
      </c>
      <c r="O1191" s="42">
        <v>0.0</v>
      </c>
      <c r="P1191" s="42">
        <v>1.0</v>
      </c>
      <c r="Q1191" s="42">
        <v>1.0</v>
      </c>
    </row>
    <row r="1192">
      <c r="A1192" s="47">
        <v>46200.0</v>
      </c>
      <c r="B1192" s="48">
        <v>0.7354166666666667</v>
      </c>
      <c r="C1192" s="37" t="s">
        <v>23</v>
      </c>
      <c r="D1192" s="37" t="s">
        <v>93</v>
      </c>
      <c r="E1192" s="37" t="s">
        <v>88</v>
      </c>
      <c r="F1192" s="38">
        <v>0.0</v>
      </c>
      <c r="G1192" s="38">
        <v>0.0</v>
      </c>
      <c r="H1192" s="38">
        <v>0.0</v>
      </c>
      <c r="I1192" s="38">
        <v>0.0</v>
      </c>
      <c r="J1192" s="38">
        <v>0.0</v>
      </c>
      <c r="K1192" s="38">
        <v>0.0</v>
      </c>
      <c r="L1192" s="38">
        <v>0.0</v>
      </c>
      <c r="M1192" s="38">
        <v>0.0</v>
      </c>
      <c r="N1192" s="38">
        <v>0.0</v>
      </c>
      <c r="O1192" s="38">
        <v>0.0</v>
      </c>
      <c r="P1192" s="38">
        <v>0.0</v>
      </c>
      <c r="Q1192" s="38">
        <v>0.0</v>
      </c>
    </row>
    <row r="1193">
      <c r="A1193" s="49">
        <v>46200.0</v>
      </c>
      <c r="B1193" s="50">
        <v>0.7354166666666667</v>
      </c>
      <c r="C1193" s="41" t="s">
        <v>23</v>
      </c>
      <c r="D1193" s="41" t="s">
        <v>93</v>
      </c>
      <c r="E1193" s="41" t="s">
        <v>89</v>
      </c>
      <c r="F1193" s="42">
        <v>0.0</v>
      </c>
      <c r="G1193" s="42">
        <v>0.0</v>
      </c>
      <c r="H1193" s="42">
        <v>0.0</v>
      </c>
      <c r="I1193" s="42">
        <v>0.0</v>
      </c>
      <c r="J1193" s="42">
        <v>0.0</v>
      </c>
      <c r="K1193" s="42">
        <v>0.0</v>
      </c>
      <c r="L1193" s="42">
        <v>0.0</v>
      </c>
      <c r="M1193" s="42">
        <v>0.0</v>
      </c>
      <c r="N1193" s="42">
        <v>0.0</v>
      </c>
      <c r="O1193" s="42">
        <v>0.0</v>
      </c>
      <c r="P1193" s="42">
        <v>0.0</v>
      </c>
      <c r="Q1193" s="42">
        <v>0.0</v>
      </c>
    </row>
    <row r="1194">
      <c r="A1194" s="47">
        <v>46200.0</v>
      </c>
      <c r="B1194" s="48">
        <v>0.7354166666666667</v>
      </c>
      <c r="C1194" s="37" t="s">
        <v>23</v>
      </c>
      <c r="D1194" s="37" t="s">
        <v>93</v>
      </c>
      <c r="E1194" s="37" t="s">
        <v>50</v>
      </c>
      <c r="F1194" s="38">
        <v>0.0</v>
      </c>
      <c r="G1194" s="38">
        <v>0.0</v>
      </c>
      <c r="H1194" s="38">
        <v>0.0</v>
      </c>
      <c r="I1194" s="38">
        <v>0.0</v>
      </c>
      <c r="J1194" s="38">
        <v>0.0</v>
      </c>
      <c r="K1194" s="38">
        <v>0.0</v>
      </c>
      <c r="L1194" s="38">
        <v>0.0</v>
      </c>
      <c r="M1194" s="38">
        <v>0.0</v>
      </c>
      <c r="N1194" s="38">
        <v>0.0</v>
      </c>
      <c r="O1194" s="38">
        <v>0.0</v>
      </c>
      <c r="P1194" s="38">
        <v>0.0</v>
      </c>
      <c r="Q1194" s="38">
        <v>0.0</v>
      </c>
    </row>
    <row r="1195">
      <c r="A1195" s="49">
        <v>46200.0</v>
      </c>
      <c r="B1195" s="50">
        <v>0.7354166666666667</v>
      </c>
      <c r="C1195" s="41" t="s">
        <v>23</v>
      </c>
      <c r="D1195" s="41" t="s">
        <v>93</v>
      </c>
      <c r="E1195" s="41" t="s">
        <v>90</v>
      </c>
      <c r="F1195" s="42">
        <v>0.0</v>
      </c>
      <c r="G1195" s="42">
        <v>0.0</v>
      </c>
      <c r="H1195" s="42">
        <v>0.0</v>
      </c>
      <c r="I1195" s="42">
        <v>0.0</v>
      </c>
      <c r="J1195" s="42">
        <v>0.0</v>
      </c>
      <c r="K1195" s="42">
        <v>0.0</v>
      </c>
      <c r="L1195" s="42">
        <v>0.0</v>
      </c>
      <c r="M1195" s="42">
        <v>0.0</v>
      </c>
      <c r="N1195" s="42">
        <v>0.0</v>
      </c>
      <c r="O1195" s="42">
        <v>0.0</v>
      </c>
      <c r="P1195" s="42">
        <v>0.0</v>
      </c>
      <c r="Q1195" s="42">
        <v>0.0</v>
      </c>
    </row>
    <row r="1196">
      <c r="A1196" s="47">
        <v>46200.0</v>
      </c>
      <c r="B1196" s="48">
        <v>0.7354166666666667</v>
      </c>
      <c r="C1196" s="37" t="s">
        <v>23</v>
      </c>
      <c r="D1196" s="37" t="s">
        <v>93</v>
      </c>
      <c r="E1196" s="37" t="s">
        <v>91</v>
      </c>
      <c r="F1196" s="38">
        <v>0.0</v>
      </c>
      <c r="G1196" s="38">
        <v>0.0</v>
      </c>
      <c r="H1196" s="38">
        <v>0.0</v>
      </c>
      <c r="I1196" s="38">
        <v>0.0</v>
      </c>
      <c r="J1196" s="38">
        <v>0.0</v>
      </c>
      <c r="K1196" s="38">
        <v>0.0</v>
      </c>
      <c r="L1196" s="38">
        <v>0.0</v>
      </c>
      <c r="M1196" s="38">
        <v>0.0</v>
      </c>
      <c r="N1196" s="38">
        <v>0.0</v>
      </c>
      <c r="O1196" s="38">
        <v>0.0</v>
      </c>
      <c r="P1196" s="38">
        <v>0.0</v>
      </c>
      <c r="Q1196" s="38">
        <v>0.0</v>
      </c>
    </row>
    <row r="1197">
      <c r="A1197" s="49">
        <v>46200.0</v>
      </c>
      <c r="B1197" s="50">
        <v>0.7354166666666667</v>
      </c>
      <c r="C1197" s="41" t="s">
        <v>23</v>
      </c>
      <c r="D1197" s="41" t="s">
        <v>93</v>
      </c>
      <c r="E1197" s="41" t="s">
        <v>92</v>
      </c>
      <c r="F1197" s="42">
        <v>0.0</v>
      </c>
      <c r="G1197" s="42">
        <v>0.0</v>
      </c>
      <c r="H1197" s="42">
        <v>0.0</v>
      </c>
      <c r="I1197" s="42">
        <v>0.0</v>
      </c>
      <c r="J1197" s="42">
        <v>0.0</v>
      </c>
      <c r="K1197" s="42">
        <v>0.0</v>
      </c>
      <c r="L1197" s="42">
        <v>0.0</v>
      </c>
      <c r="M1197" s="42">
        <v>0.0</v>
      </c>
      <c r="N1197" s="42">
        <v>0.0</v>
      </c>
      <c r="O1197" s="42">
        <v>0.0</v>
      </c>
      <c r="P1197" s="42">
        <v>0.0</v>
      </c>
      <c r="Q1197" s="42">
        <v>0.0</v>
      </c>
    </row>
    <row r="1198">
      <c r="A1198" s="47">
        <v>46200.0</v>
      </c>
      <c r="B1198" s="48">
        <v>0.7354166666666667</v>
      </c>
      <c r="C1198" s="37" t="s">
        <v>23</v>
      </c>
      <c r="D1198" s="37" t="s">
        <v>93</v>
      </c>
      <c r="E1198" s="37" t="s">
        <v>106</v>
      </c>
      <c r="F1198" s="38">
        <v>0.0</v>
      </c>
      <c r="G1198" s="38">
        <v>0.0</v>
      </c>
      <c r="H1198" s="38">
        <v>0.0</v>
      </c>
      <c r="I1198" s="38">
        <v>0.0</v>
      </c>
      <c r="J1198" s="38">
        <v>0.0</v>
      </c>
      <c r="K1198" s="38">
        <v>0.0</v>
      </c>
      <c r="L1198" s="38">
        <v>0.0</v>
      </c>
      <c r="M1198" s="38">
        <v>0.0</v>
      </c>
      <c r="N1198" s="38">
        <v>0.0</v>
      </c>
      <c r="O1198" s="38">
        <v>0.0</v>
      </c>
      <c r="P1198" s="38">
        <v>0.0</v>
      </c>
      <c r="Q1198" s="38">
        <v>0.0</v>
      </c>
    </row>
    <row r="1199">
      <c r="A1199" s="49">
        <v>46200.0</v>
      </c>
      <c r="B1199" s="50">
        <v>0.7354166666666667</v>
      </c>
      <c r="C1199" s="41" t="s">
        <v>23</v>
      </c>
      <c r="D1199" s="41" t="s">
        <v>93</v>
      </c>
      <c r="E1199" s="41" t="s">
        <v>107</v>
      </c>
      <c r="F1199" s="42">
        <v>0.0</v>
      </c>
      <c r="G1199" s="42">
        <v>0.0</v>
      </c>
      <c r="H1199" s="42">
        <v>0.0</v>
      </c>
      <c r="I1199" s="42">
        <v>0.0</v>
      </c>
      <c r="J1199" s="42">
        <v>0.0</v>
      </c>
      <c r="K1199" s="42">
        <v>0.0</v>
      </c>
      <c r="L1199" s="42">
        <v>0.0</v>
      </c>
      <c r="M1199" s="42">
        <v>0.0</v>
      </c>
      <c r="N1199" s="42">
        <v>0.0</v>
      </c>
      <c r="O1199" s="42">
        <v>0.0</v>
      </c>
      <c r="P1199" s="42">
        <v>0.0</v>
      </c>
      <c r="Q1199" s="42">
        <v>0.0</v>
      </c>
    </row>
    <row r="1200">
      <c r="A1200" s="47">
        <v>46200.0</v>
      </c>
      <c r="B1200" s="48">
        <v>0.7354166666666667</v>
      </c>
      <c r="C1200" s="37" t="s">
        <v>29</v>
      </c>
      <c r="D1200" s="37" t="s">
        <v>94</v>
      </c>
      <c r="E1200" s="37" t="s">
        <v>52</v>
      </c>
      <c r="F1200" s="38">
        <v>7.0</v>
      </c>
      <c r="G1200" s="38">
        <v>3.0</v>
      </c>
      <c r="H1200" s="38">
        <v>0.0</v>
      </c>
      <c r="I1200" s="38">
        <v>1.0</v>
      </c>
      <c r="J1200" s="38">
        <v>0.0</v>
      </c>
      <c r="K1200" s="38">
        <v>7.0</v>
      </c>
      <c r="L1200" s="38">
        <v>7.0</v>
      </c>
      <c r="M1200" s="38">
        <v>0.0</v>
      </c>
      <c r="N1200" s="38">
        <v>0.0</v>
      </c>
      <c r="O1200" s="38">
        <v>0.0</v>
      </c>
      <c r="P1200" s="38">
        <v>3.0</v>
      </c>
      <c r="Q1200" s="38">
        <v>3.0</v>
      </c>
    </row>
    <row r="1201">
      <c r="A1201" s="49">
        <v>46200.0</v>
      </c>
      <c r="B1201" s="50">
        <v>0.7354166666666667</v>
      </c>
      <c r="C1201" s="41" t="s">
        <v>29</v>
      </c>
      <c r="D1201" s="41" t="s">
        <v>94</v>
      </c>
      <c r="E1201" s="41" t="s">
        <v>88</v>
      </c>
      <c r="F1201" s="42">
        <v>0.0</v>
      </c>
      <c r="G1201" s="42">
        <v>0.0</v>
      </c>
      <c r="H1201" s="42">
        <v>0.0</v>
      </c>
      <c r="I1201" s="42">
        <v>0.0</v>
      </c>
      <c r="J1201" s="42">
        <v>0.0</v>
      </c>
      <c r="K1201" s="42">
        <v>0.0</v>
      </c>
      <c r="L1201" s="42">
        <v>0.0</v>
      </c>
      <c r="M1201" s="42">
        <v>0.0</v>
      </c>
      <c r="N1201" s="42">
        <v>0.0</v>
      </c>
      <c r="O1201" s="42">
        <v>0.0</v>
      </c>
      <c r="P1201" s="42">
        <v>0.0</v>
      </c>
      <c r="Q1201" s="42">
        <v>0.0</v>
      </c>
    </row>
    <row r="1202">
      <c r="A1202" s="47">
        <v>46200.0</v>
      </c>
      <c r="B1202" s="48">
        <v>0.7354166666666667</v>
      </c>
      <c r="C1202" s="37" t="s">
        <v>29</v>
      </c>
      <c r="D1202" s="37" t="s">
        <v>94</v>
      </c>
      <c r="E1202" s="37" t="s">
        <v>89</v>
      </c>
      <c r="F1202" s="38">
        <v>1.0</v>
      </c>
      <c r="G1202" s="38">
        <v>0.0</v>
      </c>
      <c r="H1202" s="38">
        <v>0.0</v>
      </c>
      <c r="I1202" s="38">
        <v>0.0</v>
      </c>
      <c r="J1202" s="38">
        <v>0.0</v>
      </c>
      <c r="K1202" s="38">
        <v>1.0</v>
      </c>
      <c r="L1202" s="38">
        <v>1.0</v>
      </c>
      <c r="M1202" s="38">
        <v>0.0</v>
      </c>
      <c r="N1202" s="38">
        <v>0.0</v>
      </c>
      <c r="O1202" s="38">
        <v>0.0</v>
      </c>
      <c r="P1202" s="38">
        <v>0.0</v>
      </c>
      <c r="Q1202" s="38">
        <v>0.0</v>
      </c>
    </row>
    <row r="1203">
      <c r="A1203" s="49">
        <v>46200.0</v>
      </c>
      <c r="B1203" s="50">
        <v>0.7354166666666667</v>
      </c>
      <c r="C1203" s="41" t="s">
        <v>29</v>
      </c>
      <c r="D1203" s="41" t="s">
        <v>94</v>
      </c>
      <c r="E1203" s="41" t="s">
        <v>50</v>
      </c>
      <c r="F1203" s="42">
        <v>0.0</v>
      </c>
      <c r="G1203" s="42">
        <v>0.0</v>
      </c>
      <c r="H1203" s="42">
        <v>0.0</v>
      </c>
      <c r="I1203" s="42">
        <v>0.0</v>
      </c>
      <c r="J1203" s="42">
        <v>0.0</v>
      </c>
      <c r="K1203" s="42">
        <v>0.0</v>
      </c>
      <c r="L1203" s="42">
        <v>0.0</v>
      </c>
      <c r="M1203" s="42">
        <v>0.0</v>
      </c>
      <c r="N1203" s="42">
        <v>0.0</v>
      </c>
      <c r="O1203" s="42">
        <v>0.0</v>
      </c>
      <c r="P1203" s="42">
        <v>0.0</v>
      </c>
      <c r="Q1203" s="42">
        <v>0.0</v>
      </c>
    </row>
    <row r="1204">
      <c r="A1204" s="47">
        <v>46200.0</v>
      </c>
      <c r="B1204" s="48">
        <v>0.7354166666666667</v>
      </c>
      <c r="C1204" s="37" t="s">
        <v>29</v>
      </c>
      <c r="D1204" s="37" t="s">
        <v>94</v>
      </c>
      <c r="E1204" s="37" t="s">
        <v>90</v>
      </c>
      <c r="F1204" s="38">
        <v>0.0</v>
      </c>
      <c r="G1204" s="38">
        <v>0.0</v>
      </c>
      <c r="H1204" s="38">
        <v>0.0</v>
      </c>
      <c r="I1204" s="38">
        <v>0.0</v>
      </c>
      <c r="J1204" s="38">
        <v>0.0</v>
      </c>
      <c r="K1204" s="38">
        <v>0.0</v>
      </c>
      <c r="L1204" s="38">
        <v>0.0</v>
      </c>
      <c r="M1204" s="38">
        <v>0.0</v>
      </c>
      <c r="N1204" s="38">
        <v>0.0</v>
      </c>
      <c r="O1204" s="38">
        <v>0.0</v>
      </c>
      <c r="P1204" s="38">
        <v>0.0</v>
      </c>
      <c r="Q1204" s="38">
        <v>0.0</v>
      </c>
    </row>
    <row r="1205">
      <c r="A1205" s="49">
        <v>46200.0</v>
      </c>
      <c r="B1205" s="50">
        <v>0.7354166666666667</v>
      </c>
      <c r="C1205" s="41" t="s">
        <v>29</v>
      </c>
      <c r="D1205" s="41" t="s">
        <v>94</v>
      </c>
      <c r="E1205" s="41" t="s">
        <v>91</v>
      </c>
      <c r="F1205" s="42">
        <v>0.0</v>
      </c>
      <c r="G1205" s="42">
        <v>0.0</v>
      </c>
      <c r="H1205" s="42">
        <v>0.0</v>
      </c>
      <c r="I1205" s="42">
        <v>0.0</v>
      </c>
      <c r="J1205" s="42">
        <v>0.0</v>
      </c>
      <c r="K1205" s="42">
        <v>0.0</v>
      </c>
      <c r="L1205" s="42">
        <v>0.0</v>
      </c>
      <c r="M1205" s="42">
        <v>0.0</v>
      </c>
      <c r="N1205" s="42">
        <v>0.0</v>
      </c>
      <c r="O1205" s="42">
        <v>0.0</v>
      </c>
      <c r="P1205" s="42">
        <v>0.0</v>
      </c>
      <c r="Q1205" s="42">
        <v>0.0</v>
      </c>
    </row>
    <row r="1206">
      <c r="A1206" s="47">
        <v>46200.0</v>
      </c>
      <c r="B1206" s="48">
        <v>0.7354166666666667</v>
      </c>
      <c r="C1206" s="37" t="s">
        <v>29</v>
      </c>
      <c r="D1206" s="37" t="s">
        <v>94</v>
      </c>
      <c r="E1206" s="37" t="s">
        <v>92</v>
      </c>
      <c r="F1206" s="38">
        <v>0.0</v>
      </c>
      <c r="G1206" s="38">
        <v>0.0</v>
      </c>
      <c r="H1206" s="38">
        <v>0.0</v>
      </c>
      <c r="I1206" s="38">
        <v>0.0</v>
      </c>
      <c r="J1206" s="38">
        <v>0.0</v>
      </c>
      <c r="K1206" s="38">
        <v>0.0</v>
      </c>
      <c r="L1206" s="38">
        <v>0.0</v>
      </c>
      <c r="M1206" s="38">
        <v>0.0</v>
      </c>
      <c r="N1206" s="38">
        <v>0.0</v>
      </c>
      <c r="O1206" s="38">
        <v>0.0</v>
      </c>
      <c r="P1206" s="38">
        <v>0.0</v>
      </c>
      <c r="Q1206" s="38">
        <v>0.0</v>
      </c>
    </row>
    <row r="1207">
      <c r="A1207" s="49">
        <v>46200.0</v>
      </c>
      <c r="B1207" s="50">
        <v>0.7354166666666667</v>
      </c>
      <c r="C1207" s="41" t="s">
        <v>29</v>
      </c>
      <c r="D1207" s="41" t="s">
        <v>94</v>
      </c>
      <c r="E1207" s="41" t="s">
        <v>106</v>
      </c>
      <c r="F1207" s="42">
        <v>2.0</v>
      </c>
      <c r="G1207" s="42">
        <v>0.0</v>
      </c>
      <c r="H1207" s="42">
        <v>0.0</v>
      </c>
      <c r="I1207" s="42">
        <v>1.0</v>
      </c>
      <c r="J1207" s="42">
        <v>0.0</v>
      </c>
      <c r="K1207" s="42">
        <v>2.0</v>
      </c>
      <c r="L1207" s="42">
        <v>2.0</v>
      </c>
      <c r="M1207" s="42">
        <v>0.0</v>
      </c>
      <c r="N1207" s="42">
        <v>0.0</v>
      </c>
      <c r="O1207" s="42">
        <v>0.0</v>
      </c>
      <c r="P1207" s="42">
        <v>0.0</v>
      </c>
      <c r="Q1207" s="42">
        <v>0.0</v>
      </c>
    </row>
    <row r="1208">
      <c r="A1208" s="47">
        <v>46200.0</v>
      </c>
      <c r="B1208" s="48">
        <v>0.7354166666666667</v>
      </c>
      <c r="C1208" s="37" t="s">
        <v>29</v>
      </c>
      <c r="D1208" s="37" t="s">
        <v>94</v>
      </c>
      <c r="E1208" s="37" t="s">
        <v>107</v>
      </c>
      <c r="F1208" s="38">
        <v>0.0</v>
      </c>
      <c r="G1208" s="38">
        <v>0.0</v>
      </c>
      <c r="H1208" s="38">
        <v>0.0</v>
      </c>
      <c r="I1208" s="38">
        <v>0.0</v>
      </c>
      <c r="J1208" s="38">
        <v>0.0</v>
      </c>
      <c r="K1208" s="38">
        <v>0.0</v>
      </c>
      <c r="L1208" s="38">
        <v>0.0</v>
      </c>
      <c r="M1208" s="38">
        <v>0.0</v>
      </c>
      <c r="N1208" s="38">
        <v>0.0</v>
      </c>
      <c r="O1208" s="38">
        <v>0.0</v>
      </c>
      <c r="P1208" s="38">
        <v>0.0</v>
      </c>
      <c r="Q1208" s="38">
        <v>0.0</v>
      </c>
    </row>
    <row r="1209">
      <c r="A1209" s="49">
        <v>46200.0</v>
      </c>
      <c r="B1209" s="50">
        <v>0.7354166666666667</v>
      </c>
      <c r="C1209" s="41" t="s">
        <v>31</v>
      </c>
      <c r="D1209" s="41" t="s">
        <v>95</v>
      </c>
      <c r="E1209" s="41" t="s">
        <v>52</v>
      </c>
      <c r="F1209" s="42">
        <v>0.0</v>
      </c>
      <c r="G1209" s="42">
        <v>0.0</v>
      </c>
      <c r="H1209" s="42">
        <v>0.0</v>
      </c>
      <c r="I1209" s="42">
        <v>0.0</v>
      </c>
      <c r="J1209" s="42">
        <v>0.0</v>
      </c>
      <c r="K1209" s="42">
        <v>0.0</v>
      </c>
      <c r="L1209" s="42">
        <v>0.0</v>
      </c>
      <c r="M1209" s="42">
        <v>0.0</v>
      </c>
      <c r="N1209" s="42">
        <v>0.0</v>
      </c>
      <c r="O1209" s="42">
        <v>0.0</v>
      </c>
      <c r="P1209" s="42">
        <v>0.0</v>
      </c>
      <c r="Q1209" s="42">
        <v>0.0</v>
      </c>
    </row>
    <row r="1210">
      <c r="A1210" s="47">
        <v>46200.0</v>
      </c>
      <c r="B1210" s="48">
        <v>0.7354166666666667</v>
      </c>
      <c r="C1210" s="37" t="s">
        <v>31</v>
      </c>
      <c r="D1210" s="37" t="s">
        <v>95</v>
      </c>
      <c r="E1210" s="37" t="s">
        <v>88</v>
      </c>
      <c r="F1210" s="38">
        <v>0.0</v>
      </c>
      <c r="G1210" s="38">
        <v>0.0</v>
      </c>
      <c r="H1210" s="38">
        <v>0.0</v>
      </c>
      <c r="I1210" s="38">
        <v>0.0</v>
      </c>
      <c r="J1210" s="38">
        <v>0.0</v>
      </c>
      <c r="K1210" s="38">
        <v>0.0</v>
      </c>
      <c r="L1210" s="38">
        <v>0.0</v>
      </c>
      <c r="M1210" s="38">
        <v>0.0</v>
      </c>
      <c r="N1210" s="38">
        <v>0.0</v>
      </c>
      <c r="O1210" s="38">
        <v>0.0</v>
      </c>
      <c r="P1210" s="38">
        <v>0.0</v>
      </c>
      <c r="Q1210" s="38">
        <v>0.0</v>
      </c>
    </row>
    <row r="1211">
      <c r="A1211" s="49">
        <v>46200.0</v>
      </c>
      <c r="B1211" s="50">
        <v>0.7354166666666667</v>
      </c>
      <c r="C1211" s="41" t="s">
        <v>31</v>
      </c>
      <c r="D1211" s="41" t="s">
        <v>95</v>
      </c>
      <c r="E1211" s="41" t="s">
        <v>89</v>
      </c>
      <c r="F1211" s="42">
        <v>0.0</v>
      </c>
      <c r="G1211" s="42">
        <v>0.0</v>
      </c>
      <c r="H1211" s="42">
        <v>0.0</v>
      </c>
      <c r="I1211" s="42">
        <v>0.0</v>
      </c>
      <c r="J1211" s="42">
        <v>0.0</v>
      </c>
      <c r="K1211" s="42">
        <v>0.0</v>
      </c>
      <c r="L1211" s="42">
        <v>0.0</v>
      </c>
      <c r="M1211" s="42">
        <v>0.0</v>
      </c>
      <c r="N1211" s="42">
        <v>0.0</v>
      </c>
      <c r="O1211" s="42">
        <v>0.0</v>
      </c>
      <c r="P1211" s="42">
        <v>0.0</v>
      </c>
      <c r="Q1211" s="42">
        <v>0.0</v>
      </c>
    </row>
    <row r="1212">
      <c r="A1212" s="47">
        <v>46200.0</v>
      </c>
      <c r="B1212" s="48">
        <v>0.7354166666666667</v>
      </c>
      <c r="C1212" s="37" t="s">
        <v>31</v>
      </c>
      <c r="D1212" s="37" t="s">
        <v>95</v>
      </c>
      <c r="E1212" s="37" t="s">
        <v>50</v>
      </c>
      <c r="F1212" s="38">
        <v>1.0</v>
      </c>
      <c r="G1212" s="38">
        <v>1.0</v>
      </c>
      <c r="H1212" s="38">
        <v>0.0</v>
      </c>
      <c r="I1212" s="38">
        <v>0.0</v>
      </c>
      <c r="J1212" s="38">
        <v>0.0</v>
      </c>
      <c r="K1212" s="38">
        <v>0.0</v>
      </c>
      <c r="L1212" s="38">
        <v>0.0</v>
      </c>
      <c r="M1212" s="38">
        <v>0.0</v>
      </c>
      <c r="N1212" s="38">
        <v>0.0</v>
      </c>
      <c r="O1212" s="38">
        <v>0.0</v>
      </c>
      <c r="P1212" s="38">
        <v>0.0</v>
      </c>
      <c r="Q1212" s="38">
        <v>0.0</v>
      </c>
    </row>
    <row r="1213">
      <c r="A1213" s="49">
        <v>46200.0</v>
      </c>
      <c r="B1213" s="50">
        <v>0.7354166666666667</v>
      </c>
      <c r="C1213" s="41" t="s">
        <v>31</v>
      </c>
      <c r="D1213" s="41" t="s">
        <v>95</v>
      </c>
      <c r="E1213" s="41" t="s">
        <v>90</v>
      </c>
      <c r="F1213" s="42">
        <v>0.0</v>
      </c>
      <c r="G1213" s="42">
        <v>0.0</v>
      </c>
      <c r="H1213" s="42">
        <v>0.0</v>
      </c>
      <c r="I1213" s="42">
        <v>0.0</v>
      </c>
      <c r="J1213" s="42">
        <v>0.0</v>
      </c>
      <c r="K1213" s="42">
        <v>0.0</v>
      </c>
      <c r="L1213" s="42">
        <v>0.0</v>
      </c>
      <c r="M1213" s="42">
        <v>0.0</v>
      </c>
      <c r="N1213" s="42">
        <v>0.0</v>
      </c>
      <c r="O1213" s="42">
        <v>0.0</v>
      </c>
      <c r="P1213" s="42">
        <v>0.0</v>
      </c>
      <c r="Q1213" s="42">
        <v>0.0</v>
      </c>
    </row>
    <row r="1214">
      <c r="A1214" s="47">
        <v>46200.0</v>
      </c>
      <c r="B1214" s="48">
        <v>0.7354166666666667</v>
      </c>
      <c r="C1214" s="37" t="s">
        <v>31</v>
      </c>
      <c r="D1214" s="37" t="s">
        <v>95</v>
      </c>
      <c r="E1214" s="37" t="s">
        <v>91</v>
      </c>
      <c r="F1214" s="38">
        <v>0.0</v>
      </c>
      <c r="G1214" s="38">
        <v>0.0</v>
      </c>
      <c r="H1214" s="38">
        <v>0.0</v>
      </c>
      <c r="I1214" s="38">
        <v>0.0</v>
      </c>
      <c r="J1214" s="38">
        <v>0.0</v>
      </c>
      <c r="K1214" s="38">
        <v>0.0</v>
      </c>
      <c r="L1214" s="38">
        <v>0.0</v>
      </c>
      <c r="M1214" s="38">
        <v>0.0</v>
      </c>
      <c r="N1214" s="38">
        <v>0.0</v>
      </c>
      <c r="O1214" s="38">
        <v>0.0</v>
      </c>
      <c r="P1214" s="38">
        <v>0.0</v>
      </c>
      <c r="Q1214" s="38">
        <v>0.0</v>
      </c>
    </row>
    <row r="1215">
      <c r="A1215" s="49">
        <v>46200.0</v>
      </c>
      <c r="B1215" s="50">
        <v>0.7354166666666667</v>
      </c>
      <c r="C1215" s="41" t="s">
        <v>31</v>
      </c>
      <c r="D1215" s="41" t="s">
        <v>95</v>
      </c>
      <c r="E1215" s="41" t="s">
        <v>92</v>
      </c>
      <c r="F1215" s="42">
        <v>0.0</v>
      </c>
      <c r="G1215" s="42">
        <v>0.0</v>
      </c>
      <c r="H1215" s="42">
        <v>0.0</v>
      </c>
      <c r="I1215" s="42">
        <v>0.0</v>
      </c>
      <c r="J1215" s="42">
        <v>0.0</v>
      </c>
      <c r="K1215" s="42">
        <v>0.0</v>
      </c>
      <c r="L1215" s="42">
        <v>0.0</v>
      </c>
      <c r="M1215" s="42">
        <v>0.0</v>
      </c>
      <c r="N1215" s="42">
        <v>0.0</v>
      </c>
      <c r="O1215" s="42">
        <v>0.0</v>
      </c>
      <c r="P1215" s="42">
        <v>0.0</v>
      </c>
      <c r="Q1215" s="42">
        <v>0.0</v>
      </c>
    </row>
    <row r="1216">
      <c r="A1216" s="47">
        <v>46200.0</v>
      </c>
      <c r="B1216" s="48">
        <v>0.7354166666666667</v>
      </c>
      <c r="C1216" s="37" t="s">
        <v>31</v>
      </c>
      <c r="D1216" s="37" t="s">
        <v>95</v>
      </c>
      <c r="E1216" s="37" t="s">
        <v>106</v>
      </c>
      <c r="F1216" s="38">
        <v>0.0</v>
      </c>
      <c r="G1216" s="38">
        <v>0.0</v>
      </c>
      <c r="H1216" s="38">
        <v>0.0</v>
      </c>
      <c r="I1216" s="38">
        <v>0.0</v>
      </c>
      <c r="J1216" s="38">
        <v>0.0</v>
      </c>
      <c r="K1216" s="38">
        <v>0.0</v>
      </c>
      <c r="L1216" s="38">
        <v>0.0</v>
      </c>
      <c r="M1216" s="38">
        <v>0.0</v>
      </c>
      <c r="N1216" s="38">
        <v>0.0</v>
      </c>
      <c r="O1216" s="38">
        <v>0.0</v>
      </c>
      <c r="P1216" s="38">
        <v>0.0</v>
      </c>
      <c r="Q1216" s="38">
        <v>0.0</v>
      </c>
    </row>
    <row r="1217">
      <c r="A1217" s="49">
        <v>46200.0</v>
      </c>
      <c r="B1217" s="50">
        <v>0.7354166666666667</v>
      </c>
      <c r="C1217" s="41" t="s">
        <v>31</v>
      </c>
      <c r="D1217" s="41" t="s">
        <v>95</v>
      </c>
      <c r="E1217" s="41" t="s">
        <v>107</v>
      </c>
      <c r="F1217" s="42">
        <v>0.0</v>
      </c>
      <c r="G1217" s="42">
        <v>0.0</v>
      </c>
      <c r="H1217" s="42">
        <v>0.0</v>
      </c>
      <c r="I1217" s="42">
        <v>0.0</v>
      </c>
      <c r="J1217" s="42">
        <v>0.0</v>
      </c>
      <c r="K1217" s="42">
        <v>0.0</v>
      </c>
      <c r="L1217" s="42">
        <v>0.0</v>
      </c>
      <c r="M1217" s="42">
        <v>0.0</v>
      </c>
      <c r="N1217" s="42">
        <v>0.0</v>
      </c>
      <c r="O1217" s="42">
        <v>0.0</v>
      </c>
      <c r="P1217" s="42">
        <v>0.0</v>
      </c>
      <c r="Q1217" s="42">
        <v>0.0</v>
      </c>
    </row>
    <row r="1218">
      <c r="A1218" s="51">
        <v>46200.0</v>
      </c>
      <c r="B1218" s="52">
        <v>0.7354166666666667</v>
      </c>
      <c r="C1218" s="45" t="s">
        <v>96</v>
      </c>
      <c r="D1218" s="45" t="s">
        <v>75</v>
      </c>
      <c r="E1218" s="45" t="s">
        <v>52</v>
      </c>
      <c r="F1218" s="46">
        <v>13.0</v>
      </c>
      <c r="G1218" s="46">
        <v>5.0</v>
      </c>
      <c r="H1218" s="46">
        <v>1.0</v>
      </c>
      <c r="I1218" s="46">
        <v>2.0</v>
      </c>
      <c r="J1218" s="46">
        <v>1.0</v>
      </c>
      <c r="K1218" s="46">
        <v>12.0</v>
      </c>
      <c r="L1218" s="46">
        <v>13.0</v>
      </c>
      <c r="M1218" s="46">
        <v>0.0</v>
      </c>
      <c r="N1218" s="46">
        <v>0.0</v>
      </c>
      <c r="O1218" s="46">
        <v>0.0</v>
      </c>
      <c r="P1218" s="46">
        <v>5.0</v>
      </c>
      <c r="Q1218" s="46">
        <v>5.0</v>
      </c>
    </row>
    <row r="1219">
      <c r="A1219" s="51">
        <v>46200.0</v>
      </c>
      <c r="B1219" s="52">
        <v>0.7354166666666667</v>
      </c>
      <c r="C1219" s="45" t="s">
        <v>96</v>
      </c>
      <c r="D1219" s="45" t="s">
        <v>75</v>
      </c>
      <c r="E1219" s="45" t="s">
        <v>88</v>
      </c>
      <c r="F1219" s="46">
        <v>0.0</v>
      </c>
      <c r="G1219" s="46">
        <v>0.0</v>
      </c>
      <c r="H1219" s="46">
        <v>0.0</v>
      </c>
      <c r="I1219" s="46">
        <v>0.0</v>
      </c>
      <c r="J1219" s="46">
        <v>0.0</v>
      </c>
      <c r="K1219" s="46">
        <v>0.0</v>
      </c>
      <c r="L1219" s="46">
        <v>0.0</v>
      </c>
      <c r="M1219" s="46">
        <v>0.0</v>
      </c>
      <c r="N1219" s="46">
        <v>0.0</v>
      </c>
      <c r="O1219" s="46">
        <v>0.0</v>
      </c>
      <c r="P1219" s="46">
        <v>0.0</v>
      </c>
      <c r="Q1219" s="46">
        <v>0.0</v>
      </c>
    </row>
    <row r="1220">
      <c r="A1220" s="51">
        <v>46200.0</v>
      </c>
      <c r="B1220" s="52">
        <v>0.7354166666666667</v>
      </c>
      <c r="C1220" s="45" t="s">
        <v>96</v>
      </c>
      <c r="D1220" s="45" t="s">
        <v>75</v>
      </c>
      <c r="E1220" s="45" t="s">
        <v>89</v>
      </c>
      <c r="F1220" s="46">
        <v>1.0</v>
      </c>
      <c r="G1220" s="46">
        <v>0.0</v>
      </c>
      <c r="H1220" s="46">
        <v>0.0</v>
      </c>
      <c r="I1220" s="46">
        <v>0.0</v>
      </c>
      <c r="J1220" s="46">
        <v>0.0</v>
      </c>
      <c r="K1220" s="46">
        <v>1.0</v>
      </c>
      <c r="L1220" s="46">
        <v>1.0</v>
      </c>
      <c r="M1220" s="46">
        <v>0.0</v>
      </c>
      <c r="N1220" s="46">
        <v>0.0</v>
      </c>
      <c r="O1220" s="46">
        <v>0.0</v>
      </c>
      <c r="P1220" s="46">
        <v>0.0</v>
      </c>
      <c r="Q1220" s="46">
        <v>0.0</v>
      </c>
    </row>
    <row r="1221">
      <c r="A1221" s="51">
        <v>46200.0</v>
      </c>
      <c r="B1221" s="52">
        <v>0.7354166666666667</v>
      </c>
      <c r="C1221" s="45" t="s">
        <v>96</v>
      </c>
      <c r="D1221" s="45" t="s">
        <v>75</v>
      </c>
      <c r="E1221" s="45" t="s">
        <v>50</v>
      </c>
      <c r="F1221" s="46">
        <v>1.0</v>
      </c>
      <c r="G1221" s="46">
        <v>1.0</v>
      </c>
      <c r="H1221" s="46">
        <v>0.0</v>
      </c>
      <c r="I1221" s="46">
        <v>0.0</v>
      </c>
      <c r="J1221" s="46">
        <v>0.0</v>
      </c>
      <c r="K1221" s="46">
        <v>0.0</v>
      </c>
      <c r="L1221" s="46">
        <v>0.0</v>
      </c>
      <c r="M1221" s="46">
        <v>0.0</v>
      </c>
      <c r="N1221" s="46">
        <v>0.0</v>
      </c>
      <c r="O1221" s="46">
        <v>0.0</v>
      </c>
      <c r="P1221" s="46">
        <v>0.0</v>
      </c>
      <c r="Q1221" s="46">
        <v>0.0</v>
      </c>
    </row>
    <row r="1222">
      <c r="A1222" s="51">
        <v>46200.0</v>
      </c>
      <c r="B1222" s="52">
        <v>0.7354166666666667</v>
      </c>
      <c r="C1222" s="45" t="s">
        <v>96</v>
      </c>
      <c r="D1222" s="45" t="s">
        <v>75</v>
      </c>
      <c r="E1222" s="45" t="s">
        <v>90</v>
      </c>
      <c r="F1222" s="46">
        <v>0.0</v>
      </c>
      <c r="G1222" s="46">
        <v>0.0</v>
      </c>
      <c r="H1222" s="46">
        <v>0.0</v>
      </c>
      <c r="I1222" s="46">
        <v>0.0</v>
      </c>
      <c r="J1222" s="46">
        <v>0.0</v>
      </c>
      <c r="K1222" s="46">
        <v>0.0</v>
      </c>
      <c r="L1222" s="46">
        <v>0.0</v>
      </c>
      <c r="M1222" s="46">
        <v>0.0</v>
      </c>
      <c r="N1222" s="46">
        <v>0.0</v>
      </c>
      <c r="O1222" s="46">
        <v>0.0</v>
      </c>
      <c r="P1222" s="46">
        <v>0.0</v>
      </c>
      <c r="Q1222" s="46">
        <v>0.0</v>
      </c>
    </row>
    <row r="1223">
      <c r="A1223" s="51">
        <v>46200.0</v>
      </c>
      <c r="B1223" s="52">
        <v>0.7354166666666667</v>
      </c>
      <c r="C1223" s="45" t="s">
        <v>96</v>
      </c>
      <c r="D1223" s="45" t="s">
        <v>75</v>
      </c>
      <c r="E1223" s="45" t="s">
        <v>91</v>
      </c>
      <c r="F1223" s="46">
        <v>0.0</v>
      </c>
      <c r="G1223" s="46">
        <v>0.0</v>
      </c>
      <c r="H1223" s="46">
        <v>0.0</v>
      </c>
      <c r="I1223" s="46">
        <v>0.0</v>
      </c>
      <c r="J1223" s="46">
        <v>0.0</v>
      </c>
      <c r="K1223" s="46">
        <v>0.0</v>
      </c>
      <c r="L1223" s="46">
        <v>0.0</v>
      </c>
      <c r="M1223" s="46">
        <v>0.0</v>
      </c>
      <c r="N1223" s="46">
        <v>0.0</v>
      </c>
      <c r="O1223" s="46">
        <v>0.0</v>
      </c>
      <c r="P1223" s="46">
        <v>0.0</v>
      </c>
      <c r="Q1223" s="46">
        <v>0.0</v>
      </c>
    </row>
    <row r="1224">
      <c r="A1224" s="51">
        <v>46200.0</v>
      </c>
      <c r="B1224" s="52">
        <v>0.7354166666666667</v>
      </c>
      <c r="C1224" s="45" t="s">
        <v>96</v>
      </c>
      <c r="D1224" s="45" t="s">
        <v>75</v>
      </c>
      <c r="E1224" s="45" t="s">
        <v>92</v>
      </c>
      <c r="F1224" s="46">
        <v>0.0</v>
      </c>
      <c r="G1224" s="46">
        <v>0.0</v>
      </c>
      <c r="H1224" s="46">
        <v>0.0</v>
      </c>
      <c r="I1224" s="46">
        <v>0.0</v>
      </c>
      <c r="J1224" s="46">
        <v>0.0</v>
      </c>
      <c r="K1224" s="46">
        <v>0.0</v>
      </c>
      <c r="L1224" s="46">
        <v>0.0</v>
      </c>
      <c r="M1224" s="46">
        <v>0.0</v>
      </c>
      <c r="N1224" s="46">
        <v>0.0</v>
      </c>
      <c r="O1224" s="46">
        <v>0.0</v>
      </c>
      <c r="P1224" s="46">
        <v>0.0</v>
      </c>
      <c r="Q1224" s="46">
        <v>0.0</v>
      </c>
    </row>
    <row r="1225">
      <c r="A1225" s="51">
        <v>46200.0</v>
      </c>
      <c r="B1225" s="52">
        <v>0.7354166666666667</v>
      </c>
      <c r="C1225" s="45" t="s">
        <v>96</v>
      </c>
      <c r="D1225" s="45" t="s">
        <v>75</v>
      </c>
      <c r="E1225" s="45" t="s">
        <v>106</v>
      </c>
      <c r="F1225" s="46">
        <v>2.0</v>
      </c>
      <c r="G1225" s="46">
        <v>0.0</v>
      </c>
      <c r="H1225" s="46">
        <v>0.0</v>
      </c>
      <c r="I1225" s="46">
        <v>1.0</v>
      </c>
      <c r="J1225" s="46">
        <v>0.0</v>
      </c>
      <c r="K1225" s="46">
        <v>2.0</v>
      </c>
      <c r="L1225" s="46">
        <v>2.0</v>
      </c>
      <c r="M1225" s="46">
        <v>0.0</v>
      </c>
      <c r="N1225" s="46">
        <v>0.0</v>
      </c>
      <c r="O1225" s="46">
        <v>0.0</v>
      </c>
      <c r="P1225" s="46">
        <v>0.0</v>
      </c>
      <c r="Q1225" s="46">
        <v>0.0</v>
      </c>
    </row>
    <row r="1226">
      <c r="A1226" s="51">
        <v>46200.0</v>
      </c>
      <c r="B1226" s="52">
        <v>0.7354166666666667</v>
      </c>
      <c r="C1226" s="45" t="s">
        <v>96</v>
      </c>
      <c r="D1226" s="45" t="s">
        <v>75</v>
      </c>
      <c r="E1226" s="45" t="s">
        <v>107</v>
      </c>
      <c r="F1226" s="46">
        <v>0.0</v>
      </c>
      <c r="G1226" s="46">
        <v>0.0</v>
      </c>
      <c r="H1226" s="46">
        <v>0.0</v>
      </c>
      <c r="I1226" s="46">
        <v>0.0</v>
      </c>
      <c r="J1226" s="46">
        <v>0.0</v>
      </c>
      <c r="K1226" s="46">
        <v>0.0</v>
      </c>
      <c r="L1226" s="46">
        <v>0.0</v>
      </c>
      <c r="M1226" s="46">
        <v>0.0</v>
      </c>
      <c r="N1226" s="46">
        <v>0.0</v>
      </c>
      <c r="O1226" s="46">
        <v>0.0</v>
      </c>
      <c r="P1226" s="46">
        <v>0.0</v>
      </c>
      <c r="Q1226" s="46">
        <v>0.0</v>
      </c>
    </row>
    <row r="1227">
      <c r="A1227" s="49">
        <v>46201.0</v>
      </c>
      <c r="B1227" s="50">
        <v>0.7347222222222223</v>
      </c>
      <c r="C1227" s="41" t="s">
        <v>15</v>
      </c>
      <c r="D1227" s="41" t="s">
        <v>87</v>
      </c>
      <c r="E1227" s="41" t="s">
        <v>52</v>
      </c>
      <c r="F1227" s="42">
        <v>5.0</v>
      </c>
      <c r="G1227" s="42">
        <v>1.0</v>
      </c>
      <c r="H1227" s="42">
        <v>0.0</v>
      </c>
      <c r="I1227" s="42">
        <v>1.0</v>
      </c>
      <c r="J1227" s="42">
        <v>1.0</v>
      </c>
      <c r="K1227" s="42">
        <v>3.0</v>
      </c>
      <c r="L1227" s="42">
        <v>5.0</v>
      </c>
      <c r="M1227" s="42">
        <v>0.0</v>
      </c>
      <c r="N1227" s="42">
        <v>0.0</v>
      </c>
      <c r="O1227" s="42">
        <v>0.0</v>
      </c>
      <c r="P1227" s="42">
        <v>0.0</v>
      </c>
      <c r="Q1227" s="42">
        <v>1.0</v>
      </c>
    </row>
    <row r="1228">
      <c r="A1228" s="47">
        <v>46201.0</v>
      </c>
      <c r="B1228" s="48">
        <v>0.7347222222222223</v>
      </c>
      <c r="C1228" s="37" t="s">
        <v>15</v>
      </c>
      <c r="D1228" s="37" t="s">
        <v>87</v>
      </c>
      <c r="E1228" s="37" t="s">
        <v>88</v>
      </c>
      <c r="F1228" s="38">
        <v>0.0</v>
      </c>
      <c r="G1228" s="38">
        <v>0.0</v>
      </c>
      <c r="H1228" s="38">
        <v>0.0</v>
      </c>
      <c r="I1228" s="38">
        <v>0.0</v>
      </c>
      <c r="J1228" s="38">
        <v>0.0</v>
      </c>
      <c r="K1228" s="38">
        <v>0.0</v>
      </c>
      <c r="L1228" s="38">
        <v>0.0</v>
      </c>
      <c r="M1228" s="38">
        <v>0.0</v>
      </c>
      <c r="N1228" s="38">
        <v>0.0</v>
      </c>
      <c r="O1228" s="38">
        <v>0.0</v>
      </c>
      <c r="P1228" s="38">
        <v>0.0</v>
      </c>
      <c r="Q1228" s="38">
        <v>0.0</v>
      </c>
    </row>
    <row r="1229">
      <c r="A1229" s="49">
        <v>46201.0</v>
      </c>
      <c r="B1229" s="50">
        <v>0.7347222222222223</v>
      </c>
      <c r="C1229" s="41" t="s">
        <v>15</v>
      </c>
      <c r="D1229" s="41" t="s">
        <v>87</v>
      </c>
      <c r="E1229" s="41" t="s">
        <v>89</v>
      </c>
      <c r="F1229" s="42">
        <v>0.0</v>
      </c>
      <c r="G1229" s="42">
        <v>0.0</v>
      </c>
      <c r="H1229" s="42">
        <v>0.0</v>
      </c>
      <c r="I1229" s="42">
        <v>0.0</v>
      </c>
      <c r="J1229" s="42">
        <v>0.0</v>
      </c>
      <c r="K1229" s="42">
        <v>0.0</v>
      </c>
      <c r="L1229" s="42">
        <v>0.0</v>
      </c>
      <c r="M1229" s="42">
        <v>0.0</v>
      </c>
      <c r="N1229" s="42">
        <v>0.0</v>
      </c>
      <c r="O1229" s="42">
        <v>0.0</v>
      </c>
      <c r="P1229" s="42">
        <v>0.0</v>
      </c>
      <c r="Q1229" s="42">
        <v>0.0</v>
      </c>
    </row>
    <row r="1230">
      <c r="A1230" s="47">
        <v>46201.0</v>
      </c>
      <c r="B1230" s="48">
        <v>0.7347222222222223</v>
      </c>
      <c r="C1230" s="37" t="s">
        <v>15</v>
      </c>
      <c r="D1230" s="37" t="s">
        <v>87</v>
      </c>
      <c r="E1230" s="37" t="s">
        <v>50</v>
      </c>
      <c r="F1230" s="38">
        <v>0.0</v>
      </c>
      <c r="G1230" s="38">
        <v>0.0</v>
      </c>
      <c r="H1230" s="38">
        <v>0.0</v>
      </c>
      <c r="I1230" s="38">
        <v>0.0</v>
      </c>
      <c r="J1230" s="38">
        <v>0.0</v>
      </c>
      <c r="K1230" s="38">
        <v>0.0</v>
      </c>
      <c r="L1230" s="38">
        <v>0.0</v>
      </c>
      <c r="M1230" s="38">
        <v>0.0</v>
      </c>
      <c r="N1230" s="38">
        <v>0.0</v>
      </c>
      <c r="O1230" s="38">
        <v>0.0</v>
      </c>
      <c r="P1230" s="38">
        <v>0.0</v>
      </c>
      <c r="Q1230" s="38">
        <v>0.0</v>
      </c>
    </row>
    <row r="1231">
      <c r="A1231" s="49">
        <v>46201.0</v>
      </c>
      <c r="B1231" s="50">
        <v>0.7347222222222223</v>
      </c>
      <c r="C1231" s="41" t="s">
        <v>15</v>
      </c>
      <c r="D1231" s="41" t="s">
        <v>87</v>
      </c>
      <c r="E1231" s="41" t="s">
        <v>90</v>
      </c>
      <c r="F1231" s="42">
        <v>0.0</v>
      </c>
      <c r="G1231" s="42">
        <v>0.0</v>
      </c>
      <c r="H1231" s="42">
        <v>0.0</v>
      </c>
      <c r="I1231" s="42">
        <v>0.0</v>
      </c>
      <c r="J1231" s="42">
        <v>0.0</v>
      </c>
      <c r="K1231" s="42">
        <v>0.0</v>
      </c>
      <c r="L1231" s="42">
        <v>0.0</v>
      </c>
      <c r="M1231" s="42">
        <v>0.0</v>
      </c>
      <c r="N1231" s="42">
        <v>0.0</v>
      </c>
      <c r="O1231" s="42">
        <v>0.0</v>
      </c>
      <c r="P1231" s="42">
        <v>0.0</v>
      </c>
      <c r="Q1231" s="42">
        <v>0.0</v>
      </c>
    </row>
    <row r="1232">
      <c r="A1232" s="47">
        <v>46201.0</v>
      </c>
      <c r="B1232" s="48">
        <v>0.7347222222222223</v>
      </c>
      <c r="C1232" s="37" t="s">
        <v>15</v>
      </c>
      <c r="D1232" s="37" t="s">
        <v>87</v>
      </c>
      <c r="E1232" s="37" t="s">
        <v>91</v>
      </c>
      <c r="F1232" s="38">
        <v>0.0</v>
      </c>
      <c r="G1232" s="38">
        <v>0.0</v>
      </c>
      <c r="H1232" s="38">
        <v>0.0</v>
      </c>
      <c r="I1232" s="38">
        <v>0.0</v>
      </c>
      <c r="J1232" s="38">
        <v>0.0</v>
      </c>
      <c r="K1232" s="38">
        <v>0.0</v>
      </c>
      <c r="L1232" s="38">
        <v>0.0</v>
      </c>
      <c r="M1232" s="38">
        <v>0.0</v>
      </c>
      <c r="N1232" s="38">
        <v>0.0</v>
      </c>
      <c r="O1232" s="38">
        <v>0.0</v>
      </c>
      <c r="P1232" s="38">
        <v>0.0</v>
      </c>
      <c r="Q1232" s="38">
        <v>0.0</v>
      </c>
    </row>
    <row r="1233">
      <c r="A1233" s="49">
        <v>46201.0</v>
      </c>
      <c r="B1233" s="50">
        <v>0.7347222222222223</v>
      </c>
      <c r="C1233" s="41" t="s">
        <v>15</v>
      </c>
      <c r="D1233" s="41" t="s">
        <v>87</v>
      </c>
      <c r="E1233" s="41" t="s">
        <v>92</v>
      </c>
      <c r="F1233" s="42">
        <v>0.0</v>
      </c>
      <c r="G1233" s="42">
        <v>0.0</v>
      </c>
      <c r="H1233" s="42">
        <v>0.0</v>
      </c>
      <c r="I1233" s="42">
        <v>0.0</v>
      </c>
      <c r="J1233" s="42">
        <v>0.0</v>
      </c>
      <c r="K1233" s="42">
        <v>0.0</v>
      </c>
      <c r="L1233" s="42">
        <v>0.0</v>
      </c>
      <c r="M1233" s="42">
        <v>0.0</v>
      </c>
      <c r="N1233" s="42">
        <v>0.0</v>
      </c>
      <c r="O1233" s="42">
        <v>0.0</v>
      </c>
      <c r="P1233" s="42">
        <v>0.0</v>
      </c>
      <c r="Q1233" s="42">
        <v>0.0</v>
      </c>
    </row>
    <row r="1234">
      <c r="A1234" s="47">
        <v>46201.0</v>
      </c>
      <c r="B1234" s="48">
        <v>0.7347222222222223</v>
      </c>
      <c r="C1234" s="37" t="s">
        <v>15</v>
      </c>
      <c r="D1234" s="37" t="s">
        <v>87</v>
      </c>
      <c r="E1234" s="37" t="s">
        <v>106</v>
      </c>
      <c r="F1234" s="38">
        <v>0.0</v>
      </c>
      <c r="G1234" s="38">
        <v>0.0</v>
      </c>
      <c r="H1234" s="38">
        <v>0.0</v>
      </c>
      <c r="I1234" s="38">
        <v>0.0</v>
      </c>
      <c r="J1234" s="38">
        <v>0.0</v>
      </c>
      <c r="K1234" s="38">
        <v>0.0</v>
      </c>
      <c r="L1234" s="38">
        <v>0.0</v>
      </c>
      <c r="M1234" s="38">
        <v>0.0</v>
      </c>
      <c r="N1234" s="38">
        <v>0.0</v>
      </c>
      <c r="O1234" s="38">
        <v>0.0</v>
      </c>
      <c r="P1234" s="38">
        <v>0.0</v>
      </c>
      <c r="Q1234" s="38">
        <v>0.0</v>
      </c>
    </row>
    <row r="1235">
      <c r="A1235" s="49">
        <v>46201.0</v>
      </c>
      <c r="B1235" s="50">
        <v>0.7347222222222223</v>
      </c>
      <c r="C1235" s="41" t="s">
        <v>15</v>
      </c>
      <c r="D1235" s="41" t="s">
        <v>87</v>
      </c>
      <c r="E1235" s="41" t="s">
        <v>107</v>
      </c>
      <c r="F1235" s="42">
        <v>0.0</v>
      </c>
      <c r="G1235" s="42">
        <v>0.0</v>
      </c>
      <c r="H1235" s="42">
        <v>0.0</v>
      </c>
      <c r="I1235" s="42">
        <v>0.0</v>
      </c>
      <c r="J1235" s="42">
        <v>0.0</v>
      </c>
      <c r="K1235" s="42">
        <v>0.0</v>
      </c>
      <c r="L1235" s="42">
        <v>0.0</v>
      </c>
      <c r="M1235" s="42">
        <v>0.0</v>
      </c>
      <c r="N1235" s="42">
        <v>0.0</v>
      </c>
      <c r="O1235" s="42">
        <v>0.0</v>
      </c>
      <c r="P1235" s="42">
        <v>0.0</v>
      </c>
      <c r="Q1235" s="42">
        <v>0.0</v>
      </c>
    </row>
    <row r="1236">
      <c r="A1236" s="47">
        <v>46201.0</v>
      </c>
      <c r="B1236" s="48">
        <v>0.7347222222222223</v>
      </c>
      <c r="C1236" s="37" t="s">
        <v>23</v>
      </c>
      <c r="D1236" s="37" t="s">
        <v>93</v>
      </c>
      <c r="E1236" s="37" t="s">
        <v>52</v>
      </c>
      <c r="F1236" s="38">
        <v>1.0</v>
      </c>
      <c r="G1236" s="38">
        <v>1.0</v>
      </c>
      <c r="H1236" s="38">
        <v>0.0</v>
      </c>
      <c r="I1236" s="38">
        <v>0.0</v>
      </c>
      <c r="J1236" s="38">
        <v>0.0</v>
      </c>
      <c r="K1236" s="38">
        <v>1.0</v>
      </c>
      <c r="L1236" s="38">
        <v>1.0</v>
      </c>
      <c r="M1236" s="38">
        <v>0.0</v>
      </c>
      <c r="N1236" s="38">
        <v>0.0</v>
      </c>
      <c r="O1236" s="38">
        <v>0.0</v>
      </c>
      <c r="P1236" s="38">
        <v>1.0</v>
      </c>
      <c r="Q1236" s="38">
        <v>1.0</v>
      </c>
    </row>
    <row r="1237">
      <c r="A1237" s="49">
        <v>46201.0</v>
      </c>
      <c r="B1237" s="50">
        <v>0.7347222222222223</v>
      </c>
      <c r="C1237" s="41" t="s">
        <v>23</v>
      </c>
      <c r="D1237" s="41" t="s">
        <v>93</v>
      </c>
      <c r="E1237" s="41" t="s">
        <v>88</v>
      </c>
      <c r="F1237" s="42">
        <v>0.0</v>
      </c>
      <c r="G1237" s="42">
        <v>0.0</v>
      </c>
      <c r="H1237" s="42">
        <v>0.0</v>
      </c>
      <c r="I1237" s="42">
        <v>0.0</v>
      </c>
      <c r="J1237" s="42">
        <v>0.0</v>
      </c>
      <c r="K1237" s="42">
        <v>0.0</v>
      </c>
      <c r="L1237" s="42">
        <v>0.0</v>
      </c>
      <c r="M1237" s="42">
        <v>0.0</v>
      </c>
      <c r="N1237" s="42">
        <v>0.0</v>
      </c>
      <c r="O1237" s="42">
        <v>0.0</v>
      </c>
      <c r="P1237" s="42">
        <v>0.0</v>
      </c>
      <c r="Q1237" s="42">
        <v>0.0</v>
      </c>
    </row>
    <row r="1238">
      <c r="A1238" s="47">
        <v>46201.0</v>
      </c>
      <c r="B1238" s="48">
        <v>0.7347222222222223</v>
      </c>
      <c r="C1238" s="37" t="s">
        <v>23</v>
      </c>
      <c r="D1238" s="37" t="s">
        <v>93</v>
      </c>
      <c r="E1238" s="37" t="s">
        <v>89</v>
      </c>
      <c r="F1238" s="38">
        <v>0.0</v>
      </c>
      <c r="G1238" s="38">
        <v>0.0</v>
      </c>
      <c r="H1238" s="38">
        <v>0.0</v>
      </c>
      <c r="I1238" s="38">
        <v>0.0</v>
      </c>
      <c r="J1238" s="38">
        <v>0.0</v>
      </c>
      <c r="K1238" s="38">
        <v>0.0</v>
      </c>
      <c r="L1238" s="38">
        <v>0.0</v>
      </c>
      <c r="M1238" s="38">
        <v>0.0</v>
      </c>
      <c r="N1238" s="38">
        <v>0.0</v>
      </c>
      <c r="O1238" s="38">
        <v>0.0</v>
      </c>
      <c r="P1238" s="38">
        <v>0.0</v>
      </c>
      <c r="Q1238" s="38">
        <v>0.0</v>
      </c>
    </row>
    <row r="1239">
      <c r="A1239" s="49">
        <v>46201.0</v>
      </c>
      <c r="B1239" s="50">
        <v>0.7347222222222223</v>
      </c>
      <c r="C1239" s="41" t="s">
        <v>23</v>
      </c>
      <c r="D1239" s="41" t="s">
        <v>93</v>
      </c>
      <c r="E1239" s="41" t="s">
        <v>50</v>
      </c>
      <c r="F1239" s="42">
        <v>0.0</v>
      </c>
      <c r="G1239" s="42">
        <v>0.0</v>
      </c>
      <c r="H1239" s="42">
        <v>0.0</v>
      </c>
      <c r="I1239" s="42">
        <v>0.0</v>
      </c>
      <c r="J1239" s="42">
        <v>0.0</v>
      </c>
      <c r="K1239" s="42">
        <v>0.0</v>
      </c>
      <c r="L1239" s="42">
        <v>0.0</v>
      </c>
      <c r="M1239" s="42">
        <v>0.0</v>
      </c>
      <c r="N1239" s="42">
        <v>0.0</v>
      </c>
      <c r="O1239" s="42">
        <v>0.0</v>
      </c>
      <c r="P1239" s="42">
        <v>0.0</v>
      </c>
      <c r="Q1239" s="42">
        <v>0.0</v>
      </c>
    </row>
    <row r="1240">
      <c r="A1240" s="47">
        <v>46201.0</v>
      </c>
      <c r="B1240" s="48">
        <v>0.7347222222222223</v>
      </c>
      <c r="C1240" s="37" t="s">
        <v>23</v>
      </c>
      <c r="D1240" s="37" t="s">
        <v>93</v>
      </c>
      <c r="E1240" s="37" t="s">
        <v>90</v>
      </c>
      <c r="F1240" s="38">
        <v>0.0</v>
      </c>
      <c r="G1240" s="38">
        <v>0.0</v>
      </c>
      <c r="H1240" s="38">
        <v>0.0</v>
      </c>
      <c r="I1240" s="38">
        <v>0.0</v>
      </c>
      <c r="J1240" s="38">
        <v>0.0</v>
      </c>
      <c r="K1240" s="38">
        <v>0.0</v>
      </c>
      <c r="L1240" s="38">
        <v>0.0</v>
      </c>
      <c r="M1240" s="38">
        <v>0.0</v>
      </c>
      <c r="N1240" s="38">
        <v>0.0</v>
      </c>
      <c r="O1240" s="38">
        <v>0.0</v>
      </c>
      <c r="P1240" s="38">
        <v>0.0</v>
      </c>
      <c r="Q1240" s="38">
        <v>0.0</v>
      </c>
    </row>
    <row r="1241">
      <c r="A1241" s="49">
        <v>46201.0</v>
      </c>
      <c r="B1241" s="50">
        <v>0.7347222222222223</v>
      </c>
      <c r="C1241" s="41" t="s">
        <v>23</v>
      </c>
      <c r="D1241" s="41" t="s">
        <v>93</v>
      </c>
      <c r="E1241" s="41" t="s">
        <v>91</v>
      </c>
      <c r="F1241" s="42">
        <v>0.0</v>
      </c>
      <c r="G1241" s="42">
        <v>0.0</v>
      </c>
      <c r="H1241" s="42">
        <v>0.0</v>
      </c>
      <c r="I1241" s="42">
        <v>0.0</v>
      </c>
      <c r="J1241" s="42">
        <v>0.0</v>
      </c>
      <c r="K1241" s="42">
        <v>0.0</v>
      </c>
      <c r="L1241" s="42">
        <v>0.0</v>
      </c>
      <c r="M1241" s="42">
        <v>0.0</v>
      </c>
      <c r="N1241" s="42">
        <v>0.0</v>
      </c>
      <c r="O1241" s="42">
        <v>0.0</v>
      </c>
      <c r="P1241" s="42">
        <v>0.0</v>
      </c>
      <c r="Q1241" s="42">
        <v>0.0</v>
      </c>
    </row>
    <row r="1242">
      <c r="A1242" s="47">
        <v>46201.0</v>
      </c>
      <c r="B1242" s="48">
        <v>0.7347222222222223</v>
      </c>
      <c r="C1242" s="37" t="s">
        <v>23</v>
      </c>
      <c r="D1242" s="37" t="s">
        <v>93</v>
      </c>
      <c r="E1242" s="37" t="s">
        <v>92</v>
      </c>
      <c r="F1242" s="38">
        <v>0.0</v>
      </c>
      <c r="G1242" s="38">
        <v>0.0</v>
      </c>
      <c r="H1242" s="38">
        <v>0.0</v>
      </c>
      <c r="I1242" s="38">
        <v>0.0</v>
      </c>
      <c r="J1242" s="38">
        <v>0.0</v>
      </c>
      <c r="K1242" s="38">
        <v>0.0</v>
      </c>
      <c r="L1242" s="38">
        <v>0.0</v>
      </c>
      <c r="M1242" s="38">
        <v>0.0</v>
      </c>
      <c r="N1242" s="38">
        <v>0.0</v>
      </c>
      <c r="O1242" s="38">
        <v>0.0</v>
      </c>
      <c r="P1242" s="38">
        <v>0.0</v>
      </c>
      <c r="Q1242" s="38">
        <v>0.0</v>
      </c>
    </row>
    <row r="1243">
      <c r="A1243" s="49">
        <v>46201.0</v>
      </c>
      <c r="B1243" s="50">
        <v>0.7347222222222223</v>
      </c>
      <c r="C1243" s="41" t="s">
        <v>23</v>
      </c>
      <c r="D1243" s="41" t="s">
        <v>93</v>
      </c>
      <c r="E1243" s="41" t="s">
        <v>106</v>
      </c>
      <c r="F1243" s="42">
        <v>0.0</v>
      </c>
      <c r="G1243" s="42">
        <v>0.0</v>
      </c>
      <c r="H1243" s="42">
        <v>0.0</v>
      </c>
      <c r="I1243" s="42">
        <v>0.0</v>
      </c>
      <c r="J1243" s="42">
        <v>0.0</v>
      </c>
      <c r="K1243" s="42">
        <v>0.0</v>
      </c>
      <c r="L1243" s="42">
        <v>0.0</v>
      </c>
      <c r="M1243" s="42">
        <v>0.0</v>
      </c>
      <c r="N1243" s="42">
        <v>0.0</v>
      </c>
      <c r="O1243" s="42">
        <v>0.0</v>
      </c>
      <c r="P1243" s="42">
        <v>0.0</v>
      </c>
      <c r="Q1243" s="42">
        <v>0.0</v>
      </c>
    </row>
    <row r="1244">
      <c r="A1244" s="47">
        <v>46201.0</v>
      </c>
      <c r="B1244" s="48">
        <v>0.7347222222222223</v>
      </c>
      <c r="C1244" s="37" t="s">
        <v>23</v>
      </c>
      <c r="D1244" s="37" t="s">
        <v>93</v>
      </c>
      <c r="E1244" s="37" t="s">
        <v>107</v>
      </c>
      <c r="F1244" s="38">
        <v>0.0</v>
      </c>
      <c r="G1244" s="38">
        <v>0.0</v>
      </c>
      <c r="H1244" s="38">
        <v>0.0</v>
      </c>
      <c r="I1244" s="38">
        <v>0.0</v>
      </c>
      <c r="J1244" s="38">
        <v>0.0</v>
      </c>
      <c r="K1244" s="38">
        <v>0.0</v>
      </c>
      <c r="L1244" s="38">
        <v>0.0</v>
      </c>
      <c r="M1244" s="38">
        <v>0.0</v>
      </c>
      <c r="N1244" s="38">
        <v>0.0</v>
      </c>
      <c r="O1244" s="38">
        <v>0.0</v>
      </c>
      <c r="P1244" s="38">
        <v>0.0</v>
      </c>
      <c r="Q1244" s="38">
        <v>0.0</v>
      </c>
    </row>
    <row r="1245">
      <c r="A1245" s="49">
        <v>46201.0</v>
      </c>
      <c r="B1245" s="50">
        <v>0.7347222222222223</v>
      </c>
      <c r="C1245" s="41" t="s">
        <v>29</v>
      </c>
      <c r="D1245" s="41" t="s">
        <v>94</v>
      </c>
      <c r="E1245" s="41" t="s">
        <v>52</v>
      </c>
      <c r="F1245" s="42">
        <v>8.0</v>
      </c>
      <c r="G1245" s="42">
        <v>3.0</v>
      </c>
      <c r="H1245" s="42">
        <v>0.0</v>
      </c>
      <c r="I1245" s="42">
        <v>0.0</v>
      </c>
      <c r="J1245" s="42">
        <v>1.0</v>
      </c>
      <c r="K1245" s="42">
        <v>8.0</v>
      </c>
      <c r="L1245" s="42">
        <v>8.0</v>
      </c>
      <c r="M1245" s="42">
        <v>0.0</v>
      </c>
      <c r="N1245" s="42">
        <v>0.0</v>
      </c>
      <c r="O1245" s="42">
        <v>0.0</v>
      </c>
      <c r="P1245" s="42">
        <v>3.0</v>
      </c>
      <c r="Q1245" s="42">
        <v>3.0</v>
      </c>
    </row>
    <row r="1246">
      <c r="A1246" s="47">
        <v>46201.0</v>
      </c>
      <c r="B1246" s="48">
        <v>0.7347222222222223</v>
      </c>
      <c r="C1246" s="37" t="s">
        <v>29</v>
      </c>
      <c r="D1246" s="37" t="s">
        <v>94</v>
      </c>
      <c r="E1246" s="37" t="s">
        <v>88</v>
      </c>
      <c r="F1246" s="38">
        <v>0.0</v>
      </c>
      <c r="G1246" s="38">
        <v>0.0</v>
      </c>
      <c r="H1246" s="38">
        <v>0.0</v>
      </c>
      <c r="I1246" s="38">
        <v>0.0</v>
      </c>
      <c r="J1246" s="38">
        <v>0.0</v>
      </c>
      <c r="K1246" s="38">
        <v>0.0</v>
      </c>
      <c r="L1246" s="38">
        <v>0.0</v>
      </c>
      <c r="M1246" s="38">
        <v>0.0</v>
      </c>
      <c r="N1246" s="38">
        <v>0.0</v>
      </c>
      <c r="O1246" s="38">
        <v>0.0</v>
      </c>
      <c r="P1246" s="38">
        <v>0.0</v>
      </c>
      <c r="Q1246" s="38">
        <v>0.0</v>
      </c>
    </row>
    <row r="1247">
      <c r="A1247" s="49">
        <v>46201.0</v>
      </c>
      <c r="B1247" s="50">
        <v>0.7347222222222223</v>
      </c>
      <c r="C1247" s="41" t="s">
        <v>29</v>
      </c>
      <c r="D1247" s="41" t="s">
        <v>94</v>
      </c>
      <c r="E1247" s="41" t="s">
        <v>89</v>
      </c>
      <c r="F1247" s="42">
        <v>1.0</v>
      </c>
      <c r="G1247" s="42">
        <v>0.0</v>
      </c>
      <c r="H1247" s="42">
        <v>0.0</v>
      </c>
      <c r="I1247" s="42">
        <v>0.0</v>
      </c>
      <c r="J1247" s="42">
        <v>0.0</v>
      </c>
      <c r="K1247" s="42">
        <v>1.0</v>
      </c>
      <c r="L1247" s="42">
        <v>1.0</v>
      </c>
      <c r="M1247" s="42">
        <v>0.0</v>
      </c>
      <c r="N1247" s="42">
        <v>0.0</v>
      </c>
      <c r="O1247" s="42">
        <v>0.0</v>
      </c>
      <c r="P1247" s="42">
        <v>0.0</v>
      </c>
      <c r="Q1247" s="42">
        <v>0.0</v>
      </c>
    </row>
    <row r="1248">
      <c r="A1248" s="47">
        <v>46201.0</v>
      </c>
      <c r="B1248" s="48">
        <v>0.7347222222222223</v>
      </c>
      <c r="C1248" s="37" t="s">
        <v>29</v>
      </c>
      <c r="D1248" s="37" t="s">
        <v>94</v>
      </c>
      <c r="E1248" s="37" t="s">
        <v>50</v>
      </c>
      <c r="F1248" s="38">
        <v>0.0</v>
      </c>
      <c r="G1248" s="38">
        <v>0.0</v>
      </c>
      <c r="H1248" s="38">
        <v>0.0</v>
      </c>
      <c r="I1248" s="38">
        <v>0.0</v>
      </c>
      <c r="J1248" s="38">
        <v>0.0</v>
      </c>
      <c r="K1248" s="38">
        <v>0.0</v>
      </c>
      <c r="L1248" s="38">
        <v>0.0</v>
      </c>
      <c r="M1248" s="38">
        <v>0.0</v>
      </c>
      <c r="N1248" s="38">
        <v>0.0</v>
      </c>
      <c r="O1248" s="38">
        <v>0.0</v>
      </c>
      <c r="P1248" s="38">
        <v>0.0</v>
      </c>
      <c r="Q1248" s="38">
        <v>0.0</v>
      </c>
    </row>
    <row r="1249">
      <c r="A1249" s="49">
        <v>46201.0</v>
      </c>
      <c r="B1249" s="50">
        <v>0.7347222222222223</v>
      </c>
      <c r="C1249" s="41" t="s">
        <v>29</v>
      </c>
      <c r="D1249" s="41" t="s">
        <v>94</v>
      </c>
      <c r="E1249" s="41" t="s">
        <v>90</v>
      </c>
      <c r="F1249" s="42">
        <v>0.0</v>
      </c>
      <c r="G1249" s="42">
        <v>0.0</v>
      </c>
      <c r="H1249" s="42">
        <v>0.0</v>
      </c>
      <c r="I1249" s="42">
        <v>0.0</v>
      </c>
      <c r="J1249" s="42">
        <v>0.0</v>
      </c>
      <c r="K1249" s="42">
        <v>0.0</v>
      </c>
      <c r="L1249" s="42">
        <v>0.0</v>
      </c>
      <c r="M1249" s="42">
        <v>0.0</v>
      </c>
      <c r="N1249" s="42">
        <v>0.0</v>
      </c>
      <c r="O1249" s="42">
        <v>0.0</v>
      </c>
      <c r="P1249" s="42">
        <v>0.0</v>
      </c>
      <c r="Q1249" s="42">
        <v>0.0</v>
      </c>
    </row>
    <row r="1250">
      <c r="A1250" s="47">
        <v>46201.0</v>
      </c>
      <c r="B1250" s="48">
        <v>0.7347222222222223</v>
      </c>
      <c r="C1250" s="37" t="s">
        <v>29</v>
      </c>
      <c r="D1250" s="37" t="s">
        <v>94</v>
      </c>
      <c r="E1250" s="37" t="s">
        <v>91</v>
      </c>
      <c r="F1250" s="38">
        <v>0.0</v>
      </c>
      <c r="G1250" s="38">
        <v>0.0</v>
      </c>
      <c r="H1250" s="38">
        <v>0.0</v>
      </c>
      <c r="I1250" s="38">
        <v>0.0</v>
      </c>
      <c r="J1250" s="38">
        <v>0.0</v>
      </c>
      <c r="K1250" s="38">
        <v>0.0</v>
      </c>
      <c r="L1250" s="38">
        <v>0.0</v>
      </c>
      <c r="M1250" s="38">
        <v>0.0</v>
      </c>
      <c r="N1250" s="38">
        <v>0.0</v>
      </c>
      <c r="O1250" s="38">
        <v>0.0</v>
      </c>
      <c r="P1250" s="38">
        <v>0.0</v>
      </c>
      <c r="Q1250" s="38">
        <v>0.0</v>
      </c>
    </row>
    <row r="1251">
      <c r="A1251" s="49">
        <v>46201.0</v>
      </c>
      <c r="B1251" s="50">
        <v>0.7347222222222223</v>
      </c>
      <c r="C1251" s="41" t="s">
        <v>29</v>
      </c>
      <c r="D1251" s="41" t="s">
        <v>94</v>
      </c>
      <c r="E1251" s="41" t="s">
        <v>92</v>
      </c>
      <c r="F1251" s="42">
        <v>0.0</v>
      </c>
      <c r="G1251" s="42">
        <v>0.0</v>
      </c>
      <c r="H1251" s="42">
        <v>0.0</v>
      </c>
      <c r="I1251" s="42">
        <v>0.0</v>
      </c>
      <c r="J1251" s="42">
        <v>0.0</v>
      </c>
      <c r="K1251" s="42">
        <v>0.0</v>
      </c>
      <c r="L1251" s="42">
        <v>0.0</v>
      </c>
      <c r="M1251" s="42">
        <v>0.0</v>
      </c>
      <c r="N1251" s="42">
        <v>0.0</v>
      </c>
      <c r="O1251" s="42">
        <v>0.0</v>
      </c>
      <c r="P1251" s="42">
        <v>0.0</v>
      </c>
      <c r="Q1251" s="42">
        <v>0.0</v>
      </c>
    </row>
    <row r="1252">
      <c r="A1252" s="47">
        <v>46201.0</v>
      </c>
      <c r="B1252" s="48">
        <v>0.7347222222222223</v>
      </c>
      <c r="C1252" s="37" t="s">
        <v>29</v>
      </c>
      <c r="D1252" s="37" t="s">
        <v>94</v>
      </c>
      <c r="E1252" s="37" t="s">
        <v>106</v>
      </c>
      <c r="F1252" s="38">
        <v>2.0</v>
      </c>
      <c r="G1252" s="38">
        <v>0.0</v>
      </c>
      <c r="H1252" s="38">
        <v>0.0</v>
      </c>
      <c r="I1252" s="38">
        <v>0.0</v>
      </c>
      <c r="J1252" s="38">
        <v>1.0</v>
      </c>
      <c r="K1252" s="38">
        <v>1.0</v>
      </c>
      <c r="L1252" s="38">
        <v>2.0</v>
      </c>
      <c r="M1252" s="38">
        <v>0.0</v>
      </c>
      <c r="N1252" s="38">
        <v>0.0</v>
      </c>
      <c r="O1252" s="38">
        <v>0.0</v>
      </c>
      <c r="P1252" s="38">
        <v>0.0</v>
      </c>
      <c r="Q1252" s="38">
        <v>0.0</v>
      </c>
    </row>
    <row r="1253">
      <c r="A1253" s="49">
        <v>46201.0</v>
      </c>
      <c r="B1253" s="50">
        <v>0.7347222222222223</v>
      </c>
      <c r="C1253" s="41" t="s">
        <v>29</v>
      </c>
      <c r="D1253" s="41" t="s">
        <v>94</v>
      </c>
      <c r="E1253" s="41" t="s">
        <v>107</v>
      </c>
      <c r="F1253" s="42">
        <v>0.0</v>
      </c>
      <c r="G1253" s="42">
        <v>0.0</v>
      </c>
      <c r="H1253" s="42">
        <v>0.0</v>
      </c>
      <c r="I1253" s="42">
        <v>0.0</v>
      </c>
      <c r="J1253" s="42">
        <v>0.0</v>
      </c>
      <c r="K1253" s="42">
        <v>0.0</v>
      </c>
      <c r="L1253" s="42">
        <v>0.0</v>
      </c>
      <c r="M1253" s="42">
        <v>0.0</v>
      </c>
      <c r="N1253" s="42">
        <v>0.0</v>
      </c>
      <c r="O1253" s="42">
        <v>0.0</v>
      </c>
      <c r="P1253" s="42">
        <v>0.0</v>
      </c>
      <c r="Q1253" s="42">
        <v>0.0</v>
      </c>
    </row>
    <row r="1254">
      <c r="A1254" s="47">
        <v>46201.0</v>
      </c>
      <c r="B1254" s="48">
        <v>0.7347222222222223</v>
      </c>
      <c r="C1254" s="37" t="s">
        <v>31</v>
      </c>
      <c r="D1254" s="37" t="s">
        <v>95</v>
      </c>
      <c r="E1254" s="37" t="s">
        <v>52</v>
      </c>
      <c r="F1254" s="38">
        <v>0.0</v>
      </c>
      <c r="G1254" s="38">
        <v>0.0</v>
      </c>
      <c r="H1254" s="38">
        <v>0.0</v>
      </c>
      <c r="I1254" s="38">
        <v>0.0</v>
      </c>
      <c r="J1254" s="38">
        <v>0.0</v>
      </c>
      <c r="K1254" s="38">
        <v>0.0</v>
      </c>
      <c r="L1254" s="38">
        <v>0.0</v>
      </c>
      <c r="M1254" s="38">
        <v>0.0</v>
      </c>
      <c r="N1254" s="38">
        <v>0.0</v>
      </c>
      <c r="O1254" s="38">
        <v>0.0</v>
      </c>
      <c r="P1254" s="38">
        <v>0.0</v>
      </c>
      <c r="Q1254" s="38">
        <v>0.0</v>
      </c>
    </row>
    <row r="1255">
      <c r="A1255" s="49">
        <v>46201.0</v>
      </c>
      <c r="B1255" s="50">
        <v>0.7347222222222223</v>
      </c>
      <c r="C1255" s="41" t="s">
        <v>31</v>
      </c>
      <c r="D1255" s="41" t="s">
        <v>95</v>
      </c>
      <c r="E1255" s="41" t="s">
        <v>88</v>
      </c>
      <c r="F1255" s="42">
        <v>0.0</v>
      </c>
      <c r="G1255" s="42">
        <v>0.0</v>
      </c>
      <c r="H1255" s="42">
        <v>0.0</v>
      </c>
      <c r="I1255" s="42">
        <v>0.0</v>
      </c>
      <c r="J1255" s="42">
        <v>0.0</v>
      </c>
      <c r="K1255" s="42">
        <v>0.0</v>
      </c>
      <c r="L1255" s="42">
        <v>0.0</v>
      </c>
      <c r="M1255" s="42">
        <v>0.0</v>
      </c>
      <c r="N1255" s="42">
        <v>0.0</v>
      </c>
      <c r="O1255" s="42">
        <v>0.0</v>
      </c>
      <c r="P1255" s="42">
        <v>0.0</v>
      </c>
      <c r="Q1255" s="42">
        <v>0.0</v>
      </c>
    </row>
    <row r="1256">
      <c r="A1256" s="47">
        <v>46201.0</v>
      </c>
      <c r="B1256" s="48">
        <v>0.7347222222222223</v>
      </c>
      <c r="C1256" s="37" t="s">
        <v>31</v>
      </c>
      <c r="D1256" s="37" t="s">
        <v>95</v>
      </c>
      <c r="E1256" s="37" t="s">
        <v>89</v>
      </c>
      <c r="F1256" s="38">
        <v>0.0</v>
      </c>
      <c r="G1256" s="38">
        <v>0.0</v>
      </c>
      <c r="H1256" s="38">
        <v>0.0</v>
      </c>
      <c r="I1256" s="38">
        <v>0.0</v>
      </c>
      <c r="J1256" s="38">
        <v>0.0</v>
      </c>
      <c r="K1256" s="38">
        <v>0.0</v>
      </c>
      <c r="L1256" s="38">
        <v>0.0</v>
      </c>
      <c r="M1256" s="38">
        <v>0.0</v>
      </c>
      <c r="N1256" s="38">
        <v>0.0</v>
      </c>
      <c r="O1256" s="38">
        <v>0.0</v>
      </c>
      <c r="P1256" s="38">
        <v>0.0</v>
      </c>
      <c r="Q1256" s="38">
        <v>0.0</v>
      </c>
    </row>
    <row r="1257">
      <c r="A1257" s="49">
        <v>46201.0</v>
      </c>
      <c r="B1257" s="50">
        <v>0.7347222222222223</v>
      </c>
      <c r="C1257" s="41" t="s">
        <v>31</v>
      </c>
      <c r="D1257" s="41" t="s">
        <v>95</v>
      </c>
      <c r="E1257" s="41" t="s">
        <v>50</v>
      </c>
      <c r="F1257" s="42">
        <v>1.0</v>
      </c>
      <c r="G1257" s="42">
        <v>1.0</v>
      </c>
      <c r="H1257" s="42">
        <v>0.0</v>
      </c>
      <c r="I1257" s="42">
        <v>0.0</v>
      </c>
      <c r="J1257" s="42">
        <v>0.0</v>
      </c>
      <c r="K1257" s="42">
        <v>0.0</v>
      </c>
      <c r="L1257" s="42">
        <v>0.0</v>
      </c>
      <c r="M1257" s="42">
        <v>0.0</v>
      </c>
      <c r="N1257" s="42">
        <v>0.0</v>
      </c>
      <c r="O1257" s="42">
        <v>0.0</v>
      </c>
      <c r="P1257" s="42">
        <v>0.0</v>
      </c>
      <c r="Q1257" s="42">
        <v>0.0</v>
      </c>
    </row>
    <row r="1258">
      <c r="A1258" s="47">
        <v>46201.0</v>
      </c>
      <c r="B1258" s="48">
        <v>0.7347222222222223</v>
      </c>
      <c r="C1258" s="37" t="s">
        <v>31</v>
      </c>
      <c r="D1258" s="37" t="s">
        <v>95</v>
      </c>
      <c r="E1258" s="37" t="s">
        <v>90</v>
      </c>
      <c r="F1258" s="38">
        <v>0.0</v>
      </c>
      <c r="G1258" s="38">
        <v>0.0</v>
      </c>
      <c r="H1258" s="38">
        <v>0.0</v>
      </c>
      <c r="I1258" s="38">
        <v>0.0</v>
      </c>
      <c r="J1258" s="38">
        <v>0.0</v>
      </c>
      <c r="K1258" s="38">
        <v>0.0</v>
      </c>
      <c r="L1258" s="38">
        <v>0.0</v>
      </c>
      <c r="M1258" s="38">
        <v>0.0</v>
      </c>
      <c r="N1258" s="38">
        <v>0.0</v>
      </c>
      <c r="O1258" s="38">
        <v>0.0</v>
      </c>
      <c r="P1258" s="38">
        <v>0.0</v>
      </c>
      <c r="Q1258" s="38">
        <v>0.0</v>
      </c>
    </row>
    <row r="1259">
      <c r="A1259" s="49">
        <v>46201.0</v>
      </c>
      <c r="B1259" s="50">
        <v>0.7347222222222223</v>
      </c>
      <c r="C1259" s="41" t="s">
        <v>31</v>
      </c>
      <c r="D1259" s="41" t="s">
        <v>95</v>
      </c>
      <c r="E1259" s="41" t="s">
        <v>91</v>
      </c>
      <c r="F1259" s="42">
        <v>0.0</v>
      </c>
      <c r="G1259" s="42">
        <v>0.0</v>
      </c>
      <c r="H1259" s="42">
        <v>0.0</v>
      </c>
      <c r="I1259" s="42">
        <v>0.0</v>
      </c>
      <c r="J1259" s="42">
        <v>0.0</v>
      </c>
      <c r="K1259" s="42">
        <v>0.0</v>
      </c>
      <c r="L1259" s="42">
        <v>0.0</v>
      </c>
      <c r="M1259" s="42">
        <v>0.0</v>
      </c>
      <c r="N1259" s="42">
        <v>0.0</v>
      </c>
      <c r="O1259" s="42">
        <v>0.0</v>
      </c>
      <c r="P1259" s="42">
        <v>0.0</v>
      </c>
      <c r="Q1259" s="42">
        <v>0.0</v>
      </c>
    </row>
    <row r="1260">
      <c r="A1260" s="47">
        <v>46201.0</v>
      </c>
      <c r="B1260" s="48">
        <v>0.7347222222222223</v>
      </c>
      <c r="C1260" s="37" t="s">
        <v>31</v>
      </c>
      <c r="D1260" s="37" t="s">
        <v>95</v>
      </c>
      <c r="E1260" s="37" t="s">
        <v>92</v>
      </c>
      <c r="F1260" s="38">
        <v>0.0</v>
      </c>
      <c r="G1260" s="38">
        <v>0.0</v>
      </c>
      <c r="H1260" s="38">
        <v>0.0</v>
      </c>
      <c r="I1260" s="38">
        <v>0.0</v>
      </c>
      <c r="J1260" s="38">
        <v>0.0</v>
      </c>
      <c r="K1260" s="38">
        <v>0.0</v>
      </c>
      <c r="L1260" s="38">
        <v>0.0</v>
      </c>
      <c r="M1260" s="38">
        <v>0.0</v>
      </c>
      <c r="N1260" s="38">
        <v>0.0</v>
      </c>
      <c r="O1260" s="38">
        <v>0.0</v>
      </c>
      <c r="P1260" s="38">
        <v>0.0</v>
      </c>
      <c r="Q1260" s="38">
        <v>0.0</v>
      </c>
    </row>
    <row r="1261">
      <c r="A1261" s="49">
        <v>46201.0</v>
      </c>
      <c r="B1261" s="50">
        <v>0.7347222222222223</v>
      </c>
      <c r="C1261" s="41" t="s">
        <v>31</v>
      </c>
      <c r="D1261" s="41" t="s">
        <v>95</v>
      </c>
      <c r="E1261" s="41" t="s">
        <v>106</v>
      </c>
      <c r="F1261" s="42">
        <v>0.0</v>
      </c>
      <c r="G1261" s="42">
        <v>0.0</v>
      </c>
      <c r="H1261" s="42">
        <v>0.0</v>
      </c>
      <c r="I1261" s="42">
        <v>0.0</v>
      </c>
      <c r="J1261" s="42">
        <v>0.0</v>
      </c>
      <c r="K1261" s="42">
        <v>0.0</v>
      </c>
      <c r="L1261" s="42">
        <v>0.0</v>
      </c>
      <c r="M1261" s="42">
        <v>0.0</v>
      </c>
      <c r="N1261" s="42">
        <v>0.0</v>
      </c>
      <c r="O1261" s="42">
        <v>0.0</v>
      </c>
      <c r="P1261" s="42">
        <v>0.0</v>
      </c>
      <c r="Q1261" s="42">
        <v>0.0</v>
      </c>
    </row>
    <row r="1262">
      <c r="A1262" s="47">
        <v>46201.0</v>
      </c>
      <c r="B1262" s="48">
        <v>0.7347222222222223</v>
      </c>
      <c r="C1262" s="37" t="s">
        <v>31</v>
      </c>
      <c r="D1262" s="37" t="s">
        <v>95</v>
      </c>
      <c r="E1262" s="37" t="s">
        <v>107</v>
      </c>
      <c r="F1262" s="38">
        <v>0.0</v>
      </c>
      <c r="G1262" s="38">
        <v>0.0</v>
      </c>
      <c r="H1262" s="38">
        <v>0.0</v>
      </c>
      <c r="I1262" s="38">
        <v>0.0</v>
      </c>
      <c r="J1262" s="38">
        <v>0.0</v>
      </c>
      <c r="K1262" s="38">
        <v>0.0</v>
      </c>
      <c r="L1262" s="38">
        <v>0.0</v>
      </c>
      <c r="M1262" s="38">
        <v>0.0</v>
      </c>
      <c r="N1262" s="38">
        <v>0.0</v>
      </c>
      <c r="O1262" s="38">
        <v>0.0</v>
      </c>
      <c r="P1262" s="38">
        <v>0.0</v>
      </c>
      <c r="Q1262" s="38">
        <v>0.0</v>
      </c>
    </row>
    <row r="1263">
      <c r="A1263" s="51">
        <v>46201.0</v>
      </c>
      <c r="B1263" s="52">
        <v>0.7347222222222223</v>
      </c>
      <c r="C1263" s="45" t="s">
        <v>96</v>
      </c>
      <c r="D1263" s="45" t="s">
        <v>75</v>
      </c>
      <c r="E1263" s="45" t="s">
        <v>52</v>
      </c>
      <c r="F1263" s="46">
        <v>14.0</v>
      </c>
      <c r="G1263" s="46">
        <v>5.0</v>
      </c>
      <c r="H1263" s="46">
        <v>0.0</v>
      </c>
      <c r="I1263" s="46">
        <v>1.0</v>
      </c>
      <c r="J1263" s="46">
        <v>2.0</v>
      </c>
      <c r="K1263" s="46">
        <v>12.0</v>
      </c>
      <c r="L1263" s="46">
        <v>14.0</v>
      </c>
      <c r="M1263" s="46">
        <v>0.0</v>
      </c>
      <c r="N1263" s="46">
        <v>0.0</v>
      </c>
      <c r="O1263" s="46">
        <v>0.0</v>
      </c>
      <c r="P1263" s="46">
        <v>4.0</v>
      </c>
      <c r="Q1263" s="46">
        <v>5.0</v>
      </c>
    </row>
    <row r="1264">
      <c r="A1264" s="51">
        <v>46201.0</v>
      </c>
      <c r="B1264" s="52">
        <v>0.7347222222222223</v>
      </c>
      <c r="C1264" s="45" t="s">
        <v>96</v>
      </c>
      <c r="D1264" s="45" t="s">
        <v>75</v>
      </c>
      <c r="E1264" s="45" t="s">
        <v>88</v>
      </c>
      <c r="F1264" s="46">
        <v>0.0</v>
      </c>
      <c r="G1264" s="46">
        <v>0.0</v>
      </c>
      <c r="H1264" s="46">
        <v>0.0</v>
      </c>
      <c r="I1264" s="46">
        <v>0.0</v>
      </c>
      <c r="J1264" s="46">
        <v>0.0</v>
      </c>
      <c r="K1264" s="46">
        <v>0.0</v>
      </c>
      <c r="L1264" s="46">
        <v>0.0</v>
      </c>
      <c r="M1264" s="46">
        <v>0.0</v>
      </c>
      <c r="N1264" s="46">
        <v>0.0</v>
      </c>
      <c r="O1264" s="46">
        <v>0.0</v>
      </c>
      <c r="P1264" s="46">
        <v>0.0</v>
      </c>
      <c r="Q1264" s="46">
        <v>0.0</v>
      </c>
    </row>
    <row r="1265">
      <c r="A1265" s="51">
        <v>46201.0</v>
      </c>
      <c r="B1265" s="52">
        <v>0.7347222222222223</v>
      </c>
      <c r="C1265" s="45" t="s">
        <v>96</v>
      </c>
      <c r="D1265" s="45" t="s">
        <v>75</v>
      </c>
      <c r="E1265" s="45" t="s">
        <v>89</v>
      </c>
      <c r="F1265" s="46">
        <v>1.0</v>
      </c>
      <c r="G1265" s="46">
        <v>0.0</v>
      </c>
      <c r="H1265" s="46">
        <v>0.0</v>
      </c>
      <c r="I1265" s="46">
        <v>0.0</v>
      </c>
      <c r="J1265" s="46">
        <v>0.0</v>
      </c>
      <c r="K1265" s="46">
        <v>1.0</v>
      </c>
      <c r="L1265" s="46">
        <v>1.0</v>
      </c>
      <c r="M1265" s="46">
        <v>0.0</v>
      </c>
      <c r="N1265" s="46">
        <v>0.0</v>
      </c>
      <c r="O1265" s="46">
        <v>0.0</v>
      </c>
      <c r="P1265" s="46">
        <v>0.0</v>
      </c>
      <c r="Q1265" s="46">
        <v>0.0</v>
      </c>
    </row>
    <row r="1266">
      <c r="A1266" s="51">
        <v>46201.0</v>
      </c>
      <c r="B1266" s="52">
        <v>0.7347222222222223</v>
      </c>
      <c r="C1266" s="45" t="s">
        <v>96</v>
      </c>
      <c r="D1266" s="45" t="s">
        <v>75</v>
      </c>
      <c r="E1266" s="45" t="s">
        <v>50</v>
      </c>
      <c r="F1266" s="46">
        <v>1.0</v>
      </c>
      <c r="G1266" s="46">
        <v>1.0</v>
      </c>
      <c r="H1266" s="46">
        <v>0.0</v>
      </c>
      <c r="I1266" s="46">
        <v>0.0</v>
      </c>
      <c r="J1266" s="46">
        <v>0.0</v>
      </c>
      <c r="K1266" s="46">
        <v>0.0</v>
      </c>
      <c r="L1266" s="46">
        <v>0.0</v>
      </c>
      <c r="M1266" s="46">
        <v>0.0</v>
      </c>
      <c r="N1266" s="46">
        <v>0.0</v>
      </c>
      <c r="O1266" s="46">
        <v>0.0</v>
      </c>
      <c r="P1266" s="46">
        <v>0.0</v>
      </c>
      <c r="Q1266" s="46">
        <v>0.0</v>
      </c>
    </row>
    <row r="1267">
      <c r="A1267" s="51">
        <v>46201.0</v>
      </c>
      <c r="B1267" s="52">
        <v>0.7347222222222223</v>
      </c>
      <c r="C1267" s="45" t="s">
        <v>96</v>
      </c>
      <c r="D1267" s="45" t="s">
        <v>75</v>
      </c>
      <c r="E1267" s="45" t="s">
        <v>90</v>
      </c>
      <c r="F1267" s="46">
        <v>0.0</v>
      </c>
      <c r="G1267" s="46">
        <v>0.0</v>
      </c>
      <c r="H1267" s="46">
        <v>0.0</v>
      </c>
      <c r="I1267" s="46">
        <v>0.0</v>
      </c>
      <c r="J1267" s="46">
        <v>0.0</v>
      </c>
      <c r="K1267" s="46">
        <v>0.0</v>
      </c>
      <c r="L1267" s="46">
        <v>0.0</v>
      </c>
      <c r="M1267" s="46">
        <v>0.0</v>
      </c>
      <c r="N1267" s="46">
        <v>0.0</v>
      </c>
      <c r="O1267" s="46">
        <v>0.0</v>
      </c>
      <c r="P1267" s="46">
        <v>0.0</v>
      </c>
      <c r="Q1267" s="46">
        <v>0.0</v>
      </c>
    </row>
    <row r="1268">
      <c r="A1268" s="51">
        <v>46201.0</v>
      </c>
      <c r="B1268" s="52">
        <v>0.7347222222222223</v>
      </c>
      <c r="C1268" s="45" t="s">
        <v>96</v>
      </c>
      <c r="D1268" s="45" t="s">
        <v>75</v>
      </c>
      <c r="E1268" s="45" t="s">
        <v>91</v>
      </c>
      <c r="F1268" s="46">
        <v>0.0</v>
      </c>
      <c r="G1268" s="46">
        <v>0.0</v>
      </c>
      <c r="H1268" s="46">
        <v>0.0</v>
      </c>
      <c r="I1268" s="46">
        <v>0.0</v>
      </c>
      <c r="J1268" s="46">
        <v>0.0</v>
      </c>
      <c r="K1268" s="46">
        <v>0.0</v>
      </c>
      <c r="L1268" s="46">
        <v>0.0</v>
      </c>
      <c r="M1268" s="46">
        <v>0.0</v>
      </c>
      <c r="N1268" s="46">
        <v>0.0</v>
      </c>
      <c r="O1268" s="46">
        <v>0.0</v>
      </c>
      <c r="P1268" s="46">
        <v>0.0</v>
      </c>
      <c r="Q1268" s="46">
        <v>0.0</v>
      </c>
    </row>
    <row r="1269">
      <c r="A1269" s="51">
        <v>46201.0</v>
      </c>
      <c r="B1269" s="52">
        <v>0.7347222222222223</v>
      </c>
      <c r="C1269" s="45" t="s">
        <v>96</v>
      </c>
      <c r="D1269" s="45" t="s">
        <v>75</v>
      </c>
      <c r="E1269" s="45" t="s">
        <v>92</v>
      </c>
      <c r="F1269" s="46">
        <v>0.0</v>
      </c>
      <c r="G1269" s="46">
        <v>0.0</v>
      </c>
      <c r="H1269" s="46">
        <v>0.0</v>
      </c>
      <c r="I1269" s="46">
        <v>0.0</v>
      </c>
      <c r="J1269" s="46">
        <v>0.0</v>
      </c>
      <c r="K1269" s="46">
        <v>0.0</v>
      </c>
      <c r="L1269" s="46">
        <v>0.0</v>
      </c>
      <c r="M1269" s="46">
        <v>0.0</v>
      </c>
      <c r="N1269" s="46">
        <v>0.0</v>
      </c>
      <c r="O1269" s="46">
        <v>0.0</v>
      </c>
      <c r="P1269" s="46">
        <v>0.0</v>
      </c>
      <c r="Q1269" s="46">
        <v>0.0</v>
      </c>
    </row>
    <row r="1270">
      <c r="A1270" s="51">
        <v>46201.0</v>
      </c>
      <c r="B1270" s="52">
        <v>0.7347222222222223</v>
      </c>
      <c r="C1270" s="45" t="s">
        <v>96</v>
      </c>
      <c r="D1270" s="45" t="s">
        <v>75</v>
      </c>
      <c r="E1270" s="45" t="s">
        <v>106</v>
      </c>
      <c r="F1270" s="46">
        <v>2.0</v>
      </c>
      <c r="G1270" s="46">
        <v>0.0</v>
      </c>
      <c r="H1270" s="46">
        <v>0.0</v>
      </c>
      <c r="I1270" s="46">
        <v>0.0</v>
      </c>
      <c r="J1270" s="46">
        <v>1.0</v>
      </c>
      <c r="K1270" s="46">
        <v>1.0</v>
      </c>
      <c r="L1270" s="46">
        <v>2.0</v>
      </c>
      <c r="M1270" s="46">
        <v>0.0</v>
      </c>
      <c r="N1270" s="46">
        <v>0.0</v>
      </c>
      <c r="O1270" s="46">
        <v>0.0</v>
      </c>
      <c r="P1270" s="46">
        <v>0.0</v>
      </c>
      <c r="Q1270" s="46">
        <v>0.0</v>
      </c>
    </row>
    <row r="1271">
      <c r="A1271" s="51">
        <v>46201.0</v>
      </c>
      <c r="B1271" s="52">
        <v>0.7347222222222223</v>
      </c>
      <c r="C1271" s="45" t="s">
        <v>96</v>
      </c>
      <c r="D1271" s="45" t="s">
        <v>75</v>
      </c>
      <c r="E1271" s="45" t="s">
        <v>107</v>
      </c>
      <c r="F1271" s="46">
        <v>0.0</v>
      </c>
      <c r="G1271" s="46">
        <v>0.0</v>
      </c>
      <c r="H1271" s="46">
        <v>0.0</v>
      </c>
      <c r="I1271" s="46">
        <v>0.0</v>
      </c>
      <c r="J1271" s="46">
        <v>0.0</v>
      </c>
      <c r="K1271" s="46">
        <v>0.0</v>
      </c>
      <c r="L1271" s="46">
        <v>0.0</v>
      </c>
      <c r="M1271" s="46">
        <v>0.0</v>
      </c>
      <c r="N1271" s="46">
        <v>0.0</v>
      </c>
      <c r="O1271" s="46">
        <v>0.0</v>
      </c>
      <c r="P1271" s="46">
        <v>0.0</v>
      </c>
      <c r="Q1271" s="46">
        <v>0.0</v>
      </c>
    </row>
    <row r="1272">
      <c r="A1272" s="47">
        <v>46201.0</v>
      </c>
      <c r="B1272" s="48">
        <v>0.8006944444444445</v>
      </c>
      <c r="C1272" s="37" t="s">
        <v>15</v>
      </c>
      <c r="D1272" s="37" t="s">
        <v>87</v>
      </c>
      <c r="E1272" s="37" t="s">
        <v>52</v>
      </c>
      <c r="F1272" s="38">
        <v>5.0</v>
      </c>
      <c r="G1272" s="38">
        <v>1.0</v>
      </c>
      <c r="H1272" s="38">
        <v>0.0</v>
      </c>
      <c r="I1272" s="38">
        <v>1.0</v>
      </c>
      <c r="J1272" s="38">
        <v>1.0</v>
      </c>
      <c r="K1272" s="38">
        <v>3.0</v>
      </c>
      <c r="L1272" s="38">
        <v>5.0</v>
      </c>
      <c r="M1272" s="38">
        <v>0.0</v>
      </c>
      <c r="N1272" s="38">
        <v>0.0</v>
      </c>
      <c r="O1272" s="38">
        <v>0.0</v>
      </c>
      <c r="P1272" s="38">
        <v>0.0</v>
      </c>
      <c r="Q1272" s="38">
        <v>1.0</v>
      </c>
    </row>
    <row r="1273">
      <c r="A1273" s="49">
        <v>46201.0</v>
      </c>
      <c r="B1273" s="50">
        <v>0.8006944444444445</v>
      </c>
      <c r="C1273" s="41" t="s">
        <v>15</v>
      </c>
      <c r="D1273" s="41" t="s">
        <v>87</v>
      </c>
      <c r="E1273" s="41" t="s">
        <v>88</v>
      </c>
      <c r="F1273" s="42">
        <v>0.0</v>
      </c>
      <c r="G1273" s="42">
        <v>0.0</v>
      </c>
      <c r="H1273" s="42">
        <v>0.0</v>
      </c>
      <c r="I1273" s="42">
        <v>0.0</v>
      </c>
      <c r="J1273" s="42">
        <v>0.0</v>
      </c>
      <c r="K1273" s="42">
        <v>0.0</v>
      </c>
      <c r="L1273" s="42">
        <v>0.0</v>
      </c>
      <c r="M1273" s="42">
        <v>0.0</v>
      </c>
      <c r="N1273" s="42">
        <v>0.0</v>
      </c>
      <c r="O1273" s="42">
        <v>0.0</v>
      </c>
      <c r="P1273" s="42">
        <v>0.0</v>
      </c>
      <c r="Q1273" s="42">
        <v>0.0</v>
      </c>
    </row>
    <row r="1274">
      <c r="A1274" s="47">
        <v>46201.0</v>
      </c>
      <c r="B1274" s="48">
        <v>0.8006944444444445</v>
      </c>
      <c r="C1274" s="37" t="s">
        <v>15</v>
      </c>
      <c r="D1274" s="37" t="s">
        <v>87</v>
      </c>
      <c r="E1274" s="37" t="s">
        <v>89</v>
      </c>
      <c r="F1274" s="38">
        <v>0.0</v>
      </c>
      <c r="G1274" s="38">
        <v>0.0</v>
      </c>
      <c r="H1274" s="38">
        <v>0.0</v>
      </c>
      <c r="I1274" s="38">
        <v>0.0</v>
      </c>
      <c r="J1274" s="38">
        <v>0.0</v>
      </c>
      <c r="K1274" s="38">
        <v>0.0</v>
      </c>
      <c r="L1274" s="38">
        <v>0.0</v>
      </c>
      <c r="M1274" s="38">
        <v>0.0</v>
      </c>
      <c r="N1274" s="38">
        <v>0.0</v>
      </c>
      <c r="O1274" s="38">
        <v>0.0</v>
      </c>
      <c r="P1274" s="38">
        <v>0.0</v>
      </c>
      <c r="Q1274" s="38">
        <v>0.0</v>
      </c>
    </row>
    <row r="1275">
      <c r="A1275" s="49">
        <v>46201.0</v>
      </c>
      <c r="B1275" s="50">
        <v>0.8006944444444445</v>
      </c>
      <c r="C1275" s="41" t="s">
        <v>15</v>
      </c>
      <c r="D1275" s="41" t="s">
        <v>87</v>
      </c>
      <c r="E1275" s="41" t="s">
        <v>50</v>
      </c>
      <c r="F1275" s="42">
        <v>0.0</v>
      </c>
      <c r="G1275" s="42">
        <v>0.0</v>
      </c>
      <c r="H1275" s="42">
        <v>0.0</v>
      </c>
      <c r="I1275" s="42">
        <v>0.0</v>
      </c>
      <c r="J1275" s="42">
        <v>0.0</v>
      </c>
      <c r="K1275" s="42">
        <v>0.0</v>
      </c>
      <c r="L1275" s="42">
        <v>0.0</v>
      </c>
      <c r="M1275" s="42">
        <v>0.0</v>
      </c>
      <c r="N1275" s="42">
        <v>0.0</v>
      </c>
      <c r="O1275" s="42">
        <v>0.0</v>
      </c>
      <c r="P1275" s="42">
        <v>0.0</v>
      </c>
      <c r="Q1275" s="42">
        <v>0.0</v>
      </c>
    </row>
    <row r="1276">
      <c r="A1276" s="47">
        <v>46201.0</v>
      </c>
      <c r="B1276" s="48">
        <v>0.8006944444444445</v>
      </c>
      <c r="C1276" s="37" t="s">
        <v>15</v>
      </c>
      <c r="D1276" s="37" t="s">
        <v>87</v>
      </c>
      <c r="E1276" s="37" t="s">
        <v>90</v>
      </c>
      <c r="F1276" s="38">
        <v>0.0</v>
      </c>
      <c r="G1276" s="38">
        <v>0.0</v>
      </c>
      <c r="H1276" s="38">
        <v>0.0</v>
      </c>
      <c r="I1276" s="38">
        <v>0.0</v>
      </c>
      <c r="J1276" s="38">
        <v>0.0</v>
      </c>
      <c r="K1276" s="38">
        <v>0.0</v>
      </c>
      <c r="L1276" s="38">
        <v>0.0</v>
      </c>
      <c r="M1276" s="38">
        <v>0.0</v>
      </c>
      <c r="N1276" s="38">
        <v>0.0</v>
      </c>
      <c r="O1276" s="38">
        <v>0.0</v>
      </c>
      <c r="P1276" s="38">
        <v>0.0</v>
      </c>
      <c r="Q1276" s="38">
        <v>0.0</v>
      </c>
    </row>
    <row r="1277">
      <c r="A1277" s="49">
        <v>46201.0</v>
      </c>
      <c r="B1277" s="50">
        <v>0.8006944444444445</v>
      </c>
      <c r="C1277" s="41" t="s">
        <v>15</v>
      </c>
      <c r="D1277" s="41" t="s">
        <v>87</v>
      </c>
      <c r="E1277" s="41" t="s">
        <v>91</v>
      </c>
      <c r="F1277" s="42">
        <v>0.0</v>
      </c>
      <c r="G1277" s="42">
        <v>0.0</v>
      </c>
      <c r="H1277" s="42">
        <v>0.0</v>
      </c>
      <c r="I1277" s="42">
        <v>0.0</v>
      </c>
      <c r="J1277" s="42">
        <v>0.0</v>
      </c>
      <c r="K1277" s="42">
        <v>0.0</v>
      </c>
      <c r="L1277" s="42">
        <v>0.0</v>
      </c>
      <c r="M1277" s="42">
        <v>0.0</v>
      </c>
      <c r="N1277" s="42">
        <v>0.0</v>
      </c>
      <c r="O1277" s="42">
        <v>0.0</v>
      </c>
      <c r="P1277" s="42">
        <v>0.0</v>
      </c>
      <c r="Q1277" s="42">
        <v>0.0</v>
      </c>
    </row>
    <row r="1278">
      <c r="A1278" s="47">
        <v>46201.0</v>
      </c>
      <c r="B1278" s="48">
        <v>0.8006944444444445</v>
      </c>
      <c r="C1278" s="37" t="s">
        <v>15</v>
      </c>
      <c r="D1278" s="37" t="s">
        <v>87</v>
      </c>
      <c r="E1278" s="37" t="s">
        <v>92</v>
      </c>
      <c r="F1278" s="38">
        <v>0.0</v>
      </c>
      <c r="G1278" s="38">
        <v>0.0</v>
      </c>
      <c r="H1278" s="38">
        <v>0.0</v>
      </c>
      <c r="I1278" s="38">
        <v>0.0</v>
      </c>
      <c r="J1278" s="38">
        <v>0.0</v>
      </c>
      <c r="K1278" s="38">
        <v>0.0</v>
      </c>
      <c r="L1278" s="38">
        <v>0.0</v>
      </c>
      <c r="M1278" s="38">
        <v>0.0</v>
      </c>
      <c r="N1278" s="38">
        <v>0.0</v>
      </c>
      <c r="O1278" s="38">
        <v>0.0</v>
      </c>
      <c r="P1278" s="38">
        <v>0.0</v>
      </c>
      <c r="Q1278" s="38">
        <v>0.0</v>
      </c>
    </row>
    <row r="1279">
      <c r="A1279" s="49">
        <v>46201.0</v>
      </c>
      <c r="B1279" s="50">
        <v>0.8006944444444445</v>
      </c>
      <c r="C1279" s="41" t="s">
        <v>15</v>
      </c>
      <c r="D1279" s="41" t="s">
        <v>87</v>
      </c>
      <c r="E1279" s="41" t="s">
        <v>106</v>
      </c>
      <c r="F1279" s="42">
        <v>0.0</v>
      </c>
      <c r="G1279" s="42">
        <v>0.0</v>
      </c>
      <c r="H1279" s="42">
        <v>0.0</v>
      </c>
      <c r="I1279" s="42">
        <v>0.0</v>
      </c>
      <c r="J1279" s="42">
        <v>0.0</v>
      </c>
      <c r="K1279" s="42">
        <v>0.0</v>
      </c>
      <c r="L1279" s="42">
        <v>0.0</v>
      </c>
      <c r="M1279" s="42">
        <v>0.0</v>
      </c>
      <c r="N1279" s="42">
        <v>0.0</v>
      </c>
      <c r="O1279" s="42">
        <v>0.0</v>
      </c>
      <c r="P1279" s="42">
        <v>0.0</v>
      </c>
      <c r="Q1279" s="42">
        <v>0.0</v>
      </c>
    </row>
    <row r="1280">
      <c r="A1280" s="47">
        <v>46201.0</v>
      </c>
      <c r="B1280" s="48">
        <v>0.8006944444444445</v>
      </c>
      <c r="C1280" s="37" t="s">
        <v>15</v>
      </c>
      <c r="D1280" s="37" t="s">
        <v>87</v>
      </c>
      <c r="E1280" s="37" t="s">
        <v>107</v>
      </c>
      <c r="F1280" s="38">
        <v>0.0</v>
      </c>
      <c r="G1280" s="38">
        <v>0.0</v>
      </c>
      <c r="H1280" s="38">
        <v>0.0</v>
      </c>
      <c r="I1280" s="38">
        <v>0.0</v>
      </c>
      <c r="J1280" s="38">
        <v>0.0</v>
      </c>
      <c r="K1280" s="38">
        <v>0.0</v>
      </c>
      <c r="L1280" s="38">
        <v>0.0</v>
      </c>
      <c r="M1280" s="38">
        <v>0.0</v>
      </c>
      <c r="N1280" s="38">
        <v>0.0</v>
      </c>
      <c r="O1280" s="38">
        <v>0.0</v>
      </c>
      <c r="P1280" s="38">
        <v>0.0</v>
      </c>
      <c r="Q1280" s="38">
        <v>0.0</v>
      </c>
    </row>
    <row r="1281">
      <c r="A1281" s="49">
        <v>46201.0</v>
      </c>
      <c r="B1281" s="50">
        <v>0.8006944444444445</v>
      </c>
      <c r="C1281" s="41" t="s">
        <v>23</v>
      </c>
      <c r="D1281" s="41" t="s">
        <v>93</v>
      </c>
      <c r="E1281" s="41" t="s">
        <v>52</v>
      </c>
      <c r="F1281" s="42">
        <v>1.0</v>
      </c>
      <c r="G1281" s="42">
        <v>1.0</v>
      </c>
      <c r="H1281" s="42">
        <v>0.0</v>
      </c>
      <c r="I1281" s="42">
        <v>0.0</v>
      </c>
      <c r="J1281" s="42">
        <v>0.0</v>
      </c>
      <c r="K1281" s="42">
        <v>1.0</v>
      </c>
      <c r="L1281" s="42">
        <v>1.0</v>
      </c>
      <c r="M1281" s="42">
        <v>0.0</v>
      </c>
      <c r="N1281" s="42">
        <v>0.0</v>
      </c>
      <c r="O1281" s="42">
        <v>0.0</v>
      </c>
      <c r="P1281" s="42">
        <v>1.0</v>
      </c>
      <c r="Q1281" s="42">
        <v>1.0</v>
      </c>
    </row>
    <row r="1282">
      <c r="A1282" s="47">
        <v>46201.0</v>
      </c>
      <c r="B1282" s="48">
        <v>0.8006944444444445</v>
      </c>
      <c r="C1282" s="37" t="s">
        <v>23</v>
      </c>
      <c r="D1282" s="37" t="s">
        <v>93</v>
      </c>
      <c r="E1282" s="37" t="s">
        <v>88</v>
      </c>
      <c r="F1282" s="38">
        <v>0.0</v>
      </c>
      <c r="G1282" s="38">
        <v>0.0</v>
      </c>
      <c r="H1282" s="38">
        <v>0.0</v>
      </c>
      <c r="I1282" s="38">
        <v>0.0</v>
      </c>
      <c r="J1282" s="38">
        <v>0.0</v>
      </c>
      <c r="K1282" s="38">
        <v>0.0</v>
      </c>
      <c r="L1282" s="38">
        <v>0.0</v>
      </c>
      <c r="M1282" s="38">
        <v>0.0</v>
      </c>
      <c r="N1282" s="38">
        <v>0.0</v>
      </c>
      <c r="O1282" s="38">
        <v>0.0</v>
      </c>
      <c r="P1282" s="38">
        <v>0.0</v>
      </c>
      <c r="Q1282" s="38">
        <v>0.0</v>
      </c>
    </row>
    <row r="1283">
      <c r="A1283" s="49">
        <v>46201.0</v>
      </c>
      <c r="B1283" s="50">
        <v>0.8006944444444445</v>
      </c>
      <c r="C1283" s="41" t="s">
        <v>23</v>
      </c>
      <c r="D1283" s="41" t="s">
        <v>93</v>
      </c>
      <c r="E1283" s="41" t="s">
        <v>89</v>
      </c>
      <c r="F1283" s="42">
        <v>0.0</v>
      </c>
      <c r="G1283" s="42">
        <v>0.0</v>
      </c>
      <c r="H1283" s="42">
        <v>0.0</v>
      </c>
      <c r="I1283" s="42">
        <v>0.0</v>
      </c>
      <c r="J1283" s="42">
        <v>0.0</v>
      </c>
      <c r="K1283" s="42">
        <v>0.0</v>
      </c>
      <c r="L1283" s="42">
        <v>0.0</v>
      </c>
      <c r="M1283" s="42">
        <v>0.0</v>
      </c>
      <c r="N1283" s="42">
        <v>0.0</v>
      </c>
      <c r="O1283" s="42">
        <v>0.0</v>
      </c>
      <c r="P1283" s="42">
        <v>0.0</v>
      </c>
      <c r="Q1283" s="42">
        <v>0.0</v>
      </c>
    </row>
    <row r="1284">
      <c r="A1284" s="47">
        <v>46201.0</v>
      </c>
      <c r="B1284" s="48">
        <v>0.8006944444444445</v>
      </c>
      <c r="C1284" s="37" t="s">
        <v>23</v>
      </c>
      <c r="D1284" s="37" t="s">
        <v>93</v>
      </c>
      <c r="E1284" s="37" t="s">
        <v>50</v>
      </c>
      <c r="F1284" s="38">
        <v>0.0</v>
      </c>
      <c r="G1284" s="38">
        <v>0.0</v>
      </c>
      <c r="H1284" s="38">
        <v>0.0</v>
      </c>
      <c r="I1284" s="38">
        <v>0.0</v>
      </c>
      <c r="J1284" s="38">
        <v>0.0</v>
      </c>
      <c r="K1284" s="38">
        <v>0.0</v>
      </c>
      <c r="L1284" s="38">
        <v>0.0</v>
      </c>
      <c r="M1284" s="38">
        <v>0.0</v>
      </c>
      <c r="N1284" s="38">
        <v>0.0</v>
      </c>
      <c r="O1284" s="38">
        <v>0.0</v>
      </c>
      <c r="P1284" s="38">
        <v>0.0</v>
      </c>
      <c r="Q1284" s="38">
        <v>0.0</v>
      </c>
    </row>
    <row r="1285">
      <c r="A1285" s="49">
        <v>46201.0</v>
      </c>
      <c r="B1285" s="50">
        <v>0.8006944444444445</v>
      </c>
      <c r="C1285" s="41" t="s">
        <v>23</v>
      </c>
      <c r="D1285" s="41" t="s">
        <v>93</v>
      </c>
      <c r="E1285" s="41" t="s">
        <v>90</v>
      </c>
      <c r="F1285" s="42">
        <v>0.0</v>
      </c>
      <c r="G1285" s="42">
        <v>0.0</v>
      </c>
      <c r="H1285" s="42">
        <v>0.0</v>
      </c>
      <c r="I1285" s="42">
        <v>0.0</v>
      </c>
      <c r="J1285" s="42">
        <v>0.0</v>
      </c>
      <c r="K1285" s="42">
        <v>0.0</v>
      </c>
      <c r="L1285" s="42">
        <v>0.0</v>
      </c>
      <c r="M1285" s="42">
        <v>0.0</v>
      </c>
      <c r="N1285" s="42">
        <v>0.0</v>
      </c>
      <c r="O1285" s="42">
        <v>0.0</v>
      </c>
      <c r="P1285" s="42">
        <v>0.0</v>
      </c>
      <c r="Q1285" s="42">
        <v>0.0</v>
      </c>
    </row>
    <row r="1286">
      <c r="A1286" s="47">
        <v>46201.0</v>
      </c>
      <c r="B1286" s="48">
        <v>0.8006944444444445</v>
      </c>
      <c r="C1286" s="37" t="s">
        <v>23</v>
      </c>
      <c r="D1286" s="37" t="s">
        <v>93</v>
      </c>
      <c r="E1286" s="37" t="s">
        <v>91</v>
      </c>
      <c r="F1286" s="38">
        <v>0.0</v>
      </c>
      <c r="G1286" s="38">
        <v>0.0</v>
      </c>
      <c r="H1286" s="38">
        <v>0.0</v>
      </c>
      <c r="I1286" s="38">
        <v>0.0</v>
      </c>
      <c r="J1286" s="38">
        <v>0.0</v>
      </c>
      <c r="K1286" s="38">
        <v>0.0</v>
      </c>
      <c r="L1286" s="38">
        <v>0.0</v>
      </c>
      <c r="M1286" s="38">
        <v>0.0</v>
      </c>
      <c r="N1286" s="38">
        <v>0.0</v>
      </c>
      <c r="O1286" s="38">
        <v>0.0</v>
      </c>
      <c r="P1286" s="38">
        <v>0.0</v>
      </c>
      <c r="Q1286" s="38">
        <v>0.0</v>
      </c>
    </row>
    <row r="1287">
      <c r="A1287" s="49">
        <v>46201.0</v>
      </c>
      <c r="B1287" s="50">
        <v>0.8006944444444445</v>
      </c>
      <c r="C1287" s="41" t="s">
        <v>23</v>
      </c>
      <c r="D1287" s="41" t="s">
        <v>93</v>
      </c>
      <c r="E1287" s="41" t="s">
        <v>92</v>
      </c>
      <c r="F1287" s="42">
        <v>0.0</v>
      </c>
      <c r="G1287" s="42">
        <v>0.0</v>
      </c>
      <c r="H1287" s="42">
        <v>0.0</v>
      </c>
      <c r="I1287" s="42">
        <v>0.0</v>
      </c>
      <c r="J1287" s="42">
        <v>0.0</v>
      </c>
      <c r="K1287" s="42">
        <v>0.0</v>
      </c>
      <c r="L1287" s="42">
        <v>0.0</v>
      </c>
      <c r="M1287" s="42">
        <v>0.0</v>
      </c>
      <c r="N1287" s="42">
        <v>0.0</v>
      </c>
      <c r="O1287" s="42">
        <v>0.0</v>
      </c>
      <c r="P1287" s="42">
        <v>0.0</v>
      </c>
      <c r="Q1287" s="42">
        <v>0.0</v>
      </c>
    </row>
    <row r="1288">
      <c r="A1288" s="47">
        <v>46201.0</v>
      </c>
      <c r="B1288" s="48">
        <v>0.8006944444444445</v>
      </c>
      <c r="C1288" s="37" t="s">
        <v>23</v>
      </c>
      <c r="D1288" s="37" t="s">
        <v>93</v>
      </c>
      <c r="E1288" s="37" t="s">
        <v>106</v>
      </c>
      <c r="F1288" s="38">
        <v>0.0</v>
      </c>
      <c r="G1288" s="38">
        <v>0.0</v>
      </c>
      <c r="H1288" s="38">
        <v>0.0</v>
      </c>
      <c r="I1288" s="38">
        <v>0.0</v>
      </c>
      <c r="J1288" s="38">
        <v>0.0</v>
      </c>
      <c r="K1288" s="38">
        <v>0.0</v>
      </c>
      <c r="L1288" s="38">
        <v>0.0</v>
      </c>
      <c r="M1288" s="38">
        <v>0.0</v>
      </c>
      <c r="N1288" s="38">
        <v>0.0</v>
      </c>
      <c r="O1288" s="38">
        <v>0.0</v>
      </c>
      <c r="P1288" s="38">
        <v>0.0</v>
      </c>
      <c r="Q1288" s="38">
        <v>0.0</v>
      </c>
    </row>
    <row r="1289">
      <c r="A1289" s="49">
        <v>46201.0</v>
      </c>
      <c r="B1289" s="50">
        <v>0.8006944444444445</v>
      </c>
      <c r="C1289" s="41" t="s">
        <v>23</v>
      </c>
      <c r="D1289" s="41" t="s">
        <v>93</v>
      </c>
      <c r="E1289" s="41" t="s">
        <v>107</v>
      </c>
      <c r="F1289" s="42">
        <v>0.0</v>
      </c>
      <c r="G1289" s="42">
        <v>0.0</v>
      </c>
      <c r="H1289" s="42">
        <v>0.0</v>
      </c>
      <c r="I1289" s="42">
        <v>0.0</v>
      </c>
      <c r="J1289" s="42">
        <v>0.0</v>
      </c>
      <c r="K1289" s="42">
        <v>0.0</v>
      </c>
      <c r="L1289" s="42">
        <v>0.0</v>
      </c>
      <c r="M1289" s="42">
        <v>0.0</v>
      </c>
      <c r="N1289" s="42">
        <v>0.0</v>
      </c>
      <c r="O1289" s="42">
        <v>0.0</v>
      </c>
      <c r="P1289" s="42">
        <v>0.0</v>
      </c>
      <c r="Q1289" s="42">
        <v>0.0</v>
      </c>
    </row>
    <row r="1290">
      <c r="A1290" s="47">
        <v>46201.0</v>
      </c>
      <c r="B1290" s="48">
        <v>0.8006944444444445</v>
      </c>
      <c r="C1290" s="37" t="s">
        <v>29</v>
      </c>
      <c r="D1290" s="37" t="s">
        <v>94</v>
      </c>
      <c r="E1290" s="37" t="s">
        <v>52</v>
      </c>
      <c r="F1290" s="38">
        <v>7.0</v>
      </c>
      <c r="G1290" s="38">
        <v>2.0</v>
      </c>
      <c r="H1290" s="38">
        <v>0.0</v>
      </c>
      <c r="I1290" s="38">
        <v>0.0</v>
      </c>
      <c r="J1290" s="38">
        <v>1.0</v>
      </c>
      <c r="K1290" s="38">
        <v>7.0</v>
      </c>
      <c r="L1290" s="38">
        <v>7.0</v>
      </c>
      <c r="M1290" s="38">
        <v>0.0</v>
      </c>
      <c r="N1290" s="38">
        <v>0.0</v>
      </c>
      <c r="O1290" s="38">
        <v>0.0</v>
      </c>
      <c r="P1290" s="38">
        <v>2.0</v>
      </c>
      <c r="Q1290" s="38">
        <v>2.0</v>
      </c>
    </row>
    <row r="1291">
      <c r="A1291" s="49">
        <v>46201.0</v>
      </c>
      <c r="B1291" s="50">
        <v>0.8006944444444445</v>
      </c>
      <c r="C1291" s="41" t="s">
        <v>29</v>
      </c>
      <c r="D1291" s="41" t="s">
        <v>94</v>
      </c>
      <c r="E1291" s="41" t="s">
        <v>88</v>
      </c>
      <c r="F1291" s="42">
        <v>0.0</v>
      </c>
      <c r="G1291" s="42">
        <v>0.0</v>
      </c>
      <c r="H1291" s="42">
        <v>0.0</v>
      </c>
      <c r="I1291" s="42">
        <v>0.0</v>
      </c>
      <c r="J1291" s="42">
        <v>0.0</v>
      </c>
      <c r="K1291" s="42">
        <v>0.0</v>
      </c>
      <c r="L1291" s="42">
        <v>0.0</v>
      </c>
      <c r="M1291" s="42">
        <v>0.0</v>
      </c>
      <c r="N1291" s="42">
        <v>0.0</v>
      </c>
      <c r="O1291" s="42">
        <v>0.0</v>
      </c>
      <c r="P1291" s="42">
        <v>0.0</v>
      </c>
      <c r="Q1291" s="42">
        <v>0.0</v>
      </c>
    </row>
    <row r="1292">
      <c r="A1292" s="47">
        <v>46201.0</v>
      </c>
      <c r="B1292" s="48">
        <v>0.8006944444444445</v>
      </c>
      <c r="C1292" s="37" t="s">
        <v>29</v>
      </c>
      <c r="D1292" s="37" t="s">
        <v>94</v>
      </c>
      <c r="E1292" s="37" t="s">
        <v>89</v>
      </c>
      <c r="F1292" s="38">
        <v>1.0</v>
      </c>
      <c r="G1292" s="38">
        <v>0.0</v>
      </c>
      <c r="H1292" s="38">
        <v>0.0</v>
      </c>
      <c r="I1292" s="38">
        <v>0.0</v>
      </c>
      <c r="J1292" s="38">
        <v>0.0</v>
      </c>
      <c r="K1292" s="38">
        <v>1.0</v>
      </c>
      <c r="L1292" s="38">
        <v>1.0</v>
      </c>
      <c r="M1292" s="38">
        <v>0.0</v>
      </c>
      <c r="N1292" s="38">
        <v>0.0</v>
      </c>
      <c r="O1292" s="38">
        <v>0.0</v>
      </c>
      <c r="P1292" s="38">
        <v>0.0</v>
      </c>
      <c r="Q1292" s="38">
        <v>0.0</v>
      </c>
    </row>
    <row r="1293">
      <c r="A1293" s="49">
        <v>46201.0</v>
      </c>
      <c r="B1293" s="50">
        <v>0.8006944444444445</v>
      </c>
      <c r="C1293" s="41" t="s">
        <v>29</v>
      </c>
      <c r="D1293" s="41" t="s">
        <v>94</v>
      </c>
      <c r="E1293" s="41" t="s">
        <v>50</v>
      </c>
      <c r="F1293" s="42">
        <v>0.0</v>
      </c>
      <c r="G1293" s="42">
        <v>0.0</v>
      </c>
      <c r="H1293" s="42">
        <v>0.0</v>
      </c>
      <c r="I1293" s="42">
        <v>0.0</v>
      </c>
      <c r="J1293" s="42">
        <v>0.0</v>
      </c>
      <c r="K1293" s="42">
        <v>0.0</v>
      </c>
      <c r="L1293" s="42">
        <v>0.0</v>
      </c>
      <c r="M1293" s="42">
        <v>0.0</v>
      </c>
      <c r="N1293" s="42">
        <v>0.0</v>
      </c>
      <c r="O1293" s="42">
        <v>0.0</v>
      </c>
      <c r="P1293" s="42">
        <v>0.0</v>
      </c>
      <c r="Q1293" s="42">
        <v>0.0</v>
      </c>
    </row>
    <row r="1294">
      <c r="A1294" s="47">
        <v>46201.0</v>
      </c>
      <c r="B1294" s="48">
        <v>0.8006944444444445</v>
      </c>
      <c r="C1294" s="37" t="s">
        <v>29</v>
      </c>
      <c r="D1294" s="37" t="s">
        <v>94</v>
      </c>
      <c r="E1294" s="37" t="s">
        <v>90</v>
      </c>
      <c r="F1294" s="38">
        <v>0.0</v>
      </c>
      <c r="G1294" s="38">
        <v>0.0</v>
      </c>
      <c r="H1294" s="38">
        <v>0.0</v>
      </c>
      <c r="I1294" s="38">
        <v>0.0</v>
      </c>
      <c r="J1294" s="38">
        <v>0.0</v>
      </c>
      <c r="K1294" s="38">
        <v>0.0</v>
      </c>
      <c r="L1294" s="38">
        <v>0.0</v>
      </c>
      <c r="M1294" s="38">
        <v>0.0</v>
      </c>
      <c r="N1294" s="38">
        <v>0.0</v>
      </c>
      <c r="O1294" s="38">
        <v>0.0</v>
      </c>
      <c r="P1294" s="38">
        <v>0.0</v>
      </c>
      <c r="Q1294" s="38">
        <v>0.0</v>
      </c>
    </row>
    <row r="1295">
      <c r="A1295" s="49">
        <v>46201.0</v>
      </c>
      <c r="B1295" s="50">
        <v>0.8006944444444445</v>
      </c>
      <c r="C1295" s="41" t="s">
        <v>29</v>
      </c>
      <c r="D1295" s="41" t="s">
        <v>94</v>
      </c>
      <c r="E1295" s="41" t="s">
        <v>91</v>
      </c>
      <c r="F1295" s="42">
        <v>0.0</v>
      </c>
      <c r="G1295" s="42">
        <v>0.0</v>
      </c>
      <c r="H1295" s="42">
        <v>0.0</v>
      </c>
      <c r="I1295" s="42">
        <v>0.0</v>
      </c>
      <c r="J1295" s="42">
        <v>0.0</v>
      </c>
      <c r="K1295" s="42">
        <v>0.0</v>
      </c>
      <c r="L1295" s="42">
        <v>0.0</v>
      </c>
      <c r="M1295" s="42">
        <v>0.0</v>
      </c>
      <c r="N1295" s="42">
        <v>0.0</v>
      </c>
      <c r="O1295" s="42">
        <v>0.0</v>
      </c>
      <c r="P1295" s="42">
        <v>0.0</v>
      </c>
      <c r="Q1295" s="42">
        <v>0.0</v>
      </c>
    </row>
    <row r="1296">
      <c r="A1296" s="47">
        <v>46201.0</v>
      </c>
      <c r="B1296" s="48">
        <v>0.8006944444444445</v>
      </c>
      <c r="C1296" s="37" t="s">
        <v>29</v>
      </c>
      <c r="D1296" s="37" t="s">
        <v>94</v>
      </c>
      <c r="E1296" s="37" t="s">
        <v>92</v>
      </c>
      <c r="F1296" s="38">
        <v>0.0</v>
      </c>
      <c r="G1296" s="38">
        <v>0.0</v>
      </c>
      <c r="H1296" s="38">
        <v>0.0</v>
      </c>
      <c r="I1296" s="38">
        <v>0.0</v>
      </c>
      <c r="J1296" s="38">
        <v>0.0</v>
      </c>
      <c r="K1296" s="38">
        <v>0.0</v>
      </c>
      <c r="L1296" s="38">
        <v>0.0</v>
      </c>
      <c r="M1296" s="38">
        <v>0.0</v>
      </c>
      <c r="N1296" s="38">
        <v>0.0</v>
      </c>
      <c r="O1296" s="38">
        <v>0.0</v>
      </c>
      <c r="P1296" s="38">
        <v>0.0</v>
      </c>
      <c r="Q1296" s="38">
        <v>0.0</v>
      </c>
    </row>
    <row r="1297">
      <c r="A1297" s="49">
        <v>46201.0</v>
      </c>
      <c r="B1297" s="50">
        <v>0.8006944444444445</v>
      </c>
      <c r="C1297" s="41" t="s">
        <v>29</v>
      </c>
      <c r="D1297" s="41" t="s">
        <v>94</v>
      </c>
      <c r="E1297" s="41" t="s">
        <v>106</v>
      </c>
      <c r="F1297" s="42">
        <v>2.0</v>
      </c>
      <c r="G1297" s="42">
        <v>0.0</v>
      </c>
      <c r="H1297" s="42">
        <v>0.0</v>
      </c>
      <c r="I1297" s="42">
        <v>0.0</v>
      </c>
      <c r="J1297" s="42">
        <v>1.0</v>
      </c>
      <c r="K1297" s="42">
        <v>1.0</v>
      </c>
      <c r="L1297" s="42">
        <v>2.0</v>
      </c>
      <c r="M1297" s="42">
        <v>0.0</v>
      </c>
      <c r="N1297" s="42">
        <v>0.0</v>
      </c>
      <c r="O1297" s="42">
        <v>0.0</v>
      </c>
      <c r="P1297" s="42">
        <v>0.0</v>
      </c>
      <c r="Q1297" s="42">
        <v>0.0</v>
      </c>
    </row>
    <row r="1298">
      <c r="A1298" s="47">
        <v>46201.0</v>
      </c>
      <c r="B1298" s="48">
        <v>0.8006944444444445</v>
      </c>
      <c r="C1298" s="37" t="s">
        <v>29</v>
      </c>
      <c r="D1298" s="37" t="s">
        <v>94</v>
      </c>
      <c r="E1298" s="37" t="s">
        <v>107</v>
      </c>
      <c r="F1298" s="38">
        <v>0.0</v>
      </c>
      <c r="G1298" s="38">
        <v>0.0</v>
      </c>
      <c r="H1298" s="38">
        <v>0.0</v>
      </c>
      <c r="I1298" s="38">
        <v>0.0</v>
      </c>
      <c r="J1298" s="38">
        <v>0.0</v>
      </c>
      <c r="K1298" s="38">
        <v>0.0</v>
      </c>
      <c r="L1298" s="38">
        <v>0.0</v>
      </c>
      <c r="M1298" s="38">
        <v>0.0</v>
      </c>
      <c r="N1298" s="38">
        <v>0.0</v>
      </c>
      <c r="O1298" s="38">
        <v>0.0</v>
      </c>
      <c r="P1298" s="38">
        <v>0.0</v>
      </c>
      <c r="Q1298" s="38">
        <v>0.0</v>
      </c>
    </row>
    <row r="1299">
      <c r="A1299" s="49">
        <v>46201.0</v>
      </c>
      <c r="B1299" s="50">
        <v>0.8006944444444445</v>
      </c>
      <c r="C1299" s="41" t="s">
        <v>31</v>
      </c>
      <c r="D1299" s="41" t="s">
        <v>95</v>
      </c>
      <c r="E1299" s="41" t="s">
        <v>52</v>
      </c>
      <c r="F1299" s="42">
        <v>0.0</v>
      </c>
      <c r="G1299" s="42">
        <v>0.0</v>
      </c>
      <c r="H1299" s="42">
        <v>0.0</v>
      </c>
      <c r="I1299" s="42">
        <v>0.0</v>
      </c>
      <c r="J1299" s="42">
        <v>0.0</v>
      </c>
      <c r="K1299" s="42">
        <v>0.0</v>
      </c>
      <c r="L1299" s="42">
        <v>0.0</v>
      </c>
      <c r="M1299" s="42">
        <v>0.0</v>
      </c>
      <c r="N1299" s="42">
        <v>0.0</v>
      </c>
      <c r="O1299" s="42">
        <v>0.0</v>
      </c>
      <c r="P1299" s="42">
        <v>0.0</v>
      </c>
      <c r="Q1299" s="42">
        <v>0.0</v>
      </c>
    </row>
    <row r="1300">
      <c r="A1300" s="47">
        <v>46201.0</v>
      </c>
      <c r="B1300" s="48">
        <v>0.8006944444444445</v>
      </c>
      <c r="C1300" s="37" t="s">
        <v>31</v>
      </c>
      <c r="D1300" s="37" t="s">
        <v>95</v>
      </c>
      <c r="E1300" s="37" t="s">
        <v>88</v>
      </c>
      <c r="F1300" s="38">
        <v>0.0</v>
      </c>
      <c r="G1300" s="38">
        <v>0.0</v>
      </c>
      <c r="H1300" s="38">
        <v>0.0</v>
      </c>
      <c r="I1300" s="38">
        <v>0.0</v>
      </c>
      <c r="J1300" s="38">
        <v>0.0</v>
      </c>
      <c r="K1300" s="38">
        <v>0.0</v>
      </c>
      <c r="L1300" s="38">
        <v>0.0</v>
      </c>
      <c r="M1300" s="38">
        <v>0.0</v>
      </c>
      <c r="N1300" s="38">
        <v>0.0</v>
      </c>
      <c r="O1300" s="38">
        <v>0.0</v>
      </c>
      <c r="P1300" s="38">
        <v>0.0</v>
      </c>
      <c r="Q1300" s="38">
        <v>0.0</v>
      </c>
    </row>
    <row r="1301">
      <c r="A1301" s="49">
        <v>46201.0</v>
      </c>
      <c r="B1301" s="50">
        <v>0.8006944444444445</v>
      </c>
      <c r="C1301" s="41" t="s">
        <v>31</v>
      </c>
      <c r="D1301" s="41" t="s">
        <v>95</v>
      </c>
      <c r="E1301" s="41" t="s">
        <v>89</v>
      </c>
      <c r="F1301" s="42">
        <v>0.0</v>
      </c>
      <c r="G1301" s="42">
        <v>0.0</v>
      </c>
      <c r="H1301" s="42">
        <v>0.0</v>
      </c>
      <c r="I1301" s="42">
        <v>0.0</v>
      </c>
      <c r="J1301" s="42">
        <v>0.0</v>
      </c>
      <c r="K1301" s="42">
        <v>0.0</v>
      </c>
      <c r="L1301" s="42">
        <v>0.0</v>
      </c>
      <c r="M1301" s="42">
        <v>0.0</v>
      </c>
      <c r="N1301" s="42">
        <v>0.0</v>
      </c>
      <c r="O1301" s="42">
        <v>0.0</v>
      </c>
      <c r="P1301" s="42">
        <v>0.0</v>
      </c>
      <c r="Q1301" s="42">
        <v>0.0</v>
      </c>
    </row>
    <row r="1302">
      <c r="A1302" s="47">
        <v>46201.0</v>
      </c>
      <c r="B1302" s="48">
        <v>0.8006944444444445</v>
      </c>
      <c r="C1302" s="37" t="s">
        <v>31</v>
      </c>
      <c r="D1302" s="37" t="s">
        <v>95</v>
      </c>
      <c r="E1302" s="37" t="s">
        <v>50</v>
      </c>
      <c r="F1302" s="38">
        <v>1.0</v>
      </c>
      <c r="G1302" s="38">
        <v>1.0</v>
      </c>
      <c r="H1302" s="38">
        <v>0.0</v>
      </c>
      <c r="I1302" s="38">
        <v>0.0</v>
      </c>
      <c r="J1302" s="38">
        <v>0.0</v>
      </c>
      <c r="K1302" s="38">
        <v>0.0</v>
      </c>
      <c r="L1302" s="38">
        <v>0.0</v>
      </c>
      <c r="M1302" s="38">
        <v>0.0</v>
      </c>
      <c r="N1302" s="38">
        <v>0.0</v>
      </c>
      <c r="O1302" s="38">
        <v>0.0</v>
      </c>
      <c r="P1302" s="38">
        <v>0.0</v>
      </c>
      <c r="Q1302" s="38">
        <v>0.0</v>
      </c>
    </row>
    <row r="1303">
      <c r="A1303" s="49">
        <v>46201.0</v>
      </c>
      <c r="B1303" s="50">
        <v>0.8006944444444445</v>
      </c>
      <c r="C1303" s="41" t="s">
        <v>31</v>
      </c>
      <c r="D1303" s="41" t="s">
        <v>95</v>
      </c>
      <c r="E1303" s="41" t="s">
        <v>90</v>
      </c>
      <c r="F1303" s="42">
        <v>0.0</v>
      </c>
      <c r="G1303" s="42">
        <v>0.0</v>
      </c>
      <c r="H1303" s="42">
        <v>0.0</v>
      </c>
      <c r="I1303" s="42">
        <v>0.0</v>
      </c>
      <c r="J1303" s="42">
        <v>0.0</v>
      </c>
      <c r="K1303" s="42">
        <v>0.0</v>
      </c>
      <c r="L1303" s="42">
        <v>0.0</v>
      </c>
      <c r="M1303" s="42">
        <v>0.0</v>
      </c>
      <c r="N1303" s="42">
        <v>0.0</v>
      </c>
      <c r="O1303" s="42">
        <v>0.0</v>
      </c>
      <c r="P1303" s="42">
        <v>0.0</v>
      </c>
      <c r="Q1303" s="42">
        <v>0.0</v>
      </c>
    </row>
    <row r="1304">
      <c r="A1304" s="47">
        <v>46201.0</v>
      </c>
      <c r="B1304" s="48">
        <v>0.8006944444444445</v>
      </c>
      <c r="C1304" s="37" t="s">
        <v>31</v>
      </c>
      <c r="D1304" s="37" t="s">
        <v>95</v>
      </c>
      <c r="E1304" s="37" t="s">
        <v>91</v>
      </c>
      <c r="F1304" s="38">
        <v>0.0</v>
      </c>
      <c r="G1304" s="38">
        <v>0.0</v>
      </c>
      <c r="H1304" s="38">
        <v>0.0</v>
      </c>
      <c r="I1304" s="38">
        <v>0.0</v>
      </c>
      <c r="J1304" s="38">
        <v>0.0</v>
      </c>
      <c r="K1304" s="38">
        <v>0.0</v>
      </c>
      <c r="L1304" s="38">
        <v>0.0</v>
      </c>
      <c r="M1304" s="38">
        <v>0.0</v>
      </c>
      <c r="N1304" s="38">
        <v>0.0</v>
      </c>
      <c r="O1304" s="38">
        <v>0.0</v>
      </c>
      <c r="P1304" s="38">
        <v>0.0</v>
      </c>
      <c r="Q1304" s="38">
        <v>0.0</v>
      </c>
    </row>
    <row r="1305">
      <c r="A1305" s="49">
        <v>46201.0</v>
      </c>
      <c r="B1305" s="50">
        <v>0.8006944444444445</v>
      </c>
      <c r="C1305" s="41" t="s">
        <v>31</v>
      </c>
      <c r="D1305" s="41" t="s">
        <v>95</v>
      </c>
      <c r="E1305" s="41" t="s">
        <v>92</v>
      </c>
      <c r="F1305" s="42">
        <v>0.0</v>
      </c>
      <c r="G1305" s="42">
        <v>0.0</v>
      </c>
      <c r="H1305" s="42">
        <v>0.0</v>
      </c>
      <c r="I1305" s="42">
        <v>0.0</v>
      </c>
      <c r="J1305" s="42">
        <v>0.0</v>
      </c>
      <c r="K1305" s="42">
        <v>0.0</v>
      </c>
      <c r="L1305" s="42">
        <v>0.0</v>
      </c>
      <c r="M1305" s="42">
        <v>0.0</v>
      </c>
      <c r="N1305" s="42">
        <v>0.0</v>
      </c>
      <c r="O1305" s="42">
        <v>0.0</v>
      </c>
      <c r="P1305" s="42">
        <v>0.0</v>
      </c>
      <c r="Q1305" s="42">
        <v>0.0</v>
      </c>
    </row>
    <row r="1306">
      <c r="A1306" s="47">
        <v>46201.0</v>
      </c>
      <c r="B1306" s="48">
        <v>0.8006944444444445</v>
      </c>
      <c r="C1306" s="37" t="s">
        <v>31</v>
      </c>
      <c r="D1306" s="37" t="s">
        <v>95</v>
      </c>
      <c r="E1306" s="37" t="s">
        <v>106</v>
      </c>
      <c r="F1306" s="38">
        <v>0.0</v>
      </c>
      <c r="G1306" s="38">
        <v>0.0</v>
      </c>
      <c r="H1306" s="38">
        <v>0.0</v>
      </c>
      <c r="I1306" s="38">
        <v>0.0</v>
      </c>
      <c r="J1306" s="38">
        <v>0.0</v>
      </c>
      <c r="K1306" s="38">
        <v>0.0</v>
      </c>
      <c r="L1306" s="38">
        <v>0.0</v>
      </c>
      <c r="M1306" s="38">
        <v>0.0</v>
      </c>
      <c r="N1306" s="38">
        <v>0.0</v>
      </c>
      <c r="O1306" s="38">
        <v>0.0</v>
      </c>
      <c r="P1306" s="38">
        <v>0.0</v>
      </c>
      <c r="Q1306" s="38">
        <v>0.0</v>
      </c>
    </row>
    <row r="1307">
      <c r="A1307" s="49">
        <v>46201.0</v>
      </c>
      <c r="B1307" s="50">
        <v>0.8006944444444445</v>
      </c>
      <c r="C1307" s="41" t="s">
        <v>31</v>
      </c>
      <c r="D1307" s="41" t="s">
        <v>95</v>
      </c>
      <c r="E1307" s="41" t="s">
        <v>107</v>
      </c>
      <c r="F1307" s="42">
        <v>0.0</v>
      </c>
      <c r="G1307" s="42">
        <v>0.0</v>
      </c>
      <c r="H1307" s="42">
        <v>0.0</v>
      </c>
      <c r="I1307" s="42">
        <v>0.0</v>
      </c>
      <c r="J1307" s="42">
        <v>0.0</v>
      </c>
      <c r="K1307" s="42">
        <v>0.0</v>
      </c>
      <c r="L1307" s="42">
        <v>0.0</v>
      </c>
      <c r="M1307" s="42">
        <v>0.0</v>
      </c>
      <c r="N1307" s="42">
        <v>0.0</v>
      </c>
      <c r="O1307" s="42">
        <v>0.0</v>
      </c>
      <c r="P1307" s="42">
        <v>0.0</v>
      </c>
      <c r="Q1307" s="42">
        <v>0.0</v>
      </c>
    </row>
    <row r="1308">
      <c r="A1308" s="51">
        <v>46201.0</v>
      </c>
      <c r="B1308" s="52">
        <v>0.8006944444444445</v>
      </c>
      <c r="C1308" s="45" t="s">
        <v>96</v>
      </c>
      <c r="D1308" s="45" t="s">
        <v>75</v>
      </c>
      <c r="E1308" s="45" t="s">
        <v>52</v>
      </c>
      <c r="F1308" s="46">
        <v>13.0</v>
      </c>
      <c r="G1308" s="46">
        <v>4.0</v>
      </c>
      <c r="H1308" s="46">
        <v>0.0</v>
      </c>
      <c r="I1308" s="46">
        <v>1.0</v>
      </c>
      <c r="J1308" s="46">
        <v>2.0</v>
      </c>
      <c r="K1308" s="46">
        <v>11.0</v>
      </c>
      <c r="L1308" s="46">
        <v>13.0</v>
      </c>
      <c r="M1308" s="46">
        <v>0.0</v>
      </c>
      <c r="N1308" s="46">
        <v>0.0</v>
      </c>
      <c r="O1308" s="46">
        <v>0.0</v>
      </c>
      <c r="P1308" s="46">
        <v>3.0</v>
      </c>
      <c r="Q1308" s="46">
        <v>4.0</v>
      </c>
    </row>
    <row r="1309">
      <c r="A1309" s="51">
        <v>46201.0</v>
      </c>
      <c r="B1309" s="52">
        <v>0.8006944444444445</v>
      </c>
      <c r="C1309" s="45" t="s">
        <v>96</v>
      </c>
      <c r="D1309" s="45" t="s">
        <v>75</v>
      </c>
      <c r="E1309" s="45" t="s">
        <v>88</v>
      </c>
      <c r="F1309" s="46">
        <v>0.0</v>
      </c>
      <c r="G1309" s="46">
        <v>0.0</v>
      </c>
      <c r="H1309" s="46">
        <v>0.0</v>
      </c>
      <c r="I1309" s="46">
        <v>0.0</v>
      </c>
      <c r="J1309" s="46">
        <v>0.0</v>
      </c>
      <c r="K1309" s="46">
        <v>0.0</v>
      </c>
      <c r="L1309" s="46">
        <v>0.0</v>
      </c>
      <c r="M1309" s="46">
        <v>0.0</v>
      </c>
      <c r="N1309" s="46">
        <v>0.0</v>
      </c>
      <c r="O1309" s="46">
        <v>0.0</v>
      </c>
      <c r="P1309" s="46">
        <v>0.0</v>
      </c>
      <c r="Q1309" s="46">
        <v>0.0</v>
      </c>
    </row>
    <row r="1310">
      <c r="A1310" s="51">
        <v>46201.0</v>
      </c>
      <c r="B1310" s="52">
        <v>0.8006944444444445</v>
      </c>
      <c r="C1310" s="45" t="s">
        <v>96</v>
      </c>
      <c r="D1310" s="45" t="s">
        <v>75</v>
      </c>
      <c r="E1310" s="45" t="s">
        <v>89</v>
      </c>
      <c r="F1310" s="46">
        <v>1.0</v>
      </c>
      <c r="G1310" s="46">
        <v>0.0</v>
      </c>
      <c r="H1310" s="46">
        <v>0.0</v>
      </c>
      <c r="I1310" s="46">
        <v>0.0</v>
      </c>
      <c r="J1310" s="46">
        <v>0.0</v>
      </c>
      <c r="K1310" s="46">
        <v>1.0</v>
      </c>
      <c r="L1310" s="46">
        <v>1.0</v>
      </c>
      <c r="M1310" s="46">
        <v>0.0</v>
      </c>
      <c r="N1310" s="46">
        <v>0.0</v>
      </c>
      <c r="O1310" s="46">
        <v>0.0</v>
      </c>
      <c r="P1310" s="46">
        <v>0.0</v>
      </c>
      <c r="Q1310" s="46">
        <v>0.0</v>
      </c>
    </row>
    <row r="1311">
      <c r="A1311" s="51">
        <v>46201.0</v>
      </c>
      <c r="B1311" s="52">
        <v>0.8006944444444445</v>
      </c>
      <c r="C1311" s="45" t="s">
        <v>96</v>
      </c>
      <c r="D1311" s="45" t="s">
        <v>75</v>
      </c>
      <c r="E1311" s="45" t="s">
        <v>50</v>
      </c>
      <c r="F1311" s="46">
        <v>1.0</v>
      </c>
      <c r="G1311" s="46">
        <v>1.0</v>
      </c>
      <c r="H1311" s="46">
        <v>0.0</v>
      </c>
      <c r="I1311" s="46">
        <v>0.0</v>
      </c>
      <c r="J1311" s="46">
        <v>0.0</v>
      </c>
      <c r="K1311" s="46">
        <v>0.0</v>
      </c>
      <c r="L1311" s="46">
        <v>0.0</v>
      </c>
      <c r="M1311" s="46">
        <v>0.0</v>
      </c>
      <c r="N1311" s="46">
        <v>0.0</v>
      </c>
      <c r="O1311" s="46">
        <v>0.0</v>
      </c>
      <c r="P1311" s="46">
        <v>0.0</v>
      </c>
      <c r="Q1311" s="46">
        <v>0.0</v>
      </c>
    </row>
    <row r="1312">
      <c r="A1312" s="51">
        <v>46201.0</v>
      </c>
      <c r="B1312" s="52">
        <v>0.8006944444444445</v>
      </c>
      <c r="C1312" s="45" t="s">
        <v>96</v>
      </c>
      <c r="D1312" s="45" t="s">
        <v>75</v>
      </c>
      <c r="E1312" s="45" t="s">
        <v>90</v>
      </c>
      <c r="F1312" s="46">
        <v>0.0</v>
      </c>
      <c r="G1312" s="46">
        <v>0.0</v>
      </c>
      <c r="H1312" s="46">
        <v>0.0</v>
      </c>
      <c r="I1312" s="46">
        <v>0.0</v>
      </c>
      <c r="J1312" s="46">
        <v>0.0</v>
      </c>
      <c r="K1312" s="46">
        <v>0.0</v>
      </c>
      <c r="L1312" s="46">
        <v>0.0</v>
      </c>
      <c r="M1312" s="46">
        <v>0.0</v>
      </c>
      <c r="N1312" s="46">
        <v>0.0</v>
      </c>
      <c r="O1312" s="46">
        <v>0.0</v>
      </c>
      <c r="P1312" s="46">
        <v>0.0</v>
      </c>
      <c r="Q1312" s="46">
        <v>0.0</v>
      </c>
    </row>
    <row r="1313">
      <c r="A1313" s="51">
        <v>46201.0</v>
      </c>
      <c r="B1313" s="52">
        <v>0.8006944444444445</v>
      </c>
      <c r="C1313" s="45" t="s">
        <v>96</v>
      </c>
      <c r="D1313" s="45" t="s">
        <v>75</v>
      </c>
      <c r="E1313" s="45" t="s">
        <v>91</v>
      </c>
      <c r="F1313" s="46">
        <v>0.0</v>
      </c>
      <c r="G1313" s="46">
        <v>0.0</v>
      </c>
      <c r="H1313" s="46">
        <v>0.0</v>
      </c>
      <c r="I1313" s="46">
        <v>0.0</v>
      </c>
      <c r="J1313" s="46">
        <v>0.0</v>
      </c>
      <c r="K1313" s="46">
        <v>0.0</v>
      </c>
      <c r="L1313" s="46">
        <v>0.0</v>
      </c>
      <c r="M1313" s="46">
        <v>0.0</v>
      </c>
      <c r="N1313" s="46">
        <v>0.0</v>
      </c>
      <c r="O1313" s="46">
        <v>0.0</v>
      </c>
      <c r="P1313" s="46">
        <v>0.0</v>
      </c>
      <c r="Q1313" s="46">
        <v>0.0</v>
      </c>
    </row>
    <row r="1314">
      <c r="A1314" s="51">
        <v>46201.0</v>
      </c>
      <c r="B1314" s="52">
        <v>0.8006944444444445</v>
      </c>
      <c r="C1314" s="45" t="s">
        <v>96</v>
      </c>
      <c r="D1314" s="45" t="s">
        <v>75</v>
      </c>
      <c r="E1314" s="45" t="s">
        <v>92</v>
      </c>
      <c r="F1314" s="46">
        <v>0.0</v>
      </c>
      <c r="G1314" s="46">
        <v>0.0</v>
      </c>
      <c r="H1314" s="46">
        <v>0.0</v>
      </c>
      <c r="I1314" s="46">
        <v>0.0</v>
      </c>
      <c r="J1314" s="46">
        <v>0.0</v>
      </c>
      <c r="K1314" s="46">
        <v>0.0</v>
      </c>
      <c r="L1314" s="46">
        <v>0.0</v>
      </c>
      <c r="M1314" s="46">
        <v>0.0</v>
      </c>
      <c r="N1314" s="46">
        <v>0.0</v>
      </c>
      <c r="O1314" s="46">
        <v>0.0</v>
      </c>
      <c r="P1314" s="46">
        <v>0.0</v>
      </c>
      <c r="Q1314" s="46">
        <v>0.0</v>
      </c>
    </row>
    <row r="1315">
      <c r="A1315" s="51">
        <v>46201.0</v>
      </c>
      <c r="B1315" s="52">
        <v>0.8006944444444445</v>
      </c>
      <c r="C1315" s="45" t="s">
        <v>96</v>
      </c>
      <c r="D1315" s="45" t="s">
        <v>75</v>
      </c>
      <c r="E1315" s="45" t="s">
        <v>106</v>
      </c>
      <c r="F1315" s="46">
        <v>2.0</v>
      </c>
      <c r="G1315" s="46">
        <v>0.0</v>
      </c>
      <c r="H1315" s="46">
        <v>0.0</v>
      </c>
      <c r="I1315" s="46">
        <v>0.0</v>
      </c>
      <c r="J1315" s="46">
        <v>1.0</v>
      </c>
      <c r="K1315" s="46">
        <v>1.0</v>
      </c>
      <c r="L1315" s="46">
        <v>2.0</v>
      </c>
      <c r="M1315" s="46">
        <v>0.0</v>
      </c>
      <c r="N1315" s="46">
        <v>0.0</v>
      </c>
      <c r="O1315" s="46">
        <v>0.0</v>
      </c>
      <c r="P1315" s="46">
        <v>0.0</v>
      </c>
      <c r="Q1315" s="46">
        <v>0.0</v>
      </c>
    </row>
    <row r="1316">
      <c r="A1316" s="51">
        <v>46201.0</v>
      </c>
      <c r="B1316" s="52">
        <v>0.8006944444444445</v>
      </c>
      <c r="C1316" s="45" t="s">
        <v>96</v>
      </c>
      <c r="D1316" s="45" t="s">
        <v>75</v>
      </c>
      <c r="E1316" s="45" t="s">
        <v>107</v>
      </c>
      <c r="F1316" s="46">
        <v>0.0</v>
      </c>
      <c r="G1316" s="46">
        <v>0.0</v>
      </c>
      <c r="H1316" s="46">
        <v>0.0</v>
      </c>
      <c r="I1316" s="46">
        <v>0.0</v>
      </c>
      <c r="J1316" s="46">
        <v>0.0</v>
      </c>
      <c r="K1316" s="46">
        <v>0.0</v>
      </c>
      <c r="L1316" s="46">
        <v>0.0</v>
      </c>
      <c r="M1316" s="46">
        <v>0.0</v>
      </c>
      <c r="N1316" s="46">
        <v>0.0</v>
      </c>
      <c r="O1316" s="46">
        <v>0.0</v>
      </c>
      <c r="P1316" s="46">
        <v>0.0</v>
      </c>
      <c r="Q1316" s="46">
        <v>0.0</v>
      </c>
    </row>
    <row r="1317">
      <c r="A1317" s="49">
        <v>46201.0</v>
      </c>
      <c r="B1317" s="50">
        <v>0.8131944444444444</v>
      </c>
      <c r="C1317" s="41" t="s">
        <v>15</v>
      </c>
      <c r="D1317" s="41" t="s">
        <v>87</v>
      </c>
      <c r="E1317" s="41" t="s">
        <v>52</v>
      </c>
      <c r="F1317" s="42">
        <v>5.0</v>
      </c>
      <c r="G1317" s="42">
        <v>1.0</v>
      </c>
      <c r="H1317" s="42">
        <v>0.0</v>
      </c>
      <c r="I1317" s="42">
        <v>1.0</v>
      </c>
      <c r="J1317" s="42">
        <v>1.0</v>
      </c>
      <c r="K1317" s="42">
        <v>3.0</v>
      </c>
      <c r="L1317" s="42">
        <v>5.0</v>
      </c>
      <c r="M1317" s="42">
        <v>0.0</v>
      </c>
      <c r="N1317" s="42">
        <v>0.0</v>
      </c>
      <c r="O1317" s="42">
        <v>0.0</v>
      </c>
      <c r="P1317" s="42">
        <v>0.0</v>
      </c>
      <c r="Q1317" s="42">
        <v>1.0</v>
      </c>
    </row>
    <row r="1318">
      <c r="A1318" s="47">
        <v>46201.0</v>
      </c>
      <c r="B1318" s="48">
        <v>0.8131944444444444</v>
      </c>
      <c r="C1318" s="37" t="s">
        <v>15</v>
      </c>
      <c r="D1318" s="37" t="s">
        <v>87</v>
      </c>
      <c r="E1318" s="37" t="s">
        <v>88</v>
      </c>
      <c r="F1318" s="38">
        <v>0.0</v>
      </c>
      <c r="G1318" s="38">
        <v>0.0</v>
      </c>
      <c r="H1318" s="38">
        <v>0.0</v>
      </c>
      <c r="I1318" s="38">
        <v>0.0</v>
      </c>
      <c r="J1318" s="38">
        <v>0.0</v>
      </c>
      <c r="K1318" s="38">
        <v>0.0</v>
      </c>
      <c r="L1318" s="38">
        <v>0.0</v>
      </c>
      <c r="M1318" s="38">
        <v>0.0</v>
      </c>
      <c r="N1318" s="38">
        <v>0.0</v>
      </c>
      <c r="O1318" s="38">
        <v>0.0</v>
      </c>
      <c r="P1318" s="38">
        <v>0.0</v>
      </c>
      <c r="Q1318" s="38">
        <v>0.0</v>
      </c>
    </row>
    <row r="1319">
      <c r="A1319" s="49">
        <v>46201.0</v>
      </c>
      <c r="B1319" s="50">
        <v>0.8131944444444444</v>
      </c>
      <c r="C1319" s="41" t="s">
        <v>15</v>
      </c>
      <c r="D1319" s="41" t="s">
        <v>87</v>
      </c>
      <c r="E1319" s="41" t="s">
        <v>89</v>
      </c>
      <c r="F1319" s="42">
        <v>0.0</v>
      </c>
      <c r="G1319" s="42">
        <v>0.0</v>
      </c>
      <c r="H1319" s="42">
        <v>0.0</v>
      </c>
      <c r="I1319" s="42">
        <v>0.0</v>
      </c>
      <c r="J1319" s="42">
        <v>0.0</v>
      </c>
      <c r="K1319" s="42">
        <v>0.0</v>
      </c>
      <c r="L1319" s="42">
        <v>0.0</v>
      </c>
      <c r="M1319" s="42">
        <v>0.0</v>
      </c>
      <c r="N1319" s="42">
        <v>0.0</v>
      </c>
      <c r="O1319" s="42">
        <v>0.0</v>
      </c>
      <c r="P1319" s="42">
        <v>0.0</v>
      </c>
      <c r="Q1319" s="42">
        <v>0.0</v>
      </c>
    </row>
    <row r="1320">
      <c r="A1320" s="47">
        <v>46201.0</v>
      </c>
      <c r="B1320" s="48">
        <v>0.8131944444444444</v>
      </c>
      <c r="C1320" s="37" t="s">
        <v>15</v>
      </c>
      <c r="D1320" s="37" t="s">
        <v>87</v>
      </c>
      <c r="E1320" s="37" t="s">
        <v>50</v>
      </c>
      <c r="F1320" s="38">
        <v>0.0</v>
      </c>
      <c r="G1320" s="38">
        <v>0.0</v>
      </c>
      <c r="H1320" s="38">
        <v>0.0</v>
      </c>
      <c r="I1320" s="38">
        <v>0.0</v>
      </c>
      <c r="J1320" s="38">
        <v>0.0</v>
      </c>
      <c r="K1320" s="38">
        <v>0.0</v>
      </c>
      <c r="L1320" s="38">
        <v>0.0</v>
      </c>
      <c r="M1320" s="38">
        <v>0.0</v>
      </c>
      <c r="N1320" s="38">
        <v>0.0</v>
      </c>
      <c r="O1320" s="38">
        <v>0.0</v>
      </c>
      <c r="P1320" s="38">
        <v>0.0</v>
      </c>
      <c r="Q1320" s="38">
        <v>0.0</v>
      </c>
    </row>
    <row r="1321">
      <c r="A1321" s="49">
        <v>46201.0</v>
      </c>
      <c r="B1321" s="50">
        <v>0.8131944444444444</v>
      </c>
      <c r="C1321" s="41" t="s">
        <v>15</v>
      </c>
      <c r="D1321" s="41" t="s">
        <v>87</v>
      </c>
      <c r="E1321" s="41" t="s">
        <v>90</v>
      </c>
      <c r="F1321" s="42">
        <v>0.0</v>
      </c>
      <c r="G1321" s="42">
        <v>0.0</v>
      </c>
      <c r="H1321" s="42">
        <v>0.0</v>
      </c>
      <c r="I1321" s="42">
        <v>0.0</v>
      </c>
      <c r="J1321" s="42">
        <v>0.0</v>
      </c>
      <c r="K1321" s="42">
        <v>0.0</v>
      </c>
      <c r="L1321" s="42">
        <v>0.0</v>
      </c>
      <c r="M1321" s="42">
        <v>0.0</v>
      </c>
      <c r="N1321" s="42">
        <v>0.0</v>
      </c>
      <c r="O1321" s="42">
        <v>0.0</v>
      </c>
      <c r="P1321" s="42">
        <v>0.0</v>
      </c>
      <c r="Q1321" s="42">
        <v>0.0</v>
      </c>
    </row>
    <row r="1322">
      <c r="A1322" s="47">
        <v>46201.0</v>
      </c>
      <c r="B1322" s="48">
        <v>0.8131944444444444</v>
      </c>
      <c r="C1322" s="37" t="s">
        <v>15</v>
      </c>
      <c r="D1322" s="37" t="s">
        <v>87</v>
      </c>
      <c r="E1322" s="37" t="s">
        <v>91</v>
      </c>
      <c r="F1322" s="38">
        <v>0.0</v>
      </c>
      <c r="G1322" s="38">
        <v>0.0</v>
      </c>
      <c r="H1322" s="38">
        <v>0.0</v>
      </c>
      <c r="I1322" s="38">
        <v>0.0</v>
      </c>
      <c r="J1322" s="38">
        <v>0.0</v>
      </c>
      <c r="K1322" s="38">
        <v>0.0</v>
      </c>
      <c r="L1322" s="38">
        <v>0.0</v>
      </c>
      <c r="M1322" s="38">
        <v>0.0</v>
      </c>
      <c r="N1322" s="38">
        <v>0.0</v>
      </c>
      <c r="O1322" s="38">
        <v>0.0</v>
      </c>
      <c r="P1322" s="38">
        <v>0.0</v>
      </c>
      <c r="Q1322" s="38">
        <v>0.0</v>
      </c>
    </row>
    <row r="1323">
      <c r="A1323" s="49">
        <v>46201.0</v>
      </c>
      <c r="B1323" s="50">
        <v>0.8131944444444444</v>
      </c>
      <c r="C1323" s="41" t="s">
        <v>15</v>
      </c>
      <c r="D1323" s="41" t="s">
        <v>87</v>
      </c>
      <c r="E1323" s="41" t="s">
        <v>92</v>
      </c>
      <c r="F1323" s="42">
        <v>0.0</v>
      </c>
      <c r="G1323" s="42">
        <v>0.0</v>
      </c>
      <c r="H1323" s="42">
        <v>0.0</v>
      </c>
      <c r="I1323" s="42">
        <v>0.0</v>
      </c>
      <c r="J1323" s="42">
        <v>0.0</v>
      </c>
      <c r="K1323" s="42">
        <v>0.0</v>
      </c>
      <c r="L1323" s="42">
        <v>0.0</v>
      </c>
      <c r="M1323" s="42">
        <v>0.0</v>
      </c>
      <c r="N1323" s="42">
        <v>0.0</v>
      </c>
      <c r="O1323" s="42">
        <v>0.0</v>
      </c>
      <c r="P1323" s="42">
        <v>0.0</v>
      </c>
      <c r="Q1323" s="42">
        <v>0.0</v>
      </c>
    </row>
    <row r="1324">
      <c r="A1324" s="47">
        <v>46201.0</v>
      </c>
      <c r="B1324" s="48">
        <v>0.8131944444444444</v>
      </c>
      <c r="C1324" s="37" t="s">
        <v>15</v>
      </c>
      <c r="D1324" s="37" t="s">
        <v>87</v>
      </c>
      <c r="E1324" s="37" t="s">
        <v>106</v>
      </c>
      <c r="F1324" s="38">
        <v>0.0</v>
      </c>
      <c r="G1324" s="38">
        <v>0.0</v>
      </c>
      <c r="H1324" s="38">
        <v>0.0</v>
      </c>
      <c r="I1324" s="38">
        <v>0.0</v>
      </c>
      <c r="J1324" s="38">
        <v>0.0</v>
      </c>
      <c r="K1324" s="38">
        <v>0.0</v>
      </c>
      <c r="L1324" s="38">
        <v>0.0</v>
      </c>
      <c r="M1324" s="38">
        <v>0.0</v>
      </c>
      <c r="N1324" s="38">
        <v>0.0</v>
      </c>
      <c r="O1324" s="38">
        <v>0.0</v>
      </c>
      <c r="P1324" s="38">
        <v>0.0</v>
      </c>
      <c r="Q1324" s="38">
        <v>0.0</v>
      </c>
    </row>
    <row r="1325">
      <c r="A1325" s="49">
        <v>46201.0</v>
      </c>
      <c r="B1325" s="50">
        <v>0.8131944444444444</v>
      </c>
      <c r="C1325" s="41" t="s">
        <v>15</v>
      </c>
      <c r="D1325" s="41" t="s">
        <v>87</v>
      </c>
      <c r="E1325" s="41" t="s">
        <v>107</v>
      </c>
      <c r="F1325" s="42">
        <v>0.0</v>
      </c>
      <c r="G1325" s="42">
        <v>0.0</v>
      </c>
      <c r="H1325" s="42">
        <v>0.0</v>
      </c>
      <c r="I1325" s="42">
        <v>0.0</v>
      </c>
      <c r="J1325" s="42">
        <v>0.0</v>
      </c>
      <c r="K1325" s="42">
        <v>0.0</v>
      </c>
      <c r="L1325" s="42">
        <v>0.0</v>
      </c>
      <c r="M1325" s="42">
        <v>0.0</v>
      </c>
      <c r="N1325" s="42">
        <v>0.0</v>
      </c>
      <c r="O1325" s="42">
        <v>0.0</v>
      </c>
      <c r="P1325" s="42">
        <v>0.0</v>
      </c>
      <c r="Q1325" s="42">
        <v>0.0</v>
      </c>
    </row>
    <row r="1326">
      <c r="A1326" s="47">
        <v>46201.0</v>
      </c>
      <c r="B1326" s="48">
        <v>0.8131944444444444</v>
      </c>
      <c r="C1326" s="37" t="s">
        <v>23</v>
      </c>
      <c r="D1326" s="37" t="s">
        <v>93</v>
      </c>
      <c r="E1326" s="37" t="s">
        <v>52</v>
      </c>
      <c r="F1326" s="38">
        <v>1.0</v>
      </c>
      <c r="G1326" s="38">
        <v>1.0</v>
      </c>
      <c r="H1326" s="38">
        <v>0.0</v>
      </c>
      <c r="I1326" s="38">
        <v>0.0</v>
      </c>
      <c r="J1326" s="38">
        <v>0.0</v>
      </c>
      <c r="K1326" s="38">
        <v>1.0</v>
      </c>
      <c r="L1326" s="38">
        <v>1.0</v>
      </c>
      <c r="M1326" s="38">
        <v>0.0</v>
      </c>
      <c r="N1326" s="38">
        <v>0.0</v>
      </c>
      <c r="O1326" s="38">
        <v>0.0</v>
      </c>
      <c r="P1326" s="38">
        <v>1.0</v>
      </c>
      <c r="Q1326" s="38">
        <v>1.0</v>
      </c>
    </row>
    <row r="1327">
      <c r="A1327" s="49">
        <v>46201.0</v>
      </c>
      <c r="B1327" s="50">
        <v>0.8131944444444444</v>
      </c>
      <c r="C1327" s="41" t="s">
        <v>23</v>
      </c>
      <c r="D1327" s="41" t="s">
        <v>93</v>
      </c>
      <c r="E1327" s="41" t="s">
        <v>88</v>
      </c>
      <c r="F1327" s="42">
        <v>0.0</v>
      </c>
      <c r="G1327" s="42">
        <v>0.0</v>
      </c>
      <c r="H1327" s="42">
        <v>0.0</v>
      </c>
      <c r="I1327" s="42">
        <v>0.0</v>
      </c>
      <c r="J1327" s="42">
        <v>0.0</v>
      </c>
      <c r="K1327" s="42">
        <v>0.0</v>
      </c>
      <c r="L1327" s="42">
        <v>0.0</v>
      </c>
      <c r="M1327" s="42">
        <v>0.0</v>
      </c>
      <c r="N1327" s="42">
        <v>0.0</v>
      </c>
      <c r="O1327" s="42">
        <v>0.0</v>
      </c>
      <c r="P1327" s="42">
        <v>0.0</v>
      </c>
      <c r="Q1327" s="42">
        <v>0.0</v>
      </c>
    </row>
    <row r="1328">
      <c r="A1328" s="47">
        <v>46201.0</v>
      </c>
      <c r="B1328" s="48">
        <v>0.8131944444444444</v>
      </c>
      <c r="C1328" s="37" t="s">
        <v>23</v>
      </c>
      <c r="D1328" s="37" t="s">
        <v>93</v>
      </c>
      <c r="E1328" s="37" t="s">
        <v>89</v>
      </c>
      <c r="F1328" s="38">
        <v>0.0</v>
      </c>
      <c r="G1328" s="38">
        <v>0.0</v>
      </c>
      <c r="H1328" s="38">
        <v>0.0</v>
      </c>
      <c r="I1328" s="38">
        <v>0.0</v>
      </c>
      <c r="J1328" s="38">
        <v>0.0</v>
      </c>
      <c r="K1328" s="38">
        <v>0.0</v>
      </c>
      <c r="L1328" s="38">
        <v>0.0</v>
      </c>
      <c r="M1328" s="38">
        <v>0.0</v>
      </c>
      <c r="N1328" s="38">
        <v>0.0</v>
      </c>
      <c r="O1328" s="38">
        <v>0.0</v>
      </c>
      <c r="P1328" s="38">
        <v>0.0</v>
      </c>
      <c r="Q1328" s="38">
        <v>0.0</v>
      </c>
    </row>
    <row r="1329">
      <c r="A1329" s="49">
        <v>46201.0</v>
      </c>
      <c r="B1329" s="50">
        <v>0.8131944444444444</v>
      </c>
      <c r="C1329" s="41" t="s">
        <v>23</v>
      </c>
      <c r="D1329" s="41" t="s">
        <v>93</v>
      </c>
      <c r="E1329" s="41" t="s">
        <v>50</v>
      </c>
      <c r="F1329" s="42">
        <v>0.0</v>
      </c>
      <c r="G1329" s="42">
        <v>0.0</v>
      </c>
      <c r="H1329" s="42">
        <v>0.0</v>
      </c>
      <c r="I1329" s="42">
        <v>0.0</v>
      </c>
      <c r="J1329" s="42">
        <v>0.0</v>
      </c>
      <c r="K1329" s="42">
        <v>0.0</v>
      </c>
      <c r="L1329" s="42">
        <v>0.0</v>
      </c>
      <c r="M1329" s="42">
        <v>0.0</v>
      </c>
      <c r="N1329" s="42">
        <v>0.0</v>
      </c>
      <c r="O1329" s="42">
        <v>0.0</v>
      </c>
      <c r="P1329" s="42">
        <v>0.0</v>
      </c>
      <c r="Q1329" s="42">
        <v>0.0</v>
      </c>
    </row>
    <row r="1330">
      <c r="A1330" s="47">
        <v>46201.0</v>
      </c>
      <c r="B1330" s="48">
        <v>0.8131944444444444</v>
      </c>
      <c r="C1330" s="37" t="s">
        <v>23</v>
      </c>
      <c r="D1330" s="37" t="s">
        <v>93</v>
      </c>
      <c r="E1330" s="37" t="s">
        <v>90</v>
      </c>
      <c r="F1330" s="38">
        <v>0.0</v>
      </c>
      <c r="G1330" s="38">
        <v>0.0</v>
      </c>
      <c r="H1330" s="38">
        <v>0.0</v>
      </c>
      <c r="I1330" s="38">
        <v>0.0</v>
      </c>
      <c r="J1330" s="38">
        <v>0.0</v>
      </c>
      <c r="K1330" s="38">
        <v>0.0</v>
      </c>
      <c r="L1330" s="38">
        <v>0.0</v>
      </c>
      <c r="M1330" s="38">
        <v>0.0</v>
      </c>
      <c r="N1330" s="38">
        <v>0.0</v>
      </c>
      <c r="O1330" s="38">
        <v>0.0</v>
      </c>
      <c r="P1330" s="38">
        <v>0.0</v>
      </c>
      <c r="Q1330" s="38">
        <v>0.0</v>
      </c>
    </row>
    <row r="1331">
      <c r="A1331" s="49">
        <v>46201.0</v>
      </c>
      <c r="B1331" s="50">
        <v>0.8131944444444444</v>
      </c>
      <c r="C1331" s="41" t="s">
        <v>23</v>
      </c>
      <c r="D1331" s="41" t="s">
        <v>93</v>
      </c>
      <c r="E1331" s="41" t="s">
        <v>91</v>
      </c>
      <c r="F1331" s="42">
        <v>0.0</v>
      </c>
      <c r="G1331" s="42">
        <v>0.0</v>
      </c>
      <c r="H1331" s="42">
        <v>0.0</v>
      </c>
      <c r="I1331" s="42">
        <v>0.0</v>
      </c>
      <c r="J1331" s="42">
        <v>0.0</v>
      </c>
      <c r="K1331" s="42">
        <v>0.0</v>
      </c>
      <c r="L1331" s="42">
        <v>0.0</v>
      </c>
      <c r="M1331" s="42">
        <v>0.0</v>
      </c>
      <c r="N1331" s="42">
        <v>0.0</v>
      </c>
      <c r="O1331" s="42">
        <v>0.0</v>
      </c>
      <c r="P1331" s="42">
        <v>0.0</v>
      </c>
      <c r="Q1331" s="42">
        <v>0.0</v>
      </c>
    </row>
    <row r="1332">
      <c r="A1332" s="47">
        <v>46201.0</v>
      </c>
      <c r="B1332" s="48">
        <v>0.8131944444444444</v>
      </c>
      <c r="C1332" s="37" t="s">
        <v>23</v>
      </c>
      <c r="D1332" s="37" t="s">
        <v>93</v>
      </c>
      <c r="E1332" s="37" t="s">
        <v>92</v>
      </c>
      <c r="F1332" s="38">
        <v>0.0</v>
      </c>
      <c r="G1332" s="38">
        <v>0.0</v>
      </c>
      <c r="H1332" s="38">
        <v>0.0</v>
      </c>
      <c r="I1332" s="38">
        <v>0.0</v>
      </c>
      <c r="J1332" s="38">
        <v>0.0</v>
      </c>
      <c r="K1332" s="38">
        <v>0.0</v>
      </c>
      <c r="L1332" s="38">
        <v>0.0</v>
      </c>
      <c r="M1332" s="38">
        <v>0.0</v>
      </c>
      <c r="N1332" s="38">
        <v>0.0</v>
      </c>
      <c r="O1332" s="38">
        <v>0.0</v>
      </c>
      <c r="P1332" s="38">
        <v>0.0</v>
      </c>
      <c r="Q1332" s="38">
        <v>0.0</v>
      </c>
    </row>
    <row r="1333">
      <c r="A1333" s="49">
        <v>46201.0</v>
      </c>
      <c r="B1333" s="50">
        <v>0.8131944444444444</v>
      </c>
      <c r="C1333" s="41" t="s">
        <v>23</v>
      </c>
      <c r="D1333" s="41" t="s">
        <v>93</v>
      </c>
      <c r="E1333" s="41" t="s">
        <v>106</v>
      </c>
      <c r="F1333" s="42">
        <v>0.0</v>
      </c>
      <c r="G1333" s="42">
        <v>0.0</v>
      </c>
      <c r="H1333" s="42">
        <v>0.0</v>
      </c>
      <c r="I1333" s="42">
        <v>0.0</v>
      </c>
      <c r="J1333" s="42">
        <v>0.0</v>
      </c>
      <c r="K1333" s="42">
        <v>0.0</v>
      </c>
      <c r="L1333" s="42">
        <v>0.0</v>
      </c>
      <c r="M1333" s="42">
        <v>0.0</v>
      </c>
      <c r="N1333" s="42">
        <v>0.0</v>
      </c>
      <c r="O1333" s="42">
        <v>0.0</v>
      </c>
      <c r="P1333" s="42">
        <v>0.0</v>
      </c>
      <c r="Q1333" s="42">
        <v>0.0</v>
      </c>
    </row>
    <row r="1334">
      <c r="A1334" s="47">
        <v>46201.0</v>
      </c>
      <c r="B1334" s="48">
        <v>0.8131944444444444</v>
      </c>
      <c r="C1334" s="37" t="s">
        <v>23</v>
      </c>
      <c r="D1334" s="37" t="s">
        <v>93</v>
      </c>
      <c r="E1334" s="37" t="s">
        <v>107</v>
      </c>
      <c r="F1334" s="38">
        <v>0.0</v>
      </c>
      <c r="G1334" s="38">
        <v>0.0</v>
      </c>
      <c r="H1334" s="38">
        <v>0.0</v>
      </c>
      <c r="I1334" s="38">
        <v>0.0</v>
      </c>
      <c r="J1334" s="38">
        <v>0.0</v>
      </c>
      <c r="K1334" s="38">
        <v>0.0</v>
      </c>
      <c r="L1334" s="38">
        <v>0.0</v>
      </c>
      <c r="M1334" s="38">
        <v>0.0</v>
      </c>
      <c r="N1334" s="38">
        <v>0.0</v>
      </c>
      <c r="O1334" s="38">
        <v>0.0</v>
      </c>
      <c r="P1334" s="38">
        <v>0.0</v>
      </c>
      <c r="Q1334" s="38">
        <v>0.0</v>
      </c>
    </row>
    <row r="1335">
      <c r="A1335" s="49">
        <v>46201.0</v>
      </c>
      <c r="B1335" s="50">
        <v>0.8131944444444444</v>
      </c>
      <c r="C1335" s="41" t="s">
        <v>29</v>
      </c>
      <c r="D1335" s="41" t="s">
        <v>94</v>
      </c>
      <c r="E1335" s="41" t="s">
        <v>52</v>
      </c>
      <c r="F1335" s="42">
        <v>7.0</v>
      </c>
      <c r="G1335" s="42">
        <v>2.0</v>
      </c>
      <c r="H1335" s="42">
        <v>0.0</v>
      </c>
      <c r="I1335" s="42">
        <v>0.0</v>
      </c>
      <c r="J1335" s="42">
        <v>1.0</v>
      </c>
      <c r="K1335" s="42">
        <v>7.0</v>
      </c>
      <c r="L1335" s="42">
        <v>7.0</v>
      </c>
      <c r="M1335" s="42">
        <v>0.0</v>
      </c>
      <c r="N1335" s="42">
        <v>0.0</v>
      </c>
      <c r="O1335" s="42">
        <v>0.0</v>
      </c>
      <c r="P1335" s="42">
        <v>2.0</v>
      </c>
      <c r="Q1335" s="42">
        <v>2.0</v>
      </c>
    </row>
    <row r="1336">
      <c r="A1336" s="47">
        <v>46201.0</v>
      </c>
      <c r="B1336" s="48">
        <v>0.8131944444444444</v>
      </c>
      <c r="C1336" s="37" t="s">
        <v>29</v>
      </c>
      <c r="D1336" s="37" t="s">
        <v>94</v>
      </c>
      <c r="E1336" s="37" t="s">
        <v>88</v>
      </c>
      <c r="F1336" s="38">
        <v>0.0</v>
      </c>
      <c r="G1336" s="38">
        <v>0.0</v>
      </c>
      <c r="H1336" s="38">
        <v>0.0</v>
      </c>
      <c r="I1336" s="38">
        <v>0.0</v>
      </c>
      <c r="J1336" s="38">
        <v>0.0</v>
      </c>
      <c r="K1336" s="38">
        <v>0.0</v>
      </c>
      <c r="L1336" s="38">
        <v>0.0</v>
      </c>
      <c r="M1336" s="38">
        <v>0.0</v>
      </c>
      <c r="N1336" s="38">
        <v>0.0</v>
      </c>
      <c r="O1336" s="38">
        <v>0.0</v>
      </c>
      <c r="P1336" s="38">
        <v>0.0</v>
      </c>
      <c r="Q1336" s="38">
        <v>0.0</v>
      </c>
    </row>
    <row r="1337">
      <c r="A1337" s="49">
        <v>46201.0</v>
      </c>
      <c r="B1337" s="50">
        <v>0.8131944444444444</v>
      </c>
      <c r="C1337" s="41" t="s">
        <v>29</v>
      </c>
      <c r="D1337" s="41" t="s">
        <v>94</v>
      </c>
      <c r="E1337" s="41" t="s">
        <v>89</v>
      </c>
      <c r="F1337" s="42">
        <v>1.0</v>
      </c>
      <c r="G1337" s="42">
        <v>0.0</v>
      </c>
      <c r="H1337" s="42">
        <v>0.0</v>
      </c>
      <c r="I1337" s="42">
        <v>0.0</v>
      </c>
      <c r="J1337" s="42">
        <v>0.0</v>
      </c>
      <c r="K1337" s="42">
        <v>1.0</v>
      </c>
      <c r="L1337" s="42">
        <v>1.0</v>
      </c>
      <c r="M1337" s="42">
        <v>0.0</v>
      </c>
      <c r="N1337" s="42">
        <v>0.0</v>
      </c>
      <c r="O1337" s="42">
        <v>0.0</v>
      </c>
      <c r="P1337" s="42">
        <v>0.0</v>
      </c>
      <c r="Q1337" s="42">
        <v>0.0</v>
      </c>
    </row>
    <row r="1338">
      <c r="A1338" s="47">
        <v>46201.0</v>
      </c>
      <c r="B1338" s="48">
        <v>0.8131944444444444</v>
      </c>
      <c r="C1338" s="37" t="s">
        <v>29</v>
      </c>
      <c r="D1338" s="37" t="s">
        <v>94</v>
      </c>
      <c r="E1338" s="37" t="s">
        <v>50</v>
      </c>
      <c r="F1338" s="38">
        <v>0.0</v>
      </c>
      <c r="G1338" s="38">
        <v>0.0</v>
      </c>
      <c r="H1338" s="38">
        <v>0.0</v>
      </c>
      <c r="I1338" s="38">
        <v>0.0</v>
      </c>
      <c r="J1338" s="38">
        <v>0.0</v>
      </c>
      <c r="K1338" s="38">
        <v>0.0</v>
      </c>
      <c r="L1338" s="38">
        <v>0.0</v>
      </c>
      <c r="M1338" s="38">
        <v>0.0</v>
      </c>
      <c r="N1338" s="38">
        <v>0.0</v>
      </c>
      <c r="O1338" s="38">
        <v>0.0</v>
      </c>
      <c r="P1338" s="38">
        <v>0.0</v>
      </c>
      <c r="Q1338" s="38">
        <v>0.0</v>
      </c>
    </row>
    <row r="1339">
      <c r="A1339" s="49">
        <v>46201.0</v>
      </c>
      <c r="B1339" s="50">
        <v>0.8131944444444444</v>
      </c>
      <c r="C1339" s="41" t="s">
        <v>29</v>
      </c>
      <c r="D1339" s="41" t="s">
        <v>94</v>
      </c>
      <c r="E1339" s="41" t="s">
        <v>90</v>
      </c>
      <c r="F1339" s="42">
        <v>0.0</v>
      </c>
      <c r="G1339" s="42">
        <v>0.0</v>
      </c>
      <c r="H1339" s="42">
        <v>0.0</v>
      </c>
      <c r="I1339" s="42">
        <v>0.0</v>
      </c>
      <c r="J1339" s="42">
        <v>0.0</v>
      </c>
      <c r="K1339" s="42">
        <v>0.0</v>
      </c>
      <c r="L1339" s="42">
        <v>0.0</v>
      </c>
      <c r="M1339" s="42">
        <v>0.0</v>
      </c>
      <c r="N1339" s="42">
        <v>0.0</v>
      </c>
      <c r="O1339" s="42">
        <v>0.0</v>
      </c>
      <c r="P1339" s="42">
        <v>0.0</v>
      </c>
      <c r="Q1339" s="42">
        <v>0.0</v>
      </c>
    </row>
    <row r="1340">
      <c r="A1340" s="47">
        <v>46201.0</v>
      </c>
      <c r="B1340" s="48">
        <v>0.8131944444444444</v>
      </c>
      <c r="C1340" s="37" t="s">
        <v>29</v>
      </c>
      <c r="D1340" s="37" t="s">
        <v>94</v>
      </c>
      <c r="E1340" s="37" t="s">
        <v>91</v>
      </c>
      <c r="F1340" s="38">
        <v>0.0</v>
      </c>
      <c r="G1340" s="38">
        <v>0.0</v>
      </c>
      <c r="H1340" s="38">
        <v>0.0</v>
      </c>
      <c r="I1340" s="38">
        <v>0.0</v>
      </c>
      <c r="J1340" s="38">
        <v>0.0</v>
      </c>
      <c r="K1340" s="38">
        <v>0.0</v>
      </c>
      <c r="L1340" s="38">
        <v>0.0</v>
      </c>
      <c r="M1340" s="38">
        <v>0.0</v>
      </c>
      <c r="N1340" s="38">
        <v>0.0</v>
      </c>
      <c r="O1340" s="38">
        <v>0.0</v>
      </c>
      <c r="P1340" s="38">
        <v>0.0</v>
      </c>
      <c r="Q1340" s="38">
        <v>0.0</v>
      </c>
    </row>
    <row r="1341">
      <c r="A1341" s="49">
        <v>46201.0</v>
      </c>
      <c r="B1341" s="50">
        <v>0.8131944444444444</v>
      </c>
      <c r="C1341" s="41" t="s">
        <v>29</v>
      </c>
      <c r="D1341" s="41" t="s">
        <v>94</v>
      </c>
      <c r="E1341" s="41" t="s">
        <v>92</v>
      </c>
      <c r="F1341" s="42">
        <v>0.0</v>
      </c>
      <c r="G1341" s="42">
        <v>0.0</v>
      </c>
      <c r="H1341" s="42">
        <v>0.0</v>
      </c>
      <c r="I1341" s="42">
        <v>0.0</v>
      </c>
      <c r="J1341" s="42">
        <v>0.0</v>
      </c>
      <c r="K1341" s="42">
        <v>0.0</v>
      </c>
      <c r="L1341" s="42">
        <v>0.0</v>
      </c>
      <c r="M1341" s="42">
        <v>0.0</v>
      </c>
      <c r="N1341" s="42">
        <v>0.0</v>
      </c>
      <c r="O1341" s="42">
        <v>0.0</v>
      </c>
      <c r="P1341" s="42">
        <v>0.0</v>
      </c>
      <c r="Q1341" s="42">
        <v>0.0</v>
      </c>
    </row>
    <row r="1342">
      <c r="A1342" s="47">
        <v>46201.0</v>
      </c>
      <c r="B1342" s="48">
        <v>0.8131944444444444</v>
      </c>
      <c r="C1342" s="37" t="s">
        <v>29</v>
      </c>
      <c r="D1342" s="37" t="s">
        <v>94</v>
      </c>
      <c r="E1342" s="37" t="s">
        <v>106</v>
      </c>
      <c r="F1342" s="38">
        <v>2.0</v>
      </c>
      <c r="G1342" s="38">
        <v>0.0</v>
      </c>
      <c r="H1342" s="38">
        <v>0.0</v>
      </c>
      <c r="I1342" s="38">
        <v>0.0</v>
      </c>
      <c r="J1342" s="38">
        <v>1.0</v>
      </c>
      <c r="K1342" s="38">
        <v>1.0</v>
      </c>
      <c r="L1342" s="38">
        <v>2.0</v>
      </c>
      <c r="M1342" s="38">
        <v>0.0</v>
      </c>
      <c r="N1342" s="38">
        <v>0.0</v>
      </c>
      <c r="O1342" s="38">
        <v>0.0</v>
      </c>
      <c r="P1342" s="38">
        <v>0.0</v>
      </c>
      <c r="Q1342" s="38">
        <v>0.0</v>
      </c>
    </row>
    <row r="1343">
      <c r="A1343" s="49">
        <v>46201.0</v>
      </c>
      <c r="B1343" s="50">
        <v>0.8131944444444444</v>
      </c>
      <c r="C1343" s="41" t="s">
        <v>29</v>
      </c>
      <c r="D1343" s="41" t="s">
        <v>94</v>
      </c>
      <c r="E1343" s="41" t="s">
        <v>107</v>
      </c>
      <c r="F1343" s="42">
        <v>0.0</v>
      </c>
      <c r="G1343" s="42">
        <v>0.0</v>
      </c>
      <c r="H1343" s="42">
        <v>0.0</v>
      </c>
      <c r="I1343" s="42">
        <v>0.0</v>
      </c>
      <c r="J1343" s="42">
        <v>0.0</v>
      </c>
      <c r="K1343" s="42">
        <v>0.0</v>
      </c>
      <c r="L1343" s="42">
        <v>0.0</v>
      </c>
      <c r="M1343" s="42">
        <v>0.0</v>
      </c>
      <c r="N1343" s="42">
        <v>0.0</v>
      </c>
      <c r="O1343" s="42">
        <v>0.0</v>
      </c>
      <c r="P1343" s="42">
        <v>0.0</v>
      </c>
      <c r="Q1343" s="42">
        <v>0.0</v>
      </c>
    </row>
    <row r="1344">
      <c r="A1344" s="47">
        <v>46201.0</v>
      </c>
      <c r="B1344" s="48">
        <v>0.8131944444444444</v>
      </c>
      <c r="C1344" s="37" t="s">
        <v>31</v>
      </c>
      <c r="D1344" s="37" t="s">
        <v>95</v>
      </c>
      <c r="E1344" s="37" t="s">
        <v>52</v>
      </c>
      <c r="F1344" s="38">
        <v>0.0</v>
      </c>
      <c r="G1344" s="38">
        <v>0.0</v>
      </c>
      <c r="H1344" s="38">
        <v>0.0</v>
      </c>
      <c r="I1344" s="38">
        <v>0.0</v>
      </c>
      <c r="J1344" s="38">
        <v>0.0</v>
      </c>
      <c r="K1344" s="38">
        <v>0.0</v>
      </c>
      <c r="L1344" s="38">
        <v>0.0</v>
      </c>
      <c r="M1344" s="38">
        <v>0.0</v>
      </c>
      <c r="N1344" s="38">
        <v>0.0</v>
      </c>
      <c r="O1344" s="38">
        <v>0.0</v>
      </c>
      <c r="P1344" s="38">
        <v>0.0</v>
      </c>
      <c r="Q1344" s="38">
        <v>0.0</v>
      </c>
    </row>
    <row r="1345">
      <c r="A1345" s="49">
        <v>46201.0</v>
      </c>
      <c r="B1345" s="50">
        <v>0.8131944444444444</v>
      </c>
      <c r="C1345" s="41" t="s">
        <v>31</v>
      </c>
      <c r="D1345" s="41" t="s">
        <v>95</v>
      </c>
      <c r="E1345" s="41" t="s">
        <v>88</v>
      </c>
      <c r="F1345" s="42">
        <v>0.0</v>
      </c>
      <c r="G1345" s="42">
        <v>0.0</v>
      </c>
      <c r="H1345" s="42">
        <v>0.0</v>
      </c>
      <c r="I1345" s="42">
        <v>0.0</v>
      </c>
      <c r="J1345" s="42">
        <v>0.0</v>
      </c>
      <c r="K1345" s="42">
        <v>0.0</v>
      </c>
      <c r="L1345" s="42">
        <v>0.0</v>
      </c>
      <c r="M1345" s="42">
        <v>0.0</v>
      </c>
      <c r="N1345" s="42">
        <v>0.0</v>
      </c>
      <c r="O1345" s="42">
        <v>0.0</v>
      </c>
      <c r="P1345" s="42">
        <v>0.0</v>
      </c>
      <c r="Q1345" s="42">
        <v>0.0</v>
      </c>
    </row>
    <row r="1346">
      <c r="A1346" s="47">
        <v>46201.0</v>
      </c>
      <c r="B1346" s="48">
        <v>0.8131944444444444</v>
      </c>
      <c r="C1346" s="37" t="s">
        <v>31</v>
      </c>
      <c r="D1346" s="37" t="s">
        <v>95</v>
      </c>
      <c r="E1346" s="37" t="s">
        <v>89</v>
      </c>
      <c r="F1346" s="38">
        <v>0.0</v>
      </c>
      <c r="G1346" s="38">
        <v>0.0</v>
      </c>
      <c r="H1346" s="38">
        <v>0.0</v>
      </c>
      <c r="I1346" s="38">
        <v>0.0</v>
      </c>
      <c r="J1346" s="38">
        <v>0.0</v>
      </c>
      <c r="K1346" s="38">
        <v>0.0</v>
      </c>
      <c r="L1346" s="38">
        <v>0.0</v>
      </c>
      <c r="M1346" s="38">
        <v>0.0</v>
      </c>
      <c r="N1346" s="38">
        <v>0.0</v>
      </c>
      <c r="O1346" s="38">
        <v>0.0</v>
      </c>
      <c r="P1346" s="38">
        <v>0.0</v>
      </c>
      <c r="Q1346" s="38">
        <v>0.0</v>
      </c>
    </row>
    <row r="1347">
      <c r="A1347" s="49">
        <v>46201.0</v>
      </c>
      <c r="B1347" s="50">
        <v>0.8131944444444444</v>
      </c>
      <c r="C1347" s="41" t="s">
        <v>31</v>
      </c>
      <c r="D1347" s="41" t="s">
        <v>95</v>
      </c>
      <c r="E1347" s="41" t="s">
        <v>50</v>
      </c>
      <c r="F1347" s="42">
        <v>1.0</v>
      </c>
      <c r="G1347" s="42">
        <v>1.0</v>
      </c>
      <c r="H1347" s="42">
        <v>0.0</v>
      </c>
      <c r="I1347" s="42">
        <v>0.0</v>
      </c>
      <c r="J1347" s="42">
        <v>0.0</v>
      </c>
      <c r="K1347" s="42">
        <v>0.0</v>
      </c>
      <c r="L1347" s="42">
        <v>0.0</v>
      </c>
      <c r="M1347" s="42">
        <v>0.0</v>
      </c>
      <c r="N1347" s="42">
        <v>0.0</v>
      </c>
      <c r="O1347" s="42">
        <v>0.0</v>
      </c>
      <c r="P1347" s="42">
        <v>0.0</v>
      </c>
      <c r="Q1347" s="42">
        <v>0.0</v>
      </c>
    </row>
    <row r="1348">
      <c r="A1348" s="47">
        <v>46201.0</v>
      </c>
      <c r="B1348" s="48">
        <v>0.8131944444444444</v>
      </c>
      <c r="C1348" s="37" t="s">
        <v>31</v>
      </c>
      <c r="D1348" s="37" t="s">
        <v>95</v>
      </c>
      <c r="E1348" s="37" t="s">
        <v>90</v>
      </c>
      <c r="F1348" s="38">
        <v>0.0</v>
      </c>
      <c r="G1348" s="38">
        <v>0.0</v>
      </c>
      <c r="H1348" s="38">
        <v>0.0</v>
      </c>
      <c r="I1348" s="38">
        <v>0.0</v>
      </c>
      <c r="J1348" s="38">
        <v>0.0</v>
      </c>
      <c r="K1348" s="38">
        <v>0.0</v>
      </c>
      <c r="L1348" s="38">
        <v>0.0</v>
      </c>
      <c r="M1348" s="38">
        <v>0.0</v>
      </c>
      <c r="N1348" s="38">
        <v>0.0</v>
      </c>
      <c r="O1348" s="38">
        <v>0.0</v>
      </c>
      <c r="P1348" s="38">
        <v>0.0</v>
      </c>
      <c r="Q1348" s="38">
        <v>0.0</v>
      </c>
    </row>
    <row r="1349">
      <c r="A1349" s="49">
        <v>46201.0</v>
      </c>
      <c r="B1349" s="50">
        <v>0.8131944444444444</v>
      </c>
      <c r="C1349" s="41" t="s">
        <v>31</v>
      </c>
      <c r="D1349" s="41" t="s">
        <v>95</v>
      </c>
      <c r="E1349" s="41" t="s">
        <v>91</v>
      </c>
      <c r="F1349" s="42">
        <v>0.0</v>
      </c>
      <c r="G1349" s="42">
        <v>0.0</v>
      </c>
      <c r="H1349" s="42">
        <v>0.0</v>
      </c>
      <c r="I1349" s="42">
        <v>0.0</v>
      </c>
      <c r="J1349" s="42">
        <v>0.0</v>
      </c>
      <c r="K1349" s="42">
        <v>0.0</v>
      </c>
      <c r="L1349" s="42">
        <v>0.0</v>
      </c>
      <c r="M1349" s="42">
        <v>0.0</v>
      </c>
      <c r="N1349" s="42">
        <v>0.0</v>
      </c>
      <c r="O1349" s="42">
        <v>0.0</v>
      </c>
      <c r="P1349" s="42">
        <v>0.0</v>
      </c>
      <c r="Q1349" s="42">
        <v>0.0</v>
      </c>
    </row>
    <row r="1350">
      <c r="A1350" s="47">
        <v>46201.0</v>
      </c>
      <c r="B1350" s="48">
        <v>0.8131944444444444</v>
      </c>
      <c r="C1350" s="37" t="s">
        <v>31</v>
      </c>
      <c r="D1350" s="37" t="s">
        <v>95</v>
      </c>
      <c r="E1350" s="37" t="s">
        <v>92</v>
      </c>
      <c r="F1350" s="38">
        <v>0.0</v>
      </c>
      <c r="G1350" s="38">
        <v>0.0</v>
      </c>
      <c r="H1350" s="38">
        <v>0.0</v>
      </c>
      <c r="I1350" s="38">
        <v>0.0</v>
      </c>
      <c r="J1350" s="38">
        <v>0.0</v>
      </c>
      <c r="K1350" s="38">
        <v>0.0</v>
      </c>
      <c r="L1350" s="38">
        <v>0.0</v>
      </c>
      <c r="M1350" s="38">
        <v>0.0</v>
      </c>
      <c r="N1350" s="38">
        <v>0.0</v>
      </c>
      <c r="O1350" s="38">
        <v>0.0</v>
      </c>
      <c r="P1350" s="38">
        <v>0.0</v>
      </c>
      <c r="Q1350" s="38">
        <v>0.0</v>
      </c>
    </row>
    <row r="1351">
      <c r="A1351" s="49">
        <v>46201.0</v>
      </c>
      <c r="B1351" s="50">
        <v>0.8131944444444444</v>
      </c>
      <c r="C1351" s="41" t="s">
        <v>31</v>
      </c>
      <c r="D1351" s="41" t="s">
        <v>95</v>
      </c>
      <c r="E1351" s="41" t="s">
        <v>106</v>
      </c>
      <c r="F1351" s="42">
        <v>0.0</v>
      </c>
      <c r="G1351" s="42">
        <v>0.0</v>
      </c>
      <c r="H1351" s="42">
        <v>0.0</v>
      </c>
      <c r="I1351" s="42">
        <v>0.0</v>
      </c>
      <c r="J1351" s="42">
        <v>0.0</v>
      </c>
      <c r="K1351" s="42">
        <v>0.0</v>
      </c>
      <c r="L1351" s="42">
        <v>0.0</v>
      </c>
      <c r="M1351" s="42">
        <v>0.0</v>
      </c>
      <c r="N1351" s="42">
        <v>0.0</v>
      </c>
      <c r="O1351" s="42">
        <v>0.0</v>
      </c>
      <c r="P1351" s="42">
        <v>0.0</v>
      </c>
      <c r="Q1351" s="42">
        <v>0.0</v>
      </c>
    </row>
    <row r="1352">
      <c r="A1352" s="47">
        <v>46201.0</v>
      </c>
      <c r="B1352" s="48">
        <v>0.8131944444444444</v>
      </c>
      <c r="C1352" s="37" t="s">
        <v>31</v>
      </c>
      <c r="D1352" s="37" t="s">
        <v>95</v>
      </c>
      <c r="E1352" s="37" t="s">
        <v>107</v>
      </c>
      <c r="F1352" s="38">
        <v>0.0</v>
      </c>
      <c r="G1352" s="38">
        <v>0.0</v>
      </c>
      <c r="H1352" s="38">
        <v>0.0</v>
      </c>
      <c r="I1352" s="38">
        <v>0.0</v>
      </c>
      <c r="J1352" s="38">
        <v>0.0</v>
      </c>
      <c r="K1352" s="38">
        <v>0.0</v>
      </c>
      <c r="L1352" s="38">
        <v>0.0</v>
      </c>
      <c r="M1352" s="38">
        <v>0.0</v>
      </c>
      <c r="N1352" s="38">
        <v>0.0</v>
      </c>
      <c r="O1352" s="38">
        <v>0.0</v>
      </c>
      <c r="P1352" s="38">
        <v>0.0</v>
      </c>
      <c r="Q1352" s="38">
        <v>0.0</v>
      </c>
    </row>
    <row r="1353">
      <c r="A1353" s="51">
        <v>46201.0</v>
      </c>
      <c r="B1353" s="52">
        <v>0.8131944444444444</v>
      </c>
      <c r="C1353" s="45" t="s">
        <v>96</v>
      </c>
      <c r="D1353" s="45" t="s">
        <v>75</v>
      </c>
      <c r="E1353" s="45" t="s">
        <v>52</v>
      </c>
      <c r="F1353" s="46">
        <v>13.0</v>
      </c>
      <c r="G1353" s="46">
        <v>4.0</v>
      </c>
      <c r="H1353" s="46">
        <v>0.0</v>
      </c>
      <c r="I1353" s="46">
        <v>1.0</v>
      </c>
      <c r="J1353" s="46">
        <v>2.0</v>
      </c>
      <c r="K1353" s="46">
        <v>11.0</v>
      </c>
      <c r="L1353" s="46">
        <v>13.0</v>
      </c>
      <c r="M1353" s="46">
        <v>0.0</v>
      </c>
      <c r="N1353" s="46">
        <v>0.0</v>
      </c>
      <c r="O1353" s="46">
        <v>0.0</v>
      </c>
      <c r="P1353" s="46">
        <v>3.0</v>
      </c>
      <c r="Q1353" s="46">
        <v>4.0</v>
      </c>
    </row>
    <row r="1354">
      <c r="A1354" s="51">
        <v>46201.0</v>
      </c>
      <c r="B1354" s="52">
        <v>0.8131944444444444</v>
      </c>
      <c r="C1354" s="45" t="s">
        <v>96</v>
      </c>
      <c r="D1354" s="45" t="s">
        <v>75</v>
      </c>
      <c r="E1354" s="45" t="s">
        <v>88</v>
      </c>
      <c r="F1354" s="46">
        <v>0.0</v>
      </c>
      <c r="G1354" s="46">
        <v>0.0</v>
      </c>
      <c r="H1354" s="46">
        <v>0.0</v>
      </c>
      <c r="I1354" s="46">
        <v>0.0</v>
      </c>
      <c r="J1354" s="46">
        <v>0.0</v>
      </c>
      <c r="K1354" s="46">
        <v>0.0</v>
      </c>
      <c r="L1354" s="46">
        <v>0.0</v>
      </c>
      <c r="M1354" s="46">
        <v>0.0</v>
      </c>
      <c r="N1354" s="46">
        <v>0.0</v>
      </c>
      <c r="O1354" s="46">
        <v>0.0</v>
      </c>
      <c r="P1354" s="46">
        <v>0.0</v>
      </c>
      <c r="Q1354" s="46">
        <v>0.0</v>
      </c>
    </row>
    <row r="1355">
      <c r="A1355" s="51">
        <v>46201.0</v>
      </c>
      <c r="B1355" s="52">
        <v>0.8131944444444444</v>
      </c>
      <c r="C1355" s="45" t="s">
        <v>96</v>
      </c>
      <c r="D1355" s="45" t="s">
        <v>75</v>
      </c>
      <c r="E1355" s="45" t="s">
        <v>89</v>
      </c>
      <c r="F1355" s="46">
        <v>1.0</v>
      </c>
      <c r="G1355" s="46">
        <v>0.0</v>
      </c>
      <c r="H1355" s="46">
        <v>0.0</v>
      </c>
      <c r="I1355" s="46">
        <v>0.0</v>
      </c>
      <c r="J1355" s="46">
        <v>0.0</v>
      </c>
      <c r="K1355" s="46">
        <v>1.0</v>
      </c>
      <c r="L1355" s="46">
        <v>1.0</v>
      </c>
      <c r="M1355" s="46">
        <v>0.0</v>
      </c>
      <c r="N1355" s="46">
        <v>0.0</v>
      </c>
      <c r="O1355" s="46">
        <v>0.0</v>
      </c>
      <c r="P1355" s="46">
        <v>0.0</v>
      </c>
      <c r="Q1355" s="46">
        <v>0.0</v>
      </c>
    </row>
    <row r="1356">
      <c r="A1356" s="51">
        <v>46201.0</v>
      </c>
      <c r="B1356" s="52">
        <v>0.8131944444444444</v>
      </c>
      <c r="C1356" s="45" t="s">
        <v>96</v>
      </c>
      <c r="D1356" s="45" t="s">
        <v>75</v>
      </c>
      <c r="E1356" s="45" t="s">
        <v>50</v>
      </c>
      <c r="F1356" s="46">
        <v>1.0</v>
      </c>
      <c r="G1356" s="46">
        <v>1.0</v>
      </c>
      <c r="H1356" s="46">
        <v>0.0</v>
      </c>
      <c r="I1356" s="46">
        <v>0.0</v>
      </c>
      <c r="J1356" s="46">
        <v>0.0</v>
      </c>
      <c r="K1356" s="46">
        <v>0.0</v>
      </c>
      <c r="L1356" s="46">
        <v>0.0</v>
      </c>
      <c r="M1356" s="46">
        <v>0.0</v>
      </c>
      <c r="N1356" s="46">
        <v>0.0</v>
      </c>
      <c r="O1356" s="46">
        <v>0.0</v>
      </c>
      <c r="P1356" s="46">
        <v>0.0</v>
      </c>
      <c r="Q1356" s="46">
        <v>0.0</v>
      </c>
    </row>
    <row r="1357">
      <c r="A1357" s="51">
        <v>46201.0</v>
      </c>
      <c r="B1357" s="52">
        <v>0.8131944444444444</v>
      </c>
      <c r="C1357" s="45" t="s">
        <v>96</v>
      </c>
      <c r="D1357" s="45" t="s">
        <v>75</v>
      </c>
      <c r="E1357" s="45" t="s">
        <v>90</v>
      </c>
      <c r="F1357" s="46">
        <v>0.0</v>
      </c>
      <c r="G1357" s="46">
        <v>0.0</v>
      </c>
      <c r="H1357" s="46">
        <v>0.0</v>
      </c>
      <c r="I1357" s="46">
        <v>0.0</v>
      </c>
      <c r="J1357" s="46">
        <v>0.0</v>
      </c>
      <c r="K1357" s="46">
        <v>0.0</v>
      </c>
      <c r="L1357" s="46">
        <v>0.0</v>
      </c>
      <c r="M1357" s="46">
        <v>0.0</v>
      </c>
      <c r="N1357" s="46">
        <v>0.0</v>
      </c>
      <c r="O1357" s="46">
        <v>0.0</v>
      </c>
      <c r="P1357" s="46">
        <v>0.0</v>
      </c>
      <c r="Q1357" s="46">
        <v>0.0</v>
      </c>
    </row>
    <row r="1358">
      <c r="A1358" s="51">
        <v>46201.0</v>
      </c>
      <c r="B1358" s="52">
        <v>0.8131944444444444</v>
      </c>
      <c r="C1358" s="45" t="s">
        <v>96</v>
      </c>
      <c r="D1358" s="45" t="s">
        <v>75</v>
      </c>
      <c r="E1358" s="45" t="s">
        <v>91</v>
      </c>
      <c r="F1358" s="46">
        <v>0.0</v>
      </c>
      <c r="G1358" s="46">
        <v>0.0</v>
      </c>
      <c r="H1358" s="46">
        <v>0.0</v>
      </c>
      <c r="I1358" s="46">
        <v>0.0</v>
      </c>
      <c r="J1358" s="46">
        <v>0.0</v>
      </c>
      <c r="K1358" s="46">
        <v>0.0</v>
      </c>
      <c r="L1358" s="46">
        <v>0.0</v>
      </c>
      <c r="M1358" s="46">
        <v>0.0</v>
      </c>
      <c r="N1358" s="46">
        <v>0.0</v>
      </c>
      <c r="O1358" s="46">
        <v>0.0</v>
      </c>
      <c r="P1358" s="46">
        <v>0.0</v>
      </c>
      <c r="Q1358" s="46">
        <v>0.0</v>
      </c>
    </row>
    <row r="1359">
      <c r="A1359" s="51">
        <v>46201.0</v>
      </c>
      <c r="B1359" s="52">
        <v>0.8131944444444444</v>
      </c>
      <c r="C1359" s="45" t="s">
        <v>96</v>
      </c>
      <c r="D1359" s="45" t="s">
        <v>75</v>
      </c>
      <c r="E1359" s="45" t="s">
        <v>92</v>
      </c>
      <c r="F1359" s="46">
        <v>0.0</v>
      </c>
      <c r="G1359" s="46">
        <v>0.0</v>
      </c>
      <c r="H1359" s="46">
        <v>0.0</v>
      </c>
      <c r="I1359" s="46">
        <v>0.0</v>
      </c>
      <c r="J1359" s="46">
        <v>0.0</v>
      </c>
      <c r="K1359" s="46">
        <v>0.0</v>
      </c>
      <c r="L1359" s="46">
        <v>0.0</v>
      </c>
      <c r="M1359" s="46">
        <v>0.0</v>
      </c>
      <c r="N1359" s="46">
        <v>0.0</v>
      </c>
      <c r="O1359" s="46">
        <v>0.0</v>
      </c>
      <c r="P1359" s="46">
        <v>0.0</v>
      </c>
      <c r="Q1359" s="46">
        <v>0.0</v>
      </c>
    </row>
    <row r="1360">
      <c r="A1360" s="51">
        <v>46201.0</v>
      </c>
      <c r="B1360" s="52">
        <v>0.8131944444444444</v>
      </c>
      <c r="C1360" s="45" t="s">
        <v>96</v>
      </c>
      <c r="D1360" s="45" t="s">
        <v>75</v>
      </c>
      <c r="E1360" s="45" t="s">
        <v>106</v>
      </c>
      <c r="F1360" s="46">
        <v>2.0</v>
      </c>
      <c r="G1360" s="46">
        <v>0.0</v>
      </c>
      <c r="H1360" s="46">
        <v>0.0</v>
      </c>
      <c r="I1360" s="46">
        <v>0.0</v>
      </c>
      <c r="J1360" s="46">
        <v>1.0</v>
      </c>
      <c r="K1360" s="46">
        <v>1.0</v>
      </c>
      <c r="L1360" s="46">
        <v>2.0</v>
      </c>
      <c r="M1360" s="46">
        <v>0.0</v>
      </c>
      <c r="N1360" s="46">
        <v>0.0</v>
      </c>
      <c r="O1360" s="46">
        <v>0.0</v>
      </c>
      <c r="P1360" s="46">
        <v>0.0</v>
      </c>
      <c r="Q1360" s="46">
        <v>0.0</v>
      </c>
    </row>
    <row r="1361">
      <c r="A1361" s="51">
        <v>46201.0</v>
      </c>
      <c r="B1361" s="52">
        <v>0.8131944444444444</v>
      </c>
      <c r="C1361" s="45" t="s">
        <v>96</v>
      </c>
      <c r="D1361" s="45" t="s">
        <v>75</v>
      </c>
      <c r="E1361" s="45" t="s">
        <v>107</v>
      </c>
      <c r="F1361" s="46">
        <v>0.0</v>
      </c>
      <c r="G1361" s="46">
        <v>0.0</v>
      </c>
      <c r="H1361" s="46">
        <v>0.0</v>
      </c>
      <c r="I1361" s="46">
        <v>0.0</v>
      </c>
      <c r="J1361" s="46">
        <v>0.0</v>
      </c>
      <c r="K1361" s="46">
        <v>0.0</v>
      </c>
      <c r="L1361" s="46">
        <v>0.0</v>
      </c>
      <c r="M1361" s="46">
        <v>0.0</v>
      </c>
      <c r="N1361" s="46">
        <v>0.0</v>
      </c>
      <c r="O1361" s="46">
        <v>0.0</v>
      </c>
      <c r="P1361" s="46">
        <v>0.0</v>
      </c>
      <c r="Q1361" s="46">
        <v>0.0</v>
      </c>
    </row>
    <row r="1362">
      <c r="A1362" s="47">
        <v>46201.0</v>
      </c>
      <c r="B1362" s="48">
        <v>0.9131944444444444</v>
      </c>
      <c r="C1362" s="37" t="s">
        <v>15</v>
      </c>
      <c r="D1362" s="37" t="s">
        <v>87</v>
      </c>
      <c r="E1362" s="37" t="s">
        <v>52</v>
      </c>
      <c r="F1362" s="38">
        <v>5.0</v>
      </c>
      <c r="G1362" s="38">
        <v>1.0</v>
      </c>
      <c r="H1362" s="38">
        <v>0.0</v>
      </c>
      <c r="I1362" s="38">
        <v>1.0</v>
      </c>
      <c r="J1362" s="38">
        <v>1.0</v>
      </c>
      <c r="K1362" s="38">
        <v>3.0</v>
      </c>
      <c r="L1362" s="38">
        <v>5.0</v>
      </c>
      <c r="M1362" s="38">
        <v>0.0</v>
      </c>
      <c r="N1362" s="38">
        <v>0.0</v>
      </c>
      <c r="O1362" s="38">
        <v>0.0</v>
      </c>
      <c r="P1362" s="38">
        <v>0.0</v>
      </c>
      <c r="Q1362" s="38">
        <v>1.0</v>
      </c>
    </row>
    <row r="1363">
      <c r="A1363" s="49">
        <v>46201.0</v>
      </c>
      <c r="B1363" s="50">
        <v>0.9131944444444444</v>
      </c>
      <c r="C1363" s="41" t="s">
        <v>15</v>
      </c>
      <c r="D1363" s="41" t="s">
        <v>87</v>
      </c>
      <c r="E1363" s="41" t="s">
        <v>88</v>
      </c>
      <c r="F1363" s="42">
        <v>0.0</v>
      </c>
      <c r="G1363" s="42">
        <v>0.0</v>
      </c>
      <c r="H1363" s="42">
        <v>0.0</v>
      </c>
      <c r="I1363" s="42">
        <v>0.0</v>
      </c>
      <c r="J1363" s="42">
        <v>0.0</v>
      </c>
      <c r="K1363" s="42">
        <v>0.0</v>
      </c>
      <c r="L1363" s="42">
        <v>0.0</v>
      </c>
      <c r="M1363" s="42">
        <v>0.0</v>
      </c>
      <c r="N1363" s="42">
        <v>0.0</v>
      </c>
      <c r="O1363" s="42">
        <v>0.0</v>
      </c>
      <c r="P1363" s="42">
        <v>0.0</v>
      </c>
      <c r="Q1363" s="42">
        <v>0.0</v>
      </c>
    </row>
    <row r="1364">
      <c r="A1364" s="47">
        <v>46201.0</v>
      </c>
      <c r="B1364" s="48">
        <v>0.9131944444444444</v>
      </c>
      <c r="C1364" s="37" t="s">
        <v>15</v>
      </c>
      <c r="D1364" s="37" t="s">
        <v>87</v>
      </c>
      <c r="E1364" s="37" t="s">
        <v>89</v>
      </c>
      <c r="F1364" s="38">
        <v>0.0</v>
      </c>
      <c r="G1364" s="38">
        <v>0.0</v>
      </c>
      <c r="H1364" s="38">
        <v>0.0</v>
      </c>
      <c r="I1364" s="38">
        <v>0.0</v>
      </c>
      <c r="J1364" s="38">
        <v>0.0</v>
      </c>
      <c r="K1364" s="38">
        <v>0.0</v>
      </c>
      <c r="L1364" s="38">
        <v>0.0</v>
      </c>
      <c r="M1364" s="38">
        <v>0.0</v>
      </c>
      <c r="N1364" s="38">
        <v>0.0</v>
      </c>
      <c r="O1364" s="38">
        <v>0.0</v>
      </c>
      <c r="P1364" s="38">
        <v>0.0</v>
      </c>
      <c r="Q1364" s="38">
        <v>0.0</v>
      </c>
    </row>
    <row r="1365">
      <c r="A1365" s="49">
        <v>46201.0</v>
      </c>
      <c r="B1365" s="50">
        <v>0.9131944444444444</v>
      </c>
      <c r="C1365" s="41" t="s">
        <v>15</v>
      </c>
      <c r="D1365" s="41" t="s">
        <v>87</v>
      </c>
      <c r="E1365" s="41" t="s">
        <v>50</v>
      </c>
      <c r="F1365" s="42">
        <v>0.0</v>
      </c>
      <c r="G1365" s="42">
        <v>0.0</v>
      </c>
      <c r="H1365" s="42">
        <v>0.0</v>
      </c>
      <c r="I1365" s="42">
        <v>0.0</v>
      </c>
      <c r="J1365" s="42">
        <v>0.0</v>
      </c>
      <c r="K1365" s="42">
        <v>0.0</v>
      </c>
      <c r="L1365" s="42">
        <v>0.0</v>
      </c>
      <c r="M1365" s="42">
        <v>0.0</v>
      </c>
      <c r="N1365" s="42">
        <v>0.0</v>
      </c>
      <c r="O1365" s="42">
        <v>0.0</v>
      </c>
      <c r="P1365" s="42">
        <v>0.0</v>
      </c>
      <c r="Q1365" s="42">
        <v>0.0</v>
      </c>
    </row>
    <row r="1366">
      <c r="A1366" s="47">
        <v>46201.0</v>
      </c>
      <c r="B1366" s="48">
        <v>0.9131944444444444</v>
      </c>
      <c r="C1366" s="37" t="s">
        <v>15</v>
      </c>
      <c r="D1366" s="37" t="s">
        <v>87</v>
      </c>
      <c r="E1366" s="37" t="s">
        <v>90</v>
      </c>
      <c r="F1366" s="38">
        <v>0.0</v>
      </c>
      <c r="G1366" s="38">
        <v>0.0</v>
      </c>
      <c r="H1366" s="38">
        <v>0.0</v>
      </c>
      <c r="I1366" s="38">
        <v>0.0</v>
      </c>
      <c r="J1366" s="38">
        <v>0.0</v>
      </c>
      <c r="K1366" s="38">
        <v>0.0</v>
      </c>
      <c r="L1366" s="38">
        <v>0.0</v>
      </c>
      <c r="M1366" s="38">
        <v>0.0</v>
      </c>
      <c r="N1366" s="38">
        <v>0.0</v>
      </c>
      <c r="O1366" s="38">
        <v>0.0</v>
      </c>
      <c r="P1366" s="38">
        <v>0.0</v>
      </c>
      <c r="Q1366" s="38">
        <v>0.0</v>
      </c>
    </row>
    <row r="1367">
      <c r="A1367" s="49">
        <v>46201.0</v>
      </c>
      <c r="B1367" s="50">
        <v>0.9131944444444444</v>
      </c>
      <c r="C1367" s="41" t="s">
        <v>15</v>
      </c>
      <c r="D1367" s="41" t="s">
        <v>87</v>
      </c>
      <c r="E1367" s="41" t="s">
        <v>91</v>
      </c>
      <c r="F1367" s="42">
        <v>0.0</v>
      </c>
      <c r="G1367" s="42">
        <v>0.0</v>
      </c>
      <c r="H1367" s="42">
        <v>0.0</v>
      </c>
      <c r="I1367" s="42">
        <v>0.0</v>
      </c>
      <c r="J1367" s="42">
        <v>0.0</v>
      </c>
      <c r="K1367" s="42">
        <v>0.0</v>
      </c>
      <c r="L1367" s="42">
        <v>0.0</v>
      </c>
      <c r="M1367" s="42">
        <v>0.0</v>
      </c>
      <c r="N1367" s="42">
        <v>0.0</v>
      </c>
      <c r="O1367" s="42">
        <v>0.0</v>
      </c>
      <c r="P1367" s="42">
        <v>0.0</v>
      </c>
      <c r="Q1367" s="42">
        <v>0.0</v>
      </c>
    </row>
    <row r="1368">
      <c r="A1368" s="47">
        <v>46201.0</v>
      </c>
      <c r="B1368" s="48">
        <v>0.9131944444444444</v>
      </c>
      <c r="C1368" s="37" t="s">
        <v>15</v>
      </c>
      <c r="D1368" s="37" t="s">
        <v>87</v>
      </c>
      <c r="E1368" s="37" t="s">
        <v>92</v>
      </c>
      <c r="F1368" s="38">
        <v>0.0</v>
      </c>
      <c r="G1368" s="38">
        <v>0.0</v>
      </c>
      <c r="H1368" s="38">
        <v>0.0</v>
      </c>
      <c r="I1368" s="38">
        <v>0.0</v>
      </c>
      <c r="J1368" s="38">
        <v>0.0</v>
      </c>
      <c r="K1368" s="38">
        <v>0.0</v>
      </c>
      <c r="L1368" s="38">
        <v>0.0</v>
      </c>
      <c r="M1368" s="38">
        <v>0.0</v>
      </c>
      <c r="N1368" s="38">
        <v>0.0</v>
      </c>
      <c r="O1368" s="38">
        <v>0.0</v>
      </c>
      <c r="P1368" s="38">
        <v>0.0</v>
      </c>
      <c r="Q1368" s="38">
        <v>0.0</v>
      </c>
    </row>
    <row r="1369">
      <c r="A1369" s="49">
        <v>46201.0</v>
      </c>
      <c r="B1369" s="50">
        <v>0.9131944444444444</v>
      </c>
      <c r="C1369" s="41" t="s">
        <v>15</v>
      </c>
      <c r="D1369" s="41" t="s">
        <v>87</v>
      </c>
      <c r="E1369" s="41" t="s">
        <v>106</v>
      </c>
      <c r="F1369" s="42">
        <v>0.0</v>
      </c>
      <c r="G1369" s="42">
        <v>0.0</v>
      </c>
      <c r="H1369" s="42">
        <v>0.0</v>
      </c>
      <c r="I1369" s="42">
        <v>0.0</v>
      </c>
      <c r="J1369" s="42">
        <v>0.0</v>
      </c>
      <c r="K1369" s="42">
        <v>0.0</v>
      </c>
      <c r="L1369" s="42">
        <v>0.0</v>
      </c>
      <c r="M1369" s="42">
        <v>0.0</v>
      </c>
      <c r="N1369" s="42">
        <v>0.0</v>
      </c>
      <c r="O1369" s="42">
        <v>0.0</v>
      </c>
      <c r="P1369" s="42">
        <v>0.0</v>
      </c>
      <c r="Q1369" s="42">
        <v>0.0</v>
      </c>
    </row>
    <row r="1370">
      <c r="A1370" s="47">
        <v>46201.0</v>
      </c>
      <c r="B1370" s="48">
        <v>0.9131944444444444</v>
      </c>
      <c r="C1370" s="37" t="s">
        <v>15</v>
      </c>
      <c r="D1370" s="37" t="s">
        <v>87</v>
      </c>
      <c r="E1370" s="37" t="s">
        <v>107</v>
      </c>
      <c r="F1370" s="38">
        <v>0.0</v>
      </c>
      <c r="G1370" s="38">
        <v>0.0</v>
      </c>
      <c r="H1370" s="38">
        <v>0.0</v>
      </c>
      <c r="I1370" s="38">
        <v>0.0</v>
      </c>
      <c r="J1370" s="38">
        <v>0.0</v>
      </c>
      <c r="K1370" s="38">
        <v>0.0</v>
      </c>
      <c r="L1370" s="38">
        <v>0.0</v>
      </c>
      <c r="M1370" s="38">
        <v>0.0</v>
      </c>
      <c r="N1370" s="38">
        <v>0.0</v>
      </c>
      <c r="O1370" s="38">
        <v>0.0</v>
      </c>
      <c r="P1370" s="38">
        <v>0.0</v>
      </c>
      <c r="Q1370" s="38">
        <v>0.0</v>
      </c>
    </row>
    <row r="1371">
      <c r="A1371" s="49">
        <v>46201.0</v>
      </c>
      <c r="B1371" s="50">
        <v>0.9131944444444444</v>
      </c>
      <c r="C1371" s="41" t="s">
        <v>23</v>
      </c>
      <c r="D1371" s="41" t="s">
        <v>93</v>
      </c>
      <c r="E1371" s="41" t="s">
        <v>52</v>
      </c>
      <c r="F1371" s="42">
        <v>1.0</v>
      </c>
      <c r="G1371" s="42">
        <v>1.0</v>
      </c>
      <c r="H1371" s="42">
        <v>0.0</v>
      </c>
      <c r="I1371" s="42">
        <v>0.0</v>
      </c>
      <c r="J1371" s="42">
        <v>0.0</v>
      </c>
      <c r="K1371" s="42">
        <v>1.0</v>
      </c>
      <c r="L1371" s="42">
        <v>1.0</v>
      </c>
      <c r="M1371" s="42">
        <v>0.0</v>
      </c>
      <c r="N1371" s="42">
        <v>0.0</v>
      </c>
      <c r="O1371" s="42">
        <v>0.0</v>
      </c>
      <c r="P1371" s="42">
        <v>1.0</v>
      </c>
      <c r="Q1371" s="42">
        <v>1.0</v>
      </c>
    </row>
    <row r="1372">
      <c r="A1372" s="47">
        <v>46201.0</v>
      </c>
      <c r="B1372" s="48">
        <v>0.9131944444444444</v>
      </c>
      <c r="C1372" s="37" t="s">
        <v>23</v>
      </c>
      <c r="D1372" s="37" t="s">
        <v>93</v>
      </c>
      <c r="E1372" s="37" t="s">
        <v>88</v>
      </c>
      <c r="F1372" s="38">
        <v>0.0</v>
      </c>
      <c r="G1372" s="38">
        <v>0.0</v>
      </c>
      <c r="H1372" s="38">
        <v>0.0</v>
      </c>
      <c r="I1372" s="38">
        <v>0.0</v>
      </c>
      <c r="J1372" s="38">
        <v>0.0</v>
      </c>
      <c r="K1372" s="38">
        <v>0.0</v>
      </c>
      <c r="L1372" s="38">
        <v>0.0</v>
      </c>
      <c r="M1372" s="38">
        <v>0.0</v>
      </c>
      <c r="N1372" s="38">
        <v>0.0</v>
      </c>
      <c r="O1372" s="38">
        <v>0.0</v>
      </c>
      <c r="P1372" s="38">
        <v>0.0</v>
      </c>
      <c r="Q1372" s="38">
        <v>0.0</v>
      </c>
    </row>
    <row r="1373">
      <c r="A1373" s="49">
        <v>46201.0</v>
      </c>
      <c r="B1373" s="50">
        <v>0.9131944444444444</v>
      </c>
      <c r="C1373" s="41" t="s">
        <v>23</v>
      </c>
      <c r="D1373" s="41" t="s">
        <v>93</v>
      </c>
      <c r="E1373" s="41" t="s">
        <v>89</v>
      </c>
      <c r="F1373" s="42">
        <v>0.0</v>
      </c>
      <c r="G1373" s="42">
        <v>0.0</v>
      </c>
      <c r="H1373" s="42">
        <v>0.0</v>
      </c>
      <c r="I1373" s="42">
        <v>0.0</v>
      </c>
      <c r="J1373" s="42">
        <v>0.0</v>
      </c>
      <c r="K1373" s="42">
        <v>0.0</v>
      </c>
      <c r="L1373" s="42">
        <v>0.0</v>
      </c>
      <c r="M1373" s="42">
        <v>0.0</v>
      </c>
      <c r="N1373" s="42">
        <v>0.0</v>
      </c>
      <c r="O1373" s="42">
        <v>0.0</v>
      </c>
      <c r="P1373" s="42">
        <v>0.0</v>
      </c>
      <c r="Q1373" s="42">
        <v>0.0</v>
      </c>
    </row>
    <row r="1374">
      <c r="A1374" s="47">
        <v>46201.0</v>
      </c>
      <c r="B1374" s="48">
        <v>0.9131944444444444</v>
      </c>
      <c r="C1374" s="37" t="s">
        <v>23</v>
      </c>
      <c r="D1374" s="37" t="s">
        <v>93</v>
      </c>
      <c r="E1374" s="37" t="s">
        <v>50</v>
      </c>
      <c r="F1374" s="38">
        <v>0.0</v>
      </c>
      <c r="G1374" s="38">
        <v>0.0</v>
      </c>
      <c r="H1374" s="38">
        <v>0.0</v>
      </c>
      <c r="I1374" s="38">
        <v>0.0</v>
      </c>
      <c r="J1374" s="38">
        <v>0.0</v>
      </c>
      <c r="K1374" s="38">
        <v>0.0</v>
      </c>
      <c r="L1374" s="38">
        <v>0.0</v>
      </c>
      <c r="M1374" s="38">
        <v>0.0</v>
      </c>
      <c r="N1374" s="38">
        <v>0.0</v>
      </c>
      <c r="O1374" s="38">
        <v>0.0</v>
      </c>
      <c r="P1374" s="38">
        <v>0.0</v>
      </c>
      <c r="Q1374" s="38">
        <v>0.0</v>
      </c>
    </row>
    <row r="1375">
      <c r="A1375" s="49">
        <v>46201.0</v>
      </c>
      <c r="B1375" s="50">
        <v>0.9131944444444444</v>
      </c>
      <c r="C1375" s="41" t="s">
        <v>23</v>
      </c>
      <c r="D1375" s="41" t="s">
        <v>93</v>
      </c>
      <c r="E1375" s="41" t="s">
        <v>90</v>
      </c>
      <c r="F1375" s="42">
        <v>0.0</v>
      </c>
      <c r="G1375" s="42">
        <v>0.0</v>
      </c>
      <c r="H1375" s="42">
        <v>0.0</v>
      </c>
      <c r="I1375" s="42">
        <v>0.0</v>
      </c>
      <c r="J1375" s="42">
        <v>0.0</v>
      </c>
      <c r="K1375" s="42">
        <v>0.0</v>
      </c>
      <c r="L1375" s="42">
        <v>0.0</v>
      </c>
      <c r="M1375" s="42">
        <v>0.0</v>
      </c>
      <c r="N1375" s="42">
        <v>0.0</v>
      </c>
      <c r="O1375" s="42">
        <v>0.0</v>
      </c>
      <c r="P1375" s="42">
        <v>0.0</v>
      </c>
      <c r="Q1375" s="42">
        <v>0.0</v>
      </c>
    </row>
    <row r="1376">
      <c r="A1376" s="47">
        <v>46201.0</v>
      </c>
      <c r="B1376" s="48">
        <v>0.9131944444444444</v>
      </c>
      <c r="C1376" s="37" t="s">
        <v>23</v>
      </c>
      <c r="D1376" s="37" t="s">
        <v>93</v>
      </c>
      <c r="E1376" s="37" t="s">
        <v>91</v>
      </c>
      <c r="F1376" s="38">
        <v>0.0</v>
      </c>
      <c r="G1376" s="38">
        <v>0.0</v>
      </c>
      <c r="H1376" s="38">
        <v>0.0</v>
      </c>
      <c r="I1376" s="38">
        <v>0.0</v>
      </c>
      <c r="J1376" s="38">
        <v>0.0</v>
      </c>
      <c r="K1376" s="38">
        <v>0.0</v>
      </c>
      <c r="L1376" s="38">
        <v>0.0</v>
      </c>
      <c r="M1376" s="38">
        <v>0.0</v>
      </c>
      <c r="N1376" s="38">
        <v>0.0</v>
      </c>
      <c r="O1376" s="38">
        <v>0.0</v>
      </c>
      <c r="P1376" s="38">
        <v>0.0</v>
      </c>
      <c r="Q1376" s="38">
        <v>0.0</v>
      </c>
    </row>
    <row r="1377">
      <c r="A1377" s="49">
        <v>46201.0</v>
      </c>
      <c r="B1377" s="50">
        <v>0.9131944444444444</v>
      </c>
      <c r="C1377" s="41" t="s">
        <v>23</v>
      </c>
      <c r="D1377" s="41" t="s">
        <v>93</v>
      </c>
      <c r="E1377" s="41" t="s">
        <v>92</v>
      </c>
      <c r="F1377" s="42">
        <v>0.0</v>
      </c>
      <c r="G1377" s="42">
        <v>0.0</v>
      </c>
      <c r="H1377" s="42">
        <v>0.0</v>
      </c>
      <c r="I1377" s="42">
        <v>0.0</v>
      </c>
      <c r="J1377" s="42">
        <v>0.0</v>
      </c>
      <c r="K1377" s="42">
        <v>0.0</v>
      </c>
      <c r="L1377" s="42">
        <v>0.0</v>
      </c>
      <c r="M1377" s="42">
        <v>0.0</v>
      </c>
      <c r="N1377" s="42">
        <v>0.0</v>
      </c>
      <c r="O1377" s="42">
        <v>0.0</v>
      </c>
      <c r="P1377" s="42">
        <v>0.0</v>
      </c>
      <c r="Q1377" s="42">
        <v>0.0</v>
      </c>
    </row>
    <row r="1378">
      <c r="A1378" s="47">
        <v>46201.0</v>
      </c>
      <c r="B1378" s="48">
        <v>0.9131944444444444</v>
      </c>
      <c r="C1378" s="37" t="s">
        <v>23</v>
      </c>
      <c r="D1378" s="37" t="s">
        <v>93</v>
      </c>
      <c r="E1378" s="37" t="s">
        <v>106</v>
      </c>
      <c r="F1378" s="38">
        <v>0.0</v>
      </c>
      <c r="G1378" s="38">
        <v>0.0</v>
      </c>
      <c r="H1378" s="38">
        <v>0.0</v>
      </c>
      <c r="I1378" s="38">
        <v>0.0</v>
      </c>
      <c r="J1378" s="38">
        <v>0.0</v>
      </c>
      <c r="K1378" s="38">
        <v>0.0</v>
      </c>
      <c r="L1378" s="38">
        <v>0.0</v>
      </c>
      <c r="M1378" s="38">
        <v>0.0</v>
      </c>
      <c r="N1378" s="38">
        <v>0.0</v>
      </c>
      <c r="O1378" s="38">
        <v>0.0</v>
      </c>
      <c r="P1378" s="38">
        <v>0.0</v>
      </c>
      <c r="Q1378" s="38">
        <v>0.0</v>
      </c>
    </row>
    <row r="1379">
      <c r="A1379" s="49">
        <v>46201.0</v>
      </c>
      <c r="B1379" s="50">
        <v>0.9131944444444444</v>
      </c>
      <c r="C1379" s="41" t="s">
        <v>23</v>
      </c>
      <c r="D1379" s="41" t="s">
        <v>93</v>
      </c>
      <c r="E1379" s="41" t="s">
        <v>107</v>
      </c>
      <c r="F1379" s="42">
        <v>0.0</v>
      </c>
      <c r="G1379" s="42">
        <v>0.0</v>
      </c>
      <c r="H1379" s="42">
        <v>0.0</v>
      </c>
      <c r="I1379" s="42">
        <v>0.0</v>
      </c>
      <c r="J1379" s="42">
        <v>0.0</v>
      </c>
      <c r="K1379" s="42">
        <v>0.0</v>
      </c>
      <c r="L1379" s="42">
        <v>0.0</v>
      </c>
      <c r="M1379" s="42">
        <v>0.0</v>
      </c>
      <c r="N1379" s="42">
        <v>0.0</v>
      </c>
      <c r="O1379" s="42">
        <v>0.0</v>
      </c>
      <c r="P1379" s="42">
        <v>0.0</v>
      </c>
      <c r="Q1379" s="42">
        <v>0.0</v>
      </c>
    </row>
    <row r="1380">
      <c r="A1380" s="47">
        <v>46201.0</v>
      </c>
      <c r="B1380" s="48">
        <v>0.9131944444444444</v>
      </c>
      <c r="C1380" s="37" t="s">
        <v>29</v>
      </c>
      <c r="D1380" s="37" t="s">
        <v>94</v>
      </c>
      <c r="E1380" s="37" t="s">
        <v>52</v>
      </c>
      <c r="F1380" s="38">
        <v>7.0</v>
      </c>
      <c r="G1380" s="38">
        <v>2.0</v>
      </c>
      <c r="H1380" s="38">
        <v>0.0</v>
      </c>
      <c r="I1380" s="38">
        <v>0.0</v>
      </c>
      <c r="J1380" s="38">
        <v>1.0</v>
      </c>
      <c r="K1380" s="38">
        <v>7.0</v>
      </c>
      <c r="L1380" s="38">
        <v>7.0</v>
      </c>
      <c r="M1380" s="38">
        <v>0.0</v>
      </c>
      <c r="N1380" s="38">
        <v>0.0</v>
      </c>
      <c r="O1380" s="38">
        <v>0.0</v>
      </c>
      <c r="P1380" s="38">
        <v>2.0</v>
      </c>
      <c r="Q1380" s="38">
        <v>2.0</v>
      </c>
    </row>
    <row r="1381">
      <c r="A1381" s="49">
        <v>46201.0</v>
      </c>
      <c r="B1381" s="50">
        <v>0.9131944444444444</v>
      </c>
      <c r="C1381" s="41" t="s">
        <v>29</v>
      </c>
      <c r="D1381" s="41" t="s">
        <v>94</v>
      </c>
      <c r="E1381" s="41" t="s">
        <v>88</v>
      </c>
      <c r="F1381" s="42">
        <v>0.0</v>
      </c>
      <c r="G1381" s="42">
        <v>0.0</v>
      </c>
      <c r="H1381" s="42">
        <v>0.0</v>
      </c>
      <c r="I1381" s="42">
        <v>0.0</v>
      </c>
      <c r="J1381" s="42">
        <v>0.0</v>
      </c>
      <c r="K1381" s="42">
        <v>0.0</v>
      </c>
      <c r="L1381" s="42">
        <v>0.0</v>
      </c>
      <c r="M1381" s="42">
        <v>0.0</v>
      </c>
      <c r="N1381" s="42">
        <v>0.0</v>
      </c>
      <c r="O1381" s="42">
        <v>0.0</v>
      </c>
      <c r="P1381" s="42">
        <v>0.0</v>
      </c>
      <c r="Q1381" s="42">
        <v>0.0</v>
      </c>
    </row>
    <row r="1382">
      <c r="A1382" s="47">
        <v>46201.0</v>
      </c>
      <c r="B1382" s="48">
        <v>0.9131944444444444</v>
      </c>
      <c r="C1382" s="37" t="s">
        <v>29</v>
      </c>
      <c r="D1382" s="37" t="s">
        <v>94</v>
      </c>
      <c r="E1382" s="37" t="s">
        <v>89</v>
      </c>
      <c r="F1382" s="38">
        <v>1.0</v>
      </c>
      <c r="G1382" s="38">
        <v>0.0</v>
      </c>
      <c r="H1382" s="38">
        <v>0.0</v>
      </c>
      <c r="I1382" s="38">
        <v>0.0</v>
      </c>
      <c r="J1382" s="38">
        <v>0.0</v>
      </c>
      <c r="K1382" s="38">
        <v>1.0</v>
      </c>
      <c r="L1382" s="38">
        <v>1.0</v>
      </c>
      <c r="M1382" s="38">
        <v>0.0</v>
      </c>
      <c r="N1382" s="38">
        <v>0.0</v>
      </c>
      <c r="O1382" s="38">
        <v>0.0</v>
      </c>
      <c r="P1382" s="38">
        <v>0.0</v>
      </c>
      <c r="Q1382" s="38">
        <v>0.0</v>
      </c>
    </row>
    <row r="1383">
      <c r="A1383" s="49">
        <v>46201.0</v>
      </c>
      <c r="B1383" s="50">
        <v>0.9131944444444444</v>
      </c>
      <c r="C1383" s="41" t="s">
        <v>29</v>
      </c>
      <c r="D1383" s="41" t="s">
        <v>94</v>
      </c>
      <c r="E1383" s="41" t="s">
        <v>50</v>
      </c>
      <c r="F1383" s="42">
        <v>0.0</v>
      </c>
      <c r="G1383" s="42">
        <v>0.0</v>
      </c>
      <c r="H1383" s="42">
        <v>0.0</v>
      </c>
      <c r="I1383" s="42">
        <v>0.0</v>
      </c>
      <c r="J1383" s="42">
        <v>0.0</v>
      </c>
      <c r="K1383" s="42">
        <v>0.0</v>
      </c>
      <c r="L1383" s="42">
        <v>0.0</v>
      </c>
      <c r="M1383" s="42">
        <v>0.0</v>
      </c>
      <c r="N1383" s="42">
        <v>0.0</v>
      </c>
      <c r="O1383" s="42">
        <v>0.0</v>
      </c>
      <c r="P1383" s="42">
        <v>0.0</v>
      </c>
      <c r="Q1383" s="42">
        <v>0.0</v>
      </c>
    </row>
    <row r="1384">
      <c r="A1384" s="47">
        <v>46201.0</v>
      </c>
      <c r="B1384" s="48">
        <v>0.9131944444444444</v>
      </c>
      <c r="C1384" s="37" t="s">
        <v>29</v>
      </c>
      <c r="D1384" s="37" t="s">
        <v>94</v>
      </c>
      <c r="E1384" s="37" t="s">
        <v>90</v>
      </c>
      <c r="F1384" s="38">
        <v>0.0</v>
      </c>
      <c r="G1384" s="38">
        <v>0.0</v>
      </c>
      <c r="H1384" s="38">
        <v>0.0</v>
      </c>
      <c r="I1384" s="38">
        <v>0.0</v>
      </c>
      <c r="J1384" s="38">
        <v>0.0</v>
      </c>
      <c r="K1384" s="38">
        <v>0.0</v>
      </c>
      <c r="L1384" s="38">
        <v>0.0</v>
      </c>
      <c r="M1384" s="38">
        <v>0.0</v>
      </c>
      <c r="N1384" s="38">
        <v>0.0</v>
      </c>
      <c r="O1384" s="38">
        <v>0.0</v>
      </c>
      <c r="P1384" s="38">
        <v>0.0</v>
      </c>
      <c r="Q1384" s="38">
        <v>0.0</v>
      </c>
    </row>
    <row r="1385">
      <c r="A1385" s="49">
        <v>46201.0</v>
      </c>
      <c r="B1385" s="50">
        <v>0.9131944444444444</v>
      </c>
      <c r="C1385" s="41" t="s">
        <v>29</v>
      </c>
      <c r="D1385" s="41" t="s">
        <v>94</v>
      </c>
      <c r="E1385" s="41" t="s">
        <v>91</v>
      </c>
      <c r="F1385" s="42">
        <v>0.0</v>
      </c>
      <c r="G1385" s="42">
        <v>0.0</v>
      </c>
      <c r="H1385" s="42">
        <v>0.0</v>
      </c>
      <c r="I1385" s="42">
        <v>0.0</v>
      </c>
      <c r="J1385" s="42">
        <v>0.0</v>
      </c>
      <c r="K1385" s="42">
        <v>0.0</v>
      </c>
      <c r="L1385" s="42">
        <v>0.0</v>
      </c>
      <c r="M1385" s="42">
        <v>0.0</v>
      </c>
      <c r="N1385" s="42">
        <v>0.0</v>
      </c>
      <c r="O1385" s="42">
        <v>0.0</v>
      </c>
      <c r="P1385" s="42">
        <v>0.0</v>
      </c>
      <c r="Q1385" s="42">
        <v>0.0</v>
      </c>
    </row>
    <row r="1386">
      <c r="A1386" s="47">
        <v>46201.0</v>
      </c>
      <c r="B1386" s="48">
        <v>0.9131944444444444</v>
      </c>
      <c r="C1386" s="37" t="s">
        <v>29</v>
      </c>
      <c r="D1386" s="37" t="s">
        <v>94</v>
      </c>
      <c r="E1386" s="37" t="s">
        <v>92</v>
      </c>
      <c r="F1386" s="38">
        <v>0.0</v>
      </c>
      <c r="G1386" s="38">
        <v>0.0</v>
      </c>
      <c r="H1386" s="38">
        <v>0.0</v>
      </c>
      <c r="I1386" s="38">
        <v>0.0</v>
      </c>
      <c r="J1386" s="38">
        <v>0.0</v>
      </c>
      <c r="K1386" s="38">
        <v>0.0</v>
      </c>
      <c r="L1386" s="38">
        <v>0.0</v>
      </c>
      <c r="M1386" s="38">
        <v>0.0</v>
      </c>
      <c r="N1386" s="38">
        <v>0.0</v>
      </c>
      <c r="O1386" s="38">
        <v>0.0</v>
      </c>
      <c r="P1386" s="38">
        <v>0.0</v>
      </c>
      <c r="Q1386" s="38">
        <v>0.0</v>
      </c>
    </row>
    <row r="1387">
      <c r="A1387" s="49">
        <v>46201.0</v>
      </c>
      <c r="B1387" s="50">
        <v>0.9131944444444444</v>
      </c>
      <c r="C1387" s="41" t="s">
        <v>29</v>
      </c>
      <c r="D1387" s="41" t="s">
        <v>94</v>
      </c>
      <c r="E1387" s="41" t="s">
        <v>106</v>
      </c>
      <c r="F1387" s="42">
        <v>2.0</v>
      </c>
      <c r="G1387" s="42">
        <v>0.0</v>
      </c>
      <c r="H1387" s="42">
        <v>0.0</v>
      </c>
      <c r="I1387" s="42">
        <v>0.0</v>
      </c>
      <c r="J1387" s="42">
        <v>1.0</v>
      </c>
      <c r="K1387" s="42">
        <v>1.0</v>
      </c>
      <c r="L1387" s="42">
        <v>2.0</v>
      </c>
      <c r="M1387" s="42">
        <v>0.0</v>
      </c>
      <c r="N1387" s="42">
        <v>0.0</v>
      </c>
      <c r="O1387" s="42">
        <v>0.0</v>
      </c>
      <c r="P1387" s="42">
        <v>0.0</v>
      </c>
      <c r="Q1387" s="42">
        <v>0.0</v>
      </c>
    </row>
    <row r="1388">
      <c r="A1388" s="47">
        <v>46201.0</v>
      </c>
      <c r="B1388" s="48">
        <v>0.9131944444444444</v>
      </c>
      <c r="C1388" s="37" t="s">
        <v>29</v>
      </c>
      <c r="D1388" s="37" t="s">
        <v>94</v>
      </c>
      <c r="E1388" s="37" t="s">
        <v>107</v>
      </c>
      <c r="F1388" s="38">
        <v>0.0</v>
      </c>
      <c r="G1388" s="38">
        <v>0.0</v>
      </c>
      <c r="H1388" s="38">
        <v>0.0</v>
      </c>
      <c r="I1388" s="38">
        <v>0.0</v>
      </c>
      <c r="J1388" s="38">
        <v>0.0</v>
      </c>
      <c r="K1388" s="38">
        <v>0.0</v>
      </c>
      <c r="L1388" s="38">
        <v>0.0</v>
      </c>
      <c r="M1388" s="38">
        <v>0.0</v>
      </c>
      <c r="N1388" s="38">
        <v>0.0</v>
      </c>
      <c r="O1388" s="38">
        <v>0.0</v>
      </c>
      <c r="P1388" s="38">
        <v>0.0</v>
      </c>
      <c r="Q1388" s="38">
        <v>0.0</v>
      </c>
    </row>
    <row r="1389">
      <c r="A1389" s="49">
        <v>46201.0</v>
      </c>
      <c r="B1389" s="50">
        <v>0.9131944444444444</v>
      </c>
      <c r="C1389" s="41" t="s">
        <v>31</v>
      </c>
      <c r="D1389" s="41" t="s">
        <v>95</v>
      </c>
      <c r="E1389" s="41" t="s">
        <v>52</v>
      </c>
      <c r="F1389" s="42">
        <v>0.0</v>
      </c>
      <c r="G1389" s="42">
        <v>0.0</v>
      </c>
      <c r="H1389" s="42">
        <v>0.0</v>
      </c>
      <c r="I1389" s="42">
        <v>0.0</v>
      </c>
      <c r="J1389" s="42">
        <v>0.0</v>
      </c>
      <c r="K1389" s="42">
        <v>0.0</v>
      </c>
      <c r="L1389" s="42">
        <v>0.0</v>
      </c>
      <c r="M1389" s="42">
        <v>0.0</v>
      </c>
      <c r="N1389" s="42">
        <v>0.0</v>
      </c>
      <c r="O1389" s="42">
        <v>0.0</v>
      </c>
      <c r="P1389" s="42">
        <v>0.0</v>
      </c>
      <c r="Q1389" s="42">
        <v>0.0</v>
      </c>
    </row>
    <row r="1390">
      <c r="A1390" s="47">
        <v>46201.0</v>
      </c>
      <c r="B1390" s="48">
        <v>0.9131944444444444</v>
      </c>
      <c r="C1390" s="37" t="s">
        <v>31</v>
      </c>
      <c r="D1390" s="37" t="s">
        <v>95</v>
      </c>
      <c r="E1390" s="37" t="s">
        <v>88</v>
      </c>
      <c r="F1390" s="38">
        <v>0.0</v>
      </c>
      <c r="G1390" s="38">
        <v>0.0</v>
      </c>
      <c r="H1390" s="38">
        <v>0.0</v>
      </c>
      <c r="I1390" s="38">
        <v>0.0</v>
      </c>
      <c r="J1390" s="38">
        <v>0.0</v>
      </c>
      <c r="K1390" s="38">
        <v>0.0</v>
      </c>
      <c r="L1390" s="38">
        <v>0.0</v>
      </c>
      <c r="M1390" s="38">
        <v>0.0</v>
      </c>
      <c r="N1390" s="38">
        <v>0.0</v>
      </c>
      <c r="O1390" s="38">
        <v>0.0</v>
      </c>
      <c r="P1390" s="38">
        <v>0.0</v>
      </c>
      <c r="Q1390" s="38">
        <v>0.0</v>
      </c>
    </row>
    <row r="1391">
      <c r="A1391" s="49">
        <v>46201.0</v>
      </c>
      <c r="B1391" s="50">
        <v>0.9131944444444444</v>
      </c>
      <c r="C1391" s="41" t="s">
        <v>31</v>
      </c>
      <c r="D1391" s="41" t="s">
        <v>95</v>
      </c>
      <c r="E1391" s="41" t="s">
        <v>89</v>
      </c>
      <c r="F1391" s="42">
        <v>0.0</v>
      </c>
      <c r="G1391" s="42">
        <v>0.0</v>
      </c>
      <c r="H1391" s="42">
        <v>0.0</v>
      </c>
      <c r="I1391" s="42">
        <v>0.0</v>
      </c>
      <c r="J1391" s="42">
        <v>0.0</v>
      </c>
      <c r="K1391" s="42">
        <v>0.0</v>
      </c>
      <c r="L1391" s="42">
        <v>0.0</v>
      </c>
      <c r="M1391" s="42">
        <v>0.0</v>
      </c>
      <c r="N1391" s="42">
        <v>0.0</v>
      </c>
      <c r="O1391" s="42">
        <v>0.0</v>
      </c>
      <c r="P1391" s="42">
        <v>0.0</v>
      </c>
      <c r="Q1391" s="42">
        <v>0.0</v>
      </c>
    </row>
    <row r="1392">
      <c r="A1392" s="47">
        <v>46201.0</v>
      </c>
      <c r="B1392" s="48">
        <v>0.9131944444444444</v>
      </c>
      <c r="C1392" s="37" t="s">
        <v>31</v>
      </c>
      <c r="D1392" s="37" t="s">
        <v>95</v>
      </c>
      <c r="E1392" s="37" t="s">
        <v>50</v>
      </c>
      <c r="F1392" s="38">
        <v>1.0</v>
      </c>
      <c r="G1392" s="38">
        <v>1.0</v>
      </c>
      <c r="H1392" s="38">
        <v>0.0</v>
      </c>
      <c r="I1392" s="38">
        <v>0.0</v>
      </c>
      <c r="J1392" s="38">
        <v>0.0</v>
      </c>
      <c r="K1392" s="38">
        <v>0.0</v>
      </c>
      <c r="L1392" s="38">
        <v>0.0</v>
      </c>
      <c r="M1392" s="38">
        <v>0.0</v>
      </c>
      <c r="N1392" s="38">
        <v>0.0</v>
      </c>
      <c r="O1392" s="38">
        <v>0.0</v>
      </c>
      <c r="P1392" s="38">
        <v>0.0</v>
      </c>
      <c r="Q1392" s="38">
        <v>0.0</v>
      </c>
    </row>
    <row r="1393">
      <c r="A1393" s="49">
        <v>46201.0</v>
      </c>
      <c r="B1393" s="50">
        <v>0.9131944444444444</v>
      </c>
      <c r="C1393" s="41" t="s">
        <v>31</v>
      </c>
      <c r="D1393" s="41" t="s">
        <v>95</v>
      </c>
      <c r="E1393" s="41" t="s">
        <v>90</v>
      </c>
      <c r="F1393" s="42">
        <v>0.0</v>
      </c>
      <c r="G1393" s="42">
        <v>0.0</v>
      </c>
      <c r="H1393" s="42">
        <v>0.0</v>
      </c>
      <c r="I1393" s="42">
        <v>0.0</v>
      </c>
      <c r="J1393" s="42">
        <v>0.0</v>
      </c>
      <c r="K1393" s="42">
        <v>0.0</v>
      </c>
      <c r="L1393" s="42">
        <v>0.0</v>
      </c>
      <c r="M1393" s="42">
        <v>0.0</v>
      </c>
      <c r="N1393" s="42">
        <v>0.0</v>
      </c>
      <c r="O1393" s="42">
        <v>0.0</v>
      </c>
      <c r="P1393" s="42">
        <v>0.0</v>
      </c>
      <c r="Q1393" s="42">
        <v>0.0</v>
      </c>
    </row>
    <row r="1394">
      <c r="A1394" s="47">
        <v>46201.0</v>
      </c>
      <c r="B1394" s="48">
        <v>0.9131944444444444</v>
      </c>
      <c r="C1394" s="37" t="s">
        <v>31</v>
      </c>
      <c r="D1394" s="37" t="s">
        <v>95</v>
      </c>
      <c r="E1394" s="37" t="s">
        <v>91</v>
      </c>
      <c r="F1394" s="38">
        <v>0.0</v>
      </c>
      <c r="G1394" s="38">
        <v>0.0</v>
      </c>
      <c r="H1394" s="38">
        <v>0.0</v>
      </c>
      <c r="I1394" s="38">
        <v>0.0</v>
      </c>
      <c r="J1394" s="38">
        <v>0.0</v>
      </c>
      <c r="K1394" s="38">
        <v>0.0</v>
      </c>
      <c r="L1394" s="38">
        <v>0.0</v>
      </c>
      <c r="M1394" s="38">
        <v>0.0</v>
      </c>
      <c r="N1394" s="38">
        <v>0.0</v>
      </c>
      <c r="O1394" s="38">
        <v>0.0</v>
      </c>
      <c r="P1394" s="38">
        <v>0.0</v>
      </c>
      <c r="Q1394" s="38">
        <v>0.0</v>
      </c>
    </row>
    <row r="1395">
      <c r="A1395" s="49">
        <v>46201.0</v>
      </c>
      <c r="B1395" s="50">
        <v>0.9131944444444444</v>
      </c>
      <c r="C1395" s="41" t="s">
        <v>31</v>
      </c>
      <c r="D1395" s="41" t="s">
        <v>95</v>
      </c>
      <c r="E1395" s="41" t="s">
        <v>92</v>
      </c>
      <c r="F1395" s="42">
        <v>0.0</v>
      </c>
      <c r="G1395" s="42">
        <v>0.0</v>
      </c>
      <c r="H1395" s="42">
        <v>0.0</v>
      </c>
      <c r="I1395" s="42">
        <v>0.0</v>
      </c>
      <c r="J1395" s="42">
        <v>0.0</v>
      </c>
      <c r="K1395" s="42">
        <v>0.0</v>
      </c>
      <c r="L1395" s="42">
        <v>0.0</v>
      </c>
      <c r="M1395" s="42">
        <v>0.0</v>
      </c>
      <c r="N1395" s="42">
        <v>0.0</v>
      </c>
      <c r="O1395" s="42">
        <v>0.0</v>
      </c>
      <c r="P1395" s="42">
        <v>0.0</v>
      </c>
      <c r="Q1395" s="42">
        <v>0.0</v>
      </c>
    </row>
    <row r="1396">
      <c r="A1396" s="47">
        <v>46201.0</v>
      </c>
      <c r="B1396" s="48">
        <v>0.9131944444444444</v>
      </c>
      <c r="C1396" s="37" t="s">
        <v>31</v>
      </c>
      <c r="D1396" s="37" t="s">
        <v>95</v>
      </c>
      <c r="E1396" s="37" t="s">
        <v>106</v>
      </c>
      <c r="F1396" s="38">
        <v>0.0</v>
      </c>
      <c r="G1396" s="38">
        <v>0.0</v>
      </c>
      <c r="H1396" s="38">
        <v>0.0</v>
      </c>
      <c r="I1396" s="38">
        <v>0.0</v>
      </c>
      <c r="J1396" s="38">
        <v>0.0</v>
      </c>
      <c r="K1396" s="38">
        <v>0.0</v>
      </c>
      <c r="L1396" s="38">
        <v>0.0</v>
      </c>
      <c r="M1396" s="38">
        <v>0.0</v>
      </c>
      <c r="N1396" s="38">
        <v>0.0</v>
      </c>
      <c r="O1396" s="38">
        <v>0.0</v>
      </c>
      <c r="P1396" s="38">
        <v>0.0</v>
      </c>
      <c r="Q1396" s="38">
        <v>0.0</v>
      </c>
    </row>
    <row r="1397">
      <c r="A1397" s="49">
        <v>46201.0</v>
      </c>
      <c r="B1397" s="50">
        <v>0.9131944444444444</v>
      </c>
      <c r="C1397" s="41" t="s">
        <v>31</v>
      </c>
      <c r="D1397" s="41" t="s">
        <v>95</v>
      </c>
      <c r="E1397" s="41" t="s">
        <v>107</v>
      </c>
      <c r="F1397" s="42">
        <v>0.0</v>
      </c>
      <c r="G1397" s="42">
        <v>0.0</v>
      </c>
      <c r="H1397" s="42">
        <v>0.0</v>
      </c>
      <c r="I1397" s="42">
        <v>0.0</v>
      </c>
      <c r="J1397" s="42">
        <v>0.0</v>
      </c>
      <c r="K1397" s="42">
        <v>0.0</v>
      </c>
      <c r="L1397" s="42">
        <v>0.0</v>
      </c>
      <c r="M1397" s="42">
        <v>0.0</v>
      </c>
      <c r="N1397" s="42">
        <v>0.0</v>
      </c>
      <c r="O1397" s="42">
        <v>0.0</v>
      </c>
      <c r="P1397" s="42">
        <v>0.0</v>
      </c>
      <c r="Q1397" s="42">
        <v>0.0</v>
      </c>
    </row>
    <row r="1398">
      <c r="A1398" s="51">
        <v>46201.0</v>
      </c>
      <c r="B1398" s="52">
        <v>0.9131944444444444</v>
      </c>
      <c r="C1398" s="45" t="s">
        <v>96</v>
      </c>
      <c r="D1398" s="45" t="s">
        <v>75</v>
      </c>
      <c r="E1398" s="45" t="s">
        <v>52</v>
      </c>
      <c r="F1398" s="46">
        <v>13.0</v>
      </c>
      <c r="G1398" s="46">
        <v>4.0</v>
      </c>
      <c r="H1398" s="46">
        <v>0.0</v>
      </c>
      <c r="I1398" s="46">
        <v>1.0</v>
      </c>
      <c r="J1398" s="46">
        <v>2.0</v>
      </c>
      <c r="K1398" s="46">
        <v>11.0</v>
      </c>
      <c r="L1398" s="46">
        <v>13.0</v>
      </c>
      <c r="M1398" s="46">
        <v>0.0</v>
      </c>
      <c r="N1398" s="46">
        <v>0.0</v>
      </c>
      <c r="O1398" s="46">
        <v>0.0</v>
      </c>
      <c r="P1398" s="46">
        <v>3.0</v>
      </c>
      <c r="Q1398" s="46">
        <v>4.0</v>
      </c>
    </row>
    <row r="1399">
      <c r="A1399" s="51">
        <v>46201.0</v>
      </c>
      <c r="B1399" s="52">
        <v>0.9131944444444444</v>
      </c>
      <c r="C1399" s="45" t="s">
        <v>96</v>
      </c>
      <c r="D1399" s="45" t="s">
        <v>75</v>
      </c>
      <c r="E1399" s="45" t="s">
        <v>88</v>
      </c>
      <c r="F1399" s="46">
        <v>0.0</v>
      </c>
      <c r="G1399" s="46">
        <v>0.0</v>
      </c>
      <c r="H1399" s="46">
        <v>0.0</v>
      </c>
      <c r="I1399" s="46">
        <v>0.0</v>
      </c>
      <c r="J1399" s="46">
        <v>0.0</v>
      </c>
      <c r="K1399" s="46">
        <v>0.0</v>
      </c>
      <c r="L1399" s="46">
        <v>0.0</v>
      </c>
      <c r="M1399" s="46">
        <v>0.0</v>
      </c>
      <c r="N1399" s="46">
        <v>0.0</v>
      </c>
      <c r="O1399" s="46">
        <v>0.0</v>
      </c>
      <c r="P1399" s="46">
        <v>0.0</v>
      </c>
      <c r="Q1399" s="46">
        <v>0.0</v>
      </c>
    </row>
    <row r="1400">
      <c r="A1400" s="51">
        <v>46201.0</v>
      </c>
      <c r="B1400" s="52">
        <v>0.9131944444444444</v>
      </c>
      <c r="C1400" s="45" t="s">
        <v>96</v>
      </c>
      <c r="D1400" s="45" t="s">
        <v>75</v>
      </c>
      <c r="E1400" s="45" t="s">
        <v>89</v>
      </c>
      <c r="F1400" s="46">
        <v>1.0</v>
      </c>
      <c r="G1400" s="46">
        <v>0.0</v>
      </c>
      <c r="H1400" s="46">
        <v>0.0</v>
      </c>
      <c r="I1400" s="46">
        <v>0.0</v>
      </c>
      <c r="J1400" s="46">
        <v>0.0</v>
      </c>
      <c r="K1400" s="46">
        <v>1.0</v>
      </c>
      <c r="L1400" s="46">
        <v>1.0</v>
      </c>
      <c r="M1400" s="46">
        <v>0.0</v>
      </c>
      <c r="N1400" s="46">
        <v>0.0</v>
      </c>
      <c r="O1400" s="46">
        <v>0.0</v>
      </c>
      <c r="P1400" s="46">
        <v>0.0</v>
      </c>
      <c r="Q1400" s="46">
        <v>0.0</v>
      </c>
    </row>
    <row r="1401">
      <c r="A1401" s="51">
        <v>46201.0</v>
      </c>
      <c r="B1401" s="52">
        <v>0.9131944444444444</v>
      </c>
      <c r="C1401" s="45" t="s">
        <v>96</v>
      </c>
      <c r="D1401" s="45" t="s">
        <v>75</v>
      </c>
      <c r="E1401" s="45" t="s">
        <v>50</v>
      </c>
      <c r="F1401" s="46">
        <v>1.0</v>
      </c>
      <c r="G1401" s="46">
        <v>1.0</v>
      </c>
      <c r="H1401" s="46">
        <v>0.0</v>
      </c>
      <c r="I1401" s="46">
        <v>0.0</v>
      </c>
      <c r="J1401" s="46">
        <v>0.0</v>
      </c>
      <c r="K1401" s="46">
        <v>0.0</v>
      </c>
      <c r="L1401" s="46">
        <v>0.0</v>
      </c>
      <c r="M1401" s="46">
        <v>0.0</v>
      </c>
      <c r="N1401" s="46">
        <v>0.0</v>
      </c>
      <c r="O1401" s="46">
        <v>0.0</v>
      </c>
      <c r="P1401" s="46">
        <v>0.0</v>
      </c>
      <c r="Q1401" s="46">
        <v>0.0</v>
      </c>
    </row>
    <row r="1402">
      <c r="A1402" s="51">
        <v>46201.0</v>
      </c>
      <c r="B1402" s="52">
        <v>0.9131944444444444</v>
      </c>
      <c r="C1402" s="45" t="s">
        <v>96</v>
      </c>
      <c r="D1402" s="45" t="s">
        <v>75</v>
      </c>
      <c r="E1402" s="45" t="s">
        <v>90</v>
      </c>
      <c r="F1402" s="46">
        <v>0.0</v>
      </c>
      <c r="G1402" s="46">
        <v>0.0</v>
      </c>
      <c r="H1402" s="46">
        <v>0.0</v>
      </c>
      <c r="I1402" s="46">
        <v>0.0</v>
      </c>
      <c r="J1402" s="46">
        <v>0.0</v>
      </c>
      <c r="K1402" s="46">
        <v>0.0</v>
      </c>
      <c r="L1402" s="46">
        <v>0.0</v>
      </c>
      <c r="M1402" s="46">
        <v>0.0</v>
      </c>
      <c r="N1402" s="46">
        <v>0.0</v>
      </c>
      <c r="O1402" s="46">
        <v>0.0</v>
      </c>
      <c r="P1402" s="46">
        <v>0.0</v>
      </c>
      <c r="Q1402" s="46">
        <v>0.0</v>
      </c>
    </row>
    <row r="1403">
      <c r="A1403" s="51">
        <v>46201.0</v>
      </c>
      <c r="B1403" s="52">
        <v>0.9131944444444444</v>
      </c>
      <c r="C1403" s="45" t="s">
        <v>96</v>
      </c>
      <c r="D1403" s="45" t="s">
        <v>75</v>
      </c>
      <c r="E1403" s="45" t="s">
        <v>91</v>
      </c>
      <c r="F1403" s="46">
        <v>0.0</v>
      </c>
      <c r="G1403" s="46">
        <v>0.0</v>
      </c>
      <c r="H1403" s="46">
        <v>0.0</v>
      </c>
      <c r="I1403" s="46">
        <v>0.0</v>
      </c>
      <c r="J1403" s="46">
        <v>0.0</v>
      </c>
      <c r="K1403" s="46">
        <v>0.0</v>
      </c>
      <c r="L1403" s="46">
        <v>0.0</v>
      </c>
      <c r="M1403" s="46">
        <v>0.0</v>
      </c>
      <c r="N1403" s="46">
        <v>0.0</v>
      </c>
      <c r="O1403" s="46">
        <v>0.0</v>
      </c>
      <c r="P1403" s="46">
        <v>0.0</v>
      </c>
      <c r="Q1403" s="46">
        <v>0.0</v>
      </c>
    </row>
    <row r="1404">
      <c r="A1404" s="51">
        <v>46201.0</v>
      </c>
      <c r="B1404" s="52">
        <v>0.9131944444444444</v>
      </c>
      <c r="C1404" s="45" t="s">
        <v>96</v>
      </c>
      <c r="D1404" s="45" t="s">
        <v>75</v>
      </c>
      <c r="E1404" s="45" t="s">
        <v>92</v>
      </c>
      <c r="F1404" s="46">
        <v>0.0</v>
      </c>
      <c r="G1404" s="46">
        <v>0.0</v>
      </c>
      <c r="H1404" s="46">
        <v>0.0</v>
      </c>
      <c r="I1404" s="46">
        <v>0.0</v>
      </c>
      <c r="J1404" s="46">
        <v>0.0</v>
      </c>
      <c r="K1404" s="46">
        <v>0.0</v>
      </c>
      <c r="L1404" s="46">
        <v>0.0</v>
      </c>
      <c r="M1404" s="46">
        <v>0.0</v>
      </c>
      <c r="N1404" s="46">
        <v>0.0</v>
      </c>
      <c r="O1404" s="46">
        <v>0.0</v>
      </c>
      <c r="P1404" s="46">
        <v>0.0</v>
      </c>
      <c r="Q1404" s="46">
        <v>0.0</v>
      </c>
    </row>
    <row r="1405">
      <c r="A1405" s="51">
        <v>46201.0</v>
      </c>
      <c r="B1405" s="52">
        <v>0.9131944444444444</v>
      </c>
      <c r="C1405" s="45" t="s">
        <v>96</v>
      </c>
      <c r="D1405" s="45" t="s">
        <v>75</v>
      </c>
      <c r="E1405" s="45" t="s">
        <v>106</v>
      </c>
      <c r="F1405" s="46">
        <v>2.0</v>
      </c>
      <c r="G1405" s="46">
        <v>0.0</v>
      </c>
      <c r="H1405" s="46">
        <v>0.0</v>
      </c>
      <c r="I1405" s="46">
        <v>0.0</v>
      </c>
      <c r="J1405" s="46">
        <v>1.0</v>
      </c>
      <c r="K1405" s="46">
        <v>1.0</v>
      </c>
      <c r="L1405" s="46">
        <v>2.0</v>
      </c>
      <c r="M1405" s="46">
        <v>0.0</v>
      </c>
      <c r="N1405" s="46">
        <v>0.0</v>
      </c>
      <c r="O1405" s="46">
        <v>0.0</v>
      </c>
      <c r="P1405" s="46">
        <v>0.0</v>
      </c>
      <c r="Q1405" s="46">
        <v>0.0</v>
      </c>
    </row>
    <row r="1406">
      <c r="A1406" s="51">
        <v>46201.0</v>
      </c>
      <c r="B1406" s="52">
        <v>0.9131944444444444</v>
      </c>
      <c r="C1406" s="45" t="s">
        <v>96</v>
      </c>
      <c r="D1406" s="45" t="s">
        <v>75</v>
      </c>
      <c r="E1406" s="45" t="s">
        <v>107</v>
      </c>
      <c r="F1406" s="46">
        <v>0.0</v>
      </c>
      <c r="G1406" s="46">
        <v>0.0</v>
      </c>
      <c r="H1406" s="46">
        <v>0.0</v>
      </c>
      <c r="I1406" s="46">
        <v>0.0</v>
      </c>
      <c r="J1406" s="46">
        <v>0.0</v>
      </c>
      <c r="K1406" s="46">
        <v>0.0</v>
      </c>
      <c r="L1406" s="46">
        <v>0.0</v>
      </c>
      <c r="M1406" s="46">
        <v>0.0</v>
      </c>
      <c r="N1406" s="46">
        <v>0.0</v>
      </c>
      <c r="O1406" s="46">
        <v>0.0</v>
      </c>
      <c r="P1406" s="46">
        <v>0.0</v>
      </c>
      <c r="Q1406" s="46">
        <v>0.0</v>
      </c>
    </row>
    <row r="1407">
      <c r="A1407" s="49">
        <v>46201.0</v>
      </c>
      <c r="B1407" s="50">
        <v>0.9180555555555555</v>
      </c>
      <c r="C1407" s="41" t="s">
        <v>15</v>
      </c>
      <c r="D1407" s="41" t="s">
        <v>87</v>
      </c>
      <c r="E1407" s="41" t="s">
        <v>52</v>
      </c>
      <c r="F1407" s="42">
        <v>5.0</v>
      </c>
      <c r="G1407" s="42">
        <v>1.0</v>
      </c>
      <c r="H1407" s="42">
        <v>0.0</v>
      </c>
      <c r="I1407" s="42">
        <v>1.0</v>
      </c>
      <c r="J1407" s="42">
        <v>1.0</v>
      </c>
      <c r="K1407" s="42">
        <v>3.0</v>
      </c>
      <c r="L1407" s="42">
        <v>5.0</v>
      </c>
      <c r="M1407" s="42">
        <v>0.0</v>
      </c>
      <c r="N1407" s="42">
        <v>0.0</v>
      </c>
      <c r="O1407" s="42">
        <v>0.0</v>
      </c>
      <c r="P1407" s="42">
        <v>0.0</v>
      </c>
      <c r="Q1407" s="42">
        <v>1.0</v>
      </c>
    </row>
    <row r="1408">
      <c r="A1408" s="47">
        <v>46201.0</v>
      </c>
      <c r="B1408" s="48">
        <v>0.9180555555555555</v>
      </c>
      <c r="C1408" s="37" t="s">
        <v>15</v>
      </c>
      <c r="D1408" s="37" t="s">
        <v>87</v>
      </c>
      <c r="E1408" s="37" t="s">
        <v>88</v>
      </c>
      <c r="F1408" s="38">
        <v>0.0</v>
      </c>
      <c r="G1408" s="38">
        <v>0.0</v>
      </c>
      <c r="H1408" s="38">
        <v>0.0</v>
      </c>
      <c r="I1408" s="38">
        <v>0.0</v>
      </c>
      <c r="J1408" s="38">
        <v>0.0</v>
      </c>
      <c r="K1408" s="38">
        <v>0.0</v>
      </c>
      <c r="L1408" s="38">
        <v>0.0</v>
      </c>
      <c r="M1408" s="38">
        <v>0.0</v>
      </c>
      <c r="N1408" s="38">
        <v>0.0</v>
      </c>
      <c r="O1408" s="38">
        <v>0.0</v>
      </c>
      <c r="P1408" s="38">
        <v>0.0</v>
      </c>
      <c r="Q1408" s="38">
        <v>0.0</v>
      </c>
    </row>
    <row r="1409">
      <c r="A1409" s="49">
        <v>46201.0</v>
      </c>
      <c r="B1409" s="50">
        <v>0.9180555555555555</v>
      </c>
      <c r="C1409" s="41" t="s">
        <v>15</v>
      </c>
      <c r="D1409" s="41" t="s">
        <v>87</v>
      </c>
      <c r="E1409" s="41" t="s">
        <v>89</v>
      </c>
      <c r="F1409" s="42">
        <v>0.0</v>
      </c>
      <c r="G1409" s="42">
        <v>0.0</v>
      </c>
      <c r="H1409" s="42">
        <v>0.0</v>
      </c>
      <c r="I1409" s="42">
        <v>0.0</v>
      </c>
      <c r="J1409" s="42">
        <v>0.0</v>
      </c>
      <c r="K1409" s="42">
        <v>0.0</v>
      </c>
      <c r="L1409" s="42">
        <v>0.0</v>
      </c>
      <c r="M1409" s="42">
        <v>0.0</v>
      </c>
      <c r="N1409" s="42">
        <v>0.0</v>
      </c>
      <c r="O1409" s="42">
        <v>0.0</v>
      </c>
      <c r="P1409" s="42">
        <v>0.0</v>
      </c>
      <c r="Q1409" s="42">
        <v>0.0</v>
      </c>
    </row>
    <row r="1410">
      <c r="A1410" s="47">
        <v>46201.0</v>
      </c>
      <c r="B1410" s="48">
        <v>0.9180555555555555</v>
      </c>
      <c r="C1410" s="37" t="s">
        <v>15</v>
      </c>
      <c r="D1410" s="37" t="s">
        <v>87</v>
      </c>
      <c r="E1410" s="37" t="s">
        <v>50</v>
      </c>
      <c r="F1410" s="38">
        <v>0.0</v>
      </c>
      <c r="G1410" s="38">
        <v>0.0</v>
      </c>
      <c r="H1410" s="38">
        <v>0.0</v>
      </c>
      <c r="I1410" s="38">
        <v>0.0</v>
      </c>
      <c r="J1410" s="38">
        <v>0.0</v>
      </c>
      <c r="K1410" s="38">
        <v>0.0</v>
      </c>
      <c r="L1410" s="38">
        <v>0.0</v>
      </c>
      <c r="M1410" s="38">
        <v>0.0</v>
      </c>
      <c r="N1410" s="38">
        <v>0.0</v>
      </c>
      <c r="O1410" s="38">
        <v>0.0</v>
      </c>
      <c r="P1410" s="38">
        <v>0.0</v>
      </c>
      <c r="Q1410" s="38">
        <v>0.0</v>
      </c>
    </row>
    <row r="1411">
      <c r="A1411" s="49">
        <v>46201.0</v>
      </c>
      <c r="B1411" s="50">
        <v>0.9180555555555555</v>
      </c>
      <c r="C1411" s="41" t="s">
        <v>15</v>
      </c>
      <c r="D1411" s="41" t="s">
        <v>87</v>
      </c>
      <c r="E1411" s="41" t="s">
        <v>90</v>
      </c>
      <c r="F1411" s="42">
        <v>0.0</v>
      </c>
      <c r="G1411" s="42">
        <v>0.0</v>
      </c>
      <c r="H1411" s="42">
        <v>0.0</v>
      </c>
      <c r="I1411" s="42">
        <v>0.0</v>
      </c>
      <c r="J1411" s="42">
        <v>0.0</v>
      </c>
      <c r="K1411" s="42">
        <v>0.0</v>
      </c>
      <c r="L1411" s="42">
        <v>0.0</v>
      </c>
      <c r="M1411" s="42">
        <v>0.0</v>
      </c>
      <c r="N1411" s="42">
        <v>0.0</v>
      </c>
      <c r="O1411" s="42">
        <v>0.0</v>
      </c>
      <c r="P1411" s="42">
        <v>0.0</v>
      </c>
      <c r="Q1411" s="42">
        <v>0.0</v>
      </c>
    </row>
    <row r="1412">
      <c r="A1412" s="47">
        <v>46201.0</v>
      </c>
      <c r="B1412" s="48">
        <v>0.9180555555555555</v>
      </c>
      <c r="C1412" s="37" t="s">
        <v>15</v>
      </c>
      <c r="D1412" s="37" t="s">
        <v>87</v>
      </c>
      <c r="E1412" s="37" t="s">
        <v>91</v>
      </c>
      <c r="F1412" s="38">
        <v>0.0</v>
      </c>
      <c r="G1412" s="38">
        <v>0.0</v>
      </c>
      <c r="H1412" s="38">
        <v>0.0</v>
      </c>
      <c r="I1412" s="38">
        <v>0.0</v>
      </c>
      <c r="J1412" s="38">
        <v>0.0</v>
      </c>
      <c r="K1412" s="38">
        <v>0.0</v>
      </c>
      <c r="L1412" s="38">
        <v>0.0</v>
      </c>
      <c r="M1412" s="38">
        <v>0.0</v>
      </c>
      <c r="N1412" s="38">
        <v>0.0</v>
      </c>
      <c r="O1412" s="38">
        <v>0.0</v>
      </c>
      <c r="P1412" s="38">
        <v>0.0</v>
      </c>
      <c r="Q1412" s="38">
        <v>0.0</v>
      </c>
    </row>
    <row r="1413">
      <c r="A1413" s="49">
        <v>46201.0</v>
      </c>
      <c r="B1413" s="50">
        <v>0.9180555555555555</v>
      </c>
      <c r="C1413" s="41" t="s">
        <v>15</v>
      </c>
      <c r="D1413" s="41" t="s">
        <v>87</v>
      </c>
      <c r="E1413" s="41" t="s">
        <v>92</v>
      </c>
      <c r="F1413" s="42">
        <v>0.0</v>
      </c>
      <c r="G1413" s="42">
        <v>0.0</v>
      </c>
      <c r="H1413" s="42">
        <v>0.0</v>
      </c>
      <c r="I1413" s="42">
        <v>0.0</v>
      </c>
      <c r="J1413" s="42">
        <v>0.0</v>
      </c>
      <c r="K1413" s="42">
        <v>0.0</v>
      </c>
      <c r="L1413" s="42">
        <v>0.0</v>
      </c>
      <c r="M1413" s="42">
        <v>0.0</v>
      </c>
      <c r="N1413" s="42">
        <v>0.0</v>
      </c>
      <c r="O1413" s="42">
        <v>0.0</v>
      </c>
      <c r="P1413" s="42">
        <v>0.0</v>
      </c>
      <c r="Q1413" s="42">
        <v>0.0</v>
      </c>
    </row>
    <row r="1414">
      <c r="A1414" s="47">
        <v>46201.0</v>
      </c>
      <c r="B1414" s="48">
        <v>0.9180555555555555</v>
      </c>
      <c r="C1414" s="37" t="s">
        <v>15</v>
      </c>
      <c r="D1414" s="37" t="s">
        <v>87</v>
      </c>
      <c r="E1414" s="37" t="s">
        <v>106</v>
      </c>
      <c r="F1414" s="38">
        <v>0.0</v>
      </c>
      <c r="G1414" s="38">
        <v>0.0</v>
      </c>
      <c r="H1414" s="38">
        <v>0.0</v>
      </c>
      <c r="I1414" s="38">
        <v>0.0</v>
      </c>
      <c r="J1414" s="38">
        <v>0.0</v>
      </c>
      <c r="K1414" s="38">
        <v>0.0</v>
      </c>
      <c r="L1414" s="38">
        <v>0.0</v>
      </c>
      <c r="M1414" s="38">
        <v>0.0</v>
      </c>
      <c r="N1414" s="38">
        <v>0.0</v>
      </c>
      <c r="O1414" s="38">
        <v>0.0</v>
      </c>
      <c r="P1414" s="38">
        <v>0.0</v>
      </c>
      <c r="Q1414" s="38">
        <v>0.0</v>
      </c>
    </row>
    <row r="1415">
      <c r="A1415" s="49">
        <v>46201.0</v>
      </c>
      <c r="B1415" s="50">
        <v>0.9180555555555555</v>
      </c>
      <c r="C1415" s="41" t="s">
        <v>15</v>
      </c>
      <c r="D1415" s="41" t="s">
        <v>87</v>
      </c>
      <c r="E1415" s="41" t="s">
        <v>107</v>
      </c>
      <c r="F1415" s="42">
        <v>0.0</v>
      </c>
      <c r="G1415" s="42">
        <v>0.0</v>
      </c>
      <c r="H1415" s="42">
        <v>0.0</v>
      </c>
      <c r="I1415" s="42">
        <v>0.0</v>
      </c>
      <c r="J1415" s="42">
        <v>0.0</v>
      </c>
      <c r="K1415" s="42">
        <v>0.0</v>
      </c>
      <c r="L1415" s="42">
        <v>0.0</v>
      </c>
      <c r="M1415" s="42">
        <v>0.0</v>
      </c>
      <c r="N1415" s="42">
        <v>0.0</v>
      </c>
      <c r="O1415" s="42">
        <v>0.0</v>
      </c>
      <c r="P1415" s="42">
        <v>0.0</v>
      </c>
      <c r="Q1415" s="42">
        <v>0.0</v>
      </c>
    </row>
    <row r="1416">
      <c r="A1416" s="47">
        <v>46201.0</v>
      </c>
      <c r="B1416" s="48">
        <v>0.9180555555555555</v>
      </c>
      <c r="C1416" s="37" t="s">
        <v>23</v>
      </c>
      <c r="D1416" s="37" t="s">
        <v>93</v>
      </c>
      <c r="E1416" s="37" t="s">
        <v>52</v>
      </c>
      <c r="F1416" s="38">
        <v>1.0</v>
      </c>
      <c r="G1416" s="38">
        <v>1.0</v>
      </c>
      <c r="H1416" s="38">
        <v>0.0</v>
      </c>
      <c r="I1416" s="38">
        <v>0.0</v>
      </c>
      <c r="J1416" s="38">
        <v>0.0</v>
      </c>
      <c r="K1416" s="38">
        <v>1.0</v>
      </c>
      <c r="L1416" s="38">
        <v>1.0</v>
      </c>
      <c r="M1416" s="38">
        <v>0.0</v>
      </c>
      <c r="N1416" s="38">
        <v>0.0</v>
      </c>
      <c r="O1416" s="38">
        <v>0.0</v>
      </c>
      <c r="P1416" s="38">
        <v>1.0</v>
      </c>
      <c r="Q1416" s="38">
        <v>1.0</v>
      </c>
    </row>
    <row r="1417">
      <c r="A1417" s="49">
        <v>46201.0</v>
      </c>
      <c r="B1417" s="50">
        <v>0.9180555555555555</v>
      </c>
      <c r="C1417" s="41" t="s">
        <v>23</v>
      </c>
      <c r="D1417" s="41" t="s">
        <v>93</v>
      </c>
      <c r="E1417" s="41" t="s">
        <v>88</v>
      </c>
      <c r="F1417" s="42">
        <v>0.0</v>
      </c>
      <c r="G1417" s="42">
        <v>0.0</v>
      </c>
      <c r="H1417" s="42">
        <v>0.0</v>
      </c>
      <c r="I1417" s="42">
        <v>0.0</v>
      </c>
      <c r="J1417" s="42">
        <v>0.0</v>
      </c>
      <c r="K1417" s="42">
        <v>0.0</v>
      </c>
      <c r="L1417" s="42">
        <v>0.0</v>
      </c>
      <c r="M1417" s="42">
        <v>0.0</v>
      </c>
      <c r="N1417" s="42">
        <v>0.0</v>
      </c>
      <c r="O1417" s="42">
        <v>0.0</v>
      </c>
      <c r="P1417" s="42">
        <v>0.0</v>
      </c>
      <c r="Q1417" s="42">
        <v>0.0</v>
      </c>
    </row>
    <row r="1418">
      <c r="A1418" s="47">
        <v>46201.0</v>
      </c>
      <c r="B1418" s="48">
        <v>0.9180555555555555</v>
      </c>
      <c r="C1418" s="37" t="s">
        <v>23</v>
      </c>
      <c r="D1418" s="37" t="s">
        <v>93</v>
      </c>
      <c r="E1418" s="37" t="s">
        <v>89</v>
      </c>
      <c r="F1418" s="38">
        <v>0.0</v>
      </c>
      <c r="G1418" s="38">
        <v>0.0</v>
      </c>
      <c r="H1418" s="38">
        <v>0.0</v>
      </c>
      <c r="I1418" s="38">
        <v>0.0</v>
      </c>
      <c r="J1418" s="38">
        <v>0.0</v>
      </c>
      <c r="K1418" s="38">
        <v>0.0</v>
      </c>
      <c r="L1418" s="38">
        <v>0.0</v>
      </c>
      <c r="M1418" s="38">
        <v>0.0</v>
      </c>
      <c r="N1418" s="38">
        <v>0.0</v>
      </c>
      <c r="O1418" s="38">
        <v>0.0</v>
      </c>
      <c r="P1418" s="38">
        <v>0.0</v>
      </c>
      <c r="Q1418" s="38">
        <v>0.0</v>
      </c>
    </row>
    <row r="1419">
      <c r="A1419" s="49">
        <v>46201.0</v>
      </c>
      <c r="B1419" s="50">
        <v>0.9180555555555555</v>
      </c>
      <c r="C1419" s="41" t="s">
        <v>23</v>
      </c>
      <c r="D1419" s="41" t="s">
        <v>93</v>
      </c>
      <c r="E1419" s="41" t="s">
        <v>50</v>
      </c>
      <c r="F1419" s="42">
        <v>0.0</v>
      </c>
      <c r="G1419" s="42">
        <v>0.0</v>
      </c>
      <c r="H1419" s="42">
        <v>0.0</v>
      </c>
      <c r="I1419" s="42">
        <v>0.0</v>
      </c>
      <c r="J1419" s="42">
        <v>0.0</v>
      </c>
      <c r="K1419" s="42">
        <v>0.0</v>
      </c>
      <c r="L1419" s="42">
        <v>0.0</v>
      </c>
      <c r="M1419" s="42">
        <v>0.0</v>
      </c>
      <c r="N1419" s="42">
        <v>0.0</v>
      </c>
      <c r="O1419" s="42">
        <v>0.0</v>
      </c>
      <c r="P1419" s="42">
        <v>0.0</v>
      </c>
      <c r="Q1419" s="42">
        <v>0.0</v>
      </c>
    </row>
    <row r="1420">
      <c r="A1420" s="47">
        <v>46201.0</v>
      </c>
      <c r="B1420" s="48">
        <v>0.9180555555555555</v>
      </c>
      <c r="C1420" s="37" t="s">
        <v>23</v>
      </c>
      <c r="D1420" s="37" t="s">
        <v>93</v>
      </c>
      <c r="E1420" s="37" t="s">
        <v>90</v>
      </c>
      <c r="F1420" s="38">
        <v>0.0</v>
      </c>
      <c r="G1420" s="38">
        <v>0.0</v>
      </c>
      <c r="H1420" s="38">
        <v>0.0</v>
      </c>
      <c r="I1420" s="38">
        <v>0.0</v>
      </c>
      <c r="J1420" s="38">
        <v>0.0</v>
      </c>
      <c r="K1420" s="38">
        <v>0.0</v>
      </c>
      <c r="L1420" s="38">
        <v>0.0</v>
      </c>
      <c r="M1420" s="38">
        <v>0.0</v>
      </c>
      <c r="N1420" s="38">
        <v>0.0</v>
      </c>
      <c r="O1420" s="38">
        <v>0.0</v>
      </c>
      <c r="P1420" s="38">
        <v>0.0</v>
      </c>
      <c r="Q1420" s="38">
        <v>0.0</v>
      </c>
    </row>
    <row r="1421">
      <c r="A1421" s="49">
        <v>46201.0</v>
      </c>
      <c r="B1421" s="50">
        <v>0.9180555555555555</v>
      </c>
      <c r="C1421" s="41" t="s">
        <v>23</v>
      </c>
      <c r="D1421" s="41" t="s">
        <v>93</v>
      </c>
      <c r="E1421" s="41" t="s">
        <v>91</v>
      </c>
      <c r="F1421" s="42">
        <v>0.0</v>
      </c>
      <c r="G1421" s="42">
        <v>0.0</v>
      </c>
      <c r="H1421" s="42">
        <v>0.0</v>
      </c>
      <c r="I1421" s="42">
        <v>0.0</v>
      </c>
      <c r="J1421" s="42">
        <v>0.0</v>
      </c>
      <c r="K1421" s="42">
        <v>0.0</v>
      </c>
      <c r="L1421" s="42">
        <v>0.0</v>
      </c>
      <c r="M1421" s="42">
        <v>0.0</v>
      </c>
      <c r="N1421" s="42">
        <v>0.0</v>
      </c>
      <c r="O1421" s="42">
        <v>0.0</v>
      </c>
      <c r="P1421" s="42">
        <v>0.0</v>
      </c>
      <c r="Q1421" s="42">
        <v>0.0</v>
      </c>
    </row>
    <row r="1422">
      <c r="A1422" s="47">
        <v>46201.0</v>
      </c>
      <c r="B1422" s="48">
        <v>0.9180555555555555</v>
      </c>
      <c r="C1422" s="37" t="s">
        <v>23</v>
      </c>
      <c r="D1422" s="37" t="s">
        <v>93</v>
      </c>
      <c r="E1422" s="37" t="s">
        <v>92</v>
      </c>
      <c r="F1422" s="38">
        <v>0.0</v>
      </c>
      <c r="G1422" s="38">
        <v>0.0</v>
      </c>
      <c r="H1422" s="38">
        <v>0.0</v>
      </c>
      <c r="I1422" s="38">
        <v>0.0</v>
      </c>
      <c r="J1422" s="38">
        <v>0.0</v>
      </c>
      <c r="K1422" s="38">
        <v>0.0</v>
      </c>
      <c r="L1422" s="38">
        <v>0.0</v>
      </c>
      <c r="M1422" s="38">
        <v>0.0</v>
      </c>
      <c r="N1422" s="38">
        <v>0.0</v>
      </c>
      <c r="O1422" s="38">
        <v>0.0</v>
      </c>
      <c r="P1422" s="38">
        <v>0.0</v>
      </c>
      <c r="Q1422" s="38">
        <v>0.0</v>
      </c>
    </row>
    <row r="1423">
      <c r="A1423" s="49">
        <v>46201.0</v>
      </c>
      <c r="B1423" s="50">
        <v>0.9180555555555555</v>
      </c>
      <c r="C1423" s="41" t="s">
        <v>23</v>
      </c>
      <c r="D1423" s="41" t="s">
        <v>93</v>
      </c>
      <c r="E1423" s="41" t="s">
        <v>106</v>
      </c>
      <c r="F1423" s="42">
        <v>0.0</v>
      </c>
      <c r="G1423" s="42">
        <v>0.0</v>
      </c>
      <c r="H1423" s="42">
        <v>0.0</v>
      </c>
      <c r="I1423" s="42">
        <v>0.0</v>
      </c>
      <c r="J1423" s="42">
        <v>0.0</v>
      </c>
      <c r="K1423" s="42">
        <v>0.0</v>
      </c>
      <c r="L1423" s="42">
        <v>0.0</v>
      </c>
      <c r="M1423" s="42">
        <v>0.0</v>
      </c>
      <c r="N1423" s="42">
        <v>0.0</v>
      </c>
      <c r="O1423" s="42">
        <v>0.0</v>
      </c>
      <c r="P1423" s="42">
        <v>0.0</v>
      </c>
      <c r="Q1423" s="42">
        <v>0.0</v>
      </c>
    </row>
    <row r="1424">
      <c r="A1424" s="47">
        <v>46201.0</v>
      </c>
      <c r="B1424" s="48">
        <v>0.9180555555555555</v>
      </c>
      <c r="C1424" s="37" t="s">
        <v>23</v>
      </c>
      <c r="D1424" s="37" t="s">
        <v>93</v>
      </c>
      <c r="E1424" s="37" t="s">
        <v>107</v>
      </c>
      <c r="F1424" s="38">
        <v>0.0</v>
      </c>
      <c r="G1424" s="38">
        <v>0.0</v>
      </c>
      <c r="H1424" s="38">
        <v>0.0</v>
      </c>
      <c r="I1424" s="38">
        <v>0.0</v>
      </c>
      <c r="J1424" s="38">
        <v>0.0</v>
      </c>
      <c r="K1424" s="38">
        <v>0.0</v>
      </c>
      <c r="L1424" s="38">
        <v>0.0</v>
      </c>
      <c r="M1424" s="38">
        <v>0.0</v>
      </c>
      <c r="N1424" s="38">
        <v>0.0</v>
      </c>
      <c r="O1424" s="38">
        <v>0.0</v>
      </c>
      <c r="P1424" s="38">
        <v>0.0</v>
      </c>
      <c r="Q1424" s="38">
        <v>0.0</v>
      </c>
    </row>
    <row r="1425">
      <c r="A1425" s="49">
        <v>46201.0</v>
      </c>
      <c r="B1425" s="50">
        <v>0.9180555555555555</v>
      </c>
      <c r="C1425" s="41" t="s">
        <v>29</v>
      </c>
      <c r="D1425" s="41" t="s">
        <v>94</v>
      </c>
      <c r="E1425" s="41" t="s">
        <v>52</v>
      </c>
      <c r="F1425" s="42">
        <v>7.0</v>
      </c>
      <c r="G1425" s="42">
        <v>2.0</v>
      </c>
      <c r="H1425" s="42">
        <v>0.0</v>
      </c>
      <c r="I1425" s="42">
        <v>0.0</v>
      </c>
      <c r="J1425" s="42">
        <v>1.0</v>
      </c>
      <c r="K1425" s="42">
        <v>7.0</v>
      </c>
      <c r="L1425" s="42">
        <v>7.0</v>
      </c>
      <c r="M1425" s="42">
        <v>0.0</v>
      </c>
      <c r="N1425" s="42">
        <v>0.0</v>
      </c>
      <c r="O1425" s="42">
        <v>0.0</v>
      </c>
      <c r="P1425" s="42">
        <v>2.0</v>
      </c>
      <c r="Q1425" s="42">
        <v>2.0</v>
      </c>
    </row>
    <row r="1426">
      <c r="A1426" s="47">
        <v>46201.0</v>
      </c>
      <c r="B1426" s="48">
        <v>0.9180555555555555</v>
      </c>
      <c r="C1426" s="37" t="s">
        <v>29</v>
      </c>
      <c r="D1426" s="37" t="s">
        <v>94</v>
      </c>
      <c r="E1426" s="37" t="s">
        <v>88</v>
      </c>
      <c r="F1426" s="38">
        <v>0.0</v>
      </c>
      <c r="G1426" s="38">
        <v>0.0</v>
      </c>
      <c r="H1426" s="38">
        <v>0.0</v>
      </c>
      <c r="I1426" s="38">
        <v>0.0</v>
      </c>
      <c r="J1426" s="38">
        <v>0.0</v>
      </c>
      <c r="K1426" s="38">
        <v>0.0</v>
      </c>
      <c r="L1426" s="38">
        <v>0.0</v>
      </c>
      <c r="M1426" s="38">
        <v>0.0</v>
      </c>
      <c r="N1426" s="38">
        <v>0.0</v>
      </c>
      <c r="O1426" s="38">
        <v>0.0</v>
      </c>
      <c r="P1426" s="38">
        <v>0.0</v>
      </c>
      <c r="Q1426" s="38">
        <v>0.0</v>
      </c>
    </row>
    <row r="1427">
      <c r="A1427" s="49">
        <v>46201.0</v>
      </c>
      <c r="B1427" s="50">
        <v>0.9180555555555555</v>
      </c>
      <c r="C1427" s="41" t="s">
        <v>29</v>
      </c>
      <c r="D1427" s="41" t="s">
        <v>94</v>
      </c>
      <c r="E1427" s="41" t="s">
        <v>89</v>
      </c>
      <c r="F1427" s="42">
        <v>1.0</v>
      </c>
      <c r="G1427" s="42">
        <v>0.0</v>
      </c>
      <c r="H1427" s="42">
        <v>0.0</v>
      </c>
      <c r="I1427" s="42">
        <v>0.0</v>
      </c>
      <c r="J1427" s="42">
        <v>0.0</v>
      </c>
      <c r="K1427" s="42">
        <v>1.0</v>
      </c>
      <c r="L1427" s="42">
        <v>1.0</v>
      </c>
      <c r="M1427" s="42">
        <v>0.0</v>
      </c>
      <c r="N1427" s="42">
        <v>0.0</v>
      </c>
      <c r="O1427" s="42">
        <v>0.0</v>
      </c>
      <c r="P1427" s="42">
        <v>0.0</v>
      </c>
      <c r="Q1427" s="42">
        <v>0.0</v>
      </c>
    </row>
    <row r="1428">
      <c r="A1428" s="47">
        <v>46201.0</v>
      </c>
      <c r="B1428" s="48">
        <v>0.9180555555555555</v>
      </c>
      <c r="C1428" s="37" t="s">
        <v>29</v>
      </c>
      <c r="D1428" s="37" t="s">
        <v>94</v>
      </c>
      <c r="E1428" s="37" t="s">
        <v>50</v>
      </c>
      <c r="F1428" s="38">
        <v>0.0</v>
      </c>
      <c r="G1428" s="38">
        <v>0.0</v>
      </c>
      <c r="H1428" s="38">
        <v>0.0</v>
      </c>
      <c r="I1428" s="38">
        <v>0.0</v>
      </c>
      <c r="J1428" s="38">
        <v>0.0</v>
      </c>
      <c r="K1428" s="38">
        <v>0.0</v>
      </c>
      <c r="L1428" s="38">
        <v>0.0</v>
      </c>
      <c r="M1428" s="38">
        <v>0.0</v>
      </c>
      <c r="N1428" s="38">
        <v>0.0</v>
      </c>
      <c r="O1428" s="38">
        <v>0.0</v>
      </c>
      <c r="P1428" s="38">
        <v>0.0</v>
      </c>
      <c r="Q1428" s="38">
        <v>0.0</v>
      </c>
    </row>
    <row r="1429">
      <c r="A1429" s="49">
        <v>46201.0</v>
      </c>
      <c r="B1429" s="50">
        <v>0.9180555555555555</v>
      </c>
      <c r="C1429" s="41" t="s">
        <v>29</v>
      </c>
      <c r="D1429" s="41" t="s">
        <v>94</v>
      </c>
      <c r="E1429" s="41" t="s">
        <v>90</v>
      </c>
      <c r="F1429" s="42">
        <v>0.0</v>
      </c>
      <c r="G1429" s="42">
        <v>0.0</v>
      </c>
      <c r="H1429" s="42">
        <v>0.0</v>
      </c>
      <c r="I1429" s="42">
        <v>0.0</v>
      </c>
      <c r="J1429" s="42">
        <v>0.0</v>
      </c>
      <c r="K1429" s="42">
        <v>0.0</v>
      </c>
      <c r="L1429" s="42">
        <v>0.0</v>
      </c>
      <c r="M1429" s="42">
        <v>0.0</v>
      </c>
      <c r="N1429" s="42">
        <v>0.0</v>
      </c>
      <c r="O1429" s="42">
        <v>0.0</v>
      </c>
      <c r="P1429" s="42">
        <v>0.0</v>
      </c>
      <c r="Q1429" s="42">
        <v>0.0</v>
      </c>
    </row>
    <row r="1430">
      <c r="A1430" s="47">
        <v>46201.0</v>
      </c>
      <c r="B1430" s="48">
        <v>0.9180555555555555</v>
      </c>
      <c r="C1430" s="37" t="s">
        <v>29</v>
      </c>
      <c r="D1430" s="37" t="s">
        <v>94</v>
      </c>
      <c r="E1430" s="37" t="s">
        <v>91</v>
      </c>
      <c r="F1430" s="38">
        <v>0.0</v>
      </c>
      <c r="G1430" s="38">
        <v>0.0</v>
      </c>
      <c r="H1430" s="38">
        <v>0.0</v>
      </c>
      <c r="I1430" s="38">
        <v>0.0</v>
      </c>
      <c r="J1430" s="38">
        <v>0.0</v>
      </c>
      <c r="K1430" s="38">
        <v>0.0</v>
      </c>
      <c r="L1430" s="38">
        <v>0.0</v>
      </c>
      <c r="M1430" s="38">
        <v>0.0</v>
      </c>
      <c r="N1430" s="38">
        <v>0.0</v>
      </c>
      <c r="O1430" s="38">
        <v>0.0</v>
      </c>
      <c r="P1430" s="38">
        <v>0.0</v>
      </c>
      <c r="Q1430" s="38">
        <v>0.0</v>
      </c>
    </row>
    <row r="1431">
      <c r="A1431" s="49">
        <v>46201.0</v>
      </c>
      <c r="B1431" s="50">
        <v>0.9180555555555555</v>
      </c>
      <c r="C1431" s="41" t="s">
        <v>29</v>
      </c>
      <c r="D1431" s="41" t="s">
        <v>94</v>
      </c>
      <c r="E1431" s="41" t="s">
        <v>92</v>
      </c>
      <c r="F1431" s="42">
        <v>0.0</v>
      </c>
      <c r="G1431" s="42">
        <v>0.0</v>
      </c>
      <c r="H1431" s="42">
        <v>0.0</v>
      </c>
      <c r="I1431" s="42">
        <v>0.0</v>
      </c>
      <c r="J1431" s="42">
        <v>0.0</v>
      </c>
      <c r="K1431" s="42">
        <v>0.0</v>
      </c>
      <c r="L1431" s="42">
        <v>0.0</v>
      </c>
      <c r="M1431" s="42">
        <v>0.0</v>
      </c>
      <c r="N1431" s="42">
        <v>0.0</v>
      </c>
      <c r="O1431" s="42">
        <v>0.0</v>
      </c>
      <c r="P1431" s="42">
        <v>0.0</v>
      </c>
      <c r="Q1431" s="42">
        <v>0.0</v>
      </c>
    </row>
    <row r="1432">
      <c r="A1432" s="47">
        <v>46201.0</v>
      </c>
      <c r="B1432" s="48">
        <v>0.9180555555555555</v>
      </c>
      <c r="C1432" s="37" t="s">
        <v>29</v>
      </c>
      <c r="D1432" s="37" t="s">
        <v>94</v>
      </c>
      <c r="E1432" s="37" t="s">
        <v>106</v>
      </c>
      <c r="F1432" s="38">
        <v>2.0</v>
      </c>
      <c r="G1432" s="38">
        <v>0.0</v>
      </c>
      <c r="H1432" s="38">
        <v>0.0</v>
      </c>
      <c r="I1432" s="38">
        <v>0.0</v>
      </c>
      <c r="J1432" s="38">
        <v>1.0</v>
      </c>
      <c r="K1432" s="38">
        <v>1.0</v>
      </c>
      <c r="L1432" s="38">
        <v>2.0</v>
      </c>
      <c r="M1432" s="38">
        <v>0.0</v>
      </c>
      <c r="N1432" s="38">
        <v>0.0</v>
      </c>
      <c r="O1432" s="38">
        <v>0.0</v>
      </c>
      <c r="P1432" s="38">
        <v>0.0</v>
      </c>
      <c r="Q1432" s="38">
        <v>0.0</v>
      </c>
    </row>
    <row r="1433">
      <c r="A1433" s="49">
        <v>46201.0</v>
      </c>
      <c r="B1433" s="50">
        <v>0.9180555555555555</v>
      </c>
      <c r="C1433" s="41" t="s">
        <v>29</v>
      </c>
      <c r="D1433" s="41" t="s">
        <v>94</v>
      </c>
      <c r="E1433" s="41" t="s">
        <v>107</v>
      </c>
      <c r="F1433" s="42">
        <v>0.0</v>
      </c>
      <c r="G1433" s="42">
        <v>0.0</v>
      </c>
      <c r="H1433" s="42">
        <v>0.0</v>
      </c>
      <c r="I1433" s="42">
        <v>0.0</v>
      </c>
      <c r="J1433" s="42">
        <v>0.0</v>
      </c>
      <c r="K1433" s="42">
        <v>0.0</v>
      </c>
      <c r="L1433" s="42">
        <v>0.0</v>
      </c>
      <c r="M1433" s="42">
        <v>0.0</v>
      </c>
      <c r="N1433" s="42">
        <v>0.0</v>
      </c>
      <c r="O1433" s="42">
        <v>0.0</v>
      </c>
      <c r="P1433" s="42">
        <v>0.0</v>
      </c>
      <c r="Q1433" s="42">
        <v>0.0</v>
      </c>
    </row>
    <row r="1434">
      <c r="A1434" s="47">
        <v>46201.0</v>
      </c>
      <c r="B1434" s="48">
        <v>0.9180555555555555</v>
      </c>
      <c r="C1434" s="37" t="s">
        <v>31</v>
      </c>
      <c r="D1434" s="37" t="s">
        <v>95</v>
      </c>
      <c r="E1434" s="37" t="s">
        <v>52</v>
      </c>
      <c r="F1434" s="38">
        <v>0.0</v>
      </c>
      <c r="G1434" s="38">
        <v>0.0</v>
      </c>
      <c r="H1434" s="38">
        <v>0.0</v>
      </c>
      <c r="I1434" s="38">
        <v>0.0</v>
      </c>
      <c r="J1434" s="38">
        <v>0.0</v>
      </c>
      <c r="K1434" s="38">
        <v>0.0</v>
      </c>
      <c r="L1434" s="38">
        <v>0.0</v>
      </c>
      <c r="M1434" s="38">
        <v>0.0</v>
      </c>
      <c r="N1434" s="38">
        <v>0.0</v>
      </c>
      <c r="O1434" s="38">
        <v>0.0</v>
      </c>
      <c r="P1434" s="38">
        <v>0.0</v>
      </c>
      <c r="Q1434" s="38">
        <v>0.0</v>
      </c>
    </row>
    <row r="1435">
      <c r="A1435" s="49">
        <v>46201.0</v>
      </c>
      <c r="B1435" s="50">
        <v>0.9180555555555555</v>
      </c>
      <c r="C1435" s="41" t="s">
        <v>31</v>
      </c>
      <c r="D1435" s="41" t="s">
        <v>95</v>
      </c>
      <c r="E1435" s="41" t="s">
        <v>88</v>
      </c>
      <c r="F1435" s="42">
        <v>0.0</v>
      </c>
      <c r="G1435" s="42">
        <v>0.0</v>
      </c>
      <c r="H1435" s="42">
        <v>0.0</v>
      </c>
      <c r="I1435" s="42">
        <v>0.0</v>
      </c>
      <c r="J1435" s="42">
        <v>0.0</v>
      </c>
      <c r="K1435" s="42">
        <v>0.0</v>
      </c>
      <c r="L1435" s="42">
        <v>0.0</v>
      </c>
      <c r="M1435" s="42">
        <v>0.0</v>
      </c>
      <c r="N1435" s="42">
        <v>0.0</v>
      </c>
      <c r="O1435" s="42">
        <v>0.0</v>
      </c>
      <c r="P1435" s="42">
        <v>0.0</v>
      </c>
      <c r="Q1435" s="42">
        <v>0.0</v>
      </c>
    </row>
    <row r="1436">
      <c r="A1436" s="47">
        <v>46201.0</v>
      </c>
      <c r="B1436" s="48">
        <v>0.9180555555555555</v>
      </c>
      <c r="C1436" s="37" t="s">
        <v>31</v>
      </c>
      <c r="D1436" s="37" t="s">
        <v>95</v>
      </c>
      <c r="E1436" s="37" t="s">
        <v>89</v>
      </c>
      <c r="F1436" s="38">
        <v>0.0</v>
      </c>
      <c r="G1436" s="38">
        <v>0.0</v>
      </c>
      <c r="H1436" s="38">
        <v>0.0</v>
      </c>
      <c r="I1436" s="38">
        <v>0.0</v>
      </c>
      <c r="J1436" s="38">
        <v>0.0</v>
      </c>
      <c r="K1436" s="38">
        <v>0.0</v>
      </c>
      <c r="L1436" s="38">
        <v>0.0</v>
      </c>
      <c r="M1436" s="38">
        <v>0.0</v>
      </c>
      <c r="N1436" s="38">
        <v>0.0</v>
      </c>
      <c r="O1436" s="38">
        <v>0.0</v>
      </c>
      <c r="P1436" s="38">
        <v>0.0</v>
      </c>
      <c r="Q1436" s="38">
        <v>0.0</v>
      </c>
    </row>
    <row r="1437">
      <c r="A1437" s="49">
        <v>46201.0</v>
      </c>
      <c r="B1437" s="50">
        <v>0.9180555555555555</v>
      </c>
      <c r="C1437" s="41" t="s">
        <v>31</v>
      </c>
      <c r="D1437" s="41" t="s">
        <v>95</v>
      </c>
      <c r="E1437" s="41" t="s">
        <v>50</v>
      </c>
      <c r="F1437" s="42">
        <v>1.0</v>
      </c>
      <c r="G1437" s="42">
        <v>1.0</v>
      </c>
      <c r="H1437" s="42">
        <v>0.0</v>
      </c>
      <c r="I1437" s="42">
        <v>0.0</v>
      </c>
      <c r="J1437" s="42">
        <v>0.0</v>
      </c>
      <c r="K1437" s="42">
        <v>0.0</v>
      </c>
      <c r="L1437" s="42">
        <v>0.0</v>
      </c>
      <c r="M1437" s="42">
        <v>0.0</v>
      </c>
      <c r="N1437" s="42">
        <v>0.0</v>
      </c>
      <c r="O1437" s="42">
        <v>0.0</v>
      </c>
      <c r="P1437" s="42">
        <v>0.0</v>
      </c>
      <c r="Q1437" s="42">
        <v>0.0</v>
      </c>
    </row>
    <row r="1438">
      <c r="A1438" s="47">
        <v>46201.0</v>
      </c>
      <c r="B1438" s="48">
        <v>0.9180555555555555</v>
      </c>
      <c r="C1438" s="37" t="s">
        <v>31</v>
      </c>
      <c r="D1438" s="37" t="s">
        <v>95</v>
      </c>
      <c r="E1438" s="37" t="s">
        <v>90</v>
      </c>
      <c r="F1438" s="38">
        <v>0.0</v>
      </c>
      <c r="G1438" s="38">
        <v>0.0</v>
      </c>
      <c r="H1438" s="38">
        <v>0.0</v>
      </c>
      <c r="I1438" s="38">
        <v>0.0</v>
      </c>
      <c r="J1438" s="38">
        <v>0.0</v>
      </c>
      <c r="K1438" s="38">
        <v>0.0</v>
      </c>
      <c r="L1438" s="38">
        <v>0.0</v>
      </c>
      <c r="M1438" s="38">
        <v>0.0</v>
      </c>
      <c r="N1438" s="38">
        <v>0.0</v>
      </c>
      <c r="O1438" s="38">
        <v>0.0</v>
      </c>
      <c r="P1438" s="38">
        <v>0.0</v>
      </c>
      <c r="Q1438" s="38">
        <v>0.0</v>
      </c>
    </row>
    <row r="1439">
      <c r="A1439" s="49">
        <v>46201.0</v>
      </c>
      <c r="B1439" s="50">
        <v>0.9180555555555555</v>
      </c>
      <c r="C1439" s="41" t="s">
        <v>31</v>
      </c>
      <c r="D1439" s="41" t="s">
        <v>95</v>
      </c>
      <c r="E1439" s="41" t="s">
        <v>91</v>
      </c>
      <c r="F1439" s="42">
        <v>0.0</v>
      </c>
      <c r="G1439" s="42">
        <v>0.0</v>
      </c>
      <c r="H1439" s="42">
        <v>0.0</v>
      </c>
      <c r="I1439" s="42">
        <v>0.0</v>
      </c>
      <c r="J1439" s="42">
        <v>0.0</v>
      </c>
      <c r="K1439" s="42">
        <v>0.0</v>
      </c>
      <c r="L1439" s="42">
        <v>0.0</v>
      </c>
      <c r="M1439" s="42">
        <v>0.0</v>
      </c>
      <c r="N1439" s="42">
        <v>0.0</v>
      </c>
      <c r="O1439" s="42">
        <v>0.0</v>
      </c>
      <c r="P1439" s="42">
        <v>0.0</v>
      </c>
      <c r="Q1439" s="42">
        <v>0.0</v>
      </c>
    </row>
    <row r="1440">
      <c r="A1440" s="47">
        <v>46201.0</v>
      </c>
      <c r="B1440" s="48">
        <v>0.9180555555555555</v>
      </c>
      <c r="C1440" s="37" t="s">
        <v>31</v>
      </c>
      <c r="D1440" s="37" t="s">
        <v>95</v>
      </c>
      <c r="E1440" s="37" t="s">
        <v>92</v>
      </c>
      <c r="F1440" s="38">
        <v>0.0</v>
      </c>
      <c r="G1440" s="38">
        <v>0.0</v>
      </c>
      <c r="H1440" s="38">
        <v>0.0</v>
      </c>
      <c r="I1440" s="38">
        <v>0.0</v>
      </c>
      <c r="J1440" s="38">
        <v>0.0</v>
      </c>
      <c r="K1440" s="38">
        <v>0.0</v>
      </c>
      <c r="L1440" s="38">
        <v>0.0</v>
      </c>
      <c r="M1440" s="38">
        <v>0.0</v>
      </c>
      <c r="N1440" s="38">
        <v>0.0</v>
      </c>
      <c r="O1440" s="38">
        <v>0.0</v>
      </c>
      <c r="P1440" s="38">
        <v>0.0</v>
      </c>
      <c r="Q1440" s="38">
        <v>0.0</v>
      </c>
    </row>
    <row r="1441">
      <c r="A1441" s="49">
        <v>46201.0</v>
      </c>
      <c r="B1441" s="50">
        <v>0.9180555555555555</v>
      </c>
      <c r="C1441" s="41" t="s">
        <v>31</v>
      </c>
      <c r="D1441" s="41" t="s">
        <v>95</v>
      </c>
      <c r="E1441" s="41" t="s">
        <v>106</v>
      </c>
      <c r="F1441" s="42">
        <v>0.0</v>
      </c>
      <c r="G1441" s="42">
        <v>0.0</v>
      </c>
      <c r="H1441" s="42">
        <v>0.0</v>
      </c>
      <c r="I1441" s="42">
        <v>0.0</v>
      </c>
      <c r="J1441" s="42">
        <v>0.0</v>
      </c>
      <c r="K1441" s="42">
        <v>0.0</v>
      </c>
      <c r="L1441" s="42">
        <v>0.0</v>
      </c>
      <c r="M1441" s="42">
        <v>0.0</v>
      </c>
      <c r="N1441" s="42">
        <v>0.0</v>
      </c>
      <c r="O1441" s="42">
        <v>0.0</v>
      </c>
      <c r="P1441" s="42">
        <v>0.0</v>
      </c>
      <c r="Q1441" s="42">
        <v>0.0</v>
      </c>
    </row>
    <row r="1442">
      <c r="A1442" s="47">
        <v>46201.0</v>
      </c>
      <c r="B1442" s="48">
        <v>0.9180555555555555</v>
      </c>
      <c r="C1442" s="37" t="s">
        <v>31</v>
      </c>
      <c r="D1442" s="37" t="s">
        <v>95</v>
      </c>
      <c r="E1442" s="37" t="s">
        <v>107</v>
      </c>
      <c r="F1442" s="38">
        <v>0.0</v>
      </c>
      <c r="G1442" s="38">
        <v>0.0</v>
      </c>
      <c r="H1442" s="38">
        <v>0.0</v>
      </c>
      <c r="I1442" s="38">
        <v>0.0</v>
      </c>
      <c r="J1442" s="38">
        <v>0.0</v>
      </c>
      <c r="K1442" s="38">
        <v>0.0</v>
      </c>
      <c r="L1442" s="38">
        <v>0.0</v>
      </c>
      <c r="M1442" s="38">
        <v>0.0</v>
      </c>
      <c r="N1442" s="38">
        <v>0.0</v>
      </c>
      <c r="O1442" s="38">
        <v>0.0</v>
      </c>
      <c r="P1442" s="38">
        <v>0.0</v>
      </c>
      <c r="Q1442" s="38">
        <v>0.0</v>
      </c>
    </row>
    <row r="1443">
      <c r="A1443" s="51">
        <v>46201.0</v>
      </c>
      <c r="B1443" s="52">
        <v>0.9180555555555555</v>
      </c>
      <c r="C1443" s="45" t="s">
        <v>96</v>
      </c>
      <c r="D1443" s="45" t="s">
        <v>75</v>
      </c>
      <c r="E1443" s="45" t="s">
        <v>52</v>
      </c>
      <c r="F1443" s="46">
        <v>13.0</v>
      </c>
      <c r="G1443" s="46">
        <v>4.0</v>
      </c>
      <c r="H1443" s="46">
        <v>0.0</v>
      </c>
      <c r="I1443" s="46">
        <v>1.0</v>
      </c>
      <c r="J1443" s="46">
        <v>2.0</v>
      </c>
      <c r="K1443" s="46">
        <v>11.0</v>
      </c>
      <c r="L1443" s="46">
        <v>13.0</v>
      </c>
      <c r="M1443" s="46">
        <v>0.0</v>
      </c>
      <c r="N1443" s="46">
        <v>0.0</v>
      </c>
      <c r="O1443" s="46">
        <v>0.0</v>
      </c>
      <c r="P1443" s="46">
        <v>3.0</v>
      </c>
      <c r="Q1443" s="46">
        <v>4.0</v>
      </c>
    </row>
    <row r="1444">
      <c r="A1444" s="51">
        <v>46201.0</v>
      </c>
      <c r="B1444" s="52">
        <v>0.9180555555555555</v>
      </c>
      <c r="C1444" s="45" t="s">
        <v>96</v>
      </c>
      <c r="D1444" s="45" t="s">
        <v>75</v>
      </c>
      <c r="E1444" s="45" t="s">
        <v>88</v>
      </c>
      <c r="F1444" s="46">
        <v>0.0</v>
      </c>
      <c r="G1444" s="46">
        <v>0.0</v>
      </c>
      <c r="H1444" s="46">
        <v>0.0</v>
      </c>
      <c r="I1444" s="46">
        <v>0.0</v>
      </c>
      <c r="J1444" s="46">
        <v>0.0</v>
      </c>
      <c r="K1444" s="46">
        <v>0.0</v>
      </c>
      <c r="L1444" s="46">
        <v>0.0</v>
      </c>
      <c r="M1444" s="46">
        <v>0.0</v>
      </c>
      <c r="N1444" s="46">
        <v>0.0</v>
      </c>
      <c r="O1444" s="46">
        <v>0.0</v>
      </c>
      <c r="P1444" s="46">
        <v>0.0</v>
      </c>
      <c r="Q1444" s="46">
        <v>0.0</v>
      </c>
    </row>
    <row r="1445">
      <c r="A1445" s="51">
        <v>46201.0</v>
      </c>
      <c r="B1445" s="52">
        <v>0.9180555555555555</v>
      </c>
      <c r="C1445" s="45" t="s">
        <v>96</v>
      </c>
      <c r="D1445" s="45" t="s">
        <v>75</v>
      </c>
      <c r="E1445" s="45" t="s">
        <v>89</v>
      </c>
      <c r="F1445" s="46">
        <v>1.0</v>
      </c>
      <c r="G1445" s="46">
        <v>0.0</v>
      </c>
      <c r="H1445" s="46">
        <v>0.0</v>
      </c>
      <c r="I1445" s="46">
        <v>0.0</v>
      </c>
      <c r="J1445" s="46">
        <v>0.0</v>
      </c>
      <c r="K1445" s="46">
        <v>1.0</v>
      </c>
      <c r="L1445" s="46">
        <v>1.0</v>
      </c>
      <c r="M1445" s="46">
        <v>0.0</v>
      </c>
      <c r="N1445" s="46">
        <v>0.0</v>
      </c>
      <c r="O1445" s="46">
        <v>0.0</v>
      </c>
      <c r="P1445" s="46">
        <v>0.0</v>
      </c>
      <c r="Q1445" s="46">
        <v>0.0</v>
      </c>
    </row>
    <row r="1446">
      <c r="A1446" s="51">
        <v>46201.0</v>
      </c>
      <c r="B1446" s="52">
        <v>0.9180555555555555</v>
      </c>
      <c r="C1446" s="45" t="s">
        <v>96</v>
      </c>
      <c r="D1446" s="45" t="s">
        <v>75</v>
      </c>
      <c r="E1446" s="45" t="s">
        <v>50</v>
      </c>
      <c r="F1446" s="46">
        <v>1.0</v>
      </c>
      <c r="G1446" s="46">
        <v>1.0</v>
      </c>
      <c r="H1446" s="46">
        <v>0.0</v>
      </c>
      <c r="I1446" s="46">
        <v>0.0</v>
      </c>
      <c r="J1446" s="46">
        <v>0.0</v>
      </c>
      <c r="K1446" s="46">
        <v>0.0</v>
      </c>
      <c r="L1446" s="46">
        <v>0.0</v>
      </c>
      <c r="M1446" s="46">
        <v>0.0</v>
      </c>
      <c r="N1446" s="46">
        <v>0.0</v>
      </c>
      <c r="O1446" s="46">
        <v>0.0</v>
      </c>
      <c r="P1446" s="46">
        <v>0.0</v>
      </c>
      <c r="Q1446" s="46">
        <v>0.0</v>
      </c>
    </row>
    <row r="1447">
      <c r="A1447" s="51">
        <v>46201.0</v>
      </c>
      <c r="B1447" s="52">
        <v>0.9180555555555555</v>
      </c>
      <c r="C1447" s="45" t="s">
        <v>96</v>
      </c>
      <c r="D1447" s="45" t="s">
        <v>75</v>
      </c>
      <c r="E1447" s="45" t="s">
        <v>90</v>
      </c>
      <c r="F1447" s="46">
        <v>0.0</v>
      </c>
      <c r="G1447" s="46">
        <v>0.0</v>
      </c>
      <c r="H1447" s="46">
        <v>0.0</v>
      </c>
      <c r="I1447" s="46">
        <v>0.0</v>
      </c>
      <c r="J1447" s="46">
        <v>0.0</v>
      </c>
      <c r="K1447" s="46">
        <v>0.0</v>
      </c>
      <c r="L1447" s="46">
        <v>0.0</v>
      </c>
      <c r="M1447" s="46">
        <v>0.0</v>
      </c>
      <c r="N1447" s="46">
        <v>0.0</v>
      </c>
      <c r="O1447" s="46">
        <v>0.0</v>
      </c>
      <c r="P1447" s="46">
        <v>0.0</v>
      </c>
      <c r="Q1447" s="46">
        <v>0.0</v>
      </c>
    </row>
    <row r="1448">
      <c r="A1448" s="51">
        <v>46201.0</v>
      </c>
      <c r="B1448" s="52">
        <v>0.9180555555555555</v>
      </c>
      <c r="C1448" s="45" t="s">
        <v>96</v>
      </c>
      <c r="D1448" s="45" t="s">
        <v>75</v>
      </c>
      <c r="E1448" s="45" t="s">
        <v>91</v>
      </c>
      <c r="F1448" s="46">
        <v>0.0</v>
      </c>
      <c r="G1448" s="46">
        <v>0.0</v>
      </c>
      <c r="H1448" s="46">
        <v>0.0</v>
      </c>
      <c r="I1448" s="46">
        <v>0.0</v>
      </c>
      <c r="J1448" s="46">
        <v>0.0</v>
      </c>
      <c r="K1448" s="46">
        <v>0.0</v>
      </c>
      <c r="L1448" s="46">
        <v>0.0</v>
      </c>
      <c r="M1448" s="46">
        <v>0.0</v>
      </c>
      <c r="N1448" s="46">
        <v>0.0</v>
      </c>
      <c r="O1448" s="46">
        <v>0.0</v>
      </c>
      <c r="P1448" s="46">
        <v>0.0</v>
      </c>
      <c r="Q1448" s="46">
        <v>0.0</v>
      </c>
    </row>
    <row r="1449">
      <c r="A1449" s="51">
        <v>46201.0</v>
      </c>
      <c r="B1449" s="52">
        <v>0.9180555555555555</v>
      </c>
      <c r="C1449" s="45" t="s">
        <v>96</v>
      </c>
      <c r="D1449" s="45" t="s">
        <v>75</v>
      </c>
      <c r="E1449" s="45" t="s">
        <v>92</v>
      </c>
      <c r="F1449" s="46">
        <v>0.0</v>
      </c>
      <c r="G1449" s="46">
        <v>0.0</v>
      </c>
      <c r="H1449" s="46">
        <v>0.0</v>
      </c>
      <c r="I1449" s="46">
        <v>0.0</v>
      </c>
      <c r="J1449" s="46">
        <v>0.0</v>
      </c>
      <c r="K1449" s="46">
        <v>0.0</v>
      </c>
      <c r="L1449" s="46">
        <v>0.0</v>
      </c>
      <c r="M1449" s="46">
        <v>0.0</v>
      </c>
      <c r="N1449" s="46">
        <v>0.0</v>
      </c>
      <c r="O1449" s="46">
        <v>0.0</v>
      </c>
      <c r="P1449" s="46">
        <v>0.0</v>
      </c>
      <c r="Q1449" s="46">
        <v>0.0</v>
      </c>
    </row>
    <row r="1450">
      <c r="A1450" s="51">
        <v>46201.0</v>
      </c>
      <c r="B1450" s="52">
        <v>0.9180555555555555</v>
      </c>
      <c r="C1450" s="45" t="s">
        <v>96</v>
      </c>
      <c r="D1450" s="45" t="s">
        <v>75</v>
      </c>
      <c r="E1450" s="45" t="s">
        <v>106</v>
      </c>
      <c r="F1450" s="46">
        <v>2.0</v>
      </c>
      <c r="G1450" s="46">
        <v>0.0</v>
      </c>
      <c r="H1450" s="46">
        <v>0.0</v>
      </c>
      <c r="I1450" s="46">
        <v>0.0</v>
      </c>
      <c r="J1450" s="46">
        <v>1.0</v>
      </c>
      <c r="K1450" s="46">
        <v>1.0</v>
      </c>
      <c r="L1450" s="46">
        <v>2.0</v>
      </c>
      <c r="M1450" s="46">
        <v>0.0</v>
      </c>
      <c r="N1450" s="46">
        <v>0.0</v>
      </c>
      <c r="O1450" s="46">
        <v>0.0</v>
      </c>
      <c r="P1450" s="46">
        <v>0.0</v>
      </c>
      <c r="Q1450" s="46">
        <v>0.0</v>
      </c>
    </row>
    <row r="1451">
      <c r="A1451" s="51">
        <v>46201.0</v>
      </c>
      <c r="B1451" s="52">
        <v>0.9180555555555555</v>
      </c>
      <c r="C1451" s="45" t="s">
        <v>96</v>
      </c>
      <c r="D1451" s="45" t="s">
        <v>75</v>
      </c>
      <c r="E1451" s="45" t="s">
        <v>107</v>
      </c>
      <c r="F1451" s="46">
        <v>0.0</v>
      </c>
      <c r="G1451" s="46">
        <v>0.0</v>
      </c>
      <c r="H1451" s="46">
        <v>0.0</v>
      </c>
      <c r="I1451" s="46">
        <v>0.0</v>
      </c>
      <c r="J1451" s="46">
        <v>0.0</v>
      </c>
      <c r="K1451" s="46">
        <v>0.0</v>
      </c>
      <c r="L1451" s="46">
        <v>0.0</v>
      </c>
      <c r="M1451" s="46">
        <v>0.0</v>
      </c>
      <c r="N1451" s="46">
        <v>0.0</v>
      </c>
      <c r="O1451" s="46">
        <v>0.0</v>
      </c>
      <c r="P1451" s="46">
        <v>0.0</v>
      </c>
      <c r="Q1451" s="46">
        <v>0.0</v>
      </c>
    </row>
    <row r="1452">
      <c r="A1452" s="47">
        <v>46204.0</v>
      </c>
      <c r="B1452" s="48">
        <v>0.7354166666666667</v>
      </c>
      <c r="C1452" s="37" t="s">
        <v>15</v>
      </c>
      <c r="D1452" s="37" t="s">
        <v>87</v>
      </c>
      <c r="E1452" s="37" t="s">
        <v>52</v>
      </c>
      <c r="F1452" s="38">
        <v>3.0</v>
      </c>
      <c r="G1452" s="38">
        <v>1.0</v>
      </c>
      <c r="H1452" s="38">
        <v>0.0</v>
      </c>
      <c r="I1452" s="38">
        <v>0.0</v>
      </c>
      <c r="J1452" s="38">
        <v>0.0</v>
      </c>
      <c r="K1452" s="38">
        <v>1.0</v>
      </c>
      <c r="L1452" s="38">
        <v>3.0</v>
      </c>
      <c r="M1452" s="38">
        <v>0.0</v>
      </c>
      <c r="N1452" s="38">
        <v>0.0</v>
      </c>
      <c r="O1452" s="38">
        <v>0.0</v>
      </c>
      <c r="P1452" s="38">
        <v>0.0</v>
      </c>
      <c r="Q1452" s="38">
        <v>1.0</v>
      </c>
    </row>
    <row r="1453">
      <c r="A1453" s="49">
        <v>46204.0</v>
      </c>
      <c r="B1453" s="50">
        <v>0.7354166666666667</v>
      </c>
      <c r="C1453" s="41" t="s">
        <v>15</v>
      </c>
      <c r="D1453" s="41" t="s">
        <v>87</v>
      </c>
      <c r="E1453" s="41" t="s">
        <v>88</v>
      </c>
      <c r="F1453" s="42">
        <v>0.0</v>
      </c>
      <c r="G1453" s="42">
        <v>0.0</v>
      </c>
      <c r="H1453" s="42">
        <v>0.0</v>
      </c>
      <c r="I1453" s="42">
        <v>0.0</v>
      </c>
      <c r="J1453" s="42">
        <v>0.0</v>
      </c>
      <c r="K1453" s="42">
        <v>0.0</v>
      </c>
      <c r="L1453" s="42">
        <v>0.0</v>
      </c>
      <c r="M1453" s="42">
        <v>0.0</v>
      </c>
      <c r="N1453" s="42">
        <v>0.0</v>
      </c>
      <c r="O1453" s="42">
        <v>0.0</v>
      </c>
      <c r="P1453" s="42">
        <v>0.0</v>
      </c>
      <c r="Q1453" s="42">
        <v>0.0</v>
      </c>
    </row>
    <row r="1454">
      <c r="A1454" s="47">
        <v>46204.0</v>
      </c>
      <c r="B1454" s="48">
        <v>0.7354166666666667</v>
      </c>
      <c r="C1454" s="37" t="s">
        <v>15</v>
      </c>
      <c r="D1454" s="37" t="s">
        <v>87</v>
      </c>
      <c r="E1454" s="37" t="s">
        <v>89</v>
      </c>
      <c r="F1454" s="38">
        <v>0.0</v>
      </c>
      <c r="G1454" s="38">
        <v>0.0</v>
      </c>
      <c r="H1454" s="38">
        <v>0.0</v>
      </c>
      <c r="I1454" s="38">
        <v>0.0</v>
      </c>
      <c r="J1454" s="38">
        <v>0.0</v>
      </c>
      <c r="K1454" s="38">
        <v>0.0</v>
      </c>
      <c r="L1454" s="38">
        <v>0.0</v>
      </c>
      <c r="M1454" s="38">
        <v>0.0</v>
      </c>
      <c r="N1454" s="38">
        <v>0.0</v>
      </c>
      <c r="O1454" s="38">
        <v>0.0</v>
      </c>
      <c r="P1454" s="38">
        <v>0.0</v>
      </c>
      <c r="Q1454" s="38">
        <v>0.0</v>
      </c>
    </row>
    <row r="1455">
      <c r="A1455" s="49">
        <v>46204.0</v>
      </c>
      <c r="B1455" s="50">
        <v>0.7354166666666667</v>
      </c>
      <c r="C1455" s="41" t="s">
        <v>15</v>
      </c>
      <c r="D1455" s="41" t="s">
        <v>87</v>
      </c>
      <c r="E1455" s="41" t="s">
        <v>50</v>
      </c>
      <c r="F1455" s="42">
        <v>0.0</v>
      </c>
      <c r="G1455" s="42">
        <v>0.0</v>
      </c>
      <c r="H1455" s="42">
        <v>0.0</v>
      </c>
      <c r="I1455" s="42">
        <v>0.0</v>
      </c>
      <c r="J1455" s="42">
        <v>0.0</v>
      </c>
      <c r="K1455" s="42">
        <v>0.0</v>
      </c>
      <c r="L1455" s="42">
        <v>0.0</v>
      </c>
      <c r="M1455" s="42">
        <v>0.0</v>
      </c>
      <c r="N1455" s="42">
        <v>0.0</v>
      </c>
      <c r="O1455" s="42">
        <v>0.0</v>
      </c>
      <c r="P1455" s="42">
        <v>0.0</v>
      </c>
      <c r="Q1455" s="42">
        <v>0.0</v>
      </c>
    </row>
    <row r="1456">
      <c r="A1456" s="47">
        <v>46204.0</v>
      </c>
      <c r="B1456" s="48">
        <v>0.7354166666666667</v>
      </c>
      <c r="C1456" s="37" t="s">
        <v>15</v>
      </c>
      <c r="D1456" s="37" t="s">
        <v>87</v>
      </c>
      <c r="E1456" s="37" t="s">
        <v>90</v>
      </c>
      <c r="F1456" s="38">
        <v>0.0</v>
      </c>
      <c r="G1456" s="38">
        <v>0.0</v>
      </c>
      <c r="H1456" s="38">
        <v>0.0</v>
      </c>
      <c r="I1456" s="38">
        <v>0.0</v>
      </c>
      <c r="J1456" s="38">
        <v>0.0</v>
      </c>
      <c r="K1456" s="38">
        <v>0.0</v>
      </c>
      <c r="L1456" s="38">
        <v>0.0</v>
      </c>
      <c r="M1456" s="38">
        <v>0.0</v>
      </c>
      <c r="N1456" s="38">
        <v>0.0</v>
      </c>
      <c r="O1456" s="38">
        <v>0.0</v>
      </c>
      <c r="P1456" s="38">
        <v>0.0</v>
      </c>
      <c r="Q1456" s="38">
        <v>0.0</v>
      </c>
    </row>
    <row r="1457">
      <c r="A1457" s="49">
        <v>46204.0</v>
      </c>
      <c r="B1457" s="50">
        <v>0.7354166666666667</v>
      </c>
      <c r="C1457" s="41" t="s">
        <v>15</v>
      </c>
      <c r="D1457" s="41" t="s">
        <v>87</v>
      </c>
      <c r="E1457" s="41" t="s">
        <v>91</v>
      </c>
      <c r="F1457" s="42">
        <v>0.0</v>
      </c>
      <c r="G1457" s="42">
        <v>0.0</v>
      </c>
      <c r="H1457" s="42">
        <v>0.0</v>
      </c>
      <c r="I1457" s="42">
        <v>0.0</v>
      </c>
      <c r="J1457" s="42">
        <v>0.0</v>
      </c>
      <c r="K1457" s="42">
        <v>0.0</v>
      </c>
      <c r="L1457" s="42">
        <v>0.0</v>
      </c>
      <c r="M1457" s="42">
        <v>0.0</v>
      </c>
      <c r="N1457" s="42">
        <v>0.0</v>
      </c>
      <c r="O1457" s="42">
        <v>0.0</v>
      </c>
      <c r="P1457" s="42">
        <v>0.0</v>
      </c>
      <c r="Q1457" s="42">
        <v>0.0</v>
      </c>
    </row>
    <row r="1458">
      <c r="A1458" s="47">
        <v>46204.0</v>
      </c>
      <c r="B1458" s="48">
        <v>0.7354166666666667</v>
      </c>
      <c r="C1458" s="37" t="s">
        <v>15</v>
      </c>
      <c r="D1458" s="37" t="s">
        <v>87</v>
      </c>
      <c r="E1458" s="37" t="s">
        <v>92</v>
      </c>
      <c r="F1458" s="38">
        <v>0.0</v>
      </c>
      <c r="G1458" s="38">
        <v>0.0</v>
      </c>
      <c r="H1458" s="38">
        <v>0.0</v>
      </c>
      <c r="I1458" s="38">
        <v>0.0</v>
      </c>
      <c r="J1458" s="38">
        <v>0.0</v>
      </c>
      <c r="K1458" s="38">
        <v>0.0</v>
      </c>
      <c r="L1458" s="38">
        <v>0.0</v>
      </c>
      <c r="M1458" s="38">
        <v>0.0</v>
      </c>
      <c r="N1458" s="38">
        <v>0.0</v>
      </c>
      <c r="O1458" s="38">
        <v>0.0</v>
      </c>
      <c r="P1458" s="38">
        <v>0.0</v>
      </c>
      <c r="Q1458" s="38">
        <v>0.0</v>
      </c>
    </row>
    <row r="1459">
      <c r="A1459" s="49">
        <v>46204.0</v>
      </c>
      <c r="B1459" s="50">
        <v>0.7354166666666667</v>
      </c>
      <c r="C1459" s="41" t="s">
        <v>15</v>
      </c>
      <c r="D1459" s="41" t="s">
        <v>87</v>
      </c>
      <c r="E1459" s="41" t="s">
        <v>106</v>
      </c>
      <c r="F1459" s="42">
        <v>0.0</v>
      </c>
      <c r="G1459" s="42">
        <v>0.0</v>
      </c>
      <c r="H1459" s="42">
        <v>0.0</v>
      </c>
      <c r="I1459" s="42">
        <v>0.0</v>
      </c>
      <c r="J1459" s="42">
        <v>0.0</v>
      </c>
      <c r="K1459" s="42">
        <v>0.0</v>
      </c>
      <c r="L1459" s="42">
        <v>0.0</v>
      </c>
      <c r="M1459" s="42">
        <v>0.0</v>
      </c>
      <c r="N1459" s="42">
        <v>0.0</v>
      </c>
      <c r="O1459" s="42">
        <v>0.0</v>
      </c>
      <c r="P1459" s="42">
        <v>0.0</v>
      </c>
      <c r="Q1459" s="42">
        <v>0.0</v>
      </c>
    </row>
    <row r="1460">
      <c r="A1460" s="47">
        <v>46204.0</v>
      </c>
      <c r="B1460" s="48">
        <v>0.7354166666666667</v>
      </c>
      <c r="C1460" s="37" t="s">
        <v>15</v>
      </c>
      <c r="D1460" s="37" t="s">
        <v>87</v>
      </c>
      <c r="E1460" s="37" t="s">
        <v>107</v>
      </c>
      <c r="F1460" s="38">
        <v>0.0</v>
      </c>
      <c r="G1460" s="38">
        <v>0.0</v>
      </c>
      <c r="H1460" s="38">
        <v>0.0</v>
      </c>
      <c r="I1460" s="38">
        <v>0.0</v>
      </c>
      <c r="J1460" s="38">
        <v>0.0</v>
      </c>
      <c r="K1460" s="38">
        <v>0.0</v>
      </c>
      <c r="L1460" s="38">
        <v>0.0</v>
      </c>
      <c r="M1460" s="38">
        <v>0.0</v>
      </c>
      <c r="N1460" s="38">
        <v>0.0</v>
      </c>
      <c r="O1460" s="38">
        <v>0.0</v>
      </c>
      <c r="P1460" s="38">
        <v>0.0</v>
      </c>
      <c r="Q1460" s="38">
        <v>0.0</v>
      </c>
    </row>
    <row r="1461">
      <c r="A1461" s="49">
        <v>46204.0</v>
      </c>
      <c r="B1461" s="50">
        <v>0.7354166666666667</v>
      </c>
      <c r="C1461" s="41" t="s">
        <v>23</v>
      </c>
      <c r="D1461" s="41" t="s">
        <v>93</v>
      </c>
      <c r="E1461" s="41" t="s">
        <v>52</v>
      </c>
      <c r="F1461" s="42">
        <v>3.0</v>
      </c>
      <c r="G1461" s="42">
        <v>1.0</v>
      </c>
      <c r="H1461" s="42">
        <v>0.0</v>
      </c>
      <c r="I1461" s="42">
        <v>0.0</v>
      </c>
      <c r="J1461" s="42">
        <v>0.0</v>
      </c>
      <c r="K1461" s="42">
        <v>3.0</v>
      </c>
      <c r="L1461" s="42">
        <v>3.0</v>
      </c>
      <c r="M1461" s="42">
        <v>0.0</v>
      </c>
      <c r="N1461" s="42">
        <v>0.0</v>
      </c>
      <c r="O1461" s="42">
        <v>0.0</v>
      </c>
      <c r="P1461" s="42">
        <v>1.0</v>
      </c>
      <c r="Q1461" s="42">
        <v>1.0</v>
      </c>
    </row>
    <row r="1462">
      <c r="A1462" s="47">
        <v>46204.0</v>
      </c>
      <c r="B1462" s="48">
        <v>0.7354166666666667</v>
      </c>
      <c r="C1462" s="37" t="s">
        <v>23</v>
      </c>
      <c r="D1462" s="37" t="s">
        <v>93</v>
      </c>
      <c r="E1462" s="37" t="s">
        <v>88</v>
      </c>
      <c r="F1462" s="38">
        <v>0.0</v>
      </c>
      <c r="G1462" s="38">
        <v>0.0</v>
      </c>
      <c r="H1462" s="38">
        <v>0.0</v>
      </c>
      <c r="I1462" s="38">
        <v>0.0</v>
      </c>
      <c r="J1462" s="38">
        <v>0.0</v>
      </c>
      <c r="K1462" s="38">
        <v>0.0</v>
      </c>
      <c r="L1462" s="38">
        <v>0.0</v>
      </c>
      <c r="M1462" s="38">
        <v>0.0</v>
      </c>
      <c r="N1462" s="38">
        <v>0.0</v>
      </c>
      <c r="O1462" s="38">
        <v>0.0</v>
      </c>
      <c r="P1462" s="38">
        <v>0.0</v>
      </c>
      <c r="Q1462" s="38">
        <v>0.0</v>
      </c>
    </row>
    <row r="1463">
      <c r="A1463" s="49">
        <v>46204.0</v>
      </c>
      <c r="B1463" s="50">
        <v>0.7354166666666667</v>
      </c>
      <c r="C1463" s="41" t="s">
        <v>23</v>
      </c>
      <c r="D1463" s="41" t="s">
        <v>93</v>
      </c>
      <c r="E1463" s="41" t="s">
        <v>89</v>
      </c>
      <c r="F1463" s="42">
        <v>0.0</v>
      </c>
      <c r="G1463" s="42">
        <v>0.0</v>
      </c>
      <c r="H1463" s="42">
        <v>0.0</v>
      </c>
      <c r="I1463" s="42">
        <v>0.0</v>
      </c>
      <c r="J1463" s="42">
        <v>0.0</v>
      </c>
      <c r="K1463" s="42">
        <v>0.0</v>
      </c>
      <c r="L1463" s="42">
        <v>0.0</v>
      </c>
      <c r="M1463" s="42">
        <v>0.0</v>
      </c>
      <c r="N1463" s="42">
        <v>0.0</v>
      </c>
      <c r="O1463" s="42">
        <v>0.0</v>
      </c>
      <c r="P1463" s="42">
        <v>0.0</v>
      </c>
      <c r="Q1463" s="42">
        <v>0.0</v>
      </c>
    </row>
    <row r="1464">
      <c r="A1464" s="47">
        <v>46204.0</v>
      </c>
      <c r="B1464" s="48">
        <v>0.7354166666666667</v>
      </c>
      <c r="C1464" s="37" t="s">
        <v>23</v>
      </c>
      <c r="D1464" s="37" t="s">
        <v>93</v>
      </c>
      <c r="E1464" s="37" t="s">
        <v>50</v>
      </c>
      <c r="F1464" s="38">
        <v>0.0</v>
      </c>
      <c r="G1464" s="38">
        <v>0.0</v>
      </c>
      <c r="H1464" s="38">
        <v>0.0</v>
      </c>
      <c r="I1464" s="38">
        <v>0.0</v>
      </c>
      <c r="J1464" s="38">
        <v>0.0</v>
      </c>
      <c r="K1464" s="38">
        <v>0.0</v>
      </c>
      <c r="L1464" s="38">
        <v>0.0</v>
      </c>
      <c r="M1464" s="38">
        <v>0.0</v>
      </c>
      <c r="N1464" s="38">
        <v>0.0</v>
      </c>
      <c r="O1464" s="38">
        <v>0.0</v>
      </c>
      <c r="P1464" s="38">
        <v>0.0</v>
      </c>
      <c r="Q1464" s="38">
        <v>0.0</v>
      </c>
    </row>
    <row r="1465">
      <c r="A1465" s="49">
        <v>46204.0</v>
      </c>
      <c r="B1465" s="50">
        <v>0.7354166666666667</v>
      </c>
      <c r="C1465" s="41" t="s">
        <v>23</v>
      </c>
      <c r="D1465" s="41" t="s">
        <v>93</v>
      </c>
      <c r="E1465" s="41" t="s">
        <v>90</v>
      </c>
      <c r="F1465" s="42">
        <v>0.0</v>
      </c>
      <c r="G1465" s="42">
        <v>0.0</v>
      </c>
      <c r="H1465" s="42">
        <v>0.0</v>
      </c>
      <c r="I1465" s="42">
        <v>0.0</v>
      </c>
      <c r="J1465" s="42">
        <v>0.0</v>
      </c>
      <c r="K1465" s="42">
        <v>0.0</v>
      </c>
      <c r="L1465" s="42">
        <v>0.0</v>
      </c>
      <c r="M1465" s="42">
        <v>0.0</v>
      </c>
      <c r="N1465" s="42">
        <v>0.0</v>
      </c>
      <c r="O1465" s="42">
        <v>0.0</v>
      </c>
      <c r="P1465" s="42">
        <v>0.0</v>
      </c>
      <c r="Q1465" s="42">
        <v>0.0</v>
      </c>
    </row>
    <row r="1466">
      <c r="A1466" s="47">
        <v>46204.0</v>
      </c>
      <c r="B1466" s="48">
        <v>0.7354166666666667</v>
      </c>
      <c r="C1466" s="37" t="s">
        <v>23</v>
      </c>
      <c r="D1466" s="37" t="s">
        <v>93</v>
      </c>
      <c r="E1466" s="37" t="s">
        <v>91</v>
      </c>
      <c r="F1466" s="38">
        <v>0.0</v>
      </c>
      <c r="G1466" s="38">
        <v>0.0</v>
      </c>
      <c r="H1466" s="38">
        <v>0.0</v>
      </c>
      <c r="I1466" s="38">
        <v>0.0</v>
      </c>
      <c r="J1466" s="38">
        <v>0.0</v>
      </c>
      <c r="K1466" s="38">
        <v>0.0</v>
      </c>
      <c r="L1466" s="38">
        <v>0.0</v>
      </c>
      <c r="M1466" s="38">
        <v>0.0</v>
      </c>
      <c r="N1466" s="38">
        <v>0.0</v>
      </c>
      <c r="O1466" s="38">
        <v>0.0</v>
      </c>
      <c r="P1466" s="38">
        <v>0.0</v>
      </c>
      <c r="Q1466" s="38">
        <v>0.0</v>
      </c>
    </row>
    <row r="1467">
      <c r="A1467" s="49">
        <v>46204.0</v>
      </c>
      <c r="B1467" s="50">
        <v>0.7354166666666667</v>
      </c>
      <c r="C1467" s="41" t="s">
        <v>23</v>
      </c>
      <c r="D1467" s="41" t="s">
        <v>93</v>
      </c>
      <c r="E1467" s="41" t="s">
        <v>92</v>
      </c>
      <c r="F1467" s="42">
        <v>0.0</v>
      </c>
      <c r="G1467" s="42">
        <v>0.0</v>
      </c>
      <c r="H1467" s="42">
        <v>0.0</v>
      </c>
      <c r="I1467" s="42">
        <v>0.0</v>
      </c>
      <c r="J1467" s="42">
        <v>0.0</v>
      </c>
      <c r="K1467" s="42">
        <v>0.0</v>
      </c>
      <c r="L1467" s="42">
        <v>0.0</v>
      </c>
      <c r="M1467" s="42">
        <v>0.0</v>
      </c>
      <c r="N1467" s="42">
        <v>0.0</v>
      </c>
      <c r="O1467" s="42">
        <v>0.0</v>
      </c>
      <c r="P1467" s="42">
        <v>0.0</v>
      </c>
      <c r="Q1467" s="42">
        <v>0.0</v>
      </c>
    </row>
    <row r="1468">
      <c r="A1468" s="47">
        <v>46204.0</v>
      </c>
      <c r="B1468" s="48">
        <v>0.7354166666666667</v>
      </c>
      <c r="C1468" s="37" t="s">
        <v>23</v>
      </c>
      <c r="D1468" s="37" t="s">
        <v>93</v>
      </c>
      <c r="E1468" s="37" t="s">
        <v>106</v>
      </c>
      <c r="F1468" s="38">
        <v>0.0</v>
      </c>
      <c r="G1468" s="38">
        <v>0.0</v>
      </c>
      <c r="H1468" s="38">
        <v>0.0</v>
      </c>
      <c r="I1468" s="38">
        <v>0.0</v>
      </c>
      <c r="J1468" s="38">
        <v>0.0</v>
      </c>
      <c r="K1468" s="38">
        <v>0.0</v>
      </c>
      <c r="L1468" s="38">
        <v>0.0</v>
      </c>
      <c r="M1468" s="38">
        <v>0.0</v>
      </c>
      <c r="N1468" s="38">
        <v>0.0</v>
      </c>
      <c r="O1468" s="38">
        <v>0.0</v>
      </c>
      <c r="P1468" s="38">
        <v>0.0</v>
      </c>
      <c r="Q1468" s="38">
        <v>0.0</v>
      </c>
    </row>
    <row r="1469">
      <c r="A1469" s="49">
        <v>46204.0</v>
      </c>
      <c r="B1469" s="50">
        <v>0.7354166666666667</v>
      </c>
      <c r="C1469" s="41" t="s">
        <v>23</v>
      </c>
      <c r="D1469" s="41" t="s">
        <v>93</v>
      </c>
      <c r="E1469" s="41" t="s">
        <v>107</v>
      </c>
      <c r="F1469" s="42">
        <v>0.0</v>
      </c>
      <c r="G1469" s="42">
        <v>0.0</v>
      </c>
      <c r="H1469" s="42">
        <v>0.0</v>
      </c>
      <c r="I1469" s="42">
        <v>0.0</v>
      </c>
      <c r="J1469" s="42">
        <v>0.0</v>
      </c>
      <c r="K1469" s="42">
        <v>0.0</v>
      </c>
      <c r="L1469" s="42">
        <v>0.0</v>
      </c>
      <c r="M1469" s="42">
        <v>0.0</v>
      </c>
      <c r="N1469" s="42">
        <v>0.0</v>
      </c>
      <c r="O1469" s="42">
        <v>0.0</v>
      </c>
      <c r="P1469" s="42">
        <v>0.0</v>
      </c>
      <c r="Q1469" s="42">
        <v>0.0</v>
      </c>
    </row>
    <row r="1470">
      <c r="A1470" s="47">
        <v>46204.0</v>
      </c>
      <c r="B1470" s="48">
        <v>0.7354166666666667</v>
      </c>
      <c r="C1470" s="37" t="s">
        <v>29</v>
      </c>
      <c r="D1470" s="37" t="s">
        <v>94</v>
      </c>
      <c r="E1470" s="37" t="s">
        <v>52</v>
      </c>
      <c r="F1470" s="38">
        <v>8.0</v>
      </c>
      <c r="G1470" s="38">
        <v>3.0</v>
      </c>
      <c r="H1470" s="38">
        <v>0.0</v>
      </c>
      <c r="I1470" s="38">
        <v>0.0</v>
      </c>
      <c r="J1470" s="38">
        <v>1.0</v>
      </c>
      <c r="K1470" s="38">
        <v>8.0</v>
      </c>
      <c r="L1470" s="38">
        <v>8.0</v>
      </c>
      <c r="M1470" s="38">
        <v>0.0</v>
      </c>
      <c r="N1470" s="38">
        <v>0.0</v>
      </c>
      <c r="O1470" s="38">
        <v>1.0</v>
      </c>
      <c r="P1470" s="38">
        <v>3.0</v>
      </c>
      <c r="Q1470" s="38">
        <v>3.0</v>
      </c>
    </row>
    <row r="1471">
      <c r="A1471" s="49">
        <v>46204.0</v>
      </c>
      <c r="B1471" s="50">
        <v>0.7354166666666667</v>
      </c>
      <c r="C1471" s="41" t="s">
        <v>29</v>
      </c>
      <c r="D1471" s="41" t="s">
        <v>94</v>
      </c>
      <c r="E1471" s="41" t="s">
        <v>88</v>
      </c>
      <c r="F1471" s="42">
        <v>0.0</v>
      </c>
      <c r="G1471" s="42">
        <v>0.0</v>
      </c>
      <c r="H1471" s="42">
        <v>0.0</v>
      </c>
      <c r="I1471" s="42">
        <v>0.0</v>
      </c>
      <c r="J1471" s="42">
        <v>0.0</v>
      </c>
      <c r="K1471" s="42">
        <v>0.0</v>
      </c>
      <c r="L1471" s="42">
        <v>0.0</v>
      </c>
      <c r="M1471" s="42">
        <v>0.0</v>
      </c>
      <c r="N1471" s="42">
        <v>0.0</v>
      </c>
      <c r="O1471" s="42">
        <v>0.0</v>
      </c>
      <c r="P1471" s="42">
        <v>0.0</v>
      </c>
      <c r="Q1471" s="42">
        <v>0.0</v>
      </c>
    </row>
    <row r="1472">
      <c r="A1472" s="47">
        <v>46204.0</v>
      </c>
      <c r="B1472" s="48">
        <v>0.7354166666666667</v>
      </c>
      <c r="C1472" s="37" t="s">
        <v>29</v>
      </c>
      <c r="D1472" s="37" t="s">
        <v>94</v>
      </c>
      <c r="E1472" s="37" t="s">
        <v>89</v>
      </c>
      <c r="F1472" s="38">
        <v>1.0</v>
      </c>
      <c r="G1472" s="38">
        <v>0.0</v>
      </c>
      <c r="H1472" s="38">
        <v>0.0</v>
      </c>
      <c r="I1472" s="38">
        <v>0.0</v>
      </c>
      <c r="J1472" s="38">
        <v>0.0</v>
      </c>
      <c r="K1472" s="38">
        <v>1.0</v>
      </c>
      <c r="L1472" s="38">
        <v>1.0</v>
      </c>
      <c r="M1472" s="38">
        <v>0.0</v>
      </c>
      <c r="N1472" s="38">
        <v>0.0</v>
      </c>
      <c r="O1472" s="38">
        <v>0.0</v>
      </c>
      <c r="P1472" s="38">
        <v>0.0</v>
      </c>
      <c r="Q1472" s="38">
        <v>0.0</v>
      </c>
    </row>
    <row r="1473">
      <c r="A1473" s="49">
        <v>46204.0</v>
      </c>
      <c r="B1473" s="50">
        <v>0.7354166666666667</v>
      </c>
      <c r="C1473" s="41" t="s">
        <v>29</v>
      </c>
      <c r="D1473" s="41" t="s">
        <v>94</v>
      </c>
      <c r="E1473" s="41" t="s">
        <v>50</v>
      </c>
      <c r="F1473" s="42">
        <v>0.0</v>
      </c>
      <c r="G1473" s="42">
        <v>0.0</v>
      </c>
      <c r="H1473" s="42">
        <v>0.0</v>
      </c>
      <c r="I1473" s="42">
        <v>0.0</v>
      </c>
      <c r="J1473" s="42">
        <v>0.0</v>
      </c>
      <c r="K1473" s="42">
        <v>0.0</v>
      </c>
      <c r="L1473" s="42">
        <v>0.0</v>
      </c>
      <c r="M1473" s="42">
        <v>0.0</v>
      </c>
      <c r="N1473" s="42">
        <v>0.0</v>
      </c>
      <c r="O1473" s="42">
        <v>0.0</v>
      </c>
      <c r="P1473" s="42">
        <v>0.0</v>
      </c>
      <c r="Q1473" s="42">
        <v>0.0</v>
      </c>
    </row>
    <row r="1474">
      <c r="A1474" s="47">
        <v>46204.0</v>
      </c>
      <c r="B1474" s="48">
        <v>0.7354166666666667</v>
      </c>
      <c r="C1474" s="37" t="s">
        <v>29</v>
      </c>
      <c r="D1474" s="37" t="s">
        <v>94</v>
      </c>
      <c r="E1474" s="37" t="s">
        <v>90</v>
      </c>
      <c r="F1474" s="38">
        <v>0.0</v>
      </c>
      <c r="G1474" s="38">
        <v>0.0</v>
      </c>
      <c r="H1474" s="38">
        <v>0.0</v>
      </c>
      <c r="I1474" s="38">
        <v>0.0</v>
      </c>
      <c r="J1474" s="38">
        <v>0.0</v>
      </c>
      <c r="K1474" s="38">
        <v>0.0</v>
      </c>
      <c r="L1474" s="38">
        <v>0.0</v>
      </c>
      <c r="M1474" s="38">
        <v>0.0</v>
      </c>
      <c r="N1474" s="38">
        <v>0.0</v>
      </c>
      <c r="O1474" s="38">
        <v>0.0</v>
      </c>
      <c r="P1474" s="38">
        <v>0.0</v>
      </c>
      <c r="Q1474" s="38">
        <v>0.0</v>
      </c>
    </row>
    <row r="1475">
      <c r="A1475" s="49">
        <v>46204.0</v>
      </c>
      <c r="B1475" s="50">
        <v>0.7354166666666667</v>
      </c>
      <c r="C1475" s="41" t="s">
        <v>29</v>
      </c>
      <c r="D1475" s="41" t="s">
        <v>94</v>
      </c>
      <c r="E1475" s="41" t="s">
        <v>91</v>
      </c>
      <c r="F1475" s="42">
        <v>0.0</v>
      </c>
      <c r="G1475" s="42">
        <v>0.0</v>
      </c>
      <c r="H1475" s="42">
        <v>0.0</v>
      </c>
      <c r="I1475" s="42">
        <v>0.0</v>
      </c>
      <c r="J1475" s="42">
        <v>0.0</v>
      </c>
      <c r="K1475" s="42">
        <v>0.0</v>
      </c>
      <c r="L1475" s="42">
        <v>0.0</v>
      </c>
      <c r="M1475" s="42">
        <v>0.0</v>
      </c>
      <c r="N1475" s="42">
        <v>0.0</v>
      </c>
      <c r="O1475" s="42">
        <v>0.0</v>
      </c>
      <c r="P1475" s="42">
        <v>0.0</v>
      </c>
      <c r="Q1475" s="42">
        <v>0.0</v>
      </c>
    </row>
    <row r="1476">
      <c r="A1476" s="47">
        <v>46204.0</v>
      </c>
      <c r="B1476" s="48">
        <v>0.7354166666666667</v>
      </c>
      <c r="C1476" s="37" t="s">
        <v>29</v>
      </c>
      <c r="D1476" s="37" t="s">
        <v>94</v>
      </c>
      <c r="E1476" s="37" t="s">
        <v>92</v>
      </c>
      <c r="F1476" s="38">
        <v>0.0</v>
      </c>
      <c r="G1476" s="38">
        <v>0.0</v>
      </c>
      <c r="H1476" s="38">
        <v>0.0</v>
      </c>
      <c r="I1476" s="38">
        <v>0.0</v>
      </c>
      <c r="J1476" s="38">
        <v>0.0</v>
      </c>
      <c r="K1476" s="38">
        <v>0.0</v>
      </c>
      <c r="L1476" s="38">
        <v>0.0</v>
      </c>
      <c r="M1476" s="38">
        <v>0.0</v>
      </c>
      <c r="N1476" s="38">
        <v>0.0</v>
      </c>
      <c r="O1476" s="38">
        <v>0.0</v>
      </c>
      <c r="P1476" s="38">
        <v>0.0</v>
      </c>
      <c r="Q1476" s="38">
        <v>0.0</v>
      </c>
    </row>
    <row r="1477">
      <c r="A1477" s="49">
        <v>46204.0</v>
      </c>
      <c r="B1477" s="50">
        <v>0.7354166666666667</v>
      </c>
      <c r="C1477" s="41" t="s">
        <v>29</v>
      </c>
      <c r="D1477" s="41" t="s">
        <v>94</v>
      </c>
      <c r="E1477" s="41" t="s">
        <v>106</v>
      </c>
      <c r="F1477" s="42">
        <v>2.0</v>
      </c>
      <c r="G1477" s="42">
        <v>0.0</v>
      </c>
      <c r="H1477" s="42">
        <v>0.0</v>
      </c>
      <c r="I1477" s="42">
        <v>0.0</v>
      </c>
      <c r="J1477" s="42">
        <v>0.0</v>
      </c>
      <c r="K1477" s="42">
        <v>1.0</v>
      </c>
      <c r="L1477" s="42">
        <v>2.0</v>
      </c>
      <c r="M1477" s="42">
        <v>0.0</v>
      </c>
      <c r="N1477" s="42">
        <v>0.0</v>
      </c>
      <c r="O1477" s="42">
        <v>0.0</v>
      </c>
      <c r="P1477" s="42">
        <v>0.0</v>
      </c>
      <c r="Q1477" s="42">
        <v>0.0</v>
      </c>
    </row>
    <row r="1478">
      <c r="A1478" s="47">
        <v>46204.0</v>
      </c>
      <c r="B1478" s="48">
        <v>0.7354166666666667</v>
      </c>
      <c r="C1478" s="37" t="s">
        <v>29</v>
      </c>
      <c r="D1478" s="37" t="s">
        <v>94</v>
      </c>
      <c r="E1478" s="37" t="s">
        <v>107</v>
      </c>
      <c r="F1478" s="38">
        <v>0.0</v>
      </c>
      <c r="G1478" s="38">
        <v>0.0</v>
      </c>
      <c r="H1478" s="38">
        <v>0.0</v>
      </c>
      <c r="I1478" s="38">
        <v>0.0</v>
      </c>
      <c r="J1478" s="38">
        <v>0.0</v>
      </c>
      <c r="K1478" s="38">
        <v>0.0</v>
      </c>
      <c r="L1478" s="38">
        <v>0.0</v>
      </c>
      <c r="M1478" s="38">
        <v>0.0</v>
      </c>
      <c r="N1478" s="38">
        <v>0.0</v>
      </c>
      <c r="O1478" s="38">
        <v>0.0</v>
      </c>
      <c r="P1478" s="38">
        <v>0.0</v>
      </c>
      <c r="Q1478" s="38">
        <v>0.0</v>
      </c>
    </row>
    <row r="1479">
      <c r="A1479" s="49">
        <v>46204.0</v>
      </c>
      <c r="B1479" s="50">
        <v>0.7354166666666667</v>
      </c>
      <c r="C1479" s="41" t="s">
        <v>31</v>
      </c>
      <c r="D1479" s="41" t="s">
        <v>95</v>
      </c>
      <c r="E1479" s="41" t="s">
        <v>52</v>
      </c>
      <c r="F1479" s="42">
        <v>2.0</v>
      </c>
      <c r="G1479" s="42">
        <v>0.0</v>
      </c>
      <c r="H1479" s="42">
        <v>0.0</v>
      </c>
      <c r="I1479" s="42">
        <v>0.0</v>
      </c>
      <c r="J1479" s="42">
        <v>0.0</v>
      </c>
      <c r="K1479" s="42">
        <v>2.0</v>
      </c>
      <c r="L1479" s="42">
        <v>2.0</v>
      </c>
      <c r="M1479" s="42">
        <v>0.0</v>
      </c>
      <c r="N1479" s="42">
        <v>0.0</v>
      </c>
      <c r="O1479" s="42">
        <v>0.0</v>
      </c>
      <c r="P1479" s="42">
        <v>0.0</v>
      </c>
      <c r="Q1479" s="42">
        <v>0.0</v>
      </c>
    </row>
    <row r="1480">
      <c r="A1480" s="47">
        <v>46204.0</v>
      </c>
      <c r="B1480" s="48">
        <v>0.7354166666666667</v>
      </c>
      <c r="C1480" s="37" t="s">
        <v>31</v>
      </c>
      <c r="D1480" s="37" t="s">
        <v>95</v>
      </c>
      <c r="E1480" s="37" t="s">
        <v>88</v>
      </c>
      <c r="F1480" s="38">
        <v>0.0</v>
      </c>
      <c r="G1480" s="38">
        <v>0.0</v>
      </c>
      <c r="H1480" s="38">
        <v>0.0</v>
      </c>
      <c r="I1480" s="38">
        <v>0.0</v>
      </c>
      <c r="J1480" s="38">
        <v>0.0</v>
      </c>
      <c r="K1480" s="38">
        <v>0.0</v>
      </c>
      <c r="L1480" s="38">
        <v>0.0</v>
      </c>
      <c r="M1480" s="38">
        <v>0.0</v>
      </c>
      <c r="N1480" s="38">
        <v>0.0</v>
      </c>
      <c r="O1480" s="38">
        <v>0.0</v>
      </c>
      <c r="P1480" s="38">
        <v>0.0</v>
      </c>
      <c r="Q1480" s="38">
        <v>0.0</v>
      </c>
    </row>
    <row r="1481">
      <c r="A1481" s="49">
        <v>46204.0</v>
      </c>
      <c r="B1481" s="50">
        <v>0.7354166666666667</v>
      </c>
      <c r="C1481" s="41" t="s">
        <v>31</v>
      </c>
      <c r="D1481" s="41" t="s">
        <v>95</v>
      </c>
      <c r="E1481" s="41" t="s">
        <v>89</v>
      </c>
      <c r="F1481" s="42">
        <v>0.0</v>
      </c>
      <c r="G1481" s="42">
        <v>0.0</v>
      </c>
      <c r="H1481" s="42">
        <v>0.0</v>
      </c>
      <c r="I1481" s="42">
        <v>0.0</v>
      </c>
      <c r="J1481" s="42">
        <v>0.0</v>
      </c>
      <c r="K1481" s="42">
        <v>0.0</v>
      </c>
      <c r="L1481" s="42">
        <v>0.0</v>
      </c>
      <c r="M1481" s="42">
        <v>0.0</v>
      </c>
      <c r="N1481" s="42">
        <v>0.0</v>
      </c>
      <c r="O1481" s="42">
        <v>0.0</v>
      </c>
      <c r="P1481" s="42">
        <v>0.0</v>
      </c>
      <c r="Q1481" s="42">
        <v>0.0</v>
      </c>
    </row>
    <row r="1482">
      <c r="A1482" s="47">
        <v>46204.0</v>
      </c>
      <c r="B1482" s="48">
        <v>0.7354166666666667</v>
      </c>
      <c r="C1482" s="37" t="s">
        <v>31</v>
      </c>
      <c r="D1482" s="37" t="s">
        <v>95</v>
      </c>
      <c r="E1482" s="37" t="s">
        <v>50</v>
      </c>
      <c r="F1482" s="38">
        <v>1.0</v>
      </c>
      <c r="G1482" s="38">
        <v>1.0</v>
      </c>
      <c r="H1482" s="38">
        <v>0.0</v>
      </c>
      <c r="I1482" s="38">
        <v>0.0</v>
      </c>
      <c r="J1482" s="38">
        <v>0.0</v>
      </c>
      <c r="K1482" s="38">
        <v>0.0</v>
      </c>
      <c r="L1482" s="38">
        <v>0.0</v>
      </c>
      <c r="M1482" s="38">
        <v>0.0</v>
      </c>
      <c r="N1482" s="38">
        <v>0.0</v>
      </c>
      <c r="O1482" s="38">
        <v>0.0</v>
      </c>
      <c r="P1482" s="38">
        <v>0.0</v>
      </c>
      <c r="Q1482" s="38">
        <v>0.0</v>
      </c>
    </row>
    <row r="1483">
      <c r="A1483" s="49">
        <v>46204.0</v>
      </c>
      <c r="B1483" s="50">
        <v>0.7354166666666667</v>
      </c>
      <c r="C1483" s="41" t="s">
        <v>31</v>
      </c>
      <c r="D1483" s="41" t="s">
        <v>95</v>
      </c>
      <c r="E1483" s="41" t="s">
        <v>90</v>
      </c>
      <c r="F1483" s="42">
        <v>0.0</v>
      </c>
      <c r="G1483" s="42">
        <v>0.0</v>
      </c>
      <c r="H1483" s="42">
        <v>0.0</v>
      </c>
      <c r="I1483" s="42">
        <v>0.0</v>
      </c>
      <c r="J1483" s="42">
        <v>0.0</v>
      </c>
      <c r="K1483" s="42">
        <v>0.0</v>
      </c>
      <c r="L1483" s="42">
        <v>0.0</v>
      </c>
      <c r="M1483" s="42">
        <v>0.0</v>
      </c>
      <c r="N1483" s="42">
        <v>0.0</v>
      </c>
      <c r="O1483" s="42">
        <v>0.0</v>
      </c>
      <c r="P1483" s="42">
        <v>0.0</v>
      </c>
      <c r="Q1483" s="42">
        <v>0.0</v>
      </c>
    </row>
    <row r="1484">
      <c r="A1484" s="47">
        <v>46204.0</v>
      </c>
      <c r="B1484" s="48">
        <v>0.7354166666666667</v>
      </c>
      <c r="C1484" s="37" t="s">
        <v>31</v>
      </c>
      <c r="D1484" s="37" t="s">
        <v>95</v>
      </c>
      <c r="E1484" s="37" t="s">
        <v>91</v>
      </c>
      <c r="F1484" s="38">
        <v>0.0</v>
      </c>
      <c r="G1484" s="38">
        <v>0.0</v>
      </c>
      <c r="H1484" s="38">
        <v>0.0</v>
      </c>
      <c r="I1484" s="38">
        <v>0.0</v>
      </c>
      <c r="J1484" s="38">
        <v>0.0</v>
      </c>
      <c r="K1484" s="38">
        <v>0.0</v>
      </c>
      <c r="L1484" s="38">
        <v>0.0</v>
      </c>
      <c r="M1484" s="38">
        <v>0.0</v>
      </c>
      <c r="N1484" s="38">
        <v>0.0</v>
      </c>
      <c r="O1484" s="38">
        <v>0.0</v>
      </c>
      <c r="P1484" s="38">
        <v>0.0</v>
      </c>
      <c r="Q1484" s="38">
        <v>0.0</v>
      </c>
    </row>
    <row r="1485">
      <c r="A1485" s="49">
        <v>46204.0</v>
      </c>
      <c r="B1485" s="50">
        <v>0.7354166666666667</v>
      </c>
      <c r="C1485" s="41" t="s">
        <v>31</v>
      </c>
      <c r="D1485" s="41" t="s">
        <v>95</v>
      </c>
      <c r="E1485" s="41" t="s">
        <v>92</v>
      </c>
      <c r="F1485" s="42">
        <v>0.0</v>
      </c>
      <c r="G1485" s="42">
        <v>0.0</v>
      </c>
      <c r="H1485" s="42">
        <v>0.0</v>
      </c>
      <c r="I1485" s="42">
        <v>0.0</v>
      </c>
      <c r="J1485" s="42">
        <v>0.0</v>
      </c>
      <c r="K1485" s="42">
        <v>0.0</v>
      </c>
      <c r="L1485" s="42">
        <v>0.0</v>
      </c>
      <c r="M1485" s="42">
        <v>0.0</v>
      </c>
      <c r="N1485" s="42">
        <v>0.0</v>
      </c>
      <c r="O1485" s="42">
        <v>0.0</v>
      </c>
      <c r="P1485" s="42">
        <v>0.0</v>
      </c>
      <c r="Q1485" s="42">
        <v>0.0</v>
      </c>
    </row>
    <row r="1486">
      <c r="A1486" s="47">
        <v>46204.0</v>
      </c>
      <c r="B1486" s="48">
        <v>0.7354166666666667</v>
      </c>
      <c r="C1486" s="37" t="s">
        <v>31</v>
      </c>
      <c r="D1486" s="37" t="s">
        <v>95</v>
      </c>
      <c r="E1486" s="37" t="s">
        <v>106</v>
      </c>
      <c r="F1486" s="38">
        <v>0.0</v>
      </c>
      <c r="G1486" s="38">
        <v>0.0</v>
      </c>
      <c r="H1486" s="38">
        <v>0.0</v>
      </c>
      <c r="I1486" s="38">
        <v>0.0</v>
      </c>
      <c r="J1486" s="38">
        <v>0.0</v>
      </c>
      <c r="K1486" s="38">
        <v>0.0</v>
      </c>
      <c r="L1486" s="38">
        <v>0.0</v>
      </c>
      <c r="M1486" s="38">
        <v>0.0</v>
      </c>
      <c r="N1486" s="38">
        <v>0.0</v>
      </c>
      <c r="O1486" s="38">
        <v>0.0</v>
      </c>
      <c r="P1486" s="38">
        <v>0.0</v>
      </c>
      <c r="Q1486" s="38">
        <v>0.0</v>
      </c>
    </row>
    <row r="1487">
      <c r="A1487" s="49">
        <v>46204.0</v>
      </c>
      <c r="B1487" s="50">
        <v>0.7354166666666667</v>
      </c>
      <c r="C1487" s="41" t="s">
        <v>31</v>
      </c>
      <c r="D1487" s="41" t="s">
        <v>95</v>
      </c>
      <c r="E1487" s="41" t="s">
        <v>107</v>
      </c>
      <c r="F1487" s="42">
        <v>0.0</v>
      </c>
      <c r="G1487" s="42">
        <v>0.0</v>
      </c>
      <c r="H1487" s="42">
        <v>0.0</v>
      </c>
      <c r="I1487" s="42">
        <v>0.0</v>
      </c>
      <c r="J1487" s="42">
        <v>0.0</v>
      </c>
      <c r="K1487" s="42">
        <v>0.0</v>
      </c>
      <c r="L1487" s="42">
        <v>0.0</v>
      </c>
      <c r="M1487" s="42">
        <v>0.0</v>
      </c>
      <c r="N1487" s="42">
        <v>0.0</v>
      </c>
      <c r="O1487" s="42">
        <v>0.0</v>
      </c>
      <c r="P1487" s="42">
        <v>0.0</v>
      </c>
      <c r="Q1487" s="42">
        <v>0.0</v>
      </c>
    </row>
    <row r="1488">
      <c r="A1488" s="51">
        <v>46204.0</v>
      </c>
      <c r="B1488" s="52">
        <v>0.7354166666666667</v>
      </c>
      <c r="C1488" s="45" t="s">
        <v>96</v>
      </c>
      <c r="D1488" s="45" t="s">
        <v>75</v>
      </c>
      <c r="E1488" s="45" t="s">
        <v>52</v>
      </c>
      <c r="F1488" s="46">
        <v>16.0</v>
      </c>
      <c r="G1488" s="46">
        <v>5.0</v>
      </c>
      <c r="H1488" s="46">
        <v>0.0</v>
      </c>
      <c r="I1488" s="46">
        <v>0.0</v>
      </c>
      <c r="J1488" s="46">
        <v>1.0</v>
      </c>
      <c r="K1488" s="46">
        <v>14.0</v>
      </c>
      <c r="L1488" s="46">
        <v>16.0</v>
      </c>
      <c r="M1488" s="46">
        <v>0.0</v>
      </c>
      <c r="N1488" s="46">
        <v>0.0</v>
      </c>
      <c r="O1488" s="46">
        <v>1.0</v>
      </c>
      <c r="P1488" s="46">
        <v>4.0</v>
      </c>
      <c r="Q1488" s="46">
        <v>5.0</v>
      </c>
    </row>
    <row r="1489">
      <c r="A1489" s="51">
        <v>46204.0</v>
      </c>
      <c r="B1489" s="52">
        <v>0.7354166666666667</v>
      </c>
      <c r="C1489" s="45" t="s">
        <v>96</v>
      </c>
      <c r="D1489" s="45" t="s">
        <v>75</v>
      </c>
      <c r="E1489" s="45" t="s">
        <v>88</v>
      </c>
      <c r="F1489" s="46">
        <v>0.0</v>
      </c>
      <c r="G1489" s="46">
        <v>0.0</v>
      </c>
      <c r="H1489" s="46">
        <v>0.0</v>
      </c>
      <c r="I1489" s="46">
        <v>0.0</v>
      </c>
      <c r="J1489" s="46">
        <v>0.0</v>
      </c>
      <c r="K1489" s="46">
        <v>0.0</v>
      </c>
      <c r="L1489" s="46">
        <v>0.0</v>
      </c>
      <c r="M1489" s="46">
        <v>0.0</v>
      </c>
      <c r="N1489" s="46">
        <v>0.0</v>
      </c>
      <c r="O1489" s="46">
        <v>0.0</v>
      </c>
      <c r="P1489" s="46">
        <v>0.0</v>
      </c>
      <c r="Q1489" s="46">
        <v>0.0</v>
      </c>
    </row>
    <row r="1490">
      <c r="A1490" s="51">
        <v>46204.0</v>
      </c>
      <c r="B1490" s="52">
        <v>0.7354166666666667</v>
      </c>
      <c r="C1490" s="45" t="s">
        <v>96</v>
      </c>
      <c r="D1490" s="45" t="s">
        <v>75</v>
      </c>
      <c r="E1490" s="45" t="s">
        <v>89</v>
      </c>
      <c r="F1490" s="46">
        <v>1.0</v>
      </c>
      <c r="G1490" s="46">
        <v>0.0</v>
      </c>
      <c r="H1490" s="46">
        <v>0.0</v>
      </c>
      <c r="I1490" s="46">
        <v>0.0</v>
      </c>
      <c r="J1490" s="46">
        <v>0.0</v>
      </c>
      <c r="K1490" s="46">
        <v>1.0</v>
      </c>
      <c r="L1490" s="46">
        <v>1.0</v>
      </c>
      <c r="M1490" s="46">
        <v>0.0</v>
      </c>
      <c r="N1490" s="46">
        <v>0.0</v>
      </c>
      <c r="O1490" s="46">
        <v>0.0</v>
      </c>
      <c r="P1490" s="46">
        <v>0.0</v>
      </c>
      <c r="Q1490" s="46">
        <v>0.0</v>
      </c>
    </row>
    <row r="1491">
      <c r="A1491" s="51">
        <v>46204.0</v>
      </c>
      <c r="B1491" s="52">
        <v>0.7354166666666667</v>
      </c>
      <c r="C1491" s="45" t="s">
        <v>96</v>
      </c>
      <c r="D1491" s="45" t="s">
        <v>75</v>
      </c>
      <c r="E1491" s="45" t="s">
        <v>50</v>
      </c>
      <c r="F1491" s="46">
        <v>1.0</v>
      </c>
      <c r="G1491" s="46">
        <v>1.0</v>
      </c>
      <c r="H1491" s="46">
        <v>0.0</v>
      </c>
      <c r="I1491" s="46">
        <v>0.0</v>
      </c>
      <c r="J1491" s="46">
        <v>0.0</v>
      </c>
      <c r="K1491" s="46">
        <v>0.0</v>
      </c>
      <c r="L1491" s="46">
        <v>0.0</v>
      </c>
      <c r="M1491" s="46">
        <v>0.0</v>
      </c>
      <c r="N1491" s="46">
        <v>0.0</v>
      </c>
      <c r="O1491" s="46">
        <v>0.0</v>
      </c>
      <c r="P1491" s="46">
        <v>0.0</v>
      </c>
      <c r="Q1491" s="46">
        <v>0.0</v>
      </c>
    </row>
    <row r="1492">
      <c r="A1492" s="51">
        <v>46204.0</v>
      </c>
      <c r="B1492" s="52">
        <v>0.7354166666666667</v>
      </c>
      <c r="C1492" s="45" t="s">
        <v>96</v>
      </c>
      <c r="D1492" s="45" t="s">
        <v>75</v>
      </c>
      <c r="E1492" s="45" t="s">
        <v>90</v>
      </c>
      <c r="F1492" s="46">
        <v>0.0</v>
      </c>
      <c r="G1492" s="46">
        <v>0.0</v>
      </c>
      <c r="H1492" s="46">
        <v>0.0</v>
      </c>
      <c r="I1492" s="46">
        <v>0.0</v>
      </c>
      <c r="J1492" s="46">
        <v>0.0</v>
      </c>
      <c r="K1492" s="46">
        <v>0.0</v>
      </c>
      <c r="L1492" s="46">
        <v>0.0</v>
      </c>
      <c r="M1492" s="46">
        <v>0.0</v>
      </c>
      <c r="N1492" s="46">
        <v>0.0</v>
      </c>
      <c r="O1492" s="46">
        <v>0.0</v>
      </c>
      <c r="P1492" s="46">
        <v>0.0</v>
      </c>
      <c r="Q1492" s="46">
        <v>0.0</v>
      </c>
    </row>
    <row r="1493">
      <c r="A1493" s="51">
        <v>46204.0</v>
      </c>
      <c r="B1493" s="52">
        <v>0.7354166666666667</v>
      </c>
      <c r="C1493" s="45" t="s">
        <v>96</v>
      </c>
      <c r="D1493" s="45" t="s">
        <v>75</v>
      </c>
      <c r="E1493" s="45" t="s">
        <v>91</v>
      </c>
      <c r="F1493" s="46">
        <v>0.0</v>
      </c>
      <c r="G1493" s="46">
        <v>0.0</v>
      </c>
      <c r="H1493" s="46">
        <v>0.0</v>
      </c>
      <c r="I1493" s="46">
        <v>0.0</v>
      </c>
      <c r="J1493" s="46">
        <v>0.0</v>
      </c>
      <c r="K1493" s="46">
        <v>0.0</v>
      </c>
      <c r="L1493" s="46">
        <v>0.0</v>
      </c>
      <c r="M1493" s="46">
        <v>0.0</v>
      </c>
      <c r="N1493" s="46">
        <v>0.0</v>
      </c>
      <c r="O1493" s="46">
        <v>0.0</v>
      </c>
      <c r="P1493" s="46">
        <v>0.0</v>
      </c>
      <c r="Q1493" s="46">
        <v>0.0</v>
      </c>
    </row>
    <row r="1494">
      <c r="A1494" s="51">
        <v>46204.0</v>
      </c>
      <c r="B1494" s="52">
        <v>0.7354166666666667</v>
      </c>
      <c r="C1494" s="45" t="s">
        <v>96</v>
      </c>
      <c r="D1494" s="45" t="s">
        <v>75</v>
      </c>
      <c r="E1494" s="45" t="s">
        <v>92</v>
      </c>
      <c r="F1494" s="46">
        <v>0.0</v>
      </c>
      <c r="G1494" s="46">
        <v>0.0</v>
      </c>
      <c r="H1494" s="46">
        <v>0.0</v>
      </c>
      <c r="I1494" s="46">
        <v>0.0</v>
      </c>
      <c r="J1494" s="46">
        <v>0.0</v>
      </c>
      <c r="K1494" s="46">
        <v>0.0</v>
      </c>
      <c r="L1494" s="46">
        <v>0.0</v>
      </c>
      <c r="M1494" s="46">
        <v>0.0</v>
      </c>
      <c r="N1494" s="46">
        <v>0.0</v>
      </c>
      <c r="O1494" s="46">
        <v>0.0</v>
      </c>
      <c r="P1494" s="46">
        <v>0.0</v>
      </c>
      <c r="Q1494" s="46">
        <v>0.0</v>
      </c>
    </row>
    <row r="1495">
      <c r="A1495" s="51">
        <v>46204.0</v>
      </c>
      <c r="B1495" s="52">
        <v>0.7354166666666667</v>
      </c>
      <c r="C1495" s="45" t="s">
        <v>96</v>
      </c>
      <c r="D1495" s="45" t="s">
        <v>75</v>
      </c>
      <c r="E1495" s="45" t="s">
        <v>106</v>
      </c>
      <c r="F1495" s="46">
        <v>2.0</v>
      </c>
      <c r="G1495" s="46">
        <v>0.0</v>
      </c>
      <c r="H1495" s="46">
        <v>0.0</v>
      </c>
      <c r="I1495" s="46">
        <v>0.0</v>
      </c>
      <c r="J1495" s="46">
        <v>0.0</v>
      </c>
      <c r="K1495" s="46">
        <v>1.0</v>
      </c>
      <c r="L1495" s="46">
        <v>2.0</v>
      </c>
      <c r="M1495" s="46">
        <v>0.0</v>
      </c>
      <c r="N1495" s="46">
        <v>0.0</v>
      </c>
      <c r="O1495" s="46">
        <v>0.0</v>
      </c>
      <c r="P1495" s="46">
        <v>0.0</v>
      </c>
      <c r="Q1495" s="46">
        <v>0.0</v>
      </c>
    </row>
    <row r="1496">
      <c r="A1496" s="51">
        <v>46204.0</v>
      </c>
      <c r="B1496" s="52">
        <v>0.7354166666666667</v>
      </c>
      <c r="C1496" s="45" t="s">
        <v>96</v>
      </c>
      <c r="D1496" s="45" t="s">
        <v>75</v>
      </c>
      <c r="E1496" s="45" t="s">
        <v>107</v>
      </c>
      <c r="F1496" s="46">
        <v>0.0</v>
      </c>
      <c r="G1496" s="46">
        <v>0.0</v>
      </c>
      <c r="H1496" s="46">
        <v>0.0</v>
      </c>
      <c r="I1496" s="46">
        <v>0.0</v>
      </c>
      <c r="J1496" s="46">
        <v>0.0</v>
      </c>
      <c r="K1496" s="46">
        <v>0.0</v>
      </c>
      <c r="L1496" s="46">
        <v>0.0</v>
      </c>
      <c r="M1496" s="46">
        <v>0.0</v>
      </c>
      <c r="N1496" s="46">
        <v>0.0</v>
      </c>
      <c r="O1496" s="46">
        <v>0.0</v>
      </c>
      <c r="P1496" s="46">
        <v>0.0</v>
      </c>
      <c r="Q1496" s="46">
        <v>0.0</v>
      </c>
    </row>
    <row r="1497">
      <c r="A1497" s="49">
        <v>46205.0</v>
      </c>
      <c r="B1497" s="50">
        <v>0.2222222222222222</v>
      </c>
      <c r="C1497" s="41" t="s">
        <v>15</v>
      </c>
      <c r="D1497" s="41" t="s">
        <v>87</v>
      </c>
      <c r="E1497" s="41" t="s">
        <v>52</v>
      </c>
      <c r="F1497" s="42">
        <v>3.0</v>
      </c>
      <c r="G1497" s="42">
        <v>1.0</v>
      </c>
      <c r="H1497" s="42">
        <v>1.0</v>
      </c>
      <c r="I1497" s="42">
        <v>0.0</v>
      </c>
      <c r="J1497" s="42">
        <v>0.0</v>
      </c>
      <c r="K1497" s="42">
        <v>1.0</v>
      </c>
      <c r="L1497" s="42">
        <v>3.0</v>
      </c>
      <c r="M1497" s="42">
        <v>0.0</v>
      </c>
      <c r="N1497" s="42">
        <v>0.0</v>
      </c>
      <c r="O1497" s="42">
        <v>0.0</v>
      </c>
      <c r="P1497" s="42">
        <v>0.0</v>
      </c>
      <c r="Q1497" s="42">
        <v>1.0</v>
      </c>
    </row>
    <row r="1498">
      <c r="A1498" s="47">
        <v>46205.0</v>
      </c>
      <c r="B1498" s="48">
        <v>0.2222222222222222</v>
      </c>
      <c r="C1498" s="37" t="s">
        <v>15</v>
      </c>
      <c r="D1498" s="37" t="s">
        <v>87</v>
      </c>
      <c r="E1498" s="37" t="s">
        <v>88</v>
      </c>
      <c r="F1498" s="38">
        <v>0.0</v>
      </c>
      <c r="G1498" s="38">
        <v>0.0</v>
      </c>
      <c r="H1498" s="38">
        <v>0.0</v>
      </c>
      <c r="I1498" s="38">
        <v>0.0</v>
      </c>
      <c r="J1498" s="38">
        <v>0.0</v>
      </c>
      <c r="K1498" s="38">
        <v>0.0</v>
      </c>
      <c r="L1498" s="38">
        <v>0.0</v>
      </c>
      <c r="M1498" s="38">
        <v>0.0</v>
      </c>
      <c r="N1498" s="38">
        <v>0.0</v>
      </c>
      <c r="O1498" s="38">
        <v>0.0</v>
      </c>
      <c r="P1498" s="38">
        <v>0.0</v>
      </c>
      <c r="Q1498" s="38">
        <v>0.0</v>
      </c>
    </row>
    <row r="1499">
      <c r="A1499" s="49">
        <v>46205.0</v>
      </c>
      <c r="B1499" s="50">
        <v>0.2222222222222222</v>
      </c>
      <c r="C1499" s="41" t="s">
        <v>15</v>
      </c>
      <c r="D1499" s="41" t="s">
        <v>87</v>
      </c>
      <c r="E1499" s="41" t="s">
        <v>89</v>
      </c>
      <c r="F1499" s="42">
        <v>0.0</v>
      </c>
      <c r="G1499" s="42">
        <v>0.0</v>
      </c>
      <c r="H1499" s="42">
        <v>0.0</v>
      </c>
      <c r="I1499" s="42">
        <v>0.0</v>
      </c>
      <c r="J1499" s="42">
        <v>0.0</v>
      </c>
      <c r="K1499" s="42">
        <v>0.0</v>
      </c>
      <c r="L1499" s="42">
        <v>0.0</v>
      </c>
      <c r="M1499" s="42">
        <v>0.0</v>
      </c>
      <c r="N1499" s="42">
        <v>0.0</v>
      </c>
      <c r="O1499" s="42">
        <v>0.0</v>
      </c>
      <c r="P1499" s="42">
        <v>0.0</v>
      </c>
      <c r="Q1499" s="42">
        <v>0.0</v>
      </c>
    </row>
    <row r="1500">
      <c r="A1500" s="47">
        <v>46205.0</v>
      </c>
      <c r="B1500" s="48">
        <v>0.2222222222222222</v>
      </c>
      <c r="C1500" s="37" t="s">
        <v>15</v>
      </c>
      <c r="D1500" s="37" t="s">
        <v>87</v>
      </c>
      <c r="E1500" s="37" t="s">
        <v>50</v>
      </c>
      <c r="F1500" s="38">
        <v>0.0</v>
      </c>
      <c r="G1500" s="38">
        <v>0.0</v>
      </c>
      <c r="H1500" s="38">
        <v>0.0</v>
      </c>
      <c r="I1500" s="38">
        <v>0.0</v>
      </c>
      <c r="J1500" s="38">
        <v>0.0</v>
      </c>
      <c r="K1500" s="38">
        <v>0.0</v>
      </c>
      <c r="L1500" s="38">
        <v>0.0</v>
      </c>
      <c r="M1500" s="38">
        <v>0.0</v>
      </c>
      <c r="N1500" s="38">
        <v>0.0</v>
      </c>
      <c r="O1500" s="38">
        <v>0.0</v>
      </c>
      <c r="P1500" s="38">
        <v>0.0</v>
      </c>
      <c r="Q1500" s="38">
        <v>0.0</v>
      </c>
    </row>
    <row r="1501">
      <c r="A1501" s="49">
        <v>46205.0</v>
      </c>
      <c r="B1501" s="50">
        <v>0.2222222222222222</v>
      </c>
      <c r="C1501" s="41" t="s">
        <v>15</v>
      </c>
      <c r="D1501" s="41" t="s">
        <v>87</v>
      </c>
      <c r="E1501" s="41" t="s">
        <v>90</v>
      </c>
      <c r="F1501" s="42">
        <v>0.0</v>
      </c>
      <c r="G1501" s="42">
        <v>0.0</v>
      </c>
      <c r="H1501" s="42">
        <v>0.0</v>
      </c>
      <c r="I1501" s="42">
        <v>0.0</v>
      </c>
      <c r="J1501" s="42">
        <v>0.0</v>
      </c>
      <c r="K1501" s="42">
        <v>0.0</v>
      </c>
      <c r="L1501" s="42">
        <v>0.0</v>
      </c>
      <c r="M1501" s="42">
        <v>0.0</v>
      </c>
      <c r="N1501" s="42">
        <v>0.0</v>
      </c>
      <c r="O1501" s="42">
        <v>0.0</v>
      </c>
      <c r="P1501" s="42">
        <v>0.0</v>
      </c>
      <c r="Q1501" s="42">
        <v>0.0</v>
      </c>
    </row>
    <row r="1502">
      <c r="A1502" s="47">
        <v>46205.0</v>
      </c>
      <c r="B1502" s="48">
        <v>0.2222222222222222</v>
      </c>
      <c r="C1502" s="37" t="s">
        <v>15</v>
      </c>
      <c r="D1502" s="37" t="s">
        <v>87</v>
      </c>
      <c r="E1502" s="37" t="s">
        <v>91</v>
      </c>
      <c r="F1502" s="38">
        <v>0.0</v>
      </c>
      <c r="G1502" s="38">
        <v>0.0</v>
      </c>
      <c r="H1502" s="38">
        <v>0.0</v>
      </c>
      <c r="I1502" s="38">
        <v>0.0</v>
      </c>
      <c r="J1502" s="38">
        <v>0.0</v>
      </c>
      <c r="K1502" s="38">
        <v>0.0</v>
      </c>
      <c r="L1502" s="38">
        <v>0.0</v>
      </c>
      <c r="M1502" s="38">
        <v>0.0</v>
      </c>
      <c r="N1502" s="38">
        <v>0.0</v>
      </c>
      <c r="O1502" s="38">
        <v>0.0</v>
      </c>
      <c r="P1502" s="38">
        <v>0.0</v>
      </c>
      <c r="Q1502" s="38">
        <v>0.0</v>
      </c>
    </row>
    <row r="1503">
      <c r="A1503" s="49">
        <v>46205.0</v>
      </c>
      <c r="B1503" s="50">
        <v>0.2222222222222222</v>
      </c>
      <c r="C1503" s="41" t="s">
        <v>15</v>
      </c>
      <c r="D1503" s="41" t="s">
        <v>87</v>
      </c>
      <c r="E1503" s="41" t="s">
        <v>92</v>
      </c>
      <c r="F1503" s="42">
        <v>0.0</v>
      </c>
      <c r="G1503" s="42">
        <v>0.0</v>
      </c>
      <c r="H1503" s="42">
        <v>0.0</v>
      </c>
      <c r="I1503" s="42">
        <v>0.0</v>
      </c>
      <c r="J1503" s="42">
        <v>0.0</v>
      </c>
      <c r="K1503" s="42">
        <v>0.0</v>
      </c>
      <c r="L1503" s="42">
        <v>0.0</v>
      </c>
      <c r="M1503" s="42">
        <v>0.0</v>
      </c>
      <c r="N1503" s="42">
        <v>0.0</v>
      </c>
      <c r="O1503" s="42">
        <v>0.0</v>
      </c>
      <c r="P1503" s="42">
        <v>0.0</v>
      </c>
      <c r="Q1503" s="42">
        <v>0.0</v>
      </c>
    </row>
    <row r="1504">
      <c r="A1504" s="47">
        <v>46205.0</v>
      </c>
      <c r="B1504" s="48">
        <v>0.2222222222222222</v>
      </c>
      <c r="C1504" s="37" t="s">
        <v>15</v>
      </c>
      <c r="D1504" s="37" t="s">
        <v>87</v>
      </c>
      <c r="E1504" s="37" t="s">
        <v>106</v>
      </c>
      <c r="F1504" s="38">
        <v>0.0</v>
      </c>
      <c r="G1504" s="38">
        <v>0.0</v>
      </c>
      <c r="H1504" s="38">
        <v>0.0</v>
      </c>
      <c r="I1504" s="38">
        <v>0.0</v>
      </c>
      <c r="J1504" s="38">
        <v>0.0</v>
      </c>
      <c r="K1504" s="38">
        <v>0.0</v>
      </c>
      <c r="L1504" s="38">
        <v>0.0</v>
      </c>
      <c r="M1504" s="38">
        <v>0.0</v>
      </c>
      <c r="N1504" s="38">
        <v>0.0</v>
      </c>
      <c r="O1504" s="38">
        <v>0.0</v>
      </c>
      <c r="P1504" s="38">
        <v>0.0</v>
      </c>
      <c r="Q1504" s="38">
        <v>0.0</v>
      </c>
    </row>
    <row r="1505">
      <c r="A1505" s="49">
        <v>46205.0</v>
      </c>
      <c r="B1505" s="50">
        <v>0.2222222222222222</v>
      </c>
      <c r="C1505" s="41" t="s">
        <v>15</v>
      </c>
      <c r="D1505" s="41" t="s">
        <v>87</v>
      </c>
      <c r="E1505" s="41" t="s">
        <v>107</v>
      </c>
      <c r="F1505" s="42">
        <v>0.0</v>
      </c>
      <c r="G1505" s="42">
        <v>0.0</v>
      </c>
      <c r="H1505" s="42">
        <v>0.0</v>
      </c>
      <c r="I1505" s="42">
        <v>0.0</v>
      </c>
      <c r="J1505" s="42">
        <v>0.0</v>
      </c>
      <c r="K1505" s="42">
        <v>0.0</v>
      </c>
      <c r="L1505" s="42">
        <v>0.0</v>
      </c>
      <c r="M1505" s="42">
        <v>0.0</v>
      </c>
      <c r="N1505" s="42">
        <v>0.0</v>
      </c>
      <c r="O1505" s="42">
        <v>0.0</v>
      </c>
      <c r="P1505" s="42">
        <v>0.0</v>
      </c>
      <c r="Q1505" s="42">
        <v>0.0</v>
      </c>
    </row>
    <row r="1506">
      <c r="A1506" s="47">
        <v>46205.0</v>
      </c>
      <c r="B1506" s="48">
        <v>0.2222222222222222</v>
      </c>
      <c r="C1506" s="37" t="s">
        <v>23</v>
      </c>
      <c r="D1506" s="37" t="s">
        <v>93</v>
      </c>
      <c r="E1506" s="37" t="s">
        <v>52</v>
      </c>
      <c r="F1506" s="38">
        <v>4.0</v>
      </c>
      <c r="G1506" s="38">
        <v>1.0</v>
      </c>
      <c r="H1506" s="38">
        <v>3.0</v>
      </c>
      <c r="I1506" s="38">
        <v>0.0</v>
      </c>
      <c r="J1506" s="38">
        <v>0.0</v>
      </c>
      <c r="K1506" s="38">
        <v>4.0</v>
      </c>
      <c r="L1506" s="38">
        <v>4.0</v>
      </c>
      <c r="M1506" s="38">
        <v>0.0</v>
      </c>
      <c r="N1506" s="38">
        <v>0.0</v>
      </c>
      <c r="O1506" s="38">
        <v>0.0</v>
      </c>
      <c r="P1506" s="38">
        <v>1.0</v>
      </c>
      <c r="Q1506" s="38">
        <v>1.0</v>
      </c>
    </row>
    <row r="1507">
      <c r="A1507" s="49">
        <v>46205.0</v>
      </c>
      <c r="B1507" s="50">
        <v>0.2222222222222222</v>
      </c>
      <c r="C1507" s="41" t="s">
        <v>23</v>
      </c>
      <c r="D1507" s="41" t="s">
        <v>93</v>
      </c>
      <c r="E1507" s="41" t="s">
        <v>88</v>
      </c>
      <c r="F1507" s="42">
        <v>0.0</v>
      </c>
      <c r="G1507" s="42">
        <v>0.0</v>
      </c>
      <c r="H1507" s="42">
        <v>0.0</v>
      </c>
      <c r="I1507" s="42">
        <v>0.0</v>
      </c>
      <c r="J1507" s="42">
        <v>0.0</v>
      </c>
      <c r="K1507" s="42">
        <v>0.0</v>
      </c>
      <c r="L1507" s="42">
        <v>0.0</v>
      </c>
      <c r="M1507" s="42">
        <v>0.0</v>
      </c>
      <c r="N1507" s="42">
        <v>0.0</v>
      </c>
      <c r="O1507" s="42">
        <v>0.0</v>
      </c>
      <c r="P1507" s="42">
        <v>0.0</v>
      </c>
      <c r="Q1507" s="42">
        <v>0.0</v>
      </c>
    </row>
    <row r="1508">
      <c r="A1508" s="47">
        <v>46205.0</v>
      </c>
      <c r="B1508" s="48">
        <v>0.2222222222222222</v>
      </c>
      <c r="C1508" s="37" t="s">
        <v>23</v>
      </c>
      <c r="D1508" s="37" t="s">
        <v>93</v>
      </c>
      <c r="E1508" s="37" t="s">
        <v>89</v>
      </c>
      <c r="F1508" s="38">
        <v>0.0</v>
      </c>
      <c r="G1508" s="38">
        <v>0.0</v>
      </c>
      <c r="H1508" s="38">
        <v>0.0</v>
      </c>
      <c r="I1508" s="38">
        <v>0.0</v>
      </c>
      <c r="J1508" s="38">
        <v>0.0</v>
      </c>
      <c r="K1508" s="38">
        <v>0.0</v>
      </c>
      <c r="L1508" s="38">
        <v>0.0</v>
      </c>
      <c r="M1508" s="38">
        <v>0.0</v>
      </c>
      <c r="N1508" s="38">
        <v>0.0</v>
      </c>
      <c r="O1508" s="38">
        <v>0.0</v>
      </c>
      <c r="P1508" s="38">
        <v>0.0</v>
      </c>
      <c r="Q1508" s="38">
        <v>0.0</v>
      </c>
    </row>
    <row r="1509">
      <c r="A1509" s="49">
        <v>46205.0</v>
      </c>
      <c r="B1509" s="50">
        <v>0.2222222222222222</v>
      </c>
      <c r="C1509" s="41" t="s">
        <v>23</v>
      </c>
      <c r="D1509" s="41" t="s">
        <v>93</v>
      </c>
      <c r="E1509" s="41" t="s">
        <v>50</v>
      </c>
      <c r="F1509" s="42">
        <v>0.0</v>
      </c>
      <c r="G1509" s="42">
        <v>0.0</v>
      </c>
      <c r="H1509" s="42">
        <v>0.0</v>
      </c>
      <c r="I1509" s="42">
        <v>0.0</v>
      </c>
      <c r="J1509" s="42">
        <v>0.0</v>
      </c>
      <c r="K1509" s="42">
        <v>0.0</v>
      </c>
      <c r="L1509" s="42">
        <v>0.0</v>
      </c>
      <c r="M1509" s="42">
        <v>0.0</v>
      </c>
      <c r="N1509" s="42">
        <v>0.0</v>
      </c>
      <c r="O1509" s="42">
        <v>0.0</v>
      </c>
      <c r="P1509" s="42">
        <v>0.0</v>
      </c>
      <c r="Q1509" s="42">
        <v>0.0</v>
      </c>
    </row>
    <row r="1510">
      <c r="A1510" s="47">
        <v>46205.0</v>
      </c>
      <c r="B1510" s="48">
        <v>0.2222222222222222</v>
      </c>
      <c r="C1510" s="37" t="s">
        <v>23</v>
      </c>
      <c r="D1510" s="37" t="s">
        <v>93</v>
      </c>
      <c r="E1510" s="37" t="s">
        <v>90</v>
      </c>
      <c r="F1510" s="38">
        <v>0.0</v>
      </c>
      <c r="G1510" s="38">
        <v>0.0</v>
      </c>
      <c r="H1510" s="38">
        <v>0.0</v>
      </c>
      <c r="I1510" s="38">
        <v>0.0</v>
      </c>
      <c r="J1510" s="38">
        <v>0.0</v>
      </c>
      <c r="K1510" s="38">
        <v>0.0</v>
      </c>
      <c r="L1510" s="38">
        <v>0.0</v>
      </c>
      <c r="M1510" s="38">
        <v>0.0</v>
      </c>
      <c r="N1510" s="38">
        <v>0.0</v>
      </c>
      <c r="O1510" s="38">
        <v>0.0</v>
      </c>
      <c r="P1510" s="38">
        <v>0.0</v>
      </c>
      <c r="Q1510" s="38">
        <v>0.0</v>
      </c>
    </row>
    <row r="1511">
      <c r="A1511" s="49">
        <v>46205.0</v>
      </c>
      <c r="B1511" s="50">
        <v>0.2222222222222222</v>
      </c>
      <c r="C1511" s="41" t="s">
        <v>23</v>
      </c>
      <c r="D1511" s="41" t="s">
        <v>93</v>
      </c>
      <c r="E1511" s="41" t="s">
        <v>91</v>
      </c>
      <c r="F1511" s="42">
        <v>0.0</v>
      </c>
      <c r="G1511" s="42">
        <v>0.0</v>
      </c>
      <c r="H1511" s="42">
        <v>0.0</v>
      </c>
      <c r="I1511" s="42">
        <v>0.0</v>
      </c>
      <c r="J1511" s="42">
        <v>0.0</v>
      </c>
      <c r="K1511" s="42">
        <v>0.0</v>
      </c>
      <c r="L1511" s="42">
        <v>0.0</v>
      </c>
      <c r="M1511" s="42">
        <v>0.0</v>
      </c>
      <c r="N1511" s="42">
        <v>0.0</v>
      </c>
      <c r="O1511" s="42">
        <v>0.0</v>
      </c>
      <c r="P1511" s="42">
        <v>0.0</v>
      </c>
      <c r="Q1511" s="42">
        <v>0.0</v>
      </c>
    </row>
    <row r="1512">
      <c r="A1512" s="47">
        <v>46205.0</v>
      </c>
      <c r="B1512" s="48">
        <v>0.2222222222222222</v>
      </c>
      <c r="C1512" s="37" t="s">
        <v>23</v>
      </c>
      <c r="D1512" s="37" t="s">
        <v>93</v>
      </c>
      <c r="E1512" s="37" t="s">
        <v>92</v>
      </c>
      <c r="F1512" s="38">
        <v>0.0</v>
      </c>
      <c r="G1512" s="38">
        <v>0.0</v>
      </c>
      <c r="H1512" s="38">
        <v>0.0</v>
      </c>
      <c r="I1512" s="38">
        <v>0.0</v>
      </c>
      <c r="J1512" s="38">
        <v>0.0</v>
      </c>
      <c r="K1512" s="38">
        <v>0.0</v>
      </c>
      <c r="L1512" s="38">
        <v>0.0</v>
      </c>
      <c r="M1512" s="38">
        <v>0.0</v>
      </c>
      <c r="N1512" s="38">
        <v>0.0</v>
      </c>
      <c r="O1512" s="38">
        <v>0.0</v>
      </c>
      <c r="P1512" s="38">
        <v>0.0</v>
      </c>
      <c r="Q1512" s="38">
        <v>0.0</v>
      </c>
    </row>
    <row r="1513">
      <c r="A1513" s="49">
        <v>46205.0</v>
      </c>
      <c r="B1513" s="50">
        <v>0.2222222222222222</v>
      </c>
      <c r="C1513" s="41" t="s">
        <v>23</v>
      </c>
      <c r="D1513" s="41" t="s">
        <v>93</v>
      </c>
      <c r="E1513" s="41" t="s">
        <v>106</v>
      </c>
      <c r="F1513" s="42">
        <v>0.0</v>
      </c>
      <c r="G1513" s="42">
        <v>0.0</v>
      </c>
      <c r="H1513" s="42">
        <v>0.0</v>
      </c>
      <c r="I1513" s="42">
        <v>0.0</v>
      </c>
      <c r="J1513" s="42">
        <v>0.0</v>
      </c>
      <c r="K1513" s="42">
        <v>0.0</v>
      </c>
      <c r="L1513" s="42">
        <v>0.0</v>
      </c>
      <c r="M1513" s="42">
        <v>0.0</v>
      </c>
      <c r="N1513" s="42">
        <v>0.0</v>
      </c>
      <c r="O1513" s="42">
        <v>0.0</v>
      </c>
      <c r="P1513" s="42">
        <v>0.0</v>
      </c>
      <c r="Q1513" s="42">
        <v>0.0</v>
      </c>
    </row>
    <row r="1514">
      <c r="A1514" s="47">
        <v>46205.0</v>
      </c>
      <c r="B1514" s="48">
        <v>0.2222222222222222</v>
      </c>
      <c r="C1514" s="37" t="s">
        <v>23</v>
      </c>
      <c r="D1514" s="37" t="s">
        <v>93</v>
      </c>
      <c r="E1514" s="37" t="s">
        <v>107</v>
      </c>
      <c r="F1514" s="38">
        <v>0.0</v>
      </c>
      <c r="G1514" s="38">
        <v>0.0</v>
      </c>
      <c r="H1514" s="38">
        <v>0.0</v>
      </c>
      <c r="I1514" s="38">
        <v>0.0</v>
      </c>
      <c r="J1514" s="38">
        <v>0.0</v>
      </c>
      <c r="K1514" s="38">
        <v>0.0</v>
      </c>
      <c r="L1514" s="38">
        <v>0.0</v>
      </c>
      <c r="M1514" s="38">
        <v>0.0</v>
      </c>
      <c r="N1514" s="38">
        <v>0.0</v>
      </c>
      <c r="O1514" s="38">
        <v>0.0</v>
      </c>
      <c r="P1514" s="38">
        <v>0.0</v>
      </c>
      <c r="Q1514" s="38">
        <v>0.0</v>
      </c>
    </row>
    <row r="1515">
      <c r="A1515" s="49">
        <v>46205.0</v>
      </c>
      <c r="B1515" s="50">
        <v>0.2222222222222222</v>
      </c>
      <c r="C1515" s="41" t="s">
        <v>29</v>
      </c>
      <c r="D1515" s="41" t="s">
        <v>94</v>
      </c>
      <c r="E1515" s="41" t="s">
        <v>52</v>
      </c>
      <c r="F1515" s="42">
        <v>8.0</v>
      </c>
      <c r="G1515" s="42">
        <v>3.0</v>
      </c>
      <c r="H1515" s="42">
        <v>1.0</v>
      </c>
      <c r="I1515" s="42">
        <v>0.0</v>
      </c>
      <c r="J1515" s="42">
        <v>0.0</v>
      </c>
      <c r="K1515" s="42">
        <v>7.0</v>
      </c>
      <c r="L1515" s="42">
        <v>8.0</v>
      </c>
      <c r="M1515" s="42">
        <v>0.0</v>
      </c>
      <c r="N1515" s="42">
        <v>0.0</v>
      </c>
      <c r="O1515" s="42">
        <v>0.0</v>
      </c>
      <c r="P1515" s="42">
        <v>3.0</v>
      </c>
      <c r="Q1515" s="42">
        <v>3.0</v>
      </c>
    </row>
    <row r="1516">
      <c r="A1516" s="47">
        <v>46205.0</v>
      </c>
      <c r="B1516" s="48">
        <v>0.2222222222222222</v>
      </c>
      <c r="C1516" s="37" t="s">
        <v>29</v>
      </c>
      <c r="D1516" s="37" t="s">
        <v>94</v>
      </c>
      <c r="E1516" s="37" t="s">
        <v>88</v>
      </c>
      <c r="F1516" s="38">
        <v>0.0</v>
      </c>
      <c r="G1516" s="38">
        <v>0.0</v>
      </c>
      <c r="H1516" s="38">
        <v>0.0</v>
      </c>
      <c r="I1516" s="38">
        <v>0.0</v>
      </c>
      <c r="J1516" s="38">
        <v>0.0</v>
      </c>
      <c r="K1516" s="38">
        <v>0.0</v>
      </c>
      <c r="L1516" s="38">
        <v>0.0</v>
      </c>
      <c r="M1516" s="38">
        <v>0.0</v>
      </c>
      <c r="N1516" s="38">
        <v>0.0</v>
      </c>
      <c r="O1516" s="38">
        <v>0.0</v>
      </c>
      <c r="P1516" s="38">
        <v>0.0</v>
      </c>
      <c r="Q1516" s="38">
        <v>0.0</v>
      </c>
    </row>
    <row r="1517">
      <c r="A1517" s="49">
        <v>46205.0</v>
      </c>
      <c r="B1517" s="50">
        <v>0.2222222222222222</v>
      </c>
      <c r="C1517" s="41" t="s">
        <v>29</v>
      </c>
      <c r="D1517" s="41" t="s">
        <v>94</v>
      </c>
      <c r="E1517" s="41" t="s">
        <v>89</v>
      </c>
      <c r="F1517" s="42">
        <v>1.0</v>
      </c>
      <c r="G1517" s="42">
        <v>0.0</v>
      </c>
      <c r="H1517" s="42">
        <v>0.0</v>
      </c>
      <c r="I1517" s="42">
        <v>0.0</v>
      </c>
      <c r="J1517" s="42">
        <v>0.0</v>
      </c>
      <c r="K1517" s="42">
        <v>1.0</v>
      </c>
      <c r="L1517" s="42">
        <v>1.0</v>
      </c>
      <c r="M1517" s="42">
        <v>0.0</v>
      </c>
      <c r="N1517" s="42">
        <v>0.0</v>
      </c>
      <c r="O1517" s="42">
        <v>0.0</v>
      </c>
      <c r="P1517" s="42">
        <v>0.0</v>
      </c>
      <c r="Q1517" s="42">
        <v>0.0</v>
      </c>
    </row>
    <row r="1518">
      <c r="A1518" s="47">
        <v>46205.0</v>
      </c>
      <c r="B1518" s="48">
        <v>0.2222222222222222</v>
      </c>
      <c r="C1518" s="37" t="s">
        <v>29</v>
      </c>
      <c r="D1518" s="37" t="s">
        <v>94</v>
      </c>
      <c r="E1518" s="37" t="s">
        <v>50</v>
      </c>
      <c r="F1518" s="38">
        <v>0.0</v>
      </c>
      <c r="G1518" s="38">
        <v>0.0</v>
      </c>
      <c r="H1518" s="38">
        <v>0.0</v>
      </c>
      <c r="I1518" s="38">
        <v>0.0</v>
      </c>
      <c r="J1518" s="38">
        <v>0.0</v>
      </c>
      <c r="K1518" s="38">
        <v>0.0</v>
      </c>
      <c r="L1518" s="38">
        <v>0.0</v>
      </c>
      <c r="M1518" s="38">
        <v>0.0</v>
      </c>
      <c r="N1518" s="38">
        <v>0.0</v>
      </c>
      <c r="O1518" s="38">
        <v>0.0</v>
      </c>
      <c r="P1518" s="38">
        <v>0.0</v>
      </c>
      <c r="Q1518" s="38">
        <v>0.0</v>
      </c>
    </row>
    <row r="1519">
      <c r="A1519" s="49">
        <v>46205.0</v>
      </c>
      <c r="B1519" s="50">
        <v>0.2222222222222222</v>
      </c>
      <c r="C1519" s="41" t="s">
        <v>29</v>
      </c>
      <c r="D1519" s="41" t="s">
        <v>94</v>
      </c>
      <c r="E1519" s="41" t="s">
        <v>90</v>
      </c>
      <c r="F1519" s="42">
        <v>0.0</v>
      </c>
      <c r="G1519" s="42">
        <v>0.0</v>
      </c>
      <c r="H1519" s="42">
        <v>0.0</v>
      </c>
      <c r="I1519" s="42">
        <v>0.0</v>
      </c>
      <c r="J1519" s="42">
        <v>0.0</v>
      </c>
      <c r="K1519" s="42">
        <v>0.0</v>
      </c>
      <c r="L1519" s="42">
        <v>0.0</v>
      </c>
      <c r="M1519" s="42">
        <v>0.0</v>
      </c>
      <c r="N1519" s="42">
        <v>0.0</v>
      </c>
      <c r="O1519" s="42">
        <v>0.0</v>
      </c>
      <c r="P1519" s="42">
        <v>0.0</v>
      </c>
      <c r="Q1519" s="42">
        <v>0.0</v>
      </c>
    </row>
    <row r="1520">
      <c r="A1520" s="47">
        <v>46205.0</v>
      </c>
      <c r="B1520" s="48">
        <v>0.2222222222222222</v>
      </c>
      <c r="C1520" s="37" t="s">
        <v>29</v>
      </c>
      <c r="D1520" s="37" t="s">
        <v>94</v>
      </c>
      <c r="E1520" s="37" t="s">
        <v>91</v>
      </c>
      <c r="F1520" s="38">
        <v>0.0</v>
      </c>
      <c r="G1520" s="38">
        <v>0.0</v>
      </c>
      <c r="H1520" s="38">
        <v>0.0</v>
      </c>
      <c r="I1520" s="38">
        <v>0.0</v>
      </c>
      <c r="J1520" s="38">
        <v>0.0</v>
      </c>
      <c r="K1520" s="38">
        <v>0.0</v>
      </c>
      <c r="L1520" s="38">
        <v>0.0</v>
      </c>
      <c r="M1520" s="38">
        <v>0.0</v>
      </c>
      <c r="N1520" s="38">
        <v>0.0</v>
      </c>
      <c r="O1520" s="38">
        <v>0.0</v>
      </c>
      <c r="P1520" s="38">
        <v>0.0</v>
      </c>
      <c r="Q1520" s="38">
        <v>0.0</v>
      </c>
    </row>
    <row r="1521">
      <c r="A1521" s="49">
        <v>46205.0</v>
      </c>
      <c r="B1521" s="50">
        <v>0.2222222222222222</v>
      </c>
      <c r="C1521" s="41" t="s">
        <v>29</v>
      </c>
      <c r="D1521" s="41" t="s">
        <v>94</v>
      </c>
      <c r="E1521" s="41" t="s">
        <v>92</v>
      </c>
      <c r="F1521" s="42">
        <v>0.0</v>
      </c>
      <c r="G1521" s="42">
        <v>0.0</v>
      </c>
      <c r="H1521" s="42">
        <v>0.0</v>
      </c>
      <c r="I1521" s="42">
        <v>0.0</v>
      </c>
      <c r="J1521" s="42">
        <v>0.0</v>
      </c>
      <c r="K1521" s="42">
        <v>0.0</v>
      </c>
      <c r="L1521" s="42">
        <v>0.0</v>
      </c>
      <c r="M1521" s="42">
        <v>0.0</v>
      </c>
      <c r="N1521" s="42">
        <v>0.0</v>
      </c>
      <c r="O1521" s="42">
        <v>0.0</v>
      </c>
      <c r="P1521" s="42">
        <v>0.0</v>
      </c>
      <c r="Q1521" s="42">
        <v>0.0</v>
      </c>
    </row>
    <row r="1522">
      <c r="A1522" s="47">
        <v>46205.0</v>
      </c>
      <c r="B1522" s="48">
        <v>0.2222222222222222</v>
      </c>
      <c r="C1522" s="37" t="s">
        <v>29</v>
      </c>
      <c r="D1522" s="37" t="s">
        <v>94</v>
      </c>
      <c r="E1522" s="37" t="s">
        <v>106</v>
      </c>
      <c r="F1522" s="38">
        <v>2.0</v>
      </c>
      <c r="G1522" s="38">
        <v>0.0</v>
      </c>
      <c r="H1522" s="38">
        <v>0.0</v>
      </c>
      <c r="I1522" s="38">
        <v>0.0</v>
      </c>
      <c r="J1522" s="38">
        <v>0.0</v>
      </c>
      <c r="K1522" s="38">
        <v>0.0</v>
      </c>
      <c r="L1522" s="38">
        <v>2.0</v>
      </c>
      <c r="M1522" s="38">
        <v>0.0</v>
      </c>
      <c r="N1522" s="38">
        <v>0.0</v>
      </c>
      <c r="O1522" s="38">
        <v>0.0</v>
      </c>
      <c r="P1522" s="38">
        <v>0.0</v>
      </c>
      <c r="Q1522" s="38">
        <v>0.0</v>
      </c>
    </row>
    <row r="1523">
      <c r="A1523" s="49">
        <v>46205.0</v>
      </c>
      <c r="B1523" s="50">
        <v>0.2222222222222222</v>
      </c>
      <c r="C1523" s="41" t="s">
        <v>29</v>
      </c>
      <c r="D1523" s="41" t="s">
        <v>94</v>
      </c>
      <c r="E1523" s="41" t="s">
        <v>107</v>
      </c>
      <c r="F1523" s="42">
        <v>0.0</v>
      </c>
      <c r="G1523" s="42">
        <v>0.0</v>
      </c>
      <c r="H1523" s="42">
        <v>0.0</v>
      </c>
      <c r="I1523" s="42">
        <v>0.0</v>
      </c>
      <c r="J1523" s="42">
        <v>0.0</v>
      </c>
      <c r="K1523" s="42">
        <v>0.0</v>
      </c>
      <c r="L1523" s="42">
        <v>0.0</v>
      </c>
      <c r="M1523" s="42">
        <v>0.0</v>
      </c>
      <c r="N1523" s="42">
        <v>0.0</v>
      </c>
      <c r="O1523" s="42">
        <v>0.0</v>
      </c>
      <c r="P1523" s="42">
        <v>0.0</v>
      </c>
      <c r="Q1523" s="42">
        <v>0.0</v>
      </c>
    </row>
    <row r="1524">
      <c r="A1524" s="47">
        <v>46205.0</v>
      </c>
      <c r="B1524" s="48">
        <v>0.2222222222222222</v>
      </c>
      <c r="C1524" s="37" t="s">
        <v>31</v>
      </c>
      <c r="D1524" s="37" t="s">
        <v>95</v>
      </c>
      <c r="E1524" s="37" t="s">
        <v>52</v>
      </c>
      <c r="F1524" s="38">
        <v>2.0</v>
      </c>
      <c r="G1524" s="38">
        <v>0.0</v>
      </c>
      <c r="H1524" s="38">
        <v>2.0</v>
      </c>
      <c r="I1524" s="38">
        <v>0.0</v>
      </c>
      <c r="J1524" s="38">
        <v>0.0</v>
      </c>
      <c r="K1524" s="38">
        <v>2.0</v>
      </c>
      <c r="L1524" s="38">
        <v>2.0</v>
      </c>
      <c r="M1524" s="38">
        <v>0.0</v>
      </c>
      <c r="N1524" s="38">
        <v>0.0</v>
      </c>
      <c r="O1524" s="38">
        <v>0.0</v>
      </c>
      <c r="P1524" s="38">
        <v>0.0</v>
      </c>
      <c r="Q1524" s="38">
        <v>0.0</v>
      </c>
    </row>
    <row r="1525">
      <c r="A1525" s="49">
        <v>46205.0</v>
      </c>
      <c r="B1525" s="50">
        <v>0.2222222222222222</v>
      </c>
      <c r="C1525" s="41" t="s">
        <v>31</v>
      </c>
      <c r="D1525" s="41" t="s">
        <v>95</v>
      </c>
      <c r="E1525" s="41" t="s">
        <v>88</v>
      </c>
      <c r="F1525" s="42">
        <v>0.0</v>
      </c>
      <c r="G1525" s="42">
        <v>0.0</v>
      </c>
      <c r="H1525" s="42">
        <v>0.0</v>
      </c>
      <c r="I1525" s="42">
        <v>0.0</v>
      </c>
      <c r="J1525" s="42">
        <v>0.0</v>
      </c>
      <c r="K1525" s="42">
        <v>0.0</v>
      </c>
      <c r="L1525" s="42">
        <v>0.0</v>
      </c>
      <c r="M1525" s="42">
        <v>0.0</v>
      </c>
      <c r="N1525" s="42">
        <v>0.0</v>
      </c>
      <c r="O1525" s="42">
        <v>0.0</v>
      </c>
      <c r="P1525" s="42">
        <v>0.0</v>
      </c>
      <c r="Q1525" s="42">
        <v>0.0</v>
      </c>
    </row>
    <row r="1526">
      <c r="A1526" s="47">
        <v>46205.0</v>
      </c>
      <c r="B1526" s="48">
        <v>0.2222222222222222</v>
      </c>
      <c r="C1526" s="37" t="s">
        <v>31</v>
      </c>
      <c r="D1526" s="37" t="s">
        <v>95</v>
      </c>
      <c r="E1526" s="37" t="s">
        <v>89</v>
      </c>
      <c r="F1526" s="38">
        <v>0.0</v>
      </c>
      <c r="G1526" s="38">
        <v>0.0</v>
      </c>
      <c r="H1526" s="38">
        <v>0.0</v>
      </c>
      <c r="I1526" s="38">
        <v>0.0</v>
      </c>
      <c r="J1526" s="38">
        <v>0.0</v>
      </c>
      <c r="K1526" s="38">
        <v>0.0</v>
      </c>
      <c r="L1526" s="38">
        <v>0.0</v>
      </c>
      <c r="M1526" s="38">
        <v>0.0</v>
      </c>
      <c r="N1526" s="38">
        <v>0.0</v>
      </c>
      <c r="O1526" s="38">
        <v>0.0</v>
      </c>
      <c r="P1526" s="38">
        <v>0.0</v>
      </c>
      <c r="Q1526" s="38">
        <v>0.0</v>
      </c>
    </row>
    <row r="1527">
      <c r="A1527" s="49">
        <v>46205.0</v>
      </c>
      <c r="B1527" s="50">
        <v>0.2222222222222222</v>
      </c>
      <c r="C1527" s="41" t="s">
        <v>31</v>
      </c>
      <c r="D1527" s="41" t="s">
        <v>95</v>
      </c>
      <c r="E1527" s="41" t="s">
        <v>50</v>
      </c>
      <c r="F1527" s="42">
        <v>1.0</v>
      </c>
      <c r="G1527" s="42">
        <v>1.0</v>
      </c>
      <c r="H1527" s="42">
        <v>0.0</v>
      </c>
      <c r="I1527" s="42">
        <v>0.0</v>
      </c>
      <c r="J1527" s="42">
        <v>0.0</v>
      </c>
      <c r="K1527" s="42">
        <v>0.0</v>
      </c>
      <c r="L1527" s="42">
        <v>0.0</v>
      </c>
      <c r="M1527" s="42">
        <v>0.0</v>
      </c>
      <c r="N1527" s="42">
        <v>0.0</v>
      </c>
      <c r="O1527" s="42">
        <v>0.0</v>
      </c>
      <c r="P1527" s="42">
        <v>0.0</v>
      </c>
      <c r="Q1527" s="42">
        <v>0.0</v>
      </c>
    </row>
    <row r="1528">
      <c r="A1528" s="47">
        <v>46205.0</v>
      </c>
      <c r="B1528" s="48">
        <v>0.2222222222222222</v>
      </c>
      <c r="C1528" s="37" t="s">
        <v>31</v>
      </c>
      <c r="D1528" s="37" t="s">
        <v>95</v>
      </c>
      <c r="E1528" s="37" t="s">
        <v>90</v>
      </c>
      <c r="F1528" s="38">
        <v>0.0</v>
      </c>
      <c r="G1528" s="38">
        <v>0.0</v>
      </c>
      <c r="H1528" s="38">
        <v>0.0</v>
      </c>
      <c r="I1528" s="38">
        <v>0.0</v>
      </c>
      <c r="J1528" s="38">
        <v>0.0</v>
      </c>
      <c r="K1528" s="38">
        <v>0.0</v>
      </c>
      <c r="L1528" s="38">
        <v>0.0</v>
      </c>
      <c r="M1528" s="38">
        <v>0.0</v>
      </c>
      <c r="N1528" s="38">
        <v>0.0</v>
      </c>
      <c r="O1528" s="38">
        <v>0.0</v>
      </c>
      <c r="P1528" s="38">
        <v>0.0</v>
      </c>
      <c r="Q1528" s="38">
        <v>0.0</v>
      </c>
    </row>
    <row r="1529">
      <c r="A1529" s="49">
        <v>46205.0</v>
      </c>
      <c r="B1529" s="50">
        <v>0.2222222222222222</v>
      </c>
      <c r="C1529" s="41" t="s">
        <v>31</v>
      </c>
      <c r="D1529" s="41" t="s">
        <v>95</v>
      </c>
      <c r="E1529" s="41" t="s">
        <v>91</v>
      </c>
      <c r="F1529" s="42">
        <v>0.0</v>
      </c>
      <c r="G1529" s="42">
        <v>0.0</v>
      </c>
      <c r="H1529" s="42">
        <v>0.0</v>
      </c>
      <c r="I1529" s="42">
        <v>0.0</v>
      </c>
      <c r="J1529" s="42">
        <v>0.0</v>
      </c>
      <c r="K1529" s="42">
        <v>0.0</v>
      </c>
      <c r="L1529" s="42">
        <v>0.0</v>
      </c>
      <c r="M1529" s="42">
        <v>0.0</v>
      </c>
      <c r="N1529" s="42">
        <v>0.0</v>
      </c>
      <c r="O1529" s="42">
        <v>0.0</v>
      </c>
      <c r="P1529" s="42">
        <v>0.0</v>
      </c>
      <c r="Q1529" s="42">
        <v>0.0</v>
      </c>
    </row>
    <row r="1530">
      <c r="A1530" s="47">
        <v>46205.0</v>
      </c>
      <c r="B1530" s="48">
        <v>0.2222222222222222</v>
      </c>
      <c r="C1530" s="37" t="s">
        <v>31</v>
      </c>
      <c r="D1530" s="37" t="s">
        <v>95</v>
      </c>
      <c r="E1530" s="37" t="s">
        <v>92</v>
      </c>
      <c r="F1530" s="38">
        <v>0.0</v>
      </c>
      <c r="G1530" s="38">
        <v>0.0</v>
      </c>
      <c r="H1530" s="38">
        <v>0.0</v>
      </c>
      <c r="I1530" s="38">
        <v>0.0</v>
      </c>
      <c r="J1530" s="38">
        <v>0.0</v>
      </c>
      <c r="K1530" s="38">
        <v>0.0</v>
      </c>
      <c r="L1530" s="38">
        <v>0.0</v>
      </c>
      <c r="M1530" s="38">
        <v>0.0</v>
      </c>
      <c r="N1530" s="38">
        <v>0.0</v>
      </c>
      <c r="O1530" s="38">
        <v>0.0</v>
      </c>
      <c r="P1530" s="38">
        <v>0.0</v>
      </c>
      <c r="Q1530" s="38">
        <v>0.0</v>
      </c>
    </row>
    <row r="1531">
      <c r="A1531" s="49">
        <v>46205.0</v>
      </c>
      <c r="B1531" s="50">
        <v>0.2222222222222222</v>
      </c>
      <c r="C1531" s="41" t="s">
        <v>31</v>
      </c>
      <c r="D1531" s="41" t="s">
        <v>95</v>
      </c>
      <c r="E1531" s="41" t="s">
        <v>106</v>
      </c>
      <c r="F1531" s="42">
        <v>0.0</v>
      </c>
      <c r="G1531" s="42">
        <v>0.0</v>
      </c>
      <c r="H1531" s="42">
        <v>0.0</v>
      </c>
      <c r="I1531" s="42">
        <v>0.0</v>
      </c>
      <c r="J1531" s="42">
        <v>0.0</v>
      </c>
      <c r="K1531" s="42">
        <v>0.0</v>
      </c>
      <c r="L1531" s="42">
        <v>0.0</v>
      </c>
      <c r="M1531" s="42">
        <v>0.0</v>
      </c>
      <c r="N1531" s="42">
        <v>0.0</v>
      </c>
      <c r="O1531" s="42">
        <v>0.0</v>
      </c>
      <c r="P1531" s="42">
        <v>0.0</v>
      </c>
      <c r="Q1531" s="42">
        <v>0.0</v>
      </c>
    </row>
    <row r="1532">
      <c r="A1532" s="47">
        <v>46205.0</v>
      </c>
      <c r="B1532" s="48">
        <v>0.2222222222222222</v>
      </c>
      <c r="C1532" s="37" t="s">
        <v>31</v>
      </c>
      <c r="D1532" s="37" t="s">
        <v>95</v>
      </c>
      <c r="E1532" s="37" t="s">
        <v>107</v>
      </c>
      <c r="F1532" s="38">
        <v>0.0</v>
      </c>
      <c r="G1532" s="38">
        <v>0.0</v>
      </c>
      <c r="H1532" s="38">
        <v>0.0</v>
      </c>
      <c r="I1532" s="38">
        <v>0.0</v>
      </c>
      <c r="J1532" s="38">
        <v>0.0</v>
      </c>
      <c r="K1532" s="38">
        <v>0.0</v>
      </c>
      <c r="L1532" s="38">
        <v>0.0</v>
      </c>
      <c r="M1532" s="38">
        <v>0.0</v>
      </c>
      <c r="N1532" s="38">
        <v>0.0</v>
      </c>
      <c r="O1532" s="38">
        <v>0.0</v>
      </c>
      <c r="P1532" s="38">
        <v>0.0</v>
      </c>
      <c r="Q1532" s="38">
        <v>0.0</v>
      </c>
    </row>
    <row r="1533">
      <c r="A1533" s="51">
        <v>46205.0</v>
      </c>
      <c r="B1533" s="52">
        <v>0.2222222222222222</v>
      </c>
      <c r="C1533" s="45" t="s">
        <v>96</v>
      </c>
      <c r="D1533" s="45" t="s">
        <v>75</v>
      </c>
      <c r="E1533" s="45" t="s">
        <v>52</v>
      </c>
      <c r="F1533" s="46">
        <v>17.0</v>
      </c>
      <c r="G1533" s="46">
        <v>5.0</v>
      </c>
      <c r="H1533" s="46">
        <v>7.0</v>
      </c>
      <c r="I1533" s="46">
        <v>0.0</v>
      </c>
      <c r="J1533" s="46">
        <v>0.0</v>
      </c>
      <c r="K1533" s="46">
        <v>14.0</v>
      </c>
      <c r="L1533" s="46">
        <v>17.0</v>
      </c>
      <c r="M1533" s="46">
        <v>0.0</v>
      </c>
      <c r="N1533" s="46">
        <v>0.0</v>
      </c>
      <c r="O1533" s="46">
        <v>0.0</v>
      </c>
      <c r="P1533" s="46">
        <v>4.0</v>
      </c>
      <c r="Q1533" s="46">
        <v>5.0</v>
      </c>
    </row>
    <row r="1534">
      <c r="A1534" s="51">
        <v>46205.0</v>
      </c>
      <c r="B1534" s="52">
        <v>0.2222222222222222</v>
      </c>
      <c r="C1534" s="45" t="s">
        <v>96</v>
      </c>
      <c r="D1534" s="45" t="s">
        <v>75</v>
      </c>
      <c r="E1534" s="45" t="s">
        <v>88</v>
      </c>
      <c r="F1534" s="46">
        <v>0.0</v>
      </c>
      <c r="G1534" s="46">
        <v>0.0</v>
      </c>
      <c r="H1534" s="46">
        <v>0.0</v>
      </c>
      <c r="I1534" s="46">
        <v>0.0</v>
      </c>
      <c r="J1534" s="46">
        <v>0.0</v>
      </c>
      <c r="K1534" s="46">
        <v>0.0</v>
      </c>
      <c r="L1534" s="46">
        <v>0.0</v>
      </c>
      <c r="M1534" s="46">
        <v>0.0</v>
      </c>
      <c r="N1534" s="46">
        <v>0.0</v>
      </c>
      <c r="O1534" s="46">
        <v>0.0</v>
      </c>
      <c r="P1534" s="46">
        <v>0.0</v>
      </c>
      <c r="Q1534" s="46">
        <v>0.0</v>
      </c>
    </row>
    <row r="1535">
      <c r="A1535" s="51">
        <v>46205.0</v>
      </c>
      <c r="B1535" s="52">
        <v>0.2222222222222222</v>
      </c>
      <c r="C1535" s="45" t="s">
        <v>96</v>
      </c>
      <c r="D1535" s="45" t="s">
        <v>75</v>
      </c>
      <c r="E1535" s="45" t="s">
        <v>89</v>
      </c>
      <c r="F1535" s="46">
        <v>1.0</v>
      </c>
      <c r="G1535" s="46">
        <v>0.0</v>
      </c>
      <c r="H1535" s="46">
        <v>0.0</v>
      </c>
      <c r="I1535" s="46">
        <v>0.0</v>
      </c>
      <c r="J1535" s="46">
        <v>0.0</v>
      </c>
      <c r="K1535" s="46">
        <v>1.0</v>
      </c>
      <c r="L1535" s="46">
        <v>1.0</v>
      </c>
      <c r="M1535" s="46">
        <v>0.0</v>
      </c>
      <c r="N1535" s="46">
        <v>0.0</v>
      </c>
      <c r="O1535" s="46">
        <v>0.0</v>
      </c>
      <c r="P1535" s="46">
        <v>0.0</v>
      </c>
      <c r="Q1535" s="46">
        <v>0.0</v>
      </c>
    </row>
    <row r="1536">
      <c r="A1536" s="51">
        <v>46205.0</v>
      </c>
      <c r="B1536" s="52">
        <v>0.2222222222222222</v>
      </c>
      <c r="C1536" s="45" t="s">
        <v>96</v>
      </c>
      <c r="D1536" s="45" t="s">
        <v>75</v>
      </c>
      <c r="E1536" s="45" t="s">
        <v>50</v>
      </c>
      <c r="F1536" s="46">
        <v>1.0</v>
      </c>
      <c r="G1536" s="46">
        <v>1.0</v>
      </c>
      <c r="H1536" s="46">
        <v>0.0</v>
      </c>
      <c r="I1536" s="46">
        <v>0.0</v>
      </c>
      <c r="J1536" s="46">
        <v>0.0</v>
      </c>
      <c r="K1536" s="46">
        <v>0.0</v>
      </c>
      <c r="L1536" s="46">
        <v>0.0</v>
      </c>
      <c r="M1536" s="46">
        <v>0.0</v>
      </c>
      <c r="N1536" s="46">
        <v>0.0</v>
      </c>
      <c r="O1536" s="46">
        <v>0.0</v>
      </c>
      <c r="P1536" s="46">
        <v>0.0</v>
      </c>
      <c r="Q1536" s="46">
        <v>0.0</v>
      </c>
    </row>
    <row r="1537">
      <c r="A1537" s="51">
        <v>46205.0</v>
      </c>
      <c r="B1537" s="52">
        <v>0.2222222222222222</v>
      </c>
      <c r="C1537" s="45" t="s">
        <v>96</v>
      </c>
      <c r="D1537" s="45" t="s">
        <v>75</v>
      </c>
      <c r="E1537" s="45" t="s">
        <v>90</v>
      </c>
      <c r="F1537" s="46">
        <v>0.0</v>
      </c>
      <c r="G1537" s="46">
        <v>0.0</v>
      </c>
      <c r="H1537" s="46">
        <v>0.0</v>
      </c>
      <c r="I1537" s="46">
        <v>0.0</v>
      </c>
      <c r="J1537" s="46">
        <v>0.0</v>
      </c>
      <c r="K1537" s="46">
        <v>0.0</v>
      </c>
      <c r="L1537" s="46">
        <v>0.0</v>
      </c>
      <c r="M1537" s="46">
        <v>0.0</v>
      </c>
      <c r="N1537" s="46">
        <v>0.0</v>
      </c>
      <c r="O1537" s="46">
        <v>0.0</v>
      </c>
      <c r="P1537" s="46">
        <v>0.0</v>
      </c>
      <c r="Q1537" s="46">
        <v>0.0</v>
      </c>
    </row>
    <row r="1538">
      <c r="A1538" s="51">
        <v>46205.0</v>
      </c>
      <c r="B1538" s="52">
        <v>0.2222222222222222</v>
      </c>
      <c r="C1538" s="45" t="s">
        <v>96</v>
      </c>
      <c r="D1538" s="45" t="s">
        <v>75</v>
      </c>
      <c r="E1538" s="45" t="s">
        <v>91</v>
      </c>
      <c r="F1538" s="46">
        <v>0.0</v>
      </c>
      <c r="G1538" s="46">
        <v>0.0</v>
      </c>
      <c r="H1538" s="46">
        <v>0.0</v>
      </c>
      <c r="I1538" s="46">
        <v>0.0</v>
      </c>
      <c r="J1538" s="46">
        <v>0.0</v>
      </c>
      <c r="K1538" s="46">
        <v>0.0</v>
      </c>
      <c r="L1538" s="46">
        <v>0.0</v>
      </c>
      <c r="M1538" s="46">
        <v>0.0</v>
      </c>
      <c r="N1538" s="46">
        <v>0.0</v>
      </c>
      <c r="O1538" s="46">
        <v>0.0</v>
      </c>
      <c r="P1538" s="46">
        <v>0.0</v>
      </c>
      <c r="Q1538" s="46">
        <v>0.0</v>
      </c>
    </row>
    <row r="1539">
      <c r="A1539" s="51">
        <v>46205.0</v>
      </c>
      <c r="B1539" s="52">
        <v>0.2222222222222222</v>
      </c>
      <c r="C1539" s="45" t="s">
        <v>96</v>
      </c>
      <c r="D1539" s="45" t="s">
        <v>75</v>
      </c>
      <c r="E1539" s="45" t="s">
        <v>92</v>
      </c>
      <c r="F1539" s="46">
        <v>0.0</v>
      </c>
      <c r="G1539" s="46">
        <v>0.0</v>
      </c>
      <c r="H1539" s="46">
        <v>0.0</v>
      </c>
      <c r="I1539" s="46">
        <v>0.0</v>
      </c>
      <c r="J1539" s="46">
        <v>0.0</v>
      </c>
      <c r="K1539" s="46">
        <v>0.0</v>
      </c>
      <c r="L1539" s="46">
        <v>0.0</v>
      </c>
      <c r="M1539" s="46">
        <v>0.0</v>
      </c>
      <c r="N1539" s="46">
        <v>0.0</v>
      </c>
      <c r="O1539" s="46">
        <v>0.0</v>
      </c>
      <c r="P1539" s="46">
        <v>0.0</v>
      </c>
      <c r="Q1539" s="46">
        <v>0.0</v>
      </c>
    </row>
    <row r="1540">
      <c r="A1540" s="51">
        <v>46205.0</v>
      </c>
      <c r="B1540" s="52">
        <v>0.2222222222222222</v>
      </c>
      <c r="C1540" s="45" t="s">
        <v>96</v>
      </c>
      <c r="D1540" s="45" t="s">
        <v>75</v>
      </c>
      <c r="E1540" s="45" t="s">
        <v>106</v>
      </c>
      <c r="F1540" s="46">
        <v>2.0</v>
      </c>
      <c r="G1540" s="46">
        <v>0.0</v>
      </c>
      <c r="H1540" s="46">
        <v>0.0</v>
      </c>
      <c r="I1540" s="46">
        <v>0.0</v>
      </c>
      <c r="J1540" s="46">
        <v>0.0</v>
      </c>
      <c r="K1540" s="46">
        <v>0.0</v>
      </c>
      <c r="L1540" s="46">
        <v>2.0</v>
      </c>
      <c r="M1540" s="46">
        <v>0.0</v>
      </c>
      <c r="N1540" s="46">
        <v>0.0</v>
      </c>
      <c r="O1540" s="46">
        <v>0.0</v>
      </c>
      <c r="P1540" s="46">
        <v>0.0</v>
      </c>
      <c r="Q1540" s="46">
        <v>0.0</v>
      </c>
    </row>
    <row r="1541">
      <c r="A1541" s="51">
        <v>46205.0</v>
      </c>
      <c r="B1541" s="52">
        <v>0.2222222222222222</v>
      </c>
      <c r="C1541" s="45" t="s">
        <v>96</v>
      </c>
      <c r="D1541" s="45" t="s">
        <v>75</v>
      </c>
      <c r="E1541" s="45" t="s">
        <v>107</v>
      </c>
      <c r="F1541" s="46">
        <v>0.0</v>
      </c>
      <c r="G1541" s="46">
        <v>0.0</v>
      </c>
      <c r="H1541" s="46">
        <v>0.0</v>
      </c>
      <c r="I1541" s="46">
        <v>0.0</v>
      </c>
      <c r="J1541" s="46">
        <v>0.0</v>
      </c>
      <c r="K1541" s="46">
        <v>0.0</v>
      </c>
      <c r="L1541" s="46">
        <v>0.0</v>
      </c>
      <c r="M1541" s="46">
        <v>0.0</v>
      </c>
      <c r="N1541" s="46">
        <v>0.0</v>
      </c>
      <c r="O1541" s="46">
        <v>0.0</v>
      </c>
      <c r="P1541" s="46">
        <v>0.0</v>
      </c>
      <c r="Q1541" s="46">
        <v>0.0</v>
      </c>
    </row>
    <row r="1542">
      <c r="A1542" s="47">
        <v>46205.0</v>
      </c>
      <c r="B1542" s="48">
        <v>0.25</v>
      </c>
      <c r="C1542" s="37" t="s">
        <v>15</v>
      </c>
      <c r="D1542" s="37" t="s">
        <v>87</v>
      </c>
      <c r="E1542" s="37" t="s">
        <v>52</v>
      </c>
      <c r="F1542" s="38">
        <v>3.0</v>
      </c>
      <c r="G1542" s="38">
        <v>1.0</v>
      </c>
      <c r="H1542" s="38">
        <v>1.0</v>
      </c>
      <c r="I1542" s="38">
        <v>0.0</v>
      </c>
      <c r="J1542" s="38">
        <v>0.0</v>
      </c>
      <c r="K1542" s="38">
        <v>1.0</v>
      </c>
      <c r="L1542" s="38">
        <v>3.0</v>
      </c>
      <c r="M1542" s="38">
        <v>0.0</v>
      </c>
      <c r="N1542" s="38">
        <v>0.0</v>
      </c>
      <c r="O1542" s="38">
        <v>0.0</v>
      </c>
      <c r="P1542" s="38">
        <v>0.0</v>
      </c>
      <c r="Q1542" s="38">
        <v>1.0</v>
      </c>
    </row>
    <row r="1543">
      <c r="A1543" s="49">
        <v>46205.0</v>
      </c>
      <c r="B1543" s="50">
        <v>0.25</v>
      </c>
      <c r="C1543" s="41" t="s">
        <v>15</v>
      </c>
      <c r="D1543" s="41" t="s">
        <v>87</v>
      </c>
      <c r="E1543" s="41" t="s">
        <v>88</v>
      </c>
      <c r="F1543" s="42">
        <v>0.0</v>
      </c>
      <c r="G1543" s="42">
        <v>0.0</v>
      </c>
      <c r="H1543" s="42">
        <v>0.0</v>
      </c>
      <c r="I1543" s="42">
        <v>0.0</v>
      </c>
      <c r="J1543" s="42">
        <v>0.0</v>
      </c>
      <c r="K1543" s="42">
        <v>0.0</v>
      </c>
      <c r="L1543" s="42">
        <v>0.0</v>
      </c>
      <c r="M1543" s="42">
        <v>0.0</v>
      </c>
      <c r="N1543" s="42">
        <v>0.0</v>
      </c>
      <c r="O1543" s="42">
        <v>0.0</v>
      </c>
      <c r="P1543" s="42">
        <v>0.0</v>
      </c>
      <c r="Q1543" s="42">
        <v>0.0</v>
      </c>
    </row>
    <row r="1544">
      <c r="A1544" s="47">
        <v>46205.0</v>
      </c>
      <c r="B1544" s="48">
        <v>0.25</v>
      </c>
      <c r="C1544" s="37" t="s">
        <v>15</v>
      </c>
      <c r="D1544" s="37" t="s">
        <v>87</v>
      </c>
      <c r="E1544" s="37" t="s">
        <v>89</v>
      </c>
      <c r="F1544" s="38">
        <v>0.0</v>
      </c>
      <c r="G1544" s="38">
        <v>0.0</v>
      </c>
      <c r="H1544" s="38">
        <v>0.0</v>
      </c>
      <c r="I1544" s="38">
        <v>0.0</v>
      </c>
      <c r="J1544" s="38">
        <v>0.0</v>
      </c>
      <c r="K1544" s="38">
        <v>0.0</v>
      </c>
      <c r="L1544" s="38">
        <v>0.0</v>
      </c>
      <c r="M1544" s="38">
        <v>0.0</v>
      </c>
      <c r="N1544" s="38">
        <v>0.0</v>
      </c>
      <c r="O1544" s="38">
        <v>0.0</v>
      </c>
      <c r="P1544" s="38">
        <v>0.0</v>
      </c>
      <c r="Q1544" s="38">
        <v>0.0</v>
      </c>
    </row>
    <row r="1545">
      <c r="A1545" s="49">
        <v>46205.0</v>
      </c>
      <c r="B1545" s="50">
        <v>0.25</v>
      </c>
      <c r="C1545" s="41" t="s">
        <v>15</v>
      </c>
      <c r="D1545" s="41" t="s">
        <v>87</v>
      </c>
      <c r="E1545" s="41" t="s">
        <v>50</v>
      </c>
      <c r="F1545" s="42">
        <v>0.0</v>
      </c>
      <c r="G1545" s="42">
        <v>0.0</v>
      </c>
      <c r="H1545" s="42">
        <v>0.0</v>
      </c>
      <c r="I1545" s="42">
        <v>0.0</v>
      </c>
      <c r="J1545" s="42">
        <v>0.0</v>
      </c>
      <c r="K1545" s="42">
        <v>0.0</v>
      </c>
      <c r="L1545" s="42">
        <v>0.0</v>
      </c>
      <c r="M1545" s="42">
        <v>0.0</v>
      </c>
      <c r="N1545" s="42">
        <v>0.0</v>
      </c>
      <c r="O1545" s="42">
        <v>0.0</v>
      </c>
      <c r="P1545" s="42">
        <v>0.0</v>
      </c>
      <c r="Q1545" s="42">
        <v>0.0</v>
      </c>
    </row>
    <row r="1546">
      <c r="A1546" s="47">
        <v>46205.0</v>
      </c>
      <c r="B1546" s="48">
        <v>0.25</v>
      </c>
      <c r="C1546" s="37" t="s">
        <v>15</v>
      </c>
      <c r="D1546" s="37" t="s">
        <v>87</v>
      </c>
      <c r="E1546" s="37" t="s">
        <v>90</v>
      </c>
      <c r="F1546" s="38">
        <v>0.0</v>
      </c>
      <c r="G1546" s="38">
        <v>0.0</v>
      </c>
      <c r="H1546" s="38">
        <v>0.0</v>
      </c>
      <c r="I1546" s="38">
        <v>0.0</v>
      </c>
      <c r="J1546" s="38">
        <v>0.0</v>
      </c>
      <c r="K1546" s="38">
        <v>0.0</v>
      </c>
      <c r="L1546" s="38">
        <v>0.0</v>
      </c>
      <c r="M1546" s="38">
        <v>0.0</v>
      </c>
      <c r="N1546" s="38">
        <v>0.0</v>
      </c>
      <c r="O1546" s="38">
        <v>0.0</v>
      </c>
      <c r="P1546" s="38">
        <v>0.0</v>
      </c>
      <c r="Q1546" s="38">
        <v>0.0</v>
      </c>
    </row>
    <row r="1547">
      <c r="A1547" s="49">
        <v>46205.0</v>
      </c>
      <c r="B1547" s="50">
        <v>0.25</v>
      </c>
      <c r="C1547" s="41" t="s">
        <v>15</v>
      </c>
      <c r="D1547" s="41" t="s">
        <v>87</v>
      </c>
      <c r="E1547" s="41" t="s">
        <v>91</v>
      </c>
      <c r="F1547" s="42">
        <v>0.0</v>
      </c>
      <c r="G1547" s="42">
        <v>0.0</v>
      </c>
      <c r="H1547" s="42">
        <v>0.0</v>
      </c>
      <c r="I1547" s="42">
        <v>0.0</v>
      </c>
      <c r="J1547" s="42">
        <v>0.0</v>
      </c>
      <c r="K1547" s="42">
        <v>0.0</v>
      </c>
      <c r="L1547" s="42">
        <v>0.0</v>
      </c>
      <c r="M1547" s="42">
        <v>0.0</v>
      </c>
      <c r="N1547" s="42">
        <v>0.0</v>
      </c>
      <c r="O1547" s="42">
        <v>0.0</v>
      </c>
      <c r="P1547" s="42">
        <v>0.0</v>
      </c>
      <c r="Q1547" s="42">
        <v>0.0</v>
      </c>
    </row>
    <row r="1548">
      <c r="A1548" s="47">
        <v>46205.0</v>
      </c>
      <c r="B1548" s="48">
        <v>0.25</v>
      </c>
      <c r="C1548" s="37" t="s">
        <v>15</v>
      </c>
      <c r="D1548" s="37" t="s">
        <v>87</v>
      </c>
      <c r="E1548" s="37" t="s">
        <v>92</v>
      </c>
      <c r="F1548" s="38">
        <v>0.0</v>
      </c>
      <c r="G1548" s="38">
        <v>0.0</v>
      </c>
      <c r="H1548" s="38">
        <v>0.0</v>
      </c>
      <c r="I1548" s="38">
        <v>0.0</v>
      </c>
      <c r="J1548" s="38">
        <v>0.0</v>
      </c>
      <c r="K1548" s="38">
        <v>0.0</v>
      </c>
      <c r="L1548" s="38">
        <v>0.0</v>
      </c>
      <c r="M1548" s="38">
        <v>0.0</v>
      </c>
      <c r="N1548" s="38">
        <v>0.0</v>
      </c>
      <c r="O1548" s="38">
        <v>0.0</v>
      </c>
      <c r="P1548" s="38">
        <v>0.0</v>
      </c>
      <c r="Q1548" s="38">
        <v>0.0</v>
      </c>
    </row>
    <row r="1549">
      <c r="A1549" s="49">
        <v>46205.0</v>
      </c>
      <c r="B1549" s="50">
        <v>0.25</v>
      </c>
      <c r="C1549" s="41" t="s">
        <v>15</v>
      </c>
      <c r="D1549" s="41" t="s">
        <v>87</v>
      </c>
      <c r="E1549" s="41" t="s">
        <v>106</v>
      </c>
      <c r="F1549" s="42">
        <v>0.0</v>
      </c>
      <c r="G1549" s="42">
        <v>0.0</v>
      </c>
      <c r="H1549" s="42">
        <v>0.0</v>
      </c>
      <c r="I1549" s="42">
        <v>0.0</v>
      </c>
      <c r="J1549" s="42">
        <v>0.0</v>
      </c>
      <c r="K1549" s="42">
        <v>0.0</v>
      </c>
      <c r="L1549" s="42">
        <v>0.0</v>
      </c>
      <c r="M1549" s="42">
        <v>0.0</v>
      </c>
      <c r="N1549" s="42">
        <v>0.0</v>
      </c>
      <c r="O1549" s="42">
        <v>0.0</v>
      </c>
      <c r="P1549" s="42">
        <v>0.0</v>
      </c>
      <c r="Q1549" s="42">
        <v>0.0</v>
      </c>
    </row>
    <row r="1550">
      <c r="A1550" s="47">
        <v>46205.0</v>
      </c>
      <c r="B1550" s="48">
        <v>0.25</v>
      </c>
      <c r="C1550" s="37" t="s">
        <v>15</v>
      </c>
      <c r="D1550" s="37" t="s">
        <v>87</v>
      </c>
      <c r="E1550" s="37" t="s">
        <v>107</v>
      </c>
      <c r="F1550" s="38">
        <v>0.0</v>
      </c>
      <c r="G1550" s="38">
        <v>0.0</v>
      </c>
      <c r="H1550" s="38">
        <v>0.0</v>
      </c>
      <c r="I1550" s="38">
        <v>0.0</v>
      </c>
      <c r="J1550" s="38">
        <v>0.0</v>
      </c>
      <c r="K1550" s="38">
        <v>0.0</v>
      </c>
      <c r="L1550" s="38">
        <v>0.0</v>
      </c>
      <c r="M1550" s="38">
        <v>0.0</v>
      </c>
      <c r="N1550" s="38">
        <v>0.0</v>
      </c>
      <c r="O1550" s="38">
        <v>0.0</v>
      </c>
      <c r="P1550" s="38">
        <v>0.0</v>
      </c>
      <c r="Q1550" s="38">
        <v>0.0</v>
      </c>
    </row>
    <row r="1551">
      <c r="A1551" s="49">
        <v>46205.0</v>
      </c>
      <c r="B1551" s="50">
        <v>0.25</v>
      </c>
      <c r="C1551" s="41" t="s">
        <v>23</v>
      </c>
      <c r="D1551" s="41" t="s">
        <v>93</v>
      </c>
      <c r="E1551" s="41" t="s">
        <v>52</v>
      </c>
      <c r="F1551" s="42">
        <v>4.0</v>
      </c>
      <c r="G1551" s="42">
        <v>1.0</v>
      </c>
      <c r="H1551" s="42">
        <v>3.0</v>
      </c>
      <c r="I1551" s="42">
        <v>0.0</v>
      </c>
      <c r="J1551" s="42">
        <v>0.0</v>
      </c>
      <c r="K1551" s="42">
        <v>4.0</v>
      </c>
      <c r="L1551" s="42">
        <v>4.0</v>
      </c>
      <c r="M1551" s="42">
        <v>0.0</v>
      </c>
      <c r="N1551" s="42">
        <v>0.0</v>
      </c>
      <c r="O1551" s="42">
        <v>0.0</v>
      </c>
      <c r="P1551" s="42">
        <v>1.0</v>
      </c>
      <c r="Q1551" s="42">
        <v>1.0</v>
      </c>
    </row>
    <row r="1552">
      <c r="A1552" s="47">
        <v>46205.0</v>
      </c>
      <c r="B1552" s="48">
        <v>0.25</v>
      </c>
      <c r="C1552" s="37" t="s">
        <v>23</v>
      </c>
      <c r="D1552" s="37" t="s">
        <v>93</v>
      </c>
      <c r="E1552" s="37" t="s">
        <v>88</v>
      </c>
      <c r="F1552" s="38">
        <v>0.0</v>
      </c>
      <c r="G1552" s="38">
        <v>0.0</v>
      </c>
      <c r="H1552" s="38">
        <v>0.0</v>
      </c>
      <c r="I1552" s="38">
        <v>0.0</v>
      </c>
      <c r="J1552" s="38">
        <v>0.0</v>
      </c>
      <c r="K1552" s="38">
        <v>0.0</v>
      </c>
      <c r="L1552" s="38">
        <v>0.0</v>
      </c>
      <c r="M1552" s="38">
        <v>0.0</v>
      </c>
      <c r="N1552" s="38">
        <v>0.0</v>
      </c>
      <c r="O1552" s="38">
        <v>0.0</v>
      </c>
      <c r="P1552" s="38">
        <v>0.0</v>
      </c>
      <c r="Q1552" s="38">
        <v>0.0</v>
      </c>
    </row>
    <row r="1553">
      <c r="A1553" s="49">
        <v>46205.0</v>
      </c>
      <c r="B1553" s="50">
        <v>0.25</v>
      </c>
      <c r="C1553" s="41" t="s">
        <v>23</v>
      </c>
      <c r="D1553" s="41" t="s">
        <v>93</v>
      </c>
      <c r="E1553" s="41" t="s">
        <v>89</v>
      </c>
      <c r="F1553" s="42">
        <v>0.0</v>
      </c>
      <c r="G1553" s="42">
        <v>0.0</v>
      </c>
      <c r="H1553" s="42">
        <v>0.0</v>
      </c>
      <c r="I1553" s="42">
        <v>0.0</v>
      </c>
      <c r="J1553" s="42">
        <v>0.0</v>
      </c>
      <c r="K1553" s="42">
        <v>0.0</v>
      </c>
      <c r="L1553" s="42">
        <v>0.0</v>
      </c>
      <c r="M1553" s="42">
        <v>0.0</v>
      </c>
      <c r="N1553" s="42">
        <v>0.0</v>
      </c>
      <c r="O1553" s="42">
        <v>0.0</v>
      </c>
      <c r="P1553" s="42">
        <v>0.0</v>
      </c>
      <c r="Q1553" s="42">
        <v>0.0</v>
      </c>
    </row>
    <row r="1554">
      <c r="A1554" s="47">
        <v>46205.0</v>
      </c>
      <c r="B1554" s="48">
        <v>0.25</v>
      </c>
      <c r="C1554" s="37" t="s">
        <v>23</v>
      </c>
      <c r="D1554" s="37" t="s">
        <v>93</v>
      </c>
      <c r="E1554" s="37" t="s">
        <v>50</v>
      </c>
      <c r="F1554" s="38">
        <v>0.0</v>
      </c>
      <c r="G1554" s="38">
        <v>0.0</v>
      </c>
      <c r="H1554" s="38">
        <v>0.0</v>
      </c>
      <c r="I1554" s="38">
        <v>0.0</v>
      </c>
      <c r="J1554" s="38">
        <v>0.0</v>
      </c>
      <c r="K1554" s="38">
        <v>0.0</v>
      </c>
      <c r="L1554" s="38">
        <v>0.0</v>
      </c>
      <c r="M1554" s="38">
        <v>0.0</v>
      </c>
      <c r="N1554" s="38">
        <v>0.0</v>
      </c>
      <c r="O1554" s="38">
        <v>0.0</v>
      </c>
      <c r="P1554" s="38">
        <v>0.0</v>
      </c>
      <c r="Q1554" s="38">
        <v>0.0</v>
      </c>
    </row>
    <row r="1555">
      <c r="A1555" s="49">
        <v>46205.0</v>
      </c>
      <c r="B1555" s="50">
        <v>0.25</v>
      </c>
      <c r="C1555" s="41" t="s">
        <v>23</v>
      </c>
      <c r="D1555" s="41" t="s">
        <v>93</v>
      </c>
      <c r="E1555" s="41" t="s">
        <v>90</v>
      </c>
      <c r="F1555" s="42">
        <v>0.0</v>
      </c>
      <c r="G1555" s="42">
        <v>0.0</v>
      </c>
      <c r="H1555" s="42">
        <v>0.0</v>
      </c>
      <c r="I1555" s="42">
        <v>0.0</v>
      </c>
      <c r="J1555" s="42">
        <v>0.0</v>
      </c>
      <c r="K1555" s="42">
        <v>0.0</v>
      </c>
      <c r="L1555" s="42">
        <v>0.0</v>
      </c>
      <c r="M1555" s="42">
        <v>0.0</v>
      </c>
      <c r="N1555" s="42">
        <v>0.0</v>
      </c>
      <c r="O1555" s="42">
        <v>0.0</v>
      </c>
      <c r="P1555" s="42">
        <v>0.0</v>
      </c>
      <c r="Q1555" s="42">
        <v>0.0</v>
      </c>
    </row>
    <row r="1556">
      <c r="A1556" s="47">
        <v>46205.0</v>
      </c>
      <c r="B1556" s="48">
        <v>0.25</v>
      </c>
      <c r="C1556" s="37" t="s">
        <v>23</v>
      </c>
      <c r="D1556" s="37" t="s">
        <v>93</v>
      </c>
      <c r="E1556" s="37" t="s">
        <v>91</v>
      </c>
      <c r="F1556" s="38">
        <v>0.0</v>
      </c>
      <c r="G1556" s="38">
        <v>0.0</v>
      </c>
      <c r="H1556" s="38">
        <v>0.0</v>
      </c>
      <c r="I1556" s="38">
        <v>0.0</v>
      </c>
      <c r="J1556" s="38">
        <v>0.0</v>
      </c>
      <c r="K1556" s="38">
        <v>0.0</v>
      </c>
      <c r="L1556" s="38">
        <v>0.0</v>
      </c>
      <c r="M1556" s="38">
        <v>0.0</v>
      </c>
      <c r="N1556" s="38">
        <v>0.0</v>
      </c>
      <c r="O1556" s="38">
        <v>0.0</v>
      </c>
      <c r="P1556" s="38">
        <v>0.0</v>
      </c>
      <c r="Q1556" s="38">
        <v>0.0</v>
      </c>
    </row>
    <row r="1557">
      <c r="A1557" s="49">
        <v>46205.0</v>
      </c>
      <c r="B1557" s="50">
        <v>0.25</v>
      </c>
      <c r="C1557" s="41" t="s">
        <v>23</v>
      </c>
      <c r="D1557" s="41" t="s">
        <v>93</v>
      </c>
      <c r="E1557" s="41" t="s">
        <v>92</v>
      </c>
      <c r="F1557" s="42">
        <v>0.0</v>
      </c>
      <c r="G1557" s="42">
        <v>0.0</v>
      </c>
      <c r="H1557" s="42">
        <v>0.0</v>
      </c>
      <c r="I1557" s="42">
        <v>0.0</v>
      </c>
      <c r="J1557" s="42">
        <v>0.0</v>
      </c>
      <c r="K1557" s="42">
        <v>0.0</v>
      </c>
      <c r="L1557" s="42">
        <v>0.0</v>
      </c>
      <c r="M1557" s="42">
        <v>0.0</v>
      </c>
      <c r="N1557" s="42">
        <v>0.0</v>
      </c>
      <c r="O1557" s="42">
        <v>0.0</v>
      </c>
      <c r="P1557" s="42">
        <v>0.0</v>
      </c>
      <c r="Q1557" s="42">
        <v>0.0</v>
      </c>
    </row>
    <row r="1558">
      <c r="A1558" s="47">
        <v>46205.0</v>
      </c>
      <c r="B1558" s="48">
        <v>0.25</v>
      </c>
      <c r="C1558" s="37" t="s">
        <v>23</v>
      </c>
      <c r="D1558" s="37" t="s">
        <v>93</v>
      </c>
      <c r="E1558" s="37" t="s">
        <v>106</v>
      </c>
      <c r="F1558" s="38">
        <v>0.0</v>
      </c>
      <c r="G1558" s="38">
        <v>0.0</v>
      </c>
      <c r="H1558" s="38">
        <v>0.0</v>
      </c>
      <c r="I1558" s="38">
        <v>0.0</v>
      </c>
      <c r="J1558" s="38">
        <v>0.0</v>
      </c>
      <c r="K1558" s="38">
        <v>0.0</v>
      </c>
      <c r="L1558" s="38">
        <v>0.0</v>
      </c>
      <c r="M1558" s="38">
        <v>0.0</v>
      </c>
      <c r="N1558" s="38">
        <v>0.0</v>
      </c>
      <c r="O1558" s="38">
        <v>0.0</v>
      </c>
      <c r="P1558" s="38">
        <v>0.0</v>
      </c>
      <c r="Q1558" s="38">
        <v>0.0</v>
      </c>
    </row>
    <row r="1559">
      <c r="A1559" s="49">
        <v>46205.0</v>
      </c>
      <c r="B1559" s="50">
        <v>0.25</v>
      </c>
      <c r="C1559" s="41" t="s">
        <v>23</v>
      </c>
      <c r="D1559" s="41" t="s">
        <v>93</v>
      </c>
      <c r="E1559" s="41" t="s">
        <v>107</v>
      </c>
      <c r="F1559" s="42">
        <v>0.0</v>
      </c>
      <c r="G1559" s="42">
        <v>0.0</v>
      </c>
      <c r="H1559" s="42">
        <v>0.0</v>
      </c>
      <c r="I1559" s="42">
        <v>0.0</v>
      </c>
      <c r="J1559" s="42">
        <v>0.0</v>
      </c>
      <c r="K1559" s="42">
        <v>0.0</v>
      </c>
      <c r="L1559" s="42">
        <v>0.0</v>
      </c>
      <c r="M1559" s="42">
        <v>0.0</v>
      </c>
      <c r="N1559" s="42">
        <v>0.0</v>
      </c>
      <c r="O1559" s="42">
        <v>0.0</v>
      </c>
      <c r="P1559" s="42">
        <v>0.0</v>
      </c>
      <c r="Q1559" s="42">
        <v>0.0</v>
      </c>
    </row>
    <row r="1560">
      <c r="A1560" s="47">
        <v>46205.0</v>
      </c>
      <c r="B1560" s="48">
        <v>0.25</v>
      </c>
      <c r="C1560" s="37" t="s">
        <v>29</v>
      </c>
      <c r="D1560" s="37" t="s">
        <v>94</v>
      </c>
      <c r="E1560" s="37" t="s">
        <v>52</v>
      </c>
      <c r="F1560" s="38">
        <v>8.0</v>
      </c>
      <c r="G1560" s="38">
        <v>3.0</v>
      </c>
      <c r="H1560" s="38">
        <v>1.0</v>
      </c>
      <c r="I1560" s="38">
        <v>0.0</v>
      </c>
      <c r="J1560" s="38">
        <v>0.0</v>
      </c>
      <c r="K1560" s="38">
        <v>7.0</v>
      </c>
      <c r="L1560" s="38">
        <v>8.0</v>
      </c>
      <c r="M1560" s="38">
        <v>0.0</v>
      </c>
      <c r="N1560" s="38">
        <v>0.0</v>
      </c>
      <c r="O1560" s="38">
        <v>0.0</v>
      </c>
      <c r="P1560" s="38">
        <v>3.0</v>
      </c>
      <c r="Q1560" s="38">
        <v>3.0</v>
      </c>
    </row>
    <row r="1561">
      <c r="A1561" s="49">
        <v>46205.0</v>
      </c>
      <c r="B1561" s="50">
        <v>0.25</v>
      </c>
      <c r="C1561" s="41" t="s">
        <v>29</v>
      </c>
      <c r="D1561" s="41" t="s">
        <v>94</v>
      </c>
      <c r="E1561" s="41" t="s">
        <v>88</v>
      </c>
      <c r="F1561" s="42">
        <v>0.0</v>
      </c>
      <c r="G1561" s="42">
        <v>0.0</v>
      </c>
      <c r="H1561" s="42">
        <v>0.0</v>
      </c>
      <c r="I1561" s="42">
        <v>0.0</v>
      </c>
      <c r="J1561" s="42">
        <v>0.0</v>
      </c>
      <c r="K1561" s="42">
        <v>0.0</v>
      </c>
      <c r="L1561" s="42">
        <v>0.0</v>
      </c>
      <c r="M1561" s="42">
        <v>0.0</v>
      </c>
      <c r="N1561" s="42">
        <v>0.0</v>
      </c>
      <c r="O1561" s="42">
        <v>0.0</v>
      </c>
      <c r="P1561" s="42">
        <v>0.0</v>
      </c>
      <c r="Q1561" s="42">
        <v>0.0</v>
      </c>
    </row>
    <row r="1562">
      <c r="A1562" s="47">
        <v>46205.0</v>
      </c>
      <c r="B1562" s="48">
        <v>0.25</v>
      </c>
      <c r="C1562" s="37" t="s">
        <v>29</v>
      </c>
      <c r="D1562" s="37" t="s">
        <v>94</v>
      </c>
      <c r="E1562" s="37" t="s">
        <v>89</v>
      </c>
      <c r="F1562" s="38">
        <v>1.0</v>
      </c>
      <c r="G1562" s="38">
        <v>0.0</v>
      </c>
      <c r="H1562" s="38">
        <v>0.0</v>
      </c>
      <c r="I1562" s="38">
        <v>0.0</v>
      </c>
      <c r="J1562" s="38">
        <v>0.0</v>
      </c>
      <c r="K1562" s="38">
        <v>1.0</v>
      </c>
      <c r="L1562" s="38">
        <v>1.0</v>
      </c>
      <c r="M1562" s="38">
        <v>0.0</v>
      </c>
      <c r="N1562" s="38">
        <v>0.0</v>
      </c>
      <c r="O1562" s="38">
        <v>0.0</v>
      </c>
      <c r="P1562" s="38">
        <v>0.0</v>
      </c>
      <c r="Q1562" s="38">
        <v>0.0</v>
      </c>
    </row>
    <row r="1563">
      <c r="A1563" s="49">
        <v>46205.0</v>
      </c>
      <c r="B1563" s="50">
        <v>0.25</v>
      </c>
      <c r="C1563" s="41" t="s">
        <v>29</v>
      </c>
      <c r="D1563" s="41" t="s">
        <v>94</v>
      </c>
      <c r="E1563" s="41" t="s">
        <v>50</v>
      </c>
      <c r="F1563" s="42">
        <v>0.0</v>
      </c>
      <c r="G1563" s="42">
        <v>0.0</v>
      </c>
      <c r="H1563" s="42">
        <v>0.0</v>
      </c>
      <c r="I1563" s="42">
        <v>0.0</v>
      </c>
      <c r="J1563" s="42">
        <v>0.0</v>
      </c>
      <c r="K1563" s="42">
        <v>0.0</v>
      </c>
      <c r="L1563" s="42">
        <v>0.0</v>
      </c>
      <c r="M1563" s="42">
        <v>0.0</v>
      </c>
      <c r="N1563" s="42">
        <v>0.0</v>
      </c>
      <c r="O1563" s="42">
        <v>0.0</v>
      </c>
      <c r="P1563" s="42">
        <v>0.0</v>
      </c>
      <c r="Q1563" s="42">
        <v>0.0</v>
      </c>
    </row>
    <row r="1564">
      <c r="A1564" s="47">
        <v>46205.0</v>
      </c>
      <c r="B1564" s="48">
        <v>0.25</v>
      </c>
      <c r="C1564" s="37" t="s">
        <v>29</v>
      </c>
      <c r="D1564" s="37" t="s">
        <v>94</v>
      </c>
      <c r="E1564" s="37" t="s">
        <v>90</v>
      </c>
      <c r="F1564" s="38">
        <v>0.0</v>
      </c>
      <c r="G1564" s="38">
        <v>0.0</v>
      </c>
      <c r="H1564" s="38">
        <v>0.0</v>
      </c>
      <c r="I1564" s="38">
        <v>0.0</v>
      </c>
      <c r="J1564" s="38">
        <v>0.0</v>
      </c>
      <c r="K1564" s="38">
        <v>0.0</v>
      </c>
      <c r="L1564" s="38">
        <v>0.0</v>
      </c>
      <c r="M1564" s="38">
        <v>0.0</v>
      </c>
      <c r="N1564" s="38">
        <v>0.0</v>
      </c>
      <c r="O1564" s="38">
        <v>0.0</v>
      </c>
      <c r="P1564" s="38">
        <v>0.0</v>
      </c>
      <c r="Q1564" s="38">
        <v>0.0</v>
      </c>
    </row>
    <row r="1565">
      <c r="A1565" s="49">
        <v>46205.0</v>
      </c>
      <c r="B1565" s="50">
        <v>0.25</v>
      </c>
      <c r="C1565" s="41" t="s">
        <v>29</v>
      </c>
      <c r="D1565" s="41" t="s">
        <v>94</v>
      </c>
      <c r="E1565" s="41" t="s">
        <v>91</v>
      </c>
      <c r="F1565" s="42">
        <v>0.0</v>
      </c>
      <c r="G1565" s="42">
        <v>0.0</v>
      </c>
      <c r="H1565" s="42">
        <v>0.0</v>
      </c>
      <c r="I1565" s="42">
        <v>0.0</v>
      </c>
      <c r="J1565" s="42">
        <v>0.0</v>
      </c>
      <c r="K1565" s="42">
        <v>0.0</v>
      </c>
      <c r="L1565" s="42">
        <v>0.0</v>
      </c>
      <c r="M1565" s="42">
        <v>0.0</v>
      </c>
      <c r="N1565" s="42">
        <v>0.0</v>
      </c>
      <c r="O1565" s="42">
        <v>0.0</v>
      </c>
      <c r="P1565" s="42">
        <v>0.0</v>
      </c>
      <c r="Q1565" s="42">
        <v>0.0</v>
      </c>
    </row>
    <row r="1566">
      <c r="A1566" s="47">
        <v>46205.0</v>
      </c>
      <c r="B1566" s="48">
        <v>0.25</v>
      </c>
      <c r="C1566" s="37" t="s">
        <v>29</v>
      </c>
      <c r="D1566" s="37" t="s">
        <v>94</v>
      </c>
      <c r="E1566" s="37" t="s">
        <v>92</v>
      </c>
      <c r="F1566" s="38">
        <v>0.0</v>
      </c>
      <c r="G1566" s="38">
        <v>0.0</v>
      </c>
      <c r="H1566" s="38">
        <v>0.0</v>
      </c>
      <c r="I1566" s="38">
        <v>0.0</v>
      </c>
      <c r="J1566" s="38">
        <v>0.0</v>
      </c>
      <c r="K1566" s="38">
        <v>0.0</v>
      </c>
      <c r="L1566" s="38">
        <v>0.0</v>
      </c>
      <c r="M1566" s="38">
        <v>0.0</v>
      </c>
      <c r="N1566" s="38">
        <v>0.0</v>
      </c>
      <c r="O1566" s="38">
        <v>0.0</v>
      </c>
      <c r="P1566" s="38">
        <v>0.0</v>
      </c>
      <c r="Q1566" s="38">
        <v>0.0</v>
      </c>
    </row>
    <row r="1567">
      <c r="A1567" s="49">
        <v>46205.0</v>
      </c>
      <c r="B1567" s="50">
        <v>0.25</v>
      </c>
      <c r="C1567" s="41" t="s">
        <v>29</v>
      </c>
      <c r="D1567" s="41" t="s">
        <v>94</v>
      </c>
      <c r="E1567" s="41" t="s">
        <v>106</v>
      </c>
      <c r="F1567" s="42">
        <v>2.0</v>
      </c>
      <c r="G1567" s="42">
        <v>0.0</v>
      </c>
      <c r="H1567" s="42">
        <v>0.0</v>
      </c>
      <c r="I1567" s="42">
        <v>0.0</v>
      </c>
      <c r="J1567" s="42">
        <v>0.0</v>
      </c>
      <c r="K1567" s="42">
        <v>0.0</v>
      </c>
      <c r="L1567" s="42">
        <v>2.0</v>
      </c>
      <c r="M1567" s="42">
        <v>0.0</v>
      </c>
      <c r="N1567" s="42">
        <v>0.0</v>
      </c>
      <c r="O1567" s="42">
        <v>0.0</v>
      </c>
      <c r="P1567" s="42">
        <v>0.0</v>
      </c>
      <c r="Q1567" s="42">
        <v>0.0</v>
      </c>
    </row>
    <row r="1568">
      <c r="A1568" s="47">
        <v>46205.0</v>
      </c>
      <c r="B1568" s="48">
        <v>0.25</v>
      </c>
      <c r="C1568" s="37" t="s">
        <v>29</v>
      </c>
      <c r="D1568" s="37" t="s">
        <v>94</v>
      </c>
      <c r="E1568" s="37" t="s">
        <v>107</v>
      </c>
      <c r="F1568" s="38">
        <v>0.0</v>
      </c>
      <c r="G1568" s="38">
        <v>0.0</v>
      </c>
      <c r="H1568" s="38">
        <v>0.0</v>
      </c>
      <c r="I1568" s="38">
        <v>0.0</v>
      </c>
      <c r="J1568" s="38">
        <v>0.0</v>
      </c>
      <c r="K1568" s="38">
        <v>0.0</v>
      </c>
      <c r="L1568" s="38">
        <v>0.0</v>
      </c>
      <c r="M1568" s="38">
        <v>0.0</v>
      </c>
      <c r="N1568" s="38">
        <v>0.0</v>
      </c>
      <c r="O1568" s="38">
        <v>0.0</v>
      </c>
      <c r="P1568" s="38">
        <v>0.0</v>
      </c>
      <c r="Q1568" s="38">
        <v>0.0</v>
      </c>
    </row>
    <row r="1569">
      <c r="A1569" s="49">
        <v>46205.0</v>
      </c>
      <c r="B1569" s="50">
        <v>0.25</v>
      </c>
      <c r="C1569" s="41" t="s">
        <v>31</v>
      </c>
      <c r="D1569" s="41" t="s">
        <v>95</v>
      </c>
      <c r="E1569" s="41" t="s">
        <v>52</v>
      </c>
      <c r="F1569" s="42">
        <v>2.0</v>
      </c>
      <c r="G1569" s="42">
        <v>0.0</v>
      </c>
      <c r="H1569" s="42">
        <v>2.0</v>
      </c>
      <c r="I1569" s="42">
        <v>0.0</v>
      </c>
      <c r="J1569" s="42">
        <v>0.0</v>
      </c>
      <c r="K1569" s="42">
        <v>2.0</v>
      </c>
      <c r="L1569" s="42">
        <v>2.0</v>
      </c>
      <c r="M1569" s="42">
        <v>0.0</v>
      </c>
      <c r="N1569" s="42">
        <v>0.0</v>
      </c>
      <c r="O1569" s="42">
        <v>0.0</v>
      </c>
      <c r="P1569" s="42">
        <v>0.0</v>
      </c>
      <c r="Q1569" s="42">
        <v>0.0</v>
      </c>
    </row>
    <row r="1570">
      <c r="A1570" s="47">
        <v>46205.0</v>
      </c>
      <c r="B1570" s="48">
        <v>0.25</v>
      </c>
      <c r="C1570" s="37" t="s">
        <v>31</v>
      </c>
      <c r="D1570" s="37" t="s">
        <v>95</v>
      </c>
      <c r="E1570" s="37" t="s">
        <v>88</v>
      </c>
      <c r="F1570" s="38">
        <v>0.0</v>
      </c>
      <c r="G1570" s="38">
        <v>0.0</v>
      </c>
      <c r="H1570" s="38">
        <v>0.0</v>
      </c>
      <c r="I1570" s="38">
        <v>0.0</v>
      </c>
      <c r="J1570" s="38">
        <v>0.0</v>
      </c>
      <c r="K1570" s="38">
        <v>0.0</v>
      </c>
      <c r="L1570" s="38">
        <v>0.0</v>
      </c>
      <c r="M1570" s="38">
        <v>0.0</v>
      </c>
      <c r="N1570" s="38">
        <v>0.0</v>
      </c>
      <c r="O1570" s="38">
        <v>0.0</v>
      </c>
      <c r="P1570" s="38">
        <v>0.0</v>
      </c>
      <c r="Q1570" s="38">
        <v>0.0</v>
      </c>
    </row>
    <row r="1571">
      <c r="A1571" s="49">
        <v>46205.0</v>
      </c>
      <c r="B1571" s="50">
        <v>0.25</v>
      </c>
      <c r="C1571" s="41" t="s">
        <v>31</v>
      </c>
      <c r="D1571" s="41" t="s">
        <v>95</v>
      </c>
      <c r="E1571" s="41" t="s">
        <v>89</v>
      </c>
      <c r="F1571" s="42">
        <v>0.0</v>
      </c>
      <c r="G1571" s="42">
        <v>0.0</v>
      </c>
      <c r="H1571" s="42">
        <v>0.0</v>
      </c>
      <c r="I1571" s="42">
        <v>0.0</v>
      </c>
      <c r="J1571" s="42">
        <v>0.0</v>
      </c>
      <c r="K1571" s="42">
        <v>0.0</v>
      </c>
      <c r="L1571" s="42">
        <v>0.0</v>
      </c>
      <c r="M1571" s="42">
        <v>0.0</v>
      </c>
      <c r="N1571" s="42">
        <v>0.0</v>
      </c>
      <c r="O1571" s="42">
        <v>0.0</v>
      </c>
      <c r="P1571" s="42">
        <v>0.0</v>
      </c>
      <c r="Q1571" s="42">
        <v>0.0</v>
      </c>
    </row>
    <row r="1572">
      <c r="A1572" s="47">
        <v>46205.0</v>
      </c>
      <c r="B1572" s="48">
        <v>0.25</v>
      </c>
      <c r="C1572" s="37" t="s">
        <v>31</v>
      </c>
      <c r="D1572" s="37" t="s">
        <v>95</v>
      </c>
      <c r="E1572" s="37" t="s">
        <v>50</v>
      </c>
      <c r="F1572" s="38">
        <v>1.0</v>
      </c>
      <c r="G1572" s="38">
        <v>1.0</v>
      </c>
      <c r="H1572" s="38">
        <v>0.0</v>
      </c>
      <c r="I1572" s="38">
        <v>0.0</v>
      </c>
      <c r="J1572" s="38">
        <v>0.0</v>
      </c>
      <c r="K1572" s="38">
        <v>0.0</v>
      </c>
      <c r="L1572" s="38">
        <v>0.0</v>
      </c>
      <c r="M1572" s="38">
        <v>0.0</v>
      </c>
      <c r="N1572" s="38">
        <v>0.0</v>
      </c>
      <c r="O1572" s="38">
        <v>0.0</v>
      </c>
      <c r="P1572" s="38">
        <v>0.0</v>
      </c>
      <c r="Q1572" s="38">
        <v>0.0</v>
      </c>
    </row>
    <row r="1573">
      <c r="A1573" s="49">
        <v>46205.0</v>
      </c>
      <c r="B1573" s="50">
        <v>0.25</v>
      </c>
      <c r="C1573" s="41" t="s">
        <v>31</v>
      </c>
      <c r="D1573" s="41" t="s">
        <v>95</v>
      </c>
      <c r="E1573" s="41" t="s">
        <v>90</v>
      </c>
      <c r="F1573" s="42">
        <v>0.0</v>
      </c>
      <c r="G1573" s="42">
        <v>0.0</v>
      </c>
      <c r="H1573" s="42">
        <v>0.0</v>
      </c>
      <c r="I1573" s="42">
        <v>0.0</v>
      </c>
      <c r="J1573" s="42">
        <v>0.0</v>
      </c>
      <c r="K1573" s="42">
        <v>0.0</v>
      </c>
      <c r="L1573" s="42">
        <v>0.0</v>
      </c>
      <c r="M1573" s="42">
        <v>0.0</v>
      </c>
      <c r="N1573" s="42">
        <v>0.0</v>
      </c>
      <c r="O1573" s="42">
        <v>0.0</v>
      </c>
      <c r="P1573" s="42">
        <v>0.0</v>
      </c>
      <c r="Q1573" s="42">
        <v>0.0</v>
      </c>
    </row>
    <row r="1574">
      <c r="A1574" s="47">
        <v>46205.0</v>
      </c>
      <c r="B1574" s="48">
        <v>0.25</v>
      </c>
      <c r="C1574" s="37" t="s">
        <v>31</v>
      </c>
      <c r="D1574" s="37" t="s">
        <v>95</v>
      </c>
      <c r="E1574" s="37" t="s">
        <v>91</v>
      </c>
      <c r="F1574" s="38">
        <v>0.0</v>
      </c>
      <c r="G1574" s="38">
        <v>0.0</v>
      </c>
      <c r="H1574" s="38">
        <v>0.0</v>
      </c>
      <c r="I1574" s="38">
        <v>0.0</v>
      </c>
      <c r="J1574" s="38">
        <v>0.0</v>
      </c>
      <c r="K1574" s="38">
        <v>0.0</v>
      </c>
      <c r="L1574" s="38">
        <v>0.0</v>
      </c>
      <c r="M1574" s="38">
        <v>0.0</v>
      </c>
      <c r="N1574" s="38">
        <v>0.0</v>
      </c>
      <c r="O1574" s="38">
        <v>0.0</v>
      </c>
      <c r="P1574" s="38">
        <v>0.0</v>
      </c>
      <c r="Q1574" s="38">
        <v>0.0</v>
      </c>
    </row>
    <row r="1575">
      <c r="A1575" s="49">
        <v>46205.0</v>
      </c>
      <c r="B1575" s="50">
        <v>0.25</v>
      </c>
      <c r="C1575" s="41" t="s">
        <v>31</v>
      </c>
      <c r="D1575" s="41" t="s">
        <v>95</v>
      </c>
      <c r="E1575" s="41" t="s">
        <v>92</v>
      </c>
      <c r="F1575" s="42">
        <v>0.0</v>
      </c>
      <c r="G1575" s="42">
        <v>0.0</v>
      </c>
      <c r="H1575" s="42">
        <v>0.0</v>
      </c>
      <c r="I1575" s="42">
        <v>0.0</v>
      </c>
      <c r="J1575" s="42">
        <v>0.0</v>
      </c>
      <c r="K1575" s="42">
        <v>0.0</v>
      </c>
      <c r="L1575" s="42">
        <v>0.0</v>
      </c>
      <c r="M1575" s="42">
        <v>0.0</v>
      </c>
      <c r="N1575" s="42">
        <v>0.0</v>
      </c>
      <c r="O1575" s="42">
        <v>0.0</v>
      </c>
      <c r="P1575" s="42">
        <v>0.0</v>
      </c>
      <c r="Q1575" s="42">
        <v>0.0</v>
      </c>
    </row>
    <row r="1576">
      <c r="A1576" s="47">
        <v>46205.0</v>
      </c>
      <c r="B1576" s="48">
        <v>0.25</v>
      </c>
      <c r="C1576" s="37" t="s">
        <v>31</v>
      </c>
      <c r="D1576" s="37" t="s">
        <v>95</v>
      </c>
      <c r="E1576" s="37" t="s">
        <v>106</v>
      </c>
      <c r="F1576" s="38">
        <v>0.0</v>
      </c>
      <c r="G1576" s="38">
        <v>0.0</v>
      </c>
      <c r="H1576" s="38">
        <v>0.0</v>
      </c>
      <c r="I1576" s="38">
        <v>0.0</v>
      </c>
      <c r="J1576" s="38">
        <v>0.0</v>
      </c>
      <c r="K1576" s="38">
        <v>0.0</v>
      </c>
      <c r="L1576" s="38">
        <v>0.0</v>
      </c>
      <c r="M1576" s="38">
        <v>0.0</v>
      </c>
      <c r="N1576" s="38">
        <v>0.0</v>
      </c>
      <c r="O1576" s="38">
        <v>0.0</v>
      </c>
      <c r="P1576" s="38">
        <v>0.0</v>
      </c>
      <c r="Q1576" s="38">
        <v>0.0</v>
      </c>
    </row>
    <row r="1577">
      <c r="A1577" s="49">
        <v>46205.0</v>
      </c>
      <c r="B1577" s="50">
        <v>0.25</v>
      </c>
      <c r="C1577" s="41" t="s">
        <v>31</v>
      </c>
      <c r="D1577" s="41" t="s">
        <v>95</v>
      </c>
      <c r="E1577" s="41" t="s">
        <v>107</v>
      </c>
      <c r="F1577" s="42">
        <v>0.0</v>
      </c>
      <c r="G1577" s="42">
        <v>0.0</v>
      </c>
      <c r="H1577" s="42">
        <v>0.0</v>
      </c>
      <c r="I1577" s="42">
        <v>0.0</v>
      </c>
      <c r="J1577" s="42">
        <v>0.0</v>
      </c>
      <c r="K1577" s="42">
        <v>0.0</v>
      </c>
      <c r="L1577" s="42">
        <v>0.0</v>
      </c>
      <c r="M1577" s="42">
        <v>0.0</v>
      </c>
      <c r="N1577" s="42">
        <v>0.0</v>
      </c>
      <c r="O1577" s="42">
        <v>0.0</v>
      </c>
      <c r="P1577" s="42">
        <v>0.0</v>
      </c>
      <c r="Q1577" s="42">
        <v>0.0</v>
      </c>
    </row>
    <row r="1578">
      <c r="A1578" s="51">
        <v>46205.0</v>
      </c>
      <c r="B1578" s="52">
        <v>0.25</v>
      </c>
      <c r="C1578" s="45" t="s">
        <v>96</v>
      </c>
      <c r="D1578" s="45" t="s">
        <v>75</v>
      </c>
      <c r="E1578" s="45" t="s">
        <v>52</v>
      </c>
      <c r="F1578" s="46">
        <v>17.0</v>
      </c>
      <c r="G1578" s="46">
        <v>5.0</v>
      </c>
      <c r="H1578" s="46">
        <v>7.0</v>
      </c>
      <c r="I1578" s="46">
        <v>0.0</v>
      </c>
      <c r="J1578" s="46">
        <v>0.0</v>
      </c>
      <c r="K1578" s="46">
        <v>14.0</v>
      </c>
      <c r="L1578" s="46">
        <v>17.0</v>
      </c>
      <c r="M1578" s="46">
        <v>0.0</v>
      </c>
      <c r="N1578" s="46">
        <v>0.0</v>
      </c>
      <c r="O1578" s="46">
        <v>0.0</v>
      </c>
      <c r="P1578" s="46">
        <v>4.0</v>
      </c>
      <c r="Q1578" s="46">
        <v>5.0</v>
      </c>
    </row>
    <row r="1579">
      <c r="A1579" s="51">
        <v>46205.0</v>
      </c>
      <c r="B1579" s="52">
        <v>0.25</v>
      </c>
      <c r="C1579" s="45" t="s">
        <v>96</v>
      </c>
      <c r="D1579" s="45" t="s">
        <v>75</v>
      </c>
      <c r="E1579" s="45" t="s">
        <v>88</v>
      </c>
      <c r="F1579" s="46">
        <v>0.0</v>
      </c>
      <c r="G1579" s="46">
        <v>0.0</v>
      </c>
      <c r="H1579" s="46">
        <v>0.0</v>
      </c>
      <c r="I1579" s="46">
        <v>0.0</v>
      </c>
      <c r="J1579" s="46">
        <v>0.0</v>
      </c>
      <c r="K1579" s="46">
        <v>0.0</v>
      </c>
      <c r="L1579" s="46">
        <v>0.0</v>
      </c>
      <c r="M1579" s="46">
        <v>0.0</v>
      </c>
      <c r="N1579" s="46">
        <v>0.0</v>
      </c>
      <c r="O1579" s="46">
        <v>0.0</v>
      </c>
      <c r="P1579" s="46">
        <v>0.0</v>
      </c>
      <c r="Q1579" s="46">
        <v>0.0</v>
      </c>
    </row>
    <row r="1580">
      <c r="A1580" s="51">
        <v>46205.0</v>
      </c>
      <c r="B1580" s="52">
        <v>0.25</v>
      </c>
      <c r="C1580" s="45" t="s">
        <v>96</v>
      </c>
      <c r="D1580" s="45" t="s">
        <v>75</v>
      </c>
      <c r="E1580" s="45" t="s">
        <v>89</v>
      </c>
      <c r="F1580" s="46">
        <v>1.0</v>
      </c>
      <c r="G1580" s="46">
        <v>0.0</v>
      </c>
      <c r="H1580" s="46">
        <v>0.0</v>
      </c>
      <c r="I1580" s="46">
        <v>0.0</v>
      </c>
      <c r="J1580" s="46">
        <v>0.0</v>
      </c>
      <c r="K1580" s="46">
        <v>1.0</v>
      </c>
      <c r="L1580" s="46">
        <v>1.0</v>
      </c>
      <c r="M1580" s="46">
        <v>0.0</v>
      </c>
      <c r="N1580" s="46">
        <v>0.0</v>
      </c>
      <c r="O1580" s="46">
        <v>0.0</v>
      </c>
      <c r="P1580" s="46">
        <v>0.0</v>
      </c>
      <c r="Q1580" s="46">
        <v>0.0</v>
      </c>
    </row>
    <row r="1581">
      <c r="A1581" s="51">
        <v>46205.0</v>
      </c>
      <c r="B1581" s="52">
        <v>0.25</v>
      </c>
      <c r="C1581" s="45" t="s">
        <v>96</v>
      </c>
      <c r="D1581" s="45" t="s">
        <v>75</v>
      </c>
      <c r="E1581" s="45" t="s">
        <v>50</v>
      </c>
      <c r="F1581" s="46">
        <v>1.0</v>
      </c>
      <c r="G1581" s="46">
        <v>1.0</v>
      </c>
      <c r="H1581" s="46">
        <v>0.0</v>
      </c>
      <c r="I1581" s="46">
        <v>0.0</v>
      </c>
      <c r="J1581" s="46">
        <v>0.0</v>
      </c>
      <c r="K1581" s="46">
        <v>0.0</v>
      </c>
      <c r="L1581" s="46">
        <v>0.0</v>
      </c>
      <c r="M1581" s="46">
        <v>0.0</v>
      </c>
      <c r="N1581" s="46">
        <v>0.0</v>
      </c>
      <c r="O1581" s="46">
        <v>0.0</v>
      </c>
      <c r="P1581" s="46">
        <v>0.0</v>
      </c>
      <c r="Q1581" s="46">
        <v>0.0</v>
      </c>
    </row>
    <row r="1582">
      <c r="A1582" s="51">
        <v>46205.0</v>
      </c>
      <c r="B1582" s="52">
        <v>0.25</v>
      </c>
      <c r="C1582" s="45" t="s">
        <v>96</v>
      </c>
      <c r="D1582" s="45" t="s">
        <v>75</v>
      </c>
      <c r="E1582" s="45" t="s">
        <v>90</v>
      </c>
      <c r="F1582" s="46">
        <v>0.0</v>
      </c>
      <c r="G1582" s="46">
        <v>0.0</v>
      </c>
      <c r="H1582" s="46">
        <v>0.0</v>
      </c>
      <c r="I1582" s="46">
        <v>0.0</v>
      </c>
      <c r="J1582" s="46">
        <v>0.0</v>
      </c>
      <c r="K1582" s="46">
        <v>0.0</v>
      </c>
      <c r="L1582" s="46">
        <v>0.0</v>
      </c>
      <c r="M1582" s="46">
        <v>0.0</v>
      </c>
      <c r="N1582" s="46">
        <v>0.0</v>
      </c>
      <c r="O1582" s="46">
        <v>0.0</v>
      </c>
      <c r="P1582" s="46">
        <v>0.0</v>
      </c>
      <c r="Q1582" s="46">
        <v>0.0</v>
      </c>
    </row>
    <row r="1583">
      <c r="A1583" s="51">
        <v>46205.0</v>
      </c>
      <c r="B1583" s="52">
        <v>0.25</v>
      </c>
      <c r="C1583" s="45" t="s">
        <v>96</v>
      </c>
      <c r="D1583" s="45" t="s">
        <v>75</v>
      </c>
      <c r="E1583" s="45" t="s">
        <v>91</v>
      </c>
      <c r="F1583" s="46">
        <v>0.0</v>
      </c>
      <c r="G1583" s="46">
        <v>0.0</v>
      </c>
      <c r="H1583" s="46">
        <v>0.0</v>
      </c>
      <c r="I1583" s="46">
        <v>0.0</v>
      </c>
      <c r="J1583" s="46">
        <v>0.0</v>
      </c>
      <c r="K1583" s="46">
        <v>0.0</v>
      </c>
      <c r="L1583" s="46">
        <v>0.0</v>
      </c>
      <c r="M1583" s="46">
        <v>0.0</v>
      </c>
      <c r="N1583" s="46">
        <v>0.0</v>
      </c>
      <c r="O1583" s="46">
        <v>0.0</v>
      </c>
      <c r="P1583" s="46">
        <v>0.0</v>
      </c>
      <c r="Q1583" s="46">
        <v>0.0</v>
      </c>
    </row>
    <row r="1584">
      <c r="A1584" s="51">
        <v>46205.0</v>
      </c>
      <c r="B1584" s="52">
        <v>0.25</v>
      </c>
      <c r="C1584" s="45" t="s">
        <v>96</v>
      </c>
      <c r="D1584" s="45" t="s">
        <v>75</v>
      </c>
      <c r="E1584" s="45" t="s">
        <v>92</v>
      </c>
      <c r="F1584" s="46">
        <v>0.0</v>
      </c>
      <c r="G1584" s="46">
        <v>0.0</v>
      </c>
      <c r="H1584" s="46">
        <v>0.0</v>
      </c>
      <c r="I1584" s="46">
        <v>0.0</v>
      </c>
      <c r="J1584" s="46">
        <v>0.0</v>
      </c>
      <c r="K1584" s="46">
        <v>0.0</v>
      </c>
      <c r="L1584" s="46">
        <v>0.0</v>
      </c>
      <c r="M1584" s="46">
        <v>0.0</v>
      </c>
      <c r="N1584" s="46">
        <v>0.0</v>
      </c>
      <c r="O1584" s="46">
        <v>0.0</v>
      </c>
      <c r="P1584" s="46">
        <v>0.0</v>
      </c>
      <c r="Q1584" s="46">
        <v>0.0</v>
      </c>
    </row>
    <row r="1585">
      <c r="A1585" s="51">
        <v>46205.0</v>
      </c>
      <c r="B1585" s="52">
        <v>0.25</v>
      </c>
      <c r="C1585" s="45" t="s">
        <v>96</v>
      </c>
      <c r="D1585" s="45" t="s">
        <v>75</v>
      </c>
      <c r="E1585" s="45" t="s">
        <v>106</v>
      </c>
      <c r="F1585" s="46">
        <v>2.0</v>
      </c>
      <c r="G1585" s="46">
        <v>0.0</v>
      </c>
      <c r="H1585" s="46">
        <v>0.0</v>
      </c>
      <c r="I1585" s="46">
        <v>0.0</v>
      </c>
      <c r="J1585" s="46">
        <v>0.0</v>
      </c>
      <c r="K1585" s="46">
        <v>0.0</v>
      </c>
      <c r="L1585" s="46">
        <v>2.0</v>
      </c>
      <c r="M1585" s="46">
        <v>0.0</v>
      </c>
      <c r="N1585" s="46">
        <v>0.0</v>
      </c>
      <c r="O1585" s="46">
        <v>0.0</v>
      </c>
      <c r="P1585" s="46">
        <v>0.0</v>
      </c>
      <c r="Q1585" s="46">
        <v>0.0</v>
      </c>
    </row>
    <row r="1586">
      <c r="A1586" s="51">
        <v>46205.0</v>
      </c>
      <c r="B1586" s="52">
        <v>0.25</v>
      </c>
      <c r="C1586" s="45" t="s">
        <v>96</v>
      </c>
      <c r="D1586" s="45" t="s">
        <v>75</v>
      </c>
      <c r="E1586" s="45" t="s">
        <v>107</v>
      </c>
      <c r="F1586" s="46">
        <v>0.0</v>
      </c>
      <c r="G1586" s="46">
        <v>0.0</v>
      </c>
      <c r="H1586" s="46">
        <v>0.0</v>
      </c>
      <c r="I1586" s="46">
        <v>0.0</v>
      </c>
      <c r="J1586" s="46">
        <v>0.0</v>
      </c>
      <c r="K1586" s="46">
        <v>0.0</v>
      </c>
      <c r="L1586" s="46">
        <v>0.0</v>
      </c>
      <c r="M1586" s="46">
        <v>0.0</v>
      </c>
      <c r="N1586" s="46">
        <v>0.0</v>
      </c>
      <c r="O1586" s="46">
        <v>0.0</v>
      </c>
      <c r="P1586" s="46">
        <v>0.0</v>
      </c>
      <c r="Q1586" s="46">
        <v>0.0</v>
      </c>
    </row>
    <row r="1587">
      <c r="A1587" s="49">
        <v>46205.0</v>
      </c>
      <c r="B1587" s="50">
        <v>0.46458333333333335</v>
      </c>
      <c r="C1587" s="41" t="s">
        <v>15</v>
      </c>
      <c r="D1587" s="41" t="s">
        <v>87</v>
      </c>
      <c r="E1587" s="41" t="s">
        <v>52</v>
      </c>
      <c r="F1587" s="42">
        <v>3.0</v>
      </c>
      <c r="G1587" s="42">
        <v>1.0</v>
      </c>
      <c r="H1587" s="42">
        <v>1.0</v>
      </c>
      <c r="I1587" s="42">
        <v>0.0</v>
      </c>
      <c r="J1587" s="42">
        <v>0.0</v>
      </c>
      <c r="K1587" s="42">
        <v>1.0</v>
      </c>
      <c r="L1587" s="42">
        <v>3.0</v>
      </c>
      <c r="M1587" s="42">
        <v>0.0</v>
      </c>
      <c r="N1587" s="42">
        <v>0.0</v>
      </c>
      <c r="O1587" s="42">
        <v>0.0</v>
      </c>
      <c r="P1587" s="42">
        <v>0.0</v>
      </c>
      <c r="Q1587" s="42">
        <v>1.0</v>
      </c>
    </row>
    <row r="1588">
      <c r="A1588" s="47">
        <v>46205.0</v>
      </c>
      <c r="B1588" s="48">
        <v>0.46458333333333335</v>
      </c>
      <c r="C1588" s="37" t="s">
        <v>15</v>
      </c>
      <c r="D1588" s="37" t="s">
        <v>87</v>
      </c>
      <c r="E1588" s="37" t="s">
        <v>88</v>
      </c>
      <c r="F1588" s="38">
        <v>0.0</v>
      </c>
      <c r="G1588" s="38">
        <v>0.0</v>
      </c>
      <c r="H1588" s="38">
        <v>0.0</v>
      </c>
      <c r="I1588" s="38">
        <v>0.0</v>
      </c>
      <c r="J1588" s="38">
        <v>0.0</v>
      </c>
      <c r="K1588" s="38">
        <v>0.0</v>
      </c>
      <c r="L1588" s="38">
        <v>0.0</v>
      </c>
      <c r="M1588" s="38">
        <v>0.0</v>
      </c>
      <c r="N1588" s="38">
        <v>0.0</v>
      </c>
      <c r="O1588" s="38">
        <v>0.0</v>
      </c>
      <c r="P1588" s="38">
        <v>0.0</v>
      </c>
      <c r="Q1588" s="38">
        <v>0.0</v>
      </c>
    </row>
    <row r="1589">
      <c r="A1589" s="49">
        <v>46205.0</v>
      </c>
      <c r="B1589" s="50">
        <v>0.46458333333333335</v>
      </c>
      <c r="C1589" s="41" t="s">
        <v>15</v>
      </c>
      <c r="D1589" s="41" t="s">
        <v>87</v>
      </c>
      <c r="E1589" s="41" t="s">
        <v>89</v>
      </c>
      <c r="F1589" s="42">
        <v>0.0</v>
      </c>
      <c r="G1589" s="42">
        <v>0.0</v>
      </c>
      <c r="H1589" s="42">
        <v>0.0</v>
      </c>
      <c r="I1589" s="42">
        <v>0.0</v>
      </c>
      <c r="J1589" s="42">
        <v>0.0</v>
      </c>
      <c r="K1589" s="42">
        <v>0.0</v>
      </c>
      <c r="L1589" s="42">
        <v>0.0</v>
      </c>
      <c r="M1589" s="42">
        <v>0.0</v>
      </c>
      <c r="N1589" s="42">
        <v>0.0</v>
      </c>
      <c r="O1589" s="42">
        <v>0.0</v>
      </c>
      <c r="P1589" s="42">
        <v>0.0</v>
      </c>
      <c r="Q1589" s="42">
        <v>0.0</v>
      </c>
    </row>
    <row r="1590">
      <c r="A1590" s="47">
        <v>46205.0</v>
      </c>
      <c r="B1590" s="48">
        <v>0.46458333333333335</v>
      </c>
      <c r="C1590" s="37" t="s">
        <v>15</v>
      </c>
      <c r="D1590" s="37" t="s">
        <v>87</v>
      </c>
      <c r="E1590" s="37" t="s">
        <v>50</v>
      </c>
      <c r="F1590" s="38">
        <v>0.0</v>
      </c>
      <c r="G1590" s="38">
        <v>0.0</v>
      </c>
      <c r="H1590" s="38">
        <v>0.0</v>
      </c>
      <c r="I1590" s="38">
        <v>0.0</v>
      </c>
      <c r="J1590" s="38">
        <v>0.0</v>
      </c>
      <c r="K1590" s="38">
        <v>0.0</v>
      </c>
      <c r="L1590" s="38">
        <v>0.0</v>
      </c>
      <c r="M1590" s="38">
        <v>0.0</v>
      </c>
      <c r="N1590" s="38">
        <v>0.0</v>
      </c>
      <c r="O1590" s="38">
        <v>0.0</v>
      </c>
      <c r="P1590" s="38">
        <v>0.0</v>
      </c>
      <c r="Q1590" s="38">
        <v>0.0</v>
      </c>
    </row>
    <row r="1591">
      <c r="A1591" s="49">
        <v>46205.0</v>
      </c>
      <c r="B1591" s="50">
        <v>0.46458333333333335</v>
      </c>
      <c r="C1591" s="41" t="s">
        <v>15</v>
      </c>
      <c r="D1591" s="41" t="s">
        <v>87</v>
      </c>
      <c r="E1591" s="41" t="s">
        <v>90</v>
      </c>
      <c r="F1591" s="42">
        <v>0.0</v>
      </c>
      <c r="G1591" s="42">
        <v>0.0</v>
      </c>
      <c r="H1591" s="42">
        <v>0.0</v>
      </c>
      <c r="I1591" s="42">
        <v>0.0</v>
      </c>
      <c r="J1591" s="42">
        <v>0.0</v>
      </c>
      <c r="K1591" s="42">
        <v>0.0</v>
      </c>
      <c r="L1591" s="42">
        <v>0.0</v>
      </c>
      <c r="M1591" s="42">
        <v>0.0</v>
      </c>
      <c r="N1591" s="42">
        <v>0.0</v>
      </c>
      <c r="O1591" s="42">
        <v>0.0</v>
      </c>
      <c r="P1591" s="42">
        <v>0.0</v>
      </c>
      <c r="Q1591" s="42">
        <v>0.0</v>
      </c>
    </row>
    <row r="1592">
      <c r="A1592" s="47">
        <v>46205.0</v>
      </c>
      <c r="B1592" s="48">
        <v>0.46458333333333335</v>
      </c>
      <c r="C1592" s="37" t="s">
        <v>15</v>
      </c>
      <c r="D1592" s="37" t="s">
        <v>87</v>
      </c>
      <c r="E1592" s="37" t="s">
        <v>91</v>
      </c>
      <c r="F1592" s="38">
        <v>0.0</v>
      </c>
      <c r="G1592" s="38">
        <v>0.0</v>
      </c>
      <c r="H1592" s="38">
        <v>0.0</v>
      </c>
      <c r="I1592" s="38">
        <v>0.0</v>
      </c>
      <c r="J1592" s="38">
        <v>0.0</v>
      </c>
      <c r="K1592" s="38">
        <v>0.0</v>
      </c>
      <c r="L1592" s="38">
        <v>0.0</v>
      </c>
      <c r="M1592" s="38">
        <v>0.0</v>
      </c>
      <c r="N1592" s="38">
        <v>0.0</v>
      </c>
      <c r="O1592" s="38">
        <v>0.0</v>
      </c>
      <c r="P1592" s="38">
        <v>0.0</v>
      </c>
      <c r="Q1592" s="38">
        <v>0.0</v>
      </c>
    </row>
    <row r="1593">
      <c r="A1593" s="49">
        <v>46205.0</v>
      </c>
      <c r="B1593" s="50">
        <v>0.46458333333333335</v>
      </c>
      <c r="C1593" s="41" t="s">
        <v>15</v>
      </c>
      <c r="D1593" s="41" t="s">
        <v>87</v>
      </c>
      <c r="E1593" s="41" t="s">
        <v>92</v>
      </c>
      <c r="F1593" s="42">
        <v>0.0</v>
      </c>
      <c r="G1593" s="42">
        <v>0.0</v>
      </c>
      <c r="H1593" s="42">
        <v>0.0</v>
      </c>
      <c r="I1593" s="42">
        <v>0.0</v>
      </c>
      <c r="J1593" s="42">
        <v>0.0</v>
      </c>
      <c r="K1593" s="42">
        <v>0.0</v>
      </c>
      <c r="L1593" s="42">
        <v>0.0</v>
      </c>
      <c r="M1593" s="42">
        <v>0.0</v>
      </c>
      <c r="N1593" s="42">
        <v>0.0</v>
      </c>
      <c r="O1593" s="42">
        <v>0.0</v>
      </c>
      <c r="P1593" s="42">
        <v>0.0</v>
      </c>
      <c r="Q1593" s="42">
        <v>0.0</v>
      </c>
    </row>
    <row r="1594">
      <c r="A1594" s="47">
        <v>46205.0</v>
      </c>
      <c r="B1594" s="48">
        <v>0.46458333333333335</v>
      </c>
      <c r="C1594" s="37" t="s">
        <v>15</v>
      </c>
      <c r="D1594" s="37" t="s">
        <v>87</v>
      </c>
      <c r="E1594" s="37" t="s">
        <v>106</v>
      </c>
      <c r="F1594" s="38">
        <v>0.0</v>
      </c>
      <c r="G1594" s="38">
        <v>0.0</v>
      </c>
      <c r="H1594" s="38">
        <v>0.0</v>
      </c>
      <c r="I1594" s="38">
        <v>0.0</v>
      </c>
      <c r="J1594" s="38">
        <v>0.0</v>
      </c>
      <c r="K1594" s="38">
        <v>0.0</v>
      </c>
      <c r="L1594" s="38">
        <v>0.0</v>
      </c>
      <c r="M1594" s="38">
        <v>0.0</v>
      </c>
      <c r="N1594" s="38">
        <v>0.0</v>
      </c>
      <c r="O1594" s="38">
        <v>0.0</v>
      </c>
      <c r="P1594" s="38">
        <v>0.0</v>
      </c>
      <c r="Q1594" s="38">
        <v>0.0</v>
      </c>
    </row>
    <row r="1595">
      <c r="A1595" s="49">
        <v>46205.0</v>
      </c>
      <c r="B1595" s="50">
        <v>0.46458333333333335</v>
      </c>
      <c r="C1595" s="41" t="s">
        <v>15</v>
      </c>
      <c r="D1595" s="41" t="s">
        <v>87</v>
      </c>
      <c r="E1595" s="41" t="s">
        <v>107</v>
      </c>
      <c r="F1595" s="42">
        <v>0.0</v>
      </c>
      <c r="G1595" s="42">
        <v>0.0</v>
      </c>
      <c r="H1595" s="42">
        <v>0.0</v>
      </c>
      <c r="I1595" s="42">
        <v>0.0</v>
      </c>
      <c r="J1595" s="42">
        <v>0.0</v>
      </c>
      <c r="K1595" s="42">
        <v>0.0</v>
      </c>
      <c r="L1595" s="42">
        <v>0.0</v>
      </c>
      <c r="M1595" s="42">
        <v>0.0</v>
      </c>
      <c r="N1595" s="42">
        <v>0.0</v>
      </c>
      <c r="O1595" s="42">
        <v>0.0</v>
      </c>
      <c r="P1595" s="42">
        <v>0.0</v>
      </c>
      <c r="Q1595" s="42">
        <v>0.0</v>
      </c>
    </row>
    <row r="1596">
      <c r="A1596" s="47">
        <v>46205.0</v>
      </c>
      <c r="B1596" s="48">
        <v>0.46458333333333335</v>
      </c>
      <c r="C1596" s="37" t="s">
        <v>23</v>
      </c>
      <c r="D1596" s="37" t="s">
        <v>93</v>
      </c>
      <c r="E1596" s="37" t="s">
        <v>52</v>
      </c>
      <c r="F1596" s="38">
        <v>4.0</v>
      </c>
      <c r="G1596" s="38">
        <v>1.0</v>
      </c>
      <c r="H1596" s="38">
        <v>3.0</v>
      </c>
      <c r="I1596" s="38">
        <v>0.0</v>
      </c>
      <c r="J1596" s="38">
        <v>0.0</v>
      </c>
      <c r="K1596" s="38">
        <v>4.0</v>
      </c>
      <c r="L1596" s="38">
        <v>4.0</v>
      </c>
      <c r="M1596" s="38">
        <v>0.0</v>
      </c>
      <c r="N1596" s="38">
        <v>0.0</v>
      </c>
      <c r="O1596" s="38">
        <v>0.0</v>
      </c>
      <c r="P1596" s="38">
        <v>1.0</v>
      </c>
      <c r="Q1596" s="38">
        <v>1.0</v>
      </c>
    </row>
    <row r="1597">
      <c r="A1597" s="49">
        <v>46205.0</v>
      </c>
      <c r="B1597" s="50">
        <v>0.46458333333333335</v>
      </c>
      <c r="C1597" s="41" t="s">
        <v>23</v>
      </c>
      <c r="D1597" s="41" t="s">
        <v>93</v>
      </c>
      <c r="E1597" s="41" t="s">
        <v>88</v>
      </c>
      <c r="F1597" s="42">
        <v>0.0</v>
      </c>
      <c r="G1597" s="42">
        <v>0.0</v>
      </c>
      <c r="H1597" s="42">
        <v>0.0</v>
      </c>
      <c r="I1597" s="42">
        <v>0.0</v>
      </c>
      <c r="J1597" s="42">
        <v>0.0</v>
      </c>
      <c r="K1597" s="42">
        <v>0.0</v>
      </c>
      <c r="L1597" s="42">
        <v>0.0</v>
      </c>
      <c r="M1597" s="42">
        <v>0.0</v>
      </c>
      <c r="N1597" s="42">
        <v>0.0</v>
      </c>
      <c r="O1597" s="42">
        <v>0.0</v>
      </c>
      <c r="P1597" s="42">
        <v>0.0</v>
      </c>
      <c r="Q1597" s="42">
        <v>0.0</v>
      </c>
    </row>
    <row r="1598">
      <c r="A1598" s="47">
        <v>46205.0</v>
      </c>
      <c r="B1598" s="48">
        <v>0.46458333333333335</v>
      </c>
      <c r="C1598" s="37" t="s">
        <v>23</v>
      </c>
      <c r="D1598" s="37" t="s">
        <v>93</v>
      </c>
      <c r="E1598" s="37" t="s">
        <v>89</v>
      </c>
      <c r="F1598" s="38">
        <v>0.0</v>
      </c>
      <c r="G1598" s="38">
        <v>0.0</v>
      </c>
      <c r="H1598" s="38">
        <v>0.0</v>
      </c>
      <c r="I1598" s="38">
        <v>0.0</v>
      </c>
      <c r="J1598" s="38">
        <v>0.0</v>
      </c>
      <c r="K1598" s="38">
        <v>0.0</v>
      </c>
      <c r="L1598" s="38">
        <v>0.0</v>
      </c>
      <c r="M1598" s="38">
        <v>0.0</v>
      </c>
      <c r="N1598" s="38">
        <v>0.0</v>
      </c>
      <c r="O1598" s="38">
        <v>0.0</v>
      </c>
      <c r="P1598" s="38">
        <v>0.0</v>
      </c>
      <c r="Q1598" s="38">
        <v>0.0</v>
      </c>
    </row>
    <row r="1599">
      <c r="A1599" s="49">
        <v>46205.0</v>
      </c>
      <c r="B1599" s="50">
        <v>0.46458333333333335</v>
      </c>
      <c r="C1599" s="41" t="s">
        <v>23</v>
      </c>
      <c r="D1599" s="41" t="s">
        <v>93</v>
      </c>
      <c r="E1599" s="41" t="s">
        <v>50</v>
      </c>
      <c r="F1599" s="42">
        <v>0.0</v>
      </c>
      <c r="G1599" s="42">
        <v>0.0</v>
      </c>
      <c r="H1599" s="42">
        <v>0.0</v>
      </c>
      <c r="I1599" s="42">
        <v>0.0</v>
      </c>
      <c r="J1599" s="42">
        <v>0.0</v>
      </c>
      <c r="K1599" s="42">
        <v>0.0</v>
      </c>
      <c r="L1599" s="42">
        <v>0.0</v>
      </c>
      <c r="M1599" s="42">
        <v>0.0</v>
      </c>
      <c r="N1599" s="42">
        <v>0.0</v>
      </c>
      <c r="O1599" s="42">
        <v>0.0</v>
      </c>
      <c r="P1599" s="42">
        <v>0.0</v>
      </c>
      <c r="Q1599" s="42">
        <v>0.0</v>
      </c>
    </row>
    <row r="1600">
      <c r="A1600" s="47">
        <v>46205.0</v>
      </c>
      <c r="B1600" s="48">
        <v>0.46458333333333335</v>
      </c>
      <c r="C1600" s="37" t="s">
        <v>23</v>
      </c>
      <c r="D1600" s="37" t="s">
        <v>93</v>
      </c>
      <c r="E1600" s="37" t="s">
        <v>90</v>
      </c>
      <c r="F1600" s="38">
        <v>0.0</v>
      </c>
      <c r="G1600" s="38">
        <v>0.0</v>
      </c>
      <c r="H1600" s="38">
        <v>0.0</v>
      </c>
      <c r="I1600" s="38">
        <v>0.0</v>
      </c>
      <c r="J1600" s="38">
        <v>0.0</v>
      </c>
      <c r="K1600" s="38">
        <v>0.0</v>
      </c>
      <c r="L1600" s="38">
        <v>0.0</v>
      </c>
      <c r="M1600" s="38">
        <v>0.0</v>
      </c>
      <c r="N1600" s="38">
        <v>0.0</v>
      </c>
      <c r="O1600" s="38">
        <v>0.0</v>
      </c>
      <c r="P1600" s="38">
        <v>0.0</v>
      </c>
      <c r="Q1600" s="38">
        <v>0.0</v>
      </c>
    </row>
    <row r="1601">
      <c r="A1601" s="49">
        <v>46205.0</v>
      </c>
      <c r="B1601" s="50">
        <v>0.46458333333333335</v>
      </c>
      <c r="C1601" s="41" t="s">
        <v>23</v>
      </c>
      <c r="D1601" s="41" t="s">
        <v>93</v>
      </c>
      <c r="E1601" s="41" t="s">
        <v>91</v>
      </c>
      <c r="F1601" s="42">
        <v>0.0</v>
      </c>
      <c r="G1601" s="42">
        <v>0.0</v>
      </c>
      <c r="H1601" s="42">
        <v>0.0</v>
      </c>
      <c r="I1601" s="42">
        <v>0.0</v>
      </c>
      <c r="J1601" s="42">
        <v>0.0</v>
      </c>
      <c r="K1601" s="42">
        <v>0.0</v>
      </c>
      <c r="L1601" s="42">
        <v>0.0</v>
      </c>
      <c r="M1601" s="42">
        <v>0.0</v>
      </c>
      <c r="N1601" s="42">
        <v>0.0</v>
      </c>
      <c r="O1601" s="42">
        <v>0.0</v>
      </c>
      <c r="P1601" s="42">
        <v>0.0</v>
      </c>
      <c r="Q1601" s="42">
        <v>0.0</v>
      </c>
    </row>
    <row r="1602">
      <c r="A1602" s="47">
        <v>46205.0</v>
      </c>
      <c r="B1602" s="48">
        <v>0.46458333333333335</v>
      </c>
      <c r="C1602" s="37" t="s">
        <v>23</v>
      </c>
      <c r="D1602" s="37" t="s">
        <v>93</v>
      </c>
      <c r="E1602" s="37" t="s">
        <v>92</v>
      </c>
      <c r="F1602" s="38">
        <v>0.0</v>
      </c>
      <c r="G1602" s="38">
        <v>0.0</v>
      </c>
      <c r="H1602" s="38">
        <v>0.0</v>
      </c>
      <c r="I1602" s="38">
        <v>0.0</v>
      </c>
      <c r="J1602" s="38">
        <v>0.0</v>
      </c>
      <c r="K1602" s="38">
        <v>0.0</v>
      </c>
      <c r="L1602" s="38">
        <v>0.0</v>
      </c>
      <c r="M1602" s="38">
        <v>0.0</v>
      </c>
      <c r="N1602" s="38">
        <v>0.0</v>
      </c>
      <c r="O1602" s="38">
        <v>0.0</v>
      </c>
      <c r="P1602" s="38">
        <v>0.0</v>
      </c>
      <c r="Q1602" s="38">
        <v>0.0</v>
      </c>
    </row>
    <row r="1603">
      <c r="A1603" s="49">
        <v>46205.0</v>
      </c>
      <c r="B1603" s="50">
        <v>0.46458333333333335</v>
      </c>
      <c r="C1603" s="41" t="s">
        <v>23</v>
      </c>
      <c r="D1603" s="41" t="s">
        <v>93</v>
      </c>
      <c r="E1603" s="41" t="s">
        <v>106</v>
      </c>
      <c r="F1603" s="42">
        <v>0.0</v>
      </c>
      <c r="G1603" s="42">
        <v>0.0</v>
      </c>
      <c r="H1603" s="42">
        <v>0.0</v>
      </c>
      <c r="I1603" s="42">
        <v>0.0</v>
      </c>
      <c r="J1603" s="42">
        <v>0.0</v>
      </c>
      <c r="K1603" s="42">
        <v>0.0</v>
      </c>
      <c r="L1603" s="42">
        <v>0.0</v>
      </c>
      <c r="M1603" s="42">
        <v>0.0</v>
      </c>
      <c r="N1603" s="42">
        <v>0.0</v>
      </c>
      <c r="O1603" s="42">
        <v>0.0</v>
      </c>
      <c r="P1603" s="42">
        <v>0.0</v>
      </c>
      <c r="Q1603" s="42">
        <v>0.0</v>
      </c>
    </row>
    <row r="1604">
      <c r="A1604" s="47">
        <v>46205.0</v>
      </c>
      <c r="B1604" s="48">
        <v>0.46458333333333335</v>
      </c>
      <c r="C1604" s="37" t="s">
        <v>23</v>
      </c>
      <c r="D1604" s="37" t="s">
        <v>93</v>
      </c>
      <c r="E1604" s="37" t="s">
        <v>107</v>
      </c>
      <c r="F1604" s="38">
        <v>0.0</v>
      </c>
      <c r="G1604" s="38">
        <v>0.0</v>
      </c>
      <c r="H1604" s="38">
        <v>0.0</v>
      </c>
      <c r="I1604" s="38">
        <v>0.0</v>
      </c>
      <c r="J1604" s="38">
        <v>0.0</v>
      </c>
      <c r="K1604" s="38">
        <v>0.0</v>
      </c>
      <c r="L1604" s="38">
        <v>0.0</v>
      </c>
      <c r="M1604" s="38">
        <v>0.0</v>
      </c>
      <c r="N1604" s="38">
        <v>0.0</v>
      </c>
      <c r="O1604" s="38">
        <v>0.0</v>
      </c>
      <c r="P1604" s="38">
        <v>0.0</v>
      </c>
      <c r="Q1604" s="38">
        <v>0.0</v>
      </c>
    </row>
    <row r="1605">
      <c r="A1605" s="49">
        <v>46205.0</v>
      </c>
      <c r="B1605" s="50">
        <v>0.46458333333333335</v>
      </c>
      <c r="C1605" s="41" t="s">
        <v>29</v>
      </c>
      <c r="D1605" s="41" t="s">
        <v>94</v>
      </c>
      <c r="E1605" s="41" t="s">
        <v>52</v>
      </c>
      <c r="F1605" s="42">
        <v>8.0</v>
      </c>
      <c r="G1605" s="42">
        <v>3.0</v>
      </c>
      <c r="H1605" s="42">
        <v>1.0</v>
      </c>
      <c r="I1605" s="42">
        <v>0.0</v>
      </c>
      <c r="J1605" s="42">
        <v>0.0</v>
      </c>
      <c r="K1605" s="42">
        <v>7.0</v>
      </c>
      <c r="L1605" s="42">
        <v>8.0</v>
      </c>
      <c r="M1605" s="42">
        <v>0.0</v>
      </c>
      <c r="N1605" s="42">
        <v>0.0</v>
      </c>
      <c r="O1605" s="42">
        <v>0.0</v>
      </c>
      <c r="P1605" s="42">
        <v>3.0</v>
      </c>
      <c r="Q1605" s="42">
        <v>3.0</v>
      </c>
    </row>
    <row r="1606">
      <c r="A1606" s="47">
        <v>46205.0</v>
      </c>
      <c r="B1606" s="48">
        <v>0.46458333333333335</v>
      </c>
      <c r="C1606" s="37" t="s">
        <v>29</v>
      </c>
      <c r="D1606" s="37" t="s">
        <v>94</v>
      </c>
      <c r="E1606" s="37" t="s">
        <v>88</v>
      </c>
      <c r="F1606" s="38">
        <v>0.0</v>
      </c>
      <c r="G1606" s="38">
        <v>0.0</v>
      </c>
      <c r="H1606" s="38">
        <v>0.0</v>
      </c>
      <c r="I1606" s="38">
        <v>0.0</v>
      </c>
      <c r="J1606" s="38">
        <v>0.0</v>
      </c>
      <c r="K1606" s="38">
        <v>0.0</v>
      </c>
      <c r="L1606" s="38">
        <v>0.0</v>
      </c>
      <c r="M1606" s="38">
        <v>0.0</v>
      </c>
      <c r="N1606" s="38">
        <v>0.0</v>
      </c>
      <c r="O1606" s="38">
        <v>0.0</v>
      </c>
      <c r="P1606" s="38">
        <v>0.0</v>
      </c>
      <c r="Q1606" s="38">
        <v>0.0</v>
      </c>
    </row>
    <row r="1607">
      <c r="A1607" s="49">
        <v>46205.0</v>
      </c>
      <c r="B1607" s="50">
        <v>0.46458333333333335</v>
      </c>
      <c r="C1607" s="41" t="s">
        <v>29</v>
      </c>
      <c r="D1607" s="41" t="s">
        <v>94</v>
      </c>
      <c r="E1607" s="41" t="s">
        <v>89</v>
      </c>
      <c r="F1607" s="42">
        <v>1.0</v>
      </c>
      <c r="G1607" s="42">
        <v>0.0</v>
      </c>
      <c r="H1607" s="42">
        <v>0.0</v>
      </c>
      <c r="I1607" s="42">
        <v>0.0</v>
      </c>
      <c r="J1607" s="42">
        <v>0.0</v>
      </c>
      <c r="K1607" s="42">
        <v>1.0</v>
      </c>
      <c r="L1607" s="42">
        <v>1.0</v>
      </c>
      <c r="M1607" s="42">
        <v>0.0</v>
      </c>
      <c r="N1607" s="42">
        <v>0.0</v>
      </c>
      <c r="O1607" s="42">
        <v>0.0</v>
      </c>
      <c r="P1607" s="42">
        <v>0.0</v>
      </c>
      <c r="Q1607" s="42">
        <v>0.0</v>
      </c>
    </row>
    <row r="1608">
      <c r="A1608" s="47">
        <v>46205.0</v>
      </c>
      <c r="B1608" s="48">
        <v>0.46458333333333335</v>
      </c>
      <c r="C1608" s="37" t="s">
        <v>29</v>
      </c>
      <c r="D1608" s="37" t="s">
        <v>94</v>
      </c>
      <c r="E1608" s="37" t="s">
        <v>50</v>
      </c>
      <c r="F1608" s="38">
        <v>0.0</v>
      </c>
      <c r="G1608" s="38">
        <v>0.0</v>
      </c>
      <c r="H1608" s="38">
        <v>0.0</v>
      </c>
      <c r="I1608" s="38">
        <v>0.0</v>
      </c>
      <c r="J1608" s="38">
        <v>0.0</v>
      </c>
      <c r="K1608" s="38">
        <v>0.0</v>
      </c>
      <c r="L1608" s="38">
        <v>0.0</v>
      </c>
      <c r="M1608" s="38">
        <v>0.0</v>
      </c>
      <c r="N1608" s="38">
        <v>0.0</v>
      </c>
      <c r="O1608" s="38">
        <v>0.0</v>
      </c>
      <c r="P1608" s="38">
        <v>0.0</v>
      </c>
      <c r="Q1608" s="38">
        <v>0.0</v>
      </c>
    </row>
    <row r="1609">
      <c r="A1609" s="49">
        <v>46205.0</v>
      </c>
      <c r="B1609" s="50">
        <v>0.46458333333333335</v>
      </c>
      <c r="C1609" s="41" t="s">
        <v>29</v>
      </c>
      <c r="D1609" s="41" t="s">
        <v>94</v>
      </c>
      <c r="E1609" s="41" t="s">
        <v>90</v>
      </c>
      <c r="F1609" s="42">
        <v>0.0</v>
      </c>
      <c r="G1609" s="42">
        <v>0.0</v>
      </c>
      <c r="H1609" s="42">
        <v>0.0</v>
      </c>
      <c r="I1609" s="42">
        <v>0.0</v>
      </c>
      <c r="J1609" s="42">
        <v>0.0</v>
      </c>
      <c r="K1609" s="42">
        <v>0.0</v>
      </c>
      <c r="L1609" s="42">
        <v>0.0</v>
      </c>
      <c r="M1609" s="42">
        <v>0.0</v>
      </c>
      <c r="N1609" s="42">
        <v>0.0</v>
      </c>
      <c r="O1609" s="42">
        <v>0.0</v>
      </c>
      <c r="P1609" s="42">
        <v>0.0</v>
      </c>
      <c r="Q1609" s="42">
        <v>0.0</v>
      </c>
    </row>
    <row r="1610">
      <c r="A1610" s="47">
        <v>46205.0</v>
      </c>
      <c r="B1610" s="48">
        <v>0.46458333333333335</v>
      </c>
      <c r="C1610" s="37" t="s">
        <v>29</v>
      </c>
      <c r="D1610" s="37" t="s">
        <v>94</v>
      </c>
      <c r="E1610" s="37" t="s">
        <v>91</v>
      </c>
      <c r="F1610" s="38">
        <v>0.0</v>
      </c>
      <c r="G1610" s="38">
        <v>0.0</v>
      </c>
      <c r="H1610" s="38">
        <v>0.0</v>
      </c>
      <c r="I1610" s="38">
        <v>0.0</v>
      </c>
      <c r="J1610" s="38">
        <v>0.0</v>
      </c>
      <c r="K1610" s="38">
        <v>0.0</v>
      </c>
      <c r="L1610" s="38">
        <v>0.0</v>
      </c>
      <c r="M1610" s="38">
        <v>0.0</v>
      </c>
      <c r="N1610" s="38">
        <v>0.0</v>
      </c>
      <c r="O1610" s="38">
        <v>0.0</v>
      </c>
      <c r="P1610" s="38">
        <v>0.0</v>
      </c>
      <c r="Q1610" s="38">
        <v>0.0</v>
      </c>
    </row>
    <row r="1611">
      <c r="A1611" s="49">
        <v>46205.0</v>
      </c>
      <c r="B1611" s="50">
        <v>0.46458333333333335</v>
      </c>
      <c r="C1611" s="41" t="s">
        <v>29</v>
      </c>
      <c r="D1611" s="41" t="s">
        <v>94</v>
      </c>
      <c r="E1611" s="41" t="s">
        <v>92</v>
      </c>
      <c r="F1611" s="42">
        <v>0.0</v>
      </c>
      <c r="G1611" s="42">
        <v>0.0</v>
      </c>
      <c r="H1611" s="42">
        <v>0.0</v>
      </c>
      <c r="I1611" s="42">
        <v>0.0</v>
      </c>
      <c r="J1611" s="42">
        <v>0.0</v>
      </c>
      <c r="K1611" s="42">
        <v>0.0</v>
      </c>
      <c r="L1611" s="42">
        <v>0.0</v>
      </c>
      <c r="M1611" s="42">
        <v>0.0</v>
      </c>
      <c r="N1611" s="42">
        <v>0.0</v>
      </c>
      <c r="O1611" s="42">
        <v>0.0</v>
      </c>
      <c r="P1611" s="42">
        <v>0.0</v>
      </c>
      <c r="Q1611" s="42">
        <v>0.0</v>
      </c>
    </row>
    <row r="1612">
      <c r="A1612" s="47">
        <v>46205.0</v>
      </c>
      <c r="B1612" s="48">
        <v>0.46458333333333335</v>
      </c>
      <c r="C1612" s="37" t="s">
        <v>29</v>
      </c>
      <c r="D1612" s="37" t="s">
        <v>94</v>
      </c>
      <c r="E1612" s="37" t="s">
        <v>106</v>
      </c>
      <c r="F1612" s="38">
        <v>2.0</v>
      </c>
      <c r="G1612" s="38">
        <v>0.0</v>
      </c>
      <c r="H1612" s="38">
        <v>0.0</v>
      </c>
      <c r="I1612" s="38">
        <v>0.0</v>
      </c>
      <c r="J1612" s="38">
        <v>0.0</v>
      </c>
      <c r="K1612" s="38">
        <v>0.0</v>
      </c>
      <c r="L1612" s="38">
        <v>2.0</v>
      </c>
      <c r="M1612" s="38">
        <v>0.0</v>
      </c>
      <c r="N1612" s="38">
        <v>0.0</v>
      </c>
      <c r="O1612" s="38">
        <v>0.0</v>
      </c>
      <c r="P1612" s="38">
        <v>0.0</v>
      </c>
      <c r="Q1612" s="38">
        <v>0.0</v>
      </c>
    </row>
    <row r="1613">
      <c r="A1613" s="49">
        <v>46205.0</v>
      </c>
      <c r="B1613" s="50">
        <v>0.46458333333333335</v>
      </c>
      <c r="C1613" s="41" t="s">
        <v>29</v>
      </c>
      <c r="D1613" s="41" t="s">
        <v>94</v>
      </c>
      <c r="E1613" s="41" t="s">
        <v>107</v>
      </c>
      <c r="F1613" s="42">
        <v>0.0</v>
      </c>
      <c r="G1613" s="42">
        <v>0.0</v>
      </c>
      <c r="H1613" s="42">
        <v>0.0</v>
      </c>
      <c r="I1613" s="42">
        <v>0.0</v>
      </c>
      <c r="J1613" s="42">
        <v>0.0</v>
      </c>
      <c r="K1613" s="42">
        <v>0.0</v>
      </c>
      <c r="L1613" s="42">
        <v>0.0</v>
      </c>
      <c r="M1613" s="42">
        <v>0.0</v>
      </c>
      <c r="N1613" s="42">
        <v>0.0</v>
      </c>
      <c r="O1613" s="42">
        <v>0.0</v>
      </c>
      <c r="P1613" s="42">
        <v>0.0</v>
      </c>
      <c r="Q1613" s="42">
        <v>0.0</v>
      </c>
    </row>
    <row r="1614">
      <c r="A1614" s="47">
        <v>46205.0</v>
      </c>
      <c r="B1614" s="48">
        <v>0.46458333333333335</v>
      </c>
      <c r="C1614" s="37" t="s">
        <v>31</v>
      </c>
      <c r="D1614" s="37" t="s">
        <v>95</v>
      </c>
      <c r="E1614" s="37" t="s">
        <v>52</v>
      </c>
      <c r="F1614" s="38">
        <v>2.0</v>
      </c>
      <c r="G1614" s="38">
        <v>0.0</v>
      </c>
      <c r="H1614" s="38">
        <v>2.0</v>
      </c>
      <c r="I1614" s="38">
        <v>0.0</v>
      </c>
      <c r="J1614" s="38">
        <v>0.0</v>
      </c>
      <c r="K1614" s="38">
        <v>2.0</v>
      </c>
      <c r="L1614" s="38">
        <v>2.0</v>
      </c>
      <c r="M1614" s="38">
        <v>0.0</v>
      </c>
      <c r="N1614" s="38">
        <v>0.0</v>
      </c>
      <c r="O1614" s="38">
        <v>0.0</v>
      </c>
      <c r="P1614" s="38">
        <v>0.0</v>
      </c>
      <c r="Q1614" s="38">
        <v>0.0</v>
      </c>
    </row>
    <row r="1615">
      <c r="A1615" s="49">
        <v>46205.0</v>
      </c>
      <c r="B1615" s="50">
        <v>0.46458333333333335</v>
      </c>
      <c r="C1615" s="41" t="s">
        <v>31</v>
      </c>
      <c r="D1615" s="41" t="s">
        <v>95</v>
      </c>
      <c r="E1615" s="41" t="s">
        <v>88</v>
      </c>
      <c r="F1615" s="42">
        <v>0.0</v>
      </c>
      <c r="G1615" s="42">
        <v>0.0</v>
      </c>
      <c r="H1615" s="42">
        <v>0.0</v>
      </c>
      <c r="I1615" s="42">
        <v>0.0</v>
      </c>
      <c r="J1615" s="42">
        <v>0.0</v>
      </c>
      <c r="K1615" s="42">
        <v>0.0</v>
      </c>
      <c r="L1615" s="42">
        <v>0.0</v>
      </c>
      <c r="M1615" s="42">
        <v>0.0</v>
      </c>
      <c r="N1615" s="42">
        <v>0.0</v>
      </c>
      <c r="O1615" s="42">
        <v>0.0</v>
      </c>
      <c r="P1615" s="42">
        <v>0.0</v>
      </c>
      <c r="Q1615" s="42">
        <v>0.0</v>
      </c>
    </row>
    <row r="1616">
      <c r="A1616" s="47">
        <v>46205.0</v>
      </c>
      <c r="B1616" s="48">
        <v>0.46458333333333335</v>
      </c>
      <c r="C1616" s="37" t="s">
        <v>31</v>
      </c>
      <c r="D1616" s="37" t="s">
        <v>95</v>
      </c>
      <c r="E1616" s="37" t="s">
        <v>89</v>
      </c>
      <c r="F1616" s="38">
        <v>0.0</v>
      </c>
      <c r="G1616" s="38">
        <v>0.0</v>
      </c>
      <c r="H1616" s="38">
        <v>0.0</v>
      </c>
      <c r="I1616" s="38">
        <v>0.0</v>
      </c>
      <c r="J1616" s="38">
        <v>0.0</v>
      </c>
      <c r="K1616" s="38">
        <v>0.0</v>
      </c>
      <c r="L1616" s="38">
        <v>0.0</v>
      </c>
      <c r="M1616" s="38">
        <v>0.0</v>
      </c>
      <c r="N1616" s="38">
        <v>0.0</v>
      </c>
      <c r="O1616" s="38">
        <v>0.0</v>
      </c>
      <c r="P1616" s="38">
        <v>0.0</v>
      </c>
      <c r="Q1616" s="38">
        <v>0.0</v>
      </c>
    </row>
    <row r="1617">
      <c r="A1617" s="49">
        <v>46205.0</v>
      </c>
      <c r="B1617" s="50">
        <v>0.46458333333333335</v>
      </c>
      <c r="C1617" s="41" t="s">
        <v>31</v>
      </c>
      <c r="D1617" s="41" t="s">
        <v>95</v>
      </c>
      <c r="E1617" s="41" t="s">
        <v>50</v>
      </c>
      <c r="F1617" s="42">
        <v>1.0</v>
      </c>
      <c r="G1617" s="42">
        <v>1.0</v>
      </c>
      <c r="H1617" s="42">
        <v>0.0</v>
      </c>
      <c r="I1617" s="42">
        <v>0.0</v>
      </c>
      <c r="J1617" s="42">
        <v>0.0</v>
      </c>
      <c r="K1617" s="42">
        <v>0.0</v>
      </c>
      <c r="L1617" s="42">
        <v>0.0</v>
      </c>
      <c r="M1617" s="42">
        <v>0.0</v>
      </c>
      <c r="N1617" s="42">
        <v>0.0</v>
      </c>
      <c r="O1617" s="42">
        <v>0.0</v>
      </c>
      <c r="P1617" s="42">
        <v>0.0</v>
      </c>
      <c r="Q1617" s="42">
        <v>0.0</v>
      </c>
    </row>
    <row r="1618">
      <c r="A1618" s="47">
        <v>46205.0</v>
      </c>
      <c r="B1618" s="48">
        <v>0.46458333333333335</v>
      </c>
      <c r="C1618" s="37" t="s">
        <v>31</v>
      </c>
      <c r="D1618" s="37" t="s">
        <v>95</v>
      </c>
      <c r="E1618" s="37" t="s">
        <v>90</v>
      </c>
      <c r="F1618" s="38">
        <v>0.0</v>
      </c>
      <c r="G1618" s="38">
        <v>0.0</v>
      </c>
      <c r="H1618" s="38">
        <v>0.0</v>
      </c>
      <c r="I1618" s="38">
        <v>0.0</v>
      </c>
      <c r="J1618" s="38">
        <v>0.0</v>
      </c>
      <c r="K1618" s="38">
        <v>0.0</v>
      </c>
      <c r="L1618" s="38">
        <v>0.0</v>
      </c>
      <c r="M1618" s="38">
        <v>0.0</v>
      </c>
      <c r="N1618" s="38">
        <v>0.0</v>
      </c>
      <c r="O1618" s="38">
        <v>0.0</v>
      </c>
      <c r="P1618" s="38">
        <v>0.0</v>
      </c>
      <c r="Q1618" s="38">
        <v>0.0</v>
      </c>
    </row>
    <row r="1619">
      <c r="A1619" s="49">
        <v>46205.0</v>
      </c>
      <c r="B1619" s="50">
        <v>0.46458333333333335</v>
      </c>
      <c r="C1619" s="41" t="s">
        <v>31</v>
      </c>
      <c r="D1619" s="41" t="s">
        <v>95</v>
      </c>
      <c r="E1619" s="41" t="s">
        <v>91</v>
      </c>
      <c r="F1619" s="42">
        <v>0.0</v>
      </c>
      <c r="G1619" s="42">
        <v>0.0</v>
      </c>
      <c r="H1619" s="42">
        <v>0.0</v>
      </c>
      <c r="I1619" s="42">
        <v>0.0</v>
      </c>
      <c r="J1619" s="42">
        <v>0.0</v>
      </c>
      <c r="K1619" s="42">
        <v>0.0</v>
      </c>
      <c r="L1619" s="42">
        <v>0.0</v>
      </c>
      <c r="M1619" s="42">
        <v>0.0</v>
      </c>
      <c r="N1619" s="42">
        <v>0.0</v>
      </c>
      <c r="O1619" s="42">
        <v>0.0</v>
      </c>
      <c r="P1619" s="42">
        <v>0.0</v>
      </c>
      <c r="Q1619" s="42">
        <v>0.0</v>
      </c>
    </row>
    <row r="1620">
      <c r="A1620" s="47">
        <v>46205.0</v>
      </c>
      <c r="B1620" s="48">
        <v>0.46458333333333335</v>
      </c>
      <c r="C1620" s="37" t="s">
        <v>31</v>
      </c>
      <c r="D1620" s="37" t="s">
        <v>95</v>
      </c>
      <c r="E1620" s="37" t="s">
        <v>92</v>
      </c>
      <c r="F1620" s="38">
        <v>0.0</v>
      </c>
      <c r="G1620" s="38">
        <v>0.0</v>
      </c>
      <c r="H1620" s="38">
        <v>0.0</v>
      </c>
      <c r="I1620" s="38">
        <v>0.0</v>
      </c>
      <c r="J1620" s="38">
        <v>0.0</v>
      </c>
      <c r="K1620" s="38">
        <v>0.0</v>
      </c>
      <c r="L1620" s="38">
        <v>0.0</v>
      </c>
      <c r="M1620" s="38">
        <v>0.0</v>
      </c>
      <c r="N1620" s="38">
        <v>0.0</v>
      </c>
      <c r="O1620" s="38">
        <v>0.0</v>
      </c>
      <c r="P1620" s="38">
        <v>0.0</v>
      </c>
      <c r="Q1620" s="38">
        <v>0.0</v>
      </c>
    </row>
    <row r="1621">
      <c r="A1621" s="49">
        <v>46205.0</v>
      </c>
      <c r="B1621" s="50">
        <v>0.46458333333333335</v>
      </c>
      <c r="C1621" s="41" t="s">
        <v>31</v>
      </c>
      <c r="D1621" s="41" t="s">
        <v>95</v>
      </c>
      <c r="E1621" s="41" t="s">
        <v>106</v>
      </c>
      <c r="F1621" s="42">
        <v>0.0</v>
      </c>
      <c r="G1621" s="42">
        <v>0.0</v>
      </c>
      <c r="H1621" s="42">
        <v>0.0</v>
      </c>
      <c r="I1621" s="42">
        <v>0.0</v>
      </c>
      <c r="J1621" s="42">
        <v>0.0</v>
      </c>
      <c r="K1621" s="42">
        <v>0.0</v>
      </c>
      <c r="L1621" s="42">
        <v>0.0</v>
      </c>
      <c r="M1621" s="42">
        <v>0.0</v>
      </c>
      <c r="N1621" s="42">
        <v>0.0</v>
      </c>
      <c r="O1621" s="42">
        <v>0.0</v>
      </c>
      <c r="P1621" s="42">
        <v>0.0</v>
      </c>
      <c r="Q1621" s="42">
        <v>0.0</v>
      </c>
    </row>
    <row r="1622">
      <c r="A1622" s="47">
        <v>46205.0</v>
      </c>
      <c r="B1622" s="48">
        <v>0.46458333333333335</v>
      </c>
      <c r="C1622" s="37" t="s">
        <v>31</v>
      </c>
      <c r="D1622" s="37" t="s">
        <v>95</v>
      </c>
      <c r="E1622" s="37" t="s">
        <v>107</v>
      </c>
      <c r="F1622" s="38">
        <v>0.0</v>
      </c>
      <c r="G1622" s="38">
        <v>0.0</v>
      </c>
      <c r="H1622" s="38">
        <v>0.0</v>
      </c>
      <c r="I1622" s="38">
        <v>0.0</v>
      </c>
      <c r="J1622" s="38">
        <v>0.0</v>
      </c>
      <c r="K1622" s="38">
        <v>0.0</v>
      </c>
      <c r="L1622" s="38">
        <v>0.0</v>
      </c>
      <c r="M1622" s="38">
        <v>0.0</v>
      </c>
      <c r="N1622" s="38">
        <v>0.0</v>
      </c>
      <c r="O1622" s="38">
        <v>0.0</v>
      </c>
      <c r="P1622" s="38">
        <v>0.0</v>
      </c>
      <c r="Q1622" s="38">
        <v>0.0</v>
      </c>
    </row>
    <row r="1623">
      <c r="A1623" s="51">
        <v>46205.0</v>
      </c>
      <c r="B1623" s="52">
        <v>0.46458333333333335</v>
      </c>
      <c r="C1623" s="45" t="s">
        <v>96</v>
      </c>
      <c r="D1623" s="45" t="s">
        <v>75</v>
      </c>
      <c r="E1623" s="45" t="s">
        <v>52</v>
      </c>
      <c r="F1623" s="46">
        <v>17.0</v>
      </c>
      <c r="G1623" s="46">
        <v>5.0</v>
      </c>
      <c r="H1623" s="46">
        <v>7.0</v>
      </c>
      <c r="I1623" s="46">
        <v>0.0</v>
      </c>
      <c r="J1623" s="46">
        <v>0.0</v>
      </c>
      <c r="K1623" s="46">
        <v>14.0</v>
      </c>
      <c r="L1623" s="46">
        <v>17.0</v>
      </c>
      <c r="M1623" s="46">
        <v>0.0</v>
      </c>
      <c r="N1623" s="46">
        <v>0.0</v>
      </c>
      <c r="O1623" s="46">
        <v>0.0</v>
      </c>
      <c r="P1623" s="46">
        <v>4.0</v>
      </c>
      <c r="Q1623" s="46">
        <v>5.0</v>
      </c>
    </row>
    <row r="1624">
      <c r="A1624" s="51">
        <v>46205.0</v>
      </c>
      <c r="B1624" s="52">
        <v>0.46458333333333335</v>
      </c>
      <c r="C1624" s="45" t="s">
        <v>96</v>
      </c>
      <c r="D1624" s="45" t="s">
        <v>75</v>
      </c>
      <c r="E1624" s="45" t="s">
        <v>88</v>
      </c>
      <c r="F1624" s="46">
        <v>0.0</v>
      </c>
      <c r="G1624" s="46">
        <v>0.0</v>
      </c>
      <c r="H1624" s="46">
        <v>0.0</v>
      </c>
      <c r="I1624" s="46">
        <v>0.0</v>
      </c>
      <c r="J1624" s="46">
        <v>0.0</v>
      </c>
      <c r="K1624" s="46">
        <v>0.0</v>
      </c>
      <c r="L1624" s="46">
        <v>0.0</v>
      </c>
      <c r="M1624" s="46">
        <v>0.0</v>
      </c>
      <c r="N1624" s="46">
        <v>0.0</v>
      </c>
      <c r="O1624" s="46">
        <v>0.0</v>
      </c>
      <c r="P1624" s="46">
        <v>0.0</v>
      </c>
      <c r="Q1624" s="46">
        <v>0.0</v>
      </c>
    </row>
    <row r="1625">
      <c r="A1625" s="51">
        <v>46205.0</v>
      </c>
      <c r="B1625" s="52">
        <v>0.46458333333333335</v>
      </c>
      <c r="C1625" s="45" t="s">
        <v>96</v>
      </c>
      <c r="D1625" s="45" t="s">
        <v>75</v>
      </c>
      <c r="E1625" s="45" t="s">
        <v>89</v>
      </c>
      <c r="F1625" s="46">
        <v>1.0</v>
      </c>
      <c r="G1625" s="46">
        <v>0.0</v>
      </c>
      <c r="H1625" s="46">
        <v>0.0</v>
      </c>
      <c r="I1625" s="46">
        <v>0.0</v>
      </c>
      <c r="J1625" s="46">
        <v>0.0</v>
      </c>
      <c r="K1625" s="46">
        <v>1.0</v>
      </c>
      <c r="L1625" s="46">
        <v>1.0</v>
      </c>
      <c r="M1625" s="46">
        <v>0.0</v>
      </c>
      <c r="N1625" s="46">
        <v>0.0</v>
      </c>
      <c r="O1625" s="46">
        <v>0.0</v>
      </c>
      <c r="P1625" s="46">
        <v>0.0</v>
      </c>
      <c r="Q1625" s="46">
        <v>0.0</v>
      </c>
    </row>
    <row r="1626">
      <c r="A1626" s="51">
        <v>46205.0</v>
      </c>
      <c r="B1626" s="52">
        <v>0.46458333333333335</v>
      </c>
      <c r="C1626" s="45" t="s">
        <v>96</v>
      </c>
      <c r="D1626" s="45" t="s">
        <v>75</v>
      </c>
      <c r="E1626" s="45" t="s">
        <v>50</v>
      </c>
      <c r="F1626" s="46">
        <v>1.0</v>
      </c>
      <c r="G1626" s="46">
        <v>1.0</v>
      </c>
      <c r="H1626" s="46">
        <v>0.0</v>
      </c>
      <c r="I1626" s="46">
        <v>0.0</v>
      </c>
      <c r="J1626" s="46">
        <v>0.0</v>
      </c>
      <c r="K1626" s="46">
        <v>0.0</v>
      </c>
      <c r="L1626" s="46">
        <v>0.0</v>
      </c>
      <c r="M1626" s="46">
        <v>0.0</v>
      </c>
      <c r="N1626" s="46">
        <v>0.0</v>
      </c>
      <c r="O1626" s="46">
        <v>0.0</v>
      </c>
      <c r="P1626" s="46">
        <v>0.0</v>
      </c>
      <c r="Q1626" s="46">
        <v>0.0</v>
      </c>
    </row>
    <row r="1627">
      <c r="A1627" s="51">
        <v>46205.0</v>
      </c>
      <c r="B1627" s="52">
        <v>0.46458333333333335</v>
      </c>
      <c r="C1627" s="45" t="s">
        <v>96</v>
      </c>
      <c r="D1627" s="45" t="s">
        <v>75</v>
      </c>
      <c r="E1627" s="45" t="s">
        <v>90</v>
      </c>
      <c r="F1627" s="46">
        <v>0.0</v>
      </c>
      <c r="G1627" s="46">
        <v>0.0</v>
      </c>
      <c r="H1627" s="46">
        <v>0.0</v>
      </c>
      <c r="I1627" s="46">
        <v>0.0</v>
      </c>
      <c r="J1627" s="46">
        <v>0.0</v>
      </c>
      <c r="K1627" s="46">
        <v>0.0</v>
      </c>
      <c r="L1627" s="46">
        <v>0.0</v>
      </c>
      <c r="M1627" s="46">
        <v>0.0</v>
      </c>
      <c r="N1627" s="46">
        <v>0.0</v>
      </c>
      <c r="O1627" s="46">
        <v>0.0</v>
      </c>
      <c r="P1627" s="46">
        <v>0.0</v>
      </c>
      <c r="Q1627" s="46">
        <v>0.0</v>
      </c>
    </row>
    <row r="1628">
      <c r="A1628" s="51">
        <v>46205.0</v>
      </c>
      <c r="B1628" s="52">
        <v>0.46458333333333335</v>
      </c>
      <c r="C1628" s="45" t="s">
        <v>96</v>
      </c>
      <c r="D1628" s="45" t="s">
        <v>75</v>
      </c>
      <c r="E1628" s="45" t="s">
        <v>91</v>
      </c>
      <c r="F1628" s="46">
        <v>0.0</v>
      </c>
      <c r="G1628" s="46">
        <v>0.0</v>
      </c>
      <c r="H1628" s="46">
        <v>0.0</v>
      </c>
      <c r="I1628" s="46">
        <v>0.0</v>
      </c>
      <c r="J1628" s="46">
        <v>0.0</v>
      </c>
      <c r="K1628" s="46">
        <v>0.0</v>
      </c>
      <c r="L1628" s="46">
        <v>0.0</v>
      </c>
      <c r="M1628" s="46">
        <v>0.0</v>
      </c>
      <c r="N1628" s="46">
        <v>0.0</v>
      </c>
      <c r="O1628" s="46">
        <v>0.0</v>
      </c>
      <c r="P1628" s="46">
        <v>0.0</v>
      </c>
      <c r="Q1628" s="46">
        <v>0.0</v>
      </c>
    </row>
    <row r="1629">
      <c r="A1629" s="51">
        <v>46205.0</v>
      </c>
      <c r="B1629" s="52">
        <v>0.46458333333333335</v>
      </c>
      <c r="C1629" s="45" t="s">
        <v>96</v>
      </c>
      <c r="D1629" s="45" t="s">
        <v>75</v>
      </c>
      <c r="E1629" s="45" t="s">
        <v>92</v>
      </c>
      <c r="F1629" s="46">
        <v>0.0</v>
      </c>
      <c r="G1629" s="46">
        <v>0.0</v>
      </c>
      <c r="H1629" s="46">
        <v>0.0</v>
      </c>
      <c r="I1629" s="46">
        <v>0.0</v>
      </c>
      <c r="J1629" s="46">
        <v>0.0</v>
      </c>
      <c r="K1629" s="46">
        <v>0.0</v>
      </c>
      <c r="L1629" s="46">
        <v>0.0</v>
      </c>
      <c r="M1629" s="46">
        <v>0.0</v>
      </c>
      <c r="N1629" s="46">
        <v>0.0</v>
      </c>
      <c r="O1629" s="46">
        <v>0.0</v>
      </c>
      <c r="P1629" s="46">
        <v>0.0</v>
      </c>
      <c r="Q1629" s="46">
        <v>0.0</v>
      </c>
    </row>
    <row r="1630">
      <c r="A1630" s="51">
        <v>46205.0</v>
      </c>
      <c r="B1630" s="52">
        <v>0.46458333333333335</v>
      </c>
      <c r="C1630" s="45" t="s">
        <v>96</v>
      </c>
      <c r="D1630" s="45" t="s">
        <v>75</v>
      </c>
      <c r="E1630" s="45" t="s">
        <v>106</v>
      </c>
      <c r="F1630" s="46">
        <v>2.0</v>
      </c>
      <c r="G1630" s="46">
        <v>0.0</v>
      </c>
      <c r="H1630" s="46">
        <v>0.0</v>
      </c>
      <c r="I1630" s="46">
        <v>0.0</v>
      </c>
      <c r="J1630" s="46">
        <v>0.0</v>
      </c>
      <c r="K1630" s="46">
        <v>0.0</v>
      </c>
      <c r="L1630" s="46">
        <v>2.0</v>
      </c>
      <c r="M1630" s="46">
        <v>0.0</v>
      </c>
      <c r="N1630" s="46">
        <v>0.0</v>
      </c>
      <c r="O1630" s="46">
        <v>0.0</v>
      </c>
      <c r="P1630" s="46">
        <v>0.0</v>
      </c>
      <c r="Q1630" s="46">
        <v>0.0</v>
      </c>
    </row>
    <row r="1631">
      <c r="A1631" s="51">
        <v>46205.0</v>
      </c>
      <c r="B1631" s="52">
        <v>0.46458333333333335</v>
      </c>
      <c r="C1631" s="45" t="s">
        <v>96</v>
      </c>
      <c r="D1631" s="45" t="s">
        <v>75</v>
      </c>
      <c r="E1631" s="45" t="s">
        <v>107</v>
      </c>
      <c r="F1631" s="46">
        <v>0.0</v>
      </c>
      <c r="G1631" s="46">
        <v>0.0</v>
      </c>
      <c r="H1631" s="46">
        <v>0.0</v>
      </c>
      <c r="I1631" s="46">
        <v>0.0</v>
      </c>
      <c r="J1631" s="46">
        <v>0.0</v>
      </c>
      <c r="K1631" s="46">
        <v>0.0</v>
      </c>
      <c r="L1631" s="46">
        <v>0.0</v>
      </c>
      <c r="M1631" s="46">
        <v>0.0</v>
      </c>
      <c r="N1631" s="46">
        <v>0.0</v>
      </c>
      <c r="O1631" s="46">
        <v>0.0</v>
      </c>
      <c r="P1631" s="46">
        <v>0.0</v>
      </c>
      <c r="Q1631" s="46">
        <v>0.0</v>
      </c>
    </row>
    <row r="1632">
      <c r="A1632" s="47">
        <v>46205.0</v>
      </c>
      <c r="B1632" s="48">
        <v>0.7354166666666667</v>
      </c>
      <c r="C1632" s="37" t="s">
        <v>15</v>
      </c>
      <c r="D1632" s="37" t="s">
        <v>87</v>
      </c>
      <c r="E1632" s="37" t="s">
        <v>52</v>
      </c>
      <c r="F1632" s="38">
        <v>3.0</v>
      </c>
      <c r="G1632" s="38">
        <v>1.0</v>
      </c>
      <c r="H1632" s="38">
        <v>1.0</v>
      </c>
      <c r="I1632" s="38">
        <v>0.0</v>
      </c>
      <c r="J1632" s="38">
        <v>0.0</v>
      </c>
      <c r="K1632" s="38">
        <v>1.0</v>
      </c>
      <c r="L1632" s="38">
        <v>3.0</v>
      </c>
      <c r="M1632" s="38">
        <v>0.0</v>
      </c>
      <c r="N1632" s="38">
        <v>0.0</v>
      </c>
      <c r="O1632" s="38">
        <v>0.0</v>
      </c>
      <c r="P1632" s="38">
        <v>0.0</v>
      </c>
      <c r="Q1632" s="38">
        <v>1.0</v>
      </c>
    </row>
    <row r="1633">
      <c r="A1633" s="49">
        <v>46205.0</v>
      </c>
      <c r="B1633" s="50">
        <v>0.7354166666666667</v>
      </c>
      <c r="C1633" s="41" t="s">
        <v>15</v>
      </c>
      <c r="D1633" s="41" t="s">
        <v>87</v>
      </c>
      <c r="E1633" s="41" t="s">
        <v>88</v>
      </c>
      <c r="F1633" s="42">
        <v>0.0</v>
      </c>
      <c r="G1633" s="42">
        <v>0.0</v>
      </c>
      <c r="H1633" s="42">
        <v>0.0</v>
      </c>
      <c r="I1633" s="42">
        <v>0.0</v>
      </c>
      <c r="J1633" s="42">
        <v>0.0</v>
      </c>
      <c r="K1633" s="42">
        <v>0.0</v>
      </c>
      <c r="L1633" s="42">
        <v>0.0</v>
      </c>
      <c r="M1633" s="42">
        <v>0.0</v>
      </c>
      <c r="N1633" s="42">
        <v>0.0</v>
      </c>
      <c r="O1633" s="42">
        <v>0.0</v>
      </c>
      <c r="P1633" s="42">
        <v>0.0</v>
      </c>
      <c r="Q1633" s="42">
        <v>0.0</v>
      </c>
    </row>
    <row r="1634">
      <c r="A1634" s="47">
        <v>46205.0</v>
      </c>
      <c r="B1634" s="48">
        <v>0.7354166666666667</v>
      </c>
      <c r="C1634" s="37" t="s">
        <v>15</v>
      </c>
      <c r="D1634" s="37" t="s">
        <v>87</v>
      </c>
      <c r="E1634" s="37" t="s">
        <v>89</v>
      </c>
      <c r="F1634" s="38">
        <v>0.0</v>
      </c>
      <c r="G1634" s="38">
        <v>0.0</v>
      </c>
      <c r="H1634" s="38">
        <v>0.0</v>
      </c>
      <c r="I1634" s="38">
        <v>0.0</v>
      </c>
      <c r="J1634" s="38">
        <v>0.0</v>
      </c>
      <c r="K1634" s="38">
        <v>0.0</v>
      </c>
      <c r="L1634" s="38">
        <v>0.0</v>
      </c>
      <c r="M1634" s="38">
        <v>0.0</v>
      </c>
      <c r="N1634" s="38">
        <v>0.0</v>
      </c>
      <c r="O1634" s="38">
        <v>0.0</v>
      </c>
      <c r="P1634" s="38">
        <v>0.0</v>
      </c>
      <c r="Q1634" s="38">
        <v>0.0</v>
      </c>
    </row>
    <row r="1635">
      <c r="A1635" s="49">
        <v>46205.0</v>
      </c>
      <c r="B1635" s="50">
        <v>0.7354166666666667</v>
      </c>
      <c r="C1635" s="41" t="s">
        <v>15</v>
      </c>
      <c r="D1635" s="41" t="s">
        <v>87</v>
      </c>
      <c r="E1635" s="41" t="s">
        <v>50</v>
      </c>
      <c r="F1635" s="42">
        <v>0.0</v>
      </c>
      <c r="G1635" s="42">
        <v>0.0</v>
      </c>
      <c r="H1635" s="42">
        <v>0.0</v>
      </c>
      <c r="I1635" s="42">
        <v>0.0</v>
      </c>
      <c r="J1635" s="42">
        <v>0.0</v>
      </c>
      <c r="K1635" s="42">
        <v>0.0</v>
      </c>
      <c r="L1635" s="42">
        <v>0.0</v>
      </c>
      <c r="M1635" s="42">
        <v>0.0</v>
      </c>
      <c r="N1635" s="42">
        <v>0.0</v>
      </c>
      <c r="O1635" s="42">
        <v>0.0</v>
      </c>
      <c r="P1635" s="42">
        <v>0.0</v>
      </c>
      <c r="Q1635" s="42">
        <v>0.0</v>
      </c>
    </row>
    <row r="1636">
      <c r="A1636" s="47">
        <v>46205.0</v>
      </c>
      <c r="B1636" s="48">
        <v>0.7354166666666667</v>
      </c>
      <c r="C1636" s="37" t="s">
        <v>15</v>
      </c>
      <c r="D1636" s="37" t="s">
        <v>87</v>
      </c>
      <c r="E1636" s="37" t="s">
        <v>90</v>
      </c>
      <c r="F1636" s="38">
        <v>0.0</v>
      </c>
      <c r="G1636" s="38">
        <v>0.0</v>
      </c>
      <c r="H1636" s="38">
        <v>0.0</v>
      </c>
      <c r="I1636" s="38">
        <v>0.0</v>
      </c>
      <c r="J1636" s="38">
        <v>0.0</v>
      </c>
      <c r="K1636" s="38">
        <v>0.0</v>
      </c>
      <c r="L1636" s="38">
        <v>0.0</v>
      </c>
      <c r="M1636" s="38">
        <v>0.0</v>
      </c>
      <c r="N1636" s="38">
        <v>0.0</v>
      </c>
      <c r="O1636" s="38">
        <v>0.0</v>
      </c>
      <c r="P1636" s="38">
        <v>0.0</v>
      </c>
      <c r="Q1636" s="38">
        <v>0.0</v>
      </c>
    </row>
    <row r="1637">
      <c r="A1637" s="49">
        <v>46205.0</v>
      </c>
      <c r="B1637" s="50">
        <v>0.7354166666666667</v>
      </c>
      <c r="C1637" s="41" t="s">
        <v>15</v>
      </c>
      <c r="D1637" s="41" t="s">
        <v>87</v>
      </c>
      <c r="E1637" s="41" t="s">
        <v>91</v>
      </c>
      <c r="F1637" s="42">
        <v>0.0</v>
      </c>
      <c r="G1637" s="42">
        <v>0.0</v>
      </c>
      <c r="H1637" s="42">
        <v>0.0</v>
      </c>
      <c r="I1637" s="42">
        <v>0.0</v>
      </c>
      <c r="J1637" s="42">
        <v>0.0</v>
      </c>
      <c r="K1637" s="42">
        <v>0.0</v>
      </c>
      <c r="L1637" s="42">
        <v>0.0</v>
      </c>
      <c r="M1637" s="42">
        <v>0.0</v>
      </c>
      <c r="N1637" s="42">
        <v>0.0</v>
      </c>
      <c r="O1637" s="42">
        <v>0.0</v>
      </c>
      <c r="P1637" s="42">
        <v>0.0</v>
      </c>
      <c r="Q1637" s="42">
        <v>0.0</v>
      </c>
    </row>
    <row r="1638">
      <c r="A1638" s="47">
        <v>46205.0</v>
      </c>
      <c r="B1638" s="48">
        <v>0.7354166666666667</v>
      </c>
      <c r="C1638" s="37" t="s">
        <v>15</v>
      </c>
      <c r="D1638" s="37" t="s">
        <v>87</v>
      </c>
      <c r="E1638" s="37" t="s">
        <v>92</v>
      </c>
      <c r="F1638" s="38">
        <v>0.0</v>
      </c>
      <c r="G1638" s="38">
        <v>0.0</v>
      </c>
      <c r="H1638" s="38">
        <v>0.0</v>
      </c>
      <c r="I1638" s="38">
        <v>0.0</v>
      </c>
      <c r="J1638" s="38">
        <v>0.0</v>
      </c>
      <c r="K1638" s="38">
        <v>0.0</v>
      </c>
      <c r="L1638" s="38">
        <v>0.0</v>
      </c>
      <c r="M1638" s="38">
        <v>0.0</v>
      </c>
      <c r="N1638" s="38">
        <v>0.0</v>
      </c>
      <c r="O1638" s="38">
        <v>0.0</v>
      </c>
      <c r="P1638" s="38">
        <v>0.0</v>
      </c>
      <c r="Q1638" s="38">
        <v>0.0</v>
      </c>
    </row>
    <row r="1639">
      <c r="A1639" s="49">
        <v>46205.0</v>
      </c>
      <c r="B1639" s="50">
        <v>0.7354166666666667</v>
      </c>
      <c r="C1639" s="41" t="s">
        <v>15</v>
      </c>
      <c r="D1639" s="41" t="s">
        <v>87</v>
      </c>
      <c r="E1639" s="41" t="s">
        <v>106</v>
      </c>
      <c r="F1639" s="42">
        <v>0.0</v>
      </c>
      <c r="G1639" s="42">
        <v>0.0</v>
      </c>
      <c r="H1639" s="42">
        <v>0.0</v>
      </c>
      <c r="I1639" s="42">
        <v>0.0</v>
      </c>
      <c r="J1639" s="42">
        <v>0.0</v>
      </c>
      <c r="K1639" s="42">
        <v>0.0</v>
      </c>
      <c r="L1639" s="42">
        <v>0.0</v>
      </c>
      <c r="M1639" s="42">
        <v>0.0</v>
      </c>
      <c r="N1639" s="42">
        <v>0.0</v>
      </c>
      <c r="O1639" s="42">
        <v>0.0</v>
      </c>
      <c r="P1639" s="42">
        <v>0.0</v>
      </c>
      <c r="Q1639" s="42">
        <v>0.0</v>
      </c>
    </row>
    <row r="1640">
      <c r="A1640" s="47">
        <v>46205.0</v>
      </c>
      <c r="B1640" s="48">
        <v>0.7354166666666667</v>
      </c>
      <c r="C1640" s="37" t="s">
        <v>15</v>
      </c>
      <c r="D1640" s="37" t="s">
        <v>87</v>
      </c>
      <c r="E1640" s="37" t="s">
        <v>107</v>
      </c>
      <c r="F1640" s="38">
        <v>0.0</v>
      </c>
      <c r="G1640" s="38">
        <v>0.0</v>
      </c>
      <c r="H1640" s="38">
        <v>0.0</v>
      </c>
      <c r="I1640" s="38">
        <v>0.0</v>
      </c>
      <c r="J1640" s="38">
        <v>0.0</v>
      </c>
      <c r="K1640" s="38">
        <v>0.0</v>
      </c>
      <c r="L1640" s="38">
        <v>0.0</v>
      </c>
      <c r="M1640" s="38">
        <v>0.0</v>
      </c>
      <c r="N1640" s="38">
        <v>0.0</v>
      </c>
      <c r="O1640" s="38">
        <v>0.0</v>
      </c>
      <c r="P1640" s="38">
        <v>0.0</v>
      </c>
      <c r="Q1640" s="38">
        <v>0.0</v>
      </c>
    </row>
    <row r="1641">
      <c r="A1641" s="49">
        <v>46205.0</v>
      </c>
      <c r="B1641" s="50">
        <v>0.7354166666666667</v>
      </c>
      <c r="C1641" s="41" t="s">
        <v>23</v>
      </c>
      <c r="D1641" s="41" t="s">
        <v>93</v>
      </c>
      <c r="E1641" s="41" t="s">
        <v>52</v>
      </c>
      <c r="F1641" s="42">
        <v>4.0</v>
      </c>
      <c r="G1641" s="42">
        <v>1.0</v>
      </c>
      <c r="H1641" s="42">
        <v>3.0</v>
      </c>
      <c r="I1641" s="42">
        <v>0.0</v>
      </c>
      <c r="J1641" s="42">
        <v>0.0</v>
      </c>
      <c r="K1641" s="42">
        <v>4.0</v>
      </c>
      <c r="L1641" s="42">
        <v>4.0</v>
      </c>
      <c r="M1641" s="42">
        <v>0.0</v>
      </c>
      <c r="N1641" s="42">
        <v>0.0</v>
      </c>
      <c r="O1641" s="42">
        <v>0.0</v>
      </c>
      <c r="P1641" s="42">
        <v>1.0</v>
      </c>
      <c r="Q1641" s="42">
        <v>1.0</v>
      </c>
    </row>
    <row r="1642">
      <c r="A1642" s="47">
        <v>46205.0</v>
      </c>
      <c r="B1642" s="48">
        <v>0.7354166666666667</v>
      </c>
      <c r="C1642" s="37" t="s">
        <v>23</v>
      </c>
      <c r="D1642" s="37" t="s">
        <v>93</v>
      </c>
      <c r="E1642" s="37" t="s">
        <v>88</v>
      </c>
      <c r="F1642" s="38">
        <v>0.0</v>
      </c>
      <c r="G1642" s="38">
        <v>0.0</v>
      </c>
      <c r="H1642" s="38">
        <v>0.0</v>
      </c>
      <c r="I1642" s="38">
        <v>0.0</v>
      </c>
      <c r="J1642" s="38">
        <v>0.0</v>
      </c>
      <c r="K1642" s="38">
        <v>0.0</v>
      </c>
      <c r="L1642" s="38">
        <v>0.0</v>
      </c>
      <c r="M1642" s="38">
        <v>0.0</v>
      </c>
      <c r="N1642" s="38">
        <v>0.0</v>
      </c>
      <c r="O1642" s="38">
        <v>0.0</v>
      </c>
      <c r="P1642" s="38">
        <v>0.0</v>
      </c>
      <c r="Q1642" s="38">
        <v>0.0</v>
      </c>
    </row>
    <row r="1643">
      <c r="A1643" s="49">
        <v>46205.0</v>
      </c>
      <c r="B1643" s="50">
        <v>0.7354166666666667</v>
      </c>
      <c r="C1643" s="41" t="s">
        <v>23</v>
      </c>
      <c r="D1643" s="41" t="s">
        <v>93</v>
      </c>
      <c r="E1643" s="41" t="s">
        <v>89</v>
      </c>
      <c r="F1643" s="42">
        <v>0.0</v>
      </c>
      <c r="G1643" s="42">
        <v>0.0</v>
      </c>
      <c r="H1643" s="42">
        <v>0.0</v>
      </c>
      <c r="I1643" s="42">
        <v>0.0</v>
      </c>
      <c r="J1643" s="42">
        <v>0.0</v>
      </c>
      <c r="K1643" s="42">
        <v>0.0</v>
      </c>
      <c r="L1643" s="42">
        <v>0.0</v>
      </c>
      <c r="M1643" s="42">
        <v>0.0</v>
      </c>
      <c r="N1643" s="42">
        <v>0.0</v>
      </c>
      <c r="O1643" s="42">
        <v>0.0</v>
      </c>
      <c r="P1643" s="42">
        <v>0.0</v>
      </c>
      <c r="Q1643" s="42">
        <v>0.0</v>
      </c>
    </row>
    <row r="1644">
      <c r="A1644" s="47">
        <v>46205.0</v>
      </c>
      <c r="B1644" s="48">
        <v>0.7354166666666667</v>
      </c>
      <c r="C1644" s="37" t="s">
        <v>23</v>
      </c>
      <c r="D1644" s="37" t="s">
        <v>93</v>
      </c>
      <c r="E1644" s="37" t="s">
        <v>50</v>
      </c>
      <c r="F1644" s="38">
        <v>0.0</v>
      </c>
      <c r="G1644" s="38">
        <v>0.0</v>
      </c>
      <c r="H1644" s="38">
        <v>0.0</v>
      </c>
      <c r="I1644" s="38">
        <v>0.0</v>
      </c>
      <c r="J1644" s="38">
        <v>0.0</v>
      </c>
      <c r="K1644" s="38">
        <v>0.0</v>
      </c>
      <c r="L1644" s="38">
        <v>0.0</v>
      </c>
      <c r="M1644" s="38">
        <v>0.0</v>
      </c>
      <c r="N1644" s="38">
        <v>0.0</v>
      </c>
      <c r="O1644" s="38">
        <v>0.0</v>
      </c>
      <c r="P1644" s="38">
        <v>0.0</v>
      </c>
      <c r="Q1644" s="38">
        <v>0.0</v>
      </c>
    </row>
    <row r="1645">
      <c r="A1645" s="49">
        <v>46205.0</v>
      </c>
      <c r="B1645" s="50">
        <v>0.7354166666666667</v>
      </c>
      <c r="C1645" s="41" t="s">
        <v>23</v>
      </c>
      <c r="D1645" s="41" t="s">
        <v>93</v>
      </c>
      <c r="E1645" s="41" t="s">
        <v>90</v>
      </c>
      <c r="F1645" s="42">
        <v>0.0</v>
      </c>
      <c r="G1645" s="42">
        <v>0.0</v>
      </c>
      <c r="H1645" s="42">
        <v>0.0</v>
      </c>
      <c r="I1645" s="42">
        <v>0.0</v>
      </c>
      <c r="J1645" s="42">
        <v>0.0</v>
      </c>
      <c r="K1645" s="42">
        <v>0.0</v>
      </c>
      <c r="L1645" s="42">
        <v>0.0</v>
      </c>
      <c r="M1645" s="42">
        <v>0.0</v>
      </c>
      <c r="N1645" s="42">
        <v>0.0</v>
      </c>
      <c r="O1645" s="42">
        <v>0.0</v>
      </c>
      <c r="P1645" s="42">
        <v>0.0</v>
      </c>
      <c r="Q1645" s="42">
        <v>0.0</v>
      </c>
    </row>
    <row r="1646">
      <c r="A1646" s="47">
        <v>46205.0</v>
      </c>
      <c r="B1646" s="48">
        <v>0.7354166666666667</v>
      </c>
      <c r="C1646" s="37" t="s">
        <v>23</v>
      </c>
      <c r="D1646" s="37" t="s">
        <v>93</v>
      </c>
      <c r="E1646" s="37" t="s">
        <v>91</v>
      </c>
      <c r="F1646" s="38">
        <v>0.0</v>
      </c>
      <c r="G1646" s="38">
        <v>0.0</v>
      </c>
      <c r="H1646" s="38">
        <v>0.0</v>
      </c>
      <c r="I1646" s="38">
        <v>0.0</v>
      </c>
      <c r="J1646" s="38">
        <v>0.0</v>
      </c>
      <c r="K1646" s="38">
        <v>0.0</v>
      </c>
      <c r="L1646" s="38">
        <v>0.0</v>
      </c>
      <c r="M1646" s="38">
        <v>0.0</v>
      </c>
      <c r="N1646" s="38">
        <v>0.0</v>
      </c>
      <c r="O1646" s="38">
        <v>0.0</v>
      </c>
      <c r="P1646" s="38">
        <v>0.0</v>
      </c>
      <c r="Q1646" s="38">
        <v>0.0</v>
      </c>
    </row>
    <row r="1647">
      <c r="A1647" s="49">
        <v>46205.0</v>
      </c>
      <c r="B1647" s="50">
        <v>0.7354166666666667</v>
      </c>
      <c r="C1647" s="41" t="s">
        <v>23</v>
      </c>
      <c r="D1647" s="41" t="s">
        <v>93</v>
      </c>
      <c r="E1647" s="41" t="s">
        <v>92</v>
      </c>
      <c r="F1647" s="42">
        <v>0.0</v>
      </c>
      <c r="G1647" s="42">
        <v>0.0</v>
      </c>
      <c r="H1647" s="42">
        <v>0.0</v>
      </c>
      <c r="I1647" s="42">
        <v>0.0</v>
      </c>
      <c r="J1647" s="42">
        <v>0.0</v>
      </c>
      <c r="K1647" s="42">
        <v>0.0</v>
      </c>
      <c r="L1647" s="42">
        <v>0.0</v>
      </c>
      <c r="M1647" s="42">
        <v>0.0</v>
      </c>
      <c r="N1647" s="42">
        <v>0.0</v>
      </c>
      <c r="O1647" s="42">
        <v>0.0</v>
      </c>
      <c r="P1647" s="42">
        <v>0.0</v>
      </c>
      <c r="Q1647" s="42">
        <v>0.0</v>
      </c>
    </row>
    <row r="1648">
      <c r="A1648" s="47">
        <v>46205.0</v>
      </c>
      <c r="B1648" s="48">
        <v>0.7354166666666667</v>
      </c>
      <c r="C1648" s="37" t="s">
        <v>23</v>
      </c>
      <c r="D1648" s="37" t="s">
        <v>93</v>
      </c>
      <c r="E1648" s="37" t="s">
        <v>106</v>
      </c>
      <c r="F1648" s="38">
        <v>0.0</v>
      </c>
      <c r="G1648" s="38">
        <v>0.0</v>
      </c>
      <c r="H1648" s="38">
        <v>0.0</v>
      </c>
      <c r="I1648" s="38">
        <v>0.0</v>
      </c>
      <c r="J1648" s="38">
        <v>0.0</v>
      </c>
      <c r="K1648" s="38">
        <v>0.0</v>
      </c>
      <c r="L1648" s="38">
        <v>0.0</v>
      </c>
      <c r="M1648" s="38">
        <v>0.0</v>
      </c>
      <c r="N1648" s="38">
        <v>0.0</v>
      </c>
      <c r="O1648" s="38">
        <v>0.0</v>
      </c>
      <c r="P1648" s="38">
        <v>0.0</v>
      </c>
      <c r="Q1648" s="38">
        <v>0.0</v>
      </c>
    </row>
    <row r="1649">
      <c r="A1649" s="49">
        <v>46205.0</v>
      </c>
      <c r="B1649" s="50">
        <v>0.7354166666666667</v>
      </c>
      <c r="C1649" s="41" t="s">
        <v>23</v>
      </c>
      <c r="D1649" s="41" t="s">
        <v>93</v>
      </c>
      <c r="E1649" s="41" t="s">
        <v>107</v>
      </c>
      <c r="F1649" s="42">
        <v>0.0</v>
      </c>
      <c r="G1649" s="42">
        <v>0.0</v>
      </c>
      <c r="H1649" s="42">
        <v>0.0</v>
      </c>
      <c r="I1649" s="42">
        <v>0.0</v>
      </c>
      <c r="J1649" s="42">
        <v>0.0</v>
      </c>
      <c r="K1649" s="42">
        <v>0.0</v>
      </c>
      <c r="L1649" s="42">
        <v>0.0</v>
      </c>
      <c r="M1649" s="42">
        <v>0.0</v>
      </c>
      <c r="N1649" s="42">
        <v>0.0</v>
      </c>
      <c r="O1649" s="42">
        <v>0.0</v>
      </c>
      <c r="P1649" s="42">
        <v>0.0</v>
      </c>
      <c r="Q1649" s="42">
        <v>0.0</v>
      </c>
    </row>
    <row r="1650">
      <c r="A1650" s="47">
        <v>46205.0</v>
      </c>
      <c r="B1650" s="48">
        <v>0.7354166666666667</v>
      </c>
      <c r="C1650" s="37" t="s">
        <v>29</v>
      </c>
      <c r="D1650" s="37" t="s">
        <v>94</v>
      </c>
      <c r="E1650" s="37" t="s">
        <v>52</v>
      </c>
      <c r="F1650" s="38">
        <v>9.0</v>
      </c>
      <c r="G1650" s="38">
        <v>4.0</v>
      </c>
      <c r="H1650" s="38">
        <v>1.0</v>
      </c>
      <c r="I1650" s="38">
        <v>0.0</v>
      </c>
      <c r="J1650" s="38">
        <v>0.0</v>
      </c>
      <c r="K1650" s="38">
        <v>8.0</v>
      </c>
      <c r="L1650" s="38">
        <v>9.0</v>
      </c>
      <c r="M1650" s="38">
        <v>0.0</v>
      </c>
      <c r="N1650" s="38">
        <v>0.0</v>
      </c>
      <c r="O1650" s="38">
        <v>0.0</v>
      </c>
      <c r="P1650" s="38">
        <v>4.0</v>
      </c>
      <c r="Q1650" s="38">
        <v>4.0</v>
      </c>
    </row>
    <row r="1651">
      <c r="A1651" s="49">
        <v>46205.0</v>
      </c>
      <c r="B1651" s="50">
        <v>0.7354166666666667</v>
      </c>
      <c r="C1651" s="41" t="s">
        <v>29</v>
      </c>
      <c r="D1651" s="41" t="s">
        <v>94</v>
      </c>
      <c r="E1651" s="41" t="s">
        <v>88</v>
      </c>
      <c r="F1651" s="42">
        <v>0.0</v>
      </c>
      <c r="G1651" s="42">
        <v>0.0</v>
      </c>
      <c r="H1651" s="42">
        <v>0.0</v>
      </c>
      <c r="I1651" s="42">
        <v>0.0</v>
      </c>
      <c r="J1651" s="42">
        <v>0.0</v>
      </c>
      <c r="K1651" s="42">
        <v>0.0</v>
      </c>
      <c r="L1651" s="42">
        <v>0.0</v>
      </c>
      <c r="M1651" s="42">
        <v>0.0</v>
      </c>
      <c r="N1651" s="42">
        <v>0.0</v>
      </c>
      <c r="O1651" s="42">
        <v>0.0</v>
      </c>
      <c r="P1651" s="42">
        <v>0.0</v>
      </c>
      <c r="Q1651" s="42">
        <v>0.0</v>
      </c>
    </row>
    <row r="1652">
      <c r="A1652" s="47">
        <v>46205.0</v>
      </c>
      <c r="B1652" s="48">
        <v>0.7354166666666667</v>
      </c>
      <c r="C1652" s="37" t="s">
        <v>29</v>
      </c>
      <c r="D1652" s="37" t="s">
        <v>94</v>
      </c>
      <c r="E1652" s="37" t="s">
        <v>89</v>
      </c>
      <c r="F1652" s="38">
        <v>1.0</v>
      </c>
      <c r="G1652" s="38">
        <v>0.0</v>
      </c>
      <c r="H1652" s="38">
        <v>0.0</v>
      </c>
      <c r="I1652" s="38">
        <v>0.0</v>
      </c>
      <c r="J1652" s="38">
        <v>0.0</v>
      </c>
      <c r="K1652" s="38">
        <v>1.0</v>
      </c>
      <c r="L1652" s="38">
        <v>1.0</v>
      </c>
      <c r="M1652" s="38">
        <v>0.0</v>
      </c>
      <c r="N1652" s="38">
        <v>0.0</v>
      </c>
      <c r="O1652" s="38">
        <v>0.0</v>
      </c>
      <c r="P1652" s="38">
        <v>0.0</v>
      </c>
      <c r="Q1652" s="38">
        <v>0.0</v>
      </c>
    </row>
    <row r="1653">
      <c r="A1653" s="49">
        <v>46205.0</v>
      </c>
      <c r="B1653" s="50">
        <v>0.7354166666666667</v>
      </c>
      <c r="C1653" s="41" t="s">
        <v>29</v>
      </c>
      <c r="D1653" s="41" t="s">
        <v>94</v>
      </c>
      <c r="E1653" s="41" t="s">
        <v>50</v>
      </c>
      <c r="F1653" s="42">
        <v>0.0</v>
      </c>
      <c r="G1653" s="42">
        <v>0.0</v>
      </c>
      <c r="H1653" s="42">
        <v>0.0</v>
      </c>
      <c r="I1653" s="42">
        <v>0.0</v>
      </c>
      <c r="J1653" s="42">
        <v>0.0</v>
      </c>
      <c r="K1653" s="42">
        <v>0.0</v>
      </c>
      <c r="L1653" s="42">
        <v>0.0</v>
      </c>
      <c r="M1653" s="42">
        <v>0.0</v>
      </c>
      <c r="N1653" s="42">
        <v>0.0</v>
      </c>
      <c r="O1653" s="42">
        <v>0.0</v>
      </c>
      <c r="P1653" s="42">
        <v>0.0</v>
      </c>
      <c r="Q1653" s="42">
        <v>0.0</v>
      </c>
    </row>
    <row r="1654">
      <c r="A1654" s="47">
        <v>46205.0</v>
      </c>
      <c r="B1654" s="48">
        <v>0.7354166666666667</v>
      </c>
      <c r="C1654" s="37" t="s">
        <v>29</v>
      </c>
      <c r="D1654" s="37" t="s">
        <v>94</v>
      </c>
      <c r="E1654" s="37" t="s">
        <v>90</v>
      </c>
      <c r="F1654" s="38">
        <v>0.0</v>
      </c>
      <c r="G1654" s="38">
        <v>0.0</v>
      </c>
      <c r="H1654" s="38">
        <v>0.0</v>
      </c>
      <c r="I1654" s="38">
        <v>0.0</v>
      </c>
      <c r="J1654" s="38">
        <v>0.0</v>
      </c>
      <c r="K1654" s="38">
        <v>0.0</v>
      </c>
      <c r="L1654" s="38">
        <v>0.0</v>
      </c>
      <c r="M1654" s="38">
        <v>0.0</v>
      </c>
      <c r="N1654" s="38">
        <v>0.0</v>
      </c>
      <c r="O1654" s="38">
        <v>0.0</v>
      </c>
      <c r="P1654" s="38">
        <v>0.0</v>
      </c>
      <c r="Q1654" s="38">
        <v>0.0</v>
      </c>
    </row>
    <row r="1655">
      <c r="A1655" s="49">
        <v>46205.0</v>
      </c>
      <c r="B1655" s="50">
        <v>0.7354166666666667</v>
      </c>
      <c r="C1655" s="41" t="s">
        <v>29</v>
      </c>
      <c r="D1655" s="41" t="s">
        <v>94</v>
      </c>
      <c r="E1655" s="41" t="s">
        <v>91</v>
      </c>
      <c r="F1655" s="42">
        <v>0.0</v>
      </c>
      <c r="G1655" s="42">
        <v>0.0</v>
      </c>
      <c r="H1655" s="42">
        <v>0.0</v>
      </c>
      <c r="I1655" s="42">
        <v>0.0</v>
      </c>
      <c r="J1655" s="42">
        <v>0.0</v>
      </c>
      <c r="K1655" s="42">
        <v>0.0</v>
      </c>
      <c r="L1655" s="42">
        <v>0.0</v>
      </c>
      <c r="M1655" s="42">
        <v>0.0</v>
      </c>
      <c r="N1655" s="42">
        <v>0.0</v>
      </c>
      <c r="O1655" s="42">
        <v>0.0</v>
      </c>
      <c r="P1655" s="42">
        <v>0.0</v>
      </c>
      <c r="Q1655" s="42">
        <v>0.0</v>
      </c>
    </row>
    <row r="1656">
      <c r="A1656" s="47">
        <v>46205.0</v>
      </c>
      <c r="B1656" s="48">
        <v>0.7354166666666667</v>
      </c>
      <c r="C1656" s="37" t="s">
        <v>29</v>
      </c>
      <c r="D1656" s="37" t="s">
        <v>94</v>
      </c>
      <c r="E1656" s="37" t="s">
        <v>92</v>
      </c>
      <c r="F1656" s="38">
        <v>0.0</v>
      </c>
      <c r="G1656" s="38">
        <v>0.0</v>
      </c>
      <c r="H1656" s="38">
        <v>0.0</v>
      </c>
      <c r="I1656" s="38">
        <v>0.0</v>
      </c>
      <c r="J1656" s="38">
        <v>0.0</v>
      </c>
      <c r="K1656" s="38">
        <v>0.0</v>
      </c>
      <c r="L1656" s="38">
        <v>0.0</v>
      </c>
      <c r="M1656" s="38">
        <v>0.0</v>
      </c>
      <c r="N1656" s="38">
        <v>0.0</v>
      </c>
      <c r="O1656" s="38">
        <v>0.0</v>
      </c>
      <c r="P1656" s="38">
        <v>0.0</v>
      </c>
      <c r="Q1656" s="38">
        <v>0.0</v>
      </c>
    </row>
    <row r="1657">
      <c r="A1657" s="49">
        <v>46205.0</v>
      </c>
      <c r="B1657" s="50">
        <v>0.7354166666666667</v>
      </c>
      <c r="C1657" s="41" t="s">
        <v>29</v>
      </c>
      <c r="D1657" s="41" t="s">
        <v>94</v>
      </c>
      <c r="E1657" s="41" t="s">
        <v>106</v>
      </c>
      <c r="F1657" s="42">
        <v>2.0</v>
      </c>
      <c r="G1657" s="42">
        <v>0.0</v>
      </c>
      <c r="H1657" s="42">
        <v>0.0</v>
      </c>
      <c r="I1657" s="42">
        <v>0.0</v>
      </c>
      <c r="J1657" s="42">
        <v>0.0</v>
      </c>
      <c r="K1657" s="42">
        <v>0.0</v>
      </c>
      <c r="L1657" s="42">
        <v>2.0</v>
      </c>
      <c r="M1657" s="42">
        <v>0.0</v>
      </c>
      <c r="N1657" s="42">
        <v>0.0</v>
      </c>
      <c r="O1657" s="42">
        <v>0.0</v>
      </c>
      <c r="P1657" s="42">
        <v>0.0</v>
      </c>
      <c r="Q1657" s="42">
        <v>0.0</v>
      </c>
    </row>
    <row r="1658">
      <c r="A1658" s="47">
        <v>46205.0</v>
      </c>
      <c r="B1658" s="48">
        <v>0.7354166666666667</v>
      </c>
      <c r="C1658" s="37" t="s">
        <v>29</v>
      </c>
      <c r="D1658" s="37" t="s">
        <v>94</v>
      </c>
      <c r="E1658" s="37" t="s">
        <v>107</v>
      </c>
      <c r="F1658" s="38">
        <v>0.0</v>
      </c>
      <c r="G1658" s="38">
        <v>0.0</v>
      </c>
      <c r="H1658" s="38">
        <v>0.0</v>
      </c>
      <c r="I1658" s="38">
        <v>0.0</v>
      </c>
      <c r="J1658" s="38">
        <v>0.0</v>
      </c>
      <c r="K1658" s="38">
        <v>0.0</v>
      </c>
      <c r="L1658" s="38">
        <v>0.0</v>
      </c>
      <c r="M1658" s="38">
        <v>0.0</v>
      </c>
      <c r="N1658" s="38">
        <v>0.0</v>
      </c>
      <c r="O1658" s="38">
        <v>0.0</v>
      </c>
      <c r="P1658" s="38">
        <v>0.0</v>
      </c>
      <c r="Q1658" s="38">
        <v>0.0</v>
      </c>
    </row>
    <row r="1659">
      <c r="A1659" s="49">
        <v>46205.0</v>
      </c>
      <c r="B1659" s="50">
        <v>0.7354166666666667</v>
      </c>
      <c r="C1659" s="41" t="s">
        <v>31</v>
      </c>
      <c r="D1659" s="41" t="s">
        <v>95</v>
      </c>
      <c r="E1659" s="41" t="s">
        <v>52</v>
      </c>
      <c r="F1659" s="42">
        <v>2.0</v>
      </c>
      <c r="G1659" s="42">
        <v>0.0</v>
      </c>
      <c r="H1659" s="42">
        <v>2.0</v>
      </c>
      <c r="I1659" s="42">
        <v>0.0</v>
      </c>
      <c r="J1659" s="42">
        <v>0.0</v>
      </c>
      <c r="K1659" s="42">
        <v>2.0</v>
      </c>
      <c r="L1659" s="42">
        <v>2.0</v>
      </c>
      <c r="M1659" s="42">
        <v>0.0</v>
      </c>
      <c r="N1659" s="42">
        <v>0.0</v>
      </c>
      <c r="O1659" s="42">
        <v>0.0</v>
      </c>
      <c r="P1659" s="42">
        <v>0.0</v>
      </c>
      <c r="Q1659" s="42">
        <v>0.0</v>
      </c>
    </row>
    <row r="1660">
      <c r="A1660" s="47">
        <v>46205.0</v>
      </c>
      <c r="B1660" s="48">
        <v>0.7354166666666667</v>
      </c>
      <c r="C1660" s="37" t="s">
        <v>31</v>
      </c>
      <c r="D1660" s="37" t="s">
        <v>95</v>
      </c>
      <c r="E1660" s="37" t="s">
        <v>88</v>
      </c>
      <c r="F1660" s="38">
        <v>0.0</v>
      </c>
      <c r="G1660" s="38">
        <v>0.0</v>
      </c>
      <c r="H1660" s="38">
        <v>0.0</v>
      </c>
      <c r="I1660" s="38">
        <v>0.0</v>
      </c>
      <c r="J1660" s="38">
        <v>0.0</v>
      </c>
      <c r="K1660" s="38">
        <v>0.0</v>
      </c>
      <c r="L1660" s="38">
        <v>0.0</v>
      </c>
      <c r="M1660" s="38">
        <v>0.0</v>
      </c>
      <c r="N1660" s="38">
        <v>0.0</v>
      </c>
      <c r="O1660" s="38">
        <v>0.0</v>
      </c>
      <c r="P1660" s="38">
        <v>0.0</v>
      </c>
      <c r="Q1660" s="38">
        <v>0.0</v>
      </c>
    </row>
    <row r="1661">
      <c r="A1661" s="49">
        <v>46205.0</v>
      </c>
      <c r="B1661" s="50">
        <v>0.7354166666666667</v>
      </c>
      <c r="C1661" s="41" t="s">
        <v>31</v>
      </c>
      <c r="D1661" s="41" t="s">
        <v>95</v>
      </c>
      <c r="E1661" s="41" t="s">
        <v>89</v>
      </c>
      <c r="F1661" s="42">
        <v>0.0</v>
      </c>
      <c r="G1661" s="42">
        <v>0.0</v>
      </c>
      <c r="H1661" s="42">
        <v>0.0</v>
      </c>
      <c r="I1661" s="42">
        <v>0.0</v>
      </c>
      <c r="J1661" s="42">
        <v>0.0</v>
      </c>
      <c r="K1661" s="42">
        <v>0.0</v>
      </c>
      <c r="L1661" s="42">
        <v>0.0</v>
      </c>
      <c r="M1661" s="42">
        <v>0.0</v>
      </c>
      <c r="N1661" s="42">
        <v>0.0</v>
      </c>
      <c r="O1661" s="42">
        <v>0.0</v>
      </c>
      <c r="P1661" s="42">
        <v>0.0</v>
      </c>
      <c r="Q1661" s="42">
        <v>0.0</v>
      </c>
    </row>
    <row r="1662">
      <c r="A1662" s="47">
        <v>46205.0</v>
      </c>
      <c r="B1662" s="48">
        <v>0.7354166666666667</v>
      </c>
      <c r="C1662" s="37" t="s">
        <v>31</v>
      </c>
      <c r="D1662" s="37" t="s">
        <v>95</v>
      </c>
      <c r="E1662" s="37" t="s">
        <v>50</v>
      </c>
      <c r="F1662" s="38">
        <v>1.0</v>
      </c>
      <c r="G1662" s="38">
        <v>1.0</v>
      </c>
      <c r="H1662" s="38">
        <v>0.0</v>
      </c>
      <c r="I1662" s="38">
        <v>0.0</v>
      </c>
      <c r="J1662" s="38">
        <v>0.0</v>
      </c>
      <c r="K1662" s="38">
        <v>0.0</v>
      </c>
      <c r="L1662" s="38">
        <v>0.0</v>
      </c>
      <c r="M1662" s="38">
        <v>0.0</v>
      </c>
      <c r="N1662" s="38">
        <v>0.0</v>
      </c>
      <c r="O1662" s="38">
        <v>0.0</v>
      </c>
      <c r="P1662" s="38">
        <v>0.0</v>
      </c>
      <c r="Q1662" s="38">
        <v>0.0</v>
      </c>
    </row>
    <row r="1663">
      <c r="A1663" s="49">
        <v>46205.0</v>
      </c>
      <c r="B1663" s="50">
        <v>0.7354166666666667</v>
      </c>
      <c r="C1663" s="41" t="s">
        <v>31</v>
      </c>
      <c r="D1663" s="41" t="s">
        <v>95</v>
      </c>
      <c r="E1663" s="41" t="s">
        <v>90</v>
      </c>
      <c r="F1663" s="42">
        <v>0.0</v>
      </c>
      <c r="G1663" s="42">
        <v>0.0</v>
      </c>
      <c r="H1663" s="42">
        <v>0.0</v>
      </c>
      <c r="I1663" s="42">
        <v>0.0</v>
      </c>
      <c r="J1663" s="42">
        <v>0.0</v>
      </c>
      <c r="K1663" s="42">
        <v>0.0</v>
      </c>
      <c r="L1663" s="42">
        <v>0.0</v>
      </c>
      <c r="M1663" s="42">
        <v>0.0</v>
      </c>
      <c r="N1663" s="42">
        <v>0.0</v>
      </c>
      <c r="O1663" s="42">
        <v>0.0</v>
      </c>
      <c r="P1663" s="42">
        <v>0.0</v>
      </c>
      <c r="Q1663" s="42">
        <v>0.0</v>
      </c>
    </row>
    <row r="1664">
      <c r="A1664" s="47">
        <v>46205.0</v>
      </c>
      <c r="B1664" s="48">
        <v>0.7354166666666667</v>
      </c>
      <c r="C1664" s="37" t="s">
        <v>31</v>
      </c>
      <c r="D1664" s="37" t="s">
        <v>95</v>
      </c>
      <c r="E1664" s="37" t="s">
        <v>91</v>
      </c>
      <c r="F1664" s="38">
        <v>0.0</v>
      </c>
      <c r="G1664" s="38">
        <v>0.0</v>
      </c>
      <c r="H1664" s="38">
        <v>0.0</v>
      </c>
      <c r="I1664" s="38">
        <v>0.0</v>
      </c>
      <c r="J1664" s="38">
        <v>0.0</v>
      </c>
      <c r="K1664" s="38">
        <v>0.0</v>
      </c>
      <c r="L1664" s="38">
        <v>0.0</v>
      </c>
      <c r="M1664" s="38">
        <v>0.0</v>
      </c>
      <c r="N1664" s="38">
        <v>0.0</v>
      </c>
      <c r="O1664" s="38">
        <v>0.0</v>
      </c>
      <c r="P1664" s="38">
        <v>0.0</v>
      </c>
      <c r="Q1664" s="38">
        <v>0.0</v>
      </c>
    </row>
    <row r="1665">
      <c r="A1665" s="49">
        <v>46205.0</v>
      </c>
      <c r="B1665" s="50">
        <v>0.7354166666666667</v>
      </c>
      <c r="C1665" s="41" t="s">
        <v>31</v>
      </c>
      <c r="D1665" s="41" t="s">
        <v>95</v>
      </c>
      <c r="E1665" s="41" t="s">
        <v>92</v>
      </c>
      <c r="F1665" s="42">
        <v>0.0</v>
      </c>
      <c r="G1665" s="42">
        <v>0.0</v>
      </c>
      <c r="H1665" s="42">
        <v>0.0</v>
      </c>
      <c r="I1665" s="42">
        <v>0.0</v>
      </c>
      <c r="J1665" s="42">
        <v>0.0</v>
      </c>
      <c r="K1665" s="42">
        <v>0.0</v>
      </c>
      <c r="L1665" s="42">
        <v>0.0</v>
      </c>
      <c r="M1665" s="42">
        <v>0.0</v>
      </c>
      <c r="N1665" s="42">
        <v>0.0</v>
      </c>
      <c r="O1665" s="42">
        <v>0.0</v>
      </c>
      <c r="P1665" s="42">
        <v>0.0</v>
      </c>
      <c r="Q1665" s="42">
        <v>0.0</v>
      </c>
    </row>
    <row r="1666">
      <c r="A1666" s="47">
        <v>46205.0</v>
      </c>
      <c r="B1666" s="48">
        <v>0.7354166666666667</v>
      </c>
      <c r="C1666" s="37" t="s">
        <v>31</v>
      </c>
      <c r="D1666" s="37" t="s">
        <v>95</v>
      </c>
      <c r="E1666" s="37" t="s">
        <v>106</v>
      </c>
      <c r="F1666" s="38">
        <v>0.0</v>
      </c>
      <c r="G1666" s="38">
        <v>0.0</v>
      </c>
      <c r="H1666" s="38">
        <v>0.0</v>
      </c>
      <c r="I1666" s="38">
        <v>0.0</v>
      </c>
      <c r="J1666" s="38">
        <v>0.0</v>
      </c>
      <c r="K1666" s="38">
        <v>0.0</v>
      </c>
      <c r="L1666" s="38">
        <v>0.0</v>
      </c>
      <c r="M1666" s="38">
        <v>0.0</v>
      </c>
      <c r="N1666" s="38">
        <v>0.0</v>
      </c>
      <c r="O1666" s="38">
        <v>0.0</v>
      </c>
      <c r="P1666" s="38">
        <v>0.0</v>
      </c>
      <c r="Q1666" s="38">
        <v>0.0</v>
      </c>
    </row>
    <row r="1667">
      <c r="A1667" s="49">
        <v>46205.0</v>
      </c>
      <c r="B1667" s="50">
        <v>0.7354166666666667</v>
      </c>
      <c r="C1667" s="41" t="s">
        <v>31</v>
      </c>
      <c r="D1667" s="41" t="s">
        <v>95</v>
      </c>
      <c r="E1667" s="41" t="s">
        <v>107</v>
      </c>
      <c r="F1667" s="42">
        <v>0.0</v>
      </c>
      <c r="G1667" s="42">
        <v>0.0</v>
      </c>
      <c r="H1667" s="42">
        <v>0.0</v>
      </c>
      <c r="I1667" s="42">
        <v>0.0</v>
      </c>
      <c r="J1667" s="42">
        <v>0.0</v>
      </c>
      <c r="K1667" s="42">
        <v>0.0</v>
      </c>
      <c r="L1667" s="42">
        <v>0.0</v>
      </c>
      <c r="M1667" s="42">
        <v>0.0</v>
      </c>
      <c r="N1667" s="42">
        <v>0.0</v>
      </c>
      <c r="O1667" s="42">
        <v>0.0</v>
      </c>
      <c r="P1667" s="42">
        <v>0.0</v>
      </c>
      <c r="Q1667" s="42">
        <v>0.0</v>
      </c>
    </row>
    <row r="1668">
      <c r="A1668" s="51">
        <v>46205.0</v>
      </c>
      <c r="B1668" s="52">
        <v>0.7354166666666667</v>
      </c>
      <c r="C1668" s="45" t="s">
        <v>96</v>
      </c>
      <c r="D1668" s="45" t="s">
        <v>75</v>
      </c>
      <c r="E1668" s="45" t="s">
        <v>52</v>
      </c>
      <c r="F1668" s="46">
        <v>18.0</v>
      </c>
      <c r="G1668" s="46">
        <v>6.0</v>
      </c>
      <c r="H1668" s="46">
        <v>7.0</v>
      </c>
      <c r="I1668" s="46">
        <v>0.0</v>
      </c>
      <c r="J1668" s="46">
        <v>0.0</v>
      </c>
      <c r="K1668" s="46">
        <v>15.0</v>
      </c>
      <c r="L1668" s="46">
        <v>18.0</v>
      </c>
      <c r="M1668" s="46">
        <v>0.0</v>
      </c>
      <c r="N1668" s="46">
        <v>0.0</v>
      </c>
      <c r="O1668" s="46">
        <v>0.0</v>
      </c>
      <c r="P1668" s="46">
        <v>5.0</v>
      </c>
      <c r="Q1668" s="46">
        <v>6.0</v>
      </c>
    </row>
    <row r="1669">
      <c r="A1669" s="51">
        <v>46205.0</v>
      </c>
      <c r="B1669" s="52">
        <v>0.7354166666666667</v>
      </c>
      <c r="C1669" s="45" t="s">
        <v>96</v>
      </c>
      <c r="D1669" s="45" t="s">
        <v>75</v>
      </c>
      <c r="E1669" s="45" t="s">
        <v>88</v>
      </c>
      <c r="F1669" s="46">
        <v>0.0</v>
      </c>
      <c r="G1669" s="46">
        <v>0.0</v>
      </c>
      <c r="H1669" s="46">
        <v>0.0</v>
      </c>
      <c r="I1669" s="46">
        <v>0.0</v>
      </c>
      <c r="J1669" s="46">
        <v>0.0</v>
      </c>
      <c r="K1669" s="46">
        <v>0.0</v>
      </c>
      <c r="L1669" s="46">
        <v>0.0</v>
      </c>
      <c r="M1669" s="46">
        <v>0.0</v>
      </c>
      <c r="N1669" s="46">
        <v>0.0</v>
      </c>
      <c r="O1669" s="46">
        <v>0.0</v>
      </c>
      <c r="P1669" s="46">
        <v>0.0</v>
      </c>
      <c r="Q1669" s="46">
        <v>0.0</v>
      </c>
    </row>
    <row r="1670">
      <c r="A1670" s="51">
        <v>46205.0</v>
      </c>
      <c r="B1670" s="52">
        <v>0.7354166666666667</v>
      </c>
      <c r="C1670" s="45" t="s">
        <v>96</v>
      </c>
      <c r="D1670" s="45" t="s">
        <v>75</v>
      </c>
      <c r="E1670" s="45" t="s">
        <v>89</v>
      </c>
      <c r="F1670" s="46">
        <v>1.0</v>
      </c>
      <c r="G1670" s="46">
        <v>0.0</v>
      </c>
      <c r="H1670" s="46">
        <v>0.0</v>
      </c>
      <c r="I1670" s="46">
        <v>0.0</v>
      </c>
      <c r="J1670" s="46">
        <v>0.0</v>
      </c>
      <c r="K1670" s="46">
        <v>1.0</v>
      </c>
      <c r="L1670" s="46">
        <v>1.0</v>
      </c>
      <c r="M1670" s="46">
        <v>0.0</v>
      </c>
      <c r="N1670" s="46">
        <v>0.0</v>
      </c>
      <c r="O1670" s="46">
        <v>0.0</v>
      </c>
      <c r="P1670" s="46">
        <v>0.0</v>
      </c>
      <c r="Q1670" s="46">
        <v>0.0</v>
      </c>
    </row>
    <row r="1671">
      <c r="A1671" s="51">
        <v>46205.0</v>
      </c>
      <c r="B1671" s="52">
        <v>0.7354166666666667</v>
      </c>
      <c r="C1671" s="45" t="s">
        <v>96</v>
      </c>
      <c r="D1671" s="45" t="s">
        <v>75</v>
      </c>
      <c r="E1671" s="45" t="s">
        <v>50</v>
      </c>
      <c r="F1671" s="46">
        <v>1.0</v>
      </c>
      <c r="G1671" s="46">
        <v>1.0</v>
      </c>
      <c r="H1671" s="46">
        <v>0.0</v>
      </c>
      <c r="I1671" s="46">
        <v>0.0</v>
      </c>
      <c r="J1671" s="46">
        <v>0.0</v>
      </c>
      <c r="K1671" s="46">
        <v>0.0</v>
      </c>
      <c r="L1671" s="46">
        <v>0.0</v>
      </c>
      <c r="M1671" s="46">
        <v>0.0</v>
      </c>
      <c r="N1671" s="46">
        <v>0.0</v>
      </c>
      <c r="O1671" s="46">
        <v>0.0</v>
      </c>
      <c r="P1671" s="46">
        <v>0.0</v>
      </c>
      <c r="Q1671" s="46">
        <v>0.0</v>
      </c>
    </row>
    <row r="1672">
      <c r="A1672" s="51">
        <v>46205.0</v>
      </c>
      <c r="B1672" s="52">
        <v>0.7354166666666667</v>
      </c>
      <c r="C1672" s="45" t="s">
        <v>96</v>
      </c>
      <c r="D1672" s="45" t="s">
        <v>75</v>
      </c>
      <c r="E1672" s="45" t="s">
        <v>90</v>
      </c>
      <c r="F1672" s="46">
        <v>0.0</v>
      </c>
      <c r="G1672" s="46">
        <v>0.0</v>
      </c>
      <c r="H1672" s="46">
        <v>0.0</v>
      </c>
      <c r="I1672" s="46">
        <v>0.0</v>
      </c>
      <c r="J1672" s="46">
        <v>0.0</v>
      </c>
      <c r="K1672" s="46">
        <v>0.0</v>
      </c>
      <c r="L1672" s="46">
        <v>0.0</v>
      </c>
      <c r="M1672" s="46">
        <v>0.0</v>
      </c>
      <c r="N1672" s="46">
        <v>0.0</v>
      </c>
      <c r="O1672" s="46">
        <v>0.0</v>
      </c>
      <c r="P1672" s="46">
        <v>0.0</v>
      </c>
      <c r="Q1672" s="46">
        <v>0.0</v>
      </c>
    </row>
    <row r="1673">
      <c r="A1673" s="51">
        <v>46205.0</v>
      </c>
      <c r="B1673" s="52">
        <v>0.7354166666666667</v>
      </c>
      <c r="C1673" s="45" t="s">
        <v>96</v>
      </c>
      <c r="D1673" s="45" t="s">
        <v>75</v>
      </c>
      <c r="E1673" s="45" t="s">
        <v>91</v>
      </c>
      <c r="F1673" s="46">
        <v>0.0</v>
      </c>
      <c r="G1673" s="46">
        <v>0.0</v>
      </c>
      <c r="H1673" s="46">
        <v>0.0</v>
      </c>
      <c r="I1673" s="46">
        <v>0.0</v>
      </c>
      <c r="J1673" s="46">
        <v>0.0</v>
      </c>
      <c r="K1673" s="46">
        <v>0.0</v>
      </c>
      <c r="L1673" s="46">
        <v>0.0</v>
      </c>
      <c r="M1673" s="46">
        <v>0.0</v>
      </c>
      <c r="N1673" s="46">
        <v>0.0</v>
      </c>
      <c r="O1673" s="46">
        <v>0.0</v>
      </c>
      <c r="P1673" s="46">
        <v>0.0</v>
      </c>
      <c r="Q1673" s="46">
        <v>0.0</v>
      </c>
    </row>
    <row r="1674">
      <c r="A1674" s="51">
        <v>46205.0</v>
      </c>
      <c r="B1674" s="52">
        <v>0.7354166666666667</v>
      </c>
      <c r="C1674" s="45" t="s">
        <v>96</v>
      </c>
      <c r="D1674" s="45" t="s">
        <v>75</v>
      </c>
      <c r="E1674" s="45" t="s">
        <v>92</v>
      </c>
      <c r="F1674" s="46">
        <v>0.0</v>
      </c>
      <c r="G1674" s="46">
        <v>0.0</v>
      </c>
      <c r="H1674" s="46">
        <v>0.0</v>
      </c>
      <c r="I1674" s="46">
        <v>0.0</v>
      </c>
      <c r="J1674" s="46">
        <v>0.0</v>
      </c>
      <c r="K1674" s="46">
        <v>0.0</v>
      </c>
      <c r="L1674" s="46">
        <v>0.0</v>
      </c>
      <c r="M1674" s="46">
        <v>0.0</v>
      </c>
      <c r="N1674" s="46">
        <v>0.0</v>
      </c>
      <c r="O1674" s="46">
        <v>0.0</v>
      </c>
      <c r="P1674" s="46">
        <v>0.0</v>
      </c>
      <c r="Q1674" s="46">
        <v>0.0</v>
      </c>
    </row>
    <row r="1675">
      <c r="A1675" s="51">
        <v>46205.0</v>
      </c>
      <c r="B1675" s="52">
        <v>0.7354166666666667</v>
      </c>
      <c r="C1675" s="45" t="s">
        <v>96</v>
      </c>
      <c r="D1675" s="45" t="s">
        <v>75</v>
      </c>
      <c r="E1675" s="45" t="s">
        <v>106</v>
      </c>
      <c r="F1675" s="46">
        <v>2.0</v>
      </c>
      <c r="G1675" s="46">
        <v>0.0</v>
      </c>
      <c r="H1675" s="46">
        <v>0.0</v>
      </c>
      <c r="I1675" s="46">
        <v>0.0</v>
      </c>
      <c r="J1675" s="46">
        <v>0.0</v>
      </c>
      <c r="K1675" s="46">
        <v>0.0</v>
      </c>
      <c r="L1675" s="46">
        <v>2.0</v>
      </c>
      <c r="M1675" s="46">
        <v>0.0</v>
      </c>
      <c r="N1675" s="46">
        <v>0.0</v>
      </c>
      <c r="O1675" s="46">
        <v>0.0</v>
      </c>
      <c r="P1675" s="46">
        <v>0.0</v>
      </c>
      <c r="Q1675" s="46">
        <v>0.0</v>
      </c>
    </row>
    <row r="1676">
      <c r="A1676" s="51">
        <v>46205.0</v>
      </c>
      <c r="B1676" s="52">
        <v>0.7354166666666667</v>
      </c>
      <c r="C1676" s="45" t="s">
        <v>96</v>
      </c>
      <c r="D1676" s="45" t="s">
        <v>75</v>
      </c>
      <c r="E1676" s="45" t="s">
        <v>107</v>
      </c>
      <c r="F1676" s="46">
        <v>0.0</v>
      </c>
      <c r="G1676" s="46">
        <v>0.0</v>
      </c>
      <c r="H1676" s="46">
        <v>0.0</v>
      </c>
      <c r="I1676" s="46">
        <v>0.0</v>
      </c>
      <c r="J1676" s="46">
        <v>0.0</v>
      </c>
      <c r="K1676" s="46">
        <v>0.0</v>
      </c>
      <c r="L1676" s="46">
        <v>0.0</v>
      </c>
      <c r="M1676" s="46">
        <v>0.0</v>
      </c>
      <c r="N1676" s="46">
        <v>0.0</v>
      </c>
      <c r="O1676" s="46">
        <v>0.0</v>
      </c>
      <c r="P1676" s="46">
        <v>0.0</v>
      </c>
      <c r="Q1676" s="46">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7.63"/>
    <col customWidth="1" min="2" max="2" width="11.38"/>
    <col customWidth="1" min="3" max="3" width="19.13"/>
    <col customWidth="1" min="4" max="4" width="25.13"/>
    <col customWidth="1" min="5" max="5" width="13.88"/>
    <col customWidth="1" min="6" max="7" width="8.88"/>
    <col customWidth="1" min="8" max="10" width="10.13"/>
    <col customWidth="1" min="11" max="11" width="20.13"/>
    <col customWidth="1" min="12" max="12" width="13.88"/>
    <col customWidth="1" min="13" max="14" width="8.88"/>
    <col customWidth="1" min="15" max="17" width="10.13"/>
    <col customWidth="1" min="18" max="19" width="9.5"/>
    <col customWidth="1" min="20" max="20" width="10.13"/>
    <col customWidth="1" min="21" max="21" width="9.5"/>
    <col customWidth="1" min="22" max="23" width="10.13"/>
    <col customWidth="1" min="24" max="24" width="32.63"/>
  </cols>
  <sheetData>
    <row r="1" ht="36.0" customHeight="1">
      <c r="A1" s="53" t="s">
        <v>110</v>
      </c>
      <c r="B1" s="53" t="s">
        <v>111</v>
      </c>
      <c r="C1" s="53" t="s">
        <v>112</v>
      </c>
      <c r="D1" s="53" t="s">
        <v>6</v>
      </c>
      <c r="E1" s="53" t="s">
        <v>7</v>
      </c>
      <c r="F1" s="53" t="s">
        <v>113</v>
      </c>
      <c r="G1" s="53" t="s">
        <v>114</v>
      </c>
      <c r="H1" s="53" t="s">
        <v>115</v>
      </c>
      <c r="I1" s="53" t="s">
        <v>116</v>
      </c>
      <c r="J1" s="53" t="s">
        <v>117</v>
      </c>
      <c r="K1" s="53" t="s">
        <v>118</v>
      </c>
      <c r="L1" s="53" t="s">
        <v>119</v>
      </c>
      <c r="M1" s="53" t="s">
        <v>120</v>
      </c>
      <c r="N1" s="53" t="s">
        <v>121</v>
      </c>
      <c r="O1" s="53" t="s">
        <v>122</v>
      </c>
      <c r="P1" s="53" t="s">
        <v>123</v>
      </c>
      <c r="Q1" s="53" t="s">
        <v>124</v>
      </c>
      <c r="R1" s="53" t="s">
        <v>125</v>
      </c>
      <c r="S1" s="53" t="s">
        <v>126</v>
      </c>
      <c r="T1" s="53" t="s">
        <v>58</v>
      </c>
      <c r="U1" s="53" t="s">
        <v>59</v>
      </c>
      <c r="V1" s="53" t="s">
        <v>60</v>
      </c>
      <c r="W1" s="53" t="s">
        <v>48</v>
      </c>
      <c r="X1" s="53" t="s">
        <v>127</v>
      </c>
    </row>
    <row r="2">
      <c r="A2" s="54">
        <v>46209.972916666666</v>
      </c>
      <c r="B2" s="55" t="s">
        <v>16</v>
      </c>
      <c r="C2" s="55" t="s">
        <v>14</v>
      </c>
      <c r="D2" s="55" t="s">
        <v>15</v>
      </c>
      <c r="E2" s="55" t="s">
        <v>16</v>
      </c>
      <c r="F2" s="56">
        <v>0.0</v>
      </c>
      <c r="G2" s="56">
        <v>0.0</v>
      </c>
      <c r="H2" s="56">
        <v>0.0</v>
      </c>
      <c r="I2" s="56">
        <v>0.0</v>
      </c>
      <c r="J2" s="56">
        <v>0.0</v>
      </c>
      <c r="K2" s="55" t="s">
        <v>17</v>
      </c>
      <c r="M2" s="56">
        <v>0.0</v>
      </c>
      <c r="N2" s="56">
        <v>0.0</v>
      </c>
      <c r="O2" s="56">
        <v>0.0</v>
      </c>
      <c r="P2" s="56">
        <v>0.0</v>
      </c>
      <c r="Q2" s="56">
        <v>0.0</v>
      </c>
      <c r="R2" s="56">
        <v>0.0</v>
      </c>
      <c r="S2" s="56">
        <v>0.0</v>
      </c>
      <c r="T2" s="56">
        <v>0.0</v>
      </c>
      <c r="U2" s="56">
        <v>0.0</v>
      </c>
      <c r="V2" s="56">
        <v>0.0</v>
      </c>
      <c r="X2" s="55" t="s">
        <v>128</v>
      </c>
    </row>
    <row r="3">
      <c r="A3" s="54">
        <v>46209.972916666666</v>
      </c>
      <c r="B3" s="55" t="s">
        <v>16</v>
      </c>
      <c r="C3" s="55" t="s">
        <v>18</v>
      </c>
      <c r="D3" s="55" t="s">
        <v>15</v>
      </c>
      <c r="E3" s="55" t="s">
        <v>16</v>
      </c>
      <c r="F3" s="56">
        <v>0.0</v>
      </c>
      <c r="G3" s="56">
        <v>0.0</v>
      </c>
      <c r="H3" s="56">
        <v>0.0</v>
      </c>
      <c r="I3" s="56">
        <v>0.0</v>
      </c>
      <c r="J3" s="56">
        <v>0.0</v>
      </c>
      <c r="K3" s="55" t="s">
        <v>17</v>
      </c>
      <c r="M3" s="56">
        <v>0.0</v>
      </c>
      <c r="N3" s="56">
        <v>0.0</v>
      </c>
      <c r="O3" s="56">
        <v>0.0</v>
      </c>
      <c r="P3" s="56">
        <v>0.0</v>
      </c>
      <c r="Q3" s="56">
        <v>0.0</v>
      </c>
      <c r="R3" s="56">
        <v>0.0</v>
      </c>
      <c r="S3" s="56">
        <v>0.0</v>
      </c>
      <c r="T3" s="56">
        <v>0.0</v>
      </c>
      <c r="U3" s="56">
        <v>0.0</v>
      </c>
      <c r="V3" s="56">
        <v>0.0</v>
      </c>
      <c r="X3" s="55" t="s">
        <v>129</v>
      </c>
    </row>
    <row r="4">
      <c r="A4" s="54">
        <v>46209.972916666666</v>
      </c>
      <c r="B4" s="55" t="s">
        <v>16</v>
      </c>
      <c r="C4" s="55" t="s">
        <v>19</v>
      </c>
      <c r="D4" s="55" t="s">
        <v>15</v>
      </c>
      <c r="E4" s="55" t="s">
        <v>16</v>
      </c>
      <c r="F4" s="56">
        <v>0.0</v>
      </c>
      <c r="G4" s="56">
        <v>0.0</v>
      </c>
      <c r="H4" s="56">
        <v>0.0</v>
      </c>
      <c r="I4" s="56">
        <v>0.0</v>
      </c>
      <c r="J4" s="56">
        <v>0.0</v>
      </c>
      <c r="K4" s="55" t="s">
        <v>17</v>
      </c>
      <c r="M4" s="56">
        <v>0.0</v>
      </c>
      <c r="N4" s="56">
        <v>0.0</v>
      </c>
      <c r="O4" s="56">
        <v>0.0</v>
      </c>
      <c r="P4" s="56">
        <v>0.0</v>
      </c>
      <c r="Q4" s="56">
        <v>0.0</v>
      </c>
      <c r="R4" s="56">
        <v>0.0</v>
      </c>
      <c r="S4" s="56">
        <v>0.0</v>
      </c>
      <c r="T4" s="56">
        <v>0.0</v>
      </c>
      <c r="U4" s="56">
        <v>0.0</v>
      </c>
      <c r="V4" s="56">
        <v>0.0</v>
      </c>
      <c r="X4" s="55" t="s">
        <v>130</v>
      </c>
    </row>
    <row r="5">
      <c r="A5" s="54">
        <v>46209.972916666666</v>
      </c>
      <c r="B5" s="55" t="s">
        <v>16</v>
      </c>
      <c r="C5" s="55" t="s">
        <v>20</v>
      </c>
      <c r="D5" s="55" t="s">
        <v>15</v>
      </c>
      <c r="E5" s="55" t="s">
        <v>16</v>
      </c>
      <c r="F5" s="56">
        <v>0.0</v>
      </c>
      <c r="G5" s="56">
        <v>0.0</v>
      </c>
      <c r="H5" s="56">
        <v>0.0</v>
      </c>
      <c r="I5" s="56">
        <v>0.0</v>
      </c>
      <c r="J5" s="56">
        <v>0.0</v>
      </c>
      <c r="K5" s="55" t="s">
        <v>17</v>
      </c>
      <c r="M5" s="56">
        <v>0.0</v>
      </c>
      <c r="N5" s="56">
        <v>0.0</v>
      </c>
      <c r="O5" s="56">
        <v>0.0</v>
      </c>
      <c r="P5" s="56">
        <v>0.0</v>
      </c>
      <c r="Q5" s="56">
        <v>0.0</v>
      </c>
      <c r="R5" s="56">
        <v>0.0</v>
      </c>
      <c r="S5" s="56">
        <v>0.0</v>
      </c>
      <c r="T5" s="56">
        <v>0.0</v>
      </c>
      <c r="U5" s="56">
        <v>0.0</v>
      </c>
      <c r="V5" s="56">
        <v>0.0</v>
      </c>
      <c r="X5" s="55" t="s">
        <v>131</v>
      </c>
    </row>
    <row r="6">
      <c r="A6" s="54">
        <v>46209.972916666666</v>
      </c>
      <c r="B6" s="55" t="s">
        <v>16</v>
      </c>
      <c r="C6" s="55" t="s">
        <v>21</v>
      </c>
      <c r="D6" s="55" t="s">
        <v>15</v>
      </c>
      <c r="E6" s="55" t="s">
        <v>16</v>
      </c>
      <c r="F6" s="56">
        <v>0.0</v>
      </c>
      <c r="G6" s="56">
        <v>0.0</v>
      </c>
      <c r="H6" s="56">
        <v>0.0</v>
      </c>
      <c r="I6" s="56">
        <v>0.0</v>
      </c>
      <c r="J6" s="56">
        <v>0.0</v>
      </c>
      <c r="K6" s="55" t="s">
        <v>17</v>
      </c>
      <c r="M6" s="56">
        <v>0.0</v>
      </c>
      <c r="N6" s="56">
        <v>0.0</v>
      </c>
      <c r="O6" s="56">
        <v>0.0</v>
      </c>
      <c r="P6" s="56">
        <v>0.0</v>
      </c>
      <c r="Q6" s="56">
        <v>0.0</v>
      </c>
      <c r="R6" s="56">
        <v>0.0</v>
      </c>
      <c r="S6" s="56">
        <v>0.0</v>
      </c>
      <c r="T6" s="56">
        <v>0.0</v>
      </c>
      <c r="U6" s="56">
        <v>0.0</v>
      </c>
      <c r="V6" s="56">
        <v>0.0</v>
      </c>
      <c r="X6" s="55" t="s">
        <v>132</v>
      </c>
    </row>
    <row r="7">
      <c r="A7" s="54">
        <v>46209.972916666666</v>
      </c>
      <c r="B7" s="55" t="s">
        <v>16</v>
      </c>
      <c r="C7" s="55" t="s">
        <v>22</v>
      </c>
      <c r="D7" s="55" t="s">
        <v>23</v>
      </c>
      <c r="E7" s="55" t="s">
        <v>16</v>
      </c>
      <c r="F7" s="56">
        <v>0.0</v>
      </c>
      <c r="G7" s="56">
        <v>0.0</v>
      </c>
      <c r="H7" s="56">
        <v>0.0</v>
      </c>
      <c r="I7" s="56">
        <v>0.0</v>
      </c>
      <c r="J7" s="56">
        <v>0.0</v>
      </c>
      <c r="K7" s="55" t="s">
        <v>17</v>
      </c>
      <c r="M7" s="56">
        <v>0.0</v>
      </c>
      <c r="N7" s="56">
        <v>0.0</v>
      </c>
      <c r="O7" s="56">
        <v>0.0</v>
      </c>
      <c r="P7" s="56">
        <v>0.0</v>
      </c>
      <c r="Q7" s="56">
        <v>0.0</v>
      </c>
      <c r="R7" s="56">
        <v>0.0</v>
      </c>
      <c r="S7" s="56">
        <v>0.0</v>
      </c>
      <c r="T7" s="56">
        <v>0.0</v>
      </c>
      <c r="U7" s="56">
        <v>0.0</v>
      </c>
      <c r="V7" s="56">
        <v>0.0</v>
      </c>
      <c r="X7" s="55" t="s">
        <v>133</v>
      </c>
    </row>
    <row r="8">
      <c r="A8" s="54">
        <v>46209.972916666666</v>
      </c>
      <c r="B8" s="55" t="s">
        <v>16</v>
      </c>
      <c r="C8" s="55" t="s">
        <v>24</v>
      </c>
      <c r="D8" s="55" t="s">
        <v>23</v>
      </c>
      <c r="E8" s="55" t="s">
        <v>16</v>
      </c>
      <c r="F8" s="56">
        <v>0.0</v>
      </c>
      <c r="G8" s="56">
        <v>0.0</v>
      </c>
      <c r="H8" s="56">
        <v>0.0</v>
      </c>
      <c r="I8" s="56">
        <v>0.0</v>
      </c>
      <c r="J8" s="56">
        <v>0.0</v>
      </c>
      <c r="K8" s="55" t="s">
        <v>17</v>
      </c>
      <c r="M8" s="56">
        <v>0.0</v>
      </c>
      <c r="N8" s="56">
        <v>0.0</v>
      </c>
      <c r="O8" s="56">
        <v>0.0</v>
      </c>
      <c r="P8" s="56">
        <v>0.0</v>
      </c>
      <c r="Q8" s="56">
        <v>0.0</v>
      </c>
      <c r="R8" s="56">
        <v>0.0</v>
      </c>
      <c r="S8" s="56">
        <v>0.0</v>
      </c>
      <c r="T8" s="56">
        <v>0.0</v>
      </c>
      <c r="U8" s="56">
        <v>0.0</v>
      </c>
      <c r="V8" s="56">
        <v>0.0</v>
      </c>
      <c r="X8" s="55" t="s">
        <v>134</v>
      </c>
    </row>
    <row r="9">
      <c r="A9" s="54">
        <v>46209.972916666666</v>
      </c>
      <c r="B9" s="55" t="s">
        <v>16</v>
      </c>
      <c r="C9" s="55" t="s">
        <v>25</v>
      </c>
      <c r="D9" s="55" t="s">
        <v>23</v>
      </c>
      <c r="E9" s="55" t="s">
        <v>16</v>
      </c>
      <c r="F9" s="56">
        <v>0.0</v>
      </c>
      <c r="G9" s="56">
        <v>0.0</v>
      </c>
      <c r="H9" s="56">
        <v>0.0</v>
      </c>
      <c r="I9" s="56">
        <v>0.0</v>
      </c>
      <c r="J9" s="56">
        <v>0.0</v>
      </c>
      <c r="K9" s="55" t="s">
        <v>17</v>
      </c>
      <c r="M9" s="56">
        <v>0.0</v>
      </c>
      <c r="N9" s="56">
        <v>0.0</v>
      </c>
      <c r="O9" s="56">
        <v>0.0</v>
      </c>
      <c r="P9" s="56">
        <v>0.0</v>
      </c>
      <c r="Q9" s="56">
        <v>0.0</v>
      </c>
      <c r="R9" s="56">
        <v>0.0</v>
      </c>
      <c r="S9" s="56">
        <v>0.0</v>
      </c>
      <c r="T9" s="56">
        <v>0.0</v>
      </c>
      <c r="U9" s="56">
        <v>0.0</v>
      </c>
      <c r="V9" s="56">
        <v>0.0</v>
      </c>
      <c r="X9" s="55" t="s">
        <v>135</v>
      </c>
    </row>
    <row r="10">
      <c r="A10" s="54">
        <v>46209.972916666666</v>
      </c>
      <c r="B10" s="55" t="s">
        <v>16</v>
      </c>
      <c r="C10" s="55" t="s">
        <v>26</v>
      </c>
      <c r="D10" s="55" t="s">
        <v>23</v>
      </c>
      <c r="E10" s="55" t="s">
        <v>16</v>
      </c>
      <c r="F10" s="56">
        <v>0.0</v>
      </c>
      <c r="G10" s="56">
        <v>0.0</v>
      </c>
      <c r="H10" s="56">
        <v>0.0</v>
      </c>
      <c r="I10" s="56">
        <v>0.0</v>
      </c>
      <c r="J10" s="56">
        <v>0.0</v>
      </c>
      <c r="K10" s="55" t="s">
        <v>17</v>
      </c>
      <c r="M10" s="56">
        <v>0.0</v>
      </c>
      <c r="N10" s="56">
        <v>0.0</v>
      </c>
      <c r="O10" s="56">
        <v>0.0</v>
      </c>
      <c r="P10" s="56">
        <v>0.0</v>
      </c>
      <c r="Q10" s="56">
        <v>0.0</v>
      </c>
      <c r="R10" s="56">
        <v>0.0</v>
      </c>
      <c r="S10" s="56">
        <v>0.0</v>
      </c>
      <c r="T10" s="56">
        <v>0.0</v>
      </c>
      <c r="U10" s="56">
        <v>0.0</v>
      </c>
      <c r="V10" s="56">
        <v>0.0</v>
      </c>
      <c r="X10" s="55" t="s">
        <v>136</v>
      </c>
    </row>
    <row r="11">
      <c r="A11" s="54">
        <v>46209.972916666666</v>
      </c>
      <c r="B11" s="55" t="s">
        <v>16</v>
      </c>
      <c r="C11" s="55" t="s">
        <v>27</v>
      </c>
      <c r="D11" s="55" t="s">
        <v>23</v>
      </c>
      <c r="E11" s="55" t="s">
        <v>16</v>
      </c>
      <c r="F11" s="56">
        <v>0.0</v>
      </c>
      <c r="G11" s="56">
        <v>0.0</v>
      </c>
      <c r="H11" s="56">
        <v>0.0</v>
      </c>
      <c r="I11" s="56">
        <v>0.0</v>
      </c>
      <c r="J11" s="56">
        <v>0.0</v>
      </c>
      <c r="K11" s="55" t="s">
        <v>17</v>
      </c>
      <c r="M11" s="56">
        <v>0.0</v>
      </c>
      <c r="N11" s="56">
        <v>0.0</v>
      </c>
      <c r="O11" s="56">
        <v>0.0</v>
      </c>
      <c r="P11" s="56">
        <v>0.0</v>
      </c>
      <c r="Q11" s="56">
        <v>0.0</v>
      </c>
      <c r="R11" s="56">
        <v>0.0</v>
      </c>
      <c r="S11" s="56">
        <v>0.0</v>
      </c>
      <c r="T11" s="56">
        <v>0.0</v>
      </c>
      <c r="U11" s="56">
        <v>0.0</v>
      </c>
      <c r="V11" s="56">
        <v>0.0</v>
      </c>
      <c r="X11" s="55" t="s">
        <v>137</v>
      </c>
    </row>
    <row r="12">
      <c r="A12" s="54">
        <v>46209.972916666666</v>
      </c>
      <c r="B12" s="55" t="s">
        <v>16</v>
      </c>
      <c r="C12" s="55" t="s">
        <v>28</v>
      </c>
      <c r="D12" s="55" t="s">
        <v>29</v>
      </c>
      <c r="E12" s="55" t="s">
        <v>16</v>
      </c>
      <c r="F12" s="56">
        <v>0.0</v>
      </c>
      <c r="G12" s="56">
        <v>0.0</v>
      </c>
      <c r="H12" s="56">
        <v>0.0</v>
      </c>
      <c r="I12" s="56">
        <v>0.0</v>
      </c>
      <c r="J12" s="56">
        <v>0.0</v>
      </c>
      <c r="K12" s="55" t="s">
        <v>17</v>
      </c>
      <c r="M12" s="56">
        <v>0.0</v>
      </c>
      <c r="N12" s="56">
        <v>0.0</v>
      </c>
      <c r="O12" s="56">
        <v>0.0</v>
      </c>
      <c r="P12" s="56">
        <v>0.0</v>
      </c>
      <c r="Q12" s="56">
        <v>0.0</v>
      </c>
      <c r="R12" s="56">
        <v>0.0</v>
      </c>
      <c r="S12" s="56">
        <v>0.0</v>
      </c>
      <c r="T12" s="56">
        <v>0.0</v>
      </c>
      <c r="U12" s="56">
        <v>0.0</v>
      </c>
      <c r="V12" s="56">
        <v>0.0</v>
      </c>
      <c r="X12" s="55" t="s">
        <v>138</v>
      </c>
    </row>
    <row r="13">
      <c r="A13" s="54">
        <v>46209.972916666666</v>
      </c>
      <c r="B13" s="55" t="s">
        <v>16</v>
      </c>
      <c r="C13" s="55" t="s">
        <v>30</v>
      </c>
      <c r="D13" s="55" t="s">
        <v>31</v>
      </c>
      <c r="E13" s="55" t="s">
        <v>16</v>
      </c>
      <c r="F13" s="56">
        <v>0.0</v>
      </c>
      <c r="G13" s="56">
        <v>0.0</v>
      </c>
      <c r="H13" s="56">
        <v>0.0</v>
      </c>
      <c r="I13" s="56">
        <v>0.0</v>
      </c>
      <c r="J13" s="56">
        <v>0.0</v>
      </c>
      <c r="K13" s="55" t="s">
        <v>17</v>
      </c>
      <c r="M13" s="56">
        <v>0.0</v>
      </c>
      <c r="N13" s="56">
        <v>0.0</v>
      </c>
      <c r="O13" s="56">
        <v>0.0</v>
      </c>
      <c r="P13" s="56">
        <v>0.0</v>
      </c>
      <c r="Q13" s="56">
        <v>0.0</v>
      </c>
      <c r="R13" s="56">
        <v>0.0</v>
      </c>
      <c r="S13" s="56">
        <v>0.0</v>
      </c>
      <c r="T13" s="56">
        <v>0.0</v>
      </c>
      <c r="U13" s="56">
        <v>0.0</v>
      </c>
      <c r="V13" s="56">
        <v>0.0</v>
      </c>
      <c r="X13" s="55" t="s">
        <v>139</v>
      </c>
    </row>
    <row r="14">
      <c r="A14" s="54">
        <v>46209.972916666666</v>
      </c>
      <c r="B14" s="55" t="s">
        <v>16</v>
      </c>
      <c r="C14" s="55" t="s">
        <v>32</v>
      </c>
      <c r="D14" s="55" t="s">
        <v>29</v>
      </c>
      <c r="E14" s="55" t="s">
        <v>16</v>
      </c>
      <c r="F14" s="56">
        <v>0.0</v>
      </c>
      <c r="G14" s="56">
        <v>0.0</v>
      </c>
      <c r="H14" s="56">
        <v>0.0</v>
      </c>
      <c r="I14" s="56">
        <v>0.0</v>
      </c>
      <c r="J14" s="56">
        <v>0.0</v>
      </c>
      <c r="K14" s="55" t="s">
        <v>17</v>
      </c>
      <c r="M14" s="56">
        <v>0.0</v>
      </c>
      <c r="N14" s="56">
        <v>0.0</v>
      </c>
      <c r="O14" s="56">
        <v>0.0</v>
      </c>
      <c r="P14" s="56">
        <v>0.0</v>
      </c>
      <c r="Q14" s="56">
        <v>0.0</v>
      </c>
      <c r="R14" s="56">
        <v>0.0</v>
      </c>
      <c r="S14" s="56">
        <v>0.0</v>
      </c>
      <c r="T14" s="56">
        <v>0.0</v>
      </c>
      <c r="U14" s="56">
        <v>0.0</v>
      </c>
      <c r="V14" s="56">
        <v>0.0</v>
      </c>
      <c r="X14" s="55" t="s">
        <v>140</v>
      </c>
    </row>
    <row r="15">
      <c r="A15" s="54">
        <v>46209.972916666666</v>
      </c>
      <c r="B15" s="55" t="s">
        <v>16</v>
      </c>
      <c r="C15" s="55" t="s">
        <v>33</v>
      </c>
      <c r="D15" s="55" t="s">
        <v>31</v>
      </c>
      <c r="E15" s="55" t="s">
        <v>16</v>
      </c>
      <c r="F15" s="56">
        <v>0.0</v>
      </c>
      <c r="G15" s="56">
        <v>0.0</v>
      </c>
      <c r="H15" s="56">
        <v>0.0</v>
      </c>
      <c r="I15" s="56">
        <v>0.0</v>
      </c>
      <c r="J15" s="56">
        <v>0.0</v>
      </c>
      <c r="K15" s="55" t="s">
        <v>17</v>
      </c>
      <c r="M15" s="56">
        <v>0.0</v>
      </c>
      <c r="N15" s="56">
        <v>0.0</v>
      </c>
      <c r="O15" s="56">
        <v>0.0</v>
      </c>
      <c r="P15" s="56">
        <v>0.0</v>
      </c>
      <c r="Q15" s="56">
        <v>0.0</v>
      </c>
      <c r="R15" s="56">
        <v>0.0</v>
      </c>
      <c r="S15" s="56">
        <v>0.0</v>
      </c>
      <c r="T15" s="56">
        <v>0.0</v>
      </c>
      <c r="U15" s="56">
        <v>0.0</v>
      </c>
      <c r="V15" s="56">
        <v>0.0</v>
      </c>
      <c r="X15" s="55" t="s">
        <v>141</v>
      </c>
    </row>
    <row r="16">
      <c r="A16" s="54">
        <v>46209.972916666666</v>
      </c>
      <c r="B16" s="55" t="s">
        <v>16</v>
      </c>
      <c r="C16" s="55" t="s">
        <v>34</v>
      </c>
      <c r="D16" s="55" t="s">
        <v>31</v>
      </c>
      <c r="E16" s="55" t="s">
        <v>16</v>
      </c>
      <c r="F16" s="56">
        <v>0.0</v>
      </c>
      <c r="G16" s="56">
        <v>0.0</v>
      </c>
      <c r="H16" s="56">
        <v>0.0</v>
      </c>
      <c r="I16" s="56">
        <v>0.0</v>
      </c>
      <c r="J16" s="56">
        <v>0.0</v>
      </c>
      <c r="K16" s="55" t="s">
        <v>17</v>
      </c>
      <c r="M16" s="56">
        <v>0.0</v>
      </c>
      <c r="N16" s="56">
        <v>0.0</v>
      </c>
      <c r="O16" s="56">
        <v>0.0</v>
      </c>
      <c r="P16" s="56">
        <v>0.0</v>
      </c>
      <c r="Q16" s="56">
        <v>0.0</v>
      </c>
      <c r="R16" s="56">
        <v>0.0</v>
      </c>
      <c r="S16" s="56">
        <v>0.0</v>
      </c>
      <c r="T16" s="56">
        <v>0.0</v>
      </c>
      <c r="U16" s="56">
        <v>0.0</v>
      </c>
      <c r="V16" s="56">
        <v>0.0</v>
      </c>
      <c r="X16" s="55" t="s">
        <v>142</v>
      </c>
    </row>
    <row r="17">
      <c r="A17" s="54">
        <v>46209.972916666666</v>
      </c>
      <c r="B17" s="55" t="s">
        <v>36</v>
      </c>
      <c r="C17" s="55" t="s">
        <v>35</v>
      </c>
      <c r="D17" s="55" t="s">
        <v>15</v>
      </c>
      <c r="E17" s="55" t="s">
        <v>36</v>
      </c>
      <c r="F17" s="56">
        <v>0.0</v>
      </c>
      <c r="G17" s="56">
        <v>0.0</v>
      </c>
      <c r="H17" s="56">
        <v>0.0</v>
      </c>
      <c r="I17" s="56">
        <v>0.0</v>
      </c>
      <c r="J17" s="56">
        <v>0.0</v>
      </c>
      <c r="K17" s="55" t="s">
        <v>17</v>
      </c>
      <c r="M17" s="56">
        <v>0.0</v>
      </c>
      <c r="N17" s="56">
        <v>0.0</v>
      </c>
      <c r="O17" s="56">
        <v>0.0</v>
      </c>
      <c r="P17" s="56">
        <v>0.0</v>
      </c>
      <c r="Q17" s="56">
        <v>0.0</v>
      </c>
      <c r="R17" s="56">
        <v>0.0</v>
      </c>
      <c r="S17" s="56">
        <v>0.0</v>
      </c>
      <c r="T17" s="56">
        <v>0.0</v>
      </c>
      <c r="U17" s="56">
        <v>0.0</v>
      </c>
      <c r="V17" s="56">
        <v>0.0</v>
      </c>
      <c r="X17" s="55" t="s">
        <v>143</v>
      </c>
    </row>
    <row r="18">
      <c r="A18" s="54">
        <v>46209.972916666666</v>
      </c>
      <c r="B18" s="55" t="s">
        <v>36</v>
      </c>
      <c r="C18" s="55" t="s">
        <v>37</v>
      </c>
      <c r="D18" s="55" t="s">
        <v>23</v>
      </c>
      <c r="E18" s="55" t="s">
        <v>36</v>
      </c>
      <c r="F18" s="56">
        <v>0.0</v>
      </c>
      <c r="G18" s="56">
        <v>0.0</v>
      </c>
      <c r="H18" s="56">
        <v>0.0</v>
      </c>
      <c r="I18" s="56">
        <v>0.0</v>
      </c>
      <c r="J18" s="56">
        <v>0.0</v>
      </c>
      <c r="K18" s="55" t="s">
        <v>17</v>
      </c>
      <c r="M18" s="56">
        <v>0.0</v>
      </c>
      <c r="N18" s="56">
        <v>0.0</v>
      </c>
      <c r="O18" s="56">
        <v>0.0</v>
      </c>
      <c r="P18" s="56">
        <v>0.0</v>
      </c>
      <c r="Q18" s="56">
        <v>0.0</v>
      </c>
      <c r="R18" s="56">
        <v>0.0</v>
      </c>
      <c r="S18" s="56">
        <v>0.0</v>
      </c>
      <c r="T18" s="56">
        <v>0.0</v>
      </c>
      <c r="U18" s="56">
        <v>0.0</v>
      </c>
      <c r="V18" s="56">
        <v>0.0</v>
      </c>
      <c r="X18" s="55" t="s">
        <v>144</v>
      </c>
    </row>
    <row r="19">
      <c r="A19" s="54">
        <v>46209.972916666666</v>
      </c>
      <c r="B19" s="55" t="s">
        <v>36</v>
      </c>
      <c r="C19" s="55" t="s">
        <v>38</v>
      </c>
      <c r="D19" s="55" t="s">
        <v>29</v>
      </c>
      <c r="E19" s="55" t="s">
        <v>36</v>
      </c>
      <c r="F19" s="56">
        <v>0.0</v>
      </c>
      <c r="G19" s="56">
        <v>0.0</v>
      </c>
      <c r="H19" s="56">
        <v>0.0</v>
      </c>
      <c r="I19" s="56">
        <v>0.0</v>
      </c>
      <c r="J19" s="56">
        <v>0.0</v>
      </c>
      <c r="K19" s="55" t="s">
        <v>17</v>
      </c>
      <c r="M19" s="56">
        <v>0.0</v>
      </c>
      <c r="N19" s="56">
        <v>0.0</v>
      </c>
      <c r="O19" s="56">
        <v>0.0</v>
      </c>
      <c r="P19" s="56">
        <v>0.0</v>
      </c>
      <c r="Q19" s="56">
        <v>0.0</v>
      </c>
      <c r="R19" s="56">
        <v>0.0</v>
      </c>
      <c r="S19" s="56">
        <v>0.0</v>
      </c>
      <c r="T19" s="56">
        <v>0.0</v>
      </c>
      <c r="U19" s="56">
        <v>0.0</v>
      </c>
      <c r="V19" s="56">
        <v>0.0</v>
      </c>
      <c r="X19" s="55" t="s">
        <v>145</v>
      </c>
    </row>
    <row r="20">
      <c r="A20" s="54">
        <v>46209.972916666666</v>
      </c>
      <c r="B20" s="55" t="s">
        <v>36</v>
      </c>
      <c r="C20" s="55" t="s">
        <v>39</v>
      </c>
      <c r="D20" s="55" t="s">
        <v>31</v>
      </c>
      <c r="E20" s="55" t="s">
        <v>36</v>
      </c>
      <c r="F20" s="56">
        <v>0.0</v>
      </c>
      <c r="G20" s="56">
        <v>0.0</v>
      </c>
      <c r="H20" s="56">
        <v>0.0</v>
      </c>
      <c r="I20" s="56">
        <v>0.0</v>
      </c>
      <c r="J20" s="56">
        <v>0.0</v>
      </c>
      <c r="K20" s="55" t="s">
        <v>17</v>
      </c>
      <c r="M20" s="56">
        <v>0.0</v>
      </c>
      <c r="N20" s="56">
        <v>0.0</v>
      </c>
      <c r="O20" s="56">
        <v>0.0</v>
      </c>
      <c r="P20" s="56">
        <v>0.0</v>
      </c>
      <c r="Q20" s="56">
        <v>0.0</v>
      </c>
      <c r="R20" s="56">
        <v>0.0</v>
      </c>
      <c r="S20" s="56">
        <v>0.0</v>
      </c>
      <c r="T20" s="56">
        <v>0.0</v>
      </c>
      <c r="U20" s="56">
        <v>0.0</v>
      </c>
      <c r="V20" s="56">
        <v>0.0</v>
      </c>
      <c r="X20" s="55" t="s">
        <v>146</v>
      </c>
    </row>
    <row r="21">
      <c r="A21" s="54">
        <v>46209.972916666666</v>
      </c>
      <c r="B21" s="55" t="s">
        <v>6</v>
      </c>
      <c r="C21" s="55" t="s">
        <v>15</v>
      </c>
      <c r="D21" s="55" t="s">
        <v>15</v>
      </c>
      <c r="E21" s="55" t="s">
        <v>147</v>
      </c>
      <c r="F21" s="56">
        <v>0.0</v>
      </c>
      <c r="G21" s="56">
        <v>0.0</v>
      </c>
      <c r="H21" s="56">
        <v>0.0</v>
      </c>
      <c r="I21" s="56">
        <v>0.0</v>
      </c>
      <c r="J21" s="56">
        <v>0.0</v>
      </c>
      <c r="K21" s="55" t="s">
        <v>17</v>
      </c>
      <c r="L21" s="55" t="s">
        <v>148</v>
      </c>
      <c r="M21" s="56">
        <v>0.0</v>
      </c>
      <c r="N21" s="56">
        <v>0.0</v>
      </c>
      <c r="O21" s="56">
        <v>0.0</v>
      </c>
      <c r="P21" s="56">
        <v>0.0</v>
      </c>
      <c r="Q21" s="56">
        <v>0.0</v>
      </c>
      <c r="R21" s="56">
        <v>0.0</v>
      </c>
      <c r="S21" s="56">
        <v>0.0</v>
      </c>
      <c r="T21" s="56">
        <v>0.0</v>
      </c>
      <c r="U21" s="56">
        <v>0.0</v>
      </c>
      <c r="V21" s="56">
        <v>0.0</v>
      </c>
    </row>
    <row r="22">
      <c r="A22" s="54">
        <v>46209.972916666666</v>
      </c>
      <c r="B22" s="55" t="s">
        <v>6</v>
      </c>
      <c r="C22" s="55" t="s">
        <v>23</v>
      </c>
      <c r="D22" s="55" t="s">
        <v>23</v>
      </c>
      <c r="E22" s="55" t="s">
        <v>147</v>
      </c>
      <c r="F22" s="56">
        <v>0.0</v>
      </c>
      <c r="G22" s="56">
        <v>0.0</v>
      </c>
      <c r="H22" s="56">
        <v>0.0</v>
      </c>
      <c r="I22" s="56">
        <v>0.0</v>
      </c>
      <c r="J22" s="56">
        <v>0.0</v>
      </c>
      <c r="K22" s="55" t="s">
        <v>17</v>
      </c>
      <c r="L22" s="55" t="s">
        <v>148</v>
      </c>
      <c r="M22" s="56">
        <v>0.0</v>
      </c>
      <c r="N22" s="56">
        <v>0.0</v>
      </c>
      <c r="O22" s="56">
        <v>0.0</v>
      </c>
      <c r="P22" s="56">
        <v>0.0</v>
      </c>
      <c r="Q22" s="56">
        <v>0.0</v>
      </c>
      <c r="R22" s="56">
        <v>0.0</v>
      </c>
      <c r="S22" s="56">
        <v>0.0</v>
      </c>
      <c r="T22" s="56">
        <v>0.0</v>
      </c>
      <c r="U22" s="56">
        <v>0.0</v>
      </c>
      <c r="V22" s="56">
        <v>0.0</v>
      </c>
    </row>
    <row r="23">
      <c r="A23" s="54">
        <v>46209.972916666666</v>
      </c>
      <c r="B23" s="55" t="s">
        <v>6</v>
      </c>
      <c r="C23" s="55" t="s">
        <v>29</v>
      </c>
      <c r="D23" s="55" t="s">
        <v>29</v>
      </c>
      <c r="E23" s="55" t="s">
        <v>147</v>
      </c>
      <c r="F23" s="56">
        <v>0.0</v>
      </c>
      <c r="G23" s="56">
        <v>0.0</v>
      </c>
      <c r="H23" s="56">
        <v>0.0</v>
      </c>
      <c r="I23" s="56">
        <v>0.0</v>
      </c>
      <c r="J23" s="56">
        <v>0.0</v>
      </c>
      <c r="K23" s="55" t="s">
        <v>17</v>
      </c>
      <c r="L23" s="55" t="s">
        <v>148</v>
      </c>
      <c r="M23" s="56">
        <v>0.0</v>
      </c>
      <c r="N23" s="56">
        <v>0.0</v>
      </c>
      <c r="O23" s="56">
        <v>0.0</v>
      </c>
      <c r="P23" s="56">
        <v>0.0</v>
      </c>
      <c r="Q23" s="56">
        <v>0.0</v>
      </c>
      <c r="R23" s="56">
        <v>0.0</v>
      </c>
      <c r="S23" s="56">
        <v>0.0</v>
      </c>
      <c r="T23" s="56">
        <v>0.0</v>
      </c>
      <c r="U23" s="56">
        <v>0.0</v>
      </c>
      <c r="V23" s="56">
        <v>0.0</v>
      </c>
    </row>
    <row r="24">
      <c r="A24" s="54">
        <v>46209.972916666666</v>
      </c>
      <c r="B24" s="55" t="s">
        <v>6</v>
      </c>
      <c r="C24" s="55" t="s">
        <v>31</v>
      </c>
      <c r="D24" s="55" t="s">
        <v>31</v>
      </c>
      <c r="E24" s="55" t="s">
        <v>147</v>
      </c>
      <c r="F24" s="56">
        <v>0.0</v>
      </c>
      <c r="G24" s="56">
        <v>0.0</v>
      </c>
      <c r="H24" s="56">
        <v>0.0</v>
      </c>
      <c r="I24" s="56">
        <v>0.0</v>
      </c>
      <c r="J24" s="56">
        <v>0.0</v>
      </c>
      <c r="K24" s="55" t="s">
        <v>17</v>
      </c>
      <c r="L24" s="55" t="s">
        <v>148</v>
      </c>
      <c r="M24" s="56">
        <v>0.0</v>
      </c>
      <c r="N24" s="56">
        <v>0.0</v>
      </c>
      <c r="O24" s="56">
        <v>0.0</v>
      </c>
      <c r="P24" s="56">
        <v>0.0</v>
      </c>
      <c r="Q24" s="56">
        <v>0.0</v>
      </c>
      <c r="R24" s="56">
        <v>0.0</v>
      </c>
      <c r="S24" s="56">
        <v>0.0</v>
      </c>
      <c r="T24" s="56">
        <v>0.0</v>
      </c>
      <c r="U24" s="56">
        <v>0.0</v>
      </c>
      <c r="V24" s="56">
        <v>0.0</v>
      </c>
    </row>
    <row r="25">
      <c r="A25" s="54">
        <v>46209.972916666666</v>
      </c>
      <c r="B25" s="55" t="s">
        <v>149</v>
      </c>
      <c r="C25" s="55" t="s">
        <v>65</v>
      </c>
      <c r="D25" s="55" t="s">
        <v>150</v>
      </c>
      <c r="E25" s="55" t="s">
        <v>149</v>
      </c>
      <c r="F25" s="56">
        <v>0.0</v>
      </c>
      <c r="G25" s="56">
        <v>0.0</v>
      </c>
      <c r="H25" s="56">
        <v>0.0</v>
      </c>
      <c r="I25" s="56">
        <v>0.0</v>
      </c>
      <c r="J25" s="56">
        <v>0.0</v>
      </c>
      <c r="M25" s="56">
        <v>0.0</v>
      </c>
      <c r="N25" s="56">
        <v>0.0</v>
      </c>
      <c r="O25" s="56">
        <v>0.0</v>
      </c>
      <c r="P25" s="56">
        <v>0.0</v>
      </c>
      <c r="Q25" s="56">
        <v>0.0</v>
      </c>
      <c r="R25" s="56">
        <v>0.0</v>
      </c>
      <c r="S25" s="56">
        <v>0.0</v>
      </c>
      <c r="T25" s="56">
        <v>3.0</v>
      </c>
      <c r="U25" s="56">
        <v>0.0</v>
      </c>
      <c r="V25" s="56">
        <v>3.0</v>
      </c>
      <c r="W25" s="57">
        <v>0.0</v>
      </c>
    </row>
    <row r="26">
      <c r="A26" s="54">
        <v>46209.972916666666</v>
      </c>
      <c r="B26" s="55" t="s">
        <v>149</v>
      </c>
      <c r="C26" s="55" t="s">
        <v>66</v>
      </c>
      <c r="D26" s="55" t="s">
        <v>150</v>
      </c>
      <c r="E26" s="55" t="s">
        <v>149</v>
      </c>
      <c r="F26" s="56">
        <v>0.0</v>
      </c>
      <c r="G26" s="56">
        <v>0.0</v>
      </c>
      <c r="H26" s="56">
        <v>0.0</v>
      </c>
      <c r="I26" s="56">
        <v>0.0</v>
      </c>
      <c r="J26" s="56">
        <v>0.0</v>
      </c>
      <c r="M26" s="56">
        <v>0.0</v>
      </c>
      <c r="N26" s="56">
        <v>0.0</v>
      </c>
      <c r="O26" s="56">
        <v>0.0</v>
      </c>
      <c r="P26" s="56">
        <v>0.0</v>
      </c>
      <c r="Q26" s="56">
        <v>0.0</v>
      </c>
      <c r="R26" s="56">
        <v>0.0</v>
      </c>
      <c r="S26" s="56">
        <v>0.0</v>
      </c>
      <c r="T26" s="56">
        <v>29.0</v>
      </c>
      <c r="U26" s="56">
        <v>7.0</v>
      </c>
      <c r="V26" s="56">
        <v>22.0</v>
      </c>
      <c r="W26" s="57">
        <v>0.24</v>
      </c>
    </row>
    <row r="27">
      <c r="A27" s="54">
        <v>46209.972916666666</v>
      </c>
      <c r="B27" s="55" t="s">
        <v>149</v>
      </c>
      <c r="C27" s="55" t="s">
        <v>67</v>
      </c>
      <c r="D27" s="55" t="s">
        <v>150</v>
      </c>
      <c r="E27" s="55" t="s">
        <v>149</v>
      </c>
      <c r="F27" s="56">
        <v>0.0</v>
      </c>
      <c r="G27" s="56">
        <v>0.0</v>
      </c>
      <c r="H27" s="56">
        <v>0.0</v>
      </c>
      <c r="I27" s="56">
        <v>0.0</v>
      </c>
      <c r="J27" s="56">
        <v>0.0</v>
      </c>
      <c r="M27" s="56">
        <v>0.0</v>
      </c>
      <c r="N27" s="56">
        <v>0.0</v>
      </c>
      <c r="O27" s="56">
        <v>0.0</v>
      </c>
      <c r="P27" s="56">
        <v>0.0</v>
      </c>
      <c r="Q27" s="56">
        <v>0.0</v>
      </c>
      <c r="R27" s="56">
        <v>0.0</v>
      </c>
      <c r="S27" s="56">
        <v>0.0</v>
      </c>
      <c r="T27" s="56">
        <v>132.0</v>
      </c>
      <c r="U27" s="56">
        <v>11.0</v>
      </c>
      <c r="V27" s="56">
        <v>121.0</v>
      </c>
      <c r="W27" s="57">
        <v>0.08</v>
      </c>
    </row>
    <row r="28">
      <c r="A28" s="54">
        <v>46209.972916666666</v>
      </c>
      <c r="B28" s="55" t="s">
        <v>149</v>
      </c>
      <c r="C28" s="55" t="s">
        <v>68</v>
      </c>
      <c r="D28" s="55" t="s">
        <v>150</v>
      </c>
      <c r="E28" s="55" t="s">
        <v>149</v>
      </c>
      <c r="F28" s="56">
        <v>0.0</v>
      </c>
      <c r="G28" s="56">
        <v>0.0</v>
      </c>
      <c r="H28" s="56">
        <v>0.0</v>
      </c>
      <c r="I28" s="56">
        <v>0.0</v>
      </c>
      <c r="J28" s="56">
        <v>0.0</v>
      </c>
      <c r="M28" s="56">
        <v>0.0</v>
      </c>
      <c r="N28" s="56">
        <v>0.0</v>
      </c>
      <c r="O28" s="56">
        <v>0.0</v>
      </c>
      <c r="P28" s="56">
        <v>0.0</v>
      </c>
      <c r="Q28" s="56">
        <v>0.0</v>
      </c>
      <c r="R28" s="56">
        <v>0.0</v>
      </c>
      <c r="S28" s="56">
        <v>0.0</v>
      </c>
      <c r="T28" s="56">
        <v>116.0</v>
      </c>
      <c r="U28" s="56">
        <v>25.0</v>
      </c>
      <c r="V28" s="56">
        <v>91.0</v>
      </c>
      <c r="W28" s="57">
        <v>0.22</v>
      </c>
    </row>
    <row r="29">
      <c r="A29" s="54">
        <v>46209.972916666666</v>
      </c>
      <c r="B29" s="55" t="s">
        <v>149</v>
      </c>
      <c r="C29" s="55" t="s">
        <v>69</v>
      </c>
      <c r="D29" s="55" t="s">
        <v>150</v>
      </c>
      <c r="E29" s="55" t="s">
        <v>149</v>
      </c>
      <c r="F29" s="56">
        <v>0.0</v>
      </c>
      <c r="G29" s="56">
        <v>0.0</v>
      </c>
      <c r="H29" s="56">
        <v>0.0</v>
      </c>
      <c r="I29" s="56">
        <v>0.0</v>
      </c>
      <c r="J29" s="56">
        <v>0.0</v>
      </c>
      <c r="M29" s="56">
        <v>0.0</v>
      </c>
      <c r="N29" s="56">
        <v>0.0</v>
      </c>
      <c r="O29" s="56">
        <v>0.0</v>
      </c>
      <c r="P29" s="56">
        <v>0.0</v>
      </c>
      <c r="Q29" s="56">
        <v>0.0</v>
      </c>
      <c r="R29" s="56">
        <v>0.0</v>
      </c>
      <c r="S29" s="56">
        <v>0.0</v>
      </c>
      <c r="T29" s="56">
        <v>3.0</v>
      </c>
      <c r="U29" s="56">
        <v>1.0</v>
      </c>
      <c r="V29" s="56">
        <v>2.0</v>
      </c>
      <c r="W29" s="57">
        <v>0.33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 t="s">
        <v>6</v>
      </c>
      <c r="B1" s="55" t="s">
        <v>12</v>
      </c>
      <c r="C1" s="55" t="s">
        <v>13</v>
      </c>
    </row>
    <row r="2">
      <c r="A2" s="55" t="s">
        <v>15</v>
      </c>
      <c r="B2" s="56">
        <v>0.0</v>
      </c>
      <c r="C2" s="56">
        <v>0.0</v>
      </c>
    </row>
    <row r="3">
      <c r="A3" s="55" t="s">
        <v>23</v>
      </c>
      <c r="B3" s="56">
        <v>0.0</v>
      </c>
      <c r="C3" s="56">
        <v>0.0</v>
      </c>
    </row>
    <row r="4">
      <c r="A4" s="55" t="s">
        <v>29</v>
      </c>
      <c r="B4" s="56">
        <v>0.0</v>
      </c>
      <c r="C4" s="56">
        <v>0.0</v>
      </c>
    </row>
    <row r="5">
      <c r="A5" s="55" t="s">
        <v>31</v>
      </c>
      <c r="B5" s="56">
        <v>0.0</v>
      </c>
      <c r="C5" s="56">
        <v>0.0</v>
      </c>
    </row>
    <row r="8">
      <c r="A8" s="55" t="s">
        <v>6</v>
      </c>
      <c r="B8" s="55" t="s">
        <v>151</v>
      </c>
    </row>
    <row r="9">
      <c r="A9" s="55" t="s">
        <v>49</v>
      </c>
      <c r="B9" s="56">
        <v>2.0</v>
      </c>
    </row>
    <row r="12">
      <c r="A12" s="55" t="s">
        <v>57</v>
      </c>
      <c r="B12" s="55" t="s">
        <v>47</v>
      </c>
      <c r="C12" s="55" t="s">
        <v>60</v>
      </c>
    </row>
    <row r="13">
      <c r="A13" s="55" t="s">
        <v>65</v>
      </c>
      <c r="B13" s="56">
        <v>0.0</v>
      </c>
      <c r="C13" s="56">
        <v>3.0</v>
      </c>
    </row>
    <row r="14">
      <c r="A14" s="55" t="s">
        <v>66</v>
      </c>
      <c r="B14" s="56">
        <v>7.0</v>
      </c>
      <c r="C14" s="56">
        <v>22.0</v>
      </c>
    </row>
    <row r="15">
      <c r="A15" s="55" t="s">
        <v>67</v>
      </c>
      <c r="B15" s="56">
        <v>11.0</v>
      </c>
      <c r="C15" s="56">
        <v>121.0</v>
      </c>
    </row>
    <row r="16">
      <c r="A16" s="55" t="s">
        <v>68</v>
      </c>
      <c r="B16" s="56">
        <v>25.0</v>
      </c>
      <c r="C16" s="56">
        <v>91.0</v>
      </c>
    </row>
    <row r="17">
      <c r="A17" s="55" t="s">
        <v>69</v>
      </c>
      <c r="B17" s="56">
        <v>1.0</v>
      </c>
      <c r="C17" s="56">
        <v>2.0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 t="s">
        <v>152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1.88"/>
    <col customWidth="1" min="2" max="6" width="47.13"/>
    <col customWidth="1" min="7" max="7" width="54.75"/>
    <col customWidth="1" min="8" max="13" width="47.13"/>
  </cols>
  <sheetData>
    <row r="1">
      <c r="A1" s="58" t="s">
        <v>153</v>
      </c>
      <c r="B1" s="59" t="s">
        <v>154</v>
      </c>
      <c r="C1" s="60" t="s">
        <v>155</v>
      </c>
      <c r="D1" s="60" t="s">
        <v>155</v>
      </c>
      <c r="E1" s="60" t="s">
        <v>155</v>
      </c>
      <c r="F1" s="60" t="s">
        <v>155</v>
      </c>
      <c r="G1" s="61"/>
      <c r="H1" s="62" t="s">
        <v>156</v>
      </c>
      <c r="I1" s="63"/>
      <c r="J1" s="63"/>
      <c r="K1" s="63"/>
      <c r="L1" s="63"/>
      <c r="M1" s="63"/>
    </row>
    <row r="2" ht="26.25" customHeight="1">
      <c r="A2" s="64"/>
      <c r="B2" s="65" t="s">
        <v>157</v>
      </c>
      <c r="C2" s="65" t="s">
        <v>158</v>
      </c>
      <c r="D2" s="65" t="s">
        <v>159</v>
      </c>
      <c r="E2" s="66" t="s">
        <v>160</v>
      </c>
      <c r="F2" s="66" t="s">
        <v>161</v>
      </c>
      <c r="G2" s="67"/>
      <c r="H2" s="68" t="s">
        <v>162</v>
      </c>
      <c r="I2" s="69"/>
      <c r="J2" s="69"/>
      <c r="K2" s="69"/>
      <c r="L2" s="69"/>
      <c r="M2" s="69"/>
    </row>
    <row r="3">
      <c r="A3" s="70" t="str">
        <f>"Alarm need repair: "&amp;'Site down now'!A1</f>
        <v>Alarm need repair: Exported Time: 02/07/2026 17:19:55</v>
      </c>
      <c r="B3" s="71" t="str">
        <f t="array" ref="B3">IFERROR(LET(
  match_idx, MATCH(B2, 'Site down now'!$B:$B, 0),
  r_v, INDEX('Site down now'!$R:$R, match_idx),
  t_v, INDEX('Site down now'!$T:$T, match_idx),
  u_v, INDEX('Site down now'!$U:$U, match_idx),
  v_v, INDEX('Site down now'!$V:$V, match_idx),
  y_v, INDEX('Site down now'!$Y:$Y, match_idx),
  aa_v, INDEX('Site down now'!$AA:$AA, match_idx),
  TEXTJOIN(", ", TRUE,
    IF(AND(r_v&lt;&gt;"", r_v&lt;&gt;0, r_v&lt;&gt;"0.0"), 'Site down now'!$R$2 &amp; ": " &amp; ROUND(r_v, 1), ""),
    IF(AND(t_v&lt;&gt;"", t_v&lt;&gt;0, t_v&lt;&gt;"0.0"), 'Site down now'!$T$2 &amp; ": " &amp; ROUND(t_v, 1), ""),
    IF(AND(u_v&lt;&gt;"", u_v&lt;&gt;0, u_v&lt;&gt;"0.0"), 'Site down now'!$U$2 &amp; ": " &amp; ROUND(u_v, 1), ""),
    IF(AND(v_v&lt;&gt;"", v_v&lt;&gt;0, v_v&lt;&gt;"0.0"), 'Site down now'!$V$2 &amp; ": " &amp; ROUND(v_v, 1), ""),
    IF(AND(y_v&lt;&gt;"", y_v&lt;&gt;0, y_v&lt;&gt;"0.0"), 'Site down now'!$Y$2 &amp; ": " &amp; ROUND(y_v, 1), ""),
    IF(AND(aa_v&lt;&gt;"", aa_v&lt;&gt;0, aa_v&lt;&gt;"0.0"), 'Site down now'!$AA$2 &amp; ": " &amp; ROUND(aa_v, 1), "")
  )
), "")</f>
        <v>Battery Temperature High: 8.9</v>
      </c>
      <c r="C3" s="71" t="str">
        <f t="array" ref="C3">IFERROR(LET(
  match_idx, MATCH(C2, 'Site down now'!$B:$B, 0),
  r_v, INDEX('Site down now'!$R:$R, match_idx),
  t_v, INDEX('Site down now'!$T:$T, match_idx),
  u_v, INDEX('Site down now'!$U:$U, match_idx),
  v_v, INDEX('Site down now'!$V:$V, match_idx),
  y_v, INDEX('Site down now'!$Y:$Y, match_idx),
  aa_v, INDEX('Site down now'!$AA:$AA, match_idx),
  TEXTJOIN(", ", TRUE,
    IF(AND(r_v&lt;&gt;"", r_v&lt;&gt;0, r_v&lt;&gt;"0.0"), 'Site down now'!$R$2 &amp; ": " &amp; ROUND(r_v, 1), ""),
    IF(AND(t_v&lt;&gt;"", t_v&lt;&gt;0, t_v&lt;&gt;"0.0"), 'Site down now'!$T$2 &amp; ": " &amp; ROUND(t_v, 1), ""),
    IF(AND(u_v&lt;&gt;"", u_v&lt;&gt;0, u_v&lt;&gt;"0.0"), 'Site down now'!$U$2 &amp; ": " &amp; ROUND(u_v, 1), ""),
    IF(AND(v_v&lt;&gt;"", v_v&lt;&gt;0, v_v&lt;&gt;"0.0"), 'Site down now'!$V$2 &amp; ": " &amp; ROUND(v_v, 1), ""),
    IF(AND(y_v&lt;&gt;"", y_v&lt;&gt;0, y_v&lt;&gt;"0.0"), 'Site down now'!$Y$2 &amp; ": " &amp; ROUND(y_v, 1), ""),
    IF(AND(aa_v&lt;&gt;"", aa_v&lt;&gt;0, aa_v&lt;&gt;"0.0"), 'Site down now'!$AA$2 &amp; ": " &amp; ROUND(aa_v, 1), "")
  )
), "")</f>
        <v/>
      </c>
      <c r="D3" s="71" t="str">
        <f t="array" ref="D3">IFERROR(LET(
  match_idx, MATCH(D2, 'Site down now'!$B:$B, 0),
  r_v, INDEX('Site down now'!$R:$R, match_idx),
  t_v, INDEX('Site down now'!$T:$T, match_idx),
  u_v, INDEX('Site down now'!$U:$U, match_idx),
  v_v, INDEX('Site down now'!$V:$V, match_idx),
  y_v, INDEX('Site down now'!$Y:$Y, match_idx),
  aa_v, INDEX('Site down now'!$AA:$AA, match_idx),
  TEXTJOIN(", ", TRUE,
    IF(AND(r_v&lt;&gt;"", r_v&lt;&gt;0, r_v&lt;&gt;"0.0"), 'Site down now'!$R$2 &amp; ": " &amp; ROUND(r_v, 1), ""),
    IF(AND(t_v&lt;&gt;"", t_v&lt;&gt;0, t_v&lt;&gt;"0.0"), 'Site down now'!$T$2 &amp; ": " &amp; ROUND(t_v, 1), ""),
    IF(AND(u_v&lt;&gt;"", u_v&lt;&gt;0, u_v&lt;&gt;"0.0"), 'Site down now'!$U$2 &amp; ": " &amp; ROUND(u_v, 1), ""),
    IF(AND(v_v&lt;&gt;"", v_v&lt;&gt;0, v_v&lt;&gt;"0.0"), 'Site down now'!$V$2 &amp; ": " &amp; ROUND(v_v, 1), ""),
    IF(AND(y_v&lt;&gt;"", y_v&lt;&gt;0, y_v&lt;&gt;"0.0"), 'Site down now'!$Y$2 &amp; ": " &amp; ROUND(y_v, 1), ""),
    IF(AND(aa_v&lt;&gt;"", aa_v&lt;&gt;0, aa_v&lt;&gt;"0.0"), 'Site down now'!$AA$2 &amp; ": " &amp; ROUND(aa_v, 1), "")
  )
), "")</f>
        <v>DG Door Alarm: 3673.6, Battery Cabinet Smoke Alarm: 3673.6</v>
      </c>
      <c r="E3" s="71" t="str">
        <f t="array" ref="E3">IFERROR(LET(
  match_idx, MATCH(E2, 'Site down now'!$B:$B, 0),
  r_v, INDEX('Site down now'!$R:$R, match_idx),
  t_v, INDEX('Site down now'!$T:$T, match_idx),
  u_v, INDEX('Site down now'!$U:$U, match_idx),
  v_v, INDEX('Site down now'!$V:$V, match_idx),
  y_v, INDEX('Site down now'!$Y:$Y, match_idx),
  aa_v, INDEX('Site down now'!$AA:$AA, match_idx),
  TEXTJOIN(", ", TRUE,
    IF(AND(r_v&lt;&gt;"", r_v&lt;&gt;0, r_v&lt;&gt;"0.0"), 'Site down now'!$R$2 &amp; ": " &amp; ROUND(r_v, 1), ""),
    IF(AND(t_v&lt;&gt;"", t_v&lt;&gt;0, t_v&lt;&gt;"0.0"), 'Site down now'!$T$2 &amp; ": " &amp; ROUND(t_v, 1), ""),
    IF(AND(u_v&lt;&gt;"", u_v&lt;&gt;0, u_v&lt;&gt;"0.0"), 'Site down now'!$U$2 &amp; ": " &amp; ROUND(u_v, 1), ""),
    IF(AND(v_v&lt;&gt;"", v_v&lt;&gt;0, v_v&lt;&gt;"0.0"), 'Site down now'!$V$2 &amp; ": " &amp; ROUND(v_v, 1), ""),
    IF(AND(y_v&lt;&gt;"", y_v&lt;&gt;0, y_v&lt;&gt;"0.0"), 'Site down now'!$Y$2 &amp; ": " &amp; ROUND(y_v, 1), ""),
    IF(AND(aa_v&lt;&gt;"", aa_v&lt;&gt;0, aa_v&lt;&gt;"0.0"), 'Site down now'!$AA$2 &amp; ": " &amp; ROUND(aa_v, 1), "")
  )
), "")</f>
        <v>DG Door Alarm: 2545.6, Time Abnormal Alarm: 1997.5</v>
      </c>
      <c r="F3" s="71" t="str">
        <f t="array" ref="F3">IFERROR(LET(
  match_idx, MATCH(F2, 'Site down now'!$B:$B, 0),
  r_v, INDEX('Site down now'!$R:$R, match_idx),
  t_v, INDEX('Site down now'!$T:$T, match_idx),
  u_v, INDEX('Site down now'!$U:$U, match_idx),
  v_v, INDEX('Site down now'!$V:$V, match_idx),
  y_v, INDEX('Site down now'!$Y:$Y, match_idx),
  aa_v, INDEX('Site down now'!$AA:$AA, match_idx),
  TEXTJOIN(", ", TRUE,
    IF(AND(r_v&lt;&gt;"", r_v&lt;&gt;0, r_v&lt;&gt;"0.0"), 'Site down now'!$R$2 &amp; ": " &amp; ROUND(r_v, 1), ""),
    IF(AND(t_v&lt;&gt;"", t_v&lt;&gt;0, t_v&lt;&gt;"0.0"), 'Site down now'!$T$2 &amp; ": " &amp; ROUND(t_v, 1), ""),
    IF(AND(u_v&lt;&gt;"", u_v&lt;&gt;0, u_v&lt;&gt;"0.0"), 'Site down now'!$U$2 &amp; ": " &amp; ROUND(u_v, 1), ""),
    IF(AND(v_v&lt;&gt;"", v_v&lt;&gt;0, v_v&lt;&gt;"0.0"), 'Site down now'!$V$2 &amp; ": " &amp; ROUND(v_v, 1), ""),
    IF(AND(y_v&lt;&gt;"", y_v&lt;&gt;0, y_v&lt;&gt;"0.0"), 'Site down now'!$Y$2 &amp; ": " &amp; ROUND(y_v, 1), ""),
    IF(AND(aa_v&lt;&gt;"", aa_v&lt;&gt;0, aa_v&lt;&gt;"0.0"), 'Site down now'!$AA$2 &amp; ": " &amp; ROUND(aa_v, 1), "")
  )
), "")</f>
        <v>Time Abnormal Alarm: 27463.4</v>
      </c>
      <c r="G3" s="72"/>
      <c r="H3" s="73"/>
      <c r="I3" s="74"/>
      <c r="J3" s="74"/>
      <c r="K3" s="74"/>
      <c r="L3" s="74"/>
      <c r="M3" s="74"/>
    </row>
    <row r="4" ht="189.75" customHeight="1">
      <c r="A4" s="71" t="s">
        <v>163</v>
      </c>
      <c r="B4" s="71" t="str">
        <f>IFERROR(__xludf.DUMMYFUNCTION("if(len(B$2)&lt;7,""Full TNI0009"",iferror(TEXTJOIN("" |=***=| "",TRUE,filter('Input task'!$D:$D&amp;"" : ""&amp;'Input task'!$E:$E&amp;"" : ""&amp;'Input task'!$K:$K&amp;"" + ""&amp;'Input task'!$H:$H,'Input task'!$J:$J="""",'Input task'!$T:$T=B$2)),""No see""))"),"Fixing Fuel Level Monitoring : TNI0071 Need to fix fuel level cannot monitoring at NMS. :  + ")</f>
        <v>Fixing Fuel Level Monitoring : TNI0071 Need to fix fuel level cannot monitoring at NMS. :  + </v>
      </c>
      <c r="C4" s="71" t="str">
        <f>IFERROR(__xludf.DUMMYFUNCTION("if(len(C$2)&lt;7,""Full TNI0009"",iferror(TEXTJOIN("" |=***=| "",TRUE,filter('Input task'!$D:$D&amp;"" : ""&amp;'Input task'!$E:$E&amp;"" : ""&amp;'Input task'!$K:$K&amp;"" + ""&amp;'Input task'!$H:$H,'Input task'!$J:$J="""",'Input task'!$T:$T=C$2)),""No see""))"),"No see")</f>
        <v>No see</v>
      </c>
      <c r="D4" s="71" t="str">
        <f>IFERROR(__xludf.DUMMYFUNCTION("if(len(D$2)&lt;7,""Full TNI0009"",iferror(TEXTJOIN("" |=***=| "",TRUE,filter('Input task'!$D:$D&amp;"" : ""&amp;'Input task'!$E:$E&amp;"" : ""&amp;'Input task'!$K:$K&amp;"" + ""&amp;'Input task'!$H:$H,'Input task'!$J:$J="""",'Input task'!$T:$T=D$2)),""No see""))"),"Request Export material : TNI0038-TNI0051&gt;&gt;24F8 Cable 280M,closure 2pcs, Tension 2pcs :  +  |=***=| Request Export material : TNI0038-TNI0051&gt;&gt; cable 500M and JB 2pcs :  +  |=***=| DG Starter Battery : TNI0038 Need to confirm DG starter battery changing f"&amp;"inish sites with M&amp;E :  + VCM825430-Aung Thin Myat")</f>
        <v>Request Export material : TNI0038-TNI0051&gt;&gt;24F8 Cable 280M,closure 2pcs, Tension 2pcs :  +  |=***=| Request Export material : TNI0038-TNI0051&gt;&gt; cable 500M and JB 2pcs :  +  |=***=| DG Starter Battery : TNI0038 Need to confirm DG starter battery changing finish sites with M&amp;E :  + VCM825430-Aung Thin Myat</v>
      </c>
      <c r="E4" s="71" t="str">
        <f>IFERROR(__xludf.DUMMYFUNCTION("if(len(E$2)&lt;7,""Full TNI0009"",iferror(TEXTJOIN("" |=***=| "",TRUE,filter('Input task'!$D:$D&amp;"" : ""&amp;'Input task'!$E:$E&amp;"" : ""&amp;'Input task'!$K:$K&amp;"" + ""&amp;'Input task'!$H:$H,'Input task'!$J:$J="""",'Input task'!$T:$T=E$2)),""No see""))"),"Check DG run long time : TNI0328 Need to check DG non stop running :  + ")</f>
        <v>Check DG run long time : TNI0328 Need to check DG non stop running :  + </v>
      </c>
      <c r="F4" s="71" t="str">
        <f>IFERROR(__xludf.DUMMYFUNCTION("if(len(F$2)&lt;7,""Full TNI0009"",iferror(TEXTJOIN("" |=***=| "",TRUE,filter('Input task'!$D:$D&amp;"" : ""&amp;'Input task'!$E:$E&amp;"" : ""&amp;'Input task'!$K:$K&amp;"" + ""&amp;'Input task'!$H:$H,'Input task'!$J:$J="""",'Input task'!$T:$T=F$2)),""No see""))"),"Check DG run long time : TNI0211 Need to check DG non stop running :  + ")</f>
        <v>Check DG run long time : TNI0211 Need to check DG non stop running :  + </v>
      </c>
      <c r="G4" s="72"/>
      <c r="H4" s="75" t="str">
        <f>IFERROR(__xludf.DUMMYFUNCTION("textjoin(CHAR(10),TRUE,Filter('Check New + Clear Site down + Door'!E:OX,'Check New + Clear Site down + Door'!D:D=H2))"),"#REF!")</f>
        <v>#REF!</v>
      </c>
      <c r="I4" s="74"/>
      <c r="J4" s="74"/>
      <c r="K4" s="74"/>
      <c r="L4" s="74"/>
      <c r="M4" s="74"/>
    </row>
    <row r="5" ht="1112.25" customHeight="1">
      <c r="A5" s="76" t="s">
        <v>164</v>
      </c>
      <c r="B5" s="77" t="str">
        <f>IFERROR(__xludf.DUMMYFUNCTION("if(len(B$2)&lt;5,""-"",iferror(TEXTJOIN("" |=***=| "",TRUE,FILTER(('Input WO'!$A:$A&amp;"" + ""&amp;'Input WO'!$B:$B&amp;"" : ""&amp;'Input WO'!$C:$C&amp;"" + ""&amp;'Input WO'!$F:$F),'Input WO'!$E:$E=B$2)),""No see""))"),"WO_WFM-OTHERS_20260622_123602893 + TNI0071_Cleaning Radiator and change engine oil : -41.95 + myt_bhonehtet.aung |=***=| WO_QLCTKT_20260529_123389605 + TNI0071 MYT_Routine_Maintenance_Mytel_Station_VCM : 223.05 + myt_bonemyat.naing1")</f>
        <v>WO_WFM-OTHERS_20260622_123602893 + TNI0071_Cleaning Radiator and change engine oil : -41.95 + myt_bhonehtet.aung |=***=| WO_QLCTKT_20260529_123389605 + TNI0071 MYT_Routine_Maintenance_Mytel_Station_VCM : 223.05 + myt_bonemyat.naing1</v>
      </c>
      <c r="C5" s="77" t="str">
        <f>IFERROR(__xludf.DUMMYFUNCTION("if(len(C$2)&lt;5,""-"",iferror(TEXTJOIN("" |=***=| "",TRUE,FILTER(('Input WO'!$A:$A&amp;"" + ""&amp;'Input WO'!$B:$B&amp;"" : ""&amp;'Input WO'!$C:$C&amp;"" + ""&amp;'Input WO'!$F:$F),'Input WO'!$E:$E=C$2)),""No see""))"),"WO_ICMS_20260623_123611289 + TNI0061 MYT_Routine_Maintenance_Towerco_Station MYT_RTE_MTE_TCO_STN : 882.55 + myt_bhonehtet.aung")</f>
        <v>WO_ICMS_20260623_123611289 + TNI0061 MYT_Routine_Maintenance_Towerco_Station MYT_RTE_MTE_TCO_STN : 882.55 + myt_bhonehtet.aung</v>
      </c>
      <c r="D5" s="77" t="str">
        <f>IFERROR(__xludf.DUMMYFUNCTION("if(len(D$2)&lt;5,""-"",iferror(TEXTJOIN("" |=***=| "",TRUE,FILTER(('Input WO'!$A:$A&amp;"" + ""&amp;'Input WO'!$B:$B&amp;"" : ""&amp;'Input WO'!$C:$C&amp;"" + ""&amp;'Input WO'!$F:$F),'Input WO'!$E:$E=D$2)),""No see""))"),"WO_QLCTKT_20260430_123146548 + TNI0038 MYT_Routine_Maintenance_Mytel_Station_VCM : -472.95 + myt_bonemyat.naing1")</f>
        <v>WO_QLCTKT_20260430_123146548 + TNI0038 MYT_Routine_Maintenance_Mytel_Station_VCM : -472.95 + myt_bonemyat.naing1</v>
      </c>
      <c r="E5" s="77" t="str">
        <f>IFERROR(__xludf.DUMMYFUNCTION("if(len(E$2)&lt;5,""-"",iferror(TEXTJOIN("" |=***=| "",TRUE,FILTER(('Input WO'!$A:$A&amp;"" + ""&amp;'Input WO'!$B:$B&amp;"" : ""&amp;'Input WO'!$C:$C&amp;"" + ""&amp;'Input WO'!$F:$F),'Input WO'!$E:$E=E$2)),""No see""))"),"No see")</f>
        <v>No see</v>
      </c>
      <c r="F5" s="77" t="str">
        <f>IFERROR(__xludf.DUMMYFUNCTION("if(len(F$2)&lt;5,""-"",iferror(TEXTJOIN("" |=***=| "",TRUE,FILTER(('Input WO'!$A:$A&amp;"" + ""&amp;'Input WO'!$B:$B&amp;"" : ""&amp;'Input WO'!$C:$C&amp;"" + ""&amp;'Input WO'!$F:$F),'Input WO'!$E:$E=F$2)),""No see""))"),"WO_WFM-OTHERS_20260622_123603184 + TNI0211_Cleaning Radiator and change engine oil : -41.95 + myt_bonemyat.naing1")</f>
        <v>WO_WFM-OTHERS_20260622_123603184 + TNI0211_Cleaning Radiator and change engine oil : -41.95 + myt_bonemyat.naing1</v>
      </c>
      <c r="G5" s="73"/>
      <c r="H5" s="78"/>
      <c r="I5" s="74"/>
      <c r="J5" s="74"/>
      <c r="K5" s="74"/>
      <c r="L5" s="74"/>
      <c r="M5" s="74"/>
    </row>
    <row r="6">
      <c r="A6" s="79">
        <v>5.0</v>
      </c>
      <c r="B6" s="80">
        <v>46087.0</v>
      </c>
      <c r="C6" s="81">
        <v>0.7388888888888889</v>
      </c>
      <c r="D6" s="67" t="s">
        <v>165</v>
      </c>
      <c r="E6" s="67" t="s">
        <v>166</v>
      </c>
      <c r="F6" s="67">
        <v>6.85979068E9</v>
      </c>
      <c r="G6" s="67" t="s">
        <v>167</v>
      </c>
      <c r="H6" s="78"/>
      <c r="I6" s="82" t="s">
        <v>168</v>
      </c>
      <c r="J6" s="82" t="s">
        <v>169</v>
      </c>
      <c r="K6" s="74"/>
      <c r="L6" s="74"/>
      <c r="M6" s="74"/>
    </row>
    <row r="7">
      <c r="A7" s="83">
        <v>6.0</v>
      </c>
      <c r="B7" s="84">
        <v>46087.0</v>
      </c>
      <c r="C7" s="85">
        <v>0.8277777777777777</v>
      </c>
      <c r="D7" s="86" t="s">
        <v>170</v>
      </c>
      <c r="E7" s="86" t="s">
        <v>166</v>
      </c>
      <c r="F7" s="86">
        <v>6.85979068E9</v>
      </c>
      <c r="G7" s="86" t="s">
        <v>167</v>
      </c>
      <c r="H7" s="78"/>
      <c r="I7" s="87" t="s">
        <v>168</v>
      </c>
      <c r="J7" s="87" t="s">
        <v>169</v>
      </c>
      <c r="K7" s="88"/>
      <c r="L7" s="88"/>
      <c r="M7" s="88"/>
    </row>
    <row r="8">
      <c r="A8" s="79">
        <v>7.0</v>
      </c>
      <c r="B8" s="80">
        <v>46087.0</v>
      </c>
      <c r="C8" s="81">
        <v>0.8930555555555556</v>
      </c>
      <c r="D8" s="67" t="s">
        <v>171</v>
      </c>
      <c r="E8" s="67" t="s">
        <v>172</v>
      </c>
      <c r="F8" s="67">
        <v>6.85979068E9</v>
      </c>
      <c r="G8" s="89"/>
      <c r="H8" s="78"/>
      <c r="I8" s="74"/>
      <c r="J8" s="74"/>
      <c r="K8" s="74"/>
      <c r="L8" s="74"/>
      <c r="M8" s="74"/>
    </row>
    <row r="9">
      <c r="A9" s="83">
        <v>8.0</v>
      </c>
      <c r="B9" s="84">
        <v>46087.0</v>
      </c>
      <c r="C9" s="85">
        <v>0.8958333333333334</v>
      </c>
      <c r="D9" s="86" t="s">
        <v>171</v>
      </c>
      <c r="E9" s="86" t="s">
        <v>172</v>
      </c>
      <c r="F9" s="86">
        <v>6.85979068E9</v>
      </c>
      <c r="G9" s="86" t="s">
        <v>173</v>
      </c>
      <c r="H9" s="78"/>
      <c r="I9" s="88"/>
      <c r="J9" s="88"/>
      <c r="K9" s="88"/>
      <c r="L9" s="88"/>
      <c r="M9" s="88"/>
    </row>
    <row r="10">
      <c r="A10" s="79">
        <v>9.0</v>
      </c>
      <c r="B10" s="80">
        <v>46087.0</v>
      </c>
      <c r="C10" s="81">
        <v>0.8993055555555556</v>
      </c>
      <c r="D10" s="67" t="s">
        <v>171</v>
      </c>
      <c r="E10" s="67" t="s">
        <v>172</v>
      </c>
      <c r="F10" s="67">
        <v>6.85979068E9</v>
      </c>
      <c r="G10" s="89"/>
      <c r="H10" s="78"/>
      <c r="I10" s="82" t="s">
        <v>174</v>
      </c>
      <c r="J10" s="74"/>
      <c r="K10" s="74"/>
      <c r="L10" s="74"/>
      <c r="M10" s="74"/>
    </row>
    <row r="11">
      <c r="A11" s="83">
        <v>10.0</v>
      </c>
      <c r="B11" s="84">
        <v>46087.0</v>
      </c>
      <c r="C11" s="85">
        <v>0.9090277777777778</v>
      </c>
      <c r="D11" s="86" t="s">
        <v>171</v>
      </c>
      <c r="E11" s="86" t="s">
        <v>172</v>
      </c>
      <c r="F11" s="86">
        <v>6.85979068E9</v>
      </c>
      <c r="G11" s="90"/>
      <c r="H11" s="78"/>
      <c r="I11" s="88"/>
      <c r="J11" s="88"/>
      <c r="K11" s="88"/>
      <c r="L11" s="88"/>
      <c r="M11" s="88"/>
    </row>
    <row r="12">
      <c r="A12" s="79">
        <v>11.0</v>
      </c>
      <c r="B12" s="80">
        <v>46087.0</v>
      </c>
      <c r="C12" s="81">
        <v>0.9152777777777777</v>
      </c>
      <c r="D12" s="67" t="s">
        <v>171</v>
      </c>
      <c r="E12" s="67" t="s">
        <v>172</v>
      </c>
      <c r="F12" s="67">
        <v>6.85979068E9</v>
      </c>
      <c r="G12" s="89"/>
      <c r="H12" s="78"/>
      <c r="I12" s="82" t="s">
        <v>174</v>
      </c>
      <c r="J12" s="74"/>
      <c r="K12" s="74"/>
      <c r="L12" s="74"/>
      <c r="M12" s="74"/>
    </row>
    <row r="13">
      <c r="A13" s="83">
        <v>12.0</v>
      </c>
      <c r="B13" s="84">
        <v>46087.0</v>
      </c>
      <c r="C13" s="85">
        <v>0.9284722222222223</v>
      </c>
      <c r="D13" s="86" t="s">
        <v>171</v>
      </c>
      <c r="E13" s="86" t="s">
        <v>172</v>
      </c>
      <c r="F13" s="86">
        <v>6.85979068E9</v>
      </c>
      <c r="G13" s="90"/>
      <c r="H13" s="78"/>
      <c r="I13" s="87" t="s">
        <v>174</v>
      </c>
      <c r="J13" s="88"/>
      <c r="K13" s="88"/>
      <c r="L13" s="88"/>
      <c r="M13" s="88"/>
    </row>
    <row r="14">
      <c r="A14" s="79">
        <v>13.0</v>
      </c>
      <c r="B14" s="91">
        <v>46087.91875</v>
      </c>
      <c r="C14" s="89"/>
      <c r="D14" s="89"/>
      <c r="E14" s="89"/>
      <c r="F14" s="67">
        <v>1.23456789E8</v>
      </c>
      <c r="G14" s="89"/>
      <c r="H14" s="78"/>
      <c r="I14" s="74"/>
      <c r="J14" s="74"/>
      <c r="K14" s="74"/>
      <c r="L14" s="74"/>
      <c r="M14" s="74"/>
    </row>
    <row r="15">
      <c r="A15" s="92"/>
      <c r="B15" s="92"/>
      <c r="C15" s="92"/>
      <c r="D15" s="92"/>
      <c r="E15" s="92"/>
      <c r="F15" s="92"/>
      <c r="G15" s="89"/>
      <c r="H15" s="78"/>
      <c r="I15" s="74"/>
      <c r="J15" s="74"/>
      <c r="K15" s="74"/>
      <c r="L15" s="74"/>
      <c r="M15" s="74"/>
    </row>
    <row r="16">
      <c r="A16" s="92"/>
      <c r="B16" s="92"/>
      <c r="C16" s="92"/>
      <c r="D16" s="92"/>
      <c r="E16" s="92"/>
      <c r="F16" s="92"/>
      <c r="G16" s="89"/>
      <c r="H16" s="78"/>
      <c r="I16" s="74"/>
      <c r="J16" s="74"/>
      <c r="K16" s="74"/>
      <c r="L16" s="74"/>
      <c r="M16" s="74"/>
    </row>
    <row r="17">
      <c r="A17" s="92"/>
      <c r="B17" s="92"/>
      <c r="C17" s="92"/>
      <c r="D17" s="92"/>
      <c r="E17" s="92"/>
      <c r="F17" s="92"/>
      <c r="G17" s="89"/>
      <c r="H17" s="78"/>
      <c r="I17" s="74"/>
      <c r="J17" s="74"/>
      <c r="K17" s="74"/>
      <c r="L17" s="74"/>
      <c r="M17" s="74"/>
    </row>
    <row r="18">
      <c r="A18" s="92"/>
      <c r="B18" s="92"/>
      <c r="C18" s="92"/>
      <c r="D18" s="92"/>
      <c r="E18" s="92"/>
      <c r="F18" s="92"/>
      <c r="G18" s="89"/>
      <c r="H18" s="78"/>
      <c r="I18" s="74"/>
      <c r="J18" s="74"/>
      <c r="K18" s="74"/>
      <c r="L18" s="74"/>
      <c r="M18" s="74"/>
    </row>
    <row r="19">
      <c r="A19" s="92"/>
      <c r="B19" s="92"/>
      <c r="C19" s="92"/>
      <c r="D19" s="92"/>
      <c r="E19" s="92"/>
      <c r="F19" s="92"/>
      <c r="G19" s="89"/>
      <c r="H19" s="78"/>
      <c r="I19" s="74"/>
      <c r="J19" s="74"/>
      <c r="K19" s="74"/>
      <c r="L19" s="74"/>
      <c r="M19" s="74"/>
    </row>
    <row r="20">
      <c r="A20" s="92"/>
      <c r="B20" s="92"/>
      <c r="C20" s="92"/>
      <c r="D20" s="92"/>
      <c r="E20" s="92"/>
      <c r="F20" s="92"/>
      <c r="G20" s="89"/>
      <c r="H20" s="78"/>
      <c r="I20" s="74"/>
      <c r="J20" s="74"/>
      <c r="K20" s="74"/>
      <c r="L20" s="74"/>
      <c r="M20" s="74"/>
    </row>
    <row r="21">
      <c r="A21" s="92"/>
      <c r="B21" s="92"/>
      <c r="C21" s="92"/>
      <c r="D21" s="92"/>
      <c r="E21" s="92"/>
      <c r="F21" s="92"/>
      <c r="G21" s="89"/>
      <c r="H21" s="78"/>
      <c r="I21" s="74"/>
      <c r="J21" s="74"/>
      <c r="K21" s="74"/>
      <c r="L21" s="74"/>
      <c r="M21" s="74"/>
    </row>
    <row r="22">
      <c r="A22" s="92"/>
      <c r="B22" s="92"/>
      <c r="C22" s="92"/>
      <c r="D22" s="92"/>
      <c r="E22" s="92"/>
      <c r="F22" s="92"/>
      <c r="G22" s="89"/>
      <c r="H22" s="78"/>
      <c r="I22" s="74"/>
      <c r="J22" s="74"/>
      <c r="K22" s="74"/>
      <c r="L22" s="74"/>
      <c r="M22" s="74"/>
    </row>
    <row r="23">
      <c r="A23" s="92"/>
      <c r="B23" s="92"/>
      <c r="C23" s="92"/>
      <c r="D23" s="92"/>
      <c r="E23" s="92"/>
      <c r="F23" s="92"/>
      <c r="G23" s="89"/>
      <c r="H23" s="78"/>
      <c r="I23" s="74"/>
      <c r="J23" s="74"/>
      <c r="K23" s="74"/>
      <c r="L23" s="74"/>
      <c r="M23" s="74"/>
    </row>
    <row r="24">
      <c r="A24" s="92"/>
      <c r="B24" s="92"/>
      <c r="C24" s="92"/>
      <c r="D24" s="92"/>
      <c r="E24" s="92"/>
      <c r="F24" s="92"/>
      <c r="G24" s="89"/>
      <c r="H24" s="78"/>
      <c r="I24" s="74"/>
      <c r="J24" s="74"/>
      <c r="K24" s="74"/>
      <c r="L24" s="74"/>
      <c r="M24" s="74"/>
    </row>
    <row r="25">
      <c r="A25" s="92"/>
      <c r="B25" s="92"/>
      <c r="C25" s="92"/>
      <c r="D25" s="92"/>
      <c r="E25" s="92"/>
      <c r="F25" s="92"/>
      <c r="G25" s="89"/>
      <c r="H25" s="78"/>
      <c r="I25" s="74"/>
      <c r="J25" s="74"/>
      <c r="K25" s="74"/>
      <c r="L25" s="74"/>
      <c r="M25" s="74"/>
    </row>
    <row r="26">
      <c r="A26" s="92"/>
      <c r="B26" s="92"/>
      <c r="C26" s="92"/>
      <c r="D26" s="92"/>
      <c r="E26" s="92"/>
      <c r="F26" s="92"/>
      <c r="G26" s="89"/>
      <c r="H26" s="78"/>
      <c r="I26" s="74"/>
      <c r="J26" s="74"/>
      <c r="K26" s="74"/>
      <c r="L26" s="74"/>
      <c r="M26" s="74"/>
    </row>
    <row r="27">
      <c r="A27" s="92"/>
      <c r="B27" s="92"/>
      <c r="C27" s="92"/>
      <c r="D27" s="92"/>
      <c r="E27" s="92"/>
      <c r="F27" s="92"/>
      <c r="G27" s="89"/>
      <c r="H27" s="78"/>
      <c r="I27" s="74"/>
      <c r="J27" s="74"/>
      <c r="K27" s="74"/>
      <c r="L27" s="74"/>
      <c r="M27" s="74"/>
    </row>
    <row r="28">
      <c r="A28" s="92"/>
      <c r="B28" s="92"/>
      <c r="C28" s="92"/>
      <c r="D28" s="92"/>
      <c r="E28" s="92"/>
      <c r="F28" s="92"/>
      <c r="G28" s="89"/>
      <c r="H28" s="78"/>
      <c r="I28" s="74"/>
      <c r="J28" s="74"/>
      <c r="K28" s="74"/>
      <c r="L28" s="74"/>
      <c r="M28" s="74"/>
    </row>
    <row r="29">
      <c r="A29" s="92"/>
      <c r="B29" s="92"/>
      <c r="C29" s="92"/>
      <c r="D29" s="92"/>
      <c r="E29" s="92"/>
      <c r="F29" s="92"/>
      <c r="G29" s="89"/>
      <c r="H29" s="78"/>
      <c r="I29" s="74"/>
      <c r="J29" s="74"/>
      <c r="K29" s="74"/>
      <c r="L29" s="74"/>
      <c r="M29" s="74"/>
    </row>
    <row r="30">
      <c r="A30" s="92"/>
      <c r="B30" s="92"/>
      <c r="C30" s="92"/>
      <c r="D30" s="92"/>
      <c r="E30" s="92"/>
      <c r="F30" s="92"/>
      <c r="G30" s="89"/>
      <c r="H30" s="78"/>
      <c r="I30" s="74"/>
      <c r="J30" s="74"/>
      <c r="K30" s="74"/>
      <c r="L30" s="74"/>
      <c r="M30" s="74"/>
    </row>
    <row r="31">
      <c r="A31" s="92"/>
      <c r="B31" s="92"/>
      <c r="C31" s="92"/>
      <c r="D31" s="92"/>
      <c r="E31" s="92"/>
      <c r="F31" s="92"/>
      <c r="G31" s="89"/>
      <c r="H31" s="78"/>
      <c r="I31" s="74"/>
      <c r="J31" s="74"/>
      <c r="K31" s="74"/>
      <c r="L31" s="74"/>
      <c r="M31" s="74"/>
    </row>
    <row r="32">
      <c r="A32" s="92"/>
      <c r="B32" s="92"/>
      <c r="C32" s="92"/>
      <c r="D32" s="92"/>
      <c r="E32" s="92"/>
      <c r="F32" s="92"/>
      <c r="G32" s="89"/>
      <c r="H32" s="78"/>
      <c r="I32" s="74"/>
      <c r="J32" s="74"/>
      <c r="K32" s="74"/>
      <c r="L32" s="74"/>
      <c r="M32" s="74"/>
    </row>
    <row r="33">
      <c r="A33" s="92"/>
      <c r="B33" s="92"/>
      <c r="C33" s="92"/>
      <c r="D33" s="92"/>
      <c r="E33" s="92"/>
      <c r="F33" s="92"/>
      <c r="G33" s="89"/>
      <c r="H33" s="78"/>
      <c r="I33" s="74"/>
      <c r="J33" s="74"/>
      <c r="K33" s="74"/>
      <c r="L33" s="74"/>
      <c r="M33" s="74"/>
    </row>
    <row r="34">
      <c r="A34" s="92"/>
      <c r="B34" s="92"/>
      <c r="C34" s="92"/>
      <c r="D34" s="92"/>
      <c r="E34" s="92"/>
      <c r="F34" s="92"/>
      <c r="G34" s="89"/>
      <c r="H34" s="78"/>
      <c r="I34" s="74"/>
      <c r="J34" s="74"/>
      <c r="K34" s="74"/>
      <c r="L34" s="74"/>
      <c r="M34" s="74"/>
    </row>
    <row r="35">
      <c r="A35" s="92"/>
      <c r="B35" s="92"/>
      <c r="C35" s="92"/>
      <c r="D35" s="92"/>
      <c r="E35" s="92"/>
      <c r="F35" s="92"/>
      <c r="G35" s="89"/>
      <c r="H35" s="78"/>
      <c r="I35" s="74"/>
      <c r="J35" s="74"/>
      <c r="K35" s="74"/>
      <c r="L35" s="74"/>
      <c r="M35" s="74"/>
    </row>
    <row r="36">
      <c r="A36" s="92"/>
      <c r="B36" s="92"/>
      <c r="C36" s="92"/>
      <c r="D36" s="92"/>
      <c r="E36" s="92"/>
      <c r="F36" s="92"/>
      <c r="G36" s="89"/>
      <c r="H36" s="78"/>
      <c r="I36" s="74"/>
      <c r="J36" s="74"/>
      <c r="K36" s="74"/>
      <c r="L36" s="74"/>
      <c r="M36" s="74"/>
    </row>
    <row r="37">
      <c r="A37" s="92"/>
      <c r="B37" s="92"/>
      <c r="C37" s="92"/>
      <c r="D37" s="92"/>
      <c r="E37" s="92"/>
      <c r="F37" s="92"/>
      <c r="G37" s="89"/>
      <c r="H37" s="78"/>
      <c r="I37" s="74"/>
      <c r="J37" s="74"/>
      <c r="K37" s="74"/>
      <c r="L37" s="74"/>
      <c r="M37" s="74"/>
    </row>
    <row r="38">
      <c r="A38" s="92"/>
      <c r="B38" s="92"/>
      <c r="C38" s="92"/>
      <c r="D38" s="92"/>
      <c r="E38" s="92"/>
      <c r="F38" s="92"/>
      <c r="G38" s="89"/>
      <c r="H38" s="78"/>
      <c r="I38" s="74"/>
      <c r="J38" s="74"/>
      <c r="K38" s="74"/>
      <c r="L38" s="74"/>
      <c r="M38" s="74"/>
    </row>
    <row r="39">
      <c r="A39" s="92"/>
      <c r="B39" s="92"/>
      <c r="C39" s="92"/>
      <c r="D39" s="92"/>
      <c r="E39" s="92"/>
      <c r="F39" s="92"/>
      <c r="G39" s="89"/>
      <c r="H39" s="78"/>
      <c r="I39" s="74"/>
      <c r="J39" s="74"/>
      <c r="K39" s="74"/>
      <c r="L39" s="74"/>
      <c r="M39" s="74"/>
    </row>
    <row r="40">
      <c r="A40" s="92"/>
      <c r="B40" s="92"/>
      <c r="C40" s="92"/>
      <c r="D40" s="92"/>
      <c r="E40" s="92"/>
      <c r="F40" s="92"/>
      <c r="G40" s="89"/>
      <c r="H40" s="78"/>
      <c r="I40" s="74"/>
      <c r="J40" s="74"/>
      <c r="K40" s="74"/>
      <c r="L40" s="74"/>
      <c r="M40" s="74"/>
    </row>
    <row r="41">
      <c r="A41" s="92"/>
      <c r="B41" s="92"/>
      <c r="C41" s="92"/>
      <c r="D41" s="92"/>
      <c r="E41" s="92"/>
      <c r="F41" s="92"/>
      <c r="G41" s="89"/>
      <c r="H41" s="78"/>
      <c r="I41" s="74"/>
      <c r="J41" s="74"/>
      <c r="K41" s="74"/>
      <c r="L41" s="74"/>
      <c r="M41" s="74"/>
    </row>
    <row r="42">
      <c r="A42" s="92"/>
      <c r="B42" s="92"/>
      <c r="C42" s="92"/>
      <c r="D42" s="92"/>
      <c r="E42" s="92"/>
      <c r="F42" s="92"/>
      <c r="G42" s="89"/>
      <c r="H42" s="78"/>
      <c r="I42" s="74"/>
      <c r="J42" s="74"/>
      <c r="K42" s="74"/>
      <c r="L42" s="74"/>
      <c r="M42" s="74"/>
    </row>
    <row r="43">
      <c r="A43" s="92"/>
      <c r="B43" s="92"/>
      <c r="C43" s="92"/>
      <c r="D43" s="92"/>
      <c r="E43" s="92"/>
      <c r="F43" s="92"/>
      <c r="G43" s="89"/>
      <c r="H43" s="78"/>
      <c r="I43" s="74"/>
      <c r="J43" s="74"/>
      <c r="K43" s="74"/>
      <c r="L43" s="74"/>
      <c r="M43" s="74"/>
    </row>
    <row r="44">
      <c r="A44" s="92"/>
      <c r="B44" s="92"/>
      <c r="C44" s="92"/>
      <c r="D44" s="92"/>
      <c r="E44" s="92"/>
      <c r="F44" s="92"/>
      <c r="G44" s="89"/>
      <c r="H44" s="78"/>
      <c r="I44" s="74"/>
      <c r="J44" s="74"/>
      <c r="K44" s="74"/>
      <c r="L44" s="74"/>
      <c r="M44" s="74"/>
    </row>
    <row r="45">
      <c r="A45" s="92"/>
      <c r="B45" s="92"/>
      <c r="C45" s="92"/>
      <c r="D45" s="92"/>
      <c r="E45" s="92"/>
      <c r="F45" s="92"/>
      <c r="G45" s="89"/>
      <c r="H45" s="78"/>
      <c r="I45" s="74"/>
      <c r="J45" s="74"/>
      <c r="K45" s="74"/>
      <c r="L45" s="74"/>
      <c r="M45" s="74"/>
    </row>
    <row r="46">
      <c r="A46" s="92"/>
      <c r="B46" s="92"/>
      <c r="C46" s="92"/>
      <c r="D46" s="92"/>
      <c r="E46" s="92"/>
      <c r="F46" s="92"/>
      <c r="G46" s="89"/>
      <c r="H46" s="78"/>
      <c r="I46" s="74"/>
      <c r="J46" s="74"/>
      <c r="K46" s="74"/>
      <c r="L46" s="74"/>
      <c r="M46" s="74"/>
    </row>
    <row r="47">
      <c r="A47" s="92"/>
      <c r="B47" s="92"/>
      <c r="C47" s="92"/>
      <c r="D47" s="92"/>
      <c r="E47" s="92"/>
      <c r="F47" s="92"/>
      <c r="G47" s="89"/>
      <c r="H47" s="78"/>
      <c r="I47" s="74"/>
      <c r="J47" s="74"/>
      <c r="K47" s="74"/>
      <c r="L47" s="74"/>
      <c r="M47" s="74"/>
    </row>
    <row r="48">
      <c r="A48" s="92"/>
      <c r="B48" s="92"/>
      <c r="C48" s="92"/>
      <c r="D48" s="92"/>
      <c r="E48" s="92"/>
      <c r="F48" s="92"/>
      <c r="G48" s="89"/>
      <c r="H48" s="78"/>
      <c r="I48" s="74"/>
      <c r="J48" s="74"/>
      <c r="K48" s="74"/>
      <c r="L48" s="74"/>
      <c r="M48" s="74"/>
    </row>
    <row r="49">
      <c r="A49" s="92"/>
      <c r="B49" s="92"/>
      <c r="C49" s="92"/>
      <c r="D49" s="92"/>
      <c r="E49" s="92"/>
      <c r="F49" s="92"/>
      <c r="G49" s="89"/>
      <c r="H49" s="78"/>
      <c r="I49" s="74"/>
      <c r="J49" s="74"/>
      <c r="K49" s="74"/>
      <c r="L49" s="74"/>
      <c r="M49" s="74"/>
    </row>
    <row r="50">
      <c r="A50" s="92"/>
      <c r="B50" s="92"/>
      <c r="C50" s="92"/>
      <c r="D50" s="92"/>
      <c r="E50" s="92"/>
      <c r="F50" s="92"/>
      <c r="G50" s="89"/>
      <c r="H50" s="78"/>
      <c r="I50" s="74"/>
      <c r="J50" s="74"/>
      <c r="K50" s="74"/>
      <c r="L50" s="74"/>
      <c r="M50" s="74"/>
    </row>
    <row r="51">
      <c r="A51" s="92"/>
      <c r="B51" s="92"/>
      <c r="C51" s="92"/>
      <c r="D51" s="92"/>
      <c r="E51" s="92"/>
      <c r="F51" s="92"/>
      <c r="G51" s="89"/>
      <c r="H51" s="78"/>
      <c r="I51" s="74"/>
      <c r="J51" s="74"/>
      <c r="K51" s="74"/>
      <c r="L51" s="74"/>
      <c r="M51" s="74"/>
    </row>
    <row r="52">
      <c r="A52" s="92"/>
      <c r="B52" s="92"/>
      <c r="C52" s="92"/>
      <c r="D52" s="92"/>
      <c r="E52" s="92"/>
      <c r="F52" s="92"/>
      <c r="G52" s="89"/>
      <c r="H52" s="78"/>
      <c r="I52" s="74"/>
      <c r="J52" s="74"/>
      <c r="K52" s="74"/>
      <c r="L52" s="74"/>
      <c r="M52" s="74"/>
    </row>
    <row r="53">
      <c r="A53" s="92"/>
      <c r="B53" s="92"/>
      <c r="C53" s="92"/>
      <c r="D53" s="92"/>
      <c r="E53" s="92"/>
      <c r="F53" s="92"/>
      <c r="G53" s="89"/>
      <c r="H53" s="78"/>
      <c r="I53" s="74"/>
      <c r="J53" s="74"/>
      <c r="K53" s="74"/>
      <c r="L53" s="74"/>
      <c r="M53" s="74"/>
    </row>
    <row r="54">
      <c r="A54" s="92"/>
      <c r="B54" s="92"/>
      <c r="C54" s="92"/>
      <c r="D54" s="92"/>
      <c r="E54" s="92"/>
      <c r="F54" s="92"/>
      <c r="G54" s="89"/>
      <c r="H54" s="78"/>
      <c r="I54" s="74"/>
      <c r="J54" s="74"/>
      <c r="K54" s="74"/>
      <c r="L54" s="74"/>
      <c r="M54" s="74"/>
    </row>
    <row r="55">
      <c r="A55" s="92"/>
      <c r="B55" s="92"/>
      <c r="C55" s="92"/>
      <c r="D55" s="92"/>
      <c r="E55" s="92"/>
      <c r="F55" s="92"/>
      <c r="G55" s="89"/>
      <c r="H55" s="78"/>
      <c r="I55" s="74"/>
      <c r="J55" s="74"/>
      <c r="K55" s="74"/>
      <c r="L55" s="74"/>
      <c r="M55" s="74"/>
    </row>
    <row r="56">
      <c r="A56" s="92"/>
      <c r="B56" s="92"/>
      <c r="C56" s="92"/>
      <c r="D56" s="92"/>
      <c r="E56" s="92"/>
      <c r="F56" s="92"/>
      <c r="G56" s="89"/>
      <c r="H56" s="78"/>
      <c r="I56" s="74"/>
      <c r="J56" s="74"/>
      <c r="K56" s="74"/>
      <c r="L56" s="74"/>
      <c r="M56" s="74"/>
    </row>
    <row r="57">
      <c r="A57" s="92"/>
      <c r="B57" s="92"/>
      <c r="C57" s="92"/>
      <c r="D57" s="92"/>
      <c r="E57" s="92"/>
      <c r="F57" s="92"/>
      <c r="G57" s="89"/>
      <c r="H57" s="78"/>
      <c r="I57" s="74"/>
      <c r="J57" s="74"/>
      <c r="K57" s="74"/>
      <c r="L57" s="74"/>
      <c r="M57" s="74"/>
    </row>
    <row r="58">
      <c r="A58" s="92"/>
      <c r="B58" s="92"/>
      <c r="C58" s="92"/>
      <c r="D58" s="92"/>
      <c r="E58" s="92"/>
      <c r="F58" s="92"/>
      <c r="G58" s="89"/>
      <c r="H58" s="78"/>
      <c r="I58" s="74"/>
      <c r="J58" s="74"/>
      <c r="K58" s="74"/>
      <c r="L58" s="74"/>
      <c r="M58" s="74"/>
    </row>
    <row r="59">
      <c r="A59" s="92"/>
      <c r="B59" s="92"/>
      <c r="C59" s="92"/>
      <c r="D59" s="92"/>
      <c r="E59" s="92"/>
      <c r="F59" s="92"/>
      <c r="G59" s="89"/>
      <c r="H59" s="78"/>
      <c r="I59" s="74"/>
      <c r="J59" s="74"/>
      <c r="K59" s="74"/>
      <c r="L59" s="74"/>
      <c r="M59" s="74"/>
    </row>
    <row r="60">
      <c r="A60" s="92"/>
      <c r="B60" s="92"/>
      <c r="C60" s="92"/>
      <c r="D60" s="92"/>
      <c r="E60" s="92"/>
      <c r="F60" s="92"/>
      <c r="G60" s="89"/>
      <c r="H60" s="78"/>
      <c r="I60" s="74"/>
      <c r="J60" s="74"/>
      <c r="K60" s="74"/>
      <c r="L60" s="74"/>
      <c r="M60" s="74"/>
    </row>
    <row r="61">
      <c r="A61" s="92"/>
      <c r="B61" s="92"/>
      <c r="C61" s="92"/>
      <c r="D61" s="92"/>
      <c r="E61" s="92"/>
      <c r="F61" s="92"/>
      <c r="G61" s="89"/>
      <c r="H61" s="78"/>
      <c r="I61" s="74"/>
      <c r="J61" s="74"/>
      <c r="K61" s="74"/>
      <c r="L61" s="74"/>
      <c r="M61" s="74"/>
    </row>
    <row r="62">
      <c r="A62" s="92"/>
      <c r="B62" s="92"/>
      <c r="C62" s="92"/>
      <c r="D62" s="92"/>
      <c r="E62" s="92"/>
      <c r="F62" s="92"/>
      <c r="G62" s="89"/>
      <c r="H62" s="78"/>
      <c r="I62" s="74"/>
      <c r="J62" s="74"/>
      <c r="K62" s="74"/>
      <c r="L62" s="74"/>
      <c r="M62" s="74"/>
    </row>
    <row r="63">
      <c r="A63" s="92"/>
      <c r="B63" s="92"/>
      <c r="C63" s="92"/>
      <c r="D63" s="92"/>
      <c r="E63" s="92"/>
      <c r="F63" s="92"/>
      <c r="G63" s="89"/>
      <c r="H63" s="78"/>
      <c r="I63" s="74"/>
      <c r="J63" s="74"/>
      <c r="K63" s="74"/>
      <c r="L63" s="74"/>
      <c r="M63" s="74"/>
    </row>
    <row r="64">
      <c r="A64" s="92"/>
      <c r="B64" s="92"/>
      <c r="C64" s="92"/>
      <c r="D64" s="92"/>
      <c r="E64" s="92"/>
      <c r="F64" s="92"/>
      <c r="G64" s="89"/>
      <c r="H64" s="78"/>
      <c r="I64" s="74"/>
      <c r="J64" s="74"/>
      <c r="K64" s="74"/>
      <c r="L64" s="74"/>
      <c r="M64" s="74"/>
    </row>
    <row r="65">
      <c r="A65" s="92"/>
      <c r="B65" s="92"/>
      <c r="C65" s="92"/>
      <c r="D65" s="92"/>
      <c r="E65" s="92"/>
      <c r="F65" s="92"/>
      <c r="G65" s="89"/>
      <c r="H65" s="78"/>
      <c r="I65" s="74"/>
      <c r="J65" s="74"/>
      <c r="K65" s="74"/>
      <c r="L65" s="74"/>
      <c r="M65" s="74"/>
    </row>
    <row r="66">
      <c r="A66" s="92"/>
      <c r="B66" s="92"/>
      <c r="C66" s="92"/>
      <c r="D66" s="92"/>
      <c r="E66" s="92"/>
      <c r="F66" s="92"/>
      <c r="G66" s="89"/>
      <c r="H66" s="78"/>
      <c r="I66" s="74"/>
      <c r="J66" s="74"/>
      <c r="K66" s="74"/>
      <c r="L66" s="74"/>
      <c r="M66" s="74"/>
    </row>
    <row r="67">
      <c r="A67" s="92"/>
      <c r="B67" s="92"/>
      <c r="C67" s="92"/>
      <c r="D67" s="92"/>
      <c r="E67" s="92"/>
      <c r="F67" s="92"/>
      <c r="G67" s="89"/>
      <c r="H67" s="78"/>
      <c r="I67" s="74"/>
      <c r="J67" s="74"/>
      <c r="K67" s="74"/>
      <c r="L67" s="74"/>
      <c r="M67" s="74"/>
    </row>
    <row r="68">
      <c r="A68" s="92"/>
      <c r="B68" s="92"/>
      <c r="C68" s="92"/>
      <c r="D68" s="92"/>
      <c r="E68" s="92"/>
      <c r="F68" s="92"/>
      <c r="G68" s="89"/>
      <c r="H68" s="78"/>
      <c r="I68" s="74"/>
      <c r="J68" s="74"/>
      <c r="K68" s="74"/>
      <c r="L68" s="74"/>
      <c r="M68" s="74"/>
    </row>
    <row r="69">
      <c r="A69" s="92"/>
      <c r="B69" s="92"/>
      <c r="C69" s="92"/>
      <c r="D69" s="92"/>
      <c r="E69" s="92"/>
      <c r="F69" s="92"/>
      <c r="G69" s="89"/>
      <c r="H69" s="78"/>
      <c r="I69" s="74"/>
      <c r="J69" s="74"/>
      <c r="K69" s="74"/>
      <c r="L69" s="74"/>
      <c r="M69" s="74"/>
    </row>
    <row r="70">
      <c r="A70" s="92"/>
      <c r="B70" s="92"/>
      <c r="C70" s="92"/>
      <c r="D70" s="92"/>
      <c r="E70" s="92"/>
      <c r="F70" s="92"/>
      <c r="G70" s="89"/>
      <c r="H70" s="78"/>
      <c r="I70" s="74"/>
      <c r="J70" s="74"/>
      <c r="K70" s="74"/>
      <c r="L70" s="74"/>
      <c r="M70" s="74"/>
    </row>
    <row r="71">
      <c r="A71" s="92"/>
      <c r="B71" s="92"/>
      <c r="C71" s="92"/>
      <c r="D71" s="92"/>
      <c r="E71" s="92"/>
      <c r="F71" s="92"/>
      <c r="G71" s="89"/>
      <c r="H71" s="78"/>
      <c r="I71" s="74"/>
      <c r="J71" s="74"/>
      <c r="K71" s="74"/>
      <c r="L71" s="74"/>
      <c r="M71" s="74"/>
    </row>
    <row r="72">
      <c r="A72" s="92"/>
      <c r="B72" s="92"/>
      <c r="C72" s="92"/>
      <c r="D72" s="92"/>
      <c r="E72" s="92"/>
      <c r="F72" s="92"/>
      <c r="G72" s="89"/>
      <c r="H72" s="78"/>
      <c r="I72" s="74"/>
      <c r="J72" s="74"/>
      <c r="K72" s="74"/>
      <c r="L72" s="74"/>
      <c r="M72" s="74"/>
    </row>
    <row r="73">
      <c r="A73" s="92"/>
      <c r="B73" s="92"/>
      <c r="C73" s="92"/>
      <c r="D73" s="92"/>
      <c r="E73" s="92"/>
      <c r="F73" s="92"/>
      <c r="G73" s="89"/>
      <c r="H73" s="78"/>
      <c r="I73" s="74"/>
      <c r="J73" s="74"/>
      <c r="K73" s="74"/>
      <c r="L73" s="74"/>
      <c r="M73" s="74"/>
    </row>
    <row r="74">
      <c r="A74" s="92"/>
      <c r="B74" s="92"/>
      <c r="C74" s="92"/>
      <c r="D74" s="92"/>
      <c r="E74" s="92"/>
      <c r="F74" s="92"/>
      <c r="G74" s="89"/>
      <c r="H74" s="78"/>
      <c r="I74" s="74"/>
      <c r="J74" s="74"/>
      <c r="K74" s="74"/>
      <c r="L74" s="74"/>
      <c r="M74" s="74"/>
    </row>
    <row r="75">
      <c r="A75" s="92"/>
      <c r="B75" s="92"/>
      <c r="C75" s="92"/>
      <c r="D75" s="92"/>
      <c r="E75" s="92"/>
      <c r="F75" s="92"/>
      <c r="G75" s="89"/>
      <c r="H75" s="78"/>
      <c r="I75" s="74"/>
      <c r="J75" s="74"/>
      <c r="K75" s="74"/>
      <c r="L75" s="74"/>
      <c r="M75" s="74"/>
    </row>
    <row r="76">
      <c r="A76" s="92"/>
      <c r="B76" s="92"/>
      <c r="C76" s="92"/>
      <c r="D76" s="92"/>
      <c r="E76" s="92"/>
      <c r="F76" s="92"/>
      <c r="G76" s="89"/>
      <c r="H76" s="78"/>
      <c r="I76" s="74"/>
      <c r="J76" s="74"/>
      <c r="K76" s="74"/>
      <c r="L76" s="74"/>
      <c r="M76" s="74"/>
    </row>
    <row r="77">
      <c r="A77" s="92"/>
      <c r="B77" s="92"/>
      <c r="C77" s="92"/>
      <c r="D77" s="92"/>
      <c r="E77" s="92"/>
      <c r="F77" s="92"/>
      <c r="G77" s="89"/>
      <c r="H77" s="78"/>
      <c r="I77" s="74"/>
      <c r="J77" s="74"/>
      <c r="K77" s="74"/>
      <c r="L77" s="74"/>
      <c r="M77" s="74"/>
    </row>
    <row r="78">
      <c r="A78" s="92"/>
      <c r="B78" s="92"/>
      <c r="C78" s="92"/>
      <c r="D78" s="92"/>
      <c r="E78" s="92"/>
      <c r="F78" s="92"/>
      <c r="G78" s="89"/>
      <c r="H78" s="78"/>
      <c r="I78" s="74"/>
      <c r="J78" s="74"/>
      <c r="K78" s="74"/>
      <c r="L78" s="74"/>
      <c r="M78" s="74"/>
    </row>
    <row r="79">
      <c r="A79" s="92"/>
      <c r="B79" s="92"/>
      <c r="C79" s="92"/>
      <c r="D79" s="92"/>
      <c r="E79" s="92"/>
      <c r="F79" s="92"/>
      <c r="G79" s="89"/>
      <c r="H79" s="78"/>
      <c r="I79" s="74"/>
      <c r="J79" s="74"/>
      <c r="K79" s="74"/>
      <c r="L79" s="74"/>
      <c r="M79" s="74"/>
    </row>
    <row r="80">
      <c r="A80" s="92"/>
      <c r="B80" s="92"/>
      <c r="C80" s="92"/>
      <c r="D80" s="92"/>
      <c r="E80" s="92"/>
      <c r="F80" s="92"/>
      <c r="G80" s="89"/>
      <c r="H80" s="78"/>
      <c r="I80" s="74"/>
      <c r="J80" s="74"/>
      <c r="K80" s="74"/>
      <c r="L80" s="74"/>
      <c r="M80" s="74"/>
    </row>
    <row r="81">
      <c r="A81" s="92"/>
      <c r="B81" s="92"/>
      <c r="C81" s="92"/>
      <c r="D81" s="92"/>
      <c r="E81" s="92"/>
      <c r="F81" s="92"/>
      <c r="G81" s="89"/>
      <c r="H81" s="78"/>
      <c r="I81" s="74"/>
      <c r="J81" s="74"/>
      <c r="K81" s="74"/>
      <c r="L81" s="74"/>
      <c r="M81" s="74"/>
    </row>
    <row r="82">
      <c r="A82" s="92"/>
      <c r="B82" s="92"/>
      <c r="C82" s="92"/>
      <c r="D82" s="92"/>
      <c r="E82" s="92"/>
      <c r="F82" s="92"/>
      <c r="G82" s="89"/>
      <c r="H82" s="78"/>
      <c r="I82" s="74"/>
      <c r="J82" s="74"/>
      <c r="K82" s="74"/>
      <c r="L82" s="74"/>
      <c r="M82" s="74"/>
    </row>
    <row r="83">
      <c r="A83" s="92"/>
      <c r="B83" s="92"/>
      <c r="C83" s="92"/>
      <c r="D83" s="92"/>
      <c r="E83" s="92"/>
      <c r="F83" s="92"/>
      <c r="G83" s="89"/>
      <c r="H83" s="78"/>
      <c r="I83" s="74"/>
      <c r="J83" s="74"/>
      <c r="K83" s="74"/>
      <c r="L83" s="74"/>
      <c r="M83" s="74"/>
    </row>
    <row r="84">
      <c r="A84" s="92"/>
      <c r="B84" s="92"/>
      <c r="C84" s="92"/>
      <c r="D84" s="92"/>
      <c r="E84" s="92"/>
      <c r="F84" s="92"/>
      <c r="G84" s="89"/>
      <c r="H84" s="78"/>
      <c r="I84" s="74"/>
      <c r="J84" s="74"/>
      <c r="K84" s="74"/>
      <c r="L84" s="74"/>
      <c r="M84" s="74"/>
    </row>
    <row r="85">
      <c r="A85" s="92"/>
      <c r="B85" s="92"/>
      <c r="C85" s="92"/>
      <c r="D85" s="92"/>
      <c r="E85" s="92"/>
      <c r="F85" s="92"/>
      <c r="G85" s="89"/>
      <c r="H85" s="78"/>
      <c r="I85" s="74"/>
      <c r="J85" s="74"/>
      <c r="K85" s="74"/>
      <c r="L85" s="74"/>
      <c r="M85" s="74"/>
    </row>
    <row r="86">
      <c r="A86" s="92"/>
      <c r="B86" s="92"/>
      <c r="C86" s="92"/>
      <c r="D86" s="92"/>
      <c r="E86" s="92"/>
      <c r="F86" s="92"/>
      <c r="G86" s="89"/>
      <c r="H86" s="78"/>
      <c r="I86" s="74"/>
      <c r="J86" s="74"/>
      <c r="K86" s="74"/>
      <c r="L86" s="74"/>
      <c r="M86" s="74"/>
    </row>
    <row r="87">
      <c r="A87" s="92"/>
      <c r="B87" s="92"/>
      <c r="C87" s="92"/>
      <c r="D87" s="92"/>
      <c r="E87" s="92"/>
      <c r="F87" s="92"/>
      <c r="G87" s="89"/>
      <c r="H87" s="78"/>
      <c r="I87" s="74"/>
      <c r="J87" s="74"/>
      <c r="K87" s="74"/>
      <c r="L87" s="74"/>
      <c r="M87" s="74"/>
    </row>
    <row r="88">
      <c r="A88" s="92"/>
      <c r="B88" s="92"/>
      <c r="C88" s="92"/>
      <c r="D88" s="92"/>
      <c r="E88" s="92"/>
      <c r="F88" s="92"/>
      <c r="G88" s="89"/>
      <c r="H88" s="78"/>
      <c r="I88" s="74"/>
      <c r="J88" s="74"/>
      <c r="K88" s="74"/>
      <c r="L88" s="74"/>
      <c r="M88" s="74"/>
    </row>
    <row r="89">
      <c r="A89" s="92"/>
      <c r="B89" s="92"/>
      <c r="C89" s="92"/>
      <c r="D89" s="92"/>
      <c r="E89" s="92"/>
      <c r="F89" s="92"/>
      <c r="G89" s="89"/>
      <c r="H89" s="78"/>
      <c r="I89" s="74"/>
      <c r="J89" s="74"/>
      <c r="K89" s="74"/>
      <c r="L89" s="74"/>
      <c r="M89" s="74"/>
    </row>
    <row r="90">
      <c r="A90" s="92"/>
      <c r="B90" s="92"/>
      <c r="C90" s="92"/>
      <c r="D90" s="92"/>
      <c r="E90" s="92"/>
      <c r="F90" s="92"/>
      <c r="G90" s="89"/>
      <c r="H90" s="78"/>
      <c r="I90" s="74"/>
      <c r="J90" s="74"/>
      <c r="K90" s="74"/>
      <c r="L90" s="74"/>
      <c r="M90" s="74"/>
    </row>
    <row r="91">
      <c r="A91" s="92"/>
      <c r="B91" s="92"/>
      <c r="C91" s="92"/>
      <c r="D91" s="92"/>
      <c r="E91" s="92"/>
      <c r="F91" s="92"/>
      <c r="G91" s="89"/>
      <c r="H91" s="78"/>
      <c r="I91" s="74"/>
      <c r="J91" s="74"/>
      <c r="K91" s="74"/>
      <c r="L91" s="74"/>
      <c r="M91" s="74"/>
    </row>
    <row r="92">
      <c r="A92" s="92"/>
      <c r="B92" s="92"/>
      <c r="C92" s="92"/>
      <c r="D92" s="92"/>
      <c r="E92" s="92"/>
      <c r="F92" s="92"/>
      <c r="G92" s="89"/>
      <c r="H92" s="78"/>
      <c r="I92" s="74"/>
      <c r="J92" s="74"/>
      <c r="K92" s="74"/>
      <c r="L92" s="74"/>
      <c r="M92" s="74"/>
    </row>
    <row r="93">
      <c r="A93" s="92"/>
      <c r="B93" s="92"/>
      <c r="C93" s="92"/>
      <c r="D93" s="92"/>
      <c r="E93" s="92"/>
      <c r="F93" s="92"/>
      <c r="G93" s="89"/>
      <c r="H93" s="78"/>
      <c r="I93" s="74"/>
      <c r="J93" s="74"/>
      <c r="K93" s="74"/>
      <c r="L93" s="74"/>
      <c r="M93" s="74"/>
    </row>
    <row r="94">
      <c r="A94" s="92"/>
      <c r="B94" s="92"/>
      <c r="C94" s="92"/>
      <c r="D94" s="92"/>
      <c r="E94" s="92"/>
      <c r="F94" s="92"/>
      <c r="G94" s="89"/>
      <c r="H94" s="78"/>
      <c r="I94" s="74"/>
      <c r="J94" s="74"/>
      <c r="K94" s="74"/>
      <c r="L94" s="74"/>
      <c r="M94" s="74"/>
    </row>
    <row r="95">
      <c r="A95" s="92"/>
      <c r="B95" s="92"/>
      <c r="C95" s="92"/>
      <c r="D95" s="92"/>
      <c r="E95" s="92"/>
      <c r="F95" s="92"/>
      <c r="G95" s="89"/>
      <c r="H95" s="78"/>
      <c r="I95" s="74"/>
      <c r="J95" s="74"/>
      <c r="K95" s="74"/>
      <c r="L95" s="74"/>
      <c r="M95" s="74"/>
    </row>
    <row r="96">
      <c r="A96" s="92"/>
      <c r="B96" s="92"/>
      <c r="C96" s="92"/>
      <c r="D96" s="92"/>
      <c r="E96" s="92"/>
      <c r="F96" s="92"/>
      <c r="G96" s="89"/>
      <c r="H96" s="78"/>
      <c r="I96" s="74"/>
      <c r="J96" s="74"/>
      <c r="K96" s="74"/>
      <c r="L96" s="74"/>
      <c r="M96" s="74"/>
    </row>
    <row r="97">
      <c r="A97" s="92"/>
      <c r="B97" s="92"/>
      <c r="C97" s="92"/>
      <c r="D97" s="92"/>
      <c r="E97" s="92"/>
      <c r="F97" s="92"/>
      <c r="G97" s="89"/>
      <c r="H97" s="78"/>
      <c r="I97" s="74"/>
      <c r="J97" s="74"/>
      <c r="K97" s="74"/>
      <c r="L97" s="74"/>
      <c r="M97" s="74"/>
    </row>
    <row r="98">
      <c r="A98" s="92"/>
      <c r="B98" s="92"/>
      <c r="C98" s="92"/>
      <c r="D98" s="92"/>
      <c r="E98" s="92"/>
      <c r="F98" s="92"/>
      <c r="G98" s="89"/>
      <c r="H98" s="78"/>
      <c r="I98" s="74"/>
      <c r="J98" s="74"/>
      <c r="K98" s="74"/>
      <c r="L98" s="74"/>
      <c r="M98" s="74"/>
    </row>
    <row r="99">
      <c r="A99" s="92"/>
      <c r="B99" s="92"/>
      <c r="C99" s="92"/>
      <c r="D99" s="92"/>
      <c r="E99" s="92"/>
      <c r="F99" s="92"/>
      <c r="G99" s="89"/>
      <c r="H99" s="78"/>
      <c r="I99" s="74"/>
      <c r="J99" s="74"/>
      <c r="K99" s="74"/>
      <c r="L99" s="74"/>
      <c r="M99" s="74"/>
    </row>
    <row r="100">
      <c r="A100" s="92"/>
      <c r="B100" s="92"/>
      <c r="C100" s="92"/>
      <c r="D100" s="92"/>
      <c r="E100" s="92"/>
      <c r="F100" s="92"/>
      <c r="G100" s="89"/>
      <c r="H100" s="78"/>
      <c r="I100" s="74"/>
      <c r="J100" s="74"/>
      <c r="K100" s="74"/>
      <c r="L100" s="74"/>
      <c r="M100" s="74"/>
    </row>
    <row r="101">
      <c r="A101" s="92"/>
      <c r="B101" s="92"/>
      <c r="C101" s="92"/>
      <c r="D101" s="92"/>
      <c r="E101" s="92"/>
      <c r="F101" s="92"/>
      <c r="G101" s="89"/>
      <c r="H101" s="78"/>
      <c r="I101" s="74"/>
      <c r="J101" s="74"/>
      <c r="K101" s="74"/>
      <c r="L101" s="74"/>
      <c r="M101" s="74"/>
    </row>
    <row r="102">
      <c r="A102" s="92"/>
      <c r="B102" s="92"/>
      <c r="C102" s="92"/>
      <c r="D102" s="92"/>
      <c r="E102" s="92"/>
      <c r="F102" s="92"/>
      <c r="G102" s="89"/>
      <c r="H102" s="78"/>
      <c r="I102" s="74"/>
      <c r="J102" s="74"/>
      <c r="K102" s="74"/>
      <c r="L102" s="74"/>
      <c r="M102" s="74"/>
    </row>
    <row r="103">
      <c r="A103" s="92"/>
      <c r="B103" s="92"/>
      <c r="C103" s="92"/>
      <c r="D103" s="92"/>
      <c r="E103" s="92"/>
      <c r="F103" s="92"/>
      <c r="G103" s="89"/>
      <c r="H103" s="78"/>
      <c r="I103" s="74"/>
      <c r="J103" s="74"/>
      <c r="K103" s="74"/>
      <c r="L103" s="74"/>
      <c r="M103" s="74"/>
    </row>
    <row r="104">
      <c r="A104" s="92"/>
      <c r="B104" s="92"/>
      <c r="C104" s="92"/>
      <c r="D104" s="92"/>
      <c r="E104" s="92"/>
      <c r="F104" s="92"/>
      <c r="G104" s="89"/>
      <c r="H104" s="78"/>
      <c r="I104" s="74"/>
      <c r="J104" s="74"/>
      <c r="K104" s="74"/>
      <c r="L104" s="74"/>
      <c r="M104" s="74"/>
    </row>
    <row r="105">
      <c r="A105" s="92"/>
      <c r="B105" s="92"/>
      <c r="C105" s="92"/>
      <c r="D105" s="92"/>
      <c r="E105" s="92"/>
      <c r="F105" s="92"/>
      <c r="G105" s="89"/>
      <c r="H105" s="78"/>
      <c r="I105" s="74"/>
      <c r="J105" s="74"/>
      <c r="K105" s="74"/>
      <c r="L105" s="74"/>
      <c r="M105" s="74"/>
    </row>
    <row r="106">
      <c r="A106" s="92"/>
      <c r="B106" s="92"/>
      <c r="C106" s="92"/>
      <c r="D106" s="92"/>
      <c r="E106" s="92"/>
      <c r="F106" s="92"/>
      <c r="G106" s="89"/>
      <c r="H106" s="78"/>
      <c r="I106" s="74"/>
      <c r="J106" s="74"/>
      <c r="K106" s="74"/>
      <c r="L106" s="74"/>
      <c r="M106" s="74"/>
    </row>
    <row r="107">
      <c r="A107" s="92"/>
      <c r="B107" s="92"/>
      <c r="C107" s="92"/>
      <c r="D107" s="92"/>
      <c r="E107" s="92"/>
      <c r="F107" s="92"/>
      <c r="G107" s="89"/>
      <c r="H107" s="78"/>
      <c r="I107" s="74"/>
      <c r="J107" s="74"/>
      <c r="K107" s="74"/>
      <c r="L107" s="74"/>
      <c r="M107" s="74"/>
    </row>
    <row r="108">
      <c r="A108" s="92"/>
      <c r="B108" s="92"/>
      <c r="C108" s="92"/>
      <c r="D108" s="92"/>
      <c r="E108" s="92"/>
      <c r="F108" s="92"/>
      <c r="G108" s="89"/>
      <c r="H108" s="78"/>
      <c r="I108" s="74"/>
      <c r="J108" s="74"/>
      <c r="K108" s="74"/>
      <c r="L108" s="74"/>
      <c r="M108" s="74"/>
    </row>
    <row r="109">
      <c r="A109" s="92"/>
      <c r="B109" s="92"/>
      <c r="C109" s="92"/>
      <c r="D109" s="92"/>
      <c r="E109" s="92"/>
      <c r="F109" s="92"/>
      <c r="G109" s="89"/>
      <c r="H109" s="78"/>
      <c r="I109" s="74"/>
      <c r="J109" s="74"/>
      <c r="K109" s="74"/>
      <c r="L109" s="74"/>
      <c r="M109" s="74"/>
    </row>
    <row r="110">
      <c r="A110" s="92"/>
      <c r="B110" s="92"/>
      <c r="C110" s="92"/>
      <c r="D110" s="92"/>
      <c r="E110" s="92"/>
      <c r="F110" s="92"/>
      <c r="G110" s="89"/>
      <c r="H110" s="78"/>
      <c r="I110" s="74"/>
      <c r="J110" s="74"/>
      <c r="K110" s="74"/>
      <c r="L110" s="74"/>
      <c r="M110" s="74"/>
    </row>
    <row r="111">
      <c r="A111" s="92"/>
      <c r="B111" s="92"/>
      <c r="C111" s="92"/>
      <c r="D111" s="92"/>
      <c r="E111" s="92"/>
      <c r="F111" s="92"/>
      <c r="G111" s="89"/>
      <c r="H111" s="78"/>
      <c r="I111" s="74"/>
      <c r="J111" s="74"/>
      <c r="K111" s="74"/>
      <c r="L111" s="74"/>
      <c r="M111" s="74"/>
    </row>
    <row r="112">
      <c r="A112" s="92"/>
      <c r="B112" s="92"/>
      <c r="C112" s="92"/>
      <c r="D112" s="92"/>
      <c r="E112" s="92"/>
      <c r="F112" s="92"/>
      <c r="G112" s="89"/>
      <c r="H112" s="78"/>
      <c r="I112" s="74"/>
      <c r="J112" s="74"/>
      <c r="K112" s="74"/>
      <c r="L112" s="74"/>
      <c r="M112" s="74"/>
    </row>
    <row r="113">
      <c r="A113" s="92"/>
      <c r="B113" s="92"/>
      <c r="C113" s="92"/>
      <c r="D113" s="92"/>
      <c r="E113" s="92"/>
      <c r="F113" s="92"/>
      <c r="G113" s="89"/>
      <c r="H113" s="78"/>
      <c r="I113" s="74"/>
      <c r="J113" s="74"/>
      <c r="K113" s="74"/>
      <c r="L113" s="74"/>
      <c r="M113" s="74"/>
    </row>
    <row r="114">
      <c r="A114" s="92"/>
      <c r="B114" s="92"/>
      <c r="C114" s="92"/>
      <c r="D114" s="92"/>
      <c r="E114" s="92"/>
      <c r="F114" s="92"/>
      <c r="G114" s="89"/>
      <c r="H114" s="78"/>
      <c r="I114" s="74"/>
      <c r="J114" s="74"/>
      <c r="K114" s="74"/>
      <c r="L114" s="74"/>
      <c r="M114" s="74"/>
    </row>
    <row r="115">
      <c r="A115" s="92"/>
      <c r="B115" s="92"/>
      <c r="C115" s="92"/>
      <c r="D115" s="92"/>
      <c r="E115" s="92"/>
      <c r="F115" s="92"/>
      <c r="G115" s="89"/>
      <c r="H115" s="78"/>
      <c r="I115" s="74"/>
      <c r="J115" s="74"/>
      <c r="K115" s="74"/>
      <c r="L115" s="74"/>
      <c r="M115" s="74"/>
    </row>
    <row r="116">
      <c r="A116" s="92"/>
      <c r="B116" s="92"/>
      <c r="C116" s="92"/>
      <c r="D116" s="92"/>
      <c r="E116" s="92"/>
      <c r="F116" s="92"/>
      <c r="G116" s="89"/>
      <c r="H116" s="78"/>
      <c r="I116" s="74"/>
      <c r="J116" s="74"/>
      <c r="K116" s="74"/>
      <c r="L116" s="74"/>
      <c r="M116" s="74"/>
    </row>
    <row r="117">
      <c r="A117" s="92"/>
      <c r="B117" s="92"/>
      <c r="C117" s="92"/>
      <c r="D117" s="92"/>
      <c r="E117" s="92"/>
      <c r="F117" s="92"/>
      <c r="G117" s="89"/>
      <c r="H117" s="78"/>
      <c r="I117" s="74"/>
      <c r="J117" s="74"/>
      <c r="K117" s="74"/>
      <c r="L117" s="74"/>
      <c r="M117" s="74"/>
    </row>
    <row r="118">
      <c r="A118" s="92"/>
      <c r="B118" s="92"/>
      <c r="C118" s="92"/>
      <c r="D118" s="92"/>
      <c r="E118" s="92"/>
      <c r="F118" s="92"/>
      <c r="G118" s="89"/>
      <c r="H118" s="78"/>
      <c r="I118" s="74"/>
      <c r="J118" s="74"/>
      <c r="K118" s="74"/>
      <c r="L118" s="74"/>
      <c r="M118" s="74"/>
    </row>
    <row r="119">
      <c r="A119" s="92"/>
      <c r="B119" s="92"/>
      <c r="C119" s="92"/>
      <c r="D119" s="92"/>
      <c r="E119" s="92"/>
      <c r="F119" s="92"/>
      <c r="G119" s="89"/>
      <c r="H119" s="78"/>
      <c r="I119" s="74"/>
      <c r="J119" s="74"/>
      <c r="K119" s="74"/>
      <c r="L119" s="74"/>
      <c r="M119" s="74"/>
    </row>
    <row r="120">
      <c r="A120" s="92"/>
      <c r="B120" s="92"/>
      <c r="C120" s="92"/>
      <c r="D120" s="92"/>
      <c r="E120" s="92"/>
      <c r="F120" s="92"/>
      <c r="G120" s="89"/>
      <c r="H120" s="78"/>
      <c r="I120" s="74"/>
      <c r="J120" s="74"/>
      <c r="K120" s="74"/>
      <c r="L120" s="74"/>
      <c r="M120" s="74"/>
    </row>
    <row r="121">
      <c r="A121" s="92"/>
      <c r="B121" s="92"/>
      <c r="C121" s="92"/>
      <c r="D121" s="92"/>
      <c r="E121" s="92"/>
      <c r="F121" s="92"/>
      <c r="G121" s="89"/>
      <c r="H121" s="78"/>
      <c r="I121" s="74"/>
      <c r="J121" s="74"/>
      <c r="K121" s="74"/>
      <c r="L121" s="74"/>
      <c r="M121" s="74"/>
    </row>
    <row r="122">
      <c r="A122" s="92"/>
      <c r="B122" s="92"/>
      <c r="C122" s="92"/>
      <c r="D122" s="92"/>
      <c r="E122" s="92"/>
      <c r="F122" s="92"/>
      <c r="G122" s="89"/>
      <c r="H122" s="78"/>
      <c r="I122" s="74"/>
      <c r="J122" s="74"/>
      <c r="K122" s="74"/>
      <c r="L122" s="74"/>
      <c r="M122" s="74"/>
    </row>
    <row r="123">
      <c r="A123" s="92"/>
      <c r="B123" s="92"/>
      <c r="C123" s="92"/>
      <c r="D123" s="92"/>
      <c r="E123" s="92"/>
      <c r="F123" s="92"/>
      <c r="G123" s="89"/>
      <c r="H123" s="78"/>
      <c r="I123" s="74"/>
      <c r="J123" s="74"/>
      <c r="K123" s="74"/>
      <c r="L123" s="74"/>
      <c r="M123" s="74"/>
    </row>
    <row r="124">
      <c r="A124" s="92"/>
      <c r="B124" s="92"/>
      <c r="C124" s="92"/>
      <c r="D124" s="92"/>
      <c r="E124" s="92"/>
      <c r="F124" s="92"/>
      <c r="G124" s="89"/>
      <c r="H124" s="78"/>
      <c r="I124" s="74"/>
      <c r="J124" s="74"/>
      <c r="K124" s="74"/>
      <c r="L124" s="74"/>
      <c r="M124" s="74"/>
    </row>
    <row r="125">
      <c r="A125" s="92"/>
      <c r="B125" s="92"/>
      <c r="C125" s="92"/>
      <c r="D125" s="92"/>
      <c r="E125" s="92"/>
      <c r="F125" s="92"/>
      <c r="G125" s="89"/>
      <c r="H125" s="78"/>
      <c r="I125" s="74"/>
      <c r="J125" s="74"/>
      <c r="K125" s="74"/>
      <c r="L125" s="74"/>
      <c r="M125" s="74"/>
    </row>
    <row r="126">
      <c r="A126" s="92"/>
      <c r="B126" s="92"/>
      <c r="C126" s="92"/>
      <c r="D126" s="92"/>
      <c r="E126" s="92"/>
      <c r="F126" s="92"/>
      <c r="G126" s="89"/>
      <c r="H126" s="78"/>
      <c r="I126" s="74"/>
      <c r="J126" s="74"/>
      <c r="K126" s="74"/>
      <c r="L126" s="74"/>
      <c r="M126" s="74"/>
    </row>
    <row r="127">
      <c r="A127" s="92"/>
      <c r="B127" s="92"/>
      <c r="C127" s="92"/>
      <c r="D127" s="92"/>
      <c r="E127" s="92"/>
      <c r="F127" s="92"/>
      <c r="G127" s="89"/>
      <c r="H127" s="78"/>
      <c r="I127" s="74"/>
      <c r="J127" s="74"/>
      <c r="K127" s="74"/>
      <c r="L127" s="74"/>
      <c r="M127" s="74"/>
    </row>
    <row r="128">
      <c r="A128" s="92"/>
      <c r="B128" s="92"/>
      <c r="C128" s="92"/>
      <c r="D128" s="92"/>
      <c r="E128" s="92"/>
      <c r="F128" s="92"/>
      <c r="G128" s="89"/>
      <c r="H128" s="78"/>
      <c r="I128" s="74"/>
      <c r="J128" s="74"/>
      <c r="K128" s="74"/>
      <c r="L128" s="74"/>
      <c r="M128" s="74"/>
    </row>
    <row r="129">
      <c r="A129" s="92"/>
      <c r="B129" s="92"/>
      <c r="C129" s="92"/>
      <c r="D129" s="92"/>
      <c r="E129" s="92"/>
      <c r="F129" s="92"/>
      <c r="G129" s="89"/>
      <c r="H129" s="78"/>
      <c r="I129" s="74"/>
      <c r="J129" s="74"/>
      <c r="K129" s="74"/>
      <c r="L129" s="74"/>
      <c r="M129" s="74"/>
    </row>
    <row r="130">
      <c r="A130" s="92"/>
      <c r="B130" s="92"/>
      <c r="C130" s="92"/>
      <c r="D130" s="92"/>
      <c r="E130" s="92"/>
      <c r="F130" s="92"/>
      <c r="G130" s="89"/>
      <c r="H130" s="78"/>
      <c r="I130" s="74"/>
      <c r="J130" s="74"/>
      <c r="K130" s="74"/>
      <c r="L130" s="74"/>
      <c r="M130" s="74"/>
    </row>
    <row r="131">
      <c r="A131" s="92"/>
      <c r="B131" s="92"/>
      <c r="C131" s="92"/>
      <c r="D131" s="92"/>
      <c r="E131" s="92"/>
      <c r="F131" s="92"/>
      <c r="G131" s="89"/>
      <c r="H131" s="78"/>
      <c r="I131" s="74"/>
      <c r="J131" s="74"/>
      <c r="K131" s="74"/>
      <c r="L131" s="74"/>
      <c r="M131" s="74"/>
    </row>
    <row r="132">
      <c r="A132" s="92"/>
      <c r="B132" s="92"/>
      <c r="C132" s="92"/>
      <c r="D132" s="92"/>
      <c r="E132" s="92"/>
      <c r="F132" s="92"/>
      <c r="G132" s="89"/>
      <c r="H132" s="78"/>
      <c r="I132" s="74"/>
      <c r="J132" s="74"/>
      <c r="K132" s="74"/>
      <c r="L132" s="74"/>
      <c r="M132" s="74"/>
    </row>
    <row r="133">
      <c r="A133" s="92"/>
      <c r="B133" s="92"/>
      <c r="C133" s="92"/>
      <c r="D133" s="92"/>
      <c r="E133" s="92"/>
      <c r="F133" s="92"/>
      <c r="G133" s="89"/>
      <c r="H133" s="78"/>
      <c r="I133" s="74"/>
      <c r="J133" s="74"/>
      <c r="K133" s="74"/>
      <c r="L133" s="74"/>
      <c r="M133" s="74"/>
    </row>
    <row r="134">
      <c r="A134" s="92"/>
      <c r="B134" s="92"/>
      <c r="C134" s="92"/>
      <c r="D134" s="92"/>
      <c r="E134" s="92"/>
      <c r="F134" s="92"/>
      <c r="G134" s="89"/>
      <c r="H134" s="78"/>
      <c r="I134" s="74"/>
      <c r="J134" s="74"/>
      <c r="K134" s="74"/>
      <c r="L134" s="74"/>
      <c r="M134" s="74"/>
    </row>
    <row r="135">
      <c r="A135" s="92"/>
      <c r="B135" s="92"/>
      <c r="C135" s="92"/>
      <c r="D135" s="92"/>
      <c r="E135" s="92"/>
      <c r="F135" s="92"/>
      <c r="G135" s="89"/>
      <c r="H135" s="78"/>
      <c r="I135" s="74"/>
      <c r="J135" s="74"/>
      <c r="K135" s="74"/>
      <c r="L135" s="74"/>
      <c r="M135" s="74"/>
    </row>
    <row r="136">
      <c r="A136" s="92"/>
      <c r="B136" s="92"/>
      <c r="C136" s="92"/>
      <c r="D136" s="92"/>
      <c r="E136" s="92"/>
      <c r="F136" s="92"/>
      <c r="G136" s="89"/>
      <c r="H136" s="78"/>
      <c r="I136" s="74"/>
      <c r="J136" s="74"/>
      <c r="K136" s="74"/>
      <c r="L136" s="74"/>
      <c r="M136" s="74"/>
    </row>
    <row r="137">
      <c r="A137" s="92"/>
      <c r="B137" s="92"/>
      <c r="C137" s="92"/>
      <c r="D137" s="92"/>
      <c r="E137" s="92"/>
      <c r="F137" s="92"/>
      <c r="G137" s="89"/>
      <c r="H137" s="78"/>
      <c r="I137" s="74"/>
      <c r="J137" s="74"/>
      <c r="K137" s="74"/>
      <c r="L137" s="74"/>
      <c r="M137" s="74"/>
    </row>
    <row r="138">
      <c r="A138" s="92"/>
      <c r="B138" s="92"/>
      <c r="C138" s="92"/>
      <c r="D138" s="92"/>
      <c r="E138" s="92"/>
      <c r="F138" s="92"/>
      <c r="G138" s="89"/>
      <c r="H138" s="78"/>
      <c r="I138" s="74"/>
      <c r="J138" s="74"/>
      <c r="K138" s="74"/>
      <c r="L138" s="74"/>
      <c r="M138" s="74"/>
    </row>
    <row r="139">
      <c r="A139" s="92"/>
      <c r="B139" s="92"/>
      <c r="C139" s="92"/>
      <c r="D139" s="92"/>
      <c r="E139" s="92"/>
      <c r="F139" s="92"/>
      <c r="G139" s="89"/>
      <c r="H139" s="78"/>
      <c r="I139" s="74"/>
      <c r="J139" s="74"/>
      <c r="K139" s="74"/>
      <c r="L139" s="74"/>
      <c r="M139" s="74"/>
    </row>
    <row r="140">
      <c r="A140" s="92"/>
      <c r="B140" s="92"/>
      <c r="C140" s="92"/>
      <c r="D140" s="92"/>
      <c r="E140" s="92"/>
      <c r="F140" s="92"/>
      <c r="G140" s="89"/>
      <c r="H140" s="78"/>
      <c r="I140" s="74"/>
      <c r="J140" s="74"/>
      <c r="K140" s="74"/>
      <c r="L140" s="74"/>
      <c r="M140" s="74"/>
    </row>
    <row r="141">
      <c r="A141" s="92"/>
      <c r="B141" s="92"/>
      <c r="C141" s="92"/>
      <c r="D141" s="92"/>
      <c r="E141" s="92"/>
      <c r="F141" s="92"/>
      <c r="G141" s="89"/>
      <c r="H141" s="78"/>
      <c r="I141" s="74"/>
      <c r="J141" s="74"/>
      <c r="K141" s="74"/>
      <c r="L141" s="74"/>
      <c r="M141" s="74"/>
    </row>
    <row r="142">
      <c r="A142" s="92"/>
      <c r="B142" s="92"/>
      <c r="C142" s="92"/>
      <c r="D142" s="92"/>
      <c r="E142" s="92"/>
      <c r="F142" s="92"/>
      <c r="G142" s="89"/>
      <c r="H142" s="78"/>
      <c r="I142" s="74"/>
      <c r="J142" s="74"/>
      <c r="K142" s="74"/>
      <c r="L142" s="74"/>
      <c r="M142" s="74"/>
    </row>
    <row r="143">
      <c r="A143" s="92"/>
      <c r="B143" s="92"/>
      <c r="C143" s="92"/>
      <c r="D143" s="92"/>
      <c r="E143" s="92"/>
      <c r="F143" s="92"/>
      <c r="G143" s="89"/>
      <c r="H143" s="78"/>
      <c r="I143" s="74"/>
      <c r="J143" s="74"/>
      <c r="K143" s="74"/>
      <c r="L143" s="74"/>
      <c r="M143" s="74"/>
    </row>
    <row r="144">
      <c r="A144" s="92"/>
      <c r="B144" s="92"/>
      <c r="C144" s="92"/>
      <c r="D144" s="92"/>
      <c r="E144" s="92"/>
      <c r="F144" s="92"/>
      <c r="G144" s="89"/>
      <c r="H144" s="78"/>
      <c r="I144" s="74"/>
      <c r="J144" s="74"/>
      <c r="K144" s="74"/>
      <c r="L144" s="74"/>
      <c r="M144" s="74"/>
    </row>
    <row r="145">
      <c r="A145" s="92"/>
      <c r="B145" s="92"/>
      <c r="C145" s="92"/>
      <c r="D145" s="92"/>
      <c r="E145" s="92"/>
      <c r="F145" s="92"/>
      <c r="G145" s="89"/>
      <c r="H145" s="78"/>
      <c r="I145" s="74"/>
      <c r="J145" s="74"/>
      <c r="K145" s="74"/>
      <c r="L145" s="74"/>
      <c r="M145" s="74"/>
    </row>
    <row r="146">
      <c r="A146" s="92"/>
      <c r="B146" s="92"/>
      <c r="C146" s="92"/>
      <c r="D146" s="92"/>
      <c r="E146" s="92"/>
      <c r="F146" s="92"/>
      <c r="G146" s="89"/>
      <c r="H146" s="78"/>
      <c r="I146" s="74"/>
      <c r="J146" s="74"/>
      <c r="K146" s="74"/>
      <c r="L146" s="74"/>
      <c r="M146" s="74"/>
    </row>
    <row r="147">
      <c r="A147" s="92"/>
      <c r="B147" s="92"/>
      <c r="C147" s="92"/>
      <c r="D147" s="92"/>
      <c r="E147" s="92"/>
      <c r="F147" s="92"/>
      <c r="G147" s="89"/>
      <c r="H147" s="78"/>
      <c r="I147" s="74"/>
      <c r="J147" s="74"/>
      <c r="K147" s="74"/>
      <c r="L147" s="74"/>
      <c r="M147" s="74"/>
    </row>
    <row r="148">
      <c r="A148" s="92"/>
      <c r="B148" s="92"/>
      <c r="C148" s="92"/>
      <c r="D148" s="92"/>
      <c r="E148" s="92"/>
      <c r="F148" s="92"/>
      <c r="G148" s="89"/>
      <c r="H148" s="78"/>
      <c r="I148" s="74"/>
      <c r="J148" s="74"/>
      <c r="K148" s="74"/>
      <c r="L148" s="74"/>
      <c r="M148" s="74"/>
    </row>
    <row r="149">
      <c r="A149" s="92"/>
      <c r="B149" s="92"/>
      <c r="C149" s="92"/>
      <c r="D149" s="92"/>
      <c r="E149" s="92"/>
      <c r="F149" s="92"/>
      <c r="G149" s="89"/>
      <c r="H149" s="78"/>
      <c r="I149" s="74"/>
      <c r="J149" s="74"/>
      <c r="K149" s="74"/>
      <c r="L149" s="74"/>
      <c r="M149" s="74"/>
    </row>
    <row r="150">
      <c r="A150" s="92"/>
      <c r="B150" s="92"/>
      <c r="C150" s="92"/>
      <c r="D150" s="92"/>
      <c r="E150" s="92"/>
      <c r="F150" s="92"/>
      <c r="G150" s="89"/>
      <c r="H150" s="78"/>
      <c r="I150" s="74"/>
      <c r="J150" s="74"/>
      <c r="K150" s="74"/>
      <c r="L150" s="74"/>
      <c r="M150" s="74"/>
    </row>
    <row r="151">
      <c r="A151" s="92"/>
      <c r="B151" s="92"/>
      <c r="C151" s="92"/>
      <c r="D151" s="92"/>
      <c r="E151" s="92"/>
      <c r="F151" s="92"/>
      <c r="G151" s="89"/>
      <c r="H151" s="78"/>
      <c r="I151" s="74"/>
      <c r="J151" s="74"/>
      <c r="K151" s="74"/>
      <c r="L151" s="74"/>
      <c r="M151" s="74"/>
    </row>
    <row r="152">
      <c r="A152" s="92"/>
      <c r="B152" s="92"/>
      <c r="C152" s="92"/>
      <c r="D152" s="92"/>
      <c r="E152" s="92"/>
      <c r="F152" s="92"/>
      <c r="G152" s="89"/>
      <c r="H152" s="78"/>
      <c r="I152" s="74"/>
      <c r="J152" s="74"/>
      <c r="K152" s="74"/>
      <c r="L152" s="74"/>
      <c r="M152" s="74"/>
    </row>
    <row r="153">
      <c r="A153" s="92"/>
      <c r="B153" s="92"/>
      <c r="C153" s="92"/>
      <c r="D153" s="92"/>
      <c r="E153" s="92"/>
      <c r="F153" s="92"/>
      <c r="G153" s="89"/>
      <c r="H153" s="78"/>
      <c r="I153" s="74"/>
      <c r="J153" s="74"/>
      <c r="K153" s="74"/>
      <c r="L153" s="74"/>
      <c r="M153" s="74"/>
    </row>
    <row r="154">
      <c r="A154" s="92"/>
      <c r="B154" s="92"/>
      <c r="C154" s="92"/>
      <c r="D154" s="92"/>
      <c r="E154" s="92"/>
      <c r="F154" s="92"/>
      <c r="G154" s="89"/>
      <c r="H154" s="78"/>
      <c r="I154" s="74"/>
      <c r="J154" s="74"/>
      <c r="K154" s="74"/>
      <c r="L154" s="74"/>
      <c r="M154" s="74"/>
    </row>
    <row r="155">
      <c r="A155" s="92"/>
      <c r="B155" s="92"/>
      <c r="C155" s="92"/>
      <c r="D155" s="92"/>
      <c r="E155" s="92"/>
      <c r="F155" s="92"/>
      <c r="G155" s="89"/>
      <c r="H155" s="78"/>
      <c r="I155" s="74"/>
      <c r="J155" s="74"/>
      <c r="K155" s="74"/>
      <c r="L155" s="74"/>
      <c r="M155" s="74"/>
    </row>
    <row r="156">
      <c r="A156" s="92"/>
      <c r="B156" s="92"/>
      <c r="C156" s="92"/>
      <c r="D156" s="92"/>
      <c r="E156" s="92"/>
      <c r="F156" s="92"/>
      <c r="G156" s="89"/>
      <c r="H156" s="78"/>
      <c r="I156" s="74"/>
      <c r="J156" s="74"/>
      <c r="K156" s="74"/>
      <c r="L156" s="74"/>
      <c r="M156" s="74"/>
    </row>
    <row r="157">
      <c r="A157" s="92"/>
      <c r="B157" s="92"/>
      <c r="C157" s="92"/>
      <c r="D157" s="92"/>
      <c r="E157" s="92"/>
      <c r="F157" s="92"/>
      <c r="G157" s="89"/>
      <c r="H157" s="78"/>
      <c r="I157" s="74"/>
      <c r="J157" s="74"/>
      <c r="K157" s="74"/>
      <c r="L157" s="74"/>
      <c r="M157" s="74"/>
    </row>
    <row r="158">
      <c r="A158" s="92"/>
      <c r="B158" s="92"/>
      <c r="C158" s="92"/>
      <c r="D158" s="92"/>
      <c r="E158" s="92"/>
      <c r="F158" s="92"/>
      <c r="G158" s="89"/>
      <c r="H158" s="78"/>
      <c r="I158" s="74"/>
      <c r="J158" s="74"/>
      <c r="K158" s="74"/>
      <c r="L158" s="74"/>
      <c r="M158" s="74"/>
    </row>
    <row r="159">
      <c r="A159" s="92"/>
      <c r="B159" s="92"/>
      <c r="C159" s="92"/>
      <c r="D159" s="92"/>
      <c r="E159" s="92"/>
      <c r="F159" s="92"/>
      <c r="G159" s="89"/>
      <c r="H159" s="78"/>
      <c r="I159" s="74"/>
      <c r="J159" s="74"/>
      <c r="K159" s="74"/>
      <c r="L159" s="74"/>
      <c r="M159" s="74"/>
    </row>
    <row r="160">
      <c r="A160" s="92"/>
      <c r="B160" s="92"/>
      <c r="C160" s="92"/>
      <c r="D160" s="92"/>
      <c r="E160" s="92"/>
      <c r="F160" s="92"/>
      <c r="G160" s="89"/>
      <c r="H160" s="78"/>
      <c r="I160" s="74"/>
      <c r="J160" s="74"/>
      <c r="K160" s="74"/>
      <c r="L160" s="74"/>
      <c r="M160" s="74"/>
    </row>
    <row r="161">
      <c r="A161" s="92"/>
      <c r="B161" s="92"/>
      <c r="C161" s="92"/>
      <c r="D161" s="92"/>
      <c r="E161" s="92"/>
      <c r="F161" s="92"/>
      <c r="G161" s="89"/>
      <c r="H161" s="78"/>
      <c r="I161" s="74"/>
      <c r="J161" s="74"/>
      <c r="K161" s="74"/>
      <c r="L161" s="74"/>
      <c r="M161" s="74"/>
    </row>
    <row r="162">
      <c r="A162" s="92"/>
      <c r="B162" s="92"/>
      <c r="C162" s="92"/>
      <c r="D162" s="92"/>
      <c r="E162" s="92"/>
      <c r="F162" s="92"/>
      <c r="G162" s="89"/>
      <c r="H162" s="78"/>
      <c r="I162" s="74"/>
      <c r="J162" s="74"/>
      <c r="K162" s="74"/>
      <c r="L162" s="74"/>
      <c r="M162" s="74"/>
    </row>
    <row r="163">
      <c r="A163" s="92"/>
      <c r="B163" s="92"/>
      <c r="C163" s="92"/>
      <c r="D163" s="92"/>
      <c r="E163" s="92"/>
      <c r="F163" s="92"/>
      <c r="G163" s="89"/>
      <c r="H163" s="78"/>
      <c r="I163" s="74"/>
      <c r="J163" s="74"/>
      <c r="K163" s="74"/>
      <c r="L163" s="74"/>
      <c r="M163" s="74"/>
    </row>
    <row r="164">
      <c r="A164" s="92"/>
      <c r="B164" s="92"/>
      <c r="C164" s="92"/>
      <c r="D164" s="92"/>
      <c r="E164" s="92"/>
      <c r="F164" s="92"/>
      <c r="G164" s="89"/>
      <c r="H164" s="78"/>
      <c r="I164" s="74"/>
      <c r="J164" s="74"/>
      <c r="K164" s="74"/>
      <c r="L164" s="74"/>
      <c r="M164" s="74"/>
    </row>
    <row r="165">
      <c r="A165" s="92"/>
      <c r="B165" s="92"/>
      <c r="C165" s="92"/>
      <c r="D165" s="92"/>
      <c r="E165" s="92"/>
      <c r="F165" s="92"/>
      <c r="G165" s="89"/>
      <c r="H165" s="78"/>
      <c r="I165" s="74"/>
      <c r="J165" s="74"/>
      <c r="K165" s="74"/>
      <c r="L165" s="74"/>
      <c r="M165" s="74"/>
    </row>
    <row r="166">
      <c r="A166" s="92"/>
      <c r="B166" s="92"/>
      <c r="C166" s="92"/>
      <c r="D166" s="92"/>
      <c r="E166" s="92"/>
      <c r="F166" s="92"/>
      <c r="G166" s="89"/>
      <c r="H166" s="78"/>
      <c r="I166" s="74"/>
      <c r="J166" s="74"/>
      <c r="K166" s="74"/>
      <c r="L166" s="74"/>
      <c r="M166" s="74"/>
    </row>
    <row r="167">
      <c r="A167" s="92"/>
      <c r="B167" s="92"/>
      <c r="C167" s="92"/>
      <c r="D167" s="92"/>
      <c r="E167" s="92"/>
      <c r="F167" s="92"/>
      <c r="G167" s="89"/>
      <c r="H167" s="78"/>
      <c r="I167" s="74"/>
      <c r="J167" s="74"/>
      <c r="K167" s="74"/>
      <c r="L167" s="74"/>
      <c r="M167" s="74"/>
    </row>
    <row r="168">
      <c r="A168" s="92"/>
      <c r="B168" s="92"/>
      <c r="C168" s="92"/>
      <c r="D168" s="92"/>
      <c r="E168" s="92"/>
      <c r="F168" s="92"/>
      <c r="G168" s="89"/>
      <c r="H168" s="78"/>
      <c r="I168" s="74"/>
      <c r="J168" s="74"/>
      <c r="K168" s="74"/>
      <c r="L168" s="74"/>
      <c r="M168" s="74"/>
    </row>
    <row r="169">
      <c r="A169" s="92"/>
      <c r="B169" s="92"/>
      <c r="C169" s="92"/>
      <c r="D169" s="92"/>
      <c r="E169" s="92"/>
      <c r="F169" s="92"/>
      <c r="G169" s="89"/>
      <c r="H169" s="78"/>
      <c r="I169" s="74"/>
      <c r="J169" s="74"/>
      <c r="K169" s="74"/>
      <c r="L169" s="74"/>
      <c r="M169" s="74"/>
    </row>
    <row r="170">
      <c r="A170" s="92"/>
      <c r="B170" s="92"/>
      <c r="C170" s="92"/>
      <c r="D170" s="92"/>
      <c r="E170" s="92"/>
      <c r="F170" s="92"/>
      <c r="G170" s="89"/>
      <c r="H170" s="78"/>
      <c r="I170" s="74"/>
      <c r="J170" s="74"/>
      <c r="K170" s="74"/>
      <c r="L170" s="74"/>
      <c r="M170" s="74"/>
    </row>
    <row r="171">
      <c r="A171" s="92"/>
      <c r="B171" s="92"/>
      <c r="C171" s="92"/>
      <c r="D171" s="92"/>
      <c r="E171" s="92"/>
      <c r="F171" s="92"/>
      <c r="G171" s="89"/>
      <c r="H171" s="78"/>
      <c r="I171" s="74"/>
      <c r="J171" s="74"/>
      <c r="K171" s="74"/>
      <c r="L171" s="74"/>
      <c r="M171" s="74"/>
    </row>
    <row r="172">
      <c r="A172" s="92"/>
      <c r="B172" s="92"/>
      <c r="C172" s="92"/>
      <c r="D172" s="92"/>
      <c r="E172" s="92"/>
      <c r="F172" s="92"/>
      <c r="G172" s="89"/>
      <c r="H172" s="78"/>
      <c r="I172" s="74"/>
      <c r="J172" s="74"/>
      <c r="K172" s="74"/>
      <c r="L172" s="74"/>
      <c r="M172" s="74"/>
    </row>
    <row r="173">
      <c r="A173" s="92"/>
      <c r="B173" s="92"/>
      <c r="C173" s="92"/>
      <c r="D173" s="92"/>
      <c r="E173" s="92"/>
      <c r="F173" s="92"/>
      <c r="G173" s="89"/>
      <c r="H173" s="78"/>
      <c r="I173" s="74"/>
      <c r="J173" s="74"/>
      <c r="K173" s="74"/>
      <c r="L173" s="74"/>
      <c r="M173" s="74"/>
    </row>
    <row r="174">
      <c r="A174" s="92"/>
      <c r="B174" s="92"/>
      <c r="C174" s="92"/>
      <c r="D174" s="92"/>
      <c r="E174" s="92"/>
      <c r="F174" s="92"/>
      <c r="G174" s="89"/>
      <c r="H174" s="78"/>
      <c r="I174" s="74"/>
      <c r="J174" s="74"/>
      <c r="K174" s="74"/>
      <c r="L174" s="74"/>
      <c r="M174" s="74"/>
    </row>
    <row r="175">
      <c r="A175" s="92"/>
      <c r="B175" s="92"/>
      <c r="C175" s="92"/>
      <c r="D175" s="92"/>
      <c r="E175" s="92"/>
      <c r="F175" s="92"/>
      <c r="G175" s="89"/>
      <c r="H175" s="78"/>
      <c r="I175" s="74"/>
      <c r="J175" s="74"/>
      <c r="K175" s="74"/>
      <c r="L175" s="74"/>
      <c r="M175" s="74"/>
    </row>
    <row r="176">
      <c r="A176" s="92"/>
      <c r="B176" s="92"/>
      <c r="C176" s="92"/>
      <c r="D176" s="92"/>
      <c r="E176" s="92"/>
      <c r="F176" s="92"/>
      <c r="G176" s="89"/>
      <c r="H176" s="78"/>
      <c r="I176" s="74"/>
      <c r="J176" s="74"/>
      <c r="K176" s="74"/>
      <c r="L176" s="74"/>
      <c r="M176" s="74"/>
    </row>
    <row r="177">
      <c r="A177" s="92"/>
      <c r="B177" s="92"/>
      <c r="C177" s="92"/>
      <c r="D177" s="92"/>
      <c r="E177" s="92"/>
      <c r="F177" s="92"/>
      <c r="G177" s="89"/>
      <c r="H177" s="78"/>
      <c r="I177" s="74"/>
      <c r="J177" s="74"/>
      <c r="K177" s="74"/>
      <c r="L177" s="74"/>
      <c r="M177" s="74"/>
    </row>
    <row r="178">
      <c r="A178" s="92"/>
      <c r="B178" s="92"/>
      <c r="C178" s="92"/>
      <c r="D178" s="92"/>
      <c r="E178" s="92"/>
      <c r="F178" s="92"/>
      <c r="G178" s="89"/>
      <c r="H178" s="78"/>
      <c r="I178" s="74"/>
      <c r="J178" s="74"/>
      <c r="K178" s="74"/>
      <c r="L178" s="74"/>
      <c r="M178" s="74"/>
    </row>
    <row r="179">
      <c r="A179" s="92"/>
      <c r="B179" s="92"/>
      <c r="C179" s="92"/>
      <c r="D179" s="92"/>
      <c r="E179" s="92"/>
      <c r="F179" s="92"/>
      <c r="G179" s="89"/>
      <c r="H179" s="78"/>
      <c r="I179" s="74"/>
      <c r="J179" s="74"/>
      <c r="K179" s="74"/>
      <c r="L179" s="74"/>
      <c r="M179" s="74"/>
    </row>
    <row r="180">
      <c r="A180" s="92"/>
      <c r="B180" s="92"/>
      <c r="C180" s="92"/>
      <c r="D180" s="92"/>
      <c r="E180" s="92"/>
      <c r="F180" s="92"/>
      <c r="G180" s="89"/>
      <c r="H180" s="78"/>
      <c r="I180" s="74"/>
      <c r="J180" s="74"/>
      <c r="K180" s="74"/>
      <c r="L180" s="74"/>
      <c r="M180" s="74"/>
    </row>
    <row r="181">
      <c r="A181" s="92"/>
      <c r="B181" s="92"/>
      <c r="C181" s="92"/>
      <c r="D181" s="92"/>
      <c r="E181" s="92"/>
      <c r="F181" s="92"/>
      <c r="G181" s="89"/>
      <c r="H181" s="78"/>
      <c r="I181" s="74"/>
      <c r="J181" s="74"/>
      <c r="K181" s="74"/>
      <c r="L181" s="74"/>
      <c r="M181" s="74"/>
    </row>
    <row r="182">
      <c r="A182" s="92"/>
      <c r="B182" s="92"/>
      <c r="C182" s="92"/>
      <c r="D182" s="92"/>
      <c r="E182" s="92"/>
      <c r="F182" s="92"/>
      <c r="G182" s="89"/>
      <c r="H182" s="78"/>
      <c r="I182" s="74"/>
      <c r="J182" s="74"/>
      <c r="K182" s="74"/>
      <c r="L182" s="74"/>
      <c r="M182" s="74"/>
    </row>
    <row r="183">
      <c r="A183" s="92"/>
      <c r="B183" s="92"/>
      <c r="C183" s="92"/>
      <c r="D183" s="92"/>
      <c r="E183" s="92"/>
      <c r="F183" s="92"/>
      <c r="G183" s="89"/>
      <c r="H183" s="78"/>
      <c r="I183" s="74"/>
      <c r="J183" s="74"/>
      <c r="K183" s="74"/>
      <c r="L183" s="74"/>
      <c r="M183" s="74"/>
    </row>
    <row r="184">
      <c r="A184" s="92"/>
      <c r="B184" s="92"/>
      <c r="C184" s="92"/>
      <c r="D184" s="92"/>
      <c r="E184" s="92"/>
      <c r="F184" s="92"/>
      <c r="G184" s="89"/>
      <c r="H184" s="78"/>
      <c r="I184" s="74"/>
      <c r="J184" s="74"/>
      <c r="K184" s="74"/>
      <c r="L184" s="74"/>
      <c r="M184" s="74"/>
    </row>
    <row r="185">
      <c r="A185" s="92"/>
      <c r="B185" s="92"/>
      <c r="C185" s="92"/>
      <c r="D185" s="92"/>
      <c r="E185" s="92"/>
      <c r="F185" s="92"/>
      <c r="G185" s="89"/>
      <c r="H185" s="78"/>
      <c r="I185" s="74"/>
      <c r="J185" s="74"/>
      <c r="K185" s="74"/>
      <c r="L185" s="74"/>
      <c r="M185" s="74"/>
    </row>
    <row r="186">
      <c r="A186" s="92"/>
      <c r="B186" s="92"/>
      <c r="C186" s="92"/>
      <c r="D186" s="92"/>
      <c r="E186" s="92"/>
      <c r="F186" s="92"/>
      <c r="G186" s="89"/>
      <c r="H186" s="78"/>
      <c r="I186" s="74"/>
      <c r="J186" s="74"/>
      <c r="K186" s="74"/>
      <c r="L186" s="74"/>
      <c r="M186" s="74"/>
    </row>
    <row r="187">
      <c r="A187" s="92"/>
      <c r="B187" s="92"/>
      <c r="C187" s="92"/>
      <c r="D187" s="92"/>
      <c r="E187" s="92"/>
      <c r="F187" s="92"/>
      <c r="G187" s="89"/>
      <c r="H187" s="78"/>
      <c r="I187" s="74"/>
      <c r="J187" s="74"/>
      <c r="K187" s="74"/>
      <c r="L187" s="74"/>
      <c r="M187" s="74"/>
    </row>
    <row r="188">
      <c r="A188" s="92"/>
      <c r="B188" s="92"/>
      <c r="C188" s="92"/>
      <c r="D188" s="92"/>
      <c r="E188" s="92"/>
      <c r="F188" s="92"/>
      <c r="G188" s="89"/>
      <c r="H188" s="78"/>
      <c r="I188" s="74"/>
      <c r="J188" s="74"/>
      <c r="K188" s="74"/>
      <c r="L188" s="74"/>
      <c r="M188" s="74"/>
    </row>
    <row r="189">
      <c r="A189" s="92"/>
      <c r="B189" s="92"/>
      <c r="C189" s="92"/>
      <c r="D189" s="92"/>
      <c r="E189" s="92"/>
      <c r="F189" s="92"/>
      <c r="G189" s="89"/>
      <c r="H189" s="78"/>
      <c r="I189" s="74"/>
      <c r="J189" s="74"/>
      <c r="K189" s="74"/>
      <c r="L189" s="74"/>
      <c r="M189" s="74"/>
    </row>
    <row r="190">
      <c r="A190" s="92"/>
      <c r="B190" s="92"/>
      <c r="C190" s="92"/>
      <c r="D190" s="92"/>
      <c r="E190" s="92"/>
      <c r="F190" s="92"/>
      <c r="G190" s="89"/>
      <c r="H190" s="78"/>
      <c r="I190" s="74"/>
      <c r="J190" s="74"/>
      <c r="K190" s="74"/>
      <c r="L190" s="74"/>
      <c r="M190" s="74"/>
    </row>
    <row r="191">
      <c r="A191" s="92"/>
      <c r="B191" s="92"/>
      <c r="C191" s="92"/>
      <c r="D191" s="92"/>
      <c r="E191" s="92"/>
      <c r="F191" s="92"/>
      <c r="G191" s="89"/>
      <c r="H191" s="78"/>
      <c r="I191" s="74"/>
      <c r="J191" s="74"/>
      <c r="K191" s="74"/>
      <c r="L191" s="74"/>
      <c r="M191" s="74"/>
    </row>
    <row r="192">
      <c r="A192" s="92"/>
      <c r="B192" s="92"/>
      <c r="C192" s="92"/>
      <c r="D192" s="92"/>
      <c r="E192" s="92"/>
      <c r="F192" s="92"/>
      <c r="G192" s="89"/>
      <c r="H192" s="78"/>
      <c r="I192" s="74"/>
      <c r="J192" s="74"/>
      <c r="K192" s="74"/>
      <c r="L192" s="74"/>
      <c r="M192" s="74"/>
    </row>
    <row r="193">
      <c r="A193" s="92"/>
      <c r="B193" s="92"/>
      <c r="C193" s="92"/>
      <c r="D193" s="92"/>
      <c r="E193" s="92"/>
      <c r="F193" s="92"/>
      <c r="G193" s="89"/>
      <c r="H193" s="78"/>
      <c r="I193" s="74"/>
      <c r="J193" s="74"/>
      <c r="K193" s="74"/>
      <c r="L193" s="74"/>
      <c r="M193" s="74"/>
    </row>
    <row r="194">
      <c r="A194" s="92"/>
      <c r="B194" s="92"/>
      <c r="C194" s="92"/>
      <c r="D194" s="92"/>
      <c r="E194" s="92"/>
      <c r="F194" s="92"/>
      <c r="G194" s="89"/>
      <c r="H194" s="78"/>
      <c r="I194" s="74"/>
      <c r="J194" s="74"/>
      <c r="K194" s="74"/>
      <c r="L194" s="74"/>
      <c r="M194" s="74"/>
    </row>
    <row r="195">
      <c r="A195" s="92"/>
      <c r="B195" s="92"/>
      <c r="C195" s="92"/>
      <c r="D195" s="92"/>
      <c r="E195" s="92"/>
      <c r="F195" s="92"/>
      <c r="G195" s="89"/>
      <c r="H195" s="78"/>
      <c r="I195" s="74"/>
      <c r="J195" s="74"/>
      <c r="K195" s="74"/>
      <c r="L195" s="74"/>
      <c r="M195" s="74"/>
    </row>
    <row r="196">
      <c r="A196" s="92"/>
      <c r="B196" s="92"/>
      <c r="C196" s="92"/>
      <c r="D196" s="92"/>
      <c r="E196" s="92"/>
      <c r="F196" s="92"/>
      <c r="G196" s="89"/>
      <c r="H196" s="78"/>
      <c r="I196" s="74"/>
      <c r="J196" s="74"/>
      <c r="K196" s="74"/>
      <c r="L196" s="74"/>
      <c r="M196" s="74"/>
    </row>
    <row r="197">
      <c r="A197" s="92"/>
      <c r="B197" s="92"/>
      <c r="C197" s="92"/>
      <c r="D197" s="92"/>
      <c r="E197" s="92"/>
      <c r="F197" s="92"/>
      <c r="G197" s="89"/>
      <c r="H197" s="78"/>
      <c r="I197" s="74"/>
      <c r="J197" s="74"/>
      <c r="K197" s="74"/>
      <c r="L197" s="74"/>
      <c r="M197" s="74"/>
    </row>
    <row r="198">
      <c r="A198" s="92"/>
      <c r="B198" s="92"/>
      <c r="C198" s="92"/>
      <c r="D198" s="92"/>
      <c r="E198" s="92"/>
      <c r="F198" s="92"/>
      <c r="G198" s="89"/>
      <c r="H198" s="78"/>
      <c r="I198" s="74"/>
      <c r="J198" s="74"/>
      <c r="K198" s="74"/>
      <c r="L198" s="74"/>
      <c r="M198" s="74"/>
    </row>
    <row r="199">
      <c r="A199" s="92"/>
      <c r="B199" s="92"/>
      <c r="C199" s="92"/>
      <c r="D199" s="92"/>
      <c r="E199" s="92"/>
      <c r="F199" s="92"/>
      <c r="G199" s="89"/>
      <c r="H199" s="78"/>
      <c r="I199" s="74"/>
      <c r="J199" s="74"/>
      <c r="K199" s="74"/>
      <c r="L199" s="74"/>
      <c r="M199" s="74"/>
    </row>
    <row r="200">
      <c r="A200" s="92"/>
      <c r="B200" s="92"/>
      <c r="C200" s="92"/>
      <c r="D200" s="92"/>
      <c r="E200" s="92"/>
      <c r="F200" s="92"/>
      <c r="G200" s="89"/>
      <c r="H200" s="78"/>
      <c r="I200" s="74"/>
      <c r="J200" s="74"/>
      <c r="K200" s="74"/>
      <c r="L200" s="74"/>
      <c r="M200" s="74"/>
    </row>
    <row r="201">
      <c r="A201" s="92"/>
      <c r="B201" s="92"/>
      <c r="C201" s="92"/>
      <c r="D201" s="92"/>
      <c r="E201" s="92"/>
      <c r="F201" s="92"/>
      <c r="G201" s="89"/>
      <c r="H201" s="78"/>
      <c r="I201" s="74"/>
      <c r="J201" s="74"/>
      <c r="K201" s="74"/>
      <c r="L201" s="74"/>
      <c r="M201" s="74"/>
    </row>
    <row r="202">
      <c r="A202" s="92"/>
      <c r="B202" s="92"/>
      <c r="C202" s="92"/>
      <c r="D202" s="92"/>
      <c r="E202" s="92"/>
      <c r="F202" s="92"/>
      <c r="G202" s="89"/>
      <c r="H202" s="78"/>
      <c r="I202" s="74"/>
      <c r="J202" s="74"/>
      <c r="K202" s="74"/>
      <c r="L202" s="74"/>
      <c r="M202" s="74"/>
    </row>
    <row r="203">
      <c r="A203" s="92"/>
      <c r="B203" s="92"/>
      <c r="C203" s="92"/>
      <c r="D203" s="92"/>
      <c r="E203" s="92"/>
      <c r="F203" s="92"/>
      <c r="G203" s="89"/>
      <c r="H203" s="78"/>
      <c r="I203" s="74"/>
      <c r="J203" s="74"/>
      <c r="K203" s="74"/>
      <c r="L203" s="74"/>
      <c r="M203" s="74"/>
    </row>
    <row r="204">
      <c r="A204" s="92"/>
      <c r="B204" s="92"/>
      <c r="C204" s="92"/>
      <c r="D204" s="92"/>
      <c r="E204" s="92"/>
      <c r="F204" s="92"/>
      <c r="G204" s="89"/>
      <c r="H204" s="78"/>
      <c r="I204" s="74"/>
      <c r="J204" s="74"/>
      <c r="K204" s="74"/>
      <c r="L204" s="74"/>
      <c r="M204" s="74"/>
    </row>
    <row r="205">
      <c r="A205" s="92"/>
      <c r="B205" s="92"/>
      <c r="C205" s="92"/>
      <c r="D205" s="92"/>
      <c r="E205" s="92"/>
      <c r="F205" s="92"/>
      <c r="G205" s="89"/>
      <c r="H205" s="78"/>
      <c r="I205" s="74"/>
      <c r="J205" s="74"/>
      <c r="K205" s="74"/>
      <c r="L205" s="74"/>
      <c r="M205" s="74"/>
    </row>
    <row r="206">
      <c r="A206" s="92"/>
      <c r="B206" s="92"/>
      <c r="C206" s="92"/>
      <c r="D206" s="92"/>
      <c r="E206" s="92"/>
      <c r="F206" s="92"/>
      <c r="G206" s="89"/>
      <c r="H206" s="78"/>
      <c r="I206" s="74"/>
      <c r="J206" s="74"/>
      <c r="K206" s="74"/>
      <c r="L206" s="74"/>
      <c r="M206" s="74"/>
    </row>
    <row r="207">
      <c r="A207" s="92"/>
      <c r="B207" s="92"/>
      <c r="C207" s="92"/>
      <c r="D207" s="92"/>
      <c r="E207" s="92"/>
      <c r="F207" s="92"/>
      <c r="G207" s="89"/>
      <c r="H207" s="78"/>
      <c r="I207" s="74"/>
      <c r="J207" s="74"/>
      <c r="K207" s="74"/>
      <c r="L207" s="74"/>
      <c r="M207" s="74"/>
    </row>
    <row r="208">
      <c r="A208" s="92"/>
      <c r="B208" s="92"/>
      <c r="C208" s="92"/>
      <c r="D208" s="92"/>
      <c r="E208" s="92"/>
      <c r="F208" s="92"/>
      <c r="G208" s="89"/>
      <c r="H208" s="78"/>
      <c r="I208" s="74"/>
      <c r="J208" s="74"/>
      <c r="K208" s="74"/>
      <c r="L208" s="74"/>
      <c r="M208" s="74"/>
    </row>
    <row r="209">
      <c r="A209" s="92"/>
      <c r="B209" s="92"/>
      <c r="C209" s="92"/>
      <c r="D209" s="92"/>
      <c r="E209" s="92"/>
      <c r="F209" s="92"/>
      <c r="G209" s="89"/>
      <c r="H209" s="78"/>
      <c r="I209" s="74"/>
      <c r="J209" s="74"/>
      <c r="K209" s="74"/>
      <c r="L209" s="74"/>
      <c r="M209" s="74"/>
    </row>
    <row r="210">
      <c r="A210" s="92"/>
      <c r="B210" s="92"/>
      <c r="C210" s="92"/>
      <c r="D210" s="92"/>
      <c r="E210" s="92"/>
      <c r="F210" s="92"/>
      <c r="G210" s="89"/>
      <c r="H210" s="78"/>
      <c r="I210" s="74"/>
      <c r="J210" s="74"/>
      <c r="K210" s="74"/>
      <c r="L210" s="74"/>
      <c r="M210" s="74"/>
    </row>
    <row r="211">
      <c r="A211" s="92"/>
      <c r="B211" s="92"/>
      <c r="C211" s="92"/>
      <c r="D211" s="92"/>
      <c r="E211" s="92"/>
      <c r="F211" s="92"/>
      <c r="G211" s="89"/>
      <c r="H211" s="78"/>
      <c r="I211" s="74"/>
      <c r="J211" s="74"/>
      <c r="K211" s="74"/>
      <c r="L211" s="74"/>
      <c r="M211" s="74"/>
    </row>
    <row r="212">
      <c r="A212" s="92"/>
      <c r="B212" s="92"/>
      <c r="C212" s="92"/>
      <c r="D212" s="92"/>
      <c r="E212" s="92"/>
      <c r="F212" s="92"/>
      <c r="G212" s="89"/>
      <c r="H212" s="78"/>
      <c r="I212" s="74"/>
      <c r="J212" s="74"/>
      <c r="K212" s="74"/>
      <c r="L212" s="74"/>
      <c r="M212" s="74"/>
    </row>
    <row r="213">
      <c r="A213" s="92"/>
      <c r="B213" s="92"/>
      <c r="C213" s="92"/>
      <c r="D213" s="92"/>
      <c r="E213" s="92"/>
      <c r="F213" s="92"/>
      <c r="G213" s="89"/>
      <c r="H213" s="78"/>
      <c r="I213" s="74"/>
      <c r="J213" s="74"/>
      <c r="K213" s="74"/>
      <c r="L213" s="74"/>
      <c r="M213" s="74"/>
    </row>
    <row r="214">
      <c r="A214" s="92"/>
      <c r="B214" s="92"/>
      <c r="C214" s="92"/>
      <c r="D214" s="92"/>
      <c r="E214" s="92"/>
      <c r="F214" s="92"/>
      <c r="G214" s="89"/>
      <c r="H214" s="78"/>
      <c r="I214" s="74"/>
      <c r="J214" s="74"/>
      <c r="K214" s="74"/>
      <c r="L214" s="74"/>
      <c r="M214" s="74"/>
    </row>
    <row r="215">
      <c r="A215" s="92"/>
      <c r="B215" s="92"/>
      <c r="C215" s="92"/>
      <c r="D215" s="92"/>
      <c r="E215" s="92"/>
      <c r="F215" s="92"/>
      <c r="G215" s="89"/>
      <c r="H215" s="78"/>
      <c r="I215" s="74"/>
      <c r="J215" s="74"/>
      <c r="K215" s="74"/>
      <c r="L215" s="74"/>
      <c r="M215" s="74"/>
    </row>
    <row r="216">
      <c r="A216" s="92"/>
      <c r="B216" s="92"/>
      <c r="C216" s="92"/>
      <c r="D216" s="92"/>
      <c r="E216" s="92"/>
      <c r="F216" s="92"/>
      <c r="G216" s="89"/>
      <c r="H216" s="78"/>
      <c r="I216" s="74"/>
      <c r="J216" s="74"/>
      <c r="K216" s="74"/>
      <c r="L216" s="74"/>
      <c r="M216" s="74"/>
    </row>
    <row r="217">
      <c r="A217" s="92"/>
      <c r="B217" s="92"/>
      <c r="C217" s="92"/>
      <c r="D217" s="92"/>
      <c r="E217" s="92"/>
      <c r="F217" s="92"/>
      <c r="G217" s="89"/>
      <c r="H217" s="78"/>
      <c r="I217" s="74"/>
      <c r="J217" s="74"/>
      <c r="K217" s="74"/>
      <c r="L217" s="74"/>
      <c r="M217" s="74"/>
    </row>
    <row r="218">
      <c r="A218" s="92"/>
      <c r="B218" s="92"/>
      <c r="C218" s="92"/>
      <c r="D218" s="92"/>
      <c r="E218" s="92"/>
      <c r="F218" s="92"/>
      <c r="G218" s="89"/>
      <c r="H218" s="78"/>
      <c r="I218" s="74"/>
      <c r="J218" s="74"/>
      <c r="K218" s="74"/>
      <c r="L218" s="74"/>
      <c r="M218" s="74"/>
    </row>
    <row r="219">
      <c r="A219" s="92"/>
      <c r="B219" s="92"/>
      <c r="C219" s="92"/>
      <c r="D219" s="92"/>
      <c r="E219" s="92"/>
      <c r="F219" s="92"/>
      <c r="G219" s="89"/>
      <c r="H219" s="78"/>
      <c r="I219" s="74"/>
      <c r="J219" s="74"/>
      <c r="K219" s="74"/>
      <c r="L219" s="74"/>
      <c r="M219" s="74"/>
    </row>
    <row r="220">
      <c r="A220" s="92"/>
      <c r="B220" s="92"/>
      <c r="C220" s="92"/>
      <c r="D220" s="92"/>
      <c r="E220" s="92"/>
      <c r="F220" s="92"/>
      <c r="G220" s="89"/>
      <c r="H220" s="78"/>
      <c r="I220" s="74"/>
      <c r="J220" s="74"/>
      <c r="K220" s="74"/>
      <c r="L220" s="74"/>
      <c r="M220" s="74"/>
    </row>
    <row r="221">
      <c r="A221" s="92"/>
      <c r="B221" s="92"/>
      <c r="C221" s="92"/>
      <c r="D221" s="92"/>
      <c r="E221" s="92"/>
      <c r="F221" s="92"/>
      <c r="G221" s="89"/>
      <c r="H221" s="78"/>
      <c r="I221" s="74"/>
      <c r="J221" s="74"/>
      <c r="K221" s="74"/>
      <c r="L221" s="74"/>
      <c r="M221" s="74"/>
    </row>
    <row r="222">
      <c r="A222" s="92"/>
      <c r="B222" s="92"/>
      <c r="C222" s="92"/>
      <c r="D222" s="92"/>
      <c r="E222" s="92"/>
      <c r="F222" s="92"/>
      <c r="G222" s="89"/>
      <c r="H222" s="78"/>
      <c r="I222" s="74"/>
      <c r="J222" s="74"/>
      <c r="K222" s="74"/>
      <c r="L222" s="74"/>
      <c r="M222" s="74"/>
    </row>
    <row r="223">
      <c r="A223" s="92"/>
      <c r="B223" s="92"/>
      <c r="C223" s="92"/>
      <c r="D223" s="92"/>
      <c r="E223" s="92"/>
      <c r="F223" s="92"/>
      <c r="G223" s="89"/>
      <c r="H223" s="78"/>
      <c r="I223" s="74"/>
      <c r="J223" s="74"/>
      <c r="K223" s="74"/>
      <c r="L223" s="74"/>
      <c r="M223" s="74"/>
    </row>
    <row r="224">
      <c r="A224" s="92"/>
      <c r="B224" s="92"/>
      <c r="C224" s="92"/>
      <c r="D224" s="92"/>
      <c r="E224" s="92"/>
      <c r="F224" s="92"/>
      <c r="G224" s="89"/>
      <c r="H224" s="78"/>
      <c r="I224" s="74"/>
      <c r="J224" s="74"/>
      <c r="K224" s="74"/>
      <c r="L224" s="74"/>
      <c r="M224" s="74"/>
    </row>
    <row r="225">
      <c r="A225" s="92"/>
      <c r="B225" s="92"/>
      <c r="C225" s="92"/>
      <c r="D225" s="92"/>
      <c r="E225" s="92"/>
      <c r="F225" s="92"/>
      <c r="G225" s="89"/>
      <c r="H225" s="78"/>
      <c r="I225" s="74"/>
      <c r="J225" s="74"/>
      <c r="K225" s="74"/>
      <c r="L225" s="74"/>
      <c r="M225" s="74"/>
    </row>
    <row r="226">
      <c r="A226" s="92"/>
      <c r="B226" s="92"/>
      <c r="C226" s="92"/>
      <c r="D226" s="92"/>
      <c r="E226" s="92"/>
      <c r="F226" s="92"/>
      <c r="G226" s="89"/>
      <c r="H226" s="78"/>
      <c r="I226" s="74"/>
      <c r="J226" s="74"/>
      <c r="K226" s="74"/>
      <c r="L226" s="74"/>
      <c r="M226" s="74"/>
    </row>
    <row r="227">
      <c r="A227" s="92"/>
      <c r="B227" s="92"/>
      <c r="C227" s="92"/>
      <c r="D227" s="92"/>
      <c r="E227" s="92"/>
      <c r="F227" s="92"/>
      <c r="G227" s="89"/>
      <c r="H227" s="78"/>
      <c r="I227" s="74"/>
      <c r="J227" s="74"/>
      <c r="K227" s="74"/>
      <c r="L227" s="74"/>
      <c r="M227" s="74"/>
    </row>
    <row r="228">
      <c r="A228" s="92"/>
      <c r="B228" s="92"/>
      <c r="C228" s="92"/>
      <c r="D228" s="92"/>
      <c r="E228" s="92"/>
      <c r="F228" s="92"/>
      <c r="G228" s="89"/>
      <c r="H228" s="78"/>
      <c r="I228" s="74"/>
      <c r="J228" s="74"/>
      <c r="K228" s="74"/>
      <c r="L228" s="74"/>
      <c r="M228" s="74"/>
    </row>
    <row r="229">
      <c r="A229" s="92"/>
      <c r="B229" s="92"/>
      <c r="C229" s="92"/>
      <c r="D229" s="92"/>
      <c r="E229" s="92"/>
      <c r="F229" s="92"/>
      <c r="G229" s="89"/>
      <c r="H229" s="78"/>
      <c r="I229" s="74"/>
      <c r="J229" s="74"/>
      <c r="K229" s="74"/>
      <c r="L229" s="74"/>
      <c r="M229" s="74"/>
    </row>
    <row r="230">
      <c r="A230" s="92"/>
      <c r="B230" s="92"/>
      <c r="C230" s="92"/>
      <c r="D230" s="92"/>
      <c r="E230" s="92"/>
      <c r="F230" s="92"/>
      <c r="G230" s="89"/>
      <c r="H230" s="78"/>
      <c r="I230" s="74"/>
      <c r="J230" s="74"/>
      <c r="K230" s="74"/>
      <c r="L230" s="74"/>
      <c r="M230" s="74"/>
    </row>
    <row r="231">
      <c r="A231" s="92"/>
      <c r="B231" s="92"/>
      <c r="C231" s="92"/>
      <c r="D231" s="92"/>
      <c r="E231" s="92"/>
      <c r="F231" s="92"/>
      <c r="G231" s="89"/>
      <c r="H231" s="78"/>
      <c r="I231" s="74"/>
      <c r="J231" s="74"/>
      <c r="K231" s="74"/>
      <c r="L231" s="74"/>
      <c r="M231" s="74"/>
    </row>
    <row r="232">
      <c r="A232" s="92"/>
      <c r="B232" s="92"/>
      <c r="C232" s="92"/>
      <c r="D232" s="92"/>
      <c r="E232" s="92"/>
      <c r="F232" s="92"/>
      <c r="G232" s="89"/>
      <c r="H232" s="78"/>
      <c r="I232" s="74"/>
      <c r="J232" s="74"/>
      <c r="K232" s="74"/>
      <c r="L232" s="74"/>
      <c r="M232" s="74"/>
    </row>
    <row r="233">
      <c r="A233" s="92"/>
      <c r="B233" s="92"/>
      <c r="C233" s="92"/>
      <c r="D233" s="92"/>
      <c r="E233" s="92"/>
      <c r="F233" s="92"/>
      <c r="G233" s="89"/>
      <c r="H233" s="78"/>
      <c r="I233" s="74"/>
      <c r="J233" s="74"/>
      <c r="K233" s="74"/>
      <c r="L233" s="74"/>
      <c r="M233" s="74"/>
    </row>
    <row r="234">
      <c r="A234" s="92"/>
      <c r="B234" s="92"/>
      <c r="C234" s="92"/>
      <c r="D234" s="92"/>
      <c r="E234" s="92"/>
      <c r="F234" s="92"/>
      <c r="G234" s="89"/>
      <c r="H234" s="78"/>
      <c r="I234" s="74"/>
      <c r="J234" s="74"/>
      <c r="K234" s="74"/>
      <c r="L234" s="74"/>
      <c r="M234" s="74"/>
    </row>
    <row r="235">
      <c r="A235" s="92"/>
      <c r="B235" s="92"/>
      <c r="C235" s="92"/>
      <c r="D235" s="92"/>
      <c r="E235" s="92"/>
      <c r="F235" s="92"/>
      <c r="G235" s="89"/>
      <c r="H235" s="78"/>
      <c r="I235" s="74"/>
      <c r="J235" s="74"/>
      <c r="K235" s="74"/>
      <c r="L235" s="74"/>
      <c r="M235" s="74"/>
    </row>
    <row r="236">
      <c r="A236" s="92"/>
      <c r="B236" s="92"/>
      <c r="C236" s="92"/>
      <c r="D236" s="92"/>
      <c r="E236" s="92"/>
      <c r="F236" s="92"/>
      <c r="G236" s="89"/>
      <c r="H236" s="78"/>
      <c r="I236" s="74"/>
      <c r="J236" s="74"/>
      <c r="K236" s="74"/>
      <c r="L236" s="74"/>
      <c r="M236" s="74"/>
    </row>
    <row r="237">
      <c r="A237" s="92"/>
      <c r="B237" s="92"/>
      <c r="C237" s="92"/>
      <c r="D237" s="92"/>
      <c r="E237" s="92"/>
      <c r="F237" s="92"/>
      <c r="G237" s="89"/>
      <c r="H237" s="78"/>
      <c r="I237" s="74"/>
      <c r="J237" s="74"/>
      <c r="K237" s="74"/>
      <c r="L237" s="74"/>
      <c r="M237" s="74"/>
    </row>
    <row r="238">
      <c r="A238" s="92"/>
      <c r="B238" s="92"/>
      <c r="C238" s="92"/>
      <c r="D238" s="92"/>
      <c r="E238" s="92"/>
      <c r="F238" s="92"/>
      <c r="G238" s="89"/>
      <c r="H238" s="78"/>
      <c r="I238" s="74"/>
      <c r="J238" s="74"/>
      <c r="K238" s="74"/>
      <c r="L238" s="74"/>
      <c r="M238" s="74"/>
    </row>
    <row r="239">
      <c r="A239" s="92"/>
      <c r="B239" s="92"/>
      <c r="C239" s="92"/>
      <c r="D239" s="92"/>
      <c r="E239" s="92"/>
      <c r="F239" s="92"/>
      <c r="G239" s="89"/>
      <c r="H239" s="78"/>
      <c r="I239" s="74"/>
      <c r="J239" s="74"/>
      <c r="K239" s="74"/>
      <c r="L239" s="74"/>
      <c r="M239" s="74"/>
    </row>
    <row r="240">
      <c r="A240" s="92"/>
      <c r="B240" s="92"/>
      <c r="C240" s="92"/>
      <c r="D240" s="92"/>
      <c r="E240" s="92"/>
      <c r="F240" s="92"/>
      <c r="G240" s="89"/>
      <c r="H240" s="78"/>
      <c r="I240" s="74"/>
      <c r="J240" s="74"/>
      <c r="K240" s="74"/>
      <c r="L240" s="74"/>
      <c r="M240" s="74"/>
    </row>
    <row r="241">
      <c r="A241" s="92"/>
      <c r="B241" s="92"/>
      <c r="C241" s="92"/>
      <c r="D241" s="92"/>
      <c r="E241" s="92"/>
      <c r="F241" s="92"/>
      <c r="G241" s="89"/>
      <c r="H241" s="78"/>
      <c r="I241" s="74"/>
      <c r="J241" s="74"/>
      <c r="K241" s="74"/>
      <c r="L241" s="74"/>
      <c r="M241" s="74"/>
    </row>
    <row r="242">
      <c r="A242" s="92"/>
      <c r="B242" s="92"/>
      <c r="C242" s="92"/>
      <c r="D242" s="92"/>
      <c r="E242" s="92"/>
      <c r="F242" s="92"/>
      <c r="G242" s="89"/>
      <c r="H242" s="78"/>
      <c r="I242" s="74"/>
      <c r="J242" s="74"/>
      <c r="K242" s="74"/>
      <c r="L242" s="74"/>
      <c r="M242" s="74"/>
    </row>
    <row r="243">
      <c r="A243" s="92"/>
      <c r="B243" s="92"/>
      <c r="C243" s="92"/>
      <c r="D243" s="92"/>
      <c r="E243" s="92"/>
      <c r="F243" s="92"/>
      <c r="G243" s="89"/>
      <c r="H243" s="78"/>
      <c r="I243" s="74"/>
      <c r="J243" s="74"/>
      <c r="K243" s="74"/>
      <c r="L243" s="74"/>
      <c r="M243" s="74"/>
    </row>
    <row r="244">
      <c r="A244" s="92"/>
      <c r="B244" s="92"/>
      <c r="C244" s="92"/>
      <c r="D244" s="92"/>
      <c r="E244" s="92"/>
      <c r="F244" s="92"/>
      <c r="G244" s="89"/>
      <c r="H244" s="78"/>
      <c r="I244" s="74"/>
      <c r="J244" s="74"/>
      <c r="K244" s="74"/>
      <c r="L244" s="74"/>
      <c r="M244" s="74"/>
    </row>
    <row r="245">
      <c r="A245" s="92"/>
      <c r="B245" s="92"/>
      <c r="C245" s="92"/>
      <c r="D245" s="92"/>
      <c r="E245" s="92"/>
      <c r="F245" s="92"/>
      <c r="G245" s="89"/>
      <c r="H245" s="78"/>
      <c r="I245" s="74"/>
      <c r="J245" s="74"/>
      <c r="K245" s="74"/>
      <c r="L245" s="74"/>
      <c r="M245" s="74"/>
    </row>
    <row r="246">
      <c r="A246" s="92"/>
      <c r="B246" s="92"/>
      <c r="C246" s="92"/>
      <c r="D246" s="92"/>
      <c r="E246" s="92"/>
      <c r="F246" s="92"/>
      <c r="G246" s="89"/>
      <c r="H246" s="78"/>
      <c r="I246" s="74"/>
      <c r="J246" s="74"/>
      <c r="K246" s="74"/>
      <c r="L246" s="74"/>
      <c r="M246" s="74"/>
    </row>
    <row r="247">
      <c r="A247" s="92"/>
      <c r="B247" s="92"/>
      <c r="C247" s="92"/>
      <c r="D247" s="92"/>
      <c r="E247" s="92"/>
      <c r="F247" s="92"/>
      <c r="G247" s="89"/>
      <c r="H247" s="78"/>
      <c r="I247" s="74"/>
      <c r="J247" s="74"/>
      <c r="K247" s="74"/>
      <c r="L247" s="74"/>
      <c r="M247" s="74"/>
    </row>
    <row r="248">
      <c r="A248" s="92"/>
      <c r="B248" s="92"/>
      <c r="C248" s="92"/>
      <c r="D248" s="92"/>
      <c r="E248" s="92"/>
      <c r="F248" s="92"/>
      <c r="G248" s="89"/>
      <c r="H248" s="78"/>
      <c r="I248" s="74"/>
      <c r="J248" s="74"/>
      <c r="K248" s="74"/>
      <c r="L248" s="74"/>
      <c r="M248" s="74"/>
    </row>
    <row r="249">
      <c r="A249" s="92"/>
      <c r="B249" s="92"/>
      <c r="C249" s="92"/>
      <c r="D249" s="92"/>
      <c r="E249" s="92"/>
      <c r="F249" s="92"/>
      <c r="G249" s="89"/>
      <c r="H249" s="78"/>
      <c r="I249" s="74"/>
      <c r="J249" s="74"/>
      <c r="K249" s="74"/>
      <c r="L249" s="74"/>
      <c r="M249" s="74"/>
    </row>
    <row r="250">
      <c r="A250" s="92"/>
      <c r="B250" s="92"/>
      <c r="C250" s="92"/>
      <c r="D250" s="92"/>
      <c r="E250" s="92"/>
      <c r="F250" s="92"/>
      <c r="G250" s="89"/>
      <c r="H250" s="78"/>
      <c r="I250" s="74"/>
      <c r="J250" s="74"/>
      <c r="K250" s="74"/>
      <c r="L250" s="74"/>
      <c r="M250" s="74"/>
    </row>
    <row r="251">
      <c r="A251" s="92"/>
      <c r="B251" s="92"/>
      <c r="C251" s="92"/>
      <c r="D251" s="92"/>
      <c r="E251" s="92"/>
      <c r="F251" s="92"/>
      <c r="G251" s="89"/>
      <c r="H251" s="78"/>
      <c r="I251" s="74"/>
      <c r="J251" s="74"/>
      <c r="K251" s="74"/>
      <c r="L251" s="74"/>
      <c r="M251" s="74"/>
    </row>
    <row r="252">
      <c r="A252" s="92"/>
      <c r="B252" s="92"/>
      <c r="C252" s="92"/>
      <c r="D252" s="92"/>
      <c r="E252" s="92"/>
      <c r="F252" s="92"/>
      <c r="G252" s="89"/>
      <c r="H252" s="78"/>
      <c r="I252" s="74"/>
      <c r="J252" s="74"/>
      <c r="K252" s="74"/>
      <c r="L252" s="74"/>
      <c r="M252" s="74"/>
    </row>
    <row r="253">
      <c r="A253" s="92"/>
      <c r="B253" s="92"/>
      <c r="C253" s="92"/>
      <c r="D253" s="92"/>
      <c r="E253" s="92"/>
      <c r="F253" s="92"/>
      <c r="G253" s="89"/>
      <c r="H253" s="78"/>
      <c r="I253" s="74"/>
      <c r="J253" s="74"/>
      <c r="K253" s="74"/>
      <c r="L253" s="74"/>
      <c r="M253" s="74"/>
    </row>
    <row r="254">
      <c r="A254" s="92"/>
      <c r="B254" s="92"/>
      <c r="C254" s="92"/>
      <c r="D254" s="92"/>
      <c r="E254" s="92"/>
      <c r="F254" s="92"/>
      <c r="G254" s="89"/>
      <c r="H254" s="78"/>
      <c r="I254" s="74"/>
      <c r="J254" s="74"/>
      <c r="K254" s="74"/>
      <c r="L254" s="74"/>
      <c r="M254" s="74"/>
    </row>
    <row r="255">
      <c r="A255" s="92"/>
      <c r="B255" s="92"/>
      <c r="C255" s="92"/>
      <c r="D255" s="92"/>
      <c r="E255" s="92"/>
      <c r="F255" s="92"/>
      <c r="G255" s="89"/>
      <c r="H255" s="78"/>
      <c r="I255" s="74"/>
      <c r="J255" s="74"/>
      <c r="K255" s="74"/>
      <c r="L255" s="74"/>
      <c r="M255" s="74"/>
    </row>
    <row r="256">
      <c r="A256" s="92"/>
      <c r="B256" s="92"/>
      <c r="C256" s="92"/>
      <c r="D256" s="92"/>
      <c r="E256" s="92"/>
      <c r="F256" s="92"/>
      <c r="G256" s="89"/>
      <c r="H256" s="78"/>
      <c r="I256" s="74"/>
      <c r="J256" s="74"/>
      <c r="K256" s="74"/>
      <c r="L256" s="74"/>
      <c r="M256" s="74"/>
    </row>
    <row r="257">
      <c r="A257" s="92"/>
      <c r="B257" s="92"/>
      <c r="C257" s="92"/>
      <c r="D257" s="92"/>
      <c r="E257" s="92"/>
      <c r="F257" s="92"/>
      <c r="G257" s="89"/>
      <c r="H257" s="78"/>
      <c r="I257" s="74"/>
      <c r="J257" s="74"/>
      <c r="K257" s="74"/>
      <c r="L257" s="74"/>
      <c r="M257" s="74"/>
    </row>
    <row r="258">
      <c r="A258" s="92"/>
      <c r="B258" s="92"/>
      <c r="C258" s="92"/>
      <c r="D258" s="92"/>
      <c r="E258" s="92"/>
      <c r="F258" s="92"/>
      <c r="G258" s="89"/>
      <c r="H258" s="78"/>
      <c r="I258" s="74"/>
      <c r="J258" s="74"/>
      <c r="K258" s="74"/>
      <c r="L258" s="74"/>
      <c r="M258" s="74"/>
    </row>
    <row r="259">
      <c r="A259" s="92"/>
      <c r="B259" s="92"/>
      <c r="C259" s="92"/>
      <c r="D259" s="92"/>
      <c r="E259" s="92"/>
      <c r="F259" s="92"/>
      <c r="G259" s="89"/>
      <c r="H259" s="78"/>
      <c r="I259" s="74"/>
      <c r="J259" s="74"/>
      <c r="K259" s="74"/>
      <c r="L259" s="74"/>
      <c r="M259" s="74"/>
    </row>
    <row r="260">
      <c r="A260" s="92"/>
      <c r="B260" s="92"/>
      <c r="C260" s="92"/>
      <c r="D260" s="92"/>
      <c r="E260" s="92"/>
      <c r="F260" s="92"/>
      <c r="G260" s="89"/>
      <c r="H260" s="78"/>
      <c r="I260" s="74"/>
      <c r="J260" s="74"/>
      <c r="K260" s="74"/>
      <c r="L260" s="74"/>
      <c r="M260" s="74"/>
    </row>
    <row r="261">
      <c r="A261" s="92"/>
      <c r="B261" s="92"/>
      <c r="C261" s="92"/>
      <c r="D261" s="92"/>
      <c r="E261" s="92"/>
      <c r="F261" s="92"/>
      <c r="G261" s="89"/>
      <c r="H261" s="78"/>
      <c r="I261" s="74"/>
      <c r="J261" s="74"/>
      <c r="K261" s="74"/>
      <c r="L261" s="74"/>
      <c r="M261" s="74"/>
    </row>
    <row r="262">
      <c r="A262" s="92"/>
      <c r="B262" s="92"/>
      <c r="C262" s="92"/>
      <c r="D262" s="92"/>
      <c r="E262" s="92"/>
      <c r="F262" s="92"/>
      <c r="G262" s="89"/>
      <c r="H262" s="78"/>
      <c r="I262" s="74"/>
      <c r="J262" s="74"/>
      <c r="K262" s="74"/>
      <c r="L262" s="74"/>
      <c r="M262" s="74"/>
    </row>
    <row r="263">
      <c r="A263" s="92"/>
      <c r="B263" s="92"/>
      <c r="C263" s="92"/>
      <c r="D263" s="92"/>
      <c r="E263" s="92"/>
      <c r="F263" s="92"/>
      <c r="G263" s="89"/>
      <c r="H263" s="78"/>
      <c r="I263" s="74"/>
      <c r="J263" s="74"/>
      <c r="K263" s="74"/>
      <c r="L263" s="74"/>
      <c r="M263" s="74"/>
    </row>
    <row r="264">
      <c r="A264" s="92"/>
      <c r="B264" s="92"/>
      <c r="C264" s="92"/>
      <c r="D264" s="92"/>
      <c r="E264" s="92"/>
      <c r="F264" s="92"/>
      <c r="G264" s="89"/>
      <c r="H264" s="78"/>
      <c r="I264" s="74"/>
      <c r="J264" s="74"/>
      <c r="K264" s="74"/>
      <c r="L264" s="74"/>
      <c r="M264" s="74"/>
    </row>
    <row r="265">
      <c r="A265" s="92"/>
      <c r="B265" s="92"/>
      <c r="C265" s="92"/>
      <c r="D265" s="92"/>
      <c r="E265" s="92"/>
      <c r="F265" s="92"/>
      <c r="G265" s="89"/>
      <c r="H265" s="78"/>
      <c r="I265" s="74"/>
      <c r="J265" s="74"/>
      <c r="K265" s="74"/>
      <c r="L265" s="74"/>
      <c r="M265" s="74"/>
    </row>
    <row r="266">
      <c r="A266" s="92"/>
      <c r="B266" s="92"/>
      <c r="C266" s="92"/>
      <c r="D266" s="92"/>
      <c r="E266" s="92"/>
      <c r="F266" s="92"/>
      <c r="G266" s="89"/>
      <c r="H266" s="78"/>
      <c r="I266" s="74"/>
      <c r="J266" s="74"/>
      <c r="K266" s="74"/>
      <c r="L266" s="74"/>
      <c r="M266" s="74"/>
    </row>
    <row r="267">
      <c r="A267" s="92"/>
      <c r="B267" s="92"/>
      <c r="C267" s="92"/>
      <c r="D267" s="92"/>
      <c r="E267" s="92"/>
      <c r="F267" s="92"/>
      <c r="G267" s="89"/>
      <c r="H267" s="78"/>
      <c r="I267" s="74"/>
      <c r="J267" s="74"/>
      <c r="K267" s="74"/>
      <c r="L267" s="74"/>
      <c r="M267" s="74"/>
    </row>
    <row r="268">
      <c r="A268" s="92"/>
      <c r="B268" s="92"/>
      <c r="C268" s="92"/>
      <c r="D268" s="92"/>
      <c r="E268" s="92"/>
      <c r="F268" s="92"/>
      <c r="G268" s="89"/>
      <c r="H268" s="78"/>
      <c r="I268" s="74"/>
      <c r="J268" s="74"/>
      <c r="K268" s="74"/>
      <c r="L268" s="74"/>
      <c r="M268" s="74"/>
    </row>
    <row r="269">
      <c r="A269" s="92"/>
      <c r="B269" s="92"/>
      <c r="C269" s="92"/>
      <c r="D269" s="92"/>
      <c r="E269" s="92"/>
      <c r="F269" s="92"/>
      <c r="G269" s="89"/>
      <c r="H269" s="78"/>
      <c r="I269" s="74"/>
      <c r="J269" s="74"/>
      <c r="K269" s="74"/>
      <c r="L269" s="74"/>
      <c r="M269" s="74"/>
    </row>
    <row r="270">
      <c r="A270" s="92"/>
      <c r="B270" s="92"/>
      <c r="C270" s="92"/>
      <c r="D270" s="92"/>
      <c r="E270" s="92"/>
      <c r="F270" s="92"/>
      <c r="G270" s="89"/>
      <c r="H270" s="78"/>
      <c r="I270" s="74"/>
      <c r="J270" s="74"/>
      <c r="K270" s="74"/>
      <c r="L270" s="74"/>
      <c r="M270" s="74"/>
    </row>
    <row r="271">
      <c r="A271" s="92"/>
      <c r="B271" s="92"/>
      <c r="C271" s="92"/>
      <c r="D271" s="92"/>
      <c r="E271" s="92"/>
      <c r="F271" s="92"/>
      <c r="G271" s="89"/>
      <c r="H271" s="78"/>
      <c r="I271" s="74"/>
      <c r="J271" s="74"/>
      <c r="K271" s="74"/>
      <c r="L271" s="74"/>
      <c r="M271" s="74"/>
    </row>
    <row r="272">
      <c r="A272" s="92"/>
      <c r="B272" s="92"/>
      <c r="C272" s="92"/>
      <c r="D272" s="92"/>
      <c r="E272" s="92"/>
      <c r="F272" s="92"/>
      <c r="G272" s="89"/>
      <c r="H272" s="78"/>
      <c r="I272" s="74"/>
      <c r="J272" s="74"/>
      <c r="K272" s="74"/>
      <c r="L272" s="74"/>
      <c r="M272" s="74"/>
    </row>
    <row r="273">
      <c r="A273" s="92"/>
      <c r="B273" s="92"/>
      <c r="C273" s="92"/>
      <c r="D273" s="92"/>
      <c r="E273" s="92"/>
      <c r="F273" s="92"/>
      <c r="G273" s="89"/>
      <c r="H273" s="78"/>
      <c r="I273" s="74"/>
      <c r="J273" s="74"/>
      <c r="K273" s="74"/>
      <c r="L273" s="74"/>
      <c r="M273" s="74"/>
    </row>
    <row r="274">
      <c r="A274" s="92"/>
      <c r="B274" s="92"/>
      <c r="C274" s="92"/>
      <c r="D274" s="92"/>
      <c r="E274" s="92"/>
      <c r="F274" s="92"/>
      <c r="G274" s="89"/>
      <c r="H274" s="78"/>
      <c r="I274" s="74"/>
      <c r="J274" s="74"/>
      <c r="K274" s="74"/>
      <c r="L274" s="74"/>
      <c r="M274" s="74"/>
    </row>
    <row r="275">
      <c r="A275" s="92"/>
      <c r="B275" s="92"/>
      <c r="C275" s="92"/>
      <c r="D275" s="92"/>
      <c r="E275" s="92"/>
      <c r="F275" s="92"/>
      <c r="G275" s="89"/>
      <c r="H275" s="78"/>
      <c r="I275" s="74"/>
      <c r="J275" s="74"/>
      <c r="K275" s="74"/>
      <c r="L275" s="74"/>
      <c r="M275" s="74"/>
    </row>
    <row r="276">
      <c r="A276" s="92"/>
      <c r="B276" s="92"/>
      <c r="C276" s="92"/>
      <c r="D276" s="92"/>
      <c r="E276" s="92"/>
      <c r="F276" s="92"/>
      <c r="G276" s="89"/>
      <c r="H276" s="78"/>
      <c r="I276" s="74"/>
      <c r="J276" s="74"/>
      <c r="K276" s="74"/>
      <c r="L276" s="74"/>
      <c r="M276" s="74"/>
    </row>
    <row r="277">
      <c r="A277" s="92"/>
      <c r="B277" s="92"/>
      <c r="C277" s="92"/>
      <c r="D277" s="92"/>
      <c r="E277" s="92"/>
      <c r="F277" s="92"/>
      <c r="G277" s="89"/>
      <c r="H277" s="78"/>
      <c r="I277" s="74"/>
      <c r="J277" s="74"/>
      <c r="K277" s="74"/>
      <c r="L277" s="74"/>
      <c r="M277" s="74"/>
    </row>
    <row r="278">
      <c r="A278" s="92"/>
      <c r="B278" s="92"/>
      <c r="C278" s="92"/>
      <c r="D278" s="92"/>
      <c r="E278" s="92"/>
      <c r="F278" s="92"/>
      <c r="G278" s="89"/>
      <c r="H278" s="78"/>
      <c r="I278" s="74"/>
      <c r="J278" s="74"/>
      <c r="K278" s="74"/>
      <c r="L278" s="74"/>
      <c r="M278" s="74"/>
    </row>
    <row r="279">
      <c r="A279" s="92"/>
      <c r="B279" s="92"/>
      <c r="C279" s="92"/>
      <c r="D279" s="92"/>
      <c r="E279" s="92"/>
      <c r="F279" s="92"/>
      <c r="G279" s="89"/>
      <c r="H279" s="78"/>
      <c r="I279" s="74"/>
      <c r="J279" s="74"/>
      <c r="K279" s="74"/>
      <c r="L279" s="74"/>
      <c r="M279" s="74"/>
    </row>
    <row r="280">
      <c r="A280" s="92"/>
      <c r="B280" s="92"/>
      <c r="C280" s="92"/>
      <c r="D280" s="92"/>
      <c r="E280" s="92"/>
      <c r="F280" s="92"/>
      <c r="G280" s="89"/>
      <c r="H280" s="78"/>
      <c r="I280" s="74"/>
      <c r="J280" s="74"/>
      <c r="K280" s="74"/>
      <c r="L280" s="74"/>
      <c r="M280" s="74"/>
    </row>
    <row r="281">
      <c r="A281" s="92"/>
      <c r="B281" s="92"/>
      <c r="C281" s="92"/>
      <c r="D281" s="92"/>
      <c r="E281" s="92"/>
      <c r="F281" s="92"/>
      <c r="G281" s="89"/>
      <c r="H281" s="78"/>
      <c r="I281" s="74"/>
      <c r="J281" s="74"/>
      <c r="K281" s="74"/>
      <c r="L281" s="74"/>
      <c r="M281" s="74"/>
    </row>
    <row r="282">
      <c r="A282" s="92"/>
      <c r="B282" s="92"/>
      <c r="C282" s="92"/>
      <c r="D282" s="92"/>
      <c r="E282" s="92"/>
      <c r="F282" s="92"/>
      <c r="G282" s="89"/>
      <c r="H282" s="78"/>
      <c r="I282" s="74"/>
      <c r="J282" s="74"/>
      <c r="K282" s="74"/>
      <c r="L282" s="74"/>
      <c r="M282" s="74"/>
    </row>
    <row r="283">
      <c r="A283" s="92"/>
      <c r="B283" s="92"/>
      <c r="C283" s="92"/>
      <c r="D283" s="92"/>
      <c r="E283" s="92"/>
      <c r="F283" s="92"/>
      <c r="G283" s="89"/>
      <c r="H283" s="78"/>
      <c r="I283" s="74"/>
      <c r="J283" s="74"/>
      <c r="K283" s="74"/>
      <c r="L283" s="74"/>
      <c r="M283" s="74"/>
    </row>
    <row r="284">
      <c r="A284" s="92"/>
      <c r="B284" s="92"/>
      <c r="C284" s="92"/>
      <c r="D284" s="92"/>
      <c r="E284" s="92"/>
      <c r="F284" s="92"/>
      <c r="G284" s="89"/>
      <c r="H284" s="78"/>
      <c r="I284" s="74"/>
      <c r="J284" s="74"/>
      <c r="K284" s="74"/>
      <c r="L284" s="74"/>
      <c r="M284" s="74"/>
    </row>
    <row r="285">
      <c r="A285" s="92"/>
      <c r="B285" s="92"/>
      <c r="C285" s="92"/>
      <c r="D285" s="92"/>
      <c r="E285" s="92"/>
      <c r="F285" s="92"/>
      <c r="G285" s="89"/>
      <c r="H285" s="78"/>
      <c r="I285" s="74"/>
      <c r="J285" s="74"/>
      <c r="K285" s="74"/>
      <c r="L285" s="74"/>
      <c r="M285" s="74"/>
    </row>
    <row r="286">
      <c r="A286" s="92"/>
      <c r="B286" s="92"/>
      <c r="C286" s="92"/>
      <c r="D286" s="92"/>
      <c r="E286" s="92"/>
      <c r="F286" s="92"/>
      <c r="G286" s="89"/>
      <c r="H286" s="78"/>
      <c r="I286" s="74"/>
      <c r="J286" s="74"/>
      <c r="K286" s="74"/>
      <c r="L286" s="74"/>
      <c r="M286" s="74"/>
    </row>
    <row r="287">
      <c r="A287" s="92"/>
      <c r="B287" s="92"/>
      <c r="C287" s="92"/>
      <c r="D287" s="92"/>
      <c r="E287" s="92"/>
      <c r="F287" s="92"/>
      <c r="G287" s="89"/>
      <c r="H287" s="78"/>
      <c r="I287" s="74"/>
      <c r="J287" s="74"/>
      <c r="K287" s="74"/>
      <c r="L287" s="74"/>
      <c r="M287" s="74"/>
    </row>
    <row r="288">
      <c r="A288" s="92"/>
      <c r="B288" s="92"/>
      <c r="C288" s="92"/>
      <c r="D288" s="92"/>
      <c r="E288" s="92"/>
      <c r="F288" s="92"/>
      <c r="G288" s="89"/>
      <c r="H288" s="78"/>
      <c r="I288" s="74"/>
      <c r="J288" s="74"/>
      <c r="K288" s="74"/>
      <c r="L288" s="74"/>
      <c r="M288" s="74"/>
    </row>
    <row r="289">
      <c r="A289" s="92"/>
      <c r="B289" s="92"/>
      <c r="C289" s="92"/>
      <c r="D289" s="92"/>
      <c r="E289" s="92"/>
      <c r="F289" s="92"/>
      <c r="G289" s="89"/>
      <c r="H289" s="78"/>
      <c r="I289" s="74"/>
      <c r="J289" s="74"/>
      <c r="K289" s="74"/>
      <c r="L289" s="74"/>
      <c r="M289" s="74"/>
    </row>
    <row r="290">
      <c r="A290" s="92"/>
      <c r="B290" s="92"/>
      <c r="C290" s="92"/>
      <c r="D290" s="92"/>
      <c r="E290" s="92"/>
      <c r="F290" s="92"/>
      <c r="G290" s="89"/>
      <c r="H290" s="78"/>
      <c r="I290" s="74"/>
      <c r="J290" s="74"/>
      <c r="K290" s="74"/>
      <c r="L290" s="74"/>
      <c r="M290" s="74"/>
    </row>
    <row r="291">
      <c r="A291" s="92"/>
      <c r="B291" s="92"/>
      <c r="C291" s="92"/>
      <c r="D291" s="92"/>
      <c r="E291" s="92"/>
      <c r="F291" s="92"/>
      <c r="G291" s="89"/>
      <c r="H291" s="78"/>
      <c r="I291" s="74"/>
      <c r="J291" s="74"/>
      <c r="K291" s="74"/>
      <c r="L291" s="74"/>
      <c r="M291" s="74"/>
    </row>
    <row r="292">
      <c r="A292" s="92"/>
      <c r="B292" s="92"/>
      <c r="C292" s="92"/>
      <c r="D292" s="92"/>
      <c r="E292" s="92"/>
      <c r="F292" s="92"/>
      <c r="G292" s="89"/>
      <c r="H292" s="78"/>
      <c r="I292" s="74"/>
      <c r="J292" s="74"/>
      <c r="K292" s="74"/>
      <c r="L292" s="74"/>
      <c r="M292" s="74"/>
    </row>
    <row r="293">
      <c r="A293" s="92"/>
      <c r="B293" s="92"/>
      <c r="C293" s="92"/>
      <c r="D293" s="92"/>
      <c r="E293" s="92"/>
      <c r="F293" s="92"/>
      <c r="G293" s="89"/>
      <c r="H293" s="78"/>
      <c r="I293" s="74"/>
      <c r="J293" s="74"/>
      <c r="K293" s="74"/>
      <c r="L293" s="74"/>
      <c r="M293" s="74"/>
    </row>
    <row r="294">
      <c r="A294" s="92"/>
      <c r="B294" s="92"/>
      <c r="C294" s="92"/>
      <c r="D294" s="92"/>
      <c r="E294" s="92"/>
      <c r="F294" s="92"/>
      <c r="G294" s="89"/>
      <c r="H294" s="78"/>
      <c r="I294" s="74"/>
      <c r="J294" s="74"/>
      <c r="K294" s="74"/>
      <c r="L294" s="74"/>
      <c r="M294" s="74"/>
    </row>
    <row r="295">
      <c r="A295" s="92"/>
      <c r="B295" s="92"/>
      <c r="C295" s="92"/>
      <c r="D295" s="92"/>
      <c r="E295" s="92"/>
      <c r="F295" s="92"/>
      <c r="G295" s="89"/>
      <c r="H295" s="78"/>
      <c r="I295" s="74"/>
      <c r="J295" s="74"/>
      <c r="K295" s="74"/>
      <c r="L295" s="74"/>
      <c r="M295" s="74"/>
    </row>
    <row r="296">
      <c r="A296" s="92"/>
      <c r="B296" s="92"/>
      <c r="C296" s="92"/>
      <c r="D296" s="92"/>
      <c r="E296" s="92"/>
      <c r="F296" s="92"/>
      <c r="G296" s="89"/>
      <c r="H296" s="78"/>
      <c r="I296" s="74"/>
      <c r="J296" s="74"/>
      <c r="K296" s="74"/>
      <c r="L296" s="74"/>
      <c r="M296" s="74"/>
    </row>
    <row r="297">
      <c r="A297" s="92"/>
      <c r="B297" s="92"/>
      <c r="C297" s="92"/>
      <c r="D297" s="92"/>
      <c r="E297" s="92"/>
      <c r="F297" s="92"/>
      <c r="G297" s="89"/>
      <c r="H297" s="78"/>
      <c r="I297" s="74"/>
      <c r="J297" s="74"/>
      <c r="K297" s="74"/>
      <c r="L297" s="74"/>
      <c r="M297" s="74"/>
    </row>
    <row r="298">
      <c r="A298" s="92"/>
      <c r="B298" s="92"/>
      <c r="C298" s="92"/>
      <c r="D298" s="92"/>
      <c r="E298" s="92"/>
      <c r="F298" s="92"/>
      <c r="G298" s="89"/>
      <c r="H298" s="78"/>
      <c r="I298" s="74"/>
      <c r="J298" s="74"/>
      <c r="K298" s="74"/>
      <c r="L298" s="74"/>
      <c r="M298" s="74"/>
    </row>
    <row r="299">
      <c r="A299" s="92"/>
      <c r="B299" s="92"/>
      <c r="C299" s="92"/>
      <c r="D299" s="92"/>
      <c r="E299" s="92"/>
      <c r="F299" s="92"/>
      <c r="G299" s="89"/>
      <c r="H299" s="78"/>
      <c r="I299" s="74"/>
      <c r="J299" s="74"/>
      <c r="K299" s="74"/>
      <c r="L299" s="74"/>
      <c r="M299" s="74"/>
    </row>
    <row r="300">
      <c r="A300" s="92"/>
      <c r="B300" s="92"/>
      <c r="C300" s="92"/>
      <c r="D300" s="92"/>
      <c r="E300" s="92"/>
      <c r="F300" s="92"/>
      <c r="G300" s="89"/>
      <c r="H300" s="78"/>
      <c r="I300" s="74"/>
      <c r="J300" s="74"/>
      <c r="K300" s="74"/>
      <c r="L300" s="74"/>
      <c r="M300" s="74"/>
    </row>
    <row r="301">
      <c r="A301" s="92"/>
      <c r="B301" s="92"/>
      <c r="C301" s="92"/>
      <c r="D301" s="92"/>
      <c r="E301" s="92"/>
      <c r="F301" s="92"/>
      <c r="G301" s="89"/>
      <c r="H301" s="78"/>
      <c r="I301" s="74"/>
      <c r="J301" s="74"/>
      <c r="K301" s="74"/>
      <c r="L301" s="74"/>
      <c r="M301" s="74"/>
    </row>
    <row r="302">
      <c r="A302" s="92"/>
      <c r="B302" s="92"/>
      <c r="C302" s="92"/>
      <c r="D302" s="92"/>
      <c r="E302" s="92"/>
      <c r="F302" s="92"/>
      <c r="G302" s="89"/>
      <c r="H302" s="78"/>
      <c r="I302" s="74"/>
      <c r="J302" s="74"/>
      <c r="K302" s="74"/>
      <c r="L302" s="74"/>
      <c r="M302" s="74"/>
    </row>
    <row r="303">
      <c r="A303" s="92"/>
      <c r="B303" s="92"/>
      <c r="C303" s="92"/>
      <c r="D303" s="92"/>
      <c r="E303" s="92"/>
      <c r="F303" s="92"/>
      <c r="G303" s="89"/>
      <c r="H303" s="78"/>
      <c r="I303" s="74"/>
      <c r="J303" s="74"/>
      <c r="K303" s="74"/>
      <c r="L303" s="74"/>
      <c r="M303" s="74"/>
    </row>
    <row r="304">
      <c r="A304" s="92"/>
      <c r="B304" s="92"/>
      <c r="C304" s="92"/>
      <c r="D304" s="92"/>
      <c r="E304" s="92"/>
      <c r="F304" s="92"/>
      <c r="G304" s="89"/>
      <c r="H304" s="78"/>
      <c r="I304" s="74"/>
      <c r="J304" s="74"/>
      <c r="K304" s="74"/>
      <c r="L304" s="74"/>
      <c r="M304" s="74"/>
    </row>
    <row r="305">
      <c r="A305" s="92"/>
      <c r="B305" s="92"/>
      <c r="C305" s="92"/>
      <c r="D305" s="92"/>
      <c r="E305" s="92"/>
      <c r="F305" s="92"/>
      <c r="G305" s="89"/>
      <c r="H305" s="78"/>
      <c r="I305" s="74"/>
      <c r="J305" s="74"/>
      <c r="K305" s="74"/>
      <c r="L305" s="74"/>
      <c r="M305" s="74"/>
    </row>
    <row r="306">
      <c r="A306" s="92"/>
      <c r="B306" s="92"/>
      <c r="C306" s="92"/>
      <c r="D306" s="92"/>
      <c r="E306" s="92"/>
      <c r="F306" s="92"/>
      <c r="G306" s="89"/>
      <c r="H306" s="78"/>
      <c r="I306" s="74"/>
      <c r="J306" s="74"/>
      <c r="K306" s="74"/>
      <c r="L306" s="74"/>
      <c r="M306" s="74"/>
    </row>
    <row r="307">
      <c r="A307" s="92"/>
      <c r="B307" s="92"/>
      <c r="C307" s="92"/>
      <c r="D307" s="92"/>
      <c r="E307" s="92"/>
      <c r="F307" s="92"/>
      <c r="G307" s="89"/>
      <c r="H307" s="78"/>
      <c r="I307" s="74"/>
      <c r="J307" s="74"/>
      <c r="K307" s="74"/>
      <c r="L307" s="74"/>
      <c r="M307" s="74"/>
    </row>
    <row r="308">
      <c r="A308" s="92"/>
      <c r="B308" s="92"/>
      <c r="C308" s="92"/>
      <c r="D308" s="92"/>
      <c r="E308" s="92"/>
      <c r="F308" s="92"/>
      <c r="G308" s="89"/>
      <c r="H308" s="78"/>
      <c r="I308" s="74"/>
      <c r="J308" s="74"/>
      <c r="K308" s="74"/>
      <c r="L308" s="74"/>
      <c r="M308" s="74"/>
    </row>
    <row r="309">
      <c r="A309" s="92"/>
      <c r="B309" s="92"/>
      <c r="C309" s="92"/>
      <c r="D309" s="92"/>
      <c r="E309" s="92"/>
      <c r="F309" s="92"/>
      <c r="G309" s="89"/>
      <c r="H309" s="78"/>
      <c r="I309" s="74"/>
      <c r="J309" s="74"/>
      <c r="K309" s="74"/>
      <c r="L309" s="74"/>
      <c r="M309" s="74"/>
    </row>
    <row r="310">
      <c r="A310" s="92"/>
      <c r="B310" s="92"/>
      <c r="C310" s="92"/>
      <c r="D310" s="92"/>
      <c r="E310" s="92"/>
      <c r="F310" s="92"/>
      <c r="G310" s="89"/>
      <c r="H310" s="78"/>
      <c r="I310" s="74"/>
      <c r="J310" s="74"/>
      <c r="K310" s="74"/>
      <c r="L310" s="74"/>
      <c r="M310" s="74"/>
    </row>
    <row r="311">
      <c r="A311" s="92"/>
      <c r="B311" s="92"/>
      <c r="C311" s="92"/>
      <c r="D311" s="92"/>
      <c r="E311" s="92"/>
      <c r="F311" s="92"/>
      <c r="G311" s="89"/>
      <c r="H311" s="78"/>
      <c r="I311" s="74"/>
      <c r="J311" s="74"/>
      <c r="K311" s="74"/>
      <c r="L311" s="74"/>
      <c r="M311" s="74"/>
    </row>
    <row r="312">
      <c r="A312" s="92"/>
      <c r="B312" s="92"/>
      <c r="C312" s="92"/>
      <c r="D312" s="92"/>
      <c r="E312" s="92"/>
      <c r="F312" s="92"/>
      <c r="G312" s="89"/>
      <c r="H312" s="78"/>
      <c r="I312" s="74"/>
      <c r="J312" s="74"/>
      <c r="K312" s="74"/>
      <c r="L312" s="74"/>
      <c r="M312" s="74"/>
    </row>
    <row r="313">
      <c r="A313" s="92"/>
      <c r="B313" s="92"/>
      <c r="C313" s="92"/>
      <c r="D313" s="92"/>
      <c r="E313" s="92"/>
      <c r="F313" s="92"/>
      <c r="G313" s="89"/>
      <c r="H313" s="78"/>
      <c r="I313" s="74"/>
      <c r="J313" s="74"/>
      <c r="K313" s="74"/>
      <c r="L313" s="74"/>
      <c r="M313" s="74"/>
    </row>
    <row r="314">
      <c r="A314" s="92"/>
      <c r="B314" s="92"/>
      <c r="C314" s="92"/>
      <c r="D314" s="92"/>
      <c r="E314" s="92"/>
      <c r="F314" s="92"/>
      <c r="G314" s="89"/>
      <c r="H314" s="78"/>
      <c r="I314" s="74"/>
      <c r="J314" s="74"/>
      <c r="K314" s="74"/>
      <c r="L314" s="74"/>
      <c r="M314" s="74"/>
    </row>
    <row r="315">
      <c r="A315" s="92"/>
      <c r="B315" s="92"/>
      <c r="C315" s="92"/>
      <c r="D315" s="92"/>
      <c r="E315" s="92"/>
      <c r="F315" s="92"/>
      <c r="G315" s="89"/>
      <c r="H315" s="78"/>
      <c r="I315" s="74"/>
      <c r="J315" s="74"/>
      <c r="K315" s="74"/>
      <c r="L315" s="74"/>
      <c r="M315" s="74"/>
    </row>
    <row r="316">
      <c r="A316" s="92"/>
      <c r="B316" s="92"/>
      <c r="C316" s="92"/>
      <c r="D316" s="92"/>
      <c r="E316" s="92"/>
      <c r="F316" s="92"/>
      <c r="G316" s="89"/>
      <c r="H316" s="78"/>
      <c r="I316" s="74"/>
      <c r="J316" s="74"/>
      <c r="K316" s="74"/>
      <c r="L316" s="74"/>
      <c r="M316" s="74"/>
    </row>
    <row r="317">
      <c r="A317" s="92"/>
      <c r="B317" s="92"/>
      <c r="C317" s="92"/>
      <c r="D317" s="92"/>
      <c r="E317" s="92"/>
      <c r="F317" s="92"/>
      <c r="G317" s="89"/>
      <c r="H317" s="78"/>
      <c r="I317" s="74"/>
      <c r="J317" s="74"/>
      <c r="K317" s="74"/>
      <c r="L317" s="74"/>
      <c r="M317" s="74"/>
    </row>
    <row r="318">
      <c r="A318" s="92"/>
      <c r="B318" s="92"/>
      <c r="C318" s="92"/>
      <c r="D318" s="92"/>
      <c r="E318" s="92"/>
      <c r="F318" s="92"/>
      <c r="G318" s="89"/>
      <c r="H318" s="78"/>
      <c r="I318" s="74"/>
      <c r="J318" s="74"/>
      <c r="K318" s="74"/>
      <c r="L318" s="74"/>
      <c r="M318" s="74"/>
    </row>
    <row r="319">
      <c r="A319" s="92"/>
      <c r="B319" s="92"/>
      <c r="C319" s="92"/>
      <c r="D319" s="92"/>
      <c r="E319" s="92"/>
      <c r="F319" s="92"/>
      <c r="G319" s="89"/>
      <c r="H319" s="78"/>
      <c r="I319" s="74"/>
      <c r="J319" s="74"/>
      <c r="K319" s="74"/>
      <c r="L319" s="74"/>
      <c r="M319" s="74"/>
    </row>
    <row r="320">
      <c r="A320" s="92"/>
      <c r="B320" s="92"/>
      <c r="C320" s="92"/>
      <c r="D320" s="92"/>
      <c r="E320" s="92"/>
      <c r="F320" s="92"/>
      <c r="G320" s="89"/>
      <c r="H320" s="78"/>
      <c r="I320" s="74"/>
      <c r="J320" s="74"/>
      <c r="K320" s="74"/>
      <c r="L320" s="74"/>
      <c r="M320" s="74"/>
    </row>
    <row r="321">
      <c r="A321" s="92"/>
      <c r="B321" s="92"/>
      <c r="C321" s="92"/>
      <c r="D321" s="92"/>
      <c r="E321" s="92"/>
      <c r="F321" s="92"/>
      <c r="G321" s="89"/>
      <c r="H321" s="78"/>
      <c r="I321" s="74"/>
      <c r="J321" s="74"/>
      <c r="K321" s="74"/>
      <c r="L321" s="74"/>
      <c r="M321" s="74"/>
    </row>
    <row r="322">
      <c r="A322" s="92"/>
      <c r="B322" s="92"/>
      <c r="C322" s="92"/>
      <c r="D322" s="92"/>
      <c r="E322" s="92"/>
      <c r="F322" s="92"/>
      <c r="G322" s="89"/>
      <c r="H322" s="78"/>
      <c r="I322" s="74"/>
      <c r="J322" s="74"/>
      <c r="K322" s="74"/>
      <c r="L322" s="74"/>
      <c r="M322" s="74"/>
    </row>
    <row r="323">
      <c r="A323" s="92"/>
      <c r="B323" s="92"/>
      <c r="C323" s="92"/>
      <c r="D323" s="92"/>
      <c r="E323" s="92"/>
      <c r="F323" s="92"/>
      <c r="G323" s="89"/>
      <c r="H323" s="78"/>
      <c r="I323" s="74"/>
      <c r="J323" s="74"/>
      <c r="K323" s="74"/>
      <c r="L323" s="74"/>
      <c r="M323" s="74"/>
    </row>
    <row r="324">
      <c r="A324" s="92"/>
      <c r="B324" s="92"/>
      <c r="C324" s="92"/>
      <c r="D324" s="92"/>
      <c r="E324" s="92"/>
      <c r="F324" s="92"/>
      <c r="G324" s="89"/>
      <c r="H324" s="78"/>
      <c r="I324" s="74"/>
      <c r="J324" s="74"/>
      <c r="K324" s="74"/>
      <c r="L324" s="74"/>
      <c r="M324" s="74"/>
    </row>
    <row r="325">
      <c r="A325" s="92"/>
      <c r="B325" s="92"/>
      <c r="C325" s="92"/>
      <c r="D325" s="92"/>
      <c r="E325" s="92"/>
      <c r="F325" s="92"/>
      <c r="G325" s="89"/>
      <c r="H325" s="78"/>
      <c r="I325" s="74"/>
      <c r="J325" s="74"/>
      <c r="K325" s="74"/>
      <c r="L325" s="74"/>
      <c r="M325" s="74"/>
    </row>
    <row r="326">
      <c r="A326" s="92"/>
      <c r="B326" s="92"/>
      <c r="C326" s="92"/>
      <c r="D326" s="92"/>
      <c r="E326" s="92"/>
      <c r="F326" s="92"/>
      <c r="G326" s="89"/>
      <c r="H326" s="78"/>
      <c r="I326" s="74"/>
      <c r="J326" s="74"/>
      <c r="K326" s="74"/>
      <c r="L326" s="74"/>
      <c r="M326" s="74"/>
    </row>
    <row r="327">
      <c r="A327" s="92"/>
      <c r="B327" s="92"/>
      <c r="C327" s="92"/>
      <c r="D327" s="92"/>
      <c r="E327" s="92"/>
      <c r="F327" s="92"/>
      <c r="G327" s="89"/>
      <c r="H327" s="78"/>
      <c r="I327" s="74"/>
      <c r="J327" s="74"/>
      <c r="K327" s="74"/>
      <c r="L327" s="74"/>
      <c r="M327" s="74"/>
    </row>
    <row r="328">
      <c r="A328" s="92"/>
      <c r="B328" s="92"/>
      <c r="C328" s="92"/>
      <c r="D328" s="92"/>
      <c r="E328" s="92"/>
      <c r="F328" s="92"/>
      <c r="G328" s="89"/>
      <c r="H328" s="78"/>
      <c r="I328" s="74"/>
      <c r="J328" s="74"/>
      <c r="K328" s="74"/>
      <c r="L328" s="74"/>
      <c r="M328" s="74"/>
    </row>
    <row r="329">
      <c r="A329" s="92"/>
      <c r="B329" s="92"/>
      <c r="C329" s="92"/>
      <c r="D329" s="92"/>
      <c r="E329" s="92"/>
      <c r="F329" s="92"/>
      <c r="G329" s="89"/>
      <c r="H329" s="78"/>
      <c r="I329" s="74"/>
      <c r="J329" s="74"/>
      <c r="K329" s="74"/>
      <c r="L329" s="74"/>
      <c r="M329" s="74"/>
    </row>
    <row r="330">
      <c r="A330" s="92"/>
      <c r="B330" s="92"/>
      <c r="C330" s="92"/>
      <c r="D330" s="92"/>
      <c r="E330" s="92"/>
      <c r="F330" s="92"/>
      <c r="G330" s="89"/>
      <c r="H330" s="78"/>
      <c r="I330" s="74"/>
      <c r="J330" s="74"/>
      <c r="K330" s="74"/>
      <c r="L330" s="74"/>
      <c r="M330" s="74"/>
    </row>
    <row r="331">
      <c r="A331" s="92"/>
      <c r="B331" s="92"/>
      <c r="C331" s="92"/>
      <c r="D331" s="92"/>
      <c r="E331" s="92"/>
      <c r="F331" s="92"/>
      <c r="G331" s="89"/>
      <c r="H331" s="78"/>
      <c r="I331" s="74"/>
      <c r="J331" s="74"/>
      <c r="K331" s="74"/>
      <c r="L331" s="74"/>
      <c r="M331" s="74"/>
    </row>
    <row r="332">
      <c r="A332" s="92"/>
      <c r="B332" s="92"/>
      <c r="C332" s="92"/>
      <c r="D332" s="92"/>
      <c r="E332" s="92"/>
      <c r="F332" s="92"/>
      <c r="G332" s="89"/>
      <c r="H332" s="78"/>
      <c r="I332" s="74"/>
      <c r="J332" s="74"/>
      <c r="K332" s="74"/>
      <c r="L332" s="74"/>
      <c r="M332" s="74"/>
    </row>
    <row r="333">
      <c r="A333" s="92"/>
      <c r="B333" s="92"/>
      <c r="C333" s="92"/>
      <c r="D333" s="92"/>
      <c r="E333" s="92"/>
      <c r="F333" s="92"/>
      <c r="G333" s="89"/>
      <c r="H333" s="78"/>
      <c r="I333" s="74"/>
      <c r="J333" s="74"/>
      <c r="K333" s="74"/>
      <c r="L333" s="74"/>
      <c r="M333" s="74"/>
    </row>
    <row r="334">
      <c r="A334" s="92"/>
      <c r="B334" s="92"/>
      <c r="C334" s="92"/>
      <c r="D334" s="92"/>
      <c r="E334" s="92"/>
      <c r="F334" s="92"/>
      <c r="G334" s="89"/>
      <c r="H334" s="78"/>
      <c r="I334" s="74"/>
      <c r="J334" s="74"/>
      <c r="K334" s="74"/>
      <c r="L334" s="74"/>
      <c r="M334" s="74"/>
    </row>
    <row r="335">
      <c r="A335" s="92"/>
      <c r="B335" s="92"/>
      <c r="C335" s="92"/>
      <c r="D335" s="92"/>
      <c r="E335" s="92"/>
      <c r="F335" s="92"/>
      <c r="G335" s="89"/>
      <c r="H335" s="78"/>
      <c r="I335" s="74"/>
      <c r="J335" s="74"/>
      <c r="K335" s="74"/>
      <c r="L335" s="74"/>
      <c r="M335" s="74"/>
    </row>
    <row r="336">
      <c r="A336" s="92"/>
      <c r="B336" s="92"/>
      <c r="C336" s="92"/>
      <c r="D336" s="92"/>
      <c r="E336" s="92"/>
      <c r="F336" s="92"/>
      <c r="G336" s="89"/>
      <c r="H336" s="78"/>
      <c r="I336" s="74"/>
      <c r="J336" s="74"/>
      <c r="K336" s="74"/>
      <c r="L336" s="74"/>
      <c r="M336" s="74"/>
    </row>
    <row r="337">
      <c r="A337" s="92"/>
      <c r="B337" s="92"/>
      <c r="C337" s="92"/>
      <c r="D337" s="92"/>
      <c r="E337" s="92"/>
      <c r="F337" s="92"/>
      <c r="G337" s="89"/>
      <c r="H337" s="78"/>
      <c r="I337" s="74"/>
      <c r="J337" s="74"/>
      <c r="K337" s="74"/>
      <c r="L337" s="74"/>
      <c r="M337" s="74"/>
    </row>
    <row r="338">
      <c r="A338" s="92"/>
      <c r="B338" s="92"/>
      <c r="C338" s="92"/>
      <c r="D338" s="92"/>
      <c r="E338" s="92"/>
      <c r="F338" s="92"/>
      <c r="G338" s="89"/>
      <c r="H338" s="78"/>
      <c r="I338" s="74"/>
      <c r="J338" s="74"/>
      <c r="K338" s="74"/>
      <c r="L338" s="74"/>
      <c r="M338" s="74"/>
    </row>
    <row r="339">
      <c r="A339" s="92"/>
      <c r="B339" s="92"/>
      <c r="C339" s="92"/>
      <c r="D339" s="92"/>
      <c r="E339" s="92"/>
      <c r="F339" s="92"/>
      <c r="G339" s="89"/>
      <c r="H339" s="78"/>
      <c r="I339" s="74"/>
      <c r="J339" s="74"/>
      <c r="K339" s="74"/>
      <c r="L339" s="74"/>
      <c r="M339" s="74"/>
    </row>
    <row r="340">
      <c r="A340" s="92"/>
      <c r="B340" s="92"/>
      <c r="C340" s="92"/>
      <c r="D340" s="92"/>
      <c r="E340" s="92"/>
      <c r="F340" s="92"/>
      <c r="G340" s="89"/>
      <c r="H340" s="78"/>
      <c r="I340" s="74"/>
      <c r="J340" s="74"/>
      <c r="K340" s="74"/>
      <c r="L340" s="74"/>
      <c r="M340" s="74"/>
    </row>
    <row r="341">
      <c r="A341" s="92"/>
      <c r="B341" s="92"/>
      <c r="C341" s="92"/>
      <c r="D341" s="92"/>
      <c r="E341" s="92"/>
      <c r="F341" s="92"/>
      <c r="G341" s="89"/>
      <c r="H341" s="78"/>
      <c r="I341" s="74"/>
      <c r="J341" s="74"/>
      <c r="K341" s="74"/>
      <c r="L341" s="74"/>
      <c r="M341" s="74"/>
    </row>
    <row r="342">
      <c r="A342" s="92"/>
      <c r="B342" s="92"/>
      <c r="C342" s="92"/>
      <c r="D342" s="92"/>
      <c r="E342" s="92"/>
      <c r="F342" s="92"/>
      <c r="G342" s="89"/>
      <c r="H342" s="78"/>
      <c r="I342" s="74"/>
      <c r="J342" s="74"/>
      <c r="K342" s="74"/>
      <c r="L342" s="74"/>
      <c r="M342" s="74"/>
    </row>
    <row r="343">
      <c r="A343" s="92"/>
      <c r="B343" s="92"/>
      <c r="C343" s="92"/>
      <c r="D343" s="92"/>
      <c r="E343" s="92"/>
      <c r="F343" s="92"/>
      <c r="G343" s="89"/>
      <c r="H343" s="78"/>
      <c r="I343" s="74"/>
      <c r="J343" s="74"/>
      <c r="K343" s="74"/>
      <c r="L343" s="74"/>
      <c r="M343" s="74"/>
    </row>
    <row r="344">
      <c r="A344" s="92"/>
      <c r="B344" s="92"/>
      <c r="C344" s="92"/>
      <c r="D344" s="92"/>
      <c r="E344" s="92"/>
      <c r="F344" s="92"/>
      <c r="G344" s="89"/>
      <c r="H344" s="78"/>
      <c r="I344" s="74"/>
      <c r="J344" s="74"/>
      <c r="K344" s="74"/>
      <c r="L344" s="74"/>
      <c r="M344" s="74"/>
    </row>
    <row r="345">
      <c r="A345" s="92"/>
      <c r="B345" s="92"/>
      <c r="C345" s="92"/>
      <c r="D345" s="92"/>
      <c r="E345" s="92"/>
      <c r="F345" s="92"/>
      <c r="G345" s="89"/>
      <c r="H345" s="78"/>
      <c r="I345" s="74"/>
      <c r="J345" s="74"/>
      <c r="K345" s="74"/>
      <c r="L345" s="74"/>
      <c r="M345" s="74"/>
    </row>
    <row r="346">
      <c r="A346" s="92"/>
      <c r="B346" s="92"/>
      <c r="C346" s="92"/>
      <c r="D346" s="92"/>
      <c r="E346" s="92"/>
      <c r="F346" s="92"/>
      <c r="G346" s="89"/>
      <c r="H346" s="78"/>
      <c r="I346" s="74"/>
      <c r="J346" s="74"/>
      <c r="K346" s="74"/>
      <c r="L346" s="74"/>
      <c r="M346" s="74"/>
    </row>
    <row r="347">
      <c r="A347" s="92"/>
      <c r="B347" s="92"/>
      <c r="C347" s="92"/>
      <c r="D347" s="92"/>
      <c r="E347" s="92"/>
      <c r="F347" s="92"/>
      <c r="G347" s="89"/>
      <c r="H347" s="78"/>
      <c r="I347" s="74"/>
      <c r="J347" s="74"/>
      <c r="K347" s="74"/>
      <c r="L347" s="74"/>
      <c r="M347" s="74"/>
    </row>
    <row r="348">
      <c r="A348" s="92"/>
      <c r="B348" s="92"/>
      <c r="C348" s="92"/>
      <c r="D348" s="92"/>
      <c r="E348" s="92"/>
      <c r="F348" s="92"/>
      <c r="G348" s="89"/>
      <c r="H348" s="78"/>
      <c r="I348" s="74"/>
      <c r="J348" s="74"/>
      <c r="K348" s="74"/>
      <c r="L348" s="74"/>
      <c r="M348" s="74"/>
    </row>
    <row r="349">
      <c r="A349" s="92"/>
      <c r="B349" s="92"/>
      <c r="C349" s="92"/>
      <c r="D349" s="92"/>
      <c r="E349" s="92"/>
      <c r="F349" s="92"/>
      <c r="G349" s="89"/>
      <c r="H349" s="78"/>
      <c r="I349" s="74"/>
      <c r="J349" s="74"/>
      <c r="K349" s="74"/>
      <c r="L349" s="74"/>
      <c r="M349" s="74"/>
    </row>
    <row r="350">
      <c r="A350" s="92"/>
      <c r="B350" s="92"/>
      <c r="C350" s="92"/>
      <c r="D350" s="92"/>
      <c r="E350" s="92"/>
      <c r="F350" s="92"/>
      <c r="G350" s="89"/>
      <c r="H350" s="78"/>
      <c r="I350" s="74"/>
      <c r="J350" s="74"/>
      <c r="K350" s="74"/>
      <c r="L350" s="74"/>
      <c r="M350" s="74"/>
    </row>
    <row r="351">
      <c r="A351" s="92"/>
      <c r="B351" s="92"/>
      <c r="C351" s="92"/>
      <c r="D351" s="92"/>
      <c r="E351" s="92"/>
      <c r="F351" s="92"/>
      <c r="G351" s="89"/>
      <c r="H351" s="78"/>
      <c r="I351" s="74"/>
      <c r="J351" s="74"/>
      <c r="K351" s="74"/>
      <c r="L351" s="74"/>
      <c r="M351" s="74"/>
    </row>
    <row r="352">
      <c r="A352" s="92"/>
      <c r="B352" s="92"/>
      <c r="C352" s="92"/>
      <c r="D352" s="92"/>
      <c r="E352" s="92"/>
      <c r="F352" s="92"/>
      <c r="G352" s="89"/>
      <c r="H352" s="78"/>
      <c r="I352" s="74"/>
      <c r="J352" s="74"/>
      <c r="K352" s="74"/>
      <c r="L352" s="74"/>
      <c r="M352" s="74"/>
    </row>
    <row r="353">
      <c r="A353" s="92"/>
      <c r="B353" s="92"/>
      <c r="C353" s="92"/>
      <c r="D353" s="92"/>
      <c r="E353" s="92"/>
      <c r="F353" s="92"/>
      <c r="G353" s="89"/>
      <c r="H353" s="78"/>
      <c r="I353" s="74"/>
      <c r="J353" s="74"/>
      <c r="K353" s="74"/>
      <c r="L353" s="74"/>
      <c r="M353" s="74"/>
    </row>
    <row r="354">
      <c r="A354" s="92"/>
      <c r="B354" s="92"/>
      <c r="C354" s="92"/>
      <c r="D354" s="92"/>
      <c r="E354" s="92"/>
      <c r="F354" s="92"/>
      <c r="G354" s="89"/>
      <c r="H354" s="78"/>
      <c r="I354" s="74"/>
      <c r="J354" s="74"/>
      <c r="K354" s="74"/>
      <c r="L354" s="74"/>
      <c r="M354" s="74"/>
    </row>
    <row r="355">
      <c r="A355" s="92"/>
      <c r="B355" s="92"/>
      <c r="C355" s="92"/>
      <c r="D355" s="92"/>
      <c r="E355" s="92"/>
      <c r="F355" s="92"/>
      <c r="G355" s="89"/>
      <c r="H355" s="78"/>
      <c r="I355" s="74"/>
      <c r="J355" s="74"/>
      <c r="K355" s="74"/>
      <c r="L355" s="74"/>
      <c r="M355" s="74"/>
    </row>
    <row r="356">
      <c r="A356" s="92"/>
      <c r="B356" s="92"/>
      <c r="C356" s="92"/>
      <c r="D356" s="92"/>
      <c r="E356" s="92"/>
      <c r="F356" s="92"/>
      <c r="G356" s="89"/>
      <c r="H356" s="78"/>
      <c r="I356" s="74"/>
      <c r="J356" s="74"/>
      <c r="K356" s="74"/>
      <c r="L356" s="74"/>
      <c r="M356" s="74"/>
    </row>
    <row r="357">
      <c r="A357" s="92"/>
      <c r="B357" s="92"/>
      <c r="C357" s="92"/>
      <c r="D357" s="92"/>
      <c r="E357" s="92"/>
      <c r="F357" s="92"/>
      <c r="G357" s="89"/>
      <c r="H357" s="78"/>
      <c r="I357" s="74"/>
      <c r="J357" s="74"/>
      <c r="K357" s="74"/>
      <c r="L357" s="74"/>
      <c r="M357" s="74"/>
    </row>
    <row r="358">
      <c r="A358" s="92"/>
      <c r="B358" s="92"/>
      <c r="C358" s="92"/>
      <c r="D358" s="92"/>
      <c r="E358" s="92"/>
      <c r="F358" s="92"/>
      <c r="G358" s="89"/>
      <c r="H358" s="78"/>
      <c r="I358" s="74"/>
      <c r="J358" s="74"/>
      <c r="K358" s="74"/>
      <c r="L358" s="74"/>
      <c r="M358" s="74"/>
    </row>
    <row r="359">
      <c r="A359" s="92"/>
      <c r="B359" s="92"/>
      <c r="C359" s="92"/>
      <c r="D359" s="92"/>
      <c r="E359" s="92"/>
      <c r="F359" s="92"/>
      <c r="G359" s="89"/>
      <c r="H359" s="78"/>
      <c r="I359" s="74"/>
      <c r="J359" s="74"/>
      <c r="K359" s="74"/>
      <c r="L359" s="74"/>
      <c r="M359" s="74"/>
    </row>
    <row r="360">
      <c r="A360" s="92"/>
      <c r="B360" s="92"/>
      <c r="C360" s="92"/>
      <c r="D360" s="92"/>
      <c r="E360" s="92"/>
      <c r="F360" s="92"/>
      <c r="G360" s="89"/>
      <c r="H360" s="78"/>
      <c r="I360" s="74"/>
      <c r="J360" s="74"/>
      <c r="K360" s="74"/>
      <c r="L360" s="74"/>
      <c r="M360" s="74"/>
    </row>
    <row r="361">
      <c r="A361" s="92"/>
      <c r="B361" s="92"/>
      <c r="C361" s="92"/>
      <c r="D361" s="92"/>
      <c r="E361" s="92"/>
      <c r="F361" s="92"/>
      <c r="G361" s="89"/>
      <c r="H361" s="78"/>
      <c r="I361" s="74"/>
      <c r="J361" s="74"/>
      <c r="K361" s="74"/>
      <c r="L361" s="74"/>
      <c r="M361" s="74"/>
    </row>
    <row r="362">
      <c r="A362" s="92"/>
      <c r="B362" s="92"/>
      <c r="C362" s="92"/>
      <c r="D362" s="92"/>
      <c r="E362" s="92"/>
      <c r="F362" s="92"/>
      <c r="G362" s="89"/>
      <c r="H362" s="78"/>
      <c r="I362" s="74"/>
      <c r="J362" s="74"/>
      <c r="K362" s="74"/>
      <c r="L362" s="74"/>
      <c r="M362" s="74"/>
    </row>
    <row r="363">
      <c r="A363" s="92"/>
      <c r="B363" s="92"/>
      <c r="C363" s="92"/>
      <c r="D363" s="92"/>
      <c r="E363" s="92"/>
      <c r="F363" s="92"/>
      <c r="G363" s="89"/>
      <c r="H363" s="78"/>
      <c r="I363" s="74"/>
      <c r="J363" s="74"/>
      <c r="K363" s="74"/>
      <c r="L363" s="74"/>
      <c r="M363" s="74"/>
    </row>
    <row r="364">
      <c r="A364" s="92"/>
      <c r="B364" s="92"/>
      <c r="C364" s="92"/>
      <c r="D364" s="92"/>
      <c r="E364" s="92"/>
      <c r="F364" s="92"/>
      <c r="G364" s="89"/>
      <c r="H364" s="78"/>
      <c r="I364" s="74"/>
      <c r="J364" s="74"/>
      <c r="K364" s="74"/>
      <c r="L364" s="74"/>
      <c r="M364" s="74"/>
    </row>
    <row r="365">
      <c r="A365" s="92"/>
      <c r="B365" s="92"/>
      <c r="C365" s="92"/>
      <c r="D365" s="92"/>
      <c r="E365" s="92"/>
      <c r="F365" s="92"/>
      <c r="G365" s="89"/>
      <c r="H365" s="78"/>
      <c r="I365" s="74"/>
      <c r="J365" s="74"/>
      <c r="K365" s="74"/>
      <c r="L365" s="74"/>
      <c r="M365" s="74"/>
    </row>
    <row r="366">
      <c r="A366" s="92"/>
      <c r="B366" s="92"/>
      <c r="C366" s="92"/>
      <c r="D366" s="92"/>
      <c r="E366" s="92"/>
      <c r="F366" s="92"/>
      <c r="G366" s="89"/>
      <c r="H366" s="78"/>
      <c r="I366" s="74"/>
      <c r="J366" s="74"/>
      <c r="K366" s="74"/>
      <c r="L366" s="74"/>
      <c r="M366" s="74"/>
    </row>
    <row r="367">
      <c r="A367" s="92"/>
      <c r="B367" s="92"/>
      <c r="C367" s="92"/>
      <c r="D367" s="92"/>
      <c r="E367" s="92"/>
      <c r="F367" s="92"/>
      <c r="G367" s="89"/>
      <c r="H367" s="78"/>
      <c r="I367" s="74"/>
      <c r="J367" s="74"/>
      <c r="K367" s="74"/>
      <c r="L367" s="74"/>
      <c r="M367" s="74"/>
    </row>
    <row r="368">
      <c r="A368" s="92"/>
      <c r="B368" s="92"/>
      <c r="C368" s="92"/>
      <c r="D368" s="92"/>
      <c r="E368" s="92"/>
      <c r="F368" s="92"/>
      <c r="G368" s="89"/>
      <c r="H368" s="78"/>
      <c r="I368" s="74"/>
      <c r="J368" s="74"/>
      <c r="K368" s="74"/>
      <c r="L368" s="74"/>
      <c r="M368" s="74"/>
    </row>
    <row r="369">
      <c r="A369" s="92"/>
      <c r="B369" s="92"/>
      <c r="C369" s="92"/>
      <c r="D369" s="92"/>
      <c r="E369" s="92"/>
      <c r="F369" s="92"/>
      <c r="G369" s="89"/>
      <c r="H369" s="78"/>
      <c r="I369" s="74"/>
      <c r="J369" s="74"/>
      <c r="K369" s="74"/>
      <c r="L369" s="74"/>
      <c r="M369" s="74"/>
    </row>
    <row r="370">
      <c r="A370" s="92"/>
      <c r="B370" s="92"/>
      <c r="C370" s="92"/>
      <c r="D370" s="92"/>
      <c r="E370" s="92"/>
      <c r="F370" s="92"/>
      <c r="G370" s="89"/>
      <c r="H370" s="78"/>
      <c r="I370" s="74"/>
      <c r="J370" s="74"/>
      <c r="K370" s="74"/>
      <c r="L370" s="74"/>
      <c r="M370" s="74"/>
    </row>
    <row r="371">
      <c r="A371" s="92"/>
      <c r="B371" s="92"/>
      <c r="C371" s="92"/>
      <c r="D371" s="92"/>
      <c r="E371" s="92"/>
      <c r="F371" s="92"/>
      <c r="G371" s="89"/>
      <c r="H371" s="78"/>
      <c r="I371" s="74"/>
      <c r="J371" s="74"/>
      <c r="K371" s="74"/>
      <c r="L371" s="74"/>
      <c r="M371" s="74"/>
    </row>
    <row r="372">
      <c r="A372" s="92"/>
      <c r="B372" s="92"/>
      <c r="C372" s="92"/>
      <c r="D372" s="92"/>
      <c r="E372" s="92"/>
      <c r="F372" s="92"/>
      <c r="G372" s="89"/>
      <c r="H372" s="78"/>
      <c r="I372" s="74"/>
      <c r="J372" s="74"/>
      <c r="K372" s="74"/>
      <c r="L372" s="74"/>
      <c r="M372" s="74"/>
    </row>
    <row r="373">
      <c r="A373" s="92"/>
      <c r="B373" s="92"/>
      <c r="C373" s="92"/>
      <c r="D373" s="92"/>
      <c r="E373" s="92"/>
      <c r="F373" s="92"/>
      <c r="G373" s="89"/>
      <c r="H373" s="78"/>
      <c r="I373" s="74"/>
      <c r="J373" s="74"/>
      <c r="K373" s="74"/>
      <c r="L373" s="74"/>
      <c r="M373" s="74"/>
    </row>
    <row r="374">
      <c r="A374" s="92"/>
      <c r="B374" s="92"/>
      <c r="C374" s="92"/>
      <c r="D374" s="92"/>
      <c r="E374" s="92"/>
      <c r="F374" s="92"/>
      <c r="G374" s="89"/>
      <c r="H374" s="78"/>
      <c r="I374" s="74"/>
      <c r="J374" s="74"/>
      <c r="K374" s="74"/>
      <c r="L374" s="74"/>
      <c r="M374" s="74"/>
    </row>
    <row r="375">
      <c r="A375" s="92"/>
      <c r="B375" s="92"/>
      <c r="C375" s="92"/>
      <c r="D375" s="92"/>
      <c r="E375" s="92"/>
      <c r="F375" s="92"/>
      <c r="G375" s="89"/>
      <c r="H375" s="78"/>
      <c r="I375" s="74"/>
      <c r="J375" s="74"/>
      <c r="K375" s="74"/>
      <c r="L375" s="74"/>
      <c r="M375" s="74"/>
    </row>
    <row r="376">
      <c r="A376" s="92"/>
      <c r="B376" s="92"/>
      <c r="C376" s="92"/>
      <c r="D376" s="92"/>
      <c r="E376" s="92"/>
      <c r="F376" s="92"/>
      <c r="G376" s="89"/>
      <c r="H376" s="78"/>
      <c r="I376" s="74"/>
      <c r="J376" s="74"/>
      <c r="K376" s="74"/>
      <c r="L376" s="74"/>
      <c r="M376" s="74"/>
    </row>
    <row r="377">
      <c r="A377" s="92"/>
      <c r="B377" s="92"/>
      <c r="C377" s="92"/>
      <c r="D377" s="92"/>
      <c r="E377" s="92"/>
      <c r="F377" s="92"/>
      <c r="G377" s="89"/>
      <c r="H377" s="78"/>
      <c r="I377" s="74"/>
      <c r="J377" s="74"/>
      <c r="K377" s="74"/>
      <c r="L377" s="74"/>
      <c r="M377" s="74"/>
    </row>
    <row r="378">
      <c r="A378" s="92"/>
      <c r="B378" s="92"/>
      <c r="C378" s="92"/>
      <c r="D378" s="92"/>
      <c r="E378" s="92"/>
      <c r="F378" s="92"/>
      <c r="G378" s="89"/>
      <c r="H378" s="78"/>
      <c r="I378" s="74"/>
      <c r="J378" s="74"/>
      <c r="K378" s="74"/>
      <c r="L378" s="74"/>
      <c r="M378" s="74"/>
    </row>
    <row r="379">
      <c r="A379" s="92"/>
      <c r="B379" s="92"/>
      <c r="C379" s="92"/>
      <c r="D379" s="92"/>
      <c r="E379" s="92"/>
      <c r="F379" s="92"/>
      <c r="G379" s="89"/>
      <c r="H379" s="78"/>
      <c r="I379" s="74"/>
      <c r="J379" s="74"/>
      <c r="K379" s="74"/>
      <c r="L379" s="74"/>
      <c r="M379" s="74"/>
    </row>
    <row r="380">
      <c r="A380" s="92"/>
      <c r="B380" s="92"/>
      <c r="C380" s="92"/>
      <c r="D380" s="92"/>
      <c r="E380" s="92"/>
      <c r="F380" s="92"/>
      <c r="G380" s="89"/>
      <c r="H380" s="78"/>
      <c r="I380" s="74"/>
      <c r="J380" s="74"/>
      <c r="K380" s="74"/>
      <c r="L380" s="74"/>
      <c r="M380" s="74"/>
    </row>
    <row r="381">
      <c r="A381" s="92"/>
      <c r="B381" s="92"/>
      <c r="C381" s="92"/>
      <c r="D381" s="92"/>
      <c r="E381" s="92"/>
      <c r="F381" s="92"/>
      <c r="G381" s="89"/>
      <c r="H381" s="78"/>
      <c r="I381" s="74"/>
      <c r="J381" s="74"/>
      <c r="K381" s="74"/>
      <c r="L381" s="74"/>
      <c r="M381" s="74"/>
    </row>
    <row r="382">
      <c r="A382" s="92"/>
      <c r="B382" s="92"/>
      <c r="C382" s="92"/>
      <c r="D382" s="92"/>
      <c r="E382" s="92"/>
      <c r="F382" s="92"/>
      <c r="G382" s="89"/>
      <c r="H382" s="78"/>
      <c r="I382" s="74"/>
      <c r="J382" s="74"/>
      <c r="K382" s="74"/>
      <c r="L382" s="74"/>
      <c r="M382" s="74"/>
    </row>
    <row r="383">
      <c r="A383" s="92"/>
      <c r="B383" s="92"/>
      <c r="C383" s="92"/>
      <c r="D383" s="92"/>
      <c r="E383" s="92"/>
      <c r="F383" s="92"/>
      <c r="G383" s="89"/>
      <c r="H383" s="78"/>
      <c r="I383" s="74"/>
      <c r="J383" s="74"/>
      <c r="K383" s="74"/>
      <c r="L383" s="74"/>
      <c r="M383" s="74"/>
    </row>
    <row r="384">
      <c r="A384" s="92"/>
      <c r="B384" s="92"/>
      <c r="C384" s="92"/>
      <c r="D384" s="92"/>
      <c r="E384" s="92"/>
      <c r="F384" s="92"/>
      <c r="G384" s="89"/>
      <c r="H384" s="78"/>
      <c r="I384" s="74"/>
      <c r="J384" s="74"/>
      <c r="K384" s="74"/>
      <c r="L384" s="74"/>
      <c r="M384" s="74"/>
    </row>
    <row r="385">
      <c r="A385" s="92"/>
      <c r="B385" s="92"/>
      <c r="C385" s="92"/>
      <c r="D385" s="92"/>
      <c r="E385" s="92"/>
      <c r="F385" s="92"/>
      <c r="G385" s="89"/>
      <c r="H385" s="78"/>
      <c r="I385" s="74"/>
      <c r="J385" s="74"/>
      <c r="K385" s="74"/>
      <c r="L385" s="74"/>
      <c r="M385" s="74"/>
    </row>
    <row r="386">
      <c r="A386" s="92"/>
      <c r="B386" s="92"/>
      <c r="C386" s="92"/>
      <c r="D386" s="92"/>
      <c r="E386" s="92"/>
      <c r="F386" s="92"/>
      <c r="G386" s="89"/>
      <c r="H386" s="78"/>
      <c r="I386" s="74"/>
      <c r="J386" s="74"/>
      <c r="K386" s="74"/>
      <c r="L386" s="74"/>
      <c r="M386" s="74"/>
    </row>
    <row r="387">
      <c r="A387" s="92"/>
      <c r="B387" s="92"/>
      <c r="C387" s="92"/>
      <c r="D387" s="92"/>
      <c r="E387" s="92"/>
      <c r="F387" s="92"/>
      <c r="G387" s="89"/>
      <c r="H387" s="78"/>
      <c r="I387" s="74"/>
      <c r="J387" s="74"/>
      <c r="K387" s="74"/>
      <c r="L387" s="74"/>
      <c r="M387" s="74"/>
    </row>
    <row r="388">
      <c r="A388" s="92"/>
      <c r="B388" s="92"/>
      <c r="C388" s="92"/>
      <c r="D388" s="92"/>
      <c r="E388" s="92"/>
      <c r="F388" s="92"/>
      <c r="G388" s="89"/>
      <c r="H388" s="78"/>
      <c r="I388" s="74"/>
      <c r="J388" s="74"/>
      <c r="K388" s="74"/>
      <c r="L388" s="74"/>
      <c r="M388" s="74"/>
    </row>
    <row r="389">
      <c r="A389" s="92"/>
      <c r="B389" s="92"/>
      <c r="C389" s="92"/>
      <c r="D389" s="92"/>
      <c r="E389" s="92"/>
      <c r="F389" s="92"/>
      <c r="G389" s="89"/>
      <c r="H389" s="78"/>
      <c r="I389" s="74"/>
      <c r="J389" s="74"/>
      <c r="K389" s="74"/>
      <c r="L389" s="74"/>
      <c r="M389" s="74"/>
    </row>
    <row r="390">
      <c r="A390" s="92"/>
      <c r="B390" s="92"/>
      <c r="C390" s="92"/>
      <c r="D390" s="92"/>
      <c r="E390" s="92"/>
      <c r="F390" s="92"/>
      <c r="G390" s="89"/>
      <c r="H390" s="78"/>
      <c r="I390" s="74"/>
      <c r="J390" s="74"/>
      <c r="K390" s="74"/>
      <c r="L390" s="74"/>
      <c r="M390" s="74"/>
    </row>
    <row r="391">
      <c r="A391" s="92"/>
      <c r="B391" s="92"/>
      <c r="C391" s="92"/>
      <c r="D391" s="92"/>
      <c r="E391" s="92"/>
      <c r="F391" s="92"/>
      <c r="G391" s="89"/>
      <c r="H391" s="78"/>
      <c r="I391" s="74"/>
      <c r="J391" s="74"/>
      <c r="K391" s="74"/>
      <c r="L391" s="74"/>
      <c r="M391" s="74"/>
    </row>
    <row r="392">
      <c r="A392" s="92"/>
      <c r="B392" s="92"/>
      <c r="C392" s="92"/>
      <c r="D392" s="92"/>
      <c r="E392" s="92"/>
      <c r="F392" s="92"/>
      <c r="G392" s="89"/>
      <c r="H392" s="78"/>
      <c r="I392" s="74"/>
      <c r="J392" s="74"/>
      <c r="K392" s="74"/>
      <c r="L392" s="74"/>
      <c r="M392" s="74"/>
    </row>
    <row r="393">
      <c r="A393" s="92"/>
      <c r="B393" s="92"/>
      <c r="C393" s="92"/>
      <c r="D393" s="92"/>
      <c r="E393" s="92"/>
      <c r="F393" s="92"/>
      <c r="G393" s="89"/>
      <c r="H393" s="78"/>
      <c r="I393" s="74"/>
      <c r="J393" s="74"/>
      <c r="K393" s="74"/>
      <c r="L393" s="74"/>
      <c r="M393" s="74"/>
    </row>
    <row r="394">
      <c r="A394" s="92"/>
      <c r="B394" s="92"/>
      <c r="C394" s="92"/>
      <c r="D394" s="92"/>
      <c r="E394" s="92"/>
      <c r="F394" s="92"/>
      <c r="G394" s="89"/>
      <c r="H394" s="78"/>
      <c r="I394" s="74"/>
      <c r="J394" s="74"/>
      <c r="K394" s="74"/>
      <c r="L394" s="74"/>
      <c r="M394" s="74"/>
    </row>
    <row r="395">
      <c r="A395" s="92"/>
      <c r="B395" s="92"/>
      <c r="C395" s="92"/>
      <c r="D395" s="92"/>
      <c r="E395" s="92"/>
      <c r="F395" s="92"/>
      <c r="G395" s="89"/>
      <c r="H395" s="78"/>
      <c r="I395" s="74"/>
      <c r="J395" s="74"/>
      <c r="K395" s="74"/>
      <c r="L395" s="74"/>
      <c r="M395" s="74"/>
    </row>
    <row r="396">
      <c r="A396" s="92"/>
      <c r="B396" s="92"/>
      <c r="C396" s="92"/>
      <c r="D396" s="92"/>
      <c r="E396" s="92"/>
      <c r="F396" s="92"/>
      <c r="G396" s="89"/>
      <c r="H396" s="78"/>
      <c r="I396" s="74"/>
      <c r="J396" s="74"/>
      <c r="K396" s="74"/>
      <c r="L396" s="74"/>
      <c r="M396" s="74"/>
    </row>
    <row r="397">
      <c r="A397" s="92"/>
      <c r="B397" s="92"/>
      <c r="C397" s="92"/>
      <c r="D397" s="92"/>
      <c r="E397" s="92"/>
      <c r="F397" s="92"/>
      <c r="G397" s="89"/>
      <c r="H397" s="78"/>
      <c r="I397" s="74"/>
      <c r="J397" s="74"/>
      <c r="K397" s="74"/>
      <c r="L397" s="74"/>
      <c r="M397" s="74"/>
    </row>
    <row r="398">
      <c r="A398" s="92"/>
      <c r="B398" s="92"/>
      <c r="C398" s="92"/>
      <c r="D398" s="92"/>
      <c r="E398" s="92"/>
      <c r="F398" s="92"/>
      <c r="G398" s="89"/>
      <c r="H398" s="78"/>
      <c r="I398" s="74"/>
      <c r="J398" s="74"/>
      <c r="K398" s="74"/>
      <c r="L398" s="74"/>
      <c r="M398" s="74"/>
    </row>
    <row r="399">
      <c r="A399" s="92"/>
      <c r="B399" s="92"/>
      <c r="C399" s="92"/>
      <c r="D399" s="92"/>
      <c r="E399" s="92"/>
      <c r="F399" s="92"/>
      <c r="G399" s="89"/>
      <c r="H399" s="78"/>
      <c r="I399" s="74"/>
      <c r="J399" s="74"/>
      <c r="K399" s="74"/>
      <c r="L399" s="74"/>
      <c r="M399" s="74"/>
    </row>
    <row r="400">
      <c r="A400" s="92"/>
      <c r="B400" s="92"/>
      <c r="C400" s="92"/>
      <c r="D400" s="92"/>
      <c r="E400" s="92"/>
      <c r="F400" s="92"/>
      <c r="G400" s="89"/>
      <c r="H400" s="78"/>
      <c r="I400" s="74"/>
      <c r="J400" s="74"/>
      <c r="K400" s="74"/>
      <c r="L400" s="74"/>
      <c r="M400" s="74"/>
    </row>
    <row r="401">
      <c r="A401" s="92"/>
      <c r="B401" s="92"/>
      <c r="C401" s="92"/>
      <c r="D401" s="92"/>
      <c r="E401" s="92"/>
      <c r="F401" s="92"/>
      <c r="G401" s="89"/>
      <c r="H401" s="78"/>
      <c r="I401" s="74"/>
      <c r="J401" s="74"/>
      <c r="K401" s="74"/>
      <c r="L401" s="74"/>
      <c r="M401" s="74"/>
    </row>
    <row r="402">
      <c r="A402" s="92"/>
      <c r="B402" s="92"/>
      <c r="C402" s="92"/>
      <c r="D402" s="92"/>
      <c r="E402" s="92"/>
      <c r="F402" s="92"/>
      <c r="G402" s="89"/>
      <c r="H402" s="78"/>
      <c r="I402" s="74"/>
      <c r="J402" s="74"/>
      <c r="K402" s="74"/>
      <c r="L402" s="74"/>
      <c r="M402" s="74"/>
    </row>
    <row r="403">
      <c r="A403" s="92"/>
      <c r="B403" s="92"/>
      <c r="C403" s="92"/>
      <c r="D403" s="92"/>
      <c r="E403" s="92"/>
      <c r="F403" s="92"/>
      <c r="G403" s="89"/>
      <c r="H403" s="78"/>
      <c r="I403" s="74"/>
      <c r="J403" s="74"/>
      <c r="K403" s="74"/>
      <c r="L403" s="74"/>
      <c r="M403" s="74"/>
    </row>
    <row r="404">
      <c r="A404" s="92"/>
      <c r="B404" s="92"/>
      <c r="C404" s="92"/>
      <c r="D404" s="92"/>
      <c r="E404" s="92"/>
      <c r="F404" s="92"/>
      <c r="G404" s="89"/>
      <c r="H404" s="78"/>
      <c r="I404" s="74"/>
      <c r="J404" s="74"/>
      <c r="K404" s="74"/>
      <c r="L404" s="74"/>
      <c r="M404" s="74"/>
    </row>
    <row r="405">
      <c r="A405" s="92"/>
      <c r="B405" s="92"/>
      <c r="C405" s="92"/>
      <c r="D405" s="92"/>
      <c r="E405" s="92"/>
      <c r="F405" s="92"/>
      <c r="G405" s="89"/>
      <c r="H405" s="78"/>
      <c r="I405" s="74"/>
      <c r="J405" s="74"/>
      <c r="K405" s="74"/>
      <c r="L405" s="74"/>
      <c r="M405" s="74"/>
    </row>
    <row r="406">
      <c r="A406" s="92"/>
      <c r="B406" s="92"/>
      <c r="C406" s="92"/>
      <c r="D406" s="92"/>
      <c r="E406" s="92"/>
      <c r="F406" s="92"/>
      <c r="G406" s="89"/>
      <c r="H406" s="78"/>
      <c r="I406" s="74"/>
      <c r="J406" s="74"/>
      <c r="K406" s="74"/>
      <c r="L406" s="74"/>
      <c r="M406" s="74"/>
    </row>
    <row r="407">
      <c r="A407" s="92"/>
      <c r="B407" s="92"/>
      <c r="C407" s="92"/>
      <c r="D407" s="92"/>
      <c r="E407" s="92"/>
      <c r="F407" s="92"/>
      <c r="G407" s="89"/>
      <c r="H407" s="78"/>
      <c r="I407" s="74"/>
      <c r="J407" s="74"/>
      <c r="K407" s="74"/>
      <c r="L407" s="74"/>
      <c r="M407" s="74"/>
    </row>
    <row r="408">
      <c r="A408" s="92"/>
      <c r="B408" s="92"/>
      <c r="C408" s="92"/>
      <c r="D408" s="92"/>
      <c r="E408" s="92"/>
      <c r="F408" s="92"/>
      <c r="G408" s="89"/>
      <c r="H408" s="78"/>
      <c r="I408" s="74"/>
      <c r="J408" s="74"/>
      <c r="K408" s="74"/>
      <c r="L408" s="74"/>
      <c r="M408" s="74"/>
    </row>
    <row r="409">
      <c r="A409" s="92"/>
      <c r="B409" s="92"/>
      <c r="C409" s="92"/>
      <c r="D409" s="92"/>
      <c r="E409" s="92"/>
      <c r="F409" s="92"/>
      <c r="G409" s="89"/>
      <c r="H409" s="78"/>
      <c r="I409" s="74"/>
      <c r="J409" s="74"/>
      <c r="K409" s="74"/>
      <c r="L409" s="74"/>
      <c r="M409" s="74"/>
    </row>
    <row r="410">
      <c r="A410" s="92"/>
      <c r="B410" s="92"/>
      <c r="C410" s="92"/>
      <c r="D410" s="92"/>
      <c r="E410" s="92"/>
      <c r="F410" s="92"/>
      <c r="G410" s="89"/>
      <c r="H410" s="78"/>
      <c r="I410" s="74"/>
      <c r="J410" s="74"/>
      <c r="K410" s="74"/>
      <c r="L410" s="74"/>
      <c r="M410" s="74"/>
    </row>
    <row r="411">
      <c r="A411" s="92"/>
      <c r="B411" s="92"/>
      <c r="C411" s="92"/>
      <c r="D411" s="92"/>
      <c r="E411" s="92"/>
      <c r="F411" s="92"/>
      <c r="G411" s="89"/>
      <c r="H411" s="78"/>
      <c r="I411" s="74"/>
      <c r="J411" s="74"/>
      <c r="K411" s="74"/>
      <c r="L411" s="74"/>
      <c r="M411" s="74"/>
    </row>
    <row r="412">
      <c r="A412" s="92"/>
      <c r="B412" s="92"/>
      <c r="C412" s="92"/>
      <c r="D412" s="92"/>
      <c r="E412" s="92"/>
      <c r="F412" s="92"/>
      <c r="G412" s="89"/>
      <c r="H412" s="78"/>
      <c r="I412" s="74"/>
      <c r="J412" s="74"/>
      <c r="K412" s="74"/>
      <c r="L412" s="74"/>
      <c r="M412" s="74"/>
    </row>
    <row r="413">
      <c r="A413" s="92"/>
      <c r="B413" s="92"/>
      <c r="C413" s="92"/>
      <c r="D413" s="92"/>
      <c r="E413" s="92"/>
      <c r="F413" s="92"/>
      <c r="G413" s="89"/>
      <c r="H413" s="78"/>
      <c r="I413" s="74"/>
      <c r="J413" s="74"/>
      <c r="K413" s="74"/>
      <c r="L413" s="74"/>
      <c r="M413" s="74"/>
    </row>
    <row r="414">
      <c r="A414" s="92"/>
      <c r="B414" s="92"/>
      <c r="C414" s="92"/>
      <c r="D414" s="92"/>
      <c r="E414" s="92"/>
      <c r="F414" s="92"/>
      <c r="G414" s="89"/>
      <c r="H414" s="78"/>
      <c r="I414" s="74"/>
      <c r="J414" s="74"/>
      <c r="K414" s="74"/>
      <c r="L414" s="74"/>
      <c r="M414" s="74"/>
    </row>
    <row r="415">
      <c r="A415" s="92"/>
      <c r="B415" s="92"/>
      <c r="C415" s="92"/>
      <c r="D415" s="92"/>
      <c r="E415" s="92"/>
      <c r="F415" s="92"/>
      <c r="G415" s="89"/>
      <c r="H415" s="78"/>
      <c r="I415" s="74"/>
      <c r="J415" s="74"/>
      <c r="K415" s="74"/>
      <c r="L415" s="74"/>
      <c r="M415" s="74"/>
    </row>
    <row r="416">
      <c r="A416" s="92"/>
      <c r="B416" s="92"/>
      <c r="C416" s="92"/>
      <c r="D416" s="92"/>
      <c r="E416" s="92"/>
      <c r="F416" s="92"/>
      <c r="G416" s="89"/>
      <c r="H416" s="78"/>
      <c r="I416" s="74"/>
      <c r="J416" s="74"/>
      <c r="K416" s="74"/>
      <c r="L416" s="74"/>
      <c r="M416" s="74"/>
    </row>
    <row r="417">
      <c r="A417" s="92"/>
      <c r="B417" s="92"/>
      <c r="C417" s="92"/>
      <c r="D417" s="92"/>
      <c r="E417" s="92"/>
      <c r="F417" s="92"/>
      <c r="G417" s="89"/>
      <c r="H417" s="78"/>
      <c r="I417" s="74"/>
      <c r="J417" s="74"/>
      <c r="K417" s="74"/>
      <c r="L417" s="74"/>
      <c r="M417" s="74"/>
    </row>
    <row r="418">
      <c r="A418" s="92"/>
      <c r="B418" s="92"/>
      <c r="C418" s="92"/>
      <c r="D418" s="92"/>
      <c r="E418" s="92"/>
      <c r="F418" s="92"/>
      <c r="G418" s="89"/>
      <c r="H418" s="78"/>
      <c r="I418" s="74"/>
      <c r="J418" s="74"/>
      <c r="K418" s="74"/>
      <c r="L418" s="74"/>
      <c r="M418" s="74"/>
    </row>
    <row r="419">
      <c r="A419" s="92"/>
      <c r="B419" s="92"/>
      <c r="C419" s="92"/>
      <c r="D419" s="92"/>
      <c r="E419" s="92"/>
      <c r="F419" s="92"/>
      <c r="G419" s="89"/>
      <c r="H419" s="78"/>
      <c r="I419" s="74"/>
      <c r="J419" s="74"/>
      <c r="K419" s="74"/>
      <c r="L419" s="74"/>
      <c r="M419" s="74"/>
    </row>
    <row r="420">
      <c r="A420" s="92"/>
      <c r="B420" s="92"/>
      <c r="C420" s="92"/>
      <c r="D420" s="92"/>
      <c r="E420" s="92"/>
      <c r="F420" s="92"/>
      <c r="G420" s="89"/>
      <c r="H420" s="78"/>
      <c r="I420" s="74"/>
      <c r="J420" s="74"/>
      <c r="K420" s="74"/>
      <c r="L420" s="74"/>
      <c r="M420" s="74"/>
    </row>
    <row r="421">
      <c r="A421" s="92"/>
      <c r="B421" s="92"/>
      <c r="C421" s="92"/>
      <c r="D421" s="92"/>
      <c r="E421" s="92"/>
      <c r="F421" s="92"/>
      <c r="G421" s="89"/>
      <c r="H421" s="78"/>
      <c r="I421" s="74"/>
      <c r="J421" s="74"/>
      <c r="K421" s="74"/>
      <c r="L421" s="74"/>
      <c r="M421" s="74"/>
    </row>
    <row r="422">
      <c r="A422" s="92"/>
      <c r="B422" s="92"/>
      <c r="C422" s="92"/>
      <c r="D422" s="92"/>
      <c r="E422" s="92"/>
      <c r="F422" s="92"/>
      <c r="G422" s="89"/>
      <c r="H422" s="78"/>
      <c r="I422" s="74"/>
      <c r="J422" s="74"/>
      <c r="K422" s="74"/>
      <c r="L422" s="74"/>
      <c r="M422" s="74"/>
    </row>
    <row r="423">
      <c r="A423" s="92"/>
      <c r="B423" s="92"/>
      <c r="C423" s="92"/>
      <c r="D423" s="92"/>
      <c r="E423" s="92"/>
      <c r="F423" s="92"/>
      <c r="G423" s="89"/>
      <c r="H423" s="78"/>
      <c r="I423" s="74"/>
      <c r="J423" s="74"/>
      <c r="K423" s="74"/>
      <c r="L423" s="74"/>
      <c r="M423" s="74"/>
    </row>
    <row r="424">
      <c r="A424" s="92"/>
      <c r="B424" s="92"/>
      <c r="C424" s="92"/>
      <c r="D424" s="92"/>
      <c r="E424" s="92"/>
      <c r="F424" s="92"/>
      <c r="G424" s="89"/>
      <c r="H424" s="78"/>
      <c r="I424" s="74"/>
      <c r="J424" s="74"/>
      <c r="K424" s="74"/>
      <c r="L424" s="74"/>
      <c r="M424" s="74"/>
    </row>
    <row r="425">
      <c r="A425" s="92"/>
      <c r="B425" s="92"/>
      <c r="C425" s="92"/>
      <c r="D425" s="92"/>
      <c r="E425" s="92"/>
      <c r="F425" s="92"/>
      <c r="G425" s="89"/>
      <c r="H425" s="78"/>
      <c r="I425" s="74"/>
      <c r="J425" s="74"/>
      <c r="K425" s="74"/>
      <c r="L425" s="74"/>
      <c r="M425" s="74"/>
    </row>
    <row r="426">
      <c r="A426" s="92"/>
      <c r="B426" s="92"/>
      <c r="C426" s="92"/>
      <c r="D426" s="92"/>
      <c r="E426" s="92"/>
      <c r="F426" s="92"/>
      <c r="G426" s="89"/>
      <c r="H426" s="78"/>
      <c r="I426" s="74"/>
      <c r="J426" s="74"/>
      <c r="K426" s="74"/>
      <c r="L426" s="74"/>
      <c r="M426" s="74"/>
    </row>
    <row r="427">
      <c r="A427" s="92"/>
      <c r="B427" s="92"/>
      <c r="C427" s="92"/>
      <c r="D427" s="92"/>
      <c r="E427" s="92"/>
      <c r="F427" s="92"/>
      <c r="G427" s="89"/>
      <c r="H427" s="78"/>
      <c r="I427" s="74"/>
      <c r="J427" s="74"/>
      <c r="K427" s="74"/>
      <c r="L427" s="74"/>
      <c r="M427" s="74"/>
    </row>
    <row r="428">
      <c r="A428" s="92"/>
      <c r="B428" s="92"/>
      <c r="C428" s="92"/>
      <c r="D428" s="92"/>
      <c r="E428" s="92"/>
      <c r="F428" s="92"/>
      <c r="G428" s="89"/>
      <c r="H428" s="78"/>
      <c r="I428" s="74"/>
      <c r="J428" s="74"/>
      <c r="K428" s="74"/>
      <c r="L428" s="74"/>
      <c r="M428" s="74"/>
    </row>
    <row r="429">
      <c r="A429" s="92"/>
      <c r="B429" s="92"/>
      <c r="C429" s="92"/>
      <c r="D429" s="92"/>
      <c r="E429" s="92"/>
      <c r="F429" s="92"/>
      <c r="G429" s="89"/>
      <c r="H429" s="78"/>
      <c r="I429" s="74"/>
      <c r="J429" s="74"/>
      <c r="K429" s="74"/>
      <c r="L429" s="74"/>
      <c r="M429" s="74"/>
    </row>
    <row r="430">
      <c r="A430" s="92"/>
      <c r="B430" s="92"/>
      <c r="C430" s="92"/>
      <c r="D430" s="92"/>
      <c r="E430" s="92"/>
      <c r="F430" s="92"/>
      <c r="G430" s="89"/>
      <c r="H430" s="78"/>
      <c r="I430" s="74"/>
      <c r="J430" s="74"/>
      <c r="K430" s="74"/>
      <c r="L430" s="74"/>
      <c r="M430" s="74"/>
    </row>
    <row r="431">
      <c r="A431" s="92"/>
      <c r="B431" s="92"/>
      <c r="C431" s="92"/>
      <c r="D431" s="92"/>
      <c r="E431" s="92"/>
      <c r="F431" s="92"/>
      <c r="G431" s="89"/>
      <c r="H431" s="78"/>
      <c r="I431" s="74"/>
      <c r="J431" s="74"/>
      <c r="K431" s="74"/>
      <c r="L431" s="74"/>
      <c r="M431" s="74"/>
    </row>
    <row r="432">
      <c r="A432" s="92"/>
      <c r="B432" s="92"/>
      <c r="C432" s="92"/>
      <c r="D432" s="92"/>
      <c r="E432" s="92"/>
      <c r="F432" s="92"/>
      <c r="G432" s="89"/>
      <c r="H432" s="78"/>
      <c r="I432" s="74"/>
      <c r="J432" s="74"/>
      <c r="K432" s="74"/>
      <c r="L432" s="74"/>
      <c r="M432" s="74"/>
    </row>
    <row r="433">
      <c r="A433" s="92"/>
      <c r="B433" s="92"/>
      <c r="C433" s="92"/>
      <c r="D433" s="92"/>
      <c r="E433" s="92"/>
      <c r="F433" s="92"/>
      <c r="G433" s="89"/>
      <c r="H433" s="78"/>
      <c r="I433" s="74"/>
      <c r="J433" s="74"/>
      <c r="K433" s="74"/>
      <c r="L433" s="74"/>
      <c r="M433" s="74"/>
    </row>
    <row r="434">
      <c r="A434" s="92"/>
      <c r="B434" s="92"/>
      <c r="C434" s="92"/>
      <c r="D434" s="92"/>
      <c r="E434" s="92"/>
      <c r="F434" s="92"/>
      <c r="G434" s="89"/>
      <c r="H434" s="78"/>
      <c r="I434" s="74"/>
      <c r="J434" s="74"/>
      <c r="K434" s="74"/>
      <c r="L434" s="74"/>
      <c r="M434" s="74"/>
    </row>
    <row r="435">
      <c r="A435" s="92"/>
      <c r="B435" s="92"/>
      <c r="C435" s="92"/>
      <c r="D435" s="92"/>
      <c r="E435" s="92"/>
      <c r="F435" s="92"/>
      <c r="G435" s="89"/>
      <c r="H435" s="78"/>
      <c r="I435" s="74"/>
      <c r="J435" s="74"/>
      <c r="K435" s="74"/>
      <c r="L435" s="74"/>
      <c r="M435" s="74"/>
    </row>
    <row r="436">
      <c r="A436" s="92"/>
      <c r="B436" s="92"/>
      <c r="C436" s="92"/>
      <c r="D436" s="92"/>
      <c r="E436" s="92"/>
      <c r="F436" s="92"/>
      <c r="G436" s="89"/>
      <c r="H436" s="78"/>
      <c r="I436" s="74"/>
      <c r="J436" s="74"/>
      <c r="K436" s="74"/>
      <c r="L436" s="74"/>
      <c r="M436" s="74"/>
    </row>
    <row r="437">
      <c r="A437" s="92"/>
      <c r="B437" s="92"/>
      <c r="C437" s="92"/>
      <c r="D437" s="92"/>
      <c r="E437" s="92"/>
      <c r="F437" s="92"/>
      <c r="G437" s="89"/>
      <c r="H437" s="78"/>
      <c r="I437" s="74"/>
      <c r="J437" s="74"/>
      <c r="K437" s="74"/>
      <c r="L437" s="74"/>
      <c r="M437" s="74"/>
    </row>
    <row r="438">
      <c r="A438" s="92"/>
      <c r="B438" s="92"/>
      <c r="C438" s="92"/>
      <c r="D438" s="92"/>
      <c r="E438" s="92"/>
      <c r="F438" s="92"/>
      <c r="G438" s="89"/>
      <c r="H438" s="78"/>
      <c r="I438" s="74"/>
      <c r="J438" s="74"/>
      <c r="K438" s="74"/>
      <c r="L438" s="74"/>
      <c r="M438" s="74"/>
    </row>
    <row r="439">
      <c r="A439" s="92"/>
      <c r="B439" s="92"/>
      <c r="C439" s="92"/>
      <c r="D439" s="92"/>
      <c r="E439" s="92"/>
      <c r="F439" s="92"/>
      <c r="G439" s="89"/>
      <c r="H439" s="78"/>
      <c r="I439" s="74"/>
      <c r="J439" s="74"/>
      <c r="K439" s="74"/>
      <c r="L439" s="74"/>
      <c r="M439" s="74"/>
    </row>
    <row r="440">
      <c r="A440" s="92"/>
      <c r="B440" s="92"/>
      <c r="C440" s="92"/>
      <c r="D440" s="92"/>
      <c r="E440" s="92"/>
      <c r="F440" s="92"/>
      <c r="G440" s="89"/>
      <c r="H440" s="78"/>
      <c r="I440" s="74"/>
      <c r="J440" s="74"/>
      <c r="K440" s="74"/>
      <c r="L440" s="74"/>
      <c r="M440" s="74"/>
    </row>
    <row r="441">
      <c r="A441" s="92"/>
      <c r="B441" s="92"/>
      <c r="C441" s="92"/>
      <c r="D441" s="92"/>
      <c r="E441" s="92"/>
      <c r="F441" s="92"/>
      <c r="G441" s="89"/>
      <c r="H441" s="78"/>
      <c r="I441" s="74"/>
      <c r="J441" s="74"/>
      <c r="K441" s="74"/>
      <c r="L441" s="74"/>
      <c r="M441" s="74"/>
    </row>
    <row r="442">
      <c r="A442" s="92"/>
      <c r="B442" s="92"/>
      <c r="C442" s="92"/>
      <c r="D442" s="92"/>
      <c r="E442" s="92"/>
      <c r="F442" s="92"/>
      <c r="G442" s="89"/>
      <c r="H442" s="78"/>
      <c r="I442" s="74"/>
      <c r="J442" s="74"/>
      <c r="K442" s="74"/>
      <c r="L442" s="74"/>
      <c r="M442" s="74"/>
    </row>
    <row r="443">
      <c r="A443" s="92"/>
      <c r="B443" s="92"/>
      <c r="C443" s="92"/>
      <c r="D443" s="92"/>
      <c r="E443" s="92"/>
      <c r="F443" s="92"/>
      <c r="G443" s="89"/>
      <c r="H443" s="78"/>
      <c r="I443" s="74"/>
      <c r="J443" s="74"/>
      <c r="K443" s="74"/>
      <c r="L443" s="74"/>
      <c r="M443" s="74"/>
    </row>
    <row r="444">
      <c r="A444" s="92"/>
      <c r="B444" s="92"/>
      <c r="C444" s="92"/>
      <c r="D444" s="92"/>
      <c r="E444" s="92"/>
      <c r="F444" s="92"/>
      <c r="G444" s="89"/>
      <c r="H444" s="78"/>
      <c r="I444" s="74"/>
      <c r="J444" s="74"/>
      <c r="K444" s="74"/>
      <c r="L444" s="74"/>
      <c r="M444" s="74"/>
    </row>
    <row r="445">
      <c r="A445" s="92"/>
      <c r="B445" s="92"/>
      <c r="C445" s="92"/>
      <c r="D445" s="92"/>
      <c r="E445" s="92"/>
      <c r="F445" s="92"/>
      <c r="G445" s="89"/>
      <c r="H445" s="78"/>
      <c r="I445" s="74"/>
      <c r="J445" s="74"/>
      <c r="K445" s="74"/>
      <c r="L445" s="74"/>
      <c r="M445" s="74"/>
    </row>
    <row r="446">
      <c r="A446" s="92"/>
      <c r="B446" s="92"/>
      <c r="C446" s="92"/>
      <c r="D446" s="92"/>
      <c r="E446" s="92"/>
      <c r="F446" s="92"/>
      <c r="G446" s="89"/>
      <c r="H446" s="78"/>
      <c r="I446" s="74"/>
      <c r="J446" s="74"/>
      <c r="K446" s="74"/>
      <c r="L446" s="74"/>
      <c r="M446" s="74"/>
    </row>
    <row r="447">
      <c r="A447" s="92"/>
      <c r="B447" s="92"/>
      <c r="C447" s="92"/>
      <c r="D447" s="92"/>
      <c r="E447" s="92"/>
      <c r="F447" s="92"/>
      <c r="G447" s="89"/>
      <c r="H447" s="78"/>
      <c r="I447" s="74"/>
      <c r="J447" s="74"/>
      <c r="K447" s="74"/>
      <c r="L447" s="74"/>
      <c r="M447" s="74"/>
    </row>
    <row r="448">
      <c r="A448" s="92"/>
      <c r="B448" s="92"/>
      <c r="C448" s="92"/>
      <c r="D448" s="92"/>
      <c r="E448" s="92"/>
      <c r="F448" s="92"/>
      <c r="G448" s="89"/>
      <c r="H448" s="78"/>
      <c r="I448" s="74"/>
      <c r="J448" s="74"/>
      <c r="K448" s="74"/>
      <c r="L448" s="74"/>
      <c r="M448" s="74"/>
    </row>
    <row r="449">
      <c r="A449" s="92"/>
      <c r="B449" s="92"/>
      <c r="C449" s="92"/>
      <c r="D449" s="92"/>
      <c r="E449" s="92"/>
      <c r="F449" s="92"/>
      <c r="G449" s="89"/>
      <c r="H449" s="78"/>
      <c r="I449" s="74"/>
      <c r="J449" s="74"/>
      <c r="K449" s="74"/>
      <c r="L449" s="74"/>
      <c r="M449" s="74"/>
    </row>
    <row r="450">
      <c r="A450" s="92"/>
      <c r="B450" s="92"/>
      <c r="C450" s="92"/>
      <c r="D450" s="92"/>
      <c r="E450" s="92"/>
      <c r="F450" s="92"/>
      <c r="G450" s="89"/>
      <c r="H450" s="78"/>
      <c r="I450" s="74"/>
      <c r="J450" s="74"/>
      <c r="K450" s="74"/>
      <c r="L450" s="74"/>
      <c r="M450" s="74"/>
    </row>
    <row r="451">
      <c r="A451" s="92"/>
      <c r="B451" s="92"/>
      <c r="C451" s="92"/>
      <c r="D451" s="92"/>
      <c r="E451" s="92"/>
      <c r="F451" s="92"/>
      <c r="G451" s="89"/>
      <c r="H451" s="78"/>
      <c r="I451" s="74"/>
      <c r="J451" s="74"/>
      <c r="K451" s="74"/>
      <c r="L451" s="74"/>
      <c r="M451" s="74"/>
    </row>
    <row r="452">
      <c r="A452" s="92"/>
      <c r="B452" s="92"/>
      <c r="C452" s="92"/>
      <c r="D452" s="92"/>
      <c r="E452" s="92"/>
      <c r="F452" s="92"/>
      <c r="G452" s="89"/>
      <c r="H452" s="78"/>
      <c r="I452" s="74"/>
      <c r="J452" s="74"/>
      <c r="K452" s="74"/>
      <c r="L452" s="74"/>
      <c r="M452" s="74"/>
    </row>
    <row r="453">
      <c r="A453" s="92"/>
      <c r="B453" s="92"/>
      <c r="C453" s="92"/>
      <c r="D453" s="92"/>
      <c r="E453" s="92"/>
      <c r="F453" s="92"/>
      <c r="G453" s="89"/>
      <c r="H453" s="78"/>
      <c r="I453" s="74"/>
      <c r="J453" s="74"/>
      <c r="K453" s="74"/>
      <c r="L453" s="74"/>
      <c r="M453" s="74"/>
    </row>
    <row r="454">
      <c r="A454" s="92"/>
      <c r="B454" s="92"/>
      <c r="C454" s="92"/>
      <c r="D454" s="92"/>
      <c r="E454" s="92"/>
      <c r="F454" s="92"/>
      <c r="G454" s="89"/>
      <c r="H454" s="78"/>
      <c r="I454" s="74"/>
      <c r="J454" s="74"/>
      <c r="K454" s="74"/>
      <c r="L454" s="74"/>
      <c r="M454" s="74"/>
    </row>
    <row r="455">
      <c r="A455" s="92"/>
      <c r="B455" s="92"/>
      <c r="C455" s="92"/>
      <c r="D455" s="92"/>
      <c r="E455" s="92"/>
      <c r="F455" s="92"/>
      <c r="G455" s="89"/>
      <c r="H455" s="78"/>
      <c r="I455" s="74"/>
      <c r="J455" s="74"/>
      <c r="K455" s="74"/>
      <c r="L455" s="74"/>
      <c r="M455" s="74"/>
    </row>
    <row r="456">
      <c r="A456" s="92"/>
      <c r="B456" s="92"/>
      <c r="C456" s="92"/>
      <c r="D456" s="92"/>
      <c r="E456" s="92"/>
      <c r="F456" s="92"/>
      <c r="G456" s="89"/>
      <c r="H456" s="78"/>
      <c r="I456" s="74"/>
      <c r="J456" s="74"/>
      <c r="K456" s="74"/>
      <c r="L456" s="74"/>
      <c r="M456" s="74"/>
    </row>
    <row r="457">
      <c r="A457" s="92"/>
      <c r="B457" s="92"/>
      <c r="C457" s="92"/>
      <c r="D457" s="92"/>
      <c r="E457" s="92"/>
      <c r="F457" s="92"/>
      <c r="G457" s="89"/>
      <c r="H457" s="78"/>
      <c r="I457" s="74"/>
      <c r="J457" s="74"/>
      <c r="K457" s="74"/>
      <c r="L457" s="74"/>
      <c r="M457" s="74"/>
    </row>
    <row r="458">
      <c r="A458" s="92"/>
      <c r="B458" s="92"/>
      <c r="C458" s="92"/>
      <c r="D458" s="92"/>
      <c r="E458" s="92"/>
      <c r="F458" s="92"/>
      <c r="G458" s="89"/>
      <c r="H458" s="78"/>
      <c r="I458" s="74"/>
      <c r="J458" s="74"/>
      <c r="K458" s="74"/>
      <c r="L458" s="74"/>
      <c r="M458" s="74"/>
    </row>
    <row r="459">
      <c r="A459" s="92"/>
      <c r="B459" s="92"/>
      <c r="C459" s="92"/>
      <c r="D459" s="92"/>
      <c r="E459" s="92"/>
      <c r="F459" s="92"/>
      <c r="G459" s="89"/>
      <c r="H459" s="78"/>
      <c r="I459" s="74"/>
      <c r="J459" s="74"/>
      <c r="K459" s="74"/>
      <c r="L459" s="74"/>
      <c r="M459" s="74"/>
    </row>
    <row r="460">
      <c r="A460" s="92"/>
      <c r="B460" s="92"/>
      <c r="C460" s="92"/>
      <c r="D460" s="92"/>
      <c r="E460" s="92"/>
      <c r="F460" s="92"/>
      <c r="G460" s="89"/>
      <c r="H460" s="78"/>
      <c r="I460" s="74"/>
      <c r="J460" s="74"/>
      <c r="K460" s="74"/>
      <c r="L460" s="74"/>
      <c r="M460" s="74"/>
    </row>
    <row r="461">
      <c r="A461" s="92"/>
      <c r="B461" s="92"/>
      <c r="C461" s="92"/>
      <c r="D461" s="92"/>
      <c r="E461" s="92"/>
      <c r="F461" s="92"/>
      <c r="G461" s="89"/>
      <c r="H461" s="78"/>
      <c r="I461" s="74"/>
      <c r="J461" s="74"/>
      <c r="K461" s="74"/>
      <c r="L461" s="74"/>
      <c r="M461" s="74"/>
    </row>
    <row r="462">
      <c r="A462" s="92"/>
      <c r="B462" s="92"/>
      <c r="C462" s="92"/>
      <c r="D462" s="92"/>
      <c r="E462" s="92"/>
      <c r="F462" s="92"/>
      <c r="G462" s="89"/>
      <c r="H462" s="78"/>
      <c r="I462" s="74"/>
      <c r="J462" s="74"/>
      <c r="K462" s="74"/>
      <c r="L462" s="74"/>
      <c r="M462" s="74"/>
    </row>
    <row r="463">
      <c r="A463" s="92"/>
      <c r="B463" s="92"/>
      <c r="C463" s="92"/>
      <c r="D463" s="92"/>
      <c r="E463" s="92"/>
      <c r="F463" s="92"/>
      <c r="G463" s="89"/>
      <c r="H463" s="78"/>
      <c r="I463" s="74"/>
      <c r="J463" s="74"/>
      <c r="K463" s="74"/>
      <c r="L463" s="74"/>
      <c r="M463" s="74"/>
    </row>
    <row r="464">
      <c r="A464" s="92"/>
      <c r="B464" s="92"/>
      <c r="C464" s="92"/>
      <c r="D464" s="92"/>
      <c r="E464" s="92"/>
      <c r="F464" s="92"/>
      <c r="G464" s="89"/>
      <c r="H464" s="78"/>
      <c r="I464" s="74"/>
      <c r="J464" s="74"/>
      <c r="K464" s="74"/>
      <c r="L464" s="74"/>
      <c r="M464" s="74"/>
    </row>
    <row r="465">
      <c r="A465" s="92"/>
      <c r="B465" s="92"/>
      <c r="C465" s="92"/>
      <c r="D465" s="92"/>
      <c r="E465" s="92"/>
      <c r="F465" s="92"/>
      <c r="G465" s="89"/>
      <c r="H465" s="78"/>
      <c r="I465" s="74"/>
      <c r="J465" s="74"/>
      <c r="K465" s="74"/>
      <c r="L465" s="74"/>
      <c r="M465" s="74"/>
    </row>
    <row r="466">
      <c r="A466" s="92"/>
      <c r="B466" s="92"/>
      <c r="C466" s="92"/>
      <c r="D466" s="92"/>
      <c r="E466" s="92"/>
      <c r="F466" s="92"/>
      <c r="G466" s="89"/>
      <c r="H466" s="78"/>
      <c r="I466" s="74"/>
      <c r="J466" s="74"/>
      <c r="K466" s="74"/>
      <c r="L466" s="74"/>
      <c r="M466" s="74"/>
    </row>
    <row r="467">
      <c r="A467" s="92"/>
      <c r="B467" s="92"/>
      <c r="C467" s="92"/>
      <c r="D467" s="92"/>
      <c r="E467" s="92"/>
      <c r="F467" s="92"/>
      <c r="G467" s="89"/>
      <c r="H467" s="78"/>
      <c r="I467" s="74"/>
      <c r="J467" s="74"/>
      <c r="K467" s="74"/>
      <c r="L467" s="74"/>
      <c r="M467" s="74"/>
    </row>
    <row r="468">
      <c r="A468" s="92"/>
      <c r="B468" s="92"/>
      <c r="C468" s="92"/>
      <c r="D468" s="92"/>
      <c r="E468" s="92"/>
      <c r="F468" s="92"/>
      <c r="G468" s="89"/>
      <c r="H468" s="78"/>
      <c r="I468" s="74"/>
      <c r="J468" s="74"/>
      <c r="K468" s="74"/>
      <c r="L468" s="74"/>
      <c r="M468" s="74"/>
    </row>
    <row r="469">
      <c r="A469" s="92"/>
      <c r="B469" s="92"/>
      <c r="C469" s="92"/>
      <c r="D469" s="92"/>
      <c r="E469" s="92"/>
      <c r="F469" s="92"/>
      <c r="G469" s="89"/>
      <c r="H469" s="78"/>
      <c r="I469" s="74"/>
      <c r="J469" s="74"/>
      <c r="K469" s="74"/>
      <c r="L469" s="74"/>
      <c r="M469" s="74"/>
    </row>
    <row r="470">
      <c r="A470" s="92"/>
      <c r="B470" s="92"/>
      <c r="C470" s="92"/>
      <c r="D470" s="92"/>
      <c r="E470" s="92"/>
      <c r="F470" s="92"/>
      <c r="G470" s="89"/>
      <c r="H470" s="78"/>
      <c r="I470" s="74"/>
      <c r="J470" s="74"/>
      <c r="K470" s="74"/>
      <c r="L470" s="74"/>
      <c r="M470" s="74"/>
    </row>
    <row r="471">
      <c r="A471" s="92"/>
      <c r="B471" s="92"/>
      <c r="C471" s="92"/>
      <c r="D471" s="92"/>
      <c r="E471" s="92"/>
      <c r="F471" s="92"/>
      <c r="G471" s="89"/>
      <c r="H471" s="78"/>
      <c r="I471" s="74"/>
      <c r="J471" s="74"/>
      <c r="K471" s="74"/>
      <c r="L471" s="74"/>
      <c r="M471" s="74"/>
    </row>
    <row r="472">
      <c r="A472" s="92"/>
      <c r="B472" s="92"/>
      <c r="C472" s="92"/>
      <c r="D472" s="92"/>
      <c r="E472" s="92"/>
      <c r="F472" s="92"/>
      <c r="G472" s="89"/>
      <c r="H472" s="78"/>
      <c r="I472" s="74"/>
      <c r="J472" s="74"/>
      <c r="K472" s="74"/>
      <c r="L472" s="74"/>
      <c r="M472" s="74"/>
    </row>
    <row r="473">
      <c r="A473" s="92"/>
      <c r="B473" s="92"/>
      <c r="C473" s="92"/>
      <c r="D473" s="92"/>
      <c r="E473" s="92"/>
      <c r="F473" s="92"/>
      <c r="G473" s="89"/>
      <c r="H473" s="78"/>
      <c r="I473" s="74"/>
      <c r="J473" s="74"/>
      <c r="K473" s="74"/>
      <c r="L473" s="74"/>
      <c r="M473" s="74"/>
    </row>
    <row r="474">
      <c r="A474" s="92"/>
      <c r="B474" s="92"/>
      <c r="C474" s="92"/>
      <c r="D474" s="92"/>
      <c r="E474" s="92"/>
      <c r="F474" s="92"/>
      <c r="G474" s="89"/>
      <c r="H474" s="78"/>
      <c r="I474" s="74"/>
      <c r="J474" s="74"/>
      <c r="K474" s="74"/>
      <c r="L474" s="74"/>
      <c r="M474" s="74"/>
    </row>
    <row r="475">
      <c r="A475" s="92"/>
      <c r="B475" s="92"/>
      <c r="C475" s="92"/>
      <c r="D475" s="92"/>
      <c r="E475" s="92"/>
      <c r="F475" s="92"/>
      <c r="G475" s="89"/>
      <c r="H475" s="78"/>
      <c r="I475" s="74"/>
      <c r="J475" s="74"/>
      <c r="K475" s="74"/>
      <c r="L475" s="74"/>
      <c r="M475" s="74"/>
    </row>
    <row r="476">
      <c r="A476" s="92"/>
      <c r="B476" s="92"/>
      <c r="C476" s="92"/>
      <c r="D476" s="92"/>
      <c r="E476" s="92"/>
      <c r="F476" s="92"/>
      <c r="G476" s="89"/>
      <c r="H476" s="78"/>
      <c r="I476" s="74"/>
      <c r="J476" s="74"/>
      <c r="K476" s="74"/>
      <c r="L476" s="74"/>
      <c r="M476" s="74"/>
    </row>
    <row r="477">
      <c r="A477" s="92"/>
      <c r="B477" s="92"/>
      <c r="C477" s="92"/>
      <c r="D477" s="92"/>
      <c r="E477" s="92"/>
      <c r="F477" s="92"/>
      <c r="G477" s="89"/>
      <c r="H477" s="78"/>
      <c r="I477" s="74"/>
      <c r="J477" s="74"/>
      <c r="K477" s="74"/>
      <c r="L477" s="74"/>
      <c r="M477" s="74"/>
    </row>
    <row r="478">
      <c r="A478" s="92"/>
      <c r="B478" s="92"/>
      <c r="C478" s="92"/>
      <c r="D478" s="92"/>
      <c r="E478" s="92"/>
      <c r="F478" s="92"/>
      <c r="G478" s="89"/>
      <c r="H478" s="78"/>
      <c r="I478" s="74"/>
      <c r="J478" s="74"/>
      <c r="K478" s="74"/>
      <c r="L478" s="74"/>
      <c r="M478" s="74"/>
    </row>
    <row r="479">
      <c r="A479" s="92"/>
      <c r="B479" s="92"/>
      <c r="C479" s="92"/>
      <c r="D479" s="92"/>
      <c r="E479" s="92"/>
      <c r="F479" s="92"/>
      <c r="G479" s="89"/>
      <c r="H479" s="78"/>
      <c r="I479" s="74"/>
      <c r="J479" s="74"/>
      <c r="K479" s="74"/>
      <c r="L479" s="74"/>
      <c r="M479" s="74"/>
    </row>
    <row r="480">
      <c r="A480" s="92"/>
      <c r="B480" s="92"/>
      <c r="C480" s="92"/>
      <c r="D480" s="92"/>
      <c r="E480" s="92"/>
      <c r="F480" s="92"/>
      <c r="G480" s="89"/>
      <c r="H480" s="78"/>
      <c r="I480" s="74"/>
      <c r="J480" s="74"/>
      <c r="K480" s="74"/>
      <c r="L480" s="74"/>
      <c r="M480" s="74"/>
    </row>
    <row r="481">
      <c r="A481" s="92"/>
      <c r="B481" s="92"/>
      <c r="C481" s="92"/>
      <c r="D481" s="92"/>
      <c r="E481" s="92"/>
      <c r="F481" s="92"/>
      <c r="G481" s="89"/>
      <c r="H481" s="78"/>
      <c r="I481" s="74"/>
      <c r="J481" s="74"/>
      <c r="K481" s="74"/>
      <c r="L481" s="74"/>
      <c r="M481" s="74"/>
    </row>
    <row r="482">
      <c r="A482" s="92"/>
      <c r="B482" s="92"/>
      <c r="C482" s="92"/>
      <c r="D482" s="92"/>
      <c r="E482" s="92"/>
      <c r="F482" s="92"/>
      <c r="G482" s="89"/>
      <c r="H482" s="78"/>
      <c r="I482" s="74"/>
      <c r="J482" s="74"/>
      <c r="K482" s="74"/>
      <c r="L482" s="74"/>
      <c r="M482" s="74"/>
    </row>
    <row r="483">
      <c r="A483" s="92"/>
      <c r="B483" s="92"/>
      <c r="C483" s="92"/>
      <c r="D483" s="92"/>
      <c r="E483" s="92"/>
      <c r="F483" s="92"/>
      <c r="G483" s="89"/>
      <c r="H483" s="78"/>
      <c r="I483" s="74"/>
      <c r="J483" s="74"/>
      <c r="K483" s="74"/>
      <c r="L483" s="74"/>
      <c r="M483" s="74"/>
    </row>
    <row r="484">
      <c r="A484" s="92"/>
      <c r="B484" s="92"/>
      <c r="C484" s="92"/>
      <c r="D484" s="92"/>
      <c r="E484" s="92"/>
      <c r="F484" s="92"/>
      <c r="G484" s="89"/>
      <c r="H484" s="78"/>
      <c r="I484" s="74"/>
      <c r="J484" s="74"/>
      <c r="K484" s="74"/>
      <c r="L484" s="74"/>
      <c r="M484" s="74"/>
    </row>
    <row r="485">
      <c r="A485" s="92"/>
      <c r="B485" s="92"/>
      <c r="C485" s="92"/>
      <c r="D485" s="92"/>
      <c r="E485" s="92"/>
      <c r="F485" s="92"/>
      <c r="G485" s="89"/>
      <c r="H485" s="78"/>
      <c r="I485" s="74"/>
      <c r="J485" s="74"/>
      <c r="K485" s="74"/>
      <c r="L485" s="74"/>
      <c r="M485" s="74"/>
    </row>
    <row r="486">
      <c r="A486" s="92"/>
      <c r="B486" s="92"/>
      <c r="C486" s="92"/>
      <c r="D486" s="92"/>
      <c r="E486" s="92"/>
      <c r="F486" s="92"/>
      <c r="G486" s="89"/>
      <c r="H486" s="78"/>
      <c r="I486" s="74"/>
      <c r="J486" s="74"/>
      <c r="K486" s="74"/>
      <c r="L486" s="74"/>
      <c r="M486" s="74"/>
    </row>
    <row r="487">
      <c r="A487" s="92"/>
      <c r="B487" s="92"/>
      <c r="C487" s="92"/>
      <c r="D487" s="92"/>
      <c r="E487" s="92"/>
      <c r="F487" s="92"/>
      <c r="G487" s="89"/>
      <c r="H487" s="78"/>
      <c r="I487" s="74"/>
      <c r="J487" s="74"/>
      <c r="K487" s="74"/>
      <c r="L487" s="74"/>
      <c r="M487" s="74"/>
    </row>
    <row r="488">
      <c r="A488" s="92"/>
      <c r="B488" s="92"/>
      <c r="C488" s="92"/>
      <c r="D488" s="92"/>
      <c r="E488" s="92"/>
      <c r="F488" s="92"/>
      <c r="G488" s="89"/>
      <c r="H488" s="78"/>
      <c r="I488" s="74"/>
      <c r="J488" s="74"/>
      <c r="K488" s="74"/>
      <c r="L488" s="74"/>
      <c r="M488" s="74"/>
    </row>
    <row r="489">
      <c r="A489" s="92"/>
      <c r="B489" s="92"/>
      <c r="C489" s="92"/>
      <c r="D489" s="92"/>
      <c r="E489" s="92"/>
      <c r="F489" s="92"/>
      <c r="G489" s="89"/>
      <c r="H489" s="78"/>
      <c r="I489" s="74"/>
      <c r="J489" s="74"/>
      <c r="K489" s="74"/>
      <c r="L489" s="74"/>
      <c r="M489" s="74"/>
    </row>
    <row r="490">
      <c r="A490" s="92"/>
      <c r="B490" s="92"/>
      <c r="C490" s="92"/>
      <c r="D490" s="92"/>
      <c r="E490" s="92"/>
      <c r="F490" s="92"/>
      <c r="G490" s="89"/>
      <c r="H490" s="78"/>
      <c r="I490" s="74"/>
      <c r="J490" s="74"/>
      <c r="K490" s="74"/>
      <c r="L490" s="74"/>
      <c r="M490" s="74"/>
    </row>
    <row r="491">
      <c r="A491" s="92"/>
      <c r="B491" s="92"/>
      <c r="C491" s="92"/>
      <c r="D491" s="92"/>
      <c r="E491" s="92"/>
      <c r="F491" s="92"/>
      <c r="G491" s="89"/>
      <c r="H491" s="78"/>
      <c r="I491" s="74"/>
      <c r="J491" s="74"/>
      <c r="K491" s="74"/>
      <c r="L491" s="74"/>
      <c r="M491" s="74"/>
    </row>
    <row r="492">
      <c r="A492" s="92"/>
      <c r="B492" s="92"/>
      <c r="C492" s="92"/>
      <c r="D492" s="92"/>
      <c r="E492" s="92"/>
      <c r="F492" s="92"/>
      <c r="G492" s="89"/>
      <c r="H492" s="78"/>
      <c r="I492" s="74"/>
      <c r="J492" s="74"/>
      <c r="K492" s="74"/>
      <c r="L492" s="74"/>
      <c r="M492" s="74"/>
    </row>
    <row r="493">
      <c r="A493" s="92"/>
      <c r="B493" s="92"/>
      <c r="C493" s="92"/>
      <c r="D493" s="92"/>
      <c r="E493" s="92"/>
      <c r="F493" s="92"/>
      <c r="G493" s="89"/>
      <c r="H493" s="78"/>
      <c r="I493" s="74"/>
      <c r="J493" s="74"/>
      <c r="K493" s="74"/>
      <c r="L493" s="74"/>
      <c r="M493" s="74"/>
    </row>
    <row r="494">
      <c r="A494" s="92"/>
      <c r="B494" s="92"/>
      <c r="C494" s="92"/>
      <c r="D494" s="92"/>
      <c r="E494" s="92"/>
      <c r="F494" s="92"/>
      <c r="G494" s="89"/>
      <c r="H494" s="78"/>
      <c r="I494" s="74"/>
      <c r="J494" s="74"/>
      <c r="K494" s="74"/>
      <c r="L494" s="74"/>
      <c r="M494" s="74"/>
    </row>
    <row r="495">
      <c r="A495" s="92"/>
      <c r="B495" s="92"/>
      <c r="C495" s="92"/>
      <c r="D495" s="92"/>
      <c r="E495" s="92"/>
      <c r="F495" s="92"/>
      <c r="G495" s="89"/>
      <c r="H495" s="78"/>
      <c r="I495" s="74"/>
      <c r="J495" s="74"/>
      <c r="K495" s="74"/>
      <c r="L495" s="74"/>
      <c r="M495" s="74"/>
    </row>
    <row r="496">
      <c r="A496" s="92"/>
      <c r="B496" s="92"/>
      <c r="C496" s="92"/>
      <c r="D496" s="92"/>
      <c r="E496" s="92"/>
      <c r="F496" s="92"/>
      <c r="G496" s="89"/>
      <c r="H496" s="78"/>
      <c r="I496" s="74"/>
      <c r="J496" s="74"/>
      <c r="K496" s="74"/>
      <c r="L496" s="74"/>
      <c r="M496" s="74"/>
    </row>
    <row r="497">
      <c r="A497" s="92"/>
      <c r="B497" s="92"/>
      <c r="C497" s="92"/>
      <c r="D497" s="92"/>
      <c r="E497" s="92"/>
      <c r="F497" s="92"/>
      <c r="G497" s="89"/>
      <c r="H497" s="78"/>
      <c r="I497" s="74"/>
      <c r="J497" s="74"/>
      <c r="K497" s="74"/>
      <c r="L497" s="74"/>
      <c r="M497" s="74"/>
    </row>
    <row r="498">
      <c r="A498" s="92"/>
      <c r="B498" s="92"/>
      <c r="C498" s="92"/>
      <c r="D498" s="92"/>
      <c r="E498" s="92"/>
      <c r="F498" s="92"/>
      <c r="G498" s="89"/>
      <c r="H498" s="78"/>
      <c r="I498" s="74"/>
      <c r="J498" s="74"/>
      <c r="K498" s="74"/>
      <c r="L498" s="74"/>
      <c r="M498" s="74"/>
    </row>
    <row r="499">
      <c r="A499" s="92"/>
      <c r="B499" s="92"/>
      <c r="C499" s="92"/>
      <c r="D499" s="92"/>
      <c r="E499" s="92"/>
      <c r="F499" s="92"/>
      <c r="G499" s="89"/>
      <c r="H499" s="78"/>
      <c r="I499" s="74"/>
      <c r="J499" s="74"/>
      <c r="K499" s="74"/>
      <c r="L499" s="74"/>
      <c r="M499" s="74"/>
    </row>
    <row r="500">
      <c r="A500" s="92"/>
      <c r="B500" s="92"/>
      <c r="C500" s="92"/>
      <c r="D500" s="92"/>
      <c r="E500" s="92"/>
      <c r="F500" s="92"/>
      <c r="G500" s="89"/>
      <c r="H500" s="78"/>
      <c r="I500" s="74"/>
      <c r="J500" s="74"/>
      <c r="K500" s="74"/>
      <c r="L500" s="74"/>
      <c r="M500" s="74"/>
    </row>
    <row r="501">
      <c r="A501" s="92"/>
      <c r="B501" s="92"/>
      <c r="C501" s="92"/>
      <c r="D501" s="92"/>
      <c r="E501" s="92"/>
      <c r="F501" s="92"/>
      <c r="G501" s="89"/>
      <c r="H501" s="93"/>
      <c r="I501" s="74"/>
      <c r="J501" s="74"/>
      <c r="K501" s="74"/>
      <c r="L501" s="74"/>
      <c r="M501" s="74"/>
    </row>
  </sheetData>
  <mergeCells count="1">
    <mergeCell ref="H4:H50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38"/>
    <col customWidth="1" min="3" max="3" width="73.25"/>
    <col customWidth="1" min="6" max="6" width="14.63"/>
    <col customWidth="1" min="9" max="9" width="18.25"/>
  </cols>
  <sheetData>
    <row r="1">
      <c r="A1" s="94" t="s">
        <v>175</v>
      </c>
      <c r="B1" s="94" t="s">
        <v>176</v>
      </c>
      <c r="C1" s="94" t="s">
        <v>177</v>
      </c>
      <c r="D1" s="94" t="s">
        <v>178</v>
      </c>
      <c r="E1" s="95" t="s">
        <v>179</v>
      </c>
      <c r="F1" s="95" t="s">
        <v>180</v>
      </c>
      <c r="G1" s="96" t="s">
        <v>181</v>
      </c>
      <c r="H1" s="96" t="s">
        <v>182</v>
      </c>
      <c r="I1" s="96" t="s">
        <v>183</v>
      </c>
      <c r="J1" s="97" t="s">
        <v>184</v>
      </c>
      <c r="K1" s="97" t="s">
        <v>185</v>
      </c>
      <c r="L1" s="94" t="s">
        <v>186</v>
      </c>
    </row>
    <row r="2">
      <c r="A2" s="98" t="str">
        <f>IFERROR(__xludf.DUMMYFUNCTION("IMPORTRANGE(""https://docs.google.com/spreadsheets/d/1grwuZpn4gIku2V66WC59-YccEN2yz1ItIuvgeuzO8W8/edit?gid=1248665610#gid=1248665610"",""Export Assing for BOD + Manager!B9:M"")"),"Admin")</f>
        <v>Admin</v>
      </c>
      <c r="B2" s="98" t="str">
        <f>IFERROR(__xludf.DUMMYFUNCTION("""COMPUTED_VALUE"""),"Assign tasks to the team and monitor their progress")</f>
        <v>Assign tasks to the team and monitor their progress</v>
      </c>
      <c r="C2" s="98" t="str">
        <f>IFERROR(__xludf.DUMMYFUNCTION("""COMPUTED_VALUE"""),"Team 1 needs to reinstall 2 cameras. Team 1 is required to take photos of the connection points to ensure they are fixed and the cameras' power supply is not disconnected.")</f>
        <v>Team 1 needs to reinstall 2 cameras. Team 1 is required to take photos of the connection points to ensure they are fixed and the cameras' power supply is not disconnected.</v>
      </c>
      <c r="D2" s="98" t="str">
        <f>IFERROR(__xludf.DUMMYFUNCTION("""COMPUTED_VALUE"""),"22/06/2026")</f>
        <v>22/06/2026</v>
      </c>
      <c r="E2" s="98" t="str">
        <f>IFERROR(__xludf.DUMMYFUNCTION("""COMPUTED_VALUE"""),"26/06/2026")</f>
        <v>26/06/2026</v>
      </c>
      <c r="F2" s="98" t="str">
        <f>IFERROR(__xludf.DUMMYFUNCTION("""COMPUTED_VALUE"""),"#REF!")</f>
        <v>#REF!</v>
      </c>
      <c r="G2" s="98" t="str">
        <f>IFERROR(__xludf.DUMMYFUNCTION("""COMPUTED_VALUE"""),"30/06/2026")</f>
        <v>30/06/2026</v>
      </c>
      <c r="H2" s="98" t="str">
        <f>IFERROR(__xludf.DUMMYFUNCTION("""COMPUTED_VALUE"""),"")</f>
        <v/>
      </c>
      <c r="I2" s="98" t="str">
        <f>IFERROR(__xludf.DUMMYFUNCTION("""COMPUTED_VALUE"""),"Confirm completion")</f>
        <v>Confirm completion</v>
      </c>
      <c r="J2" s="98"/>
      <c r="K2" s="98"/>
      <c r="L2" s="98"/>
    </row>
    <row r="3">
      <c r="A3" s="98" t="str">
        <f>IFERROR(__xludf.DUMMYFUNCTION("""COMPUTED_VALUE"""),"Admin")</f>
        <v>Admin</v>
      </c>
      <c r="B3" s="98" t="str">
        <f>IFERROR(__xludf.DUMMYFUNCTION("""COMPUTED_VALUE"""),"Assign tasks to the team and monitor their progress")</f>
        <v>Assign tasks to the team and monitor their progress</v>
      </c>
      <c r="C3" s="98" t="str">
        <f>IFERROR(__xludf.DUMMYFUNCTION("""COMPUTED_VALUE"""),"Team 2 needs to reinstall 2 cameras. Team 1 is required to take photos of the connection points to ensure they are fixed and the cameras' power supply is not disconnected.")</f>
        <v>Team 2 needs to reinstall 2 cameras. Team 1 is required to take photos of the connection points to ensure they are fixed and the cameras' power supply is not disconnected.</v>
      </c>
      <c r="D3" s="99">
        <f>IFERROR(__xludf.DUMMYFUNCTION("""COMPUTED_VALUE"""),46195.0)</f>
        <v>46195</v>
      </c>
      <c r="E3" s="99">
        <f>IFERROR(__xludf.DUMMYFUNCTION("""COMPUTED_VALUE"""),46199.0)</f>
        <v>46199</v>
      </c>
      <c r="F3" s="98"/>
      <c r="G3" s="98"/>
      <c r="H3" s="98"/>
      <c r="I3" s="98"/>
      <c r="J3" s="98"/>
      <c r="K3" s="98"/>
      <c r="L3" s="98"/>
    </row>
    <row r="4">
      <c r="A4" s="98" t="str">
        <f>IFERROR(__xludf.DUMMYFUNCTION("""COMPUTED_VALUE"""),"Admin")</f>
        <v>Admin</v>
      </c>
      <c r="B4" s="98" t="str">
        <f>IFERROR(__xludf.DUMMYFUNCTION("""COMPUTED_VALUE"""),"Assign tasks to the team and monitor their progress")</f>
        <v>Assign tasks to the team and monitor their progress</v>
      </c>
      <c r="C4" s="98" t="str">
        <f>IFERROR(__xludf.DUMMYFUNCTION("""COMPUTED_VALUE"""),"Team 3 needs to reinstall a camera. Team 3 is required to take photos of the connection point to ensure it is fixed and the camera's power supply is not disconnected.")</f>
        <v>Team 3 needs to reinstall a camera. Team 3 is required to take photos of the connection point to ensure it is fixed and the camera's power supply is not disconnected.</v>
      </c>
      <c r="D4" s="99">
        <f>IFERROR(__xludf.DUMMYFUNCTION("""COMPUTED_VALUE"""),46195.0)</f>
        <v>46195</v>
      </c>
      <c r="E4" s="99">
        <f>IFERROR(__xludf.DUMMYFUNCTION("""COMPUTED_VALUE"""),46199.0)</f>
        <v>46199</v>
      </c>
      <c r="F4" s="98"/>
      <c r="G4" s="98"/>
      <c r="H4" s="98"/>
      <c r="I4" s="98"/>
      <c r="J4" s="98"/>
      <c r="K4" s="98"/>
      <c r="L4" s="98"/>
    </row>
    <row r="5">
      <c r="A5" s="98" t="str">
        <f>IFERROR(__xludf.DUMMYFUNCTION("""COMPUTED_VALUE"""),"Admin")</f>
        <v>Admin</v>
      </c>
      <c r="B5" s="98" t="str">
        <f>IFERROR(__xludf.DUMMYFUNCTION("""COMPUTED_VALUE"""),"Assign tasks to the team and monitor their progress")</f>
        <v>Assign tasks to the team and monitor their progress</v>
      </c>
      <c r="C5" s="98" t="str">
        <f>IFERROR(__xludf.DUMMYFUNCTION("""COMPUTED_VALUE"""),"Team 4 needs to reinstall 2 cameras. Team 4 is required to take photos of the connection points to ensure they are fixed and the cameras' power supply is not disconnected.")</f>
        <v>Team 4 needs to reinstall 2 cameras. Team 4 is required to take photos of the connection points to ensure they are fixed and the cameras' power supply is not disconnected.</v>
      </c>
      <c r="D5" s="99">
        <f>IFERROR(__xludf.DUMMYFUNCTION("""COMPUTED_VALUE"""),46195.0)</f>
        <v>46195</v>
      </c>
      <c r="E5" s="99">
        <f>IFERROR(__xludf.DUMMYFUNCTION("""COMPUTED_VALUE"""),46203.0)</f>
        <v>46203</v>
      </c>
      <c r="F5" s="98"/>
      <c r="G5" s="98"/>
      <c r="H5" s="98"/>
      <c r="I5" s="98"/>
      <c r="J5" s="98"/>
      <c r="K5" s="98"/>
      <c r="L5" s="98"/>
    </row>
    <row r="6">
      <c r="A6" s="98" t="str">
        <f>IFERROR(__xludf.DUMMYFUNCTION("""COMPUTED_VALUE"""),"Admin")</f>
        <v>Admin</v>
      </c>
      <c r="B6" s="98" t="str">
        <f>IFERROR(__xludf.DUMMYFUNCTION("""COMPUTED_VALUE"""),"Your task")</f>
        <v>Your task</v>
      </c>
      <c r="C6" s="98" t="str">
        <f>IFERROR(__xludf.DUMMYFUNCTION("""COMPUTED_VALUE"""),"Update the daily mileage of cars and motorcycles, and send daily reports.")</f>
        <v>Update the daily mileage of cars and motorcycles, and send daily reports.</v>
      </c>
      <c r="D6" s="99">
        <f>IFERROR(__xludf.DUMMYFUNCTION("""COMPUTED_VALUE"""),46195.0)</f>
        <v>46195</v>
      </c>
      <c r="E6" s="99">
        <f>IFERROR(__xludf.DUMMYFUNCTION("""COMPUTED_VALUE"""),46203.0)</f>
        <v>46203</v>
      </c>
      <c r="F6" s="98"/>
      <c r="G6" s="98"/>
      <c r="H6" s="98"/>
      <c r="I6" s="98"/>
      <c r="J6" s="98"/>
      <c r="K6" s="98"/>
      <c r="L6" s="98"/>
    </row>
    <row r="7">
      <c r="A7" s="98" t="str">
        <f>IFERROR(__xludf.DUMMYFUNCTION("""COMPUTED_VALUE"""),"Admin")</f>
        <v>Admin</v>
      </c>
      <c r="B7" s="98" t="str">
        <f>IFERROR(__xludf.DUMMYFUNCTION("""COMPUTED_VALUE"""),"Your task")</f>
        <v>Your task</v>
      </c>
      <c r="C7" s="98" t="str">
        <f>IFERROR(__xludf.DUMMYFUNCTION("""COMPUTED_VALUE"""),"Proactively report any difficulties and progress, send daily reminders via Viber to the team, and contact the team leader directly by phone.")</f>
        <v>Proactively report any difficulties and progress, send daily reminders via Viber to the team, and contact the team leader directly by phone.</v>
      </c>
      <c r="D7" s="99">
        <f>IFERROR(__xludf.DUMMYFUNCTION("""COMPUTED_VALUE"""),46195.0)</f>
        <v>46195</v>
      </c>
      <c r="E7" s="99">
        <f>IFERROR(__xludf.DUMMYFUNCTION("""COMPUTED_VALUE"""),46203.0)</f>
        <v>46203</v>
      </c>
      <c r="F7" s="98"/>
      <c r="G7" s="98"/>
      <c r="H7" s="98"/>
      <c r="I7" s="98"/>
      <c r="J7" s="98"/>
      <c r="K7" s="98"/>
      <c r="L7" s="98"/>
    </row>
    <row r="8">
      <c r="A8" s="98" t="str">
        <f>IFERROR(__xludf.DUMMYFUNCTION("""COMPUTED_VALUE"""),"Admin")</f>
        <v>Admin</v>
      </c>
      <c r="B8" s="98" t="str">
        <f>IFERROR(__xludf.DUMMYFUNCTION("""COMPUTED_VALUE"""),"Your task")</f>
        <v>Your task</v>
      </c>
      <c r="C8" s="98" t="str">
        <f>IFERROR(__xludf.DUMMYFUNCTION("""COMPUTED_VALUE"""),"The main team and sub-teams must conduct an inspection of office cleaning on Saturday. Reports must be submitted to the Administration department on Saturday. By Monday, the final filing of office documents must be completed.")</f>
        <v>The main team and sub-teams must conduct an inspection of office cleaning on Saturday. Reports must be submitted to the Administration department on Saturday. By Monday, the final filing of office documents must be completed.</v>
      </c>
      <c r="D8" s="99">
        <f>IFERROR(__xludf.DUMMYFUNCTION("""COMPUTED_VALUE"""),46195.0)</f>
        <v>46195</v>
      </c>
      <c r="E8" s="99">
        <f>IFERROR(__xludf.DUMMYFUNCTION("""COMPUTED_VALUE"""),46203.0)</f>
        <v>46203</v>
      </c>
      <c r="F8" s="98"/>
      <c r="G8" s="98"/>
      <c r="H8" s="98"/>
      <c r="I8" s="98"/>
      <c r="J8" s="98"/>
      <c r="K8" s="98"/>
      <c r="L8" s="98"/>
    </row>
    <row r="9">
      <c r="A9" s="98" t="str">
        <f>IFERROR(__xludf.DUMMYFUNCTION("""COMPUTED_VALUE"""),"Admin")</f>
        <v>Admin</v>
      </c>
      <c r="B9" s="98" t="str">
        <f>IFERROR(__xludf.DUMMYFUNCTION("""COMPUTED_VALUE"""),"Your task")</f>
        <v>Your task</v>
      </c>
      <c r="C9" s="98" t="str">
        <f>IFERROR(__xludf.DUMMYFUNCTION("""COMPUTED_VALUE"""),"The admin assigns tasks to the team and checks daily to ensure the team updates and completes the tasks, approving the completed work so that the team receives points.")</f>
        <v>The admin assigns tasks to the team and checks daily to ensure the team updates and completes the tasks, approving the completed work so that the team receives points.</v>
      </c>
      <c r="D9" s="99">
        <f>IFERROR(__xludf.DUMMYFUNCTION("""COMPUTED_VALUE"""),46195.0)</f>
        <v>46195</v>
      </c>
      <c r="E9" s="99">
        <f>IFERROR(__xludf.DUMMYFUNCTION("""COMPUTED_VALUE"""),46203.0)</f>
        <v>46203</v>
      </c>
      <c r="F9" s="98"/>
      <c r="G9" s="98"/>
      <c r="H9" s="98"/>
      <c r="I9" s="98"/>
      <c r="J9" s="98"/>
      <c r="K9" s="98"/>
      <c r="L9" s="98"/>
    </row>
    <row r="10">
      <c r="A10" s="98" t="str">
        <f>IFERROR(__xludf.DUMMYFUNCTION("""COMPUTED_VALUE"""),"Admin")</f>
        <v>Admin</v>
      </c>
      <c r="B10" s="98" t="str">
        <f>IFERROR(__xludf.DUMMYFUNCTION("""COMPUTED_VALUE"""),"Your task")</f>
        <v>Your task</v>
      </c>
      <c r="C10" s="98" t="str">
        <f>IFERROR(__xludf.DUMMYFUNCTION("""COMPUTED_VALUE"""),"Search for and rent a car for the office.")</f>
        <v>Search for and rent a car for the office.</v>
      </c>
      <c r="D10" s="99">
        <f>IFERROR(__xludf.DUMMYFUNCTION("""COMPUTED_VALUE"""),46195.0)</f>
        <v>46195</v>
      </c>
      <c r="E10" s="99">
        <f>IFERROR(__xludf.DUMMYFUNCTION("""COMPUTED_VALUE"""),46203.0)</f>
        <v>46203</v>
      </c>
      <c r="F10" s="98"/>
      <c r="G10" s="98"/>
      <c r="H10" s="98"/>
      <c r="I10" s="98"/>
      <c r="J10" s="98"/>
      <c r="K10" s="98"/>
      <c r="L10" s="98"/>
    </row>
    <row r="11">
      <c r="A11" s="98" t="str">
        <f>IFERROR(__xludf.DUMMYFUNCTION("""COMPUTED_VALUE"""),"Admin")</f>
        <v>Admin</v>
      </c>
      <c r="B11" s="98" t="str">
        <f>IFERROR(__xludf.DUMMYFUNCTION("""COMPUTED_VALUE"""),"Your task")</f>
        <v>Your task</v>
      </c>
      <c r="C11" s="98" t="str">
        <f>IFERROR(__xludf.DUMMYFUNCTION("""COMPUTED_VALUE"""),"Looking for new office space for TNI branch.")</f>
        <v>Looking for new office space for TNI branch.</v>
      </c>
      <c r="D11" s="99">
        <f>IFERROR(__xludf.DUMMYFUNCTION("""COMPUTED_VALUE"""),46195.0)</f>
        <v>46195</v>
      </c>
      <c r="E11" s="99">
        <f>IFERROR(__xludf.DUMMYFUNCTION("""COMPUTED_VALUE"""),46203.0)</f>
        <v>46203</v>
      </c>
      <c r="F11" s="98"/>
      <c r="G11" s="98"/>
      <c r="H11" s="98"/>
      <c r="I11" s="98"/>
      <c r="J11" s="98"/>
      <c r="K11" s="98"/>
      <c r="L11" s="98"/>
    </row>
    <row r="12">
      <c r="A12" s="98" t="str">
        <f>IFERROR(__xludf.DUMMYFUNCTION("""COMPUTED_VALUE"""),"Asset")</f>
        <v>Asset</v>
      </c>
      <c r="B12" s="98" t="str">
        <f>IFERROR(__xludf.DUMMYFUNCTION("""COMPUTED_VALUE"""),"Your task")</f>
        <v>Your task</v>
      </c>
      <c r="C12" s="98" t="str">
        <f>IFERROR(__xludf.DUMMYFUNCTION("""COMPUTED_VALUE"""),"Follow group 1. TNI ASSET ORDER - REVOKE - MOVE... and reply ""Done"" or ""Done: Details as sent but not enough"". You can reply to the sender's message a second or third time until all the required materials are sent. If not enough is sent, reply ""Done:"&amp;" why not send and close the order for this case"".")</f>
        <v>Follow group 1. TNI ASSET ORDER - REVOKE - MOVE... and reply "Done" or "Done: Details as sent but not enough". You can reply to the sender's message a second or third time until all the required materials are sent. If not enough is sent, reply "Done: why not send and close the order for this case".</v>
      </c>
      <c r="D12" s="99">
        <f>IFERROR(__xludf.DUMMYFUNCTION("""COMPUTED_VALUE"""),46195.0)</f>
        <v>46195</v>
      </c>
      <c r="E12" s="99">
        <f>IFERROR(__xludf.DUMMYFUNCTION("""COMPUTED_VALUE"""),46203.0)</f>
        <v>46203</v>
      </c>
      <c r="F12" s="98"/>
      <c r="G12" s="98"/>
      <c r="H12" s="98"/>
      <c r="I12" s="98"/>
      <c r="J12" s="98"/>
      <c r="K12" s="98"/>
      <c r="L12" s="98"/>
    </row>
    <row r="13">
      <c r="A13" s="98" t="str">
        <f>IFERROR(__xludf.DUMMYFUNCTION("""COMPUTED_VALUE"""),"Asset")</f>
        <v>Asset</v>
      </c>
      <c r="B13" s="98" t="str">
        <f>IFERROR(__xludf.DUMMYFUNCTION("""COMPUTED_VALUE"""),"Your task")</f>
        <v>Your task</v>
      </c>
      <c r="C13" s="98" t="str">
        <f>IFERROR(__xludf.DUMMYFUNCTION("""COMPUTED_VALUE"""),"Organize the Branch warehouse and the warehouses of Teams 1, 2, 3, and 4 according to 5S guidelines and follow warehouse procedures.")</f>
        <v>Organize the Branch warehouse and the warehouses of Teams 1, 2, 3, and 4 according to 5S guidelines and follow warehouse procedures.</v>
      </c>
      <c r="D13" s="99">
        <f>IFERROR(__xludf.DUMMYFUNCTION("""COMPUTED_VALUE"""),46195.0)</f>
        <v>46195</v>
      </c>
      <c r="E13" s="99">
        <f>IFERROR(__xludf.DUMMYFUNCTION("""COMPUTED_VALUE"""),46203.0)</f>
        <v>46203</v>
      </c>
      <c r="F13" s="98"/>
      <c r="G13" s="98"/>
      <c r="H13" s="98"/>
      <c r="I13" s="98"/>
      <c r="J13" s="98"/>
      <c r="K13" s="98"/>
      <c r="L13" s="98"/>
    </row>
    <row r="14">
      <c r="A14" s="98" t="str">
        <f>IFERROR(__xludf.DUMMYFUNCTION("""COMPUTED_VALUE"""),"Asset")</f>
        <v>Asset</v>
      </c>
      <c r="B14" s="98" t="str">
        <f>IFERROR(__xludf.DUMMYFUNCTION("""COMPUTED_VALUE"""),"Your task")</f>
        <v>Your task</v>
      </c>
      <c r="C14" s="98" t="str">
        <f>IFERROR(__xludf.DUMMYFUNCTION("""COMPUTED_VALUE"""),"Inventory control at the VCM warehouse branch.")</f>
        <v>Inventory control at the VCM warehouse branch.</v>
      </c>
      <c r="D14" s="99">
        <f>IFERROR(__xludf.DUMMYFUNCTION("""COMPUTED_VALUE"""),46195.0)</f>
        <v>46195</v>
      </c>
      <c r="E14" s="99">
        <f>IFERROR(__xludf.DUMMYFUNCTION("""COMPUTED_VALUE"""),46203.0)</f>
        <v>46203</v>
      </c>
      <c r="F14" s="98"/>
      <c r="G14" s="98"/>
      <c r="H14" s="98"/>
      <c r="I14" s="98"/>
      <c r="J14" s="98"/>
      <c r="K14" s="98"/>
      <c r="L14" s="98"/>
    </row>
    <row r="15">
      <c r="A15" s="98" t="str">
        <f>IFERROR(__xludf.DUMMYFUNCTION("""COMPUTED_VALUE"""),"Asset")</f>
        <v>Asset</v>
      </c>
      <c r="B15" s="98" t="str">
        <f>IFERROR(__xludf.DUMMYFUNCTION("""COMPUTED_VALUE"""),"Your task")</f>
        <v>Your task</v>
      </c>
      <c r="C15" s="98" t="str">
        <f>IFERROR(__xludf.DUMMYFUNCTION("""COMPUTED_VALUE"""),"Support the team in exporting, importing, moving, and revoking M&amp;E assets and materials that need to be shipped to the substation. Information is obtained from Telegram 1. TNI ASSET ORDER - REVOKE - MOVE...")</f>
        <v>Support the team in exporting, importing, moving, and revoking M&amp;E assets and materials that need to be shipped to the substation. Information is obtained from Telegram 1. TNI ASSET ORDER - REVOKE - MOVE...</v>
      </c>
      <c r="D15" s="99">
        <f>IFERROR(__xludf.DUMMYFUNCTION("""COMPUTED_VALUE"""),46195.0)</f>
        <v>46195</v>
      </c>
      <c r="E15" s="99">
        <f>IFERROR(__xludf.DUMMYFUNCTION("""COMPUTED_VALUE"""),46203.0)</f>
        <v>46203</v>
      </c>
      <c r="F15" s="98"/>
      <c r="G15" s="98"/>
      <c r="H15" s="98"/>
      <c r="I15" s="98"/>
      <c r="J15" s="98"/>
      <c r="K15" s="98"/>
      <c r="L15" s="98"/>
    </row>
    <row r="16">
      <c r="A16" s="98" t="str">
        <f>IFERROR(__xludf.DUMMYFUNCTION("""COMPUTED_VALUE"""),"Asset")</f>
        <v>Asset</v>
      </c>
      <c r="B16" s="98" t="str">
        <f>IFERROR(__xludf.DUMMYFUNCTION("""COMPUTED_VALUE"""),"Your task")</f>
        <v>Your task</v>
      </c>
      <c r="C16" s="98" t="str">
        <f>IFERROR(__xludf.DUMMYFUNCTION("""COMPUTED_VALUE"""),"Prepare a property loss report and submit it to the CDM.")</f>
        <v>Prepare a property loss report and submit it to the CDM.</v>
      </c>
      <c r="D16" s="99">
        <f>IFERROR(__xludf.DUMMYFUNCTION("""COMPUTED_VALUE"""),46195.0)</f>
        <v>46195</v>
      </c>
      <c r="E16" s="99">
        <f>IFERROR(__xludf.DUMMYFUNCTION("""COMPUTED_VALUE"""),46203.0)</f>
        <v>46203</v>
      </c>
      <c r="F16" s="98"/>
      <c r="G16" s="98"/>
      <c r="H16" s="98"/>
      <c r="I16" s="98"/>
      <c r="J16" s="98"/>
      <c r="K16" s="98"/>
      <c r="L16" s="98"/>
    </row>
    <row r="17">
      <c r="A17" s="98" t="str">
        <f>IFERROR(__xludf.DUMMYFUNCTION("""COMPUTED_VALUE"""),"Asset")</f>
        <v>Asset</v>
      </c>
      <c r="B17" s="98" t="str">
        <f>IFERROR(__xludf.DUMMYFUNCTION("""COMPUTED_VALUE"""),"Your task")</f>
        <v>Your task</v>
      </c>
      <c r="C17" s="98" t="str">
        <f>IFERROR(__xludf.DUMMYFUNCTION("""COMPUTED_VALUE"""),"Organize the Branch warehouse and the warehouses of Teams 1, 2, 3, and 4 according to 5S guidelines and follow warehouse procedures.")</f>
        <v>Organize the Branch warehouse and the warehouses of Teams 1, 2, 3, and 4 according to 5S guidelines and follow warehouse procedures.</v>
      </c>
      <c r="D17" s="99">
        <f>IFERROR(__xludf.DUMMYFUNCTION("""COMPUTED_VALUE"""),46195.0)</f>
        <v>46195</v>
      </c>
      <c r="E17" s="99">
        <f>IFERROR(__xludf.DUMMYFUNCTION("""COMPUTED_VALUE"""),46203.0)</f>
        <v>46203</v>
      </c>
      <c r="F17" s="98"/>
      <c r="G17" s="98"/>
      <c r="H17" s="98"/>
      <c r="I17" s="98"/>
      <c r="J17" s="98"/>
      <c r="K17" s="98"/>
      <c r="L17" s="98"/>
    </row>
    <row r="18">
      <c r="A18" s="98" t="str">
        <f>IFERROR(__xludf.DUMMYFUNCTION("""COMPUTED_VALUE"""),"Asset")</f>
        <v>Asset</v>
      </c>
      <c r="B18" s="98" t="str">
        <f>IFERROR(__xludf.DUMMYFUNCTION("""COMPUTED_VALUE"""),"Your task")</f>
        <v>Your task</v>
      </c>
      <c r="C18" s="98" t="str">
        <f>IFERROR(__xludf.DUMMYFUNCTION("""COMPUTED_VALUE"""),"Update assets weekly on Google Sheets Assets")</f>
        <v>Update assets weekly on Google Sheets Assets</v>
      </c>
      <c r="D18" s="99">
        <f>IFERROR(__xludf.DUMMYFUNCTION("""COMPUTED_VALUE"""),46195.0)</f>
        <v>46195</v>
      </c>
      <c r="E18" s="99">
        <f>IFERROR(__xludf.DUMMYFUNCTION("""COMPUTED_VALUE"""),46203.0)</f>
        <v>46203</v>
      </c>
      <c r="F18" s="98"/>
      <c r="G18" s="98"/>
      <c r="H18" s="98"/>
      <c r="I18" s="98"/>
      <c r="J18" s="98"/>
      <c r="K18" s="98"/>
      <c r="L18" s="98"/>
    </row>
    <row r="19">
      <c r="A19" s="98" t="str">
        <f>IFERROR(__xludf.DUMMYFUNCTION("""COMPUTED_VALUE"""),"Asset")</f>
        <v>Asset</v>
      </c>
      <c r="B19" s="98" t="str">
        <f>IFERROR(__xludf.DUMMYFUNCTION("""COMPUTED_VALUE"""),"Your task")</f>
        <v>Your task</v>
      </c>
      <c r="C19" s="98" t="str">
        <f>IFERROR(__xludf.DUMMYFUNCTION("""COMPUTED_VALUE"""),"Proactively report any difficulties and progress, send daily reminders via Viber to the team, and contact the team leader directly by phone.")</f>
        <v>Proactively report any difficulties and progress, send daily reminders via Viber to the team, and contact the team leader directly by phone.</v>
      </c>
      <c r="D19" s="99">
        <f>IFERROR(__xludf.DUMMYFUNCTION("""COMPUTED_VALUE"""),46195.0)</f>
        <v>46195</v>
      </c>
      <c r="E19" s="99">
        <f>IFERROR(__xludf.DUMMYFUNCTION("""COMPUTED_VALUE"""),46203.0)</f>
        <v>46203</v>
      </c>
      <c r="F19" s="98"/>
      <c r="G19" s="98"/>
      <c r="H19" s="98"/>
      <c r="I19" s="98"/>
      <c r="J19" s="98"/>
      <c r="K19" s="98"/>
      <c r="L19" s="98"/>
    </row>
    <row r="20">
      <c r="A20" s="98" t="str">
        <f>IFERROR(__xludf.DUMMYFUNCTION("""COMPUTED_VALUE"""),"Asset")</f>
        <v>Asset</v>
      </c>
      <c r="B20" s="98" t="str">
        <f>IFERROR(__xludf.DUMMYFUNCTION("""COMPUTED_VALUE"""),"Your task")</f>
        <v>Your task</v>
      </c>
      <c r="C20" s="98" t="str">
        <f>IFERROR(__xludf.DUMMYFUNCTION("""COMPUTED_VALUE"""),"Issue all items currently in stock. If an item is missing, make a note of it, locate the missing materials, and record it on the inventory dispatch list.")</f>
        <v>Issue all items currently in stock. If an item is missing, make a note of it, locate the missing materials, and record it on the inventory dispatch list.</v>
      </c>
      <c r="D20" s="99">
        <f>IFERROR(__xludf.DUMMYFUNCTION("""COMPUTED_VALUE"""),46195.0)</f>
        <v>46195</v>
      </c>
      <c r="E20" s="99">
        <f>IFERROR(__xludf.DUMMYFUNCTION("""COMPUTED_VALUE"""),46203.0)</f>
        <v>46203</v>
      </c>
      <c r="F20" s="98"/>
      <c r="G20" s="98"/>
      <c r="H20" s="98"/>
      <c r="I20" s="98"/>
      <c r="J20" s="98"/>
      <c r="K20" s="98"/>
      <c r="L20" s="98"/>
    </row>
    <row r="21">
      <c r="A21" s="98" t="str">
        <f>IFERROR(__xludf.DUMMYFUNCTION("""COMPUTED_VALUE"""),"CM")</f>
        <v>CM</v>
      </c>
      <c r="B21" s="98" t="str">
        <f>IFERROR(__xludf.DUMMYFUNCTION("""COMPUTED_VALUE"""),"Assign tasks to the team and monitor their progress")</f>
        <v>Assign tasks to the team and monitor their progress</v>
      </c>
      <c r="C21" s="98" t="str">
        <f>IFERROR(__xludf.DUMMYFUNCTION("""COMPUTED_VALUE"""),"Support the Team by updating progress on the Team's file if completed, and confirming completion on the CM's file when assigning tasks to the Team.")</f>
        <v>Support the Team by updating progress on the Team's file if completed, and confirming completion on the CM's file when assigning tasks to the Team.</v>
      </c>
      <c r="D21" s="99">
        <f>IFERROR(__xludf.DUMMYFUNCTION("""COMPUTED_VALUE"""),46195.0)</f>
        <v>46195</v>
      </c>
      <c r="E21" s="99">
        <f>IFERROR(__xludf.DUMMYFUNCTION("""COMPUTED_VALUE"""),46203.0)</f>
        <v>46203</v>
      </c>
      <c r="F21" s="98"/>
      <c r="G21" s="98"/>
      <c r="H21" s="98"/>
      <c r="I21" s="98"/>
      <c r="J21" s="98"/>
      <c r="K21" s="98"/>
      <c r="L21" s="98"/>
    </row>
    <row r="22">
      <c r="A22" s="98" t="str">
        <f>IFERROR(__xludf.DUMMYFUNCTION("""COMPUTED_VALUE"""),"CM")</f>
        <v>CM</v>
      </c>
      <c r="B22" s="98" t="str">
        <f>IFERROR(__xludf.DUMMYFUNCTION("""COMPUTED_VALUE"""),"Assign tasks to the team and monitor their progress")</f>
        <v>Assign tasks to the team and monitor their progress</v>
      </c>
      <c r="C22" s="98" t="str">
        <f>IFERROR(__xludf.DUMMYFUNCTION("""COMPUTED_VALUE"""),"Compile downed cells and manage the team to handle the issue.")</f>
        <v>Compile downed cells and manage the team to handle the issue.</v>
      </c>
      <c r="D22" s="99">
        <f>IFERROR(__xludf.DUMMYFUNCTION("""COMPUTED_VALUE"""),46195.0)</f>
        <v>46195</v>
      </c>
      <c r="E22" s="99">
        <f>IFERROR(__xludf.DUMMYFUNCTION("""COMPUTED_VALUE"""),46203.0)</f>
        <v>46203</v>
      </c>
      <c r="F22" s="98"/>
      <c r="G22" s="98"/>
      <c r="H22" s="98"/>
      <c r="I22" s="98"/>
      <c r="J22" s="98"/>
      <c r="K22" s="98"/>
      <c r="L22" s="98"/>
    </row>
    <row r="23">
      <c r="A23" s="98" t="str">
        <f>IFERROR(__xludf.DUMMYFUNCTION("""COMPUTED_VALUE"""),"CM")</f>
        <v>CM</v>
      </c>
      <c r="B23" s="98" t="str">
        <f>IFERROR(__xludf.DUMMYFUNCTION("""COMPUTED_VALUE"""),"Your task")</f>
        <v>Your task</v>
      </c>
      <c r="C23" s="98" t="str">
        <f>IFERROR(__xludf.DUMMYFUNCTION("""COMPUTED_VALUE"""),"Send your daily Cell Down Report at 8:30 AM, 10:50 AM, 1:33 PM, and 5:30 PM.")</f>
        <v>Send your daily Cell Down Report at 8:30 AM, 10:50 AM, 1:33 PM, and 5:30 PM.</v>
      </c>
      <c r="D23" s="99">
        <f>IFERROR(__xludf.DUMMYFUNCTION("""COMPUTED_VALUE"""),46195.0)</f>
        <v>46195</v>
      </c>
      <c r="E23" s="99">
        <f>IFERROR(__xludf.DUMMYFUNCTION("""COMPUTED_VALUE"""),46203.0)</f>
        <v>46203</v>
      </c>
      <c r="F23" s="98"/>
      <c r="G23" s="98"/>
      <c r="H23" s="98"/>
      <c r="I23" s="98"/>
      <c r="J23" s="98"/>
      <c r="K23" s="98"/>
      <c r="L23" s="98"/>
    </row>
    <row r="24">
      <c r="A24" s="98" t="str">
        <f>IFERROR(__xludf.DUMMYFUNCTION("""COMPUTED_VALUE"""),"CM")</f>
        <v>CM</v>
      </c>
      <c r="B24" s="98" t="str">
        <f>IFERROR(__xludf.DUMMYFUNCTION("""COMPUTED_VALUE"""),"Your task")</f>
        <v>Your task</v>
      </c>
      <c r="C24" s="98" t="str">
        <f>IFERROR(__xludf.DUMMYFUNCTION("""COMPUTED_VALUE"""),"Monitor updates on the severed cable route on SOS and Push team update ETA and")</f>
        <v>Monitor updates on the severed cable route on SOS and Push team update ETA and</v>
      </c>
      <c r="D24" s="99">
        <f>IFERROR(__xludf.DUMMYFUNCTION("""COMPUTED_VALUE"""),46195.0)</f>
        <v>46195</v>
      </c>
      <c r="E24" s="99">
        <f>IFERROR(__xludf.DUMMYFUNCTION("""COMPUTED_VALUE"""),46203.0)</f>
        <v>46203</v>
      </c>
      <c r="F24" s="98"/>
      <c r="G24" s="98"/>
      <c r="H24" s="98"/>
      <c r="I24" s="98"/>
      <c r="J24" s="98"/>
      <c r="K24" s="98"/>
      <c r="L24" s="98"/>
    </row>
    <row r="25">
      <c r="A25" s="98" t="str">
        <f>IFERROR(__xludf.DUMMYFUNCTION("""COMPUTED_VALUE"""),"CM")</f>
        <v>CM</v>
      </c>
      <c r="B25" s="98" t="str">
        <f>IFERROR(__xludf.DUMMYFUNCTION("""COMPUTED_VALUE"""),"Your task")</f>
        <v>Your task</v>
      </c>
      <c r="C25" s="98" t="str">
        <f>IFERROR(__xludf.DUMMYFUNCTION("""COMPUTED_VALUE"""),"Send information about the use of supplies in case of a cable outage to the group via Telegram.")</f>
        <v>Send information about the use of supplies in case of a cable outage to the group via Telegram.</v>
      </c>
      <c r="D25" s="99">
        <f>IFERROR(__xludf.DUMMYFUNCTION("""COMPUTED_VALUE"""),46195.0)</f>
        <v>46195</v>
      </c>
      <c r="E25" s="99">
        <f>IFERROR(__xludf.DUMMYFUNCTION("""COMPUTED_VALUE"""),46203.0)</f>
        <v>46203</v>
      </c>
      <c r="F25" s="98"/>
      <c r="G25" s="98"/>
      <c r="H25" s="98"/>
      <c r="I25" s="98"/>
      <c r="J25" s="98"/>
      <c r="K25" s="98"/>
      <c r="L25" s="98"/>
    </row>
    <row r="26">
      <c r="A26" s="98" t="str">
        <f>IFERROR(__xludf.DUMMYFUNCTION("""COMPUTED_VALUE"""),"CM")</f>
        <v>CM</v>
      </c>
      <c r="B26" s="98" t="str">
        <f>IFERROR(__xludf.DUMMYFUNCTION("""COMPUTED_VALUE"""),"Your task")</f>
        <v>Your task</v>
      </c>
      <c r="C26" s="98" t="str">
        <f>IFERROR(__xludf.DUMMYFUNCTION("""COMPUTED_VALUE"""),"Daily Cell*H Reduction Report")</f>
        <v>Daily Cell*H Reduction Report</v>
      </c>
      <c r="D26" s="99">
        <f>IFERROR(__xludf.DUMMYFUNCTION("""COMPUTED_VALUE"""),46195.0)</f>
        <v>46195</v>
      </c>
      <c r="E26" s="99">
        <f>IFERROR(__xludf.DUMMYFUNCTION("""COMPUTED_VALUE"""),46203.0)</f>
        <v>46203</v>
      </c>
      <c r="F26" s="98"/>
      <c r="G26" s="98"/>
      <c r="H26" s="98"/>
      <c r="I26" s="98"/>
      <c r="J26" s="98"/>
      <c r="K26" s="98"/>
      <c r="L26" s="98"/>
    </row>
    <row r="27">
      <c r="A27" s="98" t="str">
        <f>IFERROR(__xludf.DUMMYFUNCTION("""COMPUTED_VALUE"""),"CM")</f>
        <v>CM</v>
      </c>
      <c r="B27" s="98" t="str">
        <f>IFERROR(__xludf.DUMMYFUNCTION("""COMPUTED_VALUE"""),"Your task")</f>
        <v>Your task</v>
      </c>
      <c r="C27" s="98" t="str">
        <f>IFERROR(__xludf.DUMMYFUNCTION("""COMPUTED_VALUE"""),"Report downtime stations &gt;2H and cable lines 30 minutes. The team has not responded on the group. Report via Viber to the Board of Directors.")</f>
        <v>Report downtime stations &gt;2H and cable lines 30 minutes. The team has not responded on the group. Report via Viber to the Board of Directors.</v>
      </c>
      <c r="D27" s="99">
        <f>IFERROR(__xludf.DUMMYFUNCTION("""COMPUTED_VALUE"""),46195.0)</f>
        <v>46195</v>
      </c>
      <c r="E27" s="99">
        <f>IFERROR(__xludf.DUMMYFUNCTION("""COMPUTED_VALUE"""),46203.0)</f>
        <v>46203</v>
      </c>
      <c r="F27" s="98"/>
      <c r="G27" s="98"/>
      <c r="H27" s="98"/>
      <c r="I27" s="98"/>
      <c r="J27" s="98"/>
      <c r="K27" s="98"/>
      <c r="L27" s="98"/>
    </row>
    <row r="28">
      <c r="A28" s="98" t="str">
        <f>IFERROR(__xludf.DUMMYFUNCTION("""COMPUTED_VALUE"""),"CM")</f>
        <v>CM</v>
      </c>
      <c r="B28" s="98" t="str">
        <f>IFERROR(__xludf.DUMMYFUNCTION("""COMPUTED_VALUE"""),"Your task")</f>
        <v>Your task</v>
      </c>
      <c r="C28" s="98" t="str">
        <f>IFERROR(__xludf.DUMMYFUNCTION("""COMPUTED_VALUE"""),"Reports indicate that FTs (Fast Forwarding Service) frequently respond slowly and not as required.")</f>
        <v>Reports indicate that FTs (Fast Forwarding Service) frequently respond slowly and not as required.</v>
      </c>
      <c r="D28" s="99">
        <f>IFERROR(__xludf.DUMMYFUNCTION("""COMPUTED_VALUE"""),46195.0)</f>
        <v>46195</v>
      </c>
      <c r="E28" s="99">
        <f>IFERROR(__xludf.DUMMYFUNCTION("""COMPUTED_VALUE"""),46203.0)</f>
        <v>46203</v>
      </c>
      <c r="F28" s="98"/>
      <c r="G28" s="98"/>
      <c r="H28" s="98"/>
      <c r="I28" s="98"/>
      <c r="J28" s="98"/>
      <c r="K28" s="98"/>
      <c r="L28" s="98"/>
    </row>
    <row r="29">
      <c r="A29" s="98" t="str">
        <f>IFERROR(__xludf.DUMMYFUNCTION("""COMPUTED_VALUE"""),"CM")</f>
        <v>CM</v>
      </c>
      <c r="B29" s="98" t="str">
        <f>IFERROR(__xludf.DUMMYFUNCTION("""COMPUTED_VALUE"""),"Your task")</f>
        <v>Your task</v>
      </c>
      <c r="C29" s="98" t="str">
        <f>IFERROR(__xludf.DUMMYFUNCTION("""COMPUTED_VALUE"""),"At 8:30, the operator reminded the Team Leader and FT to update the Cell Down rescue plan.")</f>
        <v>At 8:30, the operator reminded the Team Leader and FT to update the Cell Down rescue plan.</v>
      </c>
      <c r="D29" s="99">
        <f>IFERROR(__xludf.DUMMYFUNCTION("""COMPUTED_VALUE"""),46195.0)</f>
        <v>46195</v>
      </c>
      <c r="E29" s="99">
        <f>IFERROR(__xludf.DUMMYFUNCTION("""COMPUTED_VALUE"""),46203.0)</f>
        <v>46203</v>
      </c>
      <c r="F29" s="98"/>
      <c r="G29" s="98"/>
      <c r="H29" s="98"/>
      <c r="I29" s="98"/>
      <c r="J29" s="98"/>
      <c r="K29" s="98"/>
      <c r="L29" s="98"/>
    </row>
    <row r="30">
      <c r="A30" s="98" t="str">
        <f>IFERROR(__xludf.DUMMYFUNCTION("""COMPUTED_VALUE"""),"CM")</f>
        <v>CM</v>
      </c>
      <c r="B30" s="98" t="str">
        <f>IFERROR(__xludf.DUMMYFUNCTION("""COMPUTED_VALUE"""),"Your task")</f>
        <v>Your task</v>
      </c>
      <c r="C30" s="98" t="str">
        <f>IFERROR(__xludf.DUMMYFUNCTION("""COMPUTED_VALUE"""),"Call the Team Leader when a cable outage occurs and forward the message to the MYTEL-NOC-VCM Group. CM will update the EAT time that the Team reported when calling.")</f>
        <v>Call the Team Leader when a cable outage occurs and forward the message to the MYTEL-NOC-VCM Group. CM will update the EAT time that the Team reported when calling.</v>
      </c>
      <c r="D30" s="99">
        <f>IFERROR(__xludf.DUMMYFUNCTION("""COMPUTED_VALUE"""),46195.0)</f>
        <v>46195</v>
      </c>
      <c r="E30" s="99">
        <f>IFERROR(__xludf.DUMMYFUNCTION("""COMPUTED_VALUE"""),46203.0)</f>
        <v>46203</v>
      </c>
      <c r="F30" s="98"/>
      <c r="G30" s="98"/>
      <c r="H30" s="98"/>
      <c r="I30" s="98"/>
      <c r="J30" s="98"/>
      <c r="K30" s="98"/>
      <c r="L30" s="98"/>
    </row>
    <row r="31">
      <c r="A31" s="98" t="str">
        <f>IFERROR(__xludf.DUMMYFUNCTION("""COMPUTED_VALUE"""),"CM")</f>
        <v>CM</v>
      </c>
      <c r="B31" s="98" t="str">
        <f>IFERROR(__xludf.DUMMYFUNCTION("""COMPUTED_VALUE"""),"Your task")</f>
        <v>Your task</v>
      </c>
      <c r="C31" s="98" t="str">
        <f>IFERROR(__xludf.DUMMYFUNCTION("""COMPUTED_VALUE"""),"Update file 2222 daily before 12:00 PM and provide a preliminary analysis of the causes and proposed solutions.")</f>
        <v>Update file 2222 daily before 12:00 PM and provide a preliminary analysis of the causes and proposed solutions.</v>
      </c>
      <c r="D31" s="99">
        <f>IFERROR(__xludf.DUMMYFUNCTION("""COMPUTED_VALUE"""),46195.0)</f>
        <v>46195</v>
      </c>
      <c r="E31" s="99">
        <f>IFERROR(__xludf.DUMMYFUNCTION("""COMPUTED_VALUE"""),46203.0)</f>
        <v>46203</v>
      </c>
      <c r="F31" s="98"/>
      <c r="G31" s="98"/>
      <c r="H31" s="98"/>
      <c r="I31" s="98"/>
      <c r="J31" s="98"/>
      <c r="K31" s="98"/>
      <c r="L31" s="98"/>
    </row>
    <row r="32">
      <c r="A32" s="98" t="str">
        <f>IFERROR(__xludf.DUMMYFUNCTION("""COMPUTED_VALUE"""),"CM")</f>
        <v>CM</v>
      </c>
      <c r="B32" s="98" t="str">
        <f>IFERROR(__xludf.DUMMYFUNCTION("""COMPUTED_VALUE"""),"Your task")</f>
        <v>Your task</v>
      </c>
      <c r="C32" s="98" t="str">
        <f>IFERROR(__xludf.DUMMYFUNCTION("""COMPUTED_VALUE"""),"The CM assigns tasks to the Team and daily checks and monitors the Team's progress, ensuring completion and approving completed tasks so the Team receives points.")</f>
        <v>The CM assigns tasks to the Team and daily checks and monitors the Team's progress, ensuring completion and approving completed tasks so the Team receives points.</v>
      </c>
      <c r="D32" s="99">
        <f>IFERROR(__xludf.DUMMYFUNCTION("""COMPUTED_VALUE"""),46195.0)</f>
        <v>46195</v>
      </c>
      <c r="E32" s="99">
        <f>IFERROR(__xludf.DUMMYFUNCTION("""COMPUTED_VALUE"""),46203.0)</f>
        <v>46203</v>
      </c>
      <c r="F32" s="98"/>
      <c r="G32" s="98"/>
      <c r="H32" s="98"/>
      <c r="I32" s="98"/>
      <c r="J32" s="98"/>
      <c r="K32" s="98"/>
      <c r="L32" s="98"/>
    </row>
    <row r="33">
      <c r="A33" s="98" t="str">
        <f>IFERROR(__xludf.DUMMYFUNCTION("""COMPUTED_VALUE"""),"CM")</f>
        <v>CM</v>
      </c>
      <c r="B33" s="98" t="str">
        <f>IFERROR(__xludf.DUMMYFUNCTION("""COMPUTED_VALUE"""),"Your task")</f>
        <v>Your task</v>
      </c>
      <c r="C33" s="98" t="str">
        <f>IFERROR(__xludf.DUMMYFUNCTION("""COMPUTED_VALUE"""),"Support Team 2 update Task progress if team needs and call Team leader sent plan tomorrow before 20:00 Daily and Call 1 by 1 FT update daily result in telegram")</f>
        <v>Support Team 2 update Task progress if team needs and call Team leader sent plan tomorrow before 20:00 Daily and Call 1 by 1 FT update daily result in telegram</v>
      </c>
      <c r="D33" s="99">
        <f>IFERROR(__xludf.DUMMYFUNCTION("""COMPUTED_VALUE"""),46200.0)</f>
        <v>46200</v>
      </c>
      <c r="E33" s="99">
        <f>IFERROR(__xludf.DUMMYFUNCTION("""COMPUTED_VALUE"""),46234.0)</f>
        <v>46234</v>
      </c>
      <c r="F33" s="98"/>
      <c r="G33" s="98"/>
      <c r="H33" s="98"/>
      <c r="I33" s="98"/>
      <c r="J33" s="98"/>
      <c r="K33" s="98"/>
      <c r="L33" s="98"/>
    </row>
    <row r="34">
      <c r="A34" s="98" t="str">
        <f>IFERROR(__xludf.DUMMYFUNCTION("""COMPUTED_VALUE"""),"Finance")</f>
        <v>Finance</v>
      </c>
      <c r="B34" s="98" t="str">
        <f>IFERROR(__xludf.DUMMYFUNCTION("""COMPUTED_VALUE"""),"Your task")</f>
        <v>Your task</v>
      </c>
      <c r="C34" s="98" t="str">
        <f>IFERROR(__xludf.DUMMYFUNCTION("""COMPUTED_VALUE"""),"For any amount exceeding 30,000, Team or Department must report it to the finance department for verification before proceeding.")</f>
        <v>For any amount exceeding 30,000, Team or Department must report it to the finance department for verification before proceeding.</v>
      </c>
      <c r="D34" s="99">
        <f>IFERROR(__xludf.DUMMYFUNCTION("""COMPUTED_VALUE"""),46195.0)</f>
        <v>46195</v>
      </c>
      <c r="E34" s="99">
        <f>IFERROR(__xludf.DUMMYFUNCTION("""COMPUTED_VALUE"""),46203.0)</f>
        <v>46203</v>
      </c>
      <c r="F34" s="98"/>
      <c r="G34" s="98"/>
      <c r="H34" s="98"/>
      <c r="I34" s="98"/>
      <c r="J34" s="98"/>
      <c r="K34" s="98"/>
      <c r="L34" s="98"/>
    </row>
    <row r="35">
      <c r="A35" s="98" t="str">
        <f>IFERROR(__xludf.DUMMYFUNCTION("""COMPUTED_VALUE"""),"Finance")</f>
        <v>Finance</v>
      </c>
      <c r="B35" s="98" t="str">
        <f>IFERROR(__xludf.DUMMYFUNCTION("""COMPUTED_VALUE"""),"Your task")</f>
        <v>Your task</v>
      </c>
      <c r="C35" s="98" t="str">
        <f>IFERROR(__xludf.DUMMYFUNCTION("""COMPUTED_VALUE"""),"Finance assigns tasks to the Team and daily checks and monitors the Team's progress, ensuring completion and approving completed tasks so the Team receives points.")</f>
        <v>Finance assigns tasks to the Team and daily checks and monitors the Team's progress, ensuring completion and approving completed tasks so the Team receives points.</v>
      </c>
      <c r="D35" s="99">
        <f>IFERROR(__xludf.DUMMYFUNCTION("""COMPUTED_VALUE"""),46195.0)</f>
        <v>46195</v>
      </c>
      <c r="E35" s="99">
        <f>IFERROR(__xludf.DUMMYFUNCTION("""COMPUTED_VALUE"""),46203.0)</f>
        <v>46203</v>
      </c>
      <c r="F35" s="98"/>
      <c r="G35" s="99">
        <f>IFERROR(__xludf.DUMMYFUNCTION("""COMPUTED_VALUE"""),46011.0)</f>
        <v>46011</v>
      </c>
      <c r="H35" s="98"/>
      <c r="I35" s="98"/>
      <c r="J35" s="98"/>
      <c r="K35" s="98"/>
      <c r="L35" s="98"/>
    </row>
    <row r="36">
      <c r="A36" s="98" t="str">
        <f>IFERROR(__xludf.DUMMYFUNCTION("""COMPUTED_VALUE"""),"Finance")</f>
        <v>Finance</v>
      </c>
      <c r="B36" s="98" t="str">
        <f>IFERROR(__xludf.DUMMYFUNCTION("""COMPUTED_VALUE"""),"Your task")</f>
        <v>Your task</v>
      </c>
      <c r="C36" s="98" t="str">
        <f>IFERROR(__xludf.DUMMYFUNCTION("""COMPUTED_VALUE"""),"Every Tuesday and Friday, remind the Team Leader to update the Price for MDG and")</f>
        <v>Every Tuesday and Friday, remind the Team Leader to update the Price for MDG and</v>
      </c>
      <c r="D36" s="99">
        <f>IFERROR(__xludf.DUMMYFUNCTION("""COMPUTED_VALUE"""),46195.0)</f>
        <v>46195</v>
      </c>
      <c r="E36" s="99">
        <f>IFERROR(__xludf.DUMMYFUNCTION("""COMPUTED_VALUE"""),46203.0)</f>
        <v>46203</v>
      </c>
      <c r="F36" s="98"/>
      <c r="G36" s="98"/>
      <c r="H36" s="98"/>
      <c r="I36" s="98"/>
      <c r="J36" s="98"/>
      <c r="K36" s="98"/>
      <c r="L36" s="98"/>
    </row>
    <row r="37">
      <c r="A37" s="98" t="str">
        <f>IFERROR(__xludf.DUMMYFUNCTION("""COMPUTED_VALUE"""),"Finance")</f>
        <v>Finance</v>
      </c>
      <c r="B37" s="98" t="str">
        <f>IFERROR(__xludf.DUMMYFUNCTION("""COMPUTED_VALUE"""),"Your task")</f>
        <v>Your task</v>
      </c>
      <c r="C37" s="98" t="str">
        <f>IFERROR(__xludf.DUMMYFUNCTION("""COMPUTED_VALUE"""),"Submit simultaneous EPC and MDG advance payment approvals before 26/N")</f>
        <v>Submit simultaneous EPC and MDG advance payment approvals before 26/N</v>
      </c>
      <c r="D37" s="99">
        <f>IFERROR(__xludf.DUMMYFUNCTION("""COMPUTED_VALUE"""),46195.0)</f>
        <v>46195</v>
      </c>
      <c r="E37" s="99">
        <f>IFERROR(__xludf.DUMMYFUNCTION("""COMPUTED_VALUE"""),46203.0)</f>
        <v>46203</v>
      </c>
      <c r="F37" s="98"/>
      <c r="G37" s="98"/>
      <c r="H37" s="98"/>
      <c r="I37" s="98"/>
      <c r="J37" s="98"/>
      <c r="K37" s="98"/>
      <c r="L37" s="98"/>
    </row>
    <row r="38">
      <c r="A38" s="98" t="str">
        <f>IFERROR(__xludf.DUMMYFUNCTION("""COMPUTED_VALUE"""),"HR")</f>
        <v>HR</v>
      </c>
      <c r="B38" s="98" t="str">
        <f>IFERROR(__xludf.DUMMYFUNCTION("""COMPUTED_VALUE"""),"Your task")</f>
        <v>Your task</v>
      </c>
      <c r="C38" s="98" t="str">
        <f>IFERROR(__xludf.DUMMYFUNCTION("""COMPUTED_VALUE"""),"Looking for CVs for Asset, Business and FT at Team 1 needs 10 people")</f>
        <v>Looking for CVs for Asset, Business and FT at Team 1 needs 10 people</v>
      </c>
      <c r="D38" s="99">
        <f>IFERROR(__xludf.DUMMYFUNCTION("""COMPUTED_VALUE"""),46195.0)</f>
        <v>46195</v>
      </c>
      <c r="E38" s="99">
        <f>IFERROR(__xludf.DUMMYFUNCTION("""COMPUTED_VALUE"""),46203.0)</f>
        <v>46203</v>
      </c>
      <c r="F38" s="98"/>
      <c r="G38" s="98"/>
      <c r="H38" s="98"/>
      <c r="I38" s="98"/>
      <c r="J38" s="98"/>
      <c r="K38" s="98"/>
      <c r="L38" s="98"/>
    </row>
    <row r="39">
      <c r="A39" s="98" t="str">
        <f>IFERROR(__xludf.DUMMYFUNCTION("""COMPUTED_VALUE"""),"HR")</f>
        <v>HR</v>
      </c>
      <c r="B39" s="98" t="str">
        <f>IFERROR(__xludf.DUMMYFUNCTION("""COMPUTED_VALUE"""),"Your task")</f>
        <v>Your task</v>
      </c>
      <c r="C39" s="98" t="str">
        <f>IFERROR(__xludf.DUMMYFUNCTION("""COMPUTED_VALUE"""),"Monitor the Daily Attendance group to remind staff who take photos of work that if they repeatedly fail to take photos, mention their names in the group daily.")</f>
        <v>Monitor the Daily Attendance group to remind staff who take photos of work that if they repeatedly fail to take photos, mention their names in the group daily.</v>
      </c>
      <c r="D39" s="99">
        <f>IFERROR(__xludf.DUMMYFUNCTION("""COMPUTED_VALUE"""),46195.0)</f>
        <v>46195</v>
      </c>
      <c r="E39" s="99">
        <f>IFERROR(__xludf.DUMMYFUNCTION("""COMPUTED_VALUE"""),46203.0)</f>
        <v>46203</v>
      </c>
      <c r="F39" s="98"/>
      <c r="G39" s="98"/>
      <c r="H39" s="98"/>
      <c r="I39" s="98"/>
      <c r="J39" s="98"/>
      <c r="K39" s="98"/>
      <c r="L39" s="98"/>
    </row>
    <row r="40">
      <c r="A40" s="98" t="str">
        <f>IFERROR(__xludf.DUMMYFUNCTION("""COMPUTED_VALUE"""),"HR")</f>
        <v>HR</v>
      </c>
      <c r="B40" s="98" t="str">
        <f>IFERROR(__xludf.DUMMYFUNCTION("""COMPUTED_VALUE"""),"Your task")</f>
        <v>Your task</v>
      </c>
      <c r="C40" s="98" t="str">
        <f>IFERROR(__xludf.DUMMYFUNCTION("""COMPUTED_VALUE"""),"When a new FT employee or a new department employee joins, we must collect their Google Mail address and Mytel and Telegram account IDs.")</f>
        <v>When a new FT employee or a new department employee joins, we must collect their Google Mail address and Mytel and Telegram account IDs.</v>
      </c>
      <c r="D40" s="99">
        <f>IFERROR(__xludf.DUMMYFUNCTION("""COMPUTED_VALUE"""),46195.0)</f>
        <v>46195</v>
      </c>
      <c r="E40" s="99">
        <f>IFERROR(__xludf.DUMMYFUNCTION("""COMPUTED_VALUE"""),46203.0)</f>
        <v>46203</v>
      </c>
      <c r="F40" s="98"/>
      <c r="G40" s="98"/>
      <c r="H40" s="98"/>
      <c r="I40" s="98"/>
      <c r="J40" s="98"/>
      <c r="K40" s="98"/>
      <c r="L40" s="98"/>
    </row>
    <row r="41">
      <c r="A41" s="98" t="str">
        <f>IFERROR(__xludf.DUMMYFUNCTION("""COMPUTED_VALUE"""),"HR")</f>
        <v>HR</v>
      </c>
      <c r="B41" s="98" t="str">
        <f>IFERROR(__xludf.DUMMYFUNCTION("""COMPUTED_VALUE"""),"Your task")</f>
        <v>Your task</v>
      </c>
      <c r="C41" s="98" t="str">
        <f>IFERROR(__xludf.DUMMYFUNCTION("""COMPUTED_VALUE"""),"Share Google Drive with people based on the content they're interested in, and remove it if the user leaves after sharing.")</f>
        <v>Share Google Drive with people based on the content they're interested in, and remove it if the user leaves after sharing.</v>
      </c>
      <c r="D41" s="99">
        <f>IFERROR(__xludf.DUMMYFUNCTION("""COMPUTED_VALUE"""),46195.0)</f>
        <v>46195</v>
      </c>
      <c r="E41" s="99">
        <f>IFERROR(__xludf.DUMMYFUNCTION("""COMPUTED_VALUE"""),46203.0)</f>
        <v>46203</v>
      </c>
      <c r="F41" s="98"/>
      <c r="G41" s="98"/>
      <c r="H41" s="98"/>
      <c r="I41" s="98"/>
      <c r="J41" s="98"/>
      <c r="K41" s="98"/>
      <c r="L41" s="98"/>
    </row>
    <row r="42">
      <c r="A42" s="98" t="str">
        <f>IFERROR(__xludf.DUMMYFUNCTION("""COMPUTED_VALUE"""),"M&amp;E")</f>
        <v>M&amp;E</v>
      </c>
      <c r="B42" s="98" t="str">
        <f>IFERROR(__xludf.DUMMYFUNCTION("""COMPUTED_VALUE"""),"Your task")</f>
        <v>Your task</v>
      </c>
      <c r="C42" s="98" t="str">
        <f>IFERROR(__xludf.DUMMYFUNCTION("""COMPUTED_VALUE"""),"Please urge FT to conduct monthly fuel inventories from the 1st to the 20th of each month, if the station does not have information on the most recent refueling.")</f>
        <v>Please urge FT to conduct monthly fuel inventories from the 1st to the 20th of each month, if the station does not have information on the most recent refueling.</v>
      </c>
      <c r="D42" s="99">
        <f>IFERROR(__xludf.DUMMYFUNCTION("""COMPUTED_VALUE"""),46195.0)</f>
        <v>46195</v>
      </c>
      <c r="E42" s="99">
        <f>IFERROR(__xludf.DUMMYFUNCTION("""COMPUTED_VALUE"""),46203.0)</f>
        <v>46203</v>
      </c>
      <c r="F42" s="98"/>
      <c r="G42" s="98"/>
      <c r="H42" s="98"/>
      <c r="I42" s="98"/>
      <c r="J42" s="98"/>
      <c r="K42" s="98"/>
      <c r="L42" s="98"/>
    </row>
    <row r="43">
      <c r="A43" s="98" t="str">
        <f>IFERROR(__xludf.DUMMYFUNCTION("""COMPUTED_VALUE"""),"M&amp;E")</f>
        <v>M&amp;E</v>
      </c>
      <c r="B43" s="98" t="str">
        <f>IFERROR(__xludf.DUMMYFUNCTION("""COMPUTED_VALUE"""),"Assign tasks to the team and monitor their progress")</f>
        <v>Assign tasks to the team and monitor their progress</v>
      </c>
      <c r="C43" s="98" t="str">
        <f>IFERROR(__xludf.DUMMYFUNCTION("""COMPUTED_VALUE"""),"Every Tuesday, Thursday, and Friday, I have to go to work with them and check the quality of generator maintenance.")</f>
        <v>Every Tuesday, Thursday, and Friday, I have to go to work with them and check the quality of generator maintenance.</v>
      </c>
      <c r="D43" s="99">
        <f>IFERROR(__xludf.DUMMYFUNCTION("""COMPUTED_VALUE"""),46195.0)</f>
        <v>46195</v>
      </c>
      <c r="E43" s="99">
        <f>IFERROR(__xludf.DUMMYFUNCTION("""COMPUTED_VALUE"""),46203.0)</f>
        <v>46203</v>
      </c>
      <c r="F43" s="98"/>
      <c r="G43" s="98"/>
      <c r="H43" s="98"/>
      <c r="I43" s="98"/>
      <c r="J43" s="98"/>
      <c r="K43" s="98"/>
      <c r="L43" s="98"/>
    </row>
    <row r="44">
      <c r="A44" s="98" t="str">
        <f>IFERROR(__xludf.DUMMYFUNCTION("""COMPUTED_VALUE"""),"M&amp;E")</f>
        <v>M&amp;E</v>
      </c>
      <c r="B44" s="98" t="str">
        <f>IFERROR(__xludf.DUMMYFUNCTION("""COMPUTED_VALUE"""),"Assign tasks to the team and monitor their progress")</f>
        <v>Assign tasks to the team and monitor their progress</v>
      </c>
      <c r="C44" s="98" t="str">
        <f>IFERROR(__xludf.DUMMYFUNCTION("""COMPUTED_VALUE"""),"Install 100% of the MDG 5KVA station, replacing it with an MDG Honda 8KVA station, one battery, and one DC control box (DC LOW run MDG auto). Also, buy a 12V timer to fix the run time from 6:00 AM to 10:00 PM daily.")</f>
        <v>Install 100% of the MDG 5KVA station, replacing it with an MDG Honda 8KVA station, one battery, and one DC control box (DC LOW run MDG auto). Also, buy a 12V timer to fix the run time from 6:00 AM to 10:00 PM daily.</v>
      </c>
      <c r="D44" s="99">
        <f>IFERROR(__xludf.DUMMYFUNCTION("""COMPUTED_VALUE"""),46195.0)</f>
        <v>46195</v>
      </c>
      <c r="E44" s="99">
        <f>IFERROR(__xludf.DUMMYFUNCTION("""COMPUTED_VALUE"""),46199.0)</f>
        <v>46199</v>
      </c>
      <c r="F44" s="98"/>
      <c r="G44" s="98"/>
      <c r="H44" s="98"/>
      <c r="I44" s="98"/>
      <c r="J44" s="98"/>
      <c r="K44" s="98"/>
      <c r="L44" s="98"/>
    </row>
    <row r="45">
      <c r="A45" s="98" t="str">
        <f>IFERROR(__xludf.DUMMYFUNCTION("""COMPUTED_VALUE"""),"M&amp;E")</f>
        <v>M&amp;E</v>
      </c>
      <c r="B45" s="98" t="str">
        <f>IFERROR(__xludf.DUMMYFUNCTION("""COMPUTED_VALUE"""),"Assign tasks to the team and monitor their progress")</f>
        <v>Assign tasks to the team and monitor their progress</v>
      </c>
      <c r="C45" s="98" t="str">
        <f>IFERROR(__xludf.DUMMYFUNCTION("""COMPUTED_VALUE"""),"We require the team to update MDG images monthly.")</f>
        <v>We require the team to update MDG images monthly.</v>
      </c>
      <c r="D45" s="99">
        <f>IFERROR(__xludf.DUMMYFUNCTION("""COMPUTED_VALUE"""),46082.0)</f>
        <v>46082</v>
      </c>
      <c r="E45" s="99">
        <f>IFERROR(__xludf.DUMMYFUNCTION("""COMPUTED_VALUE"""),46112.0)</f>
        <v>46112</v>
      </c>
      <c r="F45" s="98"/>
      <c r="G45" s="98"/>
      <c r="H45" s="98"/>
      <c r="I45" s="98"/>
      <c r="J45" s="98"/>
      <c r="K45" s="98"/>
      <c r="L45" s="98"/>
    </row>
    <row r="46">
      <c r="A46" s="98" t="str">
        <f>IFERROR(__xludf.DUMMYFUNCTION("""COMPUTED_VALUE"""),"M&amp;E")</f>
        <v>M&amp;E</v>
      </c>
      <c r="B46" s="98" t="str">
        <f>IFERROR(__xludf.DUMMYFUNCTION("""COMPUTED_VALUE"""),"Assign tasks to the team and monitor their progress")</f>
        <v>Assign tasks to the team and monitor their progress</v>
      </c>
      <c r="C46" s="98" t="str">
        <f>IFERROR(__xludf.DUMMYFUNCTION("""COMPUTED_VALUE"""),"Support Team 1 in fixing the oil level warnings; there are currently 20 warnings in storage but they haven't been installed yet.")</f>
        <v>Support Team 1 in fixing the oil level warnings; there are currently 20 warnings in storage but they haven't been installed yet.</v>
      </c>
      <c r="D46" s="99">
        <f>IFERROR(__xludf.DUMMYFUNCTION("""COMPUTED_VALUE"""),46195.0)</f>
        <v>46195</v>
      </c>
      <c r="E46" s="99">
        <f>IFERROR(__xludf.DUMMYFUNCTION("""COMPUTED_VALUE"""),46203.0)</f>
        <v>46203</v>
      </c>
      <c r="F46" s="98"/>
      <c r="G46" s="98"/>
      <c r="H46" s="98"/>
      <c r="I46" s="98"/>
      <c r="J46" s="98"/>
      <c r="K46" s="98"/>
      <c r="L46" s="98"/>
    </row>
    <row r="47">
      <c r="A47" s="98" t="str">
        <f>IFERROR(__xludf.DUMMYFUNCTION("""COMPUTED_VALUE"""),"M&amp;E")</f>
        <v>M&amp;E</v>
      </c>
      <c r="B47" s="98" t="str">
        <f>IFERROR(__xludf.DUMMYFUNCTION("""COMPUTED_VALUE"""),"Your task")</f>
        <v>Your task</v>
      </c>
      <c r="C47" s="98" t="str">
        <f>IFERROR(__xludf.DUMMYFUNCTION("""COMPUTED_VALUE"""),"Please send your refueling plans for the locations requiring refueling to the Refueling Team.")</f>
        <v>Please send your refueling plans for the locations requiring refueling to the Refueling Team.</v>
      </c>
      <c r="D47" s="99">
        <f>IFERROR(__xludf.DUMMYFUNCTION("""COMPUTED_VALUE"""),46195.0)</f>
        <v>46195</v>
      </c>
      <c r="E47" s="99">
        <f>IFERROR(__xludf.DUMMYFUNCTION("""COMPUTED_VALUE"""),46203.0)</f>
        <v>46203</v>
      </c>
      <c r="F47" s="98"/>
      <c r="G47" s="98"/>
      <c r="H47" s="98"/>
      <c r="I47" s="98"/>
      <c r="J47" s="98"/>
      <c r="K47" s="98"/>
      <c r="L47" s="98"/>
    </row>
    <row r="48">
      <c r="A48" s="98" t="str">
        <f>IFERROR(__xludf.DUMMYFUNCTION("""COMPUTED_VALUE"""),"M&amp;E")</f>
        <v>M&amp;E</v>
      </c>
      <c r="B48" s="98" t="str">
        <f>IFERROR(__xludf.DUMMYFUNCTION("""COMPUTED_VALUE"""),"Your task")</f>
        <v>Your task</v>
      </c>
      <c r="C48" s="98" t="str">
        <f>IFERROR(__xludf.DUMMYFUNCTION("""COMPUTED_VALUE"""),"Update generator running times at the branch.")</f>
        <v>Update generator running times at the branch.</v>
      </c>
      <c r="D48" s="99">
        <f>IFERROR(__xludf.DUMMYFUNCTION("""COMPUTED_VALUE"""),46195.0)</f>
        <v>46195</v>
      </c>
      <c r="E48" s="99">
        <f>IFERROR(__xludf.DUMMYFUNCTION("""COMPUTED_VALUE"""),46203.0)</f>
        <v>46203</v>
      </c>
      <c r="F48" s="98"/>
      <c r="G48" s="98"/>
      <c r="H48" s="98"/>
      <c r="I48" s="98"/>
      <c r="J48" s="98"/>
      <c r="K48" s="98"/>
      <c r="L48" s="98"/>
    </row>
    <row r="49">
      <c r="A49" s="98" t="str">
        <f>IFERROR(__xludf.DUMMYFUNCTION("""COMPUTED_VALUE"""),"M&amp;E")</f>
        <v>M&amp;E</v>
      </c>
      <c r="B49" s="98" t="str">
        <f>IFERROR(__xludf.DUMMYFUNCTION("""COMPUTED_VALUE"""),"Your task")</f>
        <v>Your task</v>
      </c>
      <c r="C49" s="98" t="str">
        <f>IFERROR(__xludf.DUMMYFUNCTION("""COMPUTED_VALUE"""),"The BOD immediately reports any stations showing signs of theft and implements anti-theft solutions.")</f>
        <v>The BOD immediately reports any stations showing signs of theft and implements anti-theft solutions.</v>
      </c>
      <c r="D49" s="99">
        <f>IFERROR(__xludf.DUMMYFUNCTION("""COMPUTED_VALUE"""),46195.0)</f>
        <v>46195</v>
      </c>
      <c r="E49" s="99">
        <f>IFERROR(__xludf.DUMMYFUNCTION("""COMPUTED_VALUE"""),46203.0)</f>
        <v>46203</v>
      </c>
      <c r="F49" s="98"/>
      <c r="G49" s="98"/>
      <c r="H49" s="98"/>
      <c r="I49" s="98"/>
      <c r="J49" s="98"/>
      <c r="K49" s="98"/>
      <c r="L49" s="98"/>
    </row>
    <row r="50">
      <c r="A50" s="98" t="str">
        <f>IFERROR(__xludf.DUMMYFUNCTION("""COMPUTED_VALUE"""),"M&amp;E")</f>
        <v>M&amp;E</v>
      </c>
      <c r="B50" s="98" t="str">
        <f>IFERROR(__xludf.DUMMYFUNCTION("""COMPUTED_VALUE"""),"Your task")</f>
        <v>Your task</v>
      </c>
      <c r="C50" s="98" t="str">
        <f>IFERROR(__xludf.DUMMYFUNCTION("""COMPUTED_VALUE"""),"Propose a sequential schedule for regularly scheduled generators for major maintenance and create a work assignment plan for the team.")</f>
        <v>Propose a sequential schedule for regularly scheduled generators for major maintenance and create a work assignment plan for the team.</v>
      </c>
      <c r="D50" s="99">
        <f>IFERROR(__xludf.DUMMYFUNCTION("""COMPUTED_VALUE"""),46195.0)</f>
        <v>46195</v>
      </c>
      <c r="E50" s="99">
        <f>IFERROR(__xludf.DUMMYFUNCTION("""COMPUTED_VALUE"""),46203.0)</f>
        <v>46203</v>
      </c>
      <c r="F50" s="98"/>
      <c r="G50" s="98"/>
      <c r="H50" s="98"/>
      <c r="I50" s="98"/>
      <c r="J50" s="98"/>
      <c r="K50" s="98"/>
      <c r="L50" s="98"/>
    </row>
    <row r="51">
      <c r="A51" s="98" t="str">
        <f>IFERROR(__xludf.DUMMYFUNCTION("""COMPUTED_VALUE"""),"M&amp;E")</f>
        <v>M&amp;E</v>
      </c>
      <c r="B51" s="98" t="str">
        <f>IFERROR(__xludf.DUMMYFUNCTION("""COMPUTED_VALUE"""),"Your task")</f>
        <v>Your task</v>
      </c>
      <c r="C51" s="98" t="str">
        <f>IFERROR(__xludf.DUMMYFUNCTION("""COMPUTED_VALUE"""),"Conduct a weekly review of electrical and mechanical supplies and report to the Mytel - Noc - Vcm Group a list of supplies needing replacement and inventory, requesting Mytel to supply them.")</f>
        <v>Conduct a weekly review of electrical and mechanical supplies and report to the Mytel - Noc - Vcm Group a list of supplies needing replacement and inventory, requesting Mytel to supply them.</v>
      </c>
      <c r="D51" s="99">
        <f>IFERROR(__xludf.DUMMYFUNCTION("""COMPUTED_VALUE"""),46195.0)</f>
        <v>46195</v>
      </c>
      <c r="E51" s="99">
        <f>IFERROR(__xludf.DUMMYFUNCTION("""COMPUTED_VALUE"""),46203.0)</f>
        <v>46203</v>
      </c>
      <c r="F51" s="98"/>
      <c r="G51" s="98"/>
      <c r="H51" s="98"/>
      <c r="I51" s="98"/>
      <c r="J51" s="98"/>
      <c r="K51" s="98"/>
      <c r="L51" s="98"/>
    </row>
    <row r="52">
      <c r="A52" s="98" t="str">
        <f>IFERROR(__xludf.DUMMYFUNCTION("""COMPUTED_VALUE"""),"M&amp;E")</f>
        <v>M&amp;E</v>
      </c>
      <c r="B52" s="98" t="str">
        <f>IFERROR(__xludf.DUMMYFUNCTION("""COMPUTED_VALUE"""),"Your task")</f>
        <v>Your task</v>
      </c>
      <c r="C52" s="98" t="str">
        <f>IFERROR(__xludf.DUMMYFUNCTION("""COMPUTED_VALUE"""),"M&amp;E assigns tasks to the Team and daily checks and monitors the Team's progress, ensuring completion and approving completed tasks so the Team receives points.")</f>
        <v>M&amp;E assigns tasks to the Team and daily checks and monitors the Team's progress, ensuring completion and approving completed tasks so the Team receives points.</v>
      </c>
      <c r="D52" s="99">
        <f>IFERROR(__xludf.DUMMYFUNCTION("""COMPUTED_VALUE"""),46195.0)</f>
        <v>46195</v>
      </c>
      <c r="E52" s="99">
        <f>IFERROR(__xludf.DUMMYFUNCTION("""COMPUTED_VALUE"""),46203.0)</f>
        <v>46203</v>
      </c>
      <c r="F52" s="98"/>
      <c r="G52" s="98"/>
      <c r="H52" s="98"/>
      <c r="I52" s="98"/>
      <c r="J52" s="98"/>
      <c r="K52" s="98"/>
      <c r="L52" s="98"/>
    </row>
    <row r="53">
      <c r="A53" s="98" t="str">
        <f>IFERROR(__xludf.DUMMYFUNCTION("""COMPUTED_VALUE"""),"M&amp;E")</f>
        <v>M&amp;E</v>
      </c>
      <c r="B53" s="98" t="str">
        <f>IFERROR(__xludf.DUMMYFUNCTION("""COMPUTED_VALUE"""),"Go to Team Support Guide or Come Site to Cross check or check photo")</f>
        <v>Go to Team Support Guide or Come Site to Cross check or check photo</v>
      </c>
      <c r="C53" s="98" t="str">
        <f>IFERROR(__xludf.DUMMYFUNCTION("""COMPUTED_VALUE"""),"When replacing the starter battery for the generator, the team is required to immediately sell the faulty battery and transfer the money to Mytel's Finance Department, along with a photo, for immediate processing on the same day of replacement.")</f>
        <v>When replacing the starter battery for the generator, the team is required to immediately sell the faulty battery and transfer the money to Mytel's Finance Department, along with a photo, for immediate processing on the same day of replacement.</v>
      </c>
      <c r="D53" s="99">
        <f>IFERROR(__xludf.DUMMYFUNCTION("""COMPUTED_VALUE"""),46195.0)</f>
        <v>46195</v>
      </c>
      <c r="E53" s="99">
        <f>IFERROR(__xludf.DUMMYFUNCTION("""COMPUTED_VALUE"""),46203.0)</f>
        <v>46203</v>
      </c>
      <c r="F53" s="98"/>
      <c r="G53" s="98"/>
      <c r="H53" s="98"/>
      <c r="I53" s="98"/>
      <c r="J53" s="98"/>
      <c r="K53" s="98"/>
      <c r="L53" s="98"/>
    </row>
    <row r="54">
      <c r="A54" s="98" t="str">
        <f>IFERROR(__xludf.DUMMYFUNCTION("""COMPUTED_VALUE"""),"M&amp;E")</f>
        <v>M&amp;E</v>
      </c>
      <c r="B54" s="98" t="str">
        <f>IFERROR(__xludf.DUMMYFUNCTION("""COMPUTED_VALUE"""),"Go to Team Support Guide or Come Site to Cross check or check photo")</f>
        <v>Go to Team Support Guide or Come Site to Cross check or check photo</v>
      </c>
      <c r="C54" s="98" t="str">
        <f>IFERROR(__xludf.DUMMYFUNCTION("""COMPUTED_VALUE"""),"We propose that each office team and sub-team have one backup battery according to the Norm: 75AH - 360,000mAh + 90AH - 430,000mAh, with monthly reviews.")</f>
        <v>We propose that each office team and sub-team have one backup battery according to the Norm: 75AH - 360,000mAh + 90AH - 430,000mAh, with monthly reviews.</v>
      </c>
      <c r="D54" s="99">
        <f>IFERROR(__xludf.DUMMYFUNCTION("""COMPUTED_VALUE"""),46195.0)</f>
        <v>46195</v>
      </c>
      <c r="E54" s="99">
        <f>IFERROR(__xludf.DUMMYFUNCTION("""COMPUTED_VALUE"""),46203.0)</f>
        <v>46203</v>
      </c>
      <c r="F54" s="98"/>
      <c r="G54" s="98"/>
      <c r="H54" s="98"/>
      <c r="I54" s="98"/>
      <c r="J54" s="98"/>
      <c r="K54" s="98"/>
      <c r="L54" s="98"/>
    </row>
    <row r="55">
      <c r="A55" s="98" t="str">
        <f>IFERROR(__xludf.DUMMYFUNCTION("""COMPUTED_VALUE"""),"M&amp;E")</f>
        <v>M&amp;E</v>
      </c>
      <c r="B55" s="98" t="str">
        <f>IFERROR(__xludf.DUMMYFUNCTION("""COMPUTED_VALUE"""),"Go to Team Support Guide or Come Site to Cross check or check photo")</f>
        <v>Go to Team Support Guide or Come Site to Cross check or check photo</v>
      </c>
      <c r="C55" s="98" t="str">
        <f>IFERROR(__xludf.DUMMYFUNCTION("""COMPUTED_VALUE"""),"TNI0129, TNI0206 need go to Team support team repair This DG and guide how to mainteanance Main DG")</f>
        <v>TNI0129, TNI0206 need go to Team support team repair This DG and guide how to mainteanance Main DG</v>
      </c>
      <c r="D55" s="99">
        <f>IFERROR(__xludf.DUMMYFUNCTION("""COMPUTED_VALUE"""),46198.0)</f>
        <v>46198</v>
      </c>
      <c r="E55" s="99">
        <f>IFERROR(__xludf.DUMMYFUNCTION("""COMPUTED_VALUE"""),46202.0)</f>
        <v>46202</v>
      </c>
      <c r="F55" s="98"/>
      <c r="G55" s="98"/>
      <c r="H55" s="98"/>
      <c r="I55" s="98"/>
      <c r="J55" s="98"/>
      <c r="K55" s="98"/>
      <c r="L55" s="98"/>
    </row>
    <row r="56">
      <c r="A56" s="98" t="str">
        <f>IFERROR(__xludf.DUMMYFUNCTION("""COMPUTED_VALUE"""),"M&amp;E")</f>
        <v>M&amp;E</v>
      </c>
      <c r="B56" s="98" t="str">
        <f>IFERROR(__xludf.DUMMYFUNCTION("""COMPUTED_VALUE"""),"Your task")</f>
        <v>Your task</v>
      </c>
      <c r="C56" s="98" t="str">
        <f>IFERROR(__xludf.DUMMYFUNCTION("""COMPUTED_VALUE"""),"Mytel and VCM have a large inventory of 20 fuel level warning devices. Team members from each site are tasked with checking and replacing them.")</f>
        <v>Mytel and VCM have a large inventory of 20 fuel level warning devices. Team members from each site are tasked with checking and replacing them.</v>
      </c>
      <c r="D56" s="99">
        <f>IFERROR(__xludf.DUMMYFUNCTION("""COMPUTED_VALUE"""),46195.0)</f>
        <v>46195</v>
      </c>
      <c r="E56" s="99">
        <f>IFERROR(__xludf.DUMMYFUNCTION("""COMPUTED_VALUE"""),46203.0)</f>
        <v>46203</v>
      </c>
      <c r="F56" s="98"/>
      <c r="G56" s="98"/>
      <c r="H56" s="98"/>
      <c r="I56" s="98"/>
      <c r="J56" s="98"/>
      <c r="K56" s="98"/>
      <c r="L56" s="98"/>
    </row>
    <row r="57">
      <c r="A57" s="98" t="str">
        <f>IFERROR(__xludf.DUMMYFUNCTION("""COMPUTED_VALUE"""),"M&amp;E")</f>
        <v>M&amp;E</v>
      </c>
      <c r="B57" s="98" t="str">
        <f>IFERROR(__xludf.DUMMYFUNCTION("""COMPUTED_VALUE"""),"Your task")</f>
        <v>Your task</v>
      </c>
      <c r="C57" s="98" t="str">
        <f>IFERROR(__xludf.DUMMYFUNCTION("""COMPUTED_VALUE"""),"Request for inventory allocation for each team on Telegram: Order: Team 1: Fuel level sensor for TNI0061: 1 pcs, TNI0051: 1 pcs ...")</f>
        <v>Request for inventory allocation for each team on Telegram: Order: Team 1: Fuel level sensor for TNI0061: 1 pcs, TNI0051: 1 pcs ...</v>
      </c>
      <c r="D57" s="99">
        <f>IFERROR(__xludf.DUMMYFUNCTION("""COMPUTED_VALUE"""),46195.0)</f>
        <v>46195</v>
      </c>
      <c r="E57" s="99">
        <f>IFERROR(__xludf.DUMMYFUNCTION("""COMPUTED_VALUE"""),46203.0)</f>
        <v>46203</v>
      </c>
      <c r="F57" s="98"/>
      <c r="G57" s="98"/>
      <c r="H57" s="98"/>
      <c r="I57" s="98"/>
      <c r="J57" s="98"/>
      <c r="K57" s="98"/>
      <c r="L57" s="98"/>
    </row>
    <row r="58">
      <c r="A58" s="98" t="str">
        <f>IFERROR(__xludf.DUMMYFUNCTION("""COMPUTED_VALUE"""),"M&amp;E")</f>
        <v>M&amp;E</v>
      </c>
      <c r="B58" s="98" t="str">
        <f>IFERROR(__xludf.DUMMYFUNCTION("""COMPUTED_VALUE"""),"Your task")</f>
        <v>Your task</v>
      </c>
      <c r="C58" s="98" t="str">
        <f>IFERROR(__xludf.DUMMYFUNCTION("""COMPUTED_VALUE"""),"All Site Mooson Plan requires Mytel to create WO")</f>
        <v>All Site Mooson Plan requires Mytel to create WO</v>
      </c>
      <c r="D58" s="99">
        <f>IFERROR(__xludf.DUMMYFUNCTION("""COMPUTED_VALUE"""),46200.0)</f>
        <v>46200</v>
      </c>
      <c r="E58" s="99">
        <f>IFERROR(__xludf.DUMMYFUNCTION("""COMPUTED_VALUE"""),46203.0)</f>
        <v>46203</v>
      </c>
      <c r="F58" s="98"/>
      <c r="G58" s="98"/>
      <c r="H58" s="98"/>
      <c r="I58" s="98"/>
      <c r="J58" s="98"/>
      <c r="K58" s="98"/>
      <c r="L58" s="98"/>
    </row>
    <row r="59">
      <c r="A59" s="98" t="str">
        <f>IFERROR(__xludf.DUMMYFUNCTION("""COMPUTED_VALUE"""),"Manager")</f>
        <v>Manager</v>
      </c>
      <c r="B59" s="98" t="str">
        <f>IFERROR(__xludf.DUMMYFUNCTION("""COMPUTED_VALUE"""),"Your task")</f>
        <v>Your task</v>
      </c>
      <c r="C59" s="98" t="str">
        <f>IFERROR(__xludf.DUMMYFUNCTION("""COMPUTED_VALUE"""),"Team inspection required: I request that the following supplies always be present on the team vehicle, according to the following list:
- Cable &gt;100m, 3 sets D10, 3 sets D9 + lock + steel belt, 5 sets F8 Kit, 6 pcs G7.
- Lifting machine, measuring instrum"&amp;"ent, climbing shoes, single safety harness, water pressure pump, dust blower, cleaning cloth, and 2 containers of 20 liters of water.")</f>
        <v>Team inspection required: I request that the following supplies always be present on the team vehicle, according to the following list:
- Cable &gt;100m, 3 sets D10, 3 sets D9 + lock + steel belt, 5 sets F8 Kit, 6 pcs G7.
- Lifting machine, measuring instrument, climbing shoes, single safety harness, water pressure pump, dust blower, cleaning cloth, and 2 containers of 20 liters of water.</v>
      </c>
      <c r="D59" s="99">
        <f>IFERROR(__xludf.DUMMYFUNCTION("""COMPUTED_VALUE"""),46195.0)</f>
        <v>46195</v>
      </c>
      <c r="E59" s="99">
        <f>IFERROR(__xludf.DUMMYFUNCTION("""COMPUTED_VALUE"""),46203.0)</f>
        <v>46203</v>
      </c>
      <c r="F59" s="98"/>
      <c r="G59" s="98"/>
      <c r="H59" s="98"/>
      <c r="I59" s="98"/>
      <c r="J59" s="98"/>
      <c r="K59" s="98"/>
      <c r="L59" s="98"/>
    </row>
    <row r="60">
      <c r="A60" s="98" t="str">
        <f>IFERROR(__xludf.DUMMYFUNCTION("""COMPUTED_VALUE"""),"Manager")</f>
        <v>Manager</v>
      </c>
      <c r="B60" s="98" t="str">
        <f>IFERROR(__xludf.DUMMYFUNCTION("""COMPUTED_VALUE"""),"Assign tasks to the team and monitor their progress")</f>
        <v>Assign tasks to the team and monitor their progress</v>
      </c>
      <c r="C60" s="98" t="str">
        <f>IFERROR(__xludf.DUMMYFUNCTION("""COMPUTED_VALUE"""),"Team: The assigned team leader must reconfirm the actual FOT status, report to HO Mytel, update the phone number in NOC Pro to receive SMS, and ensure CNOC reassigns WO according to the correct account.")</f>
        <v>Team: The assigned team leader must reconfirm the actual FOT status, report to HO Mytel, update the phone number in NOC Pro to receive SMS, and ensure CNOC reassigns WO according to the correct account.</v>
      </c>
      <c r="D60" s="99">
        <f>IFERROR(__xludf.DUMMYFUNCTION("""COMPUTED_VALUE"""),46195.0)</f>
        <v>46195</v>
      </c>
      <c r="E60" s="99">
        <f>IFERROR(__xludf.DUMMYFUNCTION("""COMPUTED_VALUE"""),46203.0)</f>
        <v>46203</v>
      </c>
      <c r="F60" s="98"/>
      <c r="G60" s="98"/>
      <c r="H60" s="98"/>
      <c r="I60" s="98"/>
      <c r="J60" s="98"/>
      <c r="K60" s="98"/>
      <c r="L60" s="98"/>
    </row>
    <row r="61">
      <c r="A61" s="98" t="str">
        <f>IFERROR(__xludf.DUMMYFUNCTION("""COMPUTED_VALUE"""),"Manager")</f>
        <v>Manager</v>
      </c>
      <c r="B61" s="98" t="str">
        <f>IFERROR(__xludf.DUMMYFUNCTION("""COMPUTED_VALUE"""),"Assign tasks to the team and monitor their progress")</f>
        <v>Assign tasks to the team and monitor their progress</v>
      </c>
      <c r="C61" s="98" t="str">
        <f>IFERROR(__xludf.DUMMYFUNCTION("""COMPUTED_VALUE"""),"Track asset progress by requiring asset staff to assist the team in receiving and shipping goods within the team's and branch's systems.")</f>
        <v>Track asset progress by requiring asset staff to assist the team in receiving and shipping goods within the team's and branch's systems.</v>
      </c>
      <c r="D61" s="99">
        <f>IFERROR(__xludf.DUMMYFUNCTION("""COMPUTED_VALUE"""),46195.0)</f>
        <v>46195</v>
      </c>
      <c r="E61" s="99">
        <f>IFERROR(__xludf.DUMMYFUNCTION("""COMPUTED_VALUE"""),46203.0)</f>
        <v>46203</v>
      </c>
      <c r="F61" s="98"/>
      <c r="G61" s="98"/>
      <c r="H61" s="98"/>
      <c r="I61" s="98"/>
      <c r="J61" s="98"/>
      <c r="K61" s="98"/>
      <c r="L61" s="98"/>
    </row>
    <row r="62">
      <c r="A62" s="98" t="str">
        <f>IFERROR(__xludf.DUMMYFUNCTION("""COMPUTED_VALUE"""),"Manager")</f>
        <v>Manager</v>
      </c>
      <c r="B62" s="98" t="str">
        <f>IFERROR(__xludf.DUMMYFUNCTION("""COMPUTED_VALUE"""),"Assign tasks to the team and monitor their progress")</f>
        <v>Assign tasks to the team and monitor their progress</v>
      </c>
      <c r="C62" s="98" t="str">
        <f>IFERROR(__xludf.DUMMYFUNCTION("""COMPUTED_VALUE"""),"Report any theft incidents immediately.")</f>
        <v>Report any theft incidents immediately.</v>
      </c>
      <c r="D62" s="99">
        <f>IFERROR(__xludf.DUMMYFUNCTION("""COMPUTED_VALUE"""),46195.0)</f>
        <v>46195</v>
      </c>
      <c r="E62" s="99">
        <f>IFERROR(__xludf.DUMMYFUNCTION("""COMPUTED_VALUE"""),46203.0)</f>
        <v>46203</v>
      </c>
      <c r="F62" s="98"/>
      <c r="G62" s="98"/>
      <c r="H62" s="98"/>
      <c r="I62" s="98"/>
      <c r="J62" s="98"/>
      <c r="K62" s="98"/>
      <c r="L62" s="98"/>
    </row>
    <row r="63">
      <c r="A63" s="98" t="str">
        <f>IFERROR(__xludf.DUMMYFUNCTION("""COMPUTED_VALUE"""),"Manager")</f>
        <v>Manager</v>
      </c>
      <c r="B63" s="98" t="str">
        <f>IFERROR(__xludf.DUMMYFUNCTION("""COMPUTED_VALUE"""),"Assign tasks to the team and monitor their progress")</f>
        <v>Assign tasks to the team and monitor their progress</v>
      </c>
      <c r="C63" s="98" t="str">
        <f>IFERROR(__xludf.DUMMYFUNCTION("""COMPUTED_VALUE"""),"Monitor the team's statistics to compile a list of courses to be purchased in order to prepare a purchase request as required by the company.")</f>
        <v>Monitor the team's statistics to compile a list of courses to be purchased in order to prepare a purchase request as required by the company.</v>
      </c>
      <c r="D63" s="99">
        <f>IFERROR(__xludf.DUMMYFUNCTION("""COMPUTED_VALUE"""),46195.0)</f>
        <v>46195</v>
      </c>
      <c r="E63" s="99">
        <f>IFERROR(__xludf.DUMMYFUNCTION("""COMPUTED_VALUE"""),46203.0)</f>
        <v>46203</v>
      </c>
      <c r="F63" s="98"/>
      <c r="G63" s="98"/>
      <c r="H63" s="98"/>
      <c r="I63" s="98"/>
      <c r="J63" s="98"/>
      <c r="K63" s="98"/>
      <c r="L63" s="98"/>
    </row>
    <row r="64">
      <c r="A64" s="98" t="str">
        <f>IFERROR(__xludf.DUMMYFUNCTION("""COMPUTED_VALUE"""),"Manager")</f>
        <v>Manager</v>
      </c>
      <c r="B64" s="98" t="str">
        <f>IFERROR(__xludf.DUMMYFUNCTION("""COMPUTED_VALUE"""),"Your task")</f>
        <v>Your task</v>
      </c>
      <c r="C64" s="98" t="str">
        <f>IFERROR(__xludf.DUMMYFUNCTION("""COMPUTED_VALUE"""),"Monitor and urge the team to repair the two low-loss cable lines, TNI0009-TNI0015 and TNI0015-TNI0012.")</f>
        <v>Monitor and urge the team to repair the two low-loss cable lines, TNI0009-TNI0015 and TNI0015-TNI0012.</v>
      </c>
      <c r="D64" s="99">
        <f>IFERROR(__xludf.DUMMYFUNCTION("""COMPUTED_VALUE"""),46195.0)</f>
        <v>46195</v>
      </c>
      <c r="E64" s="99">
        <f>IFERROR(__xludf.DUMMYFUNCTION("""COMPUTED_VALUE"""),46203.0)</f>
        <v>46203</v>
      </c>
      <c r="F64" s="98"/>
      <c r="G64" s="98"/>
      <c r="H64" s="98"/>
      <c r="I64" s="98"/>
      <c r="J64" s="98"/>
      <c r="K64" s="98"/>
      <c r="L64" s="98"/>
    </row>
    <row r="65">
      <c r="A65" s="98" t="str">
        <f>IFERROR(__xludf.DUMMYFUNCTION("""COMPUTED_VALUE"""),"Manager")</f>
        <v>Manager</v>
      </c>
      <c r="B65" s="98" t="str">
        <f>IFERROR(__xludf.DUMMYFUNCTION("""COMPUTED_VALUE"""),"Your task")</f>
        <v>Your task</v>
      </c>
      <c r="C65" s="98" t="str">
        <f>IFERROR(__xludf.DUMMYFUNCTION("""COMPUTED_VALUE"""),"Monitor the progress of the team in repairing the 10 MW lines experiencing signal loss, and urge the partner Mytel to resolve the issue completely.")</f>
        <v>Monitor the progress of the team in repairing the 10 MW lines experiencing signal loss, and urge the partner Mytel to resolve the issue completely.</v>
      </c>
      <c r="D65" s="99">
        <f>IFERROR(__xludf.DUMMYFUNCTION("""COMPUTED_VALUE"""),46195.0)</f>
        <v>46195</v>
      </c>
      <c r="E65" s="99">
        <f>IFERROR(__xludf.DUMMYFUNCTION("""COMPUTED_VALUE"""),46203.0)</f>
        <v>46203</v>
      </c>
      <c r="F65" s="98"/>
      <c r="G65" s="98"/>
      <c r="H65" s="98"/>
      <c r="I65" s="98"/>
      <c r="J65" s="98"/>
      <c r="K65" s="98"/>
      <c r="L65" s="98"/>
    </row>
    <row r="66">
      <c r="A66" s="98" t="str">
        <f>IFERROR(__xludf.DUMMYFUNCTION("""COMPUTED_VALUE"""),"Manager")</f>
        <v>Manager</v>
      </c>
      <c r="B66" s="98" t="str">
        <f>IFERROR(__xludf.DUMMYFUNCTION("""COMPUTED_VALUE"""),"Your task")</f>
        <v>Your task</v>
      </c>
      <c r="C66" s="98" t="str">
        <f>IFERROR(__xludf.DUMMYFUNCTION("""COMPUTED_VALUE"""),"Review the data from the Team Leader and Technical Manager regarding Site, Cable Route, MW, GPON, and DIA, and hand it over to the staff for salary calculation. FOT = 8 Site Units = FT1 + 5 Site Units = Collaborator + 2")</f>
        <v>Review the data from the Team Leader and Technical Manager regarding Site, Cable Route, MW, GPON, and DIA, and hand it over to the staff for salary calculation. FOT = 8 Site Units = FT1 + 5 Site Units = Collaborator + 2</v>
      </c>
      <c r="D66" s="99">
        <f>IFERROR(__xludf.DUMMYFUNCTION("""COMPUTED_VALUE"""),46073.0)</f>
        <v>46073</v>
      </c>
      <c r="E66" s="99">
        <f>IFERROR(__xludf.DUMMYFUNCTION("""COMPUTED_VALUE"""),46103.0)</f>
        <v>46103</v>
      </c>
      <c r="F66" s="98"/>
      <c r="G66" s="98"/>
      <c r="H66" s="98"/>
      <c r="I66" s="98"/>
      <c r="J66" s="98"/>
      <c r="K66" s="98"/>
      <c r="L66" s="98"/>
    </row>
    <row r="67">
      <c r="A67" s="98" t="str">
        <f>IFERROR(__xludf.DUMMYFUNCTION("""COMPUTED_VALUE"""),"Manager")</f>
        <v>Manager</v>
      </c>
      <c r="B67" s="98" t="str">
        <f>IFERROR(__xludf.DUMMYFUNCTION("""COMPUTED_VALUE"""),"Your task")</f>
        <v>Your task</v>
      </c>
      <c r="C67" s="98" t="str">
        <f>IFERROR(__xludf.DUMMYFUNCTION("""COMPUTED_VALUE"""),"Instructions from Team Leader Team 1: Control all tasks within the team.")</f>
        <v>Instructions from Team Leader Team 1: Control all tasks within the team.</v>
      </c>
      <c r="D67" s="99">
        <f>IFERROR(__xludf.DUMMYFUNCTION("""COMPUTED_VALUE"""),46074.0)</f>
        <v>46074</v>
      </c>
      <c r="E67" s="99">
        <f>IFERROR(__xludf.DUMMYFUNCTION("""COMPUTED_VALUE"""),46104.0)</f>
        <v>46104</v>
      </c>
      <c r="F67" s="98"/>
      <c r="G67" s="98"/>
      <c r="H67" s="98"/>
      <c r="I67" s="98"/>
      <c r="J67" s="98"/>
      <c r="K67" s="98"/>
      <c r="L67" s="98"/>
    </row>
    <row r="68">
      <c r="A68" s="98" t="str">
        <f>IFERROR(__xludf.DUMMYFUNCTION("""COMPUTED_VALUE"""),"Manager")</f>
        <v>Manager</v>
      </c>
      <c r="B68" s="98" t="str">
        <f>IFERROR(__xludf.DUMMYFUNCTION("""COMPUTED_VALUE"""),"Your task")</f>
        <v>Your task</v>
      </c>
      <c r="C68" s="98" t="str">
        <f>IFERROR(__xludf.DUMMYFUNCTION("""COMPUTED_VALUE"""),"Support Team 1 in developing solutions to rescue cells that have been down for a long time.")</f>
        <v>Support Team 1 in developing solutions to rescue cells that have been down for a long time.</v>
      </c>
      <c r="D68" s="99">
        <f>IFERROR(__xludf.DUMMYFUNCTION("""COMPUTED_VALUE"""),46075.0)</f>
        <v>46075</v>
      </c>
      <c r="E68" s="99">
        <f>IFERROR(__xludf.DUMMYFUNCTION("""COMPUTED_VALUE"""),46105.0)</f>
        <v>46105</v>
      </c>
      <c r="F68" s="98"/>
      <c r="G68" s="98"/>
      <c r="H68" s="98"/>
      <c r="I68" s="98"/>
      <c r="J68" s="98"/>
      <c r="K68" s="98"/>
      <c r="L68" s="98"/>
    </row>
    <row r="69">
      <c r="A69" s="98" t="str">
        <f>IFERROR(__xludf.DUMMYFUNCTION("""COMPUTED_VALUE"""),"Manager")</f>
        <v>Manager</v>
      </c>
      <c r="B69" s="98" t="str">
        <f>IFERROR(__xludf.DUMMYFUNCTION("""COMPUTED_VALUE"""),"Your task")</f>
        <v>Your task</v>
      </c>
      <c r="C69" s="98" t="str">
        <f>IFERROR(__xludf.DUMMYFUNCTION("""COMPUTED_VALUE"""),"Support Team 1 in restoring long-standing downtime stations.")</f>
        <v>Support Team 1 in restoring long-standing downtime stations.</v>
      </c>
      <c r="D69" s="99">
        <f>IFERROR(__xludf.DUMMYFUNCTION("""COMPUTED_VALUE"""),46076.0)</f>
        <v>46076</v>
      </c>
      <c r="E69" s="99">
        <f>IFERROR(__xludf.DUMMYFUNCTION("""COMPUTED_VALUE"""),46106.0)</f>
        <v>46106</v>
      </c>
      <c r="F69" s="98"/>
      <c r="G69" s="98"/>
      <c r="H69" s="98"/>
      <c r="I69" s="98"/>
      <c r="J69" s="98"/>
      <c r="K69" s="98"/>
      <c r="L69" s="98"/>
    </row>
    <row r="70">
      <c r="A70" s="98" t="str">
        <f>IFERROR(__xludf.DUMMYFUNCTION("""COMPUTED_VALUE"""),"Manager")</f>
        <v>Manager</v>
      </c>
      <c r="B70" s="98" t="str">
        <f>IFERROR(__xludf.DUMMYFUNCTION("""COMPUTED_VALUE"""),"Your task")</f>
        <v>Your task</v>
      </c>
      <c r="C70" s="98" t="str">
        <f>IFERROR(__xludf.DUMMYFUNCTION("""COMPUTED_VALUE"""),"Support Team 1 FT, the team leader understands the information and image updates in the Team 1 folder and how to find the necessary instructions to complete the tasks.")</f>
        <v>Support Team 1 FT, the team leader understands the information and image updates in the Team 1 folder and how to find the necessary instructions to complete the tasks.</v>
      </c>
      <c r="D70" s="99">
        <f>IFERROR(__xludf.DUMMYFUNCTION("""COMPUTED_VALUE"""),46077.0)</f>
        <v>46077</v>
      </c>
      <c r="E70" s="99">
        <f>IFERROR(__xludf.DUMMYFUNCTION("""COMPUTED_VALUE"""),46107.0)</f>
        <v>46107</v>
      </c>
      <c r="F70" s="98"/>
      <c r="G70" s="98"/>
      <c r="H70" s="98"/>
      <c r="I70" s="98"/>
      <c r="J70" s="98"/>
      <c r="K70" s="98"/>
      <c r="L70" s="98"/>
    </row>
    <row r="71">
      <c r="A71" s="98" t="str">
        <f>IFERROR(__xludf.DUMMYFUNCTION("""COMPUTED_VALUE"""),"Manager")</f>
        <v>Manager</v>
      </c>
      <c r="B71" s="98" t="str">
        <f>IFERROR(__xludf.DUMMYFUNCTION("""COMPUTED_VALUE"""),"Your task")</f>
        <v>Your task</v>
      </c>
      <c r="C71" s="98" t="str">
        <f>IFERROR(__xludf.DUMMYFUNCTION("""COMPUTED_VALUE"""),"After the team leader updates the site, cable route, GPON, and DIA data (increases or decreases), the infrastructure handover must be signed with Mytel on the 3rd of each month.")</f>
        <v>After the team leader updates the site, cable route, GPON, and DIA data (increases or decreases), the infrastructure handover must be signed with Mytel on the 3rd of each month.</v>
      </c>
      <c r="D71" s="99">
        <f>IFERROR(__xludf.DUMMYFUNCTION("""COMPUTED_VALUE"""),46078.0)</f>
        <v>46078</v>
      </c>
      <c r="E71" s="99">
        <f>IFERROR(__xludf.DUMMYFUNCTION("""COMPUTED_VALUE"""),46108.0)</f>
        <v>46108</v>
      </c>
      <c r="F71" s="98"/>
      <c r="G71" s="98"/>
      <c r="H71" s="98"/>
      <c r="I71" s="98"/>
      <c r="J71" s="98"/>
      <c r="K71" s="98"/>
      <c r="L71" s="98"/>
    </row>
    <row r="72">
      <c r="A72" s="98" t="str">
        <f>IFERROR(__xludf.DUMMYFUNCTION("""COMPUTED_VALUE"""),"Manager")</f>
        <v>Manager</v>
      </c>
      <c r="B72" s="98" t="str">
        <f>IFERROR(__xludf.DUMMYFUNCTION("""COMPUTED_VALUE"""),"Your task")</f>
        <v>Your task</v>
      </c>
      <c r="C72" s="98" t="str">
        <f>IFERROR(__xludf.DUMMYFUNCTION("""COMPUTED_VALUE"""),"See file 2222. Analyze the downstations and propose short-term and long-term solutions. Assign tasks to the Team Leader to implement the solutions and monitor progress.")</f>
        <v>See file 2222. Analyze the downstations and propose short-term and long-term solutions. Assign tasks to the Team Leader to implement the solutions and monitor progress.</v>
      </c>
      <c r="D72" s="99">
        <f>IFERROR(__xludf.DUMMYFUNCTION("""COMPUTED_VALUE"""),46079.0)</f>
        <v>46079</v>
      </c>
      <c r="E72" s="99">
        <f>IFERROR(__xludf.DUMMYFUNCTION("""COMPUTED_VALUE"""),46109.0)</f>
        <v>46109</v>
      </c>
      <c r="F72" s="98"/>
      <c r="G72" s="98"/>
      <c r="H72" s="98"/>
      <c r="I72" s="98"/>
      <c r="J72" s="98"/>
      <c r="K72" s="98"/>
      <c r="L72" s="98"/>
    </row>
    <row r="73">
      <c r="A73" s="98" t="str">
        <f>IFERROR(__xludf.DUMMYFUNCTION("""COMPUTED_VALUE"""),"Manager")</f>
        <v>Manager</v>
      </c>
      <c r="B73" s="98" t="str">
        <f>IFERROR(__xludf.DUMMYFUNCTION("""COMPUTED_VALUE"""),"Your task")</f>
        <v>Your task</v>
      </c>
      <c r="C73" s="98" t="str">
        <f>IFERROR(__xludf.DUMMYFUNCTION("""COMPUTED_VALUE"""),"The manager assigns tasks to the team and daily checks and monitors the team's progress, ensuring completion and approving completed tasks so the team receives points.")</f>
        <v>The manager assigns tasks to the team and daily checks and monitors the team's progress, ensuring completion and approving completed tasks so the team receives points.</v>
      </c>
      <c r="D73" s="99">
        <f>IFERROR(__xludf.DUMMYFUNCTION("""COMPUTED_VALUE"""),46080.0)</f>
        <v>46080</v>
      </c>
      <c r="E73" s="99">
        <f>IFERROR(__xludf.DUMMYFUNCTION("""COMPUTED_VALUE"""),46110.0)</f>
        <v>46110</v>
      </c>
      <c r="F73" s="98"/>
      <c r="G73" s="98"/>
      <c r="H73" s="98"/>
      <c r="I73" s="98"/>
      <c r="J73" s="98"/>
      <c r="K73" s="98"/>
      <c r="L73" s="98"/>
    </row>
    <row r="74">
      <c r="A74" s="98" t="str">
        <f>IFERROR(__xludf.DUMMYFUNCTION("""COMPUTED_VALUE"""),"Manager")</f>
        <v>Manager</v>
      </c>
      <c r="B74" s="98" t="str">
        <f>IFERROR(__xludf.DUMMYFUNCTION("""COMPUTED_VALUE"""),"Your task")</f>
        <v>Your task</v>
      </c>
      <c r="C74" s="98" t="str">
        <f>IFERROR(__xludf.DUMMYFUNCTION("""COMPUTED_VALUE"""),"Support Team 1 update Task progress if team needs and call Team leader sent plan tomorrow before 20:00 Daily and Call 1 by 1 FT update daily result in telegram")</f>
        <v>Support Team 1 update Task progress if team needs and call Team leader sent plan tomorrow before 20:00 Daily and Call 1 by 1 FT update daily result in telegram</v>
      </c>
      <c r="D74" s="99">
        <f>IFERROR(__xludf.DUMMYFUNCTION("""COMPUTED_VALUE"""),46200.0)</f>
        <v>46200</v>
      </c>
      <c r="E74" s="99">
        <f>IFERROR(__xludf.DUMMYFUNCTION("""COMPUTED_VALUE"""),46234.0)</f>
        <v>46234</v>
      </c>
      <c r="F74" s="98"/>
      <c r="G74" s="98"/>
      <c r="H74" s="98"/>
      <c r="I74" s="98"/>
      <c r="J74" s="98"/>
      <c r="K74" s="98"/>
      <c r="L74" s="98"/>
    </row>
    <row r="75">
      <c r="A75" s="98" t="str">
        <f>IFERROR(__xludf.DUMMYFUNCTION("""COMPUTED_VALUE"""),"PM")</f>
        <v>PM</v>
      </c>
      <c r="B75" s="98" t="str">
        <f>IFERROR(__xludf.DUMMYFUNCTION("""COMPUTED_VALUE"""),"Your task")</f>
        <v>Your task</v>
      </c>
      <c r="C75" s="98" t="str">
        <f>IFERROR(__xludf.DUMMYFUNCTION("""COMPUTED_VALUE"""),"Check 100% of WOs regarding Main and MDG engine maintenance.")</f>
        <v>Check 100% of WOs regarding Main and MDG engine maintenance.</v>
      </c>
      <c r="D75" s="99">
        <f>IFERROR(__xludf.DUMMYFUNCTION("""COMPUTED_VALUE"""),46195.0)</f>
        <v>46195</v>
      </c>
      <c r="E75" s="99">
        <f>IFERROR(__xludf.DUMMYFUNCTION("""COMPUTED_VALUE"""),46203.0)</f>
        <v>46203</v>
      </c>
      <c r="F75" s="98"/>
      <c r="G75" s="98"/>
      <c r="H75" s="98"/>
      <c r="I75" s="98"/>
      <c r="J75" s="98"/>
      <c r="K75" s="98"/>
      <c r="L75" s="98"/>
    </row>
    <row r="76">
      <c r="A76" s="98" t="str">
        <f>IFERROR(__xludf.DUMMYFUNCTION("""COMPUTED_VALUE"""),"PM")</f>
        <v>PM</v>
      </c>
      <c r="B76" s="98" t="str">
        <f>IFERROR(__xludf.DUMMYFUNCTION("""COMPUTED_VALUE"""),"Your task")</f>
        <v>Your task</v>
      </c>
      <c r="C76" s="98" t="str">
        <f>IFERROR(__xludf.DUMMYFUNCTION("""COMPUTED_VALUE"""),"Report WO And Sum assign task at 8:45 and 15:00")</f>
        <v>Report WO And Sum assign task at 8:45 and 15:00</v>
      </c>
      <c r="D76" s="99">
        <f>IFERROR(__xludf.DUMMYFUNCTION("""COMPUTED_VALUE"""),46081.0)</f>
        <v>46081</v>
      </c>
      <c r="E76" s="99">
        <f>IFERROR(__xludf.DUMMYFUNCTION("""COMPUTED_VALUE"""),46111.0)</f>
        <v>46111</v>
      </c>
      <c r="F76" s="98"/>
      <c r="G76" s="98"/>
      <c r="H76" s="98"/>
      <c r="I76" s="98"/>
      <c r="J76" s="98"/>
      <c r="K76" s="98"/>
      <c r="L76" s="98"/>
    </row>
    <row r="77">
      <c r="A77" s="98" t="str">
        <f>IFERROR(__xludf.DUMMYFUNCTION("""COMPUTED_VALUE"""),"PM")</f>
        <v>PM</v>
      </c>
      <c r="B77" s="98" t="str">
        <f>IFERROR(__xludf.DUMMYFUNCTION("""COMPUTED_VALUE"""),"Your task")</f>
        <v>Your task</v>
      </c>
      <c r="C77" s="98" t="str">
        <f>IFERROR(__xludf.DUMMYFUNCTION("""COMPUTED_VALUE"""),"Inspect 100% of the work orders for maintenance at MYTEL, NTD, and TIP Tower stations (30% completion).")</f>
        <v>Inspect 100% of the work orders for maintenance at MYTEL, NTD, and TIP Tower stations (30% completion).</v>
      </c>
      <c r="D77" s="99">
        <f>IFERROR(__xludf.DUMMYFUNCTION("""COMPUTED_VALUE"""),46082.0)</f>
        <v>46082</v>
      </c>
      <c r="E77" s="99">
        <f>IFERROR(__xludf.DUMMYFUNCTION("""COMPUTED_VALUE"""),46112.0)</f>
        <v>46112</v>
      </c>
      <c r="F77" s="98"/>
      <c r="G77" s="98"/>
      <c r="H77" s="98"/>
      <c r="I77" s="98"/>
      <c r="J77" s="98"/>
      <c r="K77" s="98"/>
      <c r="L77" s="98"/>
    </row>
    <row r="78">
      <c r="A78" s="98" t="str">
        <f>IFERROR(__xludf.DUMMYFUNCTION("""COMPUTED_VALUE"""),"PM")</f>
        <v>PM</v>
      </c>
      <c r="B78" s="98" t="str">
        <f>IFERROR(__xludf.DUMMYFUNCTION("""COMPUTED_VALUE"""),"Your task")</f>
        <v>Your task</v>
      </c>
      <c r="C78" s="98" t="str">
        <f>IFERROR(__xludf.DUMMYFUNCTION("""COMPUTED_VALUE"""),"Team leader's responsibilities: Receive WO (Word of Action). No more than 2 days must pass without the CD (Command/Team Leader) receiving the WO.")</f>
        <v>Team leader's responsibilities: Receive WO (Word of Action). No more than 2 days must pass without the CD (Command/Team Leader) receiving the WO.</v>
      </c>
      <c r="D78" s="99">
        <f>IFERROR(__xludf.DUMMYFUNCTION("""COMPUTED_VALUE"""),46082.0)</f>
        <v>46082</v>
      </c>
      <c r="E78" s="99">
        <f>IFERROR(__xludf.DUMMYFUNCTION("""COMPUTED_VALUE"""),46112.0)</f>
        <v>46112</v>
      </c>
      <c r="F78" s="98"/>
      <c r="G78" s="98"/>
      <c r="H78" s="98"/>
      <c r="I78" s="98"/>
      <c r="J78" s="98"/>
      <c r="K78" s="98"/>
      <c r="L78" s="98"/>
    </row>
    <row r="79">
      <c r="A79" s="98" t="str">
        <f>IFERROR(__xludf.DUMMYFUNCTION("""COMPUTED_VALUE"""),"PM")</f>
        <v>PM</v>
      </c>
      <c r="B79" s="98" t="str">
        <f>IFERROR(__xludf.DUMMYFUNCTION("""COMPUTED_VALUE"""),"Your task")</f>
        <v>Your task</v>
      </c>
      <c r="C79" s="98" t="str">
        <f>IFERROR(__xludf.DUMMYFUNCTION("""COMPUTED_VALUE"""),"Manage FT progress within 0 days &gt;5 days, call FT and send a warning if repeated calls are not fulfilled.")</f>
        <v>Manage FT progress within 0 days &gt;5 days, call FT and send a warning if repeated calls are not fulfilled.</v>
      </c>
      <c r="D79" s="99">
        <f>IFERROR(__xludf.DUMMYFUNCTION("""COMPUTED_VALUE"""),46082.0)</f>
        <v>46082</v>
      </c>
      <c r="E79" s="99">
        <f>IFERROR(__xludf.DUMMYFUNCTION("""COMPUTED_VALUE"""),46112.0)</f>
        <v>46112</v>
      </c>
      <c r="F79" s="98"/>
      <c r="G79" s="98"/>
      <c r="H79" s="98"/>
      <c r="I79" s="98"/>
      <c r="J79" s="98"/>
      <c r="K79" s="98"/>
      <c r="L79" s="98"/>
    </row>
    <row r="80">
      <c r="A80" s="98" t="str">
        <f>IFERROR(__xludf.DUMMYFUNCTION("""COMPUTED_VALUE"""),"PM")</f>
        <v>PM</v>
      </c>
      <c r="B80" s="98" t="str">
        <f>IFERROR(__xludf.DUMMYFUNCTION("""COMPUTED_VALUE"""),"Your task")</f>
        <v>Your task</v>
      </c>
      <c r="C80" s="98" t="str">
        <f>IFERROR(__xludf.DUMMYFUNCTION("""COMPUTED_VALUE"""),"Conduct monthly reviews and inventories of TIP, NTD, Splicer, and OTDR power meter supplies.")</f>
        <v>Conduct monthly reviews and inventories of TIP, NTD, Splicer, and OTDR power meter supplies.</v>
      </c>
      <c r="D80" s="99">
        <f>IFERROR(__xludf.DUMMYFUNCTION("""COMPUTED_VALUE"""),46082.0)</f>
        <v>46082</v>
      </c>
      <c r="E80" s="99">
        <f>IFERROR(__xludf.DUMMYFUNCTION("""COMPUTED_VALUE"""),46112.0)</f>
        <v>46112</v>
      </c>
      <c r="F80" s="98"/>
      <c r="G80" s="98"/>
      <c r="H80" s="98"/>
      <c r="I80" s="98"/>
      <c r="J80" s="98"/>
      <c r="K80" s="98"/>
      <c r="L80" s="98"/>
    </row>
    <row r="81">
      <c r="A81" s="98" t="str">
        <f>IFERROR(__xludf.DUMMYFUNCTION("""COMPUTED_VALUE"""),"PM")</f>
        <v>PM</v>
      </c>
      <c r="B81" s="98" t="str">
        <f>IFERROR(__xludf.DUMMYFUNCTION("""COMPUTED_VALUE"""),"Your task")</f>
        <v>Your task</v>
      </c>
      <c r="C81" s="98" t="str">
        <f>IFERROR(__xludf.DUMMYFUNCTION("""COMPUTED_VALUE"""),"The Project Manager receives all Work Orders from the team leader and distributes them to each employee before the 22nd of each month.")</f>
        <v>The Project Manager receives all Work Orders from the team leader and distributes them to each employee before the 22nd of each month.</v>
      </c>
      <c r="D81" s="99">
        <f>IFERROR(__xludf.DUMMYFUNCTION("""COMPUTED_VALUE"""),46082.0)</f>
        <v>46082</v>
      </c>
      <c r="E81" s="99">
        <f>IFERROR(__xludf.DUMMYFUNCTION("""COMPUTED_VALUE"""),46112.0)</f>
        <v>46112</v>
      </c>
      <c r="F81" s="98"/>
      <c r="G81" s="98"/>
      <c r="H81" s="98"/>
      <c r="I81" s="98"/>
      <c r="J81" s="98"/>
      <c r="K81" s="98"/>
      <c r="L81" s="98"/>
    </row>
    <row r="82">
      <c r="A82" s="98" t="str">
        <f>IFERROR(__xludf.DUMMYFUNCTION("""COMPUTED_VALUE"""),"PM")</f>
        <v>PM</v>
      </c>
      <c r="B82" s="98" t="str">
        <f>IFERROR(__xludf.DUMMYFUNCTION("""COMPUTED_VALUE"""),"Your task")</f>
        <v>Your task</v>
      </c>
      <c r="C82" s="98" t="str">
        <f>IFERROR(__xludf.DUMMYFUNCTION("""COMPUTED_VALUE"""),"Support Team 3 update Task progress if team needs and call Team leader sent plan tomorrow before 20:00 Daily and Call 1 by 1 FT update daily result in telegram")</f>
        <v>Support Team 3 update Task progress if team needs and call Team leader sent plan tomorrow before 20:00 Daily and Call 1 by 1 FT update daily result in telegram</v>
      </c>
      <c r="D82" s="99">
        <f>IFERROR(__xludf.DUMMYFUNCTION("""COMPUTED_VALUE"""),46200.0)</f>
        <v>46200</v>
      </c>
      <c r="E82" s="99">
        <f>IFERROR(__xludf.DUMMYFUNCTION("""COMPUTED_VALUE"""),46234.0)</f>
        <v>46234</v>
      </c>
      <c r="F82" s="98"/>
      <c r="G82" s="98"/>
      <c r="H82" s="98"/>
      <c r="I82" s="98"/>
      <c r="J82" s="98"/>
      <c r="K82" s="98"/>
      <c r="L82" s="98"/>
    </row>
    <row r="83">
      <c r="A83" s="98" t="str">
        <f>IFERROR(__xludf.DUMMYFUNCTION("""COMPUTED_VALUE"""),"Transmission")</f>
        <v>Transmission</v>
      </c>
      <c r="B83" s="98" t="str">
        <f>IFERROR(__xludf.DUMMYFUNCTION("""COMPUTED_VALUE"""),"Assign tasks to the team and monitor their progress")</f>
        <v>Assign tasks to the team and monitor their progress</v>
      </c>
      <c r="C83" s="98" t="str">
        <f>IFERROR(__xludf.DUMMYFUNCTION("""COMPUTED_VALUE"""),"The team leader is updating the cable replacement location to reinforce the cable and prevent recurring downtime.")</f>
        <v>The team leader is updating the cable replacement location to reinforce the cable and prevent recurring downtime.</v>
      </c>
      <c r="D83" s="99">
        <f>IFERROR(__xludf.DUMMYFUNCTION("""COMPUTED_VALUE"""),46195.0)</f>
        <v>46195</v>
      </c>
      <c r="E83" s="99">
        <f>IFERROR(__xludf.DUMMYFUNCTION("""COMPUTED_VALUE"""),46203.0)</f>
        <v>46203</v>
      </c>
      <c r="F83" s="98"/>
      <c r="G83" s="98"/>
      <c r="H83" s="98"/>
      <c r="I83" s="98"/>
      <c r="J83" s="98"/>
      <c r="K83" s="98"/>
      <c r="L83" s="98"/>
    </row>
    <row r="84">
      <c r="A84" s="98" t="str">
        <f>IFERROR(__xludf.DUMMYFUNCTION("""COMPUTED_VALUE"""),"Transmission")</f>
        <v>Transmission</v>
      </c>
      <c r="B84" s="98" t="str">
        <f>IFERROR(__xludf.DUMMYFUNCTION("""COMPUTED_VALUE"""),"Assign tasks to the team and monitor their progress")</f>
        <v>Assign tasks to the team and monitor their progress</v>
      </c>
      <c r="C84" s="98" t="str">
        <f>IFERROR(__xludf.DUMMYFUNCTION("""COMPUTED_VALUE"""),"The team is requested to compile a list of locations where cables need replacing.")</f>
        <v>The team is requested to compile a list of locations where cables need replacing.</v>
      </c>
      <c r="D84" s="99">
        <f>IFERROR(__xludf.DUMMYFUNCTION("""COMPUTED_VALUE"""),46171.0)</f>
        <v>46171</v>
      </c>
      <c r="E84" s="99">
        <f>IFERROR(__xludf.DUMMYFUNCTION("""COMPUTED_VALUE"""),46203.0)</f>
        <v>46203</v>
      </c>
      <c r="F84" s="98"/>
      <c r="G84" s="98"/>
      <c r="H84" s="98"/>
      <c r="I84" s="98"/>
      <c r="J84" s="98"/>
      <c r="K84" s="98"/>
      <c r="L84" s="98"/>
    </row>
    <row r="85">
      <c r="A85" s="98" t="str">
        <f>IFERROR(__xludf.DUMMYFUNCTION("""COMPUTED_VALUE"""),"Transmission")</f>
        <v>Transmission</v>
      </c>
      <c r="B85" s="98" t="str">
        <f>IFERROR(__xludf.DUMMYFUNCTION("""COMPUTED_VALUE"""),"Your task")</f>
        <v>Your task</v>
      </c>
      <c r="C85" s="98" t="str">
        <f>IFERROR(__xludf.DUMMYFUNCTION("""COMPUTED_VALUE"""),"Please bring your measuring device to TNI0013, TNI0250 to conduct measurements with the Team to understand the route and the actual situation.")</f>
        <v>Please bring your measuring device to TNI0013, TNI0250 to conduct measurements with the Team to understand the route and the actual situation.</v>
      </c>
      <c r="D85" s="99">
        <f>IFERROR(__xludf.DUMMYFUNCTION("""COMPUTED_VALUE"""),46195.0)</f>
        <v>46195</v>
      </c>
      <c r="E85" s="99">
        <f>IFERROR(__xludf.DUMMYFUNCTION("""COMPUTED_VALUE"""),46203.0)</f>
        <v>46203</v>
      </c>
      <c r="F85" s="98"/>
      <c r="G85" s="98"/>
      <c r="H85" s="98"/>
      <c r="I85" s="98"/>
      <c r="J85" s="98"/>
      <c r="K85" s="98"/>
      <c r="L85" s="98"/>
    </row>
    <row r="86">
      <c r="A86" s="98" t="str">
        <f>IFERROR(__xludf.DUMMYFUNCTION("""COMPUTED_VALUE"""),"Transmission")</f>
        <v>Transmission</v>
      </c>
      <c r="B86" s="98" t="str">
        <f>IFERROR(__xludf.DUMMYFUNCTION("""COMPUTED_VALUE"""),"Your task")</f>
        <v>Your task</v>
      </c>
      <c r="C86" s="98" t="str">
        <f>IFERROR(__xludf.DUMMYFUNCTION("""COMPUTED_VALUE"""),"Support Team 4 update Task progress if team needs and call Team leader sent plan tomorrow before 20:00 Daily and Call 1 by 1 FT update daily result in telegram")</f>
        <v>Support Team 4 update Task progress if team needs and call Team leader sent plan tomorrow before 20:00 Daily and Call 1 by 1 FT update daily result in telegram</v>
      </c>
      <c r="D86" s="99">
        <f>IFERROR(__xludf.DUMMYFUNCTION("""COMPUTED_VALUE"""),46200.0)</f>
        <v>46200</v>
      </c>
      <c r="E86" s="99">
        <f>IFERROR(__xludf.DUMMYFUNCTION("""COMPUTED_VALUE"""),46234.0)</f>
        <v>46234</v>
      </c>
      <c r="F86" s="98"/>
      <c r="G86" s="98"/>
      <c r="H86" s="98"/>
      <c r="I86" s="98"/>
      <c r="J86" s="98"/>
      <c r="K86" s="98"/>
      <c r="L86" s="98"/>
    </row>
    <row r="87">
      <c r="A87" s="98" t="str">
        <f>IFERROR(__xludf.DUMMYFUNCTION("""COMPUTED_VALUE"""),"Manager")</f>
        <v>Manager</v>
      </c>
      <c r="B87" s="98" t="str">
        <f>IFERROR(__xludf.DUMMYFUNCTION("""COMPUTED_VALUE"""),"Your task")</f>
        <v>Your task</v>
      </c>
      <c r="C87" s="98" t="str">
        <f>IFERROR(__xludf.DUMMYFUNCTION("""COMPUTED_VALUE"""),"Update the correct FT station manager to the salary file.")</f>
        <v>Update the correct FT station manager to the salary file.</v>
      </c>
      <c r="D87" s="99">
        <f>IFERROR(__xludf.DUMMYFUNCTION("""COMPUTED_VALUE"""),46200.0)</f>
        <v>46200</v>
      </c>
      <c r="E87" s="99">
        <f>IFERROR(__xludf.DUMMYFUNCTION("""COMPUTED_VALUE"""),46205.0)</f>
        <v>46205</v>
      </c>
      <c r="F87" s="98"/>
      <c r="G87" s="98"/>
      <c r="H87" s="98"/>
      <c r="I87" s="98"/>
      <c r="J87" s="98"/>
      <c r="K87" s="98"/>
      <c r="L87" s="98"/>
    </row>
    <row r="88">
      <c r="A88" s="98" t="str">
        <f>IFERROR(__xludf.DUMMYFUNCTION("""COMPUTED_VALUE"""),"Manager")</f>
        <v>Manager</v>
      </c>
      <c r="B88" s="98" t="str">
        <f>IFERROR(__xludf.DUMMYFUNCTION("""COMPUTED_VALUE"""),"Your task")</f>
        <v>Your task</v>
      </c>
      <c r="C88" s="98" t="str">
        <f>IFERROR(__xludf.DUMMYFUNCTION("""COMPUTED_VALUE"""),"Update the database in the CNOC file so that employees can see the number of cable stations assigned to the system. Find the accounts of employees who have left the company and assign them to new employees. Specify which accounts are temporarily used by w"&amp;"hich employees, and record this information in the CNOC file.")</f>
        <v>Update the database in the CNOC file so that employees can see the number of cable stations assigned to the system. Find the accounts of employees who have left the company and assign them to new employees. Specify which accounts are temporarily used by which employees, and record this information in the CNOC file.</v>
      </c>
      <c r="D88" s="99">
        <f>IFERROR(__xludf.DUMMYFUNCTION("""COMPUTED_VALUE"""),46204.0)</f>
        <v>46204</v>
      </c>
      <c r="E88" s="99">
        <f>IFERROR(__xludf.DUMMYFUNCTION("""COMPUTED_VALUE"""),46206.0)</f>
        <v>46206</v>
      </c>
      <c r="F88" s="98"/>
      <c r="G88" s="98"/>
      <c r="H88" s="98"/>
      <c r="I88" s="98"/>
      <c r="J88" s="98"/>
      <c r="K88" s="98"/>
      <c r="L88" s="98"/>
    </row>
    <row r="89">
      <c r="A89" s="98" t="str">
        <f>IFERROR(__xludf.DUMMYFUNCTION("""COMPUTED_VALUE"""),"Manager")</f>
        <v>Manager</v>
      </c>
      <c r="B89" s="98" t="str">
        <f>IFERROR(__xludf.DUMMYFUNCTION("""COMPUTED_VALUE"""),"Your task")</f>
        <v>Your task</v>
      </c>
      <c r="C89" s="98" t="str">
        <f>IFERROR(__xludf.DUMMYFUNCTION("""COMPUTED_VALUE"""),"Track the progress of purchasing air conditioners for the Main Node, keep track of the quantity, and plan which stations will be installed on which dates.")</f>
        <v>Track the progress of purchasing air conditioners for the Main Node, keep track of the quantity, and plan which stations will be installed on which dates.</v>
      </c>
      <c r="D89" s="99">
        <f>IFERROR(__xludf.DUMMYFUNCTION("""COMPUTED_VALUE"""),46204.0)</f>
        <v>46204</v>
      </c>
      <c r="E89" s="99">
        <f>IFERROR(__xludf.DUMMYFUNCTION("""COMPUTED_VALUE"""),46213.0)</f>
        <v>46213</v>
      </c>
      <c r="F89" s="98"/>
      <c r="G89" s="98"/>
      <c r="H89" s="98"/>
      <c r="I89" s="98"/>
      <c r="J89" s="98"/>
      <c r="K89" s="98"/>
      <c r="L89" s="98"/>
    </row>
    <row r="90">
      <c r="A90" s="98" t="str">
        <f>IFERROR(__xludf.DUMMYFUNCTION("""COMPUTED_VALUE"""),"Manager")</f>
        <v>Manager</v>
      </c>
      <c r="B90" s="98" t="str">
        <f>IFERROR(__xludf.DUMMYFUNCTION("""COMPUTED_VALUE"""),"Your task")</f>
        <v>Your task</v>
      </c>
      <c r="C90" s="98" t="str">
        <f>IFERROR(__xludf.DUMMYFUNCTION("""COMPUTED_VALUE"""),"Control Team Daily rescue site down for long time: TNI0394. TNI0148 list site. See Telegram group for site downtime (&gt; 24 hours). Please remind the team daily.")</f>
        <v>Control Team Daily rescue site down for long time: TNI0394. TNI0148 list site. See Telegram group for site downtime (&gt; 24 hours). Please remind the team daily.</v>
      </c>
      <c r="D90" s="99">
        <f>IFERROR(__xludf.DUMMYFUNCTION("""COMPUTED_VALUE"""),46204.0)</f>
        <v>46204</v>
      </c>
      <c r="E90" s="99">
        <f>IFERROR(__xludf.DUMMYFUNCTION("""COMPUTED_VALUE"""),46213.0)</f>
        <v>46213</v>
      </c>
      <c r="F90" s="98"/>
      <c r="G90" s="98"/>
      <c r="H90" s="98"/>
      <c r="I90" s="98"/>
      <c r="J90" s="98"/>
      <c r="K90" s="98"/>
      <c r="L90" s="98"/>
    </row>
    <row r="91">
      <c r="A91" s="98"/>
      <c r="B91" s="98" t="str">
        <f>IFERROR(__xludf.DUMMYFUNCTION("""COMPUTED_VALUE"""),"Your task")</f>
        <v>Your task</v>
      </c>
      <c r="C91" s="98" t="str">
        <f>IFERROR(__xludf.DUMMYFUNCTION("""COMPUTED_VALUE"""),"-")</f>
        <v>-</v>
      </c>
      <c r="D91" s="98"/>
      <c r="E91" s="98"/>
      <c r="F91" s="100">
        <f>IFERROR(__xludf.DUMMYFUNCTION("""COMPUTED_VALUE"""),0.0)</f>
        <v>0</v>
      </c>
      <c r="G91" s="98"/>
      <c r="H91" s="98"/>
      <c r="I91" s="98"/>
      <c r="J91" s="98"/>
      <c r="K91" s="98"/>
      <c r="L91" s="98"/>
    </row>
    <row r="92">
      <c r="A92" s="98"/>
      <c r="B92" s="98"/>
      <c r="C92" s="98" t="str">
        <f>IFERROR(__xludf.DUMMYFUNCTION("""COMPUTED_VALUE"""),"-")</f>
        <v>-</v>
      </c>
      <c r="D92" s="98"/>
      <c r="E92" s="98"/>
      <c r="F92" s="100">
        <f>IFERROR(__xludf.DUMMYFUNCTION("""COMPUTED_VALUE"""),0.0)</f>
        <v>0</v>
      </c>
      <c r="G92" s="98"/>
      <c r="H92" s="98"/>
      <c r="I92" s="98"/>
      <c r="J92" s="98"/>
      <c r="K92" s="98"/>
      <c r="L92" s="98"/>
    </row>
    <row r="93">
      <c r="A93" s="98"/>
      <c r="B93" s="98"/>
      <c r="C93" s="98" t="str">
        <f>IFERROR(__xludf.DUMMYFUNCTION("""COMPUTED_VALUE"""),"-")</f>
        <v>-</v>
      </c>
      <c r="D93" s="98"/>
      <c r="E93" s="98"/>
      <c r="F93" s="100">
        <f>IFERROR(__xludf.DUMMYFUNCTION("""COMPUTED_VALUE"""),0.0)</f>
        <v>0</v>
      </c>
      <c r="G93" s="98"/>
      <c r="H93" s="98"/>
      <c r="I93" s="98"/>
      <c r="J93" s="98"/>
      <c r="K93" s="98"/>
      <c r="L93" s="98"/>
    </row>
    <row r="94">
      <c r="A94" s="98"/>
      <c r="B94" s="98"/>
      <c r="C94" s="98" t="str">
        <f>IFERROR(__xludf.DUMMYFUNCTION("""COMPUTED_VALUE"""),"-")</f>
        <v>-</v>
      </c>
      <c r="D94" s="98"/>
      <c r="E94" s="98"/>
      <c r="F94" s="100">
        <f>IFERROR(__xludf.DUMMYFUNCTION("""COMPUTED_VALUE"""),0.0)</f>
        <v>0</v>
      </c>
      <c r="G94" s="98"/>
      <c r="H94" s="98"/>
      <c r="I94" s="98"/>
      <c r="J94" s="98"/>
      <c r="K94" s="98"/>
      <c r="L94" s="98"/>
    </row>
    <row r="95">
      <c r="A95" s="98"/>
      <c r="B95" s="98"/>
      <c r="C95" s="98" t="str">
        <f>IFERROR(__xludf.DUMMYFUNCTION("""COMPUTED_VALUE"""),"-")</f>
        <v>-</v>
      </c>
      <c r="D95" s="98"/>
      <c r="E95" s="98"/>
      <c r="F95" s="100">
        <f>IFERROR(__xludf.DUMMYFUNCTION("""COMPUTED_VALUE"""),0.0)</f>
        <v>0</v>
      </c>
      <c r="G95" s="98"/>
      <c r="H95" s="98"/>
      <c r="I95" s="98"/>
      <c r="J95" s="98"/>
      <c r="K95" s="98"/>
      <c r="L95" s="98"/>
    </row>
    <row r="96">
      <c r="A96" s="98"/>
      <c r="B96" s="98"/>
      <c r="C96" s="98" t="str">
        <f>IFERROR(__xludf.DUMMYFUNCTION("""COMPUTED_VALUE"""),"-")</f>
        <v>-</v>
      </c>
      <c r="D96" s="98"/>
      <c r="E96" s="98"/>
      <c r="F96" s="100">
        <f>IFERROR(__xludf.DUMMYFUNCTION("""COMPUTED_VALUE"""),0.0)</f>
        <v>0</v>
      </c>
      <c r="G96" s="98"/>
      <c r="H96" s="98"/>
      <c r="I96" s="98"/>
      <c r="J96" s="98"/>
      <c r="K96" s="98"/>
      <c r="L96" s="98"/>
    </row>
    <row r="97">
      <c r="A97" s="98"/>
      <c r="B97" s="98"/>
      <c r="C97" s="98" t="str">
        <f>IFERROR(__xludf.DUMMYFUNCTION("""COMPUTED_VALUE"""),"-")</f>
        <v>-</v>
      </c>
      <c r="D97" s="98"/>
      <c r="E97" s="98"/>
      <c r="F97" s="100">
        <f>IFERROR(__xludf.DUMMYFUNCTION("""COMPUTED_VALUE"""),0.0)</f>
        <v>0</v>
      </c>
      <c r="G97" s="98"/>
      <c r="H97" s="98"/>
      <c r="I97" s="98"/>
      <c r="J97" s="98"/>
      <c r="K97" s="98"/>
      <c r="L97" s="98"/>
    </row>
    <row r="98">
      <c r="A98" s="98"/>
      <c r="B98" s="98"/>
      <c r="C98" s="98" t="str">
        <f>IFERROR(__xludf.DUMMYFUNCTION("""COMPUTED_VALUE"""),"-")</f>
        <v>-</v>
      </c>
      <c r="D98" s="98"/>
      <c r="E98" s="98"/>
      <c r="F98" s="100">
        <f>IFERROR(__xludf.DUMMYFUNCTION("""COMPUTED_VALUE"""),0.0)</f>
        <v>0</v>
      </c>
      <c r="G98" s="98"/>
      <c r="H98" s="98"/>
      <c r="I98" s="98"/>
      <c r="J98" s="98"/>
      <c r="K98" s="98"/>
      <c r="L98" s="98"/>
    </row>
    <row r="99">
      <c r="A99" s="98"/>
      <c r="B99" s="98"/>
      <c r="C99" s="98" t="str">
        <f>IFERROR(__xludf.DUMMYFUNCTION("""COMPUTED_VALUE"""),"-")</f>
        <v>-</v>
      </c>
      <c r="D99" s="98"/>
      <c r="E99" s="98"/>
      <c r="F99" s="100">
        <f>IFERROR(__xludf.DUMMYFUNCTION("""COMPUTED_VALUE"""),0.0)</f>
        <v>0</v>
      </c>
      <c r="G99" s="98"/>
      <c r="H99" s="98"/>
      <c r="I99" s="98"/>
      <c r="J99" s="98"/>
      <c r="K99" s="98"/>
      <c r="L99" s="98"/>
    </row>
    <row r="100">
      <c r="A100" s="98"/>
      <c r="B100" s="98"/>
      <c r="C100" s="98" t="str">
        <f>IFERROR(__xludf.DUMMYFUNCTION("""COMPUTED_VALUE"""),"-")</f>
        <v>-</v>
      </c>
      <c r="D100" s="98"/>
      <c r="E100" s="98"/>
      <c r="F100" s="100">
        <f>IFERROR(__xludf.DUMMYFUNCTION("""COMPUTED_VALUE"""),0.0)</f>
        <v>0</v>
      </c>
      <c r="G100" s="98"/>
      <c r="H100" s="98"/>
      <c r="I100" s="98"/>
      <c r="J100" s="98"/>
      <c r="K100" s="98"/>
      <c r="L100" s="98"/>
    </row>
    <row r="101">
      <c r="A101" s="98"/>
      <c r="B101" s="98"/>
      <c r="C101" s="98" t="str">
        <f>IFERROR(__xludf.DUMMYFUNCTION("""COMPUTED_VALUE"""),"-")</f>
        <v>-</v>
      </c>
      <c r="D101" s="98"/>
      <c r="E101" s="98"/>
      <c r="F101" s="100">
        <f>IFERROR(__xludf.DUMMYFUNCTION("""COMPUTED_VALUE"""),0.0)</f>
        <v>0</v>
      </c>
      <c r="G101" s="98"/>
      <c r="H101" s="98"/>
      <c r="I101" s="98"/>
      <c r="J101" s="98"/>
      <c r="K101" s="98"/>
      <c r="L101" s="98"/>
    </row>
    <row r="102">
      <c r="A102" s="98"/>
      <c r="B102" s="98"/>
      <c r="C102" s="98" t="str">
        <f>IFERROR(__xludf.DUMMYFUNCTION("""COMPUTED_VALUE"""),"-")</f>
        <v>-</v>
      </c>
      <c r="D102" s="98"/>
      <c r="E102" s="98"/>
      <c r="F102" s="100">
        <f>IFERROR(__xludf.DUMMYFUNCTION("""COMPUTED_VALUE"""),0.0)</f>
        <v>0</v>
      </c>
      <c r="G102" s="98"/>
      <c r="H102" s="98"/>
      <c r="I102" s="98"/>
      <c r="J102" s="98"/>
      <c r="K102" s="98"/>
      <c r="L102" s="98"/>
    </row>
    <row r="103">
      <c r="A103" s="98"/>
      <c r="B103" s="98"/>
      <c r="C103" s="98" t="str">
        <f>IFERROR(__xludf.DUMMYFUNCTION("""COMPUTED_VALUE"""),"-")</f>
        <v>-</v>
      </c>
      <c r="D103" s="98"/>
      <c r="E103" s="98"/>
      <c r="F103" s="100">
        <f>IFERROR(__xludf.DUMMYFUNCTION("""COMPUTED_VALUE"""),0.0)</f>
        <v>0</v>
      </c>
      <c r="G103" s="98"/>
      <c r="H103" s="98"/>
      <c r="I103" s="98"/>
      <c r="J103" s="98"/>
      <c r="K103" s="98"/>
      <c r="L103" s="98"/>
    </row>
    <row r="104">
      <c r="A104" s="98"/>
      <c r="B104" s="98"/>
      <c r="C104" s="98" t="str">
        <f>IFERROR(__xludf.DUMMYFUNCTION("""COMPUTED_VALUE"""),"-")</f>
        <v>-</v>
      </c>
      <c r="D104" s="98"/>
      <c r="E104" s="98"/>
      <c r="F104" s="100">
        <f>IFERROR(__xludf.DUMMYFUNCTION("""COMPUTED_VALUE"""),0.0)</f>
        <v>0</v>
      </c>
      <c r="G104" s="98"/>
      <c r="H104" s="98"/>
      <c r="I104" s="98"/>
      <c r="J104" s="98"/>
      <c r="K104" s="98"/>
      <c r="L104" s="98"/>
    </row>
    <row r="105">
      <c r="A105" s="98"/>
      <c r="B105" s="98"/>
      <c r="C105" s="98" t="str">
        <f>IFERROR(__xludf.DUMMYFUNCTION("""COMPUTED_VALUE"""),"-")</f>
        <v>-</v>
      </c>
      <c r="D105" s="98"/>
      <c r="E105" s="98"/>
      <c r="F105" s="100">
        <f>IFERROR(__xludf.DUMMYFUNCTION("""COMPUTED_VALUE"""),0.0)</f>
        <v>0</v>
      </c>
      <c r="G105" s="98"/>
      <c r="H105" s="98"/>
      <c r="I105" s="98"/>
      <c r="J105" s="98"/>
      <c r="K105" s="98"/>
      <c r="L105" s="98"/>
    </row>
    <row r="106">
      <c r="A106" s="98"/>
      <c r="B106" s="98"/>
      <c r="C106" s="98" t="str">
        <f>IFERROR(__xludf.DUMMYFUNCTION("""COMPUTED_VALUE"""),"-")</f>
        <v>-</v>
      </c>
      <c r="D106" s="98"/>
      <c r="E106" s="98"/>
      <c r="F106" s="100">
        <f>IFERROR(__xludf.DUMMYFUNCTION("""COMPUTED_VALUE"""),0.0)</f>
        <v>0</v>
      </c>
      <c r="G106" s="98"/>
      <c r="H106" s="98"/>
      <c r="I106" s="98"/>
      <c r="J106" s="98"/>
      <c r="K106" s="98"/>
      <c r="L106" s="98"/>
    </row>
    <row r="107">
      <c r="A107" s="98"/>
      <c r="B107" s="98"/>
      <c r="C107" s="98" t="str">
        <f>IFERROR(__xludf.DUMMYFUNCTION("""COMPUTED_VALUE"""),"-")</f>
        <v>-</v>
      </c>
      <c r="D107" s="98"/>
      <c r="E107" s="98"/>
      <c r="F107" s="100">
        <f>IFERROR(__xludf.DUMMYFUNCTION("""COMPUTED_VALUE"""),0.0)</f>
        <v>0</v>
      </c>
      <c r="G107" s="98"/>
      <c r="H107" s="98"/>
      <c r="I107" s="98"/>
      <c r="J107" s="98"/>
      <c r="K107" s="98"/>
      <c r="L107" s="98"/>
    </row>
    <row r="108">
      <c r="A108" s="98"/>
      <c r="B108" s="98"/>
      <c r="C108" s="98" t="str">
        <f>IFERROR(__xludf.DUMMYFUNCTION("""COMPUTED_VALUE"""),"-")</f>
        <v>-</v>
      </c>
      <c r="D108" s="98"/>
      <c r="E108" s="98"/>
      <c r="F108" s="100">
        <f>IFERROR(__xludf.DUMMYFUNCTION("""COMPUTED_VALUE"""),0.0)</f>
        <v>0</v>
      </c>
      <c r="G108" s="98"/>
      <c r="H108" s="98"/>
      <c r="I108" s="98"/>
      <c r="J108" s="98"/>
      <c r="K108" s="98"/>
      <c r="L108" s="98"/>
    </row>
    <row r="109">
      <c r="A109" s="98"/>
      <c r="B109" s="98"/>
      <c r="C109" s="98" t="str">
        <f>IFERROR(__xludf.DUMMYFUNCTION("""COMPUTED_VALUE"""),"-")</f>
        <v>-</v>
      </c>
      <c r="D109" s="98"/>
      <c r="E109" s="98"/>
      <c r="F109" s="100">
        <f>IFERROR(__xludf.DUMMYFUNCTION("""COMPUTED_VALUE"""),0.0)</f>
        <v>0</v>
      </c>
      <c r="G109" s="98"/>
      <c r="H109" s="98"/>
      <c r="I109" s="98"/>
      <c r="J109" s="98"/>
      <c r="K109" s="98"/>
      <c r="L109" s="98"/>
    </row>
    <row r="110">
      <c r="A110" s="98"/>
      <c r="B110" s="98"/>
      <c r="C110" s="98" t="str">
        <f>IFERROR(__xludf.DUMMYFUNCTION("""COMPUTED_VALUE"""),"-")</f>
        <v>-</v>
      </c>
      <c r="D110" s="98"/>
      <c r="E110" s="98"/>
      <c r="F110" s="100">
        <f>IFERROR(__xludf.DUMMYFUNCTION("""COMPUTED_VALUE"""),0.0)</f>
        <v>0</v>
      </c>
      <c r="G110" s="98"/>
      <c r="H110" s="98"/>
      <c r="I110" s="98"/>
      <c r="J110" s="98"/>
      <c r="K110" s="98"/>
      <c r="L110" s="98"/>
    </row>
    <row r="111">
      <c r="A111" s="98"/>
      <c r="B111" s="98"/>
      <c r="C111" s="98" t="str">
        <f>IFERROR(__xludf.DUMMYFUNCTION("""COMPUTED_VALUE"""),"-")</f>
        <v>-</v>
      </c>
      <c r="D111" s="98"/>
      <c r="E111" s="98"/>
      <c r="F111" s="100">
        <f>IFERROR(__xludf.DUMMYFUNCTION("""COMPUTED_VALUE"""),0.0)</f>
        <v>0</v>
      </c>
      <c r="G111" s="98"/>
      <c r="H111" s="98"/>
      <c r="I111" s="98"/>
      <c r="J111" s="98"/>
      <c r="K111" s="98"/>
      <c r="L111" s="98"/>
    </row>
    <row r="112">
      <c r="A112" s="98"/>
      <c r="B112" s="98"/>
      <c r="C112" s="98" t="str">
        <f>IFERROR(__xludf.DUMMYFUNCTION("""COMPUTED_VALUE"""),"-")</f>
        <v>-</v>
      </c>
      <c r="D112" s="98"/>
      <c r="E112" s="98"/>
      <c r="F112" s="100">
        <f>IFERROR(__xludf.DUMMYFUNCTION("""COMPUTED_VALUE"""),0.0)</f>
        <v>0</v>
      </c>
      <c r="G112" s="98"/>
      <c r="H112" s="98"/>
      <c r="I112" s="98"/>
      <c r="J112" s="98"/>
      <c r="K112" s="98"/>
      <c r="L112" s="98"/>
    </row>
    <row r="113">
      <c r="A113" s="98"/>
      <c r="B113" s="98"/>
      <c r="C113" s="98" t="str">
        <f>IFERROR(__xludf.DUMMYFUNCTION("""COMPUTED_VALUE"""),"-")</f>
        <v>-</v>
      </c>
      <c r="D113" s="98"/>
      <c r="E113" s="98"/>
      <c r="F113" s="100">
        <f>IFERROR(__xludf.DUMMYFUNCTION("""COMPUTED_VALUE"""),0.0)</f>
        <v>0</v>
      </c>
      <c r="G113" s="98"/>
      <c r="H113" s="98"/>
      <c r="I113" s="98"/>
      <c r="J113" s="98"/>
      <c r="K113" s="98"/>
      <c r="L113" s="98"/>
    </row>
    <row r="114">
      <c r="A114" s="98"/>
      <c r="B114" s="98"/>
      <c r="C114" s="98" t="str">
        <f>IFERROR(__xludf.DUMMYFUNCTION("""COMPUTED_VALUE"""),"-")</f>
        <v>-</v>
      </c>
      <c r="D114" s="98"/>
      <c r="E114" s="98"/>
      <c r="F114" s="100">
        <f>IFERROR(__xludf.DUMMYFUNCTION("""COMPUTED_VALUE"""),0.0)</f>
        <v>0</v>
      </c>
      <c r="G114" s="98"/>
      <c r="H114" s="98"/>
      <c r="I114" s="98"/>
      <c r="J114" s="98"/>
      <c r="K114" s="98"/>
      <c r="L114" s="98"/>
    </row>
    <row r="115">
      <c r="A115" s="98"/>
      <c r="B115" s="98"/>
      <c r="C115" s="98" t="str">
        <f>IFERROR(__xludf.DUMMYFUNCTION("""COMPUTED_VALUE"""),"-")</f>
        <v>-</v>
      </c>
      <c r="D115" s="98"/>
      <c r="E115" s="98"/>
      <c r="F115" s="100">
        <f>IFERROR(__xludf.DUMMYFUNCTION("""COMPUTED_VALUE"""),0.0)</f>
        <v>0</v>
      </c>
      <c r="G115" s="98"/>
      <c r="H115" s="98"/>
      <c r="I115" s="98"/>
      <c r="J115" s="98"/>
      <c r="K115" s="98"/>
      <c r="L115" s="98"/>
    </row>
    <row r="116">
      <c r="A116" s="98"/>
      <c r="B116" s="98"/>
      <c r="C116" s="98" t="str">
        <f>IFERROR(__xludf.DUMMYFUNCTION("""COMPUTED_VALUE"""),"-")</f>
        <v>-</v>
      </c>
      <c r="D116" s="98"/>
      <c r="E116" s="98"/>
      <c r="F116" s="100">
        <f>IFERROR(__xludf.DUMMYFUNCTION("""COMPUTED_VALUE"""),0.0)</f>
        <v>0</v>
      </c>
      <c r="G116" s="98"/>
      <c r="H116" s="98"/>
      <c r="I116" s="98"/>
      <c r="J116" s="98"/>
      <c r="K116" s="98"/>
      <c r="L116" s="98"/>
    </row>
    <row r="117">
      <c r="A117" s="98"/>
      <c r="B117" s="98"/>
      <c r="C117" s="98" t="str">
        <f>IFERROR(__xludf.DUMMYFUNCTION("""COMPUTED_VALUE"""),"-")</f>
        <v>-</v>
      </c>
      <c r="D117" s="98"/>
      <c r="E117" s="98"/>
      <c r="F117" s="100">
        <f>IFERROR(__xludf.DUMMYFUNCTION("""COMPUTED_VALUE"""),0.0)</f>
        <v>0</v>
      </c>
      <c r="G117" s="98"/>
      <c r="H117" s="98"/>
      <c r="I117" s="98"/>
      <c r="J117" s="98"/>
      <c r="K117" s="98"/>
      <c r="L117" s="98"/>
    </row>
    <row r="118">
      <c r="A118" s="98"/>
      <c r="B118" s="98"/>
      <c r="C118" s="98" t="str">
        <f>IFERROR(__xludf.DUMMYFUNCTION("""COMPUTED_VALUE"""),"-")</f>
        <v>-</v>
      </c>
      <c r="D118" s="98"/>
      <c r="E118" s="98"/>
      <c r="F118" s="100">
        <f>IFERROR(__xludf.DUMMYFUNCTION("""COMPUTED_VALUE"""),0.0)</f>
        <v>0</v>
      </c>
      <c r="G118" s="98"/>
      <c r="H118" s="98"/>
      <c r="I118" s="98"/>
      <c r="J118" s="98"/>
      <c r="K118" s="98"/>
      <c r="L118" s="98"/>
    </row>
    <row r="119">
      <c r="A119" s="98"/>
      <c r="B119" s="98"/>
      <c r="C119" s="98" t="str">
        <f>IFERROR(__xludf.DUMMYFUNCTION("""COMPUTED_VALUE"""),"-")</f>
        <v>-</v>
      </c>
      <c r="D119" s="98"/>
      <c r="E119" s="98"/>
      <c r="F119" s="100">
        <f>IFERROR(__xludf.DUMMYFUNCTION("""COMPUTED_VALUE"""),0.0)</f>
        <v>0</v>
      </c>
      <c r="G119" s="98"/>
      <c r="H119" s="98"/>
      <c r="I119" s="98"/>
      <c r="J119" s="98"/>
      <c r="K119" s="98"/>
      <c r="L119" s="98"/>
    </row>
    <row r="120">
      <c r="A120" s="98"/>
      <c r="B120" s="98"/>
      <c r="C120" s="98" t="str">
        <f>IFERROR(__xludf.DUMMYFUNCTION("""COMPUTED_VALUE"""),"-")</f>
        <v>-</v>
      </c>
      <c r="D120" s="98"/>
      <c r="E120" s="98"/>
      <c r="F120" s="100">
        <f>IFERROR(__xludf.DUMMYFUNCTION("""COMPUTED_VALUE"""),0.0)</f>
        <v>0</v>
      </c>
      <c r="G120" s="98"/>
      <c r="H120" s="98"/>
      <c r="I120" s="98"/>
      <c r="J120" s="98"/>
      <c r="K120" s="98"/>
      <c r="L120" s="98"/>
    </row>
    <row r="121">
      <c r="A121" s="98"/>
      <c r="B121" s="98"/>
      <c r="C121" s="98" t="str">
        <f>IFERROR(__xludf.DUMMYFUNCTION("""COMPUTED_VALUE"""),"-")</f>
        <v>-</v>
      </c>
      <c r="D121" s="98"/>
      <c r="E121" s="98"/>
      <c r="F121" s="100">
        <f>IFERROR(__xludf.DUMMYFUNCTION("""COMPUTED_VALUE"""),0.0)</f>
        <v>0</v>
      </c>
      <c r="G121" s="98"/>
      <c r="H121" s="98"/>
      <c r="I121" s="98"/>
      <c r="J121" s="98"/>
      <c r="K121" s="98"/>
      <c r="L121" s="98"/>
    </row>
    <row r="122">
      <c r="A122" s="98"/>
      <c r="B122" s="98"/>
      <c r="C122" s="98" t="str">
        <f>IFERROR(__xludf.DUMMYFUNCTION("""COMPUTED_VALUE"""),"-")</f>
        <v>-</v>
      </c>
      <c r="D122" s="98"/>
      <c r="E122" s="98"/>
      <c r="F122" s="100">
        <f>IFERROR(__xludf.DUMMYFUNCTION("""COMPUTED_VALUE"""),0.0)</f>
        <v>0</v>
      </c>
      <c r="G122" s="98"/>
      <c r="H122" s="98"/>
      <c r="I122" s="98"/>
      <c r="J122" s="98"/>
      <c r="K122" s="98"/>
      <c r="L122" s="98"/>
    </row>
    <row r="123">
      <c r="A123" s="98"/>
      <c r="B123" s="98"/>
      <c r="C123" s="98" t="str">
        <f>IFERROR(__xludf.DUMMYFUNCTION("""COMPUTED_VALUE"""),"-")</f>
        <v>-</v>
      </c>
      <c r="D123" s="98"/>
      <c r="E123" s="98"/>
      <c r="F123" s="100">
        <f>IFERROR(__xludf.DUMMYFUNCTION("""COMPUTED_VALUE"""),0.0)</f>
        <v>0</v>
      </c>
      <c r="G123" s="98"/>
      <c r="H123" s="98"/>
      <c r="I123" s="98"/>
      <c r="J123" s="98"/>
      <c r="K123" s="98"/>
      <c r="L123" s="98"/>
    </row>
    <row r="124">
      <c r="A124" s="98"/>
      <c r="B124" s="98"/>
      <c r="C124" s="98" t="str">
        <f>IFERROR(__xludf.DUMMYFUNCTION("""COMPUTED_VALUE"""),"-")</f>
        <v>-</v>
      </c>
      <c r="D124" s="98"/>
      <c r="E124" s="98"/>
      <c r="F124" s="100">
        <f>IFERROR(__xludf.DUMMYFUNCTION("""COMPUTED_VALUE"""),0.0)</f>
        <v>0</v>
      </c>
      <c r="G124" s="98"/>
      <c r="H124" s="98"/>
      <c r="I124" s="98"/>
      <c r="J124" s="98"/>
      <c r="K124" s="98"/>
      <c r="L124" s="98"/>
    </row>
    <row r="125">
      <c r="A125" s="98"/>
      <c r="B125" s="98"/>
      <c r="C125" s="98" t="str">
        <f>IFERROR(__xludf.DUMMYFUNCTION("""COMPUTED_VALUE"""),"-")</f>
        <v>-</v>
      </c>
      <c r="D125" s="98"/>
      <c r="E125" s="98"/>
      <c r="F125" s="100">
        <f>IFERROR(__xludf.DUMMYFUNCTION("""COMPUTED_VALUE"""),0.0)</f>
        <v>0</v>
      </c>
      <c r="G125" s="98"/>
      <c r="H125" s="98"/>
      <c r="I125" s="98"/>
      <c r="J125" s="98"/>
      <c r="K125" s="98"/>
      <c r="L125" s="98"/>
    </row>
    <row r="126">
      <c r="A126" s="98"/>
      <c r="B126" s="98"/>
      <c r="C126" s="98" t="str">
        <f>IFERROR(__xludf.DUMMYFUNCTION("""COMPUTED_VALUE"""),"-")</f>
        <v>-</v>
      </c>
      <c r="D126" s="98"/>
      <c r="E126" s="98"/>
      <c r="F126" s="100">
        <f>IFERROR(__xludf.DUMMYFUNCTION("""COMPUTED_VALUE"""),0.0)</f>
        <v>0</v>
      </c>
      <c r="G126" s="98"/>
      <c r="H126" s="98"/>
      <c r="I126" s="98"/>
      <c r="J126" s="98"/>
      <c r="K126" s="98"/>
      <c r="L126" s="98"/>
    </row>
    <row r="127">
      <c r="A127" s="98"/>
      <c r="B127" s="98"/>
      <c r="C127" s="98" t="str">
        <f>IFERROR(__xludf.DUMMYFUNCTION("""COMPUTED_VALUE"""),"-")</f>
        <v>-</v>
      </c>
      <c r="D127" s="98"/>
      <c r="E127" s="98"/>
      <c r="F127" s="100">
        <f>IFERROR(__xludf.DUMMYFUNCTION("""COMPUTED_VALUE"""),0.0)</f>
        <v>0</v>
      </c>
      <c r="G127" s="98"/>
      <c r="H127" s="98"/>
      <c r="I127" s="98"/>
      <c r="J127" s="98"/>
      <c r="K127" s="98"/>
      <c r="L127" s="98"/>
    </row>
    <row r="128">
      <c r="A128" s="98"/>
      <c r="B128" s="98"/>
      <c r="C128" s="98" t="str">
        <f>IFERROR(__xludf.DUMMYFUNCTION("""COMPUTED_VALUE"""),"-")</f>
        <v>-</v>
      </c>
      <c r="D128" s="98"/>
      <c r="E128" s="98"/>
      <c r="F128" s="100">
        <f>IFERROR(__xludf.DUMMYFUNCTION("""COMPUTED_VALUE"""),0.0)</f>
        <v>0</v>
      </c>
      <c r="G128" s="98"/>
      <c r="H128" s="98"/>
      <c r="I128" s="98"/>
      <c r="J128" s="98"/>
      <c r="K128" s="98"/>
      <c r="L128" s="98"/>
    </row>
    <row r="129">
      <c r="A129" s="98"/>
      <c r="B129" s="98"/>
      <c r="C129" s="98" t="str">
        <f>IFERROR(__xludf.DUMMYFUNCTION("""COMPUTED_VALUE"""),"-")</f>
        <v>-</v>
      </c>
      <c r="D129" s="98"/>
      <c r="E129" s="98"/>
      <c r="F129" s="100">
        <f>IFERROR(__xludf.DUMMYFUNCTION("""COMPUTED_VALUE"""),0.0)</f>
        <v>0</v>
      </c>
      <c r="G129" s="98"/>
      <c r="H129" s="98"/>
      <c r="I129" s="98"/>
      <c r="J129" s="98"/>
      <c r="K129" s="98"/>
      <c r="L129" s="98"/>
    </row>
    <row r="130">
      <c r="A130" s="98"/>
      <c r="B130" s="98"/>
      <c r="C130" s="98" t="str">
        <f>IFERROR(__xludf.DUMMYFUNCTION("""COMPUTED_VALUE"""),"-")</f>
        <v>-</v>
      </c>
      <c r="D130" s="98"/>
      <c r="E130" s="98"/>
      <c r="F130" s="100">
        <f>IFERROR(__xludf.DUMMYFUNCTION("""COMPUTED_VALUE"""),0.0)</f>
        <v>0</v>
      </c>
      <c r="G130" s="98"/>
      <c r="H130" s="98"/>
      <c r="I130" s="98"/>
      <c r="J130" s="98"/>
      <c r="K130" s="98"/>
      <c r="L130" s="98"/>
    </row>
    <row r="131">
      <c r="A131" s="98"/>
      <c r="B131" s="98"/>
      <c r="C131" s="98" t="str">
        <f>IFERROR(__xludf.DUMMYFUNCTION("""COMPUTED_VALUE"""),"-")</f>
        <v>-</v>
      </c>
      <c r="D131" s="98"/>
      <c r="E131" s="98"/>
      <c r="F131" s="100">
        <f>IFERROR(__xludf.DUMMYFUNCTION("""COMPUTED_VALUE"""),0.0)</f>
        <v>0</v>
      </c>
      <c r="G131" s="98"/>
      <c r="H131" s="98"/>
      <c r="I131" s="98"/>
      <c r="J131" s="98"/>
      <c r="K131" s="98"/>
      <c r="L131" s="98"/>
    </row>
    <row r="132">
      <c r="A132" s="98"/>
      <c r="B132" s="98"/>
      <c r="C132" s="98" t="str">
        <f>IFERROR(__xludf.DUMMYFUNCTION("""COMPUTED_VALUE"""),"-")</f>
        <v>-</v>
      </c>
      <c r="D132" s="98"/>
      <c r="E132" s="98"/>
      <c r="F132" s="100">
        <f>IFERROR(__xludf.DUMMYFUNCTION("""COMPUTED_VALUE"""),0.0)</f>
        <v>0</v>
      </c>
      <c r="G132" s="98"/>
      <c r="H132" s="98"/>
      <c r="I132" s="98"/>
      <c r="J132" s="98"/>
      <c r="K132" s="98"/>
      <c r="L132" s="98"/>
    </row>
    <row r="133">
      <c r="A133" s="98"/>
      <c r="B133" s="98"/>
      <c r="C133" s="98" t="str">
        <f>IFERROR(__xludf.DUMMYFUNCTION("""COMPUTED_VALUE"""),"-")</f>
        <v>-</v>
      </c>
      <c r="D133" s="98"/>
      <c r="E133" s="98"/>
      <c r="F133" s="100">
        <f>IFERROR(__xludf.DUMMYFUNCTION("""COMPUTED_VALUE"""),0.0)</f>
        <v>0</v>
      </c>
      <c r="G133" s="98"/>
      <c r="H133" s="98"/>
      <c r="I133" s="98"/>
      <c r="J133" s="98"/>
      <c r="K133" s="98"/>
      <c r="L133" s="98"/>
    </row>
    <row r="134">
      <c r="A134" s="98"/>
      <c r="B134" s="98"/>
      <c r="C134" s="98" t="str">
        <f>IFERROR(__xludf.DUMMYFUNCTION("""COMPUTED_VALUE"""),"-")</f>
        <v>-</v>
      </c>
      <c r="D134" s="98"/>
      <c r="E134" s="98"/>
      <c r="F134" s="100">
        <f>IFERROR(__xludf.DUMMYFUNCTION("""COMPUTED_VALUE"""),0.0)</f>
        <v>0</v>
      </c>
      <c r="G134" s="98"/>
      <c r="H134" s="98"/>
      <c r="I134" s="98"/>
      <c r="J134" s="98"/>
      <c r="K134" s="98"/>
      <c r="L134" s="98"/>
    </row>
    <row r="135">
      <c r="A135" s="98"/>
      <c r="B135" s="98"/>
      <c r="C135" s="98" t="str">
        <f>IFERROR(__xludf.DUMMYFUNCTION("""COMPUTED_VALUE"""),"-")</f>
        <v>-</v>
      </c>
      <c r="D135" s="98"/>
      <c r="E135" s="98"/>
      <c r="F135" s="100">
        <f>IFERROR(__xludf.DUMMYFUNCTION("""COMPUTED_VALUE"""),0.0)</f>
        <v>0</v>
      </c>
      <c r="G135" s="98"/>
      <c r="H135" s="98"/>
      <c r="I135" s="98"/>
      <c r="J135" s="98"/>
      <c r="K135" s="98"/>
      <c r="L135" s="98"/>
    </row>
    <row r="136">
      <c r="A136" s="98"/>
      <c r="B136" s="98"/>
      <c r="C136" s="98" t="str">
        <f>IFERROR(__xludf.DUMMYFUNCTION("""COMPUTED_VALUE"""),"-")</f>
        <v>-</v>
      </c>
      <c r="D136" s="98"/>
      <c r="E136" s="98"/>
      <c r="F136" s="100">
        <f>IFERROR(__xludf.DUMMYFUNCTION("""COMPUTED_VALUE"""),0.0)</f>
        <v>0</v>
      </c>
      <c r="G136" s="98"/>
      <c r="H136" s="98"/>
      <c r="I136" s="98"/>
      <c r="J136" s="98"/>
      <c r="K136" s="98"/>
      <c r="L136" s="98"/>
    </row>
    <row r="137">
      <c r="A137" s="98"/>
      <c r="B137" s="98"/>
      <c r="C137" s="98" t="str">
        <f>IFERROR(__xludf.DUMMYFUNCTION("""COMPUTED_VALUE"""),"-")</f>
        <v>-</v>
      </c>
      <c r="D137" s="98"/>
      <c r="E137" s="98"/>
      <c r="F137" s="100">
        <f>IFERROR(__xludf.DUMMYFUNCTION("""COMPUTED_VALUE"""),0.0)</f>
        <v>0</v>
      </c>
      <c r="G137" s="98"/>
      <c r="H137" s="98"/>
      <c r="I137" s="98"/>
      <c r="J137" s="98"/>
      <c r="K137" s="98"/>
      <c r="L137" s="98"/>
    </row>
    <row r="138">
      <c r="A138" s="98"/>
      <c r="B138" s="98"/>
      <c r="C138" s="98" t="str">
        <f>IFERROR(__xludf.DUMMYFUNCTION("""COMPUTED_VALUE"""),"-")</f>
        <v>-</v>
      </c>
      <c r="D138" s="98"/>
      <c r="E138" s="98"/>
      <c r="F138" s="100">
        <f>IFERROR(__xludf.DUMMYFUNCTION("""COMPUTED_VALUE"""),0.0)</f>
        <v>0</v>
      </c>
      <c r="G138" s="98"/>
      <c r="H138" s="98"/>
      <c r="I138" s="98"/>
      <c r="J138" s="98"/>
      <c r="K138" s="98"/>
      <c r="L138" s="98"/>
    </row>
    <row r="139">
      <c r="A139" s="98"/>
      <c r="B139" s="98"/>
      <c r="C139" s="98" t="str">
        <f>IFERROR(__xludf.DUMMYFUNCTION("""COMPUTED_VALUE"""),"-")</f>
        <v>-</v>
      </c>
      <c r="D139" s="98"/>
      <c r="E139" s="98"/>
      <c r="F139" s="100">
        <f>IFERROR(__xludf.DUMMYFUNCTION("""COMPUTED_VALUE"""),0.0)</f>
        <v>0</v>
      </c>
      <c r="G139" s="98"/>
      <c r="H139" s="98"/>
      <c r="I139" s="98"/>
      <c r="J139" s="98"/>
      <c r="K139" s="98"/>
      <c r="L139" s="98"/>
    </row>
    <row r="140">
      <c r="A140" s="98"/>
      <c r="B140" s="98"/>
      <c r="C140" s="98" t="str">
        <f>IFERROR(__xludf.DUMMYFUNCTION("""COMPUTED_VALUE"""),"-")</f>
        <v>-</v>
      </c>
      <c r="D140" s="98"/>
      <c r="E140" s="98"/>
      <c r="F140" s="100">
        <f>IFERROR(__xludf.DUMMYFUNCTION("""COMPUTED_VALUE"""),0.0)</f>
        <v>0</v>
      </c>
      <c r="G140" s="98"/>
      <c r="H140" s="98"/>
      <c r="I140" s="98"/>
      <c r="J140" s="98"/>
      <c r="K140" s="98"/>
      <c r="L140" s="98"/>
    </row>
    <row r="141">
      <c r="A141" s="98"/>
      <c r="B141" s="98"/>
      <c r="C141" s="98" t="str">
        <f>IFERROR(__xludf.DUMMYFUNCTION("""COMPUTED_VALUE"""),"-")</f>
        <v>-</v>
      </c>
      <c r="D141" s="98"/>
      <c r="E141" s="98"/>
      <c r="F141" s="100">
        <f>IFERROR(__xludf.DUMMYFUNCTION("""COMPUTED_VALUE"""),0.0)</f>
        <v>0</v>
      </c>
      <c r="G141" s="98"/>
      <c r="H141" s="98"/>
      <c r="I141" s="98"/>
      <c r="J141" s="98"/>
      <c r="K141" s="98"/>
      <c r="L141" s="98"/>
    </row>
    <row r="142">
      <c r="A142" s="98"/>
      <c r="B142" s="98"/>
      <c r="C142" s="98" t="str">
        <f>IFERROR(__xludf.DUMMYFUNCTION("""COMPUTED_VALUE"""),"-")</f>
        <v>-</v>
      </c>
      <c r="D142" s="98"/>
      <c r="E142" s="98"/>
      <c r="F142" s="100">
        <f>IFERROR(__xludf.DUMMYFUNCTION("""COMPUTED_VALUE"""),0.0)</f>
        <v>0</v>
      </c>
      <c r="G142" s="98"/>
      <c r="H142" s="98"/>
      <c r="I142" s="98"/>
      <c r="J142" s="98"/>
      <c r="K142" s="98"/>
      <c r="L142" s="98"/>
    </row>
    <row r="143">
      <c r="A143" s="98"/>
      <c r="B143" s="98"/>
      <c r="C143" s="98" t="str">
        <f>IFERROR(__xludf.DUMMYFUNCTION("""COMPUTED_VALUE"""),"-")</f>
        <v>-</v>
      </c>
      <c r="D143" s="98"/>
      <c r="E143" s="98"/>
      <c r="F143" s="100">
        <f>IFERROR(__xludf.DUMMYFUNCTION("""COMPUTED_VALUE"""),0.0)</f>
        <v>0</v>
      </c>
      <c r="G143" s="98"/>
      <c r="H143" s="98"/>
      <c r="I143" s="98"/>
      <c r="J143" s="98"/>
      <c r="K143" s="98"/>
      <c r="L143" s="98"/>
    </row>
    <row r="144">
      <c r="A144" s="98"/>
      <c r="B144" s="98"/>
      <c r="C144" s="98" t="str">
        <f>IFERROR(__xludf.DUMMYFUNCTION("""COMPUTED_VALUE"""),"-")</f>
        <v>-</v>
      </c>
      <c r="D144" s="98"/>
      <c r="E144" s="98"/>
      <c r="F144" s="100">
        <f>IFERROR(__xludf.DUMMYFUNCTION("""COMPUTED_VALUE"""),0.0)</f>
        <v>0</v>
      </c>
      <c r="G144" s="98"/>
      <c r="H144" s="98"/>
      <c r="I144" s="98"/>
      <c r="J144" s="98"/>
      <c r="K144" s="98"/>
      <c r="L144" s="98"/>
    </row>
    <row r="145">
      <c r="A145" s="98"/>
      <c r="B145" s="98"/>
      <c r="C145" s="98" t="str">
        <f>IFERROR(__xludf.DUMMYFUNCTION("""COMPUTED_VALUE"""),"-")</f>
        <v>-</v>
      </c>
      <c r="D145" s="98"/>
      <c r="E145" s="98"/>
      <c r="F145" s="100">
        <f>IFERROR(__xludf.DUMMYFUNCTION("""COMPUTED_VALUE"""),0.0)</f>
        <v>0</v>
      </c>
      <c r="G145" s="98"/>
      <c r="H145" s="98"/>
      <c r="I145" s="98"/>
      <c r="J145" s="98"/>
      <c r="K145" s="98"/>
      <c r="L145" s="98"/>
    </row>
    <row r="146">
      <c r="A146" s="98"/>
      <c r="B146" s="98"/>
      <c r="C146" s="98" t="str">
        <f>IFERROR(__xludf.DUMMYFUNCTION("""COMPUTED_VALUE"""),"-")</f>
        <v>-</v>
      </c>
      <c r="D146" s="98"/>
      <c r="E146" s="98"/>
      <c r="F146" s="100">
        <f>IFERROR(__xludf.DUMMYFUNCTION("""COMPUTED_VALUE"""),0.0)</f>
        <v>0</v>
      </c>
      <c r="G146" s="98"/>
      <c r="H146" s="98"/>
      <c r="I146" s="98"/>
      <c r="J146" s="98"/>
      <c r="K146" s="98"/>
      <c r="L146" s="98"/>
    </row>
    <row r="147">
      <c r="A147" s="98"/>
      <c r="B147" s="98"/>
      <c r="C147" s="98" t="str">
        <f>IFERROR(__xludf.DUMMYFUNCTION("""COMPUTED_VALUE"""),"-")</f>
        <v>-</v>
      </c>
      <c r="D147" s="98"/>
      <c r="E147" s="98"/>
      <c r="F147" s="100">
        <f>IFERROR(__xludf.DUMMYFUNCTION("""COMPUTED_VALUE"""),0.0)</f>
        <v>0</v>
      </c>
      <c r="G147" s="98"/>
      <c r="H147" s="98"/>
      <c r="I147" s="98"/>
      <c r="J147" s="98"/>
      <c r="K147" s="98"/>
      <c r="L147" s="98"/>
    </row>
    <row r="148">
      <c r="A148" s="98"/>
      <c r="B148" s="98"/>
      <c r="C148" s="98" t="str">
        <f>IFERROR(__xludf.DUMMYFUNCTION("""COMPUTED_VALUE"""),"-")</f>
        <v>-</v>
      </c>
      <c r="D148" s="98"/>
      <c r="E148" s="98"/>
      <c r="F148" s="100">
        <f>IFERROR(__xludf.DUMMYFUNCTION("""COMPUTED_VALUE"""),0.0)</f>
        <v>0</v>
      </c>
      <c r="G148" s="98"/>
      <c r="H148" s="98"/>
      <c r="I148" s="98"/>
      <c r="J148" s="98"/>
      <c r="K148" s="98"/>
      <c r="L148" s="98"/>
    </row>
    <row r="149">
      <c r="A149" s="98"/>
      <c r="B149" s="98"/>
      <c r="C149" s="98" t="str">
        <f>IFERROR(__xludf.DUMMYFUNCTION("""COMPUTED_VALUE"""),"-")</f>
        <v>-</v>
      </c>
      <c r="D149" s="98"/>
      <c r="E149" s="98"/>
      <c r="F149" s="100">
        <f>IFERROR(__xludf.DUMMYFUNCTION("""COMPUTED_VALUE"""),0.0)</f>
        <v>0</v>
      </c>
      <c r="G149" s="98"/>
      <c r="H149" s="98"/>
      <c r="I149" s="98"/>
      <c r="J149" s="98"/>
      <c r="K149" s="98"/>
      <c r="L149" s="98"/>
    </row>
    <row r="150">
      <c r="A150" s="98"/>
      <c r="B150" s="98"/>
      <c r="C150" s="98" t="str">
        <f>IFERROR(__xludf.DUMMYFUNCTION("""COMPUTED_VALUE"""),"-")</f>
        <v>-</v>
      </c>
      <c r="D150" s="98"/>
      <c r="E150" s="98"/>
      <c r="F150" s="100">
        <f>IFERROR(__xludf.DUMMYFUNCTION("""COMPUTED_VALUE"""),0.0)</f>
        <v>0</v>
      </c>
      <c r="G150" s="98"/>
      <c r="H150" s="98"/>
      <c r="I150" s="98"/>
      <c r="J150" s="98"/>
      <c r="K150" s="98"/>
      <c r="L150" s="98"/>
    </row>
    <row r="151">
      <c r="A151" s="98"/>
      <c r="B151" s="98"/>
      <c r="C151" s="98" t="str">
        <f>IFERROR(__xludf.DUMMYFUNCTION("""COMPUTED_VALUE"""),"-")</f>
        <v>-</v>
      </c>
      <c r="D151" s="98"/>
      <c r="E151" s="98"/>
      <c r="F151" s="100">
        <f>IFERROR(__xludf.DUMMYFUNCTION("""COMPUTED_VALUE"""),0.0)</f>
        <v>0</v>
      </c>
      <c r="G151" s="98"/>
      <c r="H151" s="98"/>
      <c r="I151" s="98"/>
      <c r="J151" s="98"/>
      <c r="K151" s="98"/>
      <c r="L151" s="98"/>
    </row>
    <row r="152">
      <c r="A152" s="98"/>
      <c r="B152" s="98"/>
      <c r="C152" s="98" t="str">
        <f>IFERROR(__xludf.DUMMYFUNCTION("""COMPUTED_VALUE"""),"-")</f>
        <v>-</v>
      </c>
      <c r="D152" s="98"/>
      <c r="E152" s="98"/>
      <c r="F152" s="100">
        <f>IFERROR(__xludf.DUMMYFUNCTION("""COMPUTED_VALUE"""),0.0)</f>
        <v>0</v>
      </c>
      <c r="G152" s="98"/>
      <c r="H152" s="98"/>
      <c r="I152" s="98"/>
      <c r="J152" s="98"/>
      <c r="K152" s="98"/>
      <c r="L152" s="98"/>
    </row>
    <row r="153">
      <c r="A153" s="98"/>
      <c r="B153" s="98"/>
      <c r="C153" s="98" t="str">
        <f>IFERROR(__xludf.DUMMYFUNCTION("""COMPUTED_VALUE"""),"-")</f>
        <v>-</v>
      </c>
      <c r="D153" s="98"/>
      <c r="E153" s="98"/>
      <c r="F153" s="100">
        <f>IFERROR(__xludf.DUMMYFUNCTION("""COMPUTED_VALUE"""),0.0)</f>
        <v>0</v>
      </c>
      <c r="G153" s="98"/>
      <c r="H153" s="98"/>
      <c r="I153" s="98"/>
      <c r="J153" s="98"/>
      <c r="K153" s="98"/>
      <c r="L153" s="98"/>
    </row>
    <row r="154">
      <c r="A154" s="98"/>
      <c r="B154" s="98"/>
      <c r="C154" s="98" t="str">
        <f>IFERROR(__xludf.DUMMYFUNCTION("""COMPUTED_VALUE"""),"-")</f>
        <v>-</v>
      </c>
      <c r="D154" s="98"/>
      <c r="E154" s="98"/>
      <c r="F154" s="100">
        <f>IFERROR(__xludf.DUMMYFUNCTION("""COMPUTED_VALUE"""),0.0)</f>
        <v>0</v>
      </c>
      <c r="G154" s="98"/>
      <c r="H154" s="98"/>
      <c r="I154" s="98"/>
      <c r="J154" s="98"/>
      <c r="K154" s="98"/>
      <c r="L154" s="98"/>
    </row>
    <row r="155">
      <c r="A155" s="98"/>
      <c r="B155" s="98"/>
      <c r="C155" s="98" t="str">
        <f>IFERROR(__xludf.DUMMYFUNCTION("""COMPUTED_VALUE"""),"-")</f>
        <v>-</v>
      </c>
      <c r="D155" s="98"/>
      <c r="E155" s="98"/>
      <c r="F155" s="100">
        <f>IFERROR(__xludf.DUMMYFUNCTION("""COMPUTED_VALUE"""),0.0)</f>
        <v>0</v>
      </c>
      <c r="G155" s="98"/>
      <c r="H155" s="98"/>
      <c r="I155" s="98"/>
      <c r="J155" s="98"/>
      <c r="K155" s="98"/>
      <c r="L155" s="98"/>
    </row>
    <row r="156">
      <c r="A156" s="98"/>
      <c r="B156" s="98"/>
      <c r="C156" s="98" t="str">
        <f>IFERROR(__xludf.DUMMYFUNCTION("""COMPUTED_VALUE"""),"-")</f>
        <v>-</v>
      </c>
      <c r="D156" s="98"/>
      <c r="E156" s="98"/>
      <c r="F156" s="100">
        <f>IFERROR(__xludf.DUMMYFUNCTION("""COMPUTED_VALUE"""),0.0)</f>
        <v>0</v>
      </c>
      <c r="G156" s="98"/>
      <c r="H156" s="98"/>
      <c r="I156" s="98"/>
      <c r="J156" s="98"/>
      <c r="K156" s="98"/>
      <c r="L156" s="98"/>
    </row>
    <row r="157">
      <c r="A157" s="98"/>
      <c r="B157" s="98"/>
      <c r="C157" s="98" t="str">
        <f>IFERROR(__xludf.DUMMYFUNCTION("""COMPUTED_VALUE"""),"-")</f>
        <v>-</v>
      </c>
      <c r="D157" s="98"/>
      <c r="E157" s="98"/>
      <c r="F157" s="100">
        <f>IFERROR(__xludf.DUMMYFUNCTION("""COMPUTED_VALUE"""),0.0)</f>
        <v>0</v>
      </c>
      <c r="G157" s="98"/>
      <c r="H157" s="98"/>
      <c r="I157" s="98"/>
      <c r="J157" s="98"/>
      <c r="K157" s="98"/>
      <c r="L157" s="98"/>
    </row>
    <row r="158">
      <c r="A158" s="98"/>
      <c r="B158" s="98"/>
      <c r="C158" s="98" t="str">
        <f>IFERROR(__xludf.DUMMYFUNCTION("""COMPUTED_VALUE"""),"-")</f>
        <v>-</v>
      </c>
      <c r="D158" s="98"/>
      <c r="E158" s="98"/>
      <c r="F158" s="100">
        <f>IFERROR(__xludf.DUMMYFUNCTION("""COMPUTED_VALUE"""),0.0)</f>
        <v>0</v>
      </c>
      <c r="G158" s="98"/>
      <c r="H158" s="98"/>
      <c r="I158" s="98"/>
      <c r="J158" s="98"/>
      <c r="K158" s="98"/>
      <c r="L158" s="98"/>
    </row>
    <row r="159">
      <c r="A159" s="98"/>
      <c r="B159" s="98"/>
      <c r="C159" s="98" t="str">
        <f>IFERROR(__xludf.DUMMYFUNCTION("""COMPUTED_VALUE"""),"-")</f>
        <v>-</v>
      </c>
      <c r="D159" s="98"/>
      <c r="E159" s="98"/>
      <c r="F159" s="100">
        <f>IFERROR(__xludf.DUMMYFUNCTION("""COMPUTED_VALUE"""),0.0)</f>
        <v>0</v>
      </c>
      <c r="G159" s="98"/>
      <c r="H159" s="98"/>
      <c r="I159" s="98"/>
      <c r="J159" s="98"/>
      <c r="K159" s="98"/>
      <c r="L159" s="98"/>
    </row>
    <row r="160">
      <c r="A160" s="98"/>
      <c r="B160" s="98"/>
      <c r="C160" s="98" t="str">
        <f>IFERROR(__xludf.DUMMYFUNCTION("""COMPUTED_VALUE"""),"-")</f>
        <v>-</v>
      </c>
      <c r="D160" s="98"/>
      <c r="E160" s="98"/>
      <c r="F160" s="100">
        <f>IFERROR(__xludf.DUMMYFUNCTION("""COMPUTED_VALUE"""),0.0)</f>
        <v>0</v>
      </c>
      <c r="G160" s="98"/>
      <c r="H160" s="98"/>
      <c r="I160" s="98"/>
      <c r="J160" s="98"/>
      <c r="K160" s="98"/>
      <c r="L160" s="98"/>
    </row>
    <row r="161">
      <c r="A161" s="98"/>
      <c r="B161" s="98"/>
      <c r="C161" s="98" t="str">
        <f>IFERROR(__xludf.DUMMYFUNCTION("""COMPUTED_VALUE"""),"-")</f>
        <v>-</v>
      </c>
      <c r="D161" s="98"/>
      <c r="E161" s="98"/>
      <c r="F161" s="100">
        <f>IFERROR(__xludf.DUMMYFUNCTION("""COMPUTED_VALUE"""),0.0)</f>
        <v>0</v>
      </c>
      <c r="G161" s="98"/>
      <c r="H161" s="98"/>
      <c r="I161" s="98"/>
      <c r="J161" s="98"/>
      <c r="K161" s="98"/>
      <c r="L161" s="98"/>
    </row>
    <row r="162">
      <c r="A162" s="98"/>
      <c r="B162" s="98"/>
      <c r="C162" s="98" t="str">
        <f>IFERROR(__xludf.DUMMYFUNCTION("""COMPUTED_VALUE"""),"-")</f>
        <v>-</v>
      </c>
      <c r="D162" s="98"/>
      <c r="E162" s="98"/>
      <c r="F162" s="100">
        <f>IFERROR(__xludf.DUMMYFUNCTION("""COMPUTED_VALUE"""),0.0)</f>
        <v>0</v>
      </c>
      <c r="G162" s="98"/>
      <c r="H162" s="98"/>
      <c r="I162" s="98"/>
      <c r="J162" s="98"/>
      <c r="K162" s="98"/>
      <c r="L162" s="98"/>
    </row>
    <row r="163">
      <c r="A163" s="98"/>
      <c r="B163" s="98"/>
      <c r="C163" s="98" t="str">
        <f>IFERROR(__xludf.DUMMYFUNCTION("""COMPUTED_VALUE"""),"-")</f>
        <v>-</v>
      </c>
      <c r="D163" s="98"/>
      <c r="E163" s="98"/>
      <c r="F163" s="100">
        <f>IFERROR(__xludf.DUMMYFUNCTION("""COMPUTED_VALUE"""),0.0)</f>
        <v>0</v>
      </c>
      <c r="G163" s="98"/>
      <c r="H163" s="98"/>
      <c r="I163" s="98"/>
      <c r="J163" s="98"/>
      <c r="K163" s="98"/>
      <c r="L163" s="98"/>
    </row>
    <row r="164">
      <c r="A164" s="98"/>
      <c r="B164" s="98"/>
      <c r="C164" s="98" t="str">
        <f>IFERROR(__xludf.DUMMYFUNCTION("""COMPUTED_VALUE"""),"-")</f>
        <v>-</v>
      </c>
      <c r="D164" s="98"/>
      <c r="E164" s="98"/>
      <c r="F164" s="100">
        <f>IFERROR(__xludf.DUMMYFUNCTION("""COMPUTED_VALUE"""),0.0)</f>
        <v>0</v>
      </c>
      <c r="G164" s="98"/>
      <c r="H164" s="98"/>
      <c r="I164" s="98"/>
      <c r="J164" s="98"/>
      <c r="K164" s="98"/>
      <c r="L164" s="98"/>
    </row>
    <row r="165">
      <c r="A165" s="98"/>
      <c r="B165" s="98"/>
      <c r="C165" s="98" t="str">
        <f>IFERROR(__xludf.DUMMYFUNCTION("""COMPUTED_VALUE"""),"-")</f>
        <v>-</v>
      </c>
      <c r="D165" s="98"/>
      <c r="E165" s="98"/>
      <c r="F165" s="100">
        <f>IFERROR(__xludf.DUMMYFUNCTION("""COMPUTED_VALUE"""),0.0)</f>
        <v>0</v>
      </c>
      <c r="G165" s="98"/>
      <c r="H165" s="98"/>
      <c r="I165" s="98"/>
      <c r="J165" s="98"/>
      <c r="K165" s="98"/>
      <c r="L165" s="98"/>
    </row>
    <row r="166">
      <c r="A166" s="98"/>
      <c r="B166" s="98"/>
      <c r="C166" s="98" t="str">
        <f>IFERROR(__xludf.DUMMYFUNCTION("""COMPUTED_VALUE"""),"-")</f>
        <v>-</v>
      </c>
      <c r="D166" s="98"/>
      <c r="E166" s="98"/>
      <c r="F166" s="100">
        <f>IFERROR(__xludf.DUMMYFUNCTION("""COMPUTED_VALUE"""),0.0)</f>
        <v>0</v>
      </c>
      <c r="G166" s="98"/>
      <c r="H166" s="98"/>
      <c r="I166" s="98"/>
      <c r="J166" s="98"/>
      <c r="K166" s="98"/>
      <c r="L166" s="98"/>
    </row>
    <row r="167">
      <c r="A167" s="98"/>
      <c r="B167" s="98"/>
      <c r="C167" s="98" t="str">
        <f>IFERROR(__xludf.DUMMYFUNCTION("""COMPUTED_VALUE"""),"-")</f>
        <v>-</v>
      </c>
      <c r="D167" s="98"/>
      <c r="E167" s="98"/>
      <c r="F167" s="100">
        <f>IFERROR(__xludf.DUMMYFUNCTION("""COMPUTED_VALUE"""),0.0)</f>
        <v>0</v>
      </c>
      <c r="G167" s="98"/>
      <c r="H167" s="98"/>
      <c r="I167" s="98"/>
      <c r="J167" s="98"/>
      <c r="K167" s="98"/>
      <c r="L167" s="98"/>
    </row>
    <row r="168">
      <c r="A168" s="98"/>
      <c r="B168" s="98"/>
      <c r="C168" s="98" t="str">
        <f>IFERROR(__xludf.DUMMYFUNCTION("""COMPUTED_VALUE"""),"-")</f>
        <v>-</v>
      </c>
      <c r="D168" s="98"/>
      <c r="E168" s="98"/>
      <c r="F168" s="100">
        <f>IFERROR(__xludf.DUMMYFUNCTION("""COMPUTED_VALUE"""),0.0)</f>
        <v>0</v>
      </c>
      <c r="G168" s="98"/>
      <c r="H168" s="98"/>
      <c r="I168" s="98"/>
      <c r="J168" s="98"/>
      <c r="K168" s="98"/>
      <c r="L168" s="98"/>
    </row>
    <row r="169">
      <c r="A169" s="98"/>
      <c r="B169" s="98"/>
      <c r="C169" s="98" t="str">
        <f>IFERROR(__xludf.DUMMYFUNCTION("""COMPUTED_VALUE"""),"-")</f>
        <v>-</v>
      </c>
      <c r="D169" s="98"/>
      <c r="E169" s="98"/>
      <c r="F169" s="100">
        <f>IFERROR(__xludf.DUMMYFUNCTION("""COMPUTED_VALUE"""),0.0)</f>
        <v>0</v>
      </c>
      <c r="G169" s="98"/>
      <c r="H169" s="98"/>
      <c r="I169" s="98"/>
      <c r="J169" s="98"/>
      <c r="K169" s="98"/>
      <c r="L169" s="98"/>
    </row>
    <row r="170">
      <c r="A170" s="98"/>
      <c r="B170" s="98"/>
      <c r="C170" s="98" t="str">
        <f>IFERROR(__xludf.DUMMYFUNCTION("""COMPUTED_VALUE"""),"-")</f>
        <v>-</v>
      </c>
      <c r="D170" s="98"/>
      <c r="E170" s="98"/>
      <c r="F170" s="100">
        <f>IFERROR(__xludf.DUMMYFUNCTION("""COMPUTED_VALUE"""),0.0)</f>
        <v>0</v>
      </c>
      <c r="G170" s="98"/>
      <c r="H170" s="98"/>
      <c r="I170" s="98"/>
      <c r="J170" s="98"/>
      <c r="K170" s="98"/>
      <c r="L170" s="98"/>
    </row>
    <row r="171">
      <c r="A171" s="98"/>
      <c r="B171" s="98"/>
      <c r="C171" s="98" t="str">
        <f>IFERROR(__xludf.DUMMYFUNCTION("""COMPUTED_VALUE"""),"-")</f>
        <v>-</v>
      </c>
      <c r="D171" s="98"/>
      <c r="E171" s="98"/>
      <c r="F171" s="100">
        <f>IFERROR(__xludf.DUMMYFUNCTION("""COMPUTED_VALUE"""),0.0)</f>
        <v>0</v>
      </c>
      <c r="G171" s="98"/>
      <c r="H171" s="98"/>
      <c r="I171" s="98"/>
      <c r="J171" s="98"/>
      <c r="K171" s="98"/>
      <c r="L171" s="98"/>
    </row>
    <row r="172">
      <c r="A172" s="98"/>
      <c r="B172" s="98"/>
      <c r="C172" s="98" t="str">
        <f>IFERROR(__xludf.DUMMYFUNCTION("""COMPUTED_VALUE"""),"-")</f>
        <v>-</v>
      </c>
      <c r="D172" s="98"/>
      <c r="E172" s="98"/>
      <c r="F172" s="100">
        <f>IFERROR(__xludf.DUMMYFUNCTION("""COMPUTED_VALUE"""),0.0)</f>
        <v>0</v>
      </c>
      <c r="G172" s="98"/>
      <c r="H172" s="98"/>
      <c r="I172" s="98"/>
      <c r="J172" s="98"/>
      <c r="K172" s="98"/>
      <c r="L172" s="98"/>
    </row>
    <row r="173">
      <c r="A173" s="98"/>
      <c r="B173" s="98"/>
      <c r="C173" s="98" t="str">
        <f>IFERROR(__xludf.DUMMYFUNCTION("""COMPUTED_VALUE"""),"-")</f>
        <v>-</v>
      </c>
      <c r="D173" s="98"/>
      <c r="E173" s="98"/>
      <c r="F173" s="100">
        <f>IFERROR(__xludf.DUMMYFUNCTION("""COMPUTED_VALUE"""),0.0)</f>
        <v>0</v>
      </c>
      <c r="G173" s="98"/>
      <c r="H173" s="98"/>
      <c r="I173" s="98"/>
      <c r="J173" s="98"/>
      <c r="K173" s="98"/>
      <c r="L173" s="98"/>
    </row>
    <row r="174">
      <c r="A174" s="98"/>
      <c r="B174" s="98"/>
      <c r="C174" s="98" t="str">
        <f>IFERROR(__xludf.DUMMYFUNCTION("""COMPUTED_VALUE"""),"-")</f>
        <v>-</v>
      </c>
      <c r="D174" s="98"/>
      <c r="E174" s="98"/>
      <c r="F174" s="100">
        <f>IFERROR(__xludf.DUMMYFUNCTION("""COMPUTED_VALUE"""),0.0)</f>
        <v>0</v>
      </c>
      <c r="G174" s="98"/>
      <c r="H174" s="98"/>
      <c r="I174" s="98"/>
      <c r="J174" s="98"/>
      <c r="K174" s="98"/>
      <c r="L174" s="98"/>
    </row>
    <row r="175">
      <c r="A175" s="98"/>
      <c r="B175" s="98"/>
      <c r="C175" s="98" t="str">
        <f>IFERROR(__xludf.DUMMYFUNCTION("""COMPUTED_VALUE"""),"-")</f>
        <v>-</v>
      </c>
      <c r="D175" s="98"/>
      <c r="E175" s="98"/>
      <c r="F175" s="100">
        <f>IFERROR(__xludf.DUMMYFUNCTION("""COMPUTED_VALUE"""),0.0)</f>
        <v>0</v>
      </c>
      <c r="G175" s="98"/>
      <c r="H175" s="98"/>
      <c r="I175" s="98"/>
      <c r="J175" s="98"/>
      <c r="K175" s="98"/>
      <c r="L175" s="98"/>
    </row>
    <row r="176">
      <c r="A176" s="98"/>
      <c r="B176" s="98"/>
      <c r="C176" s="98" t="str">
        <f>IFERROR(__xludf.DUMMYFUNCTION("""COMPUTED_VALUE"""),"-")</f>
        <v>-</v>
      </c>
      <c r="D176" s="98"/>
      <c r="E176" s="98"/>
      <c r="F176" s="100">
        <f>IFERROR(__xludf.DUMMYFUNCTION("""COMPUTED_VALUE"""),0.0)</f>
        <v>0</v>
      </c>
      <c r="G176" s="98"/>
      <c r="H176" s="98"/>
      <c r="I176" s="98"/>
      <c r="J176" s="98"/>
      <c r="K176" s="98"/>
      <c r="L176" s="98"/>
    </row>
    <row r="177">
      <c r="A177" s="98"/>
      <c r="B177" s="98"/>
      <c r="C177" s="98" t="str">
        <f>IFERROR(__xludf.DUMMYFUNCTION("""COMPUTED_VALUE"""),"-")</f>
        <v>-</v>
      </c>
      <c r="D177" s="98"/>
      <c r="E177" s="98"/>
      <c r="F177" s="100">
        <f>IFERROR(__xludf.DUMMYFUNCTION("""COMPUTED_VALUE"""),0.0)</f>
        <v>0</v>
      </c>
      <c r="G177" s="98"/>
      <c r="H177" s="98"/>
      <c r="I177" s="98"/>
      <c r="J177" s="98"/>
      <c r="K177" s="98"/>
      <c r="L177" s="98"/>
    </row>
    <row r="178">
      <c r="A178" s="98"/>
      <c r="B178" s="98"/>
      <c r="C178" s="98" t="str">
        <f>IFERROR(__xludf.DUMMYFUNCTION("""COMPUTED_VALUE"""),"-")</f>
        <v>-</v>
      </c>
      <c r="D178" s="98"/>
      <c r="E178" s="98"/>
      <c r="F178" s="100">
        <f>IFERROR(__xludf.DUMMYFUNCTION("""COMPUTED_VALUE"""),0.0)</f>
        <v>0</v>
      </c>
      <c r="G178" s="98"/>
      <c r="H178" s="98"/>
      <c r="I178" s="98"/>
      <c r="J178" s="98"/>
      <c r="K178" s="98"/>
      <c r="L178" s="98"/>
    </row>
    <row r="179">
      <c r="A179" s="98"/>
      <c r="B179" s="98"/>
      <c r="C179" s="98" t="str">
        <f>IFERROR(__xludf.DUMMYFUNCTION("""COMPUTED_VALUE"""),"-")</f>
        <v>-</v>
      </c>
      <c r="D179" s="98"/>
      <c r="E179" s="98"/>
      <c r="F179" s="100">
        <f>IFERROR(__xludf.DUMMYFUNCTION("""COMPUTED_VALUE"""),0.0)</f>
        <v>0</v>
      </c>
      <c r="G179" s="98"/>
      <c r="H179" s="98"/>
      <c r="I179" s="98"/>
      <c r="J179" s="98"/>
      <c r="K179" s="98"/>
      <c r="L179" s="98"/>
    </row>
    <row r="180">
      <c r="A180" s="98"/>
      <c r="B180" s="98"/>
      <c r="C180" s="98" t="str">
        <f>IFERROR(__xludf.DUMMYFUNCTION("""COMPUTED_VALUE"""),"-")</f>
        <v>-</v>
      </c>
      <c r="D180" s="98"/>
      <c r="E180" s="98"/>
      <c r="F180" s="100">
        <f>IFERROR(__xludf.DUMMYFUNCTION("""COMPUTED_VALUE"""),0.0)</f>
        <v>0</v>
      </c>
      <c r="G180" s="98"/>
      <c r="H180" s="98"/>
      <c r="I180" s="98"/>
      <c r="J180" s="98"/>
      <c r="K180" s="98"/>
      <c r="L180" s="98"/>
    </row>
    <row r="181">
      <c r="A181" s="98"/>
      <c r="B181" s="98"/>
      <c r="C181" s="98" t="str">
        <f>IFERROR(__xludf.DUMMYFUNCTION("""COMPUTED_VALUE"""),"-")</f>
        <v>-</v>
      </c>
      <c r="D181" s="98"/>
      <c r="E181" s="98"/>
      <c r="F181" s="100">
        <f>IFERROR(__xludf.DUMMYFUNCTION("""COMPUTED_VALUE"""),0.0)</f>
        <v>0</v>
      </c>
      <c r="G181" s="98"/>
      <c r="H181" s="98"/>
      <c r="I181" s="98"/>
      <c r="J181" s="98"/>
      <c r="K181" s="98"/>
      <c r="L181" s="98"/>
    </row>
    <row r="182">
      <c r="A182" s="98"/>
      <c r="B182" s="98"/>
      <c r="C182" s="98" t="str">
        <f>IFERROR(__xludf.DUMMYFUNCTION("""COMPUTED_VALUE"""),"-")</f>
        <v>-</v>
      </c>
      <c r="D182" s="98"/>
      <c r="E182" s="98"/>
      <c r="F182" s="100">
        <f>IFERROR(__xludf.DUMMYFUNCTION("""COMPUTED_VALUE"""),0.0)</f>
        <v>0</v>
      </c>
      <c r="G182" s="98"/>
      <c r="H182" s="98"/>
      <c r="I182" s="98"/>
      <c r="J182" s="98"/>
      <c r="K182" s="98"/>
      <c r="L182" s="98"/>
    </row>
    <row r="183">
      <c r="A183" s="98"/>
      <c r="B183" s="98"/>
      <c r="C183" s="98" t="str">
        <f>IFERROR(__xludf.DUMMYFUNCTION("""COMPUTED_VALUE"""),"-")</f>
        <v>-</v>
      </c>
      <c r="D183" s="98"/>
      <c r="E183" s="98"/>
      <c r="F183" s="100">
        <f>IFERROR(__xludf.DUMMYFUNCTION("""COMPUTED_VALUE"""),0.0)</f>
        <v>0</v>
      </c>
      <c r="G183" s="98"/>
      <c r="H183" s="98"/>
      <c r="I183" s="98"/>
      <c r="J183" s="98"/>
      <c r="K183" s="98"/>
      <c r="L183" s="98"/>
    </row>
    <row r="184">
      <c r="A184" s="98"/>
      <c r="B184" s="98"/>
      <c r="C184" s="98" t="str">
        <f>IFERROR(__xludf.DUMMYFUNCTION("""COMPUTED_VALUE"""),"-")</f>
        <v>-</v>
      </c>
      <c r="D184" s="98"/>
      <c r="E184" s="98"/>
      <c r="F184" s="100">
        <f>IFERROR(__xludf.DUMMYFUNCTION("""COMPUTED_VALUE"""),0.0)</f>
        <v>0</v>
      </c>
      <c r="G184" s="98"/>
      <c r="H184" s="98"/>
      <c r="I184" s="98"/>
      <c r="J184" s="98"/>
      <c r="K184" s="98"/>
      <c r="L184" s="98"/>
    </row>
    <row r="185">
      <c r="A185" s="98"/>
      <c r="B185" s="98"/>
      <c r="C185" s="98" t="str">
        <f>IFERROR(__xludf.DUMMYFUNCTION("""COMPUTED_VALUE"""),"-")</f>
        <v>-</v>
      </c>
      <c r="D185" s="98"/>
      <c r="E185" s="98"/>
      <c r="F185" s="100">
        <f>IFERROR(__xludf.DUMMYFUNCTION("""COMPUTED_VALUE"""),0.0)</f>
        <v>0</v>
      </c>
      <c r="G185" s="98"/>
      <c r="H185" s="98"/>
      <c r="I185" s="98"/>
      <c r="J185" s="98"/>
      <c r="K185" s="98"/>
      <c r="L185" s="98"/>
    </row>
    <row r="186">
      <c r="A186" s="98"/>
      <c r="B186" s="98"/>
      <c r="C186" s="98" t="str">
        <f>IFERROR(__xludf.DUMMYFUNCTION("""COMPUTED_VALUE"""),"-")</f>
        <v>-</v>
      </c>
      <c r="D186" s="98"/>
      <c r="E186" s="98"/>
      <c r="F186" s="100">
        <f>IFERROR(__xludf.DUMMYFUNCTION("""COMPUTED_VALUE"""),0.0)</f>
        <v>0</v>
      </c>
      <c r="G186" s="98"/>
      <c r="H186" s="98"/>
      <c r="I186" s="98"/>
      <c r="J186" s="98"/>
      <c r="K186" s="98"/>
      <c r="L186" s="98"/>
    </row>
    <row r="187">
      <c r="A187" s="98"/>
      <c r="B187" s="98"/>
      <c r="C187" s="98" t="str">
        <f>IFERROR(__xludf.DUMMYFUNCTION("""COMPUTED_VALUE"""),"-")</f>
        <v>-</v>
      </c>
      <c r="D187" s="98"/>
      <c r="E187" s="98"/>
      <c r="F187" s="100">
        <f>IFERROR(__xludf.DUMMYFUNCTION("""COMPUTED_VALUE"""),0.0)</f>
        <v>0</v>
      </c>
      <c r="G187" s="98"/>
      <c r="H187" s="98"/>
      <c r="I187" s="98"/>
      <c r="J187" s="98"/>
      <c r="K187" s="98"/>
      <c r="L187" s="98"/>
    </row>
    <row r="188">
      <c r="A188" s="98"/>
      <c r="B188" s="98"/>
      <c r="C188" s="98" t="str">
        <f>IFERROR(__xludf.DUMMYFUNCTION("""COMPUTED_VALUE"""),"-")</f>
        <v>-</v>
      </c>
      <c r="D188" s="98"/>
      <c r="E188" s="98"/>
      <c r="F188" s="100">
        <f>IFERROR(__xludf.DUMMYFUNCTION("""COMPUTED_VALUE"""),0.0)</f>
        <v>0</v>
      </c>
      <c r="G188" s="98"/>
      <c r="H188" s="98"/>
      <c r="I188" s="98"/>
      <c r="J188" s="98"/>
      <c r="K188" s="98"/>
      <c r="L188" s="98"/>
    </row>
    <row r="189">
      <c r="A189" s="98"/>
      <c r="B189" s="98"/>
      <c r="C189" s="98" t="str">
        <f>IFERROR(__xludf.DUMMYFUNCTION("""COMPUTED_VALUE"""),"-")</f>
        <v>-</v>
      </c>
      <c r="D189" s="98"/>
      <c r="E189" s="98"/>
      <c r="F189" s="100">
        <f>IFERROR(__xludf.DUMMYFUNCTION("""COMPUTED_VALUE"""),0.0)</f>
        <v>0</v>
      </c>
      <c r="G189" s="98"/>
      <c r="H189" s="98"/>
      <c r="I189" s="98"/>
      <c r="J189" s="98"/>
      <c r="K189" s="98"/>
      <c r="L189" s="98"/>
    </row>
    <row r="190">
      <c r="A190" s="98"/>
      <c r="B190" s="98"/>
      <c r="C190" s="98" t="str">
        <f>IFERROR(__xludf.DUMMYFUNCTION("""COMPUTED_VALUE"""),"-")</f>
        <v>-</v>
      </c>
      <c r="D190" s="98"/>
      <c r="E190" s="98"/>
      <c r="F190" s="100">
        <f>IFERROR(__xludf.DUMMYFUNCTION("""COMPUTED_VALUE"""),0.0)</f>
        <v>0</v>
      </c>
      <c r="G190" s="98"/>
      <c r="H190" s="98"/>
      <c r="I190" s="98"/>
      <c r="J190" s="98"/>
      <c r="K190" s="98"/>
      <c r="L190" s="98"/>
    </row>
    <row r="191">
      <c r="A191" s="98"/>
      <c r="B191" s="98"/>
      <c r="C191" s="98" t="str">
        <f>IFERROR(__xludf.DUMMYFUNCTION("""COMPUTED_VALUE"""),"-")</f>
        <v>-</v>
      </c>
      <c r="D191" s="98"/>
      <c r="E191" s="98"/>
      <c r="F191" s="100">
        <f>IFERROR(__xludf.DUMMYFUNCTION("""COMPUTED_VALUE"""),0.0)</f>
        <v>0</v>
      </c>
      <c r="G191" s="98"/>
      <c r="H191" s="98"/>
      <c r="I191" s="98"/>
      <c r="J191" s="98"/>
      <c r="K191" s="98"/>
      <c r="L191" s="98"/>
    </row>
    <row r="192">
      <c r="A192" s="98"/>
      <c r="B192" s="98"/>
      <c r="C192" s="98" t="str">
        <f>IFERROR(__xludf.DUMMYFUNCTION("""COMPUTED_VALUE"""),"-")</f>
        <v>-</v>
      </c>
      <c r="D192" s="98"/>
      <c r="E192" s="98"/>
      <c r="F192" s="100">
        <f>IFERROR(__xludf.DUMMYFUNCTION("""COMPUTED_VALUE"""),0.0)</f>
        <v>0</v>
      </c>
      <c r="G192" s="98"/>
      <c r="H192" s="98"/>
      <c r="I192" s="98"/>
      <c r="J192" s="98"/>
      <c r="K192" s="98"/>
      <c r="L192" s="98"/>
    </row>
    <row r="193">
      <c r="A193" s="98"/>
      <c r="B193" s="98"/>
      <c r="C193" s="98" t="str">
        <f>IFERROR(__xludf.DUMMYFUNCTION("""COMPUTED_VALUE"""),"-")</f>
        <v>-</v>
      </c>
      <c r="D193" s="98"/>
      <c r="E193" s="98"/>
      <c r="F193" s="100">
        <f>IFERROR(__xludf.DUMMYFUNCTION("""COMPUTED_VALUE"""),0.0)</f>
        <v>0</v>
      </c>
      <c r="G193" s="98"/>
      <c r="H193" s="98"/>
      <c r="I193" s="98"/>
      <c r="J193" s="98"/>
      <c r="K193" s="98"/>
      <c r="L193" s="98"/>
    </row>
    <row r="194">
      <c r="A194" s="98"/>
      <c r="B194" s="98"/>
      <c r="C194" s="98" t="str">
        <f>IFERROR(__xludf.DUMMYFUNCTION("""COMPUTED_VALUE"""),"-")</f>
        <v>-</v>
      </c>
      <c r="D194" s="98"/>
      <c r="E194" s="98"/>
      <c r="F194" s="100">
        <f>IFERROR(__xludf.DUMMYFUNCTION("""COMPUTED_VALUE"""),0.0)</f>
        <v>0</v>
      </c>
      <c r="G194" s="98"/>
      <c r="H194" s="98"/>
      <c r="I194" s="98"/>
      <c r="J194" s="98"/>
      <c r="K194" s="98"/>
      <c r="L194" s="98"/>
    </row>
    <row r="195">
      <c r="A195" s="98"/>
      <c r="B195" s="98"/>
      <c r="C195" s="98" t="str">
        <f>IFERROR(__xludf.DUMMYFUNCTION("""COMPUTED_VALUE"""),"-")</f>
        <v>-</v>
      </c>
      <c r="D195" s="98"/>
      <c r="E195" s="98"/>
      <c r="F195" s="100">
        <f>IFERROR(__xludf.DUMMYFUNCTION("""COMPUTED_VALUE"""),0.0)</f>
        <v>0</v>
      </c>
      <c r="G195" s="98"/>
      <c r="H195" s="98"/>
      <c r="I195" s="98"/>
      <c r="J195" s="98"/>
      <c r="K195" s="98"/>
      <c r="L195" s="98"/>
    </row>
    <row r="196">
      <c r="A196" s="98"/>
      <c r="B196" s="98"/>
      <c r="C196" s="98" t="str">
        <f>IFERROR(__xludf.DUMMYFUNCTION("""COMPUTED_VALUE"""),"-")</f>
        <v>-</v>
      </c>
      <c r="D196" s="98"/>
      <c r="E196" s="98"/>
      <c r="F196" s="100">
        <f>IFERROR(__xludf.DUMMYFUNCTION("""COMPUTED_VALUE"""),0.0)</f>
        <v>0</v>
      </c>
      <c r="G196" s="98"/>
      <c r="H196" s="98"/>
      <c r="I196" s="98"/>
      <c r="J196" s="98"/>
      <c r="K196" s="98"/>
      <c r="L196" s="98"/>
    </row>
    <row r="197">
      <c r="A197" s="98"/>
      <c r="B197" s="98"/>
      <c r="C197" s="98" t="str">
        <f>IFERROR(__xludf.DUMMYFUNCTION("""COMPUTED_VALUE"""),"-")</f>
        <v>-</v>
      </c>
      <c r="D197" s="98"/>
      <c r="E197" s="98"/>
      <c r="F197" s="100">
        <f>IFERROR(__xludf.DUMMYFUNCTION("""COMPUTED_VALUE"""),0.0)</f>
        <v>0</v>
      </c>
      <c r="G197" s="98"/>
      <c r="H197" s="98"/>
      <c r="I197" s="98"/>
      <c r="J197" s="98"/>
      <c r="K197" s="98"/>
      <c r="L197" s="98"/>
    </row>
    <row r="198">
      <c r="A198" s="98"/>
      <c r="B198" s="98"/>
      <c r="C198" s="98" t="str">
        <f>IFERROR(__xludf.DUMMYFUNCTION("""COMPUTED_VALUE"""),"-")</f>
        <v>-</v>
      </c>
      <c r="D198" s="98"/>
      <c r="E198" s="98"/>
      <c r="F198" s="100">
        <f>IFERROR(__xludf.DUMMYFUNCTION("""COMPUTED_VALUE"""),0.0)</f>
        <v>0</v>
      </c>
      <c r="G198" s="98"/>
      <c r="H198" s="98"/>
      <c r="I198" s="98"/>
      <c r="J198" s="98"/>
      <c r="K198" s="98"/>
      <c r="L198" s="98"/>
    </row>
    <row r="199">
      <c r="A199" s="98"/>
      <c r="B199" s="98"/>
      <c r="C199" s="98" t="str">
        <f>IFERROR(__xludf.DUMMYFUNCTION("""COMPUTED_VALUE"""),"-")</f>
        <v>-</v>
      </c>
      <c r="D199" s="98"/>
      <c r="E199" s="98"/>
      <c r="F199" s="100">
        <f>IFERROR(__xludf.DUMMYFUNCTION("""COMPUTED_VALUE"""),0.0)</f>
        <v>0</v>
      </c>
      <c r="G199" s="98"/>
      <c r="H199" s="98"/>
      <c r="I199" s="98"/>
      <c r="J199" s="98"/>
      <c r="K199" s="98"/>
      <c r="L199" s="98"/>
    </row>
    <row r="200">
      <c r="A200" s="98"/>
      <c r="B200" s="98"/>
      <c r="C200" s="98" t="str">
        <f>IFERROR(__xludf.DUMMYFUNCTION("""COMPUTED_VALUE"""),"-")</f>
        <v>-</v>
      </c>
      <c r="D200" s="98"/>
      <c r="E200" s="98"/>
      <c r="F200" s="100">
        <f>IFERROR(__xludf.DUMMYFUNCTION("""COMPUTED_VALUE"""),0.0)</f>
        <v>0</v>
      </c>
      <c r="G200" s="98"/>
      <c r="H200" s="98"/>
      <c r="I200" s="98"/>
      <c r="J200" s="98"/>
      <c r="K200" s="98"/>
      <c r="L200" s="98"/>
    </row>
    <row r="201">
      <c r="A201" s="98"/>
      <c r="B201" s="98"/>
      <c r="C201" s="98" t="str">
        <f>IFERROR(__xludf.DUMMYFUNCTION("""COMPUTED_VALUE"""),"-")</f>
        <v>-</v>
      </c>
      <c r="D201" s="98"/>
      <c r="E201" s="98"/>
      <c r="F201" s="100">
        <f>IFERROR(__xludf.DUMMYFUNCTION("""COMPUTED_VALUE"""),0.0)</f>
        <v>0</v>
      </c>
      <c r="G201" s="98"/>
      <c r="H201" s="98"/>
      <c r="I201" s="98"/>
      <c r="J201" s="98"/>
      <c r="K201" s="98"/>
      <c r="L201" s="98"/>
    </row>
    <row r="202">
      <c r="A202" s="98"/>
      <c r="B202" s="98"/>
      <c r="C202" s="98" t="str">
        <f>IFERROR(__xludf.DUMMYFUNCTION("""COMPUTED_VALUE"""),"-")</f>
        <v>-</v>
      </c>
      <c r="D202" s="98"/>
      <c r="E202" s="98"/>
      <c r="F202" s="100">
        <f>IFERROR(__xludf.DUMMYFUNCTION("""COMPUTED_VALUE"""),0.0)</f>
        <v>0</v>
      </c>
      <c r="G202" s="98"/>
      <c r="H202" s="98"/>
      <c r="I202" s="98"/>
      <c r="J202" s="98"/>
      <c r="K202" s="98"/>
      <c r="L202" s="98"/>
    </row>
    <row r="203">
      <c r="A203" s="98"/>
      <c r="B203" s="98"/>
      <c r="C203" s="98" t="str">
        <f>IFERROR(__xludf.DUMMYFUNCTION("""COMPUTED_VALUE"""),"-")</f>
        <v>-</v>
      </c>
      <c r="D203" s="98"/>
      <c r="E203" s="98"/>
      <c r="F203" s="100">
        <f>IFERROR(__xludf.DUMMYFUNCTION("""COMPUTED_VALUE"""),0.0)</f>
        <v>0</v>
      </c>
      <c r="G203" s="98"/>
      <c r="H203" s="98"/>
      <c r="I203" s="98"/>
      <c r="J203" s="98"/>
      <c r="K203" s="98"/>
      <c r="L203" s="98"/>
    </row>
    <row r="204">
      <c r="A204" s="98"/>
      <c r="B204" s="98"/>
      <c r="C204" s="98" t="str">
        <f>IFERROR(__xludf.DUMMYFUNCTION("""COMPUTED_VALUE"""),"-")</f>
        <v>-</v>
      </c>
      <c r="D204" s="98"/>
      <c r="E204" s="98"/>
      <c r="F204" s="100">
        <f>IFERROR(__xludf.DUMMYFUNCTION("""COMPUTED_VALUE"""),0.0)</f>
        <v>0</v>
      </c>
      <c r="G204" s="98"/>
      <c r="H204" s="98"/>
      <c r="I204" s="98"/>
      <c r="J204" s="98"/>
      <c r="K204" s="98"/>
      <c r="L204" s="98"/>
    </row>
    <row r="205">
      <c r="A205" s="98"/>
      <c r="B205" s="98"/>
      <c r="C205" s="98" t="str">
        <f>IFERROR(__xludf.DUMMYFUNCTION("""COMPUTED_VALUE"""),"-")</f>
        <v>-</v>
      </c>
      <c r="D205" s="98"/>
      <c r="E205" s="98"/>
      <c r="F205" s="100">
        <f>IFERROR(__xludf.DUMMYFUNCTION("""COMPUTED_VALUE"""),0.0)</f>
        <v>0</v>
      </c>
      <c r="G205" s="98"/>
      <c r="H205" s="98"/>
      <c r="I205" s="98"/>
      <c r="J205" s="98"/>
      <c r="K205" s="98"/>
      <c r="L205" s="98"/>
    </row>
    <row r="206">
      <c r="A206" s="98"/>
      <c r="B206" s="98"/>
      <c r="C206" s="98" t="str">
        <f>IFERROR(__xludf.DUMMYFUNCTION("""COMPUTED_VALUE"""),"-")</f>
        <v>-</v>
      </c>
      <c r="D206" s="98"/>
      <c r="E206" s="98"/>
      <c r="F206" s="100">
        <f>IFERROR(__xludf.DUMMYFUNCTION("""COMPUTED_VALUE"""),0.0)</f>
        <v>0</v>
      </c>
      <c r="G206" s="98"/>
      <c r="H206" s="98"/>
      <c r="I206" s="98"/>
      <c r="J206" s="98"/>
      <c r="K206" s="98"/>
      <c r="L206" s="98"/>
    </row>
    <row r="207">
      <c r="A207" s="98"/>
      <c r="B207" s="98"/>
      <c r="C207" s="98" t="str">
        <f>IFERROR(__xludf.DUMMYFUNCTION("""COMPUTED_VALUE"""),"-")</f>
        <v>-</v>
      </c>
      <c r="D207" s="98"/>
      <c r="E207" s="98"/>
      <c r="F207" s="100">
        <f>IFERROR(__xludf.DUMMYFUNCTION("""COMPUTED_VALUE"""),0.0)</f>
        <v>0</v>
      </c>
      <c r="G207" s="98"/>
      <c r="H207" s="98"/>
      <c r="I207" s="98"/>
      <c r="J207" s="98"/>
      <c r="K207" s="98"/>
      <c r="L207" s="98"/>
    </row>
    <row r="208">
      <c r="A208" s="98"/>
      <c r="B208" s="98"/>
      <c r="C208" s="98" t="str">
        <f>IFERROR(__xludf.DUMMYFUNCTION("""COMPUTED_VALUE"""),"-")</f>
        <v>-</v>
      </c>
      <c r="D208" s="98"/>
      <c r="E208" s="98"/>
      <c r="F208" s="100">
        <f>IFERROR(__xludf.DUMMYFUNCTION("""COMPUTED_VALUE"""),0.0)</f>
        <v>0</v>
      </c>
      <c r="G208" s="98"/>
      <c r="H208" s="98"/>
      <c r="I208" s="98"/>
      <c r="J208" s="98"/>
      <c r="K208" s="98"/>
      <c r="L208" s="98"/>
    </row>
    <row r="209">
      <c r="A209" s="98"/>
      <c r="B209" s="98"/>
      <c r="C209" s="98" t="str">
        <f>IFERROR(__xludf.DUMMYFUNCTION("""COMPUTED_VALUE"""),"-")</f>
        <v>-</v>
      </c>
      <c r="D209" s="98"/>
      <c r="E209" s="98"/>
      <c r="F209" s="100">
        <f>IFERROR(__xludf.DUMMYFUNCTION("""COMPUTED_VALUE"""),0.0)</f>
        <v>0</v>
      </c>
      <c r="G209" s="98"/>
      <c r="H209" s="98"/>
      <c r="I209" s="98"/>
      <c r="J209" s="98"/>
      <c r="K209" s="98"/>
      <c r="L209" s="98"/>
    </row>
    <row r="210">
      <c r="A210" s="98"/>
      <c r="B210" s="98"/>
      <c r="C210" s="98" t="str">
        <f>IFERROR(__xludf.DUMMYFUNCTION("""COMPUTED_VALUE"""),"-")</f>
        <v>-</v>
      </c>
      <c r="D210" s="98"/>
      <c r="E210" s="98"/>
      <c r="F210" s="100">
        <f>IFERROR(__xludf.DUMMYFUNCTION("""COMPUTED_VALUE"""),0.0)</f>
        <v>0</v>
      </c>
      <c r="G210" s="98"/>
      <c r="H210" s="98"/>
      <c r="I210" s="98"/>
      <c r="J210" s="98"/>
      <c r="K210" s="98"/>
      <c r="L210" s="98"/>
    </row>
    <row r="211">
      <c r="A211" s="98"/>
      <c r="B211" s="98"/>
      <c r="C211" s="98" t="str">
        <f>IFERROR(__xludf.DUMMYFUNCTION("""COMPUTED_VALUE"""),"-")</f>
        <v>-</v>
      </c>
      <c r="D211" s="98"/>
      <c r="E211" s="98"/>
      <c r="F211" s="100">
        <f>IFERROR(__xludf.DUMMYFUNCTION("""COMPUTED_VALUE"""),0.0)</f>
        <v>0</v>
      </c>
      <c r="G211" s="98"/>
      <c r="H211" s="98"/>
      <c r="I211" s="98"/>
      <c r="J211" s="98"/>
      <c r="K211" s="98"/>
      <c r="L211" s="98"/>
    </row>
    <row r="212">
      <c r="A212" s="98"/>
      <c r="B212" s="98"/>
      <c r="C212" s="98" t="str">
        <f>IFERROR(__xludf.DUMMYFUNCTION("""COMPUTED_VALUE"""),"-")</f>
        <v>-</v>
      </c>
      <c r="D212" s="98"/>
      <c r="E212" s="98"/>
      <c r="F212" s="100">
        <f>IFERROR(__xludf.DUMMYFUNCTION("""COMPUTED_VALUE"""),0.0)</f>
        <v>0</v>
      </c>
      <c r="G212" s="98"/>
      <c r="H212" s="98"/>
      <c r="I212" s="98"/>
      <c r="J212" s="98"/>
      <c r="K212" s="98"/>
      <c r="L212" s="98"/>
    </row>
    <row r="213">
      <c r="A213" s="98"/>
      <c r="B213" s="98"/>
      <c r="C213" s="98" t="str">
        <f>IFERROR(__xludf.DUMMYFUNCTION("""COMPUTED_VALUE"""),"-")</f>
        <v>-</v>
      </c>
      <c r="D213" s="98"/>
      <c r="E213" s="98"/>
      <c r="F213" s="100">
        <f>IFERROR(__xludf.DUMMYFUNCTION("""COMPUTED_VALUE"""),0.0)</f>
        <v>0</v>
      </c>
      <c r="G213" s="98"/>
      <c r="H213" s="98"/>
      <c r="I213" s="98"/>
      <c r="J213" s="98"/>
      <c r="K213" s="98"/>
      <c r="L213" s="98"/>
    </row>
    <row r="214">
      <c r="A214" s="98"/>
      <c r="B214" s="98"/>
      <c r="C214" s="98" t="str">
        <f>IFERROR(__xludf.DUMMYFUNCTION("""COMPUTED_VALUE"""),"-")</f>
        <v>-</v>
      </c>
      <c r="D214" s="98"/>
      <c r="E214" s="98"/>
      <c r="F214" s="100">
        <f>IFERROR(__xludf.DUMMYFUNCTION("""COMPUTED_VALUE"""),0.0)</f>
        <v>0</v>
      </c>
      <c r="G214" s="98"/>
      <c r="H214" s="98"/>
      <c r="I214" s="98"/>
      <c r="J214" s="98"/>
      <c r="K214" s="98"/>
      <c r="L214" s="98"/>
    </row>
    <row r="215">
      <c r="A215" s="98"/>
      <c r="B215" s="98"/>
      <c r="C215" s="98" t="str">
        <f>IFERROR(__xludf.DUMMYFUNCTION("""COMPUTED_VALUE"""),"-")</f>
        <v>-</v>
      </c>
      <c r="D215" s="98"/>
      <c r="E215" s="98"/>
      <c r="F215" s="100">
        <f>IFERROR(__xludf.DUMMYFUNCTION("""COMPUTED_VALUE"""),0.0)</f>
        <v>0</v>
      </c>
      <c r="G215" s="98"/>
      <c r="H215" s="98"/>
      <c r="I215" s="98"/>
      <c r="J215" s="98"/>
      <c r="K215" s="98"/>
      <c r="L215" s="98"/>
    </row>
    <row r="216">
      <c r="A216" s="98"/>
      <c r="B216" s="98"/>
      <c r="C216" s="98" t="str">
        <f>IFERROR(__xludf.DUMMYFUNCTION("""COMPUTED_VALUE"""),"-")</f>
        <v>-</v>
      </c>
      <c r="D216" s="98"/>
      <c r="E216" s="98"/>
      <c r="F216" s="100">
        <f>IFERROR(__xludf.DUMMYFUNCTION("""COMPUTED_VALUE"""),0.0)</f>
        <v>0</v>
      </c>
      <c r="G216" s="98"/>
      <c r="H216" s="98"/>
      <c r="I216" s="98"/>
      <c r="J216" s="98"/>
      <c r="K216" s="98"/>
      <c r="L216" s="98"/>
    </row>
    <row r="217">
      <c r="A217" s="98"/>
      <c r="B217" s="98"/>
      <c r="C217" s="98" t="str">
        <f>IFERROR(__xludf.DUMMYFUNCTION("""COMPUTED_VALUE"""),"-")</f>
        <v>-</v>
      </c>
      <c r="D217" s="98"/>
      <c r="E217" s="98"/>
      <c r="F217" s="100">
        <f>IFERROR(__xludf.DUMMYFUNCTION("""COMPUTED_VALUE"""),0.0)</f>
        <v>0</v>
      </c>
      <c r="G217" s="98"/>
      <c r="H217" s="98"/>
      <c r="I217" s="98"/>
      <c r="J217" s="98"/>
      <c r="K217" s="98"/>
      <c r="L217" s="98"/>
    </row>
    <row r="218">
      <c r="A218" s="98"/>
      <c r="B218" s="98"/>
      <c r="C218" s="98" t="str">
        <f>IFERROR(__xludf.DUMMYFUNCTION("""COMPUTED_VALUE"""),"-")</f>
        <v>-</v>
      </c>
      <c r="D218" s="98"/>
      <c r="E218" s="98"/>
      <c r="F218" s="100">
        <f>IFERROR(__xludf.DUMMYFUNCTION("""COMPUTED_VALUE"""),0.0)</f>
        <v>0</v>
      </c>
      <c r="G218" s="98"/>
      <c r="H218" s="98"/>
      <c r="I218" s="98"/>
      <c r="J218" s="98"/>
      <c r="K218" s="98"/>
      <c r="L218" s="98"/>
    </row>
    <row r="219">
      <c r="A219" s="98"/>
      <c r="B219" s="98"/>
      <c r="C219" s="98" t="str">
        <f>IFERROR(__xludf.DUMMYFUNCTION("""COMPUTED_VALUE"""),"-")</f>
        <v>-</v>
      </c>
      <c r="D219" s="98"/>
      <c r="E219" s="98"/>
      <c r="F219" s="100">
        <f>IFERROR(__xludf.DUMMYFUNCTION("""COMPUTED_VALUE"""),0.0)</f>
        <v>0</v>
      </c>
      <c r="G219" s="98"/>
      <c r="H219" s="98"/>
      <c r="I219" s="98"/>
      <c r="J219" s="98"/>
      <c r="K219" s="98"/>
      <c r="L219" s="98"/>
    </row>
    <row r="220">
      <c r="A220" s="98"/>
      <c r="B220" s="98"/>
      <c r="C220" s="98" t="str">
        <f>IFERROR(__xludf.DUMMYFUNCTION("""COMPUTED_VALUE"""),"-")</f>
        <v>-</v>
      </c>
      <c r="D220" s="98"/>
      <c r="E220" s="98"/>
      <c r="F220" s="100">
        <f>IFERROR(__xludf.DUMMYFUNCTION("""COMPUTED_VALUE"""),0.0)</f>
        <v>0</v>
      </c>
      <c r="G220" s="98"/>
      <c r="H220" s="98"/>
      <c r="I220" s="98"/>
      <c r="J220" s="98"/>
      <c r="K220" s="98"/>
      <c r="L220" s="98"/>
    </row>
    <row r="221">
      <c r="A221" s="98"/>
      <c r="B221" s="98"/>
      <c r="C221" s="98" t="str">
        <f>IFERROR(__xludf.DUMMYFUNCTION("""COMPUTED_VALUE"""),"-")</f>
        <v>-</v>
      </c>
      <c r="D221" s="98"/>
      <c r="E221" s="98"/>
      <c r="F221" s="100">
        <f>IFERROR(__xludf.DUMMYFUNCTION("""COMPUTED_VALUE"""),0.0)</f>
        <v>0</v>
      </c>
      <c r="G221" s="98"/>
      <c r="H221" s="98"/>
      <c r="I221" s="98"/>
      <c r="J221" s="98"/>
      <c r="K221" s="98"/>
      <c r="L221" s="98"/>
    </row>
    <row r="222">
      <c r="A222" s="98"/>
      <c r="B222" s="98"/>
      <c r="C222" s="98" t="str">
        <f>IFERROR(__xludf.DUMMYFUNCTION("""COMPUTED_VALUE"""),"-")</f>
        <v>-</v>
      </c>
      <c r="D222" s="98"/>
      <c r="E222" s="98"/>
      <c r="F222" s="100">
        <f>IFERROR(__xludf.DUMMYFUNCTION("""COMPUTED_VALUE"""),0.0)</f>
        <v>0</v>
      </c>
      <c r="G222" s="98"/>
      <c r="H222" s="98"/>
      <c r="I222" s="98"/>
      <c r="J222" s="98"/>
      <c r="K222" s="98"/>
      <c r="L222" s="98"/>
    </row>
    <row r="223">
      <c r="A223" s="98"/>
      <c r="B223" s="98"/>
      <c r="C223" s="98" t="str">
        <f>IFERROR(__xludf.DUMMYFUNCTION("""COMPUTED_VALUE"""),"-")</f>
        <v>-</v>
      </c>
      <c r="D223" s="98"/>
      <c r="E223" s="98"/>
      <c r="F223" s="100">
        <f>IFERROR(__xludf.DUMMYFUNCTION("""COMPUTED_VALUE"""),0.0)</f>
        <v>0</v>
      </c>
      <c r="G223" s="98"/>
      <c r="H223" s="98"/>
      <c r="I223" s="98"/>
      <c r="J223" s="98"/>
      <c r="K223" s="98"/>
      <c r="L223" s="98"/>
    </row>
    <row r="224">
      <c r="A224" s="98"/>
      <c r="B224" s="98"/>
      <c r="C224" s="98" t="str">
        <f>IFERROR(__xludf.DUMMYFUNCTION("""COMPUTED_VALUE"""),"-")</f>
        <v>-</v>
      </c>
      <c r="D224" s="98"/>
      <c r="E224" s="98"/>
      <c r="F224" s="100">
        <f>IFERROR(__xludf.DUMMYFUNCTION("""COMPUTED_VALUE"""),0.0)</f>
        <v>0</v>
      </c>
      <c r="G224" s="98"/>
      <c r="H224" s="98"/>
      <c r="I224" s="98"/>
      <c r="J224" s="98"/>
      <c r="K224" s="98"/>
      <c r="L224" s="98"/>
    </row>
    <row r="225">
      <c r="A225" s="98"/>
      <c r="B225" s="98"/>
      <c r="C225" s="98" t="str">
        <f>IFERROR(__xludf.DUMMYFUNCTION("""COMPUTED_VALUE"""),"-")</f>
        <v>-</v>
      </c>
      <c r="D225" s="98"/>
      <c r="E225" s="98"/>
      <c r="F225" s="100">
        <f>IFERROR(__xludf.DUMMYFUNCTION("""COMPUTED_VALUE"""),0.0)</f>
        <v>0</v>
      </c>
      <c r="G225" s="98"/>
      <c r="H225" s="98"/>
      <c r="I225" s="98"/>
      <c r="J225" s="98"/>
      <c r="K225" s="98"/>
      <c r="L225" s="98"/>
    </row>
    <row r="226">
      <c r="A226" s="98"/>
      <c r="B226" s="98"/>
      <c r="C226" s="98" t="str">
        <f>IFERROR(__xludf.DUMMYFUNCTION("""COMPUTED_VALUE"""),"-")</f>
        <v>-</v>
      </c>
      <c r="D226" s="98"/>
      <c r="E226" s="98"/>
      <c r="F226" s="100">
        <f>IFERROR(__xludf.DUMMYFUNCTION("""COMPUTED_VALUE"""),0.0)</f>
        <v>0</v>
      </c>
      <c r="G226" s="98"/>
      <c r="H226" s="98"/>
      <c r="I226" s="98"/>
      <c r="J226" s="98"/>
      <c r="K226" s="98"/>
      <c r="L226" s="98"/>
    </row>
    <row r="227">
      <c r="A227" s="98"/>
      <c r="B227" s="98"/>
      <c r="C227" s="98" t="str">
        <f>IFERROR(__xludf.DUMMYFUNCTION("""COMPUTED_VALUE"""),"-")</f>
        <v>-</v>
      </c>
      <c r="D227" s="98"/>
      <c r="E227" s="98"/>
      <c r="F227" s="100">
        <f>IFERROR(__xludf.DUMMYFUNCTION("""COMPUTED_VALUE"""),0.0)</f>
        <v>0</v>
      </c>
      <c r="G227" s="98"/>
      <c r="H227" s="98"/>
      <c r="I227" s="98"/>
      <c r="J227" s="98"/>
      <c r="K227" s="98"/>
      <c r="L227" s="98"/>
    </row>
    <row r="228">
      <c r="A228" s="98"/>
      <c r="B228" s="98"/>
      <c r="C228" s="98" t="str">
        <f>IFERROR(__xludf.DUMMYFUNCTION("""COMPUTED_VALUE"""),"-")</f>
        <v>-</v>
      </c>
      <c r="D228" s="98"/>
      <c r="E228" s="98"/>
      <c r="F228" s="100">
        <f>IFERROR(__xludf.DUMMYFUNCTION("""COMPUTED_VALUE"""),0.0)</f>
        <v>0</v>
      </c>
      <c r="G228" s="98"/>
      <c r="H228" s="98"/>
      <c r="I228" s="98"/>
      <c r="J228" s="98"/>
      <c r="K228" s="98"/>
      <c r="L228" s="98"/>
    </row>
    <row r="229">
      <c r="A229" s="98"/>
      <c r="B229" s="98"/>
      <c r="C229" s="98" t="str">
        <f>IFERROR(__xludf.DUMMYFUNCTION("""COMPUTED_VALUE"""),"-")</f>
        <v>-</v>
      </c>
      <c r="D229" s="98"/>
      <c r="E229" s="98"/>
      <c r="F229" s="100">
        <f>IFERROR(__xludf.DUMMYFUNCTION("""COMPUTED_VALUE"""),0.0)</f>
        <v>0</v>
      </c>
      <c r="G229" s="98"/>
      <c r="H229" s="98"/>
      <c r="I229" s="98"/>
      <c r="J229" s="98"/>
      <c r="K229" s="98"/>
      <c r="L229" s="98"/>
    </row>
    <row r="230">
      <c r="A230" s="98"/>
      <c r="B230" s="98"/>
      <c r="C230" s="98" t="str">
        <f>IFERROR(__xludf.DUMMYFUNCTION("""COMPUTED_VALUE"""),"-")</f>
        <v>-</v>
      </c>
      <c r="D230" s="98"/>
      <c r="E230" s="98"/>
      <c r="F230" s="100">
        <f>IFERROR(__xludf.DUMMYFUNCTION("""COMPUTED_VALUE"""),0.0)</f>
        <v>0</v>
      </c>
      <c r="G230" s="98"/>
      <c r="H230" s="98"/>
      <c r="I230" s="98"/>
      <c r="J230" s="98"/>
      <c r="K230" s="98"/>
      <c r="L230" s="98"/>
    </row>
    <row r="231">
      <c r="A231" s="98"/>
      <c r="B231" s="98"/>
      <c r="C231" s="98" t="str">
        <f>IFERROR(__xludf.DUMMYFUNCTION("""COMPUTED_VALUE"""),"-")</f>
        <v>-</v>
      </c>
      <c r="D231" s="98"/>
      <c r="E231" s="98"/>
      <c r="F231" s="100">
        <f>IFERROR(__xludf.DUMMYFUNCTION("""COMPUTED_VALUE"""),0.0)</f>
        <v>0</v>
      </c>
      <c r="G231" s="98"/>
      <c r="H231" s="98"/>
      <c r="I231" s="98"/>
      <c r="J231" s="98"/>
      <c r="K231" s="98"/>
      <c r="L231" s="98"/>
    </row>
    <row r="232">
      <c r="A232" s="98"/>
      <c r="B232" s="98"/>
      <c r="C232" s="98" t="str">
        <f>IFERROR(__xludf.DUMMYFUNCTION("""COMPUTED_VALUE"""),"-")</f>
        <v>-</v>
      </c>
      <c r="D232" s="98"/>
      <c r="E232" s="98"/>
      <c r="F232" s="100">
        <f>IFERROR(__xludf.DUMMYFUNCTION("""COMPUTED_VALUE"""),0.0)</f>
        <v>0</v>
      </c>
      <c r="G232" s="98"/>
      <c r="H232" s="98"/>
      <c r="I232" s="98"/>
      <c r="J232" s="98"/>
      <c r="K232" s="98"/>
      <c r="L232" s="98"/>
    </row>
    <row r="233">
      <c r="A233" s="98"/>
      <c r="B233" s="98"/>
      <c r="C233" s="98" t="str">
        <f>IFERROR(__xludf.DUMMYFUNCTION("""COMPUTED_VALUE"""),"-")</f>
        <v>-</v>
      </c>
      <c r="D233" s="98"/>
      <c r="E233" s="98"/>
      <c r="F233" s="100">
        <f>IFERROR(__xludf.DUMMYFUNCTION("""COMPUTED_VALUE"""),0.0)</f>
        <v>0</v>
      </c>
      <c r="G233" s="98"/>
      <c r="H233" s="98"/>
      <c r="I233" s="98"/>
      <c r="J233" s="98"/>
      <c r="K233" s="98"/>
      <c r="L233" s="98"/>
    </row>
    <row r="234">
      <c r="A234" s="98"/>
      <c r="B234" s="98"/>
      <c r="C234" s="98" t="str">
        <f>IFERROR(__xludf.DUMMYFUNCTION("""COMPUTED_VALUE"""),"-")</f>
        <v>-</v>
      </c>
      <c r="D234" s="98"/>
      <c r="E234" s="98"/>
      <c r="F234" s="100">
        <f>IFERROR(__xludf.DUMMYFUNCTION("""COMPUTED_VALUE"""),0.0)</f>
        <v>0</v>
      </c>
      <c r="G234" s="98"/>
      <c r="H234" s="98"/>
      <c r="I234" s="98"/>
      <c r="J234" s="98"/>
      <c r="K234" s="98"/>
      <c r="L234" s="98"/>
    </row>
    <row r="235">
      <c r="A235" s="98"/>
      <c r="B235" s="98"/>
      <c r="C235" s="98" t="str">
        <f>IFERROR(__xludf.DUMMYFUNCTION("""COMPUTED_VALUE"""),"-")</f>
        <v>-</v>
      </c>
      <c r="D235" s="98"/>
      <c r="E235" s="98"/>
      <c r="F235" s="100">
        <f>IFERROR(__xludf.DUMMYFUNCTION("""COMPUTED_VALUE"""),0.0)</f>
        <v>0</v>
      </c>
      <c r="G235" s="98"/>
      <c r="H235" s="98"/>
      <c r="I235" s="98"/>
      <c r="J235" s="98"/>
      <c r="K235" s="98"/>
      <c r="L235" s="98"/>
    </row>
    <row r="236">
      <c r="A236" s="98"/>
      <c r="B236" s="98"/>
      <c r="C236" s="98" t="str">
        <f>IFERROR(__xludf.DUMMYFUNCTION("""COMPUTED_VALUE"""),"-")</f>
        <v>-</v>
      </c>
      <c r="D236" s="98"/>
      <c r="E236" s="98"/>
      <c r="F236" s="100">
        <f>IFERROR(__xludf.DUMMYFUNCTION("""COMPUTED_VALUE"""),0.0)</f>
        <v>0</v>
      </c>
      <c r="G236" s="98"/>
      <c r="H236" s="98"/>
      <c r="I236" s="98"/>
      <c r="J236" s="98"/>
      <c r="K236" s="98"/>
      <c r="L236" s="98"/>
    </row>
    <row r="237">
      <c r="A237" s="98"/>
      <c r="B237" s="98"/>
      <c r="C237" s="98" t="str">
        <f>IFERROR(__xludf.DUMMYFUNCTION("""COMPUTED_VALUE"""),"-")</f>
        <v>-</v>
      </c>
      <c r="D237" s="98"/>
      <c r="E237" s="98"/>
      <c r="F237" s="100">
        <f>IFERROR(__xludf.DUMMYFUNCTION("""COMPUTED_VALUE"""),0.0)</f>
        <v>0</v>
      </c>
      <c r="G237" s="98"/>
      <c r="H237" s="98"/>
      <c r="I237" s="98"/>
      <c r="J237" s="98"/>
      <c r="K237" s="98"/>
      <c r="L237" s="98"/>
    </row>
    <row r="238">
      <c r="A238" s="98"/>
      <c r="B238" s="98"/>
      <c r="C238" s="98" t="str">
        <f>IFERROR(__xludf.DUMMYFUNCTION("""COMPUTED_VALUE"""),"-")</f>
        <v>-</v>
      </c>
      <c r="D238" s="98"/>
      <c r="E238" s="98"/>
      <c r="F238" s="100">
        <f>IFERROR(__xludf.DUMMYFUNCTION("""COMPUTED_VALUE"""),0.0)</f>
        <v>0</v>
      </c>
      <c r="G238" s="98"/>
      <c r="H238" s="98"/>
      <c r="I238" s="98"/>
      <c r="J238" s="98"/>
      <c r="K238" s="98"/>
      <c r="L238" s="98"/>
    </row>
    <row r="239">
      <c r="A239" s="98"/>
      <c r="B239" s="98"/>
      <c r="C239" s="98" t="str">
        <f>IFERROR(__xludf.DUMMYFUNCTION("""COMPUTED_VALUE"""),"-")</f>
        <v>-</v>
      </c>
      <c r="D239" s="98"/>
      <c r="E239" s="98"/>
      <c r="F239" s="100">
        <f>IFERROR(__xludf.DUMMYFUNCTION("""COMPUTED_VALUE"""),0.0)</f>
        <v>0</v>
      </c>
      <c r="G239" s="98"/>
      <c r="H239" s="98"/>
      <c r="I239" s="98"/>
      <c r="J239" s="98"/>
      <c r="K239" s="98"/>
      <c r="L239" s="98"/>
    </row>
    <row r="240">
      <c r="A240" s="98"/>
      <c r="B240" s="98"/>
      <c r="C240" s="98" t="str">
        <f>IFERROR(__xludf.DUMMYFUNCTION("""COMPUTED_VALUE"""),"-")</f>
        <v>-</v>
      </c>
      <c r="D240" s="98"/>
      <c r="E240" s="98"/>
      <c r="F240" s="100">
        <f>IFERROR(__xludf.DUMMYFUNCTION("""COMPUTED_VALUE"""),0.0)</f>
        <v>0</v>
      </c>
      <c r="G240" s="98"/>
      <c r="H240" s="98"/>
      <c r="I240" s="98"/>
      <c r="J240" s="98"/>
      <c r="K240" s="98"/>
      <c r="L240" s="98"/>
    </row>
    <row r="241">
      <c r="A241" s="98"/>
      <c r="B241" s="98"/>
      <c r="C241" s="98" t="str">
        <f>IFERROR(__xludf.DUMMYFUNCTION("""COMPUTED_VALUE"""),"-")</f>
        <v>-</v>
      </c>
      <c r="D241" s="98"/>
      <c r="E241" s="98"/>
      <c r="F241" s="100">
        <f>IFERROR(__xludf.DUMMYFUNCTION("""COMPUTED_VALUE"""),0.0)</f>
        <v>0</v>
      </c>
      <c r="G241" s="98"/>
      <c r="H241" s="98"/>
      <c r="I241" s="98"/>
      <c r="J241" s="98"/>
      <c r="K241" s="98"/>
      <c r="L241" s="98"/>
    </row>
    <row r="242">
      <c r="A242" s="98"/>
      <c r="B242" s="98"/>
      <c r="C242" s="98" t="str">
        <f>IFERROR(__xludf.DUMMYFUNCTION("""COMPUTED_VALUE"""),"-")</f>
        <v>-</v>
      </c>
      <c r="D242" s="98"/>
      <c r="E242" s="98"/>
      <c r="F242" s="100">
        <f>IFERROR(__xludf.DUMMYFUNCTION("""COMPUTED_VALUE"""),0.0)</f>
        <v>0</v>
      </c>
      <c r="G242" s="98"/>
      <c r="H242" s="98"/>
      <c r="I242" s="98"/>
      <c r="J242" s="98"/>
      <c r="K242" s="98"/>
      <c r="L242" s="98"/>
    </row>
    <row r="243">
      <c r="A243" s="98"/>
      <c r="B243" s="98"/>
      <c r="C243" s="98" t="str">
        <f>IFERROR(__xludf.DUMMYFUNCTION("""COMPUTED_VALUE"""),"-")</f>
        <v>-</v>
      </c>
      <c r="D243" s="98"/>
      <c r="E243" s="98"/>
      <c r="F243" s="100">
        <f>IFERROR(__xludf.DUMMYFUNCTION("""COMPUTED_VALUE"""),0.0)</f>
        <v>0</v>
      </c>
      <c r="G243" s="98"/>
      <c r="H243" s="98"/>
      <c r="I243" s="98"/>
      <c r="J243" s="98"/>
      <c r="K243" s="98"/>
      <c r="L243" s="98"/>
    </row>
    <row r="244">
      <c r="A244" s="98"/>
      <c r="B244" s="98"/>
      <c r="C244" s="98" t="str">
        <f>IFERROR(__xludf.DUMMYFUNCTION("""COMPUTED_VALUE"""),"-")</f>
        <v>-</v>
      </c>
      <c r="D244" s="98"/>
      <c r="E244" s="98"/>
      <c r="F244" s="100">
        <f>IFERROR(__xludf.DUMMYFUNCTION("""COMPUTED_VALUE"""),0.0)</f>
        <v>0</v>
      </c>
      <c r="G244" s="98"/>
      <c r="H244" s="98"/>
      <c r="I244" s="98"/>
      <c r="J244" s="98"/>
      <c r="K244" s="98"/>
      <c r="L244" s="98"/>
    </row>
    <row r="245">
      <c r="A245" s="98"/>
      <c r="B245" s="98"/>
      <c r="C245" s="98" t="str">
        <f>IFERROR(__xludf.DUMMYFUNCTION("""COMPUTED_VALUE"""),"-")</f>
        <v>-</v>
      </c>
      <c r="D245" s="98"/>
      <c r="E245" s="98"/>
      <c r="F245" s="100">
        <f>IFERROR(__xludf.DUMMYFUNCTION("""COMPUTED_VALUE"""),0.0)</f>
        <v>0</v>
      </c>
      <c r="G245" s="98"/>
      <c r="H245" s="98"/>
      <c r="I245" s="98"/>
      <c r="J245" s="98"/>
      <c r="K245" s="98"/>
      <c r="L245" s="98"/>
    </row>
    <row r="246">
      <c r="A246" s="98"/>
      <c r="B246" s="98"/>
      <c r="C246" s="98" t="str">
        <f>IFERROR(__xludf.DUMMYFUNCTION("""COMPUTED_VALUE"""),"-")</f>
        <v>-</v>
      </c>
      <c r="D246" s="98"/>
      <c r="E246" s="98"/>
      <c r="F246" s="100">
        <f>IFERROR(__xludf.DUMMYFUNCTION("""COMPUTED_VALUE"""),0.0)</f>
        <v>0</v>
      </c>
      <c r="G246" s="98"/>
      <c r="H246" s="98"/>
      <c r="I246" s="98"/>
      <c r="J246" s="98"/>
      <c r="K246" s="98"/>
      <c r="L246" s="98"/>
    </row>
    <row r="247">
      <c r="A247" s="98"/>
      <c r="B247" s="98"/>
      <c r="C247" s="98" t="str">
        <f>IFERROR(__xludf.DUMMYFUNCTION("""COMPUTED_VALUE"""),"-")</f>
        <v>-</v>
      </c>
      <c r="D247" s="98"/>
      <c r="E247" s="98"/>
      <c r="F247" s="100">
        <f>IFERROR(__xludf.DUMMYFUNCTION("""COMPUTED_VALUE"""),0.0)</f>
        <v>0</v>
      </c>
      <c r="G247" s="98"/>
      <c r="H247" s="98"/>
      <c r="I247" s="98"/>
      <c r="J247" s="98"/>
      <c r="K247" s="98"/>
      <c r="L247" s="98"/>
    </row>
    <row r="248">
      <c r="A248" s="98"/>
      <c r="B248" s="98"/>
      <c r="C248" s="98" t="str">
        <f>IFERROR(__xludf.DUMMYFUNCTION("""COMPUTED_VALUE"""),"-")</f>
        <v>-</v>
      </c>
      <c r="D248" s="98"/>
      <c r="E248" s="98"/>
      <c r="F248" s="100">
        <f>IFERROR(__xludf.DUMMYFUNCTION("""COMPUTED_VALUE"""),0.0)</f>
        <v>0</v>
      </c>
      <c r="G248" s="98"/>
      <c r="H248" s="98"/>
      <c r="I248" s="98"/>
      <c r="J248" s="98"/>
      <c r="K248" s="98"/>
      <c r="L248" s="98"/>
    </row>
    <row r="249">
      <c r="A249" s="98"/>
      <c r="B249" s="98"/>
      <c r="C249" s="98" t="str">
        <f>IFERROR(__xludf.DUMMYFUNCTION("""COMPUTED_VALUE"""),"-")</f>
        <v>-</v>
      </c>
      <c r="D249" s="98"/>
      <c r="E249" s="98"/>
      <c r="F249" s="100">
        <f>IFERROR(__xludf.DUMMYFUNCTION("""COMPUTED_VALUE"""),0.0)</f>
        <v>0</v>
      </c>
      <c r="G249" s="98"/>
      <c r="H249" s="98"/>
      <c r="I249" s="98"/>
      <c r="J249" s="98"/>
      <c r="K249" s="98"/>
      <c r="L249" s="98"/>
    </row>
    <row r="250">
      <c r="A250" s="98"/>
      <c r="B250" s="98"/>
      <c r="C250" s="98" t="str">
        <f>IFERROR(__xludf.DUMMYFUNCTION("""COMPUTED_VALUE"""),"-")</f>
        <v>-</v>
      </c>
      <c r="D250" s="98"/>
      <c r="E250" s="98"/>
      <c r="F250" s="100">
        <f>IFERROR(__xludf.DUMMYFUNCTION("""COMPUTED_VALUE"""),0.0)</f>
        <v>0</v>
      </c>
      <c r="G250" s="98"/>
      <c r="H250" s="98"/>
      <c r="I250" s="98"/>
      <c r="J250" s="98"/>
      <c r="K250" s="98"/>
      <c r="L250" s="98"/>
    </row>
    <row r="251">
      <c r="A251" s="98"/>
      <c r="B251" s="98"/>
      <c r="C251" s="98" t="str">
        <f>IFERROR(__xludf.DUMMYFUNCTION("""COMPUTED_VALUE"""),"-")</f>
        <v>-</v>
      </c>
      <c r="D251" s="98"/>
      <c r="E251" s="98"/>
      <c r="F251" s="100">
        <f>IFERROR(__xludf.DUMMYFUNCTION("""COMPUTED_VALUE"""),0.0)</f>
        <v>0</v>
      </c>
      <c r="G251" s="98"/>
      <c r="H251" s="98"/>
      <c r="I251" s="98"/>
      <c r="J251" s="98"/>
      <c r="K251" s="98"/>
      <c r="L251" s="98"/>
    </row>
    <row r="252">
      <c r="A252" s="98"/>
      <c r="B252" s="98"/>
      <c r="C252" s="98" t="str">
        <f>IFERROR(__xludf.DUMMYFUNCTION("""COMPUTED_VALUE"""),"-")</f>
        <v>-</v>
      </c>
      <c r="D252" s="98"/>
      <c r="E252" s="98"/>
      <c r="F252" s="100">
        <f>IFERROR(__xludf.DUMMYFUNCTION("""COMPUTED_VALUE"""),0.0)</f>
        <v>0</v>
      </c>
      <c r="G252" s="98"/>
      <c r="H252" s="98"/>
      <c r="I252" s="98"/>
      <c r="J252" s="98"/>
      <c r="K252" s="98"/>
      <c r="L252" s="98"/>
    </row>
    <row r="253">
      <c r="A253" s="98"/>
      <c r="B253" s="98"/>
      <c r="C253" s="98" t="str">
        <f>IFERROR(__xludf.DUMMYFUNCTION("""COMPUTED_VALUE"""),"-")</f>
        <v>-</v>
      </c>
      <c r="D253" s="98"/>
      <c r="E253" s="98"/>
      <c r="F253" s="100">
        <f>IFERROR(__xludf.DUMMYFUNCTION("""COMPUTED_VALUE"""),0.0)</f>
        <v>0</v>
      </c>
      <c r="G253" s="98"/>
      <c r="H253" s="98"/>
      <c r="I253" s="98"/>
      <c r="J253" s="98"/>
      <c r="K253" s="98"/>
      <c r="L253" s="98"/>
    </row>
    <row r="254">
      <c r="A254" s="98"/>
      <c r="B254" s="98"/>
      <c r="C254" s="98" t="str">
        <f>IFERROR(__xludf.DUMMYFUNCTION("""COMPUTED_VALUE"""),"-")</f>
        <v>-</v>
      </c>
      <c r="D254" s="98"/>
      <c r="E254" s="98"/>
      <c r="F254" s="100">
        <f>IFERROR(__xludf.DUMMYFUNCTION("""COMPUTED_VALUE"""),0.0)</f>
        <v>0</v>
      </c>
      <c r="G254" s="98"/>
      <c r="H254" s="98"/>
      <c r="I254" s="98"/>
      <c r="J254" s="98"/>
      <c r="K254" s="98"/>
      <c r="L254" s="98"/>
    </row>
    <row r="255">
      <c r="A255" s="98"/>
      <c r="B255" s="98"/>
      <c r="C255" s="98" t="str">
        <f>IFERROR(__xludf.DUMMYFUNCTION("""COMPUTED_VALUE"""),"-")</f>
        <v>-</v>
      </c>
      <c r="D255" s="98"/>
      <c r="E255" s="98"/>
      <c r="F255" s="100">
        <f>IFERROR(__xludf.DUMMYFUNCTION("""COMPUTED_VALUE"""),0.0)</f>
        <v>0</v>
      </c>
      <c r="G255" s="98"/>
      <c r="H255" s="98"/>
      <c r="I255" s="98"/>
      <c r="J255" s="98"/>
      <c r="K255" s="98"/>
      <c r="L255" s="98"/>
    </row>
    <row r="256">
      <c r="A256" s="98"/>
      <c r="B256" s="98"/>
      <c r="C256" s="98" t="str">
        <f>IFERROR(__xludf.DUMMYFUNCTION("""COMPUTED_VALUE"""),"-")</f>
        <v>-</v>
      </c>
      <c r="D256" s="98"/>
      <c r="E256" s="98"/>
      <c r="F256" s="100">
        <f>IFERROR(__xludf.DUMMYFUNCTION("""COMPUTED_VALUE"""),0.0)</f>
        <v>0</v>
      </c>
      <c r="G256" s="98"/>
      <c r="H256" s="98"/>
      <c r="I256" s="98"/>
      <c r="J256" s="98"/>
      <c r="K256" s="98"/>
      <c r="L256" s="98"/>
    </row>
    <row r="257">
      <c r="A257" s="98"/>
      <c r="B257" s="98"/>
      <c r="C257" s="98" t="str">
        <f>IFERROR(__xludf.DUMMYFUNCTION("""COMPUTED_VALUE"""),"-")</f>
        <v>-</v>
      </c>
      <c r="D257" s="98"/>
      <c r="E257" s="98"/>
      <c r="F257" s="100">
        <f>IFERROR(__xludf.DUMMYFUNCTION("""COMPUTED_VALUE"""),0.0)</f>
        <v>0</v>
      </c>
      <c r="G257" s="98"/>
      <c r="H257" s="98"/>
      <c r="I257" s="98"/>
      <c r="J257" s="98"/>
      <c r="K257" s="98"/>
      <c r="L257" s="98"/>
    </row>
    <row r="258">
      <c r="A258" s="98"/>
      <c r="B258" s="98"/>
      <c r="C258" s="98" t="str">
        <f>IFERROR(__xludf.DUMMYFUNCTION("""COMPUTED_VALUE"""),"-")</f>
        <v>-</v>
      </c>
      <c r="D258" s="98"/>
      <c r="E258" s="98"/>
      <c r="F258" s="100">
        <f>IFERROR(__xludf.DUMMYFUNCTION("""COMPUTED_VALUE"""),0.0)</f>
        <v>0</v>
      </c>
      <c r="G258" s="98"/>
      <c r="H258" s="98"/>
      <c r="I258" s="98"/>
      <c r="J258" s="98"/>
      <c r="K258" s="98"/>
      <c r="L258" s="98"/>
    </row>
    <row r="259">
      <c r="A259" s="98"/>
      <c r="B259" s="98"/>
      <c r="C259" s="98" t="str">
        <f>IFERROR(__xludf.DUMMYFUNCTION("""COMPUTED_VALUE"""),"-")</f>
        <v>-</v>
      </c>
      <c r="D259" s="98"/>
      <c r="E259" s="98"/>
      <c r="F259" s="100">
        <f>IFERROR(__xludf.DUMMYFUNCTION("""COMPUTED_VALUE"""),0.0)</f>
        <v>0</v>
      </c>
      <c r="G259" s="98"/>
      <c r="H259" s="98"/>
      <c r="I259" s="98"/>
      <c r="J259" s="98"/>
      <c r="K259" s="98"/>
      <c r="L259" s="98"/>
    </row>
    <row r="260">
      <c r="A260" s="98"/>
      <c r="B260" s="98"/>
      <c r="C260" s="98" t="str">
        <f>IFERROR(__xludf.DUMMYFUNCTION("""COMPUTED_VALUE"""),"-")</f>
        <v>-</v>
      </c>
      <c r="D260" s="98"/>
      <c r="E260" s="98"/>
      <c r="F260" s="100">
        <f>IFERROR(__xludf.DUMMYFUNCTION("""COMPUTED_VALUE"""),0.0)</f>
        <v>0</v>
      </c>
      <c r="G260" s="98"/>
      <c r="H260" s="98"/>
      <c r="I260" s="98"/>
      <c r="J260" s="98"/>
      <c r="K260" s="98"/>
      <c r="L260" s="98"/>
    </row>
    <row r="261">
      <c r="A261" s="98"/>
      <c r="B261" s="98"/>
      <c r="C261" s="98" t="str">
        <f>IFERROR(__xludf.DUMMYFUNCTION("""COMPUTED_VALUE"""),"-")</f>
        <v>-</v>
      </c>
      <c r="D261" s="98"/>
      <c r="E261" s="98"/>
      <c r="F261" s="100">
        <f>IFERROR(__xludf.DUMMYFUNCTION("""COMPUTED_VALUE"""),0.0)</f>
        <v>0</v>
      </c>
      <c r="G261" s="98"/>
      <c r="H261" s="98"/>
      <c r="I261" s="98"/>
      <c r="J261" s="98"/>
      <c r="K261" s="98"/>
      <c r="L261" s="98"/>
    </row>
    <row r="262">
      <c r="A262" s="98"/>
      <c r="B262" s="98"/>
      <c r="C262" s="98" t="str">
        <f>IFERROR(__xludf.DUMMYFUNCTION("""COMPUTED_VALUE"""),"-")</f>
        <v>-</v>
      </c>
      <c r="D262" s="98"/>
      <c r="E262" s="98"/>
      <c r="F262" s="100">
        <f>IFERROR(__xludf.DUMMYFUNCTION("""COMPUTED_VALUE"""),0.0)</f>
        <v>0</v>
      </c>
      <c r="G262" s="98"/>
      <c r="H262" s="98"/>
      <c r="I262" s="98"/>
      <c r="J262" s="98"/>
      <c r="K262" s="98"/>
      <c r="L262" s="98"/>
    </row>
    <row r="263">
      <c r="A263" s="98"/>
      <c r="B263" s="98"/>
      <c r="C263" s="98" t="str">
        <f>IFERROR(__xludf.DUMMYFUNCTION("""COMPUTED_VALUE"""),"-")</f>
        <v>-</v>
      </c>
      <c r="D263" s="98"/>
      <c r="E263" s="98"/>
      <c r="F263" s="100">
        <f>IFERROR(__xludf.DUMMYFUNCTION("""COMPUTED_VALUE"""),0.0)</f>
        <v>0</v>
      </c>
      <c r="G263" s="98"/>
      <c r="H263" s="98"/>
      <c r="I263" s="98"/>
      <c r="J263" s="98"/>
      <c r="K263" s="98"/>
      <c r="L263" s="98"/>
    </row>
    <row r="264">
      <c r="A264" s="98"/>
      <c r="B264" s="98"/>
      <c r="C264" s="98" t="str">
        <f>IFERROR(__xludf.DUMMYFUNCTION("""COMPUTED_VALUE"""),"-")</f>
        <v>-</v>
      </c>
      <c r="D264" s="98"/>
      <c r="E264" s="98"/>
      <c r="F264" s="100">
        <f>IFERROR(__xludf.DUMMYFUNCTION("""COMPUTED_VALUE"""),0.0)</f>
        <v>0</v>
      </c>
      <c r="G264" s="98"/>
      <c r="H264" s="98"/>
      <c r="I264" s="98"/>
      <c r="J264" s="98"/>
      <c r="K264" s="98"/>
      <c r="L264" s="98"/>
    </row>
    <row r="265">
      <c r="A265" s="98"/>
      <c r="B265" s="98"/>
      <c r="C265" s="98" t="str">
        <f>IFERROR(__xludf.DUMMYFUNCTION("""COMPUTED_VALUE"""),"-")</f>
        <v>-</v>
      </c>
      <c r="D265" s="98"/>
      <c r="E265" s="98"/>
      <c r="F265" s="100">
        <f>IFERROR(__xludf.DUMMYFUNCTION("""COMPUTED_VALUE"""),0.0)</f>
        <v>0</v>
      </c>
      <c r="G265" s="98"/>
      <c r="H265" s="98"/>
      <c r="I265" s="98"/>
      <c r="J265" s="98"/>
      <c r="K265" s="98"/>
      <c r="L265" s="98"/>
    </row>
    <row r="266">
      <c r="A266" s="98"/>
      <c r="B266" s="98"/>
      <c r="C266" s="98" t="str">
        <f>IFERROR(__xludf.DUMMYFUNCTION("""COMPUTED_VALUE"""),"-")</f>
        <v>-</v>
      </c>
      <c r="D266" s="98"/>
      <c r="E266" s="98"/>
      <c r="F266" s="100">
        <f>IFERROR(__xludf.DUMMYFUNCTION("""COMPUTED_VALUE"""),0.0)</f>
        <v>0</v>
      </c>
      <c r="G266" s="98"/>
      <c r="H266" s="98"/>
      <c r="I266" s="98"/>
      <c r="J266" s="98"/>
      <c r="K266" s="98"/>
      <c r="L266" s="98"/>
    </row>
    <row r="267">
      <c r="A267" s="98"/>
      <c r="B267" s="98"/>
      <c r="C267" s="98" t="str">
        <f>IFERROR(__xludf.DUMMYFUNCTION("""COMPUTED_VALUE"""),"-")</f>
        <v>-</v>
      </c>
      <c r="D267" s="98"/>
      <c r="E267" s="98"/>
      <c r="F267" s="100">
        <f>IFERROR(__xludf.DUMMYFUNCTION("""COMPUTED_VALUE"""),0.0)</f>
        <v>0</v>
      </c>
      <c r="G267" s="98"/>
      <c r="H267" s="98"/>
      <c r="I267" s="98"/>
      <c r="J267" s="98"/>
      <c r="K267" s="98"/>
      <c r="L267" s="98"/>
    </row>
    <row r="268">
      <c r="A268" s="98"/>
      <c r="B268" s="98"/>
      <c r="C268" s="98" t="str">
        <f>IFERROR(__xludf.DUMMYFUNCTION("""COMPUTED_VALUE"""),"-")</f>
        <v>-</v>
      </c>
      <c r="D268" s="98"/>
      <c r="E268" s="98"/>
      <c r="F268" s="100">
        <f>IFERROR(__xludf.DUMMYFUNCTION("""COMPUTED_VALUE"""),0.0)</f>
        <v>0</v>
      </c>
      <c r="G268" s="98"/>
      <c r="H268" s="98"/>
      <c r="I268" s="98"/>
      <c r="J268" s="98"/>
      <c r="K268" s="98"/>
      <c r="L268" s="98"/>
    </row>
    <row r="269">
      <c r="A269" s="98"/>
      <c r="B269" s="98"/>
      <c r="C269" s="98" t="str">
        <f>IFERROR(__xludf.DUMMYFUNCTION("""COMPUTED_VALUE"""),"-")</f>
        <v>-</v>
      </c>
      <c r="D269" s="98"/>
      <c r="E269" s="98"/>
      <c r="F269" s="100">
        <f>IFERROR(__xludf.DUMMYFUNCTION("""COMPUTED_VALUE"""),0.0)</f>
        <v>0</v>
      </c>
      <c r="G269" s="98"/>
      <c r="H269" s="98"/>
      <c r="I269" s="98"/>
      <c r="J269" s="98"/>
      <c r="K269" s="98"/>
      <c r="L269" s="98"/>
    </row>
    <row r="270">
      <c r="A270" s="98"/>
      <c r="B270" s="98"/>
      <c r="C270" s="98" t="str">
        <f>IFERROR(__xludf.DUMMYFUNCTION("""COMPUTED_VALUE"""),"-")</f>
        <v>-</v>
      </c>
      <c r="D270" s="98"/>
      <c r="E270" s="98"/>
      <c r="F270" s="100">
        <f>IFERROR(__xludf.DUMMYFUNCTION("""COMPUTED_VALUE"""),0.0)</f>
        <v>0</v>
      </c>
      <c r="G270" s="98"/>
      <c r="H270" s="98"/>
      <c r="I270" s="98"/>
      <c r="J270" s="98"/>
      <c r="K270" s="98"/>
      <c r="L270" s="98"/>
    </row>
    <row r="271">
      <c r="A271" s="98"/>
      <c r="B271" s="98"/>
      <c r="C271" s="98" t="str">
        <f>IFERROR(__xludf.DUMMYFUNCTION("""COMPUTED_VALUE"""),"-")</f>
        <v>-</v>
      </c>
      <c r="D271" s="98"/>
      <c r="E271" s="98"/>
      <c r="F271" s="100">
        <f>IFERROR(__xludf.DUMMYFUNCTION("""COMPUTED_VALUE"""),0.0)</f>
        <v>0</v>
      </c>
      <c r="G271" s="98"/>
      <c r="H271" s="98"/>
      <c r="I271" s="98"/>
      <c r="J271" s="98"/>
      <c r="K271" s="98"/>
      <c r="L271" s="98"/>
    </row>
    <row r="272">
      <c r="A272" s="98"/>
      <c r="B272" s="98"/>
      <c r="C272" s="98" t="str">
        <f>IFERROR(__xludf.DUMMYFUNCTION("""COMPUTED_VALUE"""),"-")</f>
        <v>-</v>
      </c>
      <c r="D272" s="98"/>
      <c r="E272" s="98"/>
      <c r="F272" s="100">
        <f>IFERROR(__xludf.DUMMYFUNCTION("""COMPUTED_VALUE"""),0.0)</f>
        <v>0</v>
      </c>
      <c r="G272" s="98"/>
      <c r="H272" s="98"/>
      <c r="I272" s="98"/>
      <c r="J272" s="98"/>
      <c r="K272" s="98"/>
      <c r="L272" s="98"/>
    </row>
    <row r="273">
      <c r="A273" s="98"/>
      <c r="B273" s="98"/>
      <c r="C273" s="98" t="str">
        <f>IFERROR(__xludf.DUMMYFUNCTION("""COMPUTED_VALUE"""),"-")</f>
        <v>-</v>
      </c>
      <c r="D273" s="98"/>
      <c r="E273" s="98"/>
      <c r="F273" s="100">
        <f>IFERROR(__xludf.DUMMYFUNCTION("""COMPUTED_VALUE"""),0.0)</f>
        <v>0</v>
      </c>
      <c r="G273" s="98"/>
      <c r="H273" s="98"/>
      <c r="I273" s="98"/>
      <c r="J273" s="98"/>
      <c r="K273" s="98"/>
      <c r="L273" s="98"/>
    </row>
    <row r="274">
      <c r="A274" s="98"/>
      <c r="B274" s="98"/>
      <c r="C274" s="98" t="str">
        <f>IFERROR(__xludf.DUMMYFUNCTION("""COMPUTED_VALUE"""),"-")</f>
        <v>-</v>
      </c>
      <c r="D274" s="98"/>
      <c r="E274" s="98"/>
      <c r="F274" s="100">
        <f>IFERROR(__xludf.DUMMYFUNCTION("""COMPUTED_VALUE"""),0.0)</f>
        <v>0</v>
      </c>
      <c r="G274" s="98"/>
      <c r="H274" s="98"/>
      <c r="I274" s="98"/>
      <c r="J274" s="98"/>
      <c r="K274" s="98"/>
      <c r="L274" s="98"/>
    </row>
    <row r="275">
      <c r="A275" s="98"/>
      <c r="B275" s="98"/>
      <c r="C275" s="98" t="str">
        <f>IFERROR(__xludf.DUMMYFUNCTION("""COMPUTED_VALUE"""),"-")</f>
        <v>-</v>
      </c>
      <c r="D275" s="98"/>
      <c r="E275" s="98"/>
      <c r="F275" s="100">
        <f>IFERROR(__xludf.DUMMYFUNCTION("""COMPUTED_VALUE"""),0.0)</f>
        <v>0</v>
      </c>
      <c r="G275" s="98"/>
      <c r="H275" s="98"/>
      <c r="I275" s="98"/>
      <c r="J275" s="98"/>
      <c r="K275" s="98"/>
      <c r="L275" s="98"/>
    </row>
    <row r="276">
      <c r="A276" s="98"/>
      <c r="B276" s="98"/>
      <c r="C276" s="98" t="str">
        <f>IFERROR(__xludf.DUMMYFUNCTION("""COMPUTED_VALUE"""),"-")</f>
        <v>-</v>
      </c>
      <c r="D276" s="98"/>
      <c r="E276" s="98"/>
      <c r="F276" s="100">
        <f>IFERROR(__xludf.DUMMYFUNCTION("""COMPUTED_VALUE"""),0.0)</f>
        <v>0</v>
      </c>
      <c r="G276" s="98"/>
      <c r="H276" s="98"/>
      <c r="I276" s="98"/>
      <c r="J276" s="98"/>
      <c r="K276" s="98"/>
      <c r="L276" s="98"/>
    </row>
    <row r="277">
      <c r="A277" s="98"/>
      <c r="B277" s="98"/>
      <c r="C277" s="98" t="str">
        <f>IFERROR(__xludf.DUMMYFUNCTION("""COMPUTED_VALUE"""),"-")</f>
        <v>-</v>
      </c>
      <c r="D277" s="98"/>
      <c r="E277" s="98"/>
      <c r="F277" s="100">
        <f>IFERROR(__xludf.DUMMYFUNCTION("""COMPUTED_VALUE"""),0.0)</f>
        <v>0</v>
      </c>
      <c r="G277" s="98"/>
      <c r="H277" s="98"/>
      <c r="I277" s="98"/>
      <c r="J277" s="98"/>
      <c r="K277" s="98"/>
      <c r="L277" s="98"/>
    </row>
    <row r="278">
      <c r="A278" s="98"/>
      <c r="B278" s="98"/>
      <c r="C278" s="98" t="str">
        <f>IFERROR(__xludf.DUMMYFUNCTION("""COMPUTED_VALUE"""),"-")</f>
        <v>-</v>
      </c>
      <c r="D278" s="98"/>
      <c r="E278" s="98"/>
      <c r="F278" s="100">
        <f>IFERROR(__xludf.DUMMYFUNCTION("""COMPUTED_VALUE"""),0.0)</f>
        <v>0</v>
      </c>
      <c r="G278" s="98"/>
      <c r="H278" s="98"/>
      <c r="I278" s="98"/>
      <c r="J278" s="98"/>
      <c r="K278" s="98"/>
      <c r="L278" s="98"/>
    </row>
    <row r="279">
      <c r="A279" s="98"/>
      <c r="B279" s="98"/>
      <c r="C279" s="98" t="str">
        <f>IFERROR(__xludf.DUMMYFUNCTION("""COMPUTED_VALUE"""),"-")</f>
        <v>-</v>
      </c>
      <c r="D279" s="98"/>
      <c r="E279" s="98"/>
      <c r="F279" s="100">
        <f>IFERROR(__xludf.DUMMYFUNCTION("""COMPUTED_VALUE"""),0.0)</f>
        <v>0</v>
      </c>
      <c r="G279" s="98"/>
      <c r="H279" s="98"/>
      <c r="I279" s="98"/>
      <c r="J279" s="98"/>
      <c r="K279" s="98"/>
      <c r="L279" s="98"/>
    </row>
    <row r="280">
      <c r="A280" s="98"/>
      <c r="B280" s="98"/>
      <c r="C280" s="98" t="str">
        <f>IFERROR(__xludf.DUMMYFUNCTION("""COMPUTED_VALUE"""),"-")</f>
        <v>-</v>
      </c>
      <c r="D280" s="98"/>
      <c r="E280" s="98"/>
      <c r="F280" s="100">
        <f>IFERROR(__xludf.DUMMYFUNCTION("""COMPUTED_VALUE"""),0.0)</f>
        <v>0</v>
      </c>
      <c r="G280" s="98"/>
      <c r="H280" s="98"/>
      <c r="I280" s="98"/>
      <c r="J280" s="98"/>
      <c r="K280" s="98"/>
      <c r="L280" s="98"/>
    </row>
    <row r="281">
      <c r="A281" s="98"/>
      <c r="B281" s="98"/>
      <c r="C281" s="98" t="str">
        <f>IFERROR(__xludf.DUMMYFUNCTION("""COMPUTED_VALUE"""),"-")</f>
        <v>-</v>
      </c>
      <c r="D281" s="98"/>
      <c r="E281" s="98"/>
      <c r="F281" s="100">
        <f>IFERROR(__xludf.DUMMYFUNCTION("""COMPUTED_VALUE"""),0.0)</f>
        <v>0</v>
      </c>
      <c r="G281" s="98"/>
      <c r="H281" s="98"/>
      <c r="I281" s="98"/>
      <c r="J281" s="98"/>
      <c r="K281" s="98"/>
      <c r="L281" s="98"/>
    </row>
    <row r="282">
      <c r="A282" s="98"/>
      <c r="B282" s="98"/>
      <c r="C282" s="98" t="str">
        <f>IFERROR(__xludf.DUMMYFUNCTION("""COMPUTED_VALUE"""),"-")</f>
        <v>-</v>
      </c>
      <c r="D282" s="98"/>
      <c r="E282" s="98"/>
      <c r="F282" s="100">
        <f>IFERROR(__xludf.DUMMYFUNCTION("""COMPUTED_VALUE"""),0.0)</f>
        <v>0</v>
      </c>
      <c r="G282" s="98"/>
      <c r="H282" s="98"/>
      <c r="I282" s="98"/>
      <c r="J282" s="98"/>
      <c r="K282" s="98"/>
      <c r="L282" s="98"/>
    </row>
    <row r="283">
      <c r="A283" s="98"/>
      <c r="B283" s="98"/>
      <c r="C283" s="98" t="str">
        <f>IFERROR(__xludf.DUMMYFUNCTION("""COMPUTED_VALUE"""),"-")</f>
        <v>-</v>
      </c>
      <c r="D283" s="98"/>
      <c r="E283" s="98"/>
      <c r="F283" s="100">
        <f>IFERROR(__xludf.DUMMYFUNCTION("""COMPUTED_VALUE"""),0.0)</f>
        <v>0</v>
      </c>
      <c r="G283" s="98"/>
      <c r="H283" s="98"/>
      <c r="I283" s="98"/>
      <c r="J283" s="98"/>
      <c r="K283" s="98"/>
      <c r="L283" s="98"/>
    </row>
    <row r="284">
      <c r="A284" s="98"/>
      <c r="B284" s="98"/>
      <c r="C284" s="98" t="str">
        <f>IFERROR(__xludf.DUMMYFUNCTION("""COMPUTED_VALUE"""),"-")</f>
        <v>-</v>
      </c>
      <c r="D284" s="98"/>
      <c r="E284" s="98"/>
      <c r="F284" s="100">
        <f>IFERROR(__xludf.DUMMYFUNCTION("""COMPUTED_VALUE"""),0.0)</f>
        <v>0</v>
      </c>
      <c r="G284" s="98"/>
      <c r="H284" s="98"/>
      <c r="I284" s="98"/>
      <c r="J284" s="98"/>
      <c r="K284" s="98"/>
      <c r="L284" s="98"/>
    </row>
    <row r="285">
      <c r="A285" s="98"/>
      <c r="B285" s="98"/>
      <c r="C285" s="98" t="str">
        <f>IFERROR(__xludf.DUMMYFUNCTION("""COMPUTED_VALUE"""),"-")</f>
        <v>-</v>
      </c>
      <c r="D285" s="98"/>
      <c r="E285" s="98"/>
      <c r="F285" s="100">
        <f>IFERROR(__xludf.DUMMYFUNCTION("""COMPUTED_VALUE"""),0.0)</f>
        <v>0</v>
      </c>
      <c r="G285" s="98"/>
      <c r="H285" s="98"/>
      <c r="I285" s="98"/>
      <c r="J285" s="98"/>
      <c r="K285" s="98"/>
      <c r="L285" s="98"/>
    </row>
    <row r="286">
      <c r="A286" s="98"/>
      <c r="B286" s="98"/>
      <c r="C286" s="98" t="str">
        <f>IFERROR(__xludf.DUMMYFUNCTION("""COMPUTED_VALUE"""),"-")</f>
        <v>-</v>
      </c>
      <c r="D286" s="98"/>
      <c r="E286" s="98"/>
      <c r="F286" s="100">
        <f>IFERROR(__xludf.DUMMYFUNCTION("""COMPUTED_VALUE"""),0.0)</f>
        <v>0</v>
      </c>
      <c r="G286" s="98"/>
      <c r="H286" s="98"/>
      <c r="I286" s="98"/>
      <c r="J286" s="98"/>
      <c r="K286" s="98"/>
      <c r="L286" s="98"/>
    </row>
    <row r="287">
      <c r="A287" s="98"/>
      <c r="B287" s="98"/>
      <c r="C287" s="98" t="str">
        <f>IFERROR(__xludf.DUMMYFUNCTION("""COMPUTED_VALUE"""),"-")</f>
        <v>-</v>
      </c>
      <c r="D287" s="98"/>
      <c r="E287" s="98"/>
      <c r="F287" s="100">
        <f>IFERROR(__xludf.DUMMYFUNCTION("""COMPUTED_VALUE"""),0.0)</f>
        <v>0</v>
      </c>
      <c r="G287" s="98"/>
      <c r="H287" s="98"/>
      <c r="I287" s="98"/>
      <c r="J287" s="98"/>
      <c r="K287" s="98"/>
      <c r="L287" s="98"/>
    </row>
    <row r="288">
      <c r="A288" s="98"/>
      <c r="B288" s="98"/>
      <c r="C288" s="98" t="str">
        <f>IFERROR(__xludf.DUMMYFUNCTION("""COMPUTED_VALUE"""),"-")</f>
        <v>-</v>
      </c>
      <c r="D288" s="98"/>
      <c r="E288" s="98"/>
      <c r="F288" s="100">
        <f>IFERROR(__xludf.DUMMYFUNCTION("""COMPUTED_VALUE"""),0.0)</f>
        <v>0</v>
      </c>
      <c r="G288" s="98"/>
      <c r="H288" s="98"/>
      <c r="I288" s="98"/>
      <c r="J288" s="98"/>
      <c r="K288" s="98"/>
      <c r="L288" s="98"/>
    </row>
    <row r="289">
      <c r="A289" s="98"/>
      <c r="B289" s="98"/>
      <c r="C289" s="98" t="str">
        <f>IFERROR(__xludf.DUMMYFUNCTION("""COMPUTED_VALUE"""),"-")</f>
        <v>-</v>
      </c>
      <c r="D289" s="98"/>
      <c r="E289" s="98"/>
      <c r="F289" s="100">
        <f>IFERROR(__xludf.DUMMYFUNCTION("""COMPUTED_VALUE"""),0.0)</f>
        <v>0</v>
      </c>
      <c r="G289" s="98"/>
      <c r="H289" s="98"/>
      <c r="I289" s="98"/>
      <c r="J289" s="98"/>
      <c r="K289" s="98"/>
      <c r="L289" s="98"/>
    </row>
    <row r="290">
      <c r="A290" s="98"/>
      <c r="B290" s="98"/>
      <c r="C290" s="98" t="str">
        <f>IFERROR(__xludf.DUMMYFUNCTION("""COMPUTED_VALUE"""),"-")</f>
        <v>-</v>
      </c>
      <c r="D290" s="98"/>
      <c r="E290" s="98"/>
      <c r="F290" s="100">
        <f>IFERROR(__xludf.DUMMYFUNCTION("""COMPUTED_VALUE"""),0.0)</f>
        <v>0</v>
      </c>
      <c r="G290" s="98"/>
      <c r="H290" s="98"/>
      <c r="I290" s="98"/>
      <c r="J290" s="98"/>
      <c r="K290" s="98"/>
      <c r="L290" s="98"/>
    </row>
    <row r="291">
      <c r="A291" s="98"/>
      <c r="B291" s="98"/>
      <c r="C291" s="98" t="str">
        <f>IFERROR(__xludf.DUMMYFUNCTION("""COMPUTED_VALUE"""),"-")</f>
        <v>-</v>
      </c>
      <c r="D291" s="98"/>
      <c r="E291" s="98"/>
      <c r="F291" s="100">
        <f>IFERROR(__xludf.DUMMYFUNCTION("""COMPUTED_VALUE"""),0.0)</f>
        <v>0</v>
      </c>
      <c r="G291" s="98"/>
      <c r="H291" s="98"/>
      <c r="I291" s="98"/>
      <c r="J291" s="98"/>
      <c r="K291" s="98"/>
      <c r="L291" s="98"/>
    </row>
    <row r="292">
      <c r="A292" s="98"/>
      <c r="B292" s="98"/>
      <c r="C292" s="98" t="str">
        <f>IFERROR(__xludf.DUMMYFUNCTION("""COMPUTED_VALUE"""),"-")</f>
        <v>-</v>
      </c>
      <c r="D292" s="98"/>
      <c r="E292" s="98"/>
      <c r="F292" s="100">
        <f>IFERROR(__xludf.DUMMYFUNCTION("""COMPUTED_VALUE"""),0.0)</f>
        <v>0</v>
      </c>
      <c r="G292" s="98"/>
      <c r="H292" s="98"/>
      <c r="I292" s="98"/>
      <c r="J292" s="98"/>
      <c r="K292" s="98"/>
      <c r="L292" s="98"/>
    </row>
    <row r="293">
      <c r="A293" s="98"/>
      <c r="B293" s="98"/>
      <c r="C293" s="98" t="str">
        <f>IFERROR(__xludf.DUMMYFUNCTION("""COMPUTED_VALUE"""),"-")</f>
        <v>-</v>
      </c>
      <c r="D293" s="98"/>
      <c r="E293" s="98"/>
      <c r="F293" s="100">
        <f>IFERROR(__xludf.DUMMYFUNCTION("""COMPUTED_VALUE"""),0.0)</f>
        <v>0</v>
      </c>
      <c r="G293" s="98"/>
      <c r="H293" s="98"/>
      <c r="I293" s="98"/>
      <c r="J293" s="98"/>
      <c r="K293" s="98"/>
      <c r="L293" s="98"/>
    </row>
    <row r="294">
      <c r="A294" s="98"/>
      <c r="B294" s="98"/>
      <c r="C294" s="98" t="str">
        <f>IFERROR(__xludf.DUMMYFUNCTION("""COMPUTED_VALUE"""),"-")</f>
        <v>-</v>
      </c>
      <c r="D294" s="98"/>
      <c r="E294" s="98"/>
      <c r="F294" s="100">
        <f>IFERROR(__xludf.DUMMYFUNCTION("""COMPUTED_VALUE"""),0.0)</f>
        <v>0</v>
      </c>
      <c r="G294" s="98"/>
      <c r="H294" s="98"/>
      <c r="I294" s="98"/>
      <c r="J294" s="98"/>
      <c r="K294" s="98"/>
      <c r="L294" s="98"/>
    </row>
    <row r="295">
      <c r="A295" s="98"/>
      <c r="B295" s="98"/>
      <c r="C295" s="98" t="str">
        <f>IFERROR(__xludf.DUMMYFUNCTION("""COMPUTED_VALUE"""),"-")</f>
        <v>-</v>
      </c>
      <c r="D295" s="98"/>
      <c r="E295" s="98"/>
      <c r="F295" s="100">
        <f>IFERROR(__xludf.DUMMYFUNCTION("""COMPUTED_VALUE"""),0.0)</f>
        <v>0</v>
      </c>
      <c r="G295" s="98"/>
      <c r="H295" s="98"/>
      <c r="I295" s="98"/>
      <c r="J295" s="98"/>
      <c r="K295" s="98"/>
      <c r="L295" s="98"/>
    </row>
    <row r="296">
      <c r="A296" s="98"/>
      <c r="B296" s="98"/>
      <c r="C296" s="98" t="str">
        <f>IFERROR(__xludf.DUMMYFUNCTION("""COMPUTED_VALUE"""),"-")</f>
        <v>-</v>
      </c>
      <c r="D296" s="98"/>
      <c r="E296" s="98"/>
      <c r="F296" s="100">
        <f>IFERROR(__xludf.DUMMYFUNCTION("""COMPUTED_VALUE"""),0.0)</f>
        <v>0</v>
      </c>
      <c r="G296" s="98"/>
      <c r="H296" s="98"/>
      <c r="I296" s="98"/>
      <c r="J296" s="98"/>
      <c r="K296" s="98"/>
      <c r="L296" s="98"/>
    </row>
    <row r="297">
      <c r="A297" s="98"/>
      <c r="B297" s="98"/>
      <c r="C297" s="98" t="str">
        <f>IFERROR(__xludf.DUMMYFUNCTION("""COMPUTED_VALUE"""),"-")</f>
        <v>-</v>
      </c>
      <c r="D297" s="98"/>
      <c r="E297" s="98"/>
      <c r="F297" s="100">
        <f>IFERROR(__xludf.DUMMYFUNCTION("""COMPUTED_VALUE"""),0.0)</f>
        <v>0</v>
      </c>
      <c r="G297" s="98"/>
      <c r="H297" s="98"/>
      <c r="I297" s="98"/>
      <c r="J297" s="98"/>
      <c r="K297" s="98"/>
      <c r="L297" s="98"/>
    </row>
    <row r="298">
      <c r="A298" s="98"/>
      <c r="B298" s="98"/>
      <c r="C298" s="98" t="str">
        <f>IFERROR(__xludf.DUMMYFUNCTION("""COMPUTED_VALUE"""),"-")</f>
        <v>-</v>
      </c>
      <c r="D298" s="98"/>
      <c r="E298" s="98"/>
      <c r="F298" s="100">
        <f>IFERROR(__xludf.DUMMYFUNCTION("""COMPUTED_VALUE"""),0.0)</f>
        <v>0</v>
      </c>
      <c r="G298" s="98"/>
      <c r="H298" s="98"/>
      <c r="I298" s="98"/>
      <c r="J298" s="98"/>
      <c r="K298" s="98"/>
      <c r="L298" s="98"/>
    </row>
    <row r="299">
      <c r="A299" s="98"/>
      <c r="B299" s="98"/>
      <c r="C299" s="98" t="str">
        <f>IFERROR(__xludf.DUMMYFUNCTION("""COMPUTED_VALUE"""),"-")</f>
        <v>-</v>
      </c>
      <c r="D299" s="98"/>
      <c r="E299" s="98"/>
      <c r="F299" s="100">
        <f>IFERROR(__xludf.DUMMYFUNCTION("""COMPUTED_VALUE"""),0.0)</f>
        <v>0</v>
      </c>
      <c r="G299" s="98"/>
      <c r="H299" s="98"/>
      <c r="I299" s="98"/>
      <c r="J299" s="98"/>
      <c r="K299" s="98"/>
      <c r="L299" s="98"/>
    </row>
    <row r="300">
      <c r="A300" s="98"/>
      <c r="B300" s="98"/>
      <c r="C300" s="98" t="str">
        <f>IFERROR(__xludf.DUMMYFUNCTION("""COMPUTED_VALUE"""),"-")</f>
        <v>-</v>
      </c>
      <c r="D300" s="98"/>
      <c r="E300" s="98"/>
      <c r="F300" s="100">
        <f>IFERROR(__xludf.DUMMYFUNCTION("""COMPUTED_VALUE"""),0.0)</f>
        <v>0</v>
      </c>
      <c r="G300" s="98"/>
      <c r="H300" s="98"/>
      <c r="I300" s="98"/>
      <c r="J300" s="98"/>
      <c r="K300" s="98"/>
      <c r="L300" s="98"/>
    </row>
    <row r="301">
      <c r="A301" s="98"/>
      <c r="B301" s="98"/>
      <c r="C301" s="98" t="str">
        <f>IFERROR(__xludf.DUMMYFUNCTION("""COMPUTED_VALUE"""),"-")</f>
        <v>-</v>
      </c>
      <c r="D301" s="98"/>
      <c r="E301" s="98"/>
      <c r="F301" s="100">
        <f>IFERROR(__xludf.DUMMYFUNCTION("""COMPUTED_VALUE"""),0.0)</f>
        <v>0</v>
      </c>
      <c r="G301" s="98"/>
      <c r="H301" s="98"/>
      <c r="I301" s="98"/>
      <c r="J301" s="98"/>
      <c r="K301" s="98"/>
      <c r="L301" s="98"/>
    </row>
    <row r="302">
      <c r="A302" s="98"/>
      <c r="B302" s="98"/>
      <c r="C302" s="98" t="str">
        <f>IFERROR(__xludf.DUMMYFUNCTION("""COMPUTED_VALUE"""),"-")</f>
        <v>-</v>
      </c>
      <c r="D302" s="98"/>
      <c r="E302" s="98"/>
      <c r="F302" s="100">
        <f>IFERROR(__xludf.DUMMYFUNCTION("""COMPUTED_VALUE"""),0.0)</f>
        <v>0</v>
      </c>
      <c r="G302" s="98"/>
      <c r="H302" s="98"/>
      <c r="I302" s="98"/>
      <c r="J302" s="98"/>
      <c r="K302" s="98"/>
      <c r="L302" s="98"/>
    </row>
    <row r="303">
      <c r="A303" s="98"/>
      <c r="B303" s="98"/>
      <c r="C303" s="98" t="str">
        <f>IFERROR(__xludf.DUMMYFUNCTION("""COMPUTED_VALUE"""),"-")</f>
        <v>-</v>
      </c>
      <c r="D303" s="98"/>
      <c r="E303" s="98"/>
      <c r="F303" s="100">
        <f>IFERROR(__xludf.DUMMYFUNCTION("""COMPUTED_VALUE"""),0.0)</f>
        <v>0</v>
      </c>
      <c r="G303" s="98"/>
      <c r="H303" s="98"/>
      <c r="I303" s="98"/>
      <c r="J303" s="98"/>
      <c r="K303" s="98"/>
      <c r="L303" s="98"/>
    </row>
    <row r="304">
      <c r="A304" s="98"/>
      <c r="B304" s="98"/>
      <c r="C304" s="98" t="str">
        <f>IFERROR(__xludf.DUMMYFUNCTION("""COMPUTED_VALUE"""),"-")</f>
        <v>-</v>
      </c>
      <c r="D304" s="98"/>
      <c r="E304" s="98"/>
      <c r="F304" s="100">
        <f>IFERROR(__xludf.DUMMYFUNCTION("""COMPUTED_VALUE"""),0.0)</f>
        <v>0</v>
      </c>
      <c r="G304" s="98"/>
      <c r="H304" s="98"/>
      <c r="I304" s="98"/>
      <c r="J304" s="98"/>
      <c r="K304" s="98"/>
      <c r="L304" s="98"/>
    </row>
    <row r="305">
      <c r="A305" s="98"/>
      <c r="B305" s="98"/>
      <c r="C305" s="98" t="str">
        <f>IFERROR(__xludf.DUMMYFUNCTION("""COMPUTED_VALUE"""),"-")</f>
        <v>-</v>
      </c>
      <c r="D305" s="98"/>
      <c r="E305" s="98"/>
      <c r="F305" s="100">
        <f>IFERROR(__xludf.DUMMYFUNCTION("""COMPUTED_VALUE"""),0.0)</f>
        <v>0</v>
      </c>
      <c r="G305" s="98"/>
      <c r="H305" s="98"/>
      <c r="I305" s="98"/>
      <c r="J305" s="98"/>
      <c r="K305" s="98"/>
      <c r="L305" s="98"/>
    </row>
    <row r="306">
      <c r="A306" s="98"/>
      <c r="B306" s="98"/>
      <c r="C306" s="98" t="str">
        <f>IFERROR(__xludf.DUMMYFUNCTION("""COMPUTED_VALUE"""),"-")</f>
        <v>-</v>
      </c>
      <c r="D306" s="98"/>
      <c r="E306" s="98"/>
      <c r="F306" s="100">
        <f>IFERROR(__xludf.DUMMYFUNCTION("""COMPUTED_VALUE"""),0.0)</f>
        <v>0</v>
      </c>
      <c r="G306" s="98"/>
      <c r="H306" s="98"/>
      <c r="I306" s="98"/>
      <c r="J306" s="98"/>
      <c r="K306" s="98"/>
      <c r="L306" s="98"/>
    </row>
    <row r="307">
      <c r="A307" s="98"/>
      <c r="B307" s="98"/>
      <c r="C307" s="98" t="str">
        <f>IFERROR(__xludf.DUMMYFUNCTION("""COMPUTED_VALUE"""),"-")</f>
        <v>-</v>
      </c>
      <c r="D307" s="98"/>
      <c r="E307" s="98"/>
      <c r="F307" s="100">
        <f>IFERROR(__xludf.DUMMYFUNCTION("""COMPUTED_VALUE"""),0.0)</f>
        <v>0</v>
      </c>
      <c r="G307" s="98"/>
      <c r="H307" s="98"/>
      <c r="I307" s="98"/>
      <c r="J307" s="98"/>
      <c r="K307" s="98"/>
      <c r="L307" s="98"/>
    </row>
    <row r="308">
      <c r="A308" s="98"/>
      <c r="B308" s="98"/>
      <c r="C308" s="98" t="str">
        <f>IFERROR(__xludf.DUMMYFUNCTION("""COMPUTED_VALUE"""),"-")</f>
        <v>-</v>
      </c>
      <c r="D308" s="98"/>
      <c r="E308" s="98"/>
      <c r="F308" s="100">
        <f>IFERROR(__xludf.DUMMYFUNCTION("""COMPUTED_VALUE"""),0.0)</f>
        <v>0</v>
      </c>
      <c r="G308" s="98"/>
      <c r="H308" s="98"/>
      <c r="I308" s="98"/>
      <c r="J308" s="98"/>
      <c r="K308" s="98"/>
      <c r="L308" s="98"/>
    </row>
    <row r="309">
      <c r="A309" s="98"/>
      <c r="B309" s="98"/>
      <c r="C309" s="98" t="str">
        <f>IFERROR(__xludf.DUMMYFUNCTION("""COMPUTED_VALUE"""),"-")</f>
        <v>-</v>
      </c>
      <c r="D309" s="98"/>
      <c r="E309" s="98"/>
      <c r="F309" s="100">
        <f>IFERROR(__xludf.DUMMYFUNCTION("""COMPUTED_VALUE"""),0.0)</f>
        <v>0</v>
      </c>
      <c r="G309" s="98"/>
      <c r="H309" s="98"/>
      <c r="I309" s="98"/>
      <c r="J309" s="98"/>
      <c r="K309" s="98"/>
      <c r="L309" s="98"/>
    </row>
    <row r="310">
      <c r="A310" s="98"/>
      <c r="B310" s="98"/>
      <c r="C310" s="98" t="str">
        <f>IFERROR(__xludf.DUMMYFUNCTION("""COMPUTED_VALUE"""),"-")</f>
        <v>-</v>
      </c>
      <c r="D310" s="98"/>
      <c r="E310" s="98"/>
      <c r="F310" s="100">
        <f>IFERROR(__xludf.DUMMYFUNCTION("""COMPUTED_VALUE"""),0.0)</f>
        <v>0</v>
      </c>
      <c r="G310" s="98"/>
      <c r="H310" s="98"/>
      <c r="I310" s="98"/>
      <c r="J310" s="98"/>
      <c r="K310" s="98"/>
      <c r="L310" s="98"/>
    </row>
    <row r="311">
      <c r="A311" s="98"/>
      <c r="B311" s="98"/>
      <c r="C311" s="98" t="str">
        <f>IFERROR(__xludf.DUMMYFUNCTION("""COMPUTED_VALUE"""),"-")</f>
        <v>-</v>
      </c>
      <c r="D311" s="98"/>
      <c r="E311" s="98"/>
      <c r="F311" s="100">
        <f>IFERROR(__xludf.DUMMYFUNCTION("""COMPUTED_VALUE"""),0.0)</f>
        <v>0</v>
      </c>
      <c r="G311" s="98"/>
      <c r="H311" s="98"/>
      <c r="I311" s="98"/>
      <c r="J311" s="98"/>
      <c r="K311" s="98"/>
      <c r="L311" s="98"/>
    </row>
    <row r="312">
      <c r="A312" s="98"/>
      <c r="B312" s="98"/>
      <c r="C312" s="98" t="str">
        <f>IFERROR(__xludf.DUMMYFUNCTION("""COMPUTED_VALUE"""),"-")</f>
        <v>-</v>
      </c>
      <c r="D312" s="98"/>
      <c r="E312" s="98"/>
      <c r="F312" s="100">
        <f>IFERROR(__xludf.DUMMYFUNCTION("""COMPUTED_VALUE"""),0.0)</f>
        <v>0</v>
      </c>
      <c r="G312" s="98"/>
      <c r="H312" s="98"/>
      <c r="I312" s="98"/>
      <c r="J312" s="98"/>
      <c r="K312" s="98"/>
      <c r="L312" s="98"/>
    </row>
    <row r="313">
      <c r="A313" s="98"/>
      <c r="B313" s="98"/>
      <c r="C313" s="98" t="str">
        <f>IFERROR(__xludf.DUMMYFUNCTION("""COMPUTED_VALUE"""),"-")</f>
        <v>-</v>
      </c>
      <c r="D313" s="98"/>
      <c r="E313" s="98"/>
      <c r="F313" s="100">
        <f>IFERROR(__xludf.DUMMYFUNCTION("""COMPUTED_VALUE"""),0.0)</f>
        <v>0</v>
      </c>
      <c r="G313" s="98"/>
      <c r="H313" s="98"/>
      <c r="I313" s="98"/>
      <c r="J313" s="98"/>
      <c r="K313" s="98"/>
      <c r="L313" s="98"/>
    </row>
    <row r="314">
      <c r="A314" s="98"/>
      <c r="B314" s="98"/>
      <c r="C314" s="98" t="str">
        <f>IFERROR(__xludf.DUMMYFUNCTION("""COMPUTED_VALUE"""),"-")</f>
        <v>-</v>
      </c>
      <c r="D314" s="98"/>
      <c r="E314" s="98"/>
      <c r="F314" s="100">
        <f>IFERROR(__xludf.DUMMYFUNCTION("""COMPUTED_VALUE"""),0.0)</f>
        <v>0</v>
      </c>
      <c r="G314" s="98"/>
      <c r="H314" s="98"/>
      <c r="I314" s="98"/>
      <c r="J314" s="98"/>
      <c r="K314" s="98"/>
      <c r="L314" s="98"/>
    </row>
    <row r="315">
      <c r="A315" s="98"/>
      <c r="B315" s="98"/>
      <c r="C315" s="98" t="str">
        <f>IFERROR(__xludf.DUMMYFUNCTION("""COMPUTED_VALUE"""),"-")</f>
        <v>-</v>
      </c>
      <c r="D315" s="98"/>
      <c r="E315" s="98"/>
      <c r="F315" s="100">
        <f>IFERROR(__xludf.DUMMYFUNCTION("""COMPUTED_VALUE"""),0.0)</f>
        <v>0</v>
      </c>
      <c r="G315" s="98"/>
      <c r="H315" s="98"/>
      <c r="I315" s="98"/>
      <c r="J315" s="98"/>
      <c r="K315" s="98"/>
      <c r="L315" s="98"/>
    </row>
    <row r="316">
      <c r="A316" s="98"/>
      <c r="B316" s="98"/>
      <c r="C316" s="98" t="str">
        <f>IFERROR(__xludf.DUMMYFUNCTION("""COMPUTED_VALUE"""),"-")</f>
        <v>-</v>
      </c>
      <c r="D316" s="98"/>
      <c r="E316" s="98"/>
      <c r="F316" s="100">
        <f>IFERROR(__xludf.DUMMYFUNCTION("""COMPUTED_VALUE"""),0.0)</f>
        <v>0</v>
      </c>
      <c r="G316" s="98"/>
      <c r="H316" s="98"/>
      <c r="I316" s="98"/>
      <c r="J316" s="98"/>
      <c r="K316" s="98"/>
      <c r="L316" s="98"/>
    </row>
    <row r="317">
      <c r="A317" s="98"/>
      <c r="B317" s="98"/>
      <c r="C317" s="98" t="str">
        <f>IFERROR(__xludf.DUMMYFUNCTION("""COMPUTED_VALUE"""),"-")</f>
        <v>-</v>
      </c>
      <c r="D317" s="98"/>
      <c r="E317" s="98"/>
      <c r="F317" s="100">
        <f>IFERROR(__xludf.DUMMYFUNCTION("""COMPUTED_VALUE"""),0.0)</f>
        <v>0</v>
      </c>
      <c r="G317" s="98"/>
      <c r="H317" s="98"/>
      <c r="I317" s="98"/>
      <c r="J317" s="98"/>
      <c r="K317" s="98"/>
      <c r="L317" s="98"/>
    </row>
    <row r="318">
      <c r="A318" s="98"/>
      <c r="B318" s="98"/>
      <c r="C318" s="98" t="str">
        <f>IFERROR(__xludf.DUMMYFUNCTION("""COMPUTED_VALUE"""),"-")</f>
        <v>-</v>
      </c>
      <c r="D318" s="98"/>
      <c r="E318" s="98"/>
      <c r="F318" s="100">
        <f>IFERROR(__xludf.DUMMYFUNCTION("""COMPUTED_VALUE"""),0.0)</f>
        <v>0</v>
      </c>
      <c r="G318" s="98"/>
      <c r="H318" s="98"/>
      <c r="I318" s="98"/>
      <c r="J318" s="98"/>
      <c r="K318" s="98"/>
      <c r="L318" s="98"/>
    </row>
    <row r="319">
      <c r="A319" s="98"/>
      <c r="B319" s="98"/>
      <c r="C319" s="98" t="str">
        <f>IFERROR(__xludf.DUMMYFUNCTION("""COMPUTED_VALUE"""),"-")</f>
        <v>-</v>
      </c>
      <c r="D319" s="98"/>
      <c r="E319" s="98"/>
      <c r="F319" s="100">
        <f>IFERROR(__xludf.DUMMYFUNCTION("""COMPUTED_VALUE"""),0.0)</f>
        <v>0</v>
      </c>
      <c r="G319" s="98"/>
      <c r="H319" s="98"/>
      <c r="I319" s="98"/>
      <c r="J319" s="98"/>
      <c r="K319" s="98"/>
      <c r="L319" s="98"/>
    </row>
    <row r="320">
      <c r="A320" s="98"/>
      <c r="B320" s="98"/>
      <c r="C320" s="98" t="str">
        <f>IFERROR(__xludf.DUMMYFUNCTION("""COMPUTED_VALUE"""),"-")</f>
        <v>-</v>
      </c>
      <c r="D320" s="98"/>
      <c r="E320" s="98"/>
      <c r="F320" s="100">
        <f>IFERROR(__xludf.DUMMYFUNCTION("""COMPUTED_VALUE"""),0.0)</f>
        <v>0</v>
      </c>
      <c r="G320" s="98"/>
      <c r="H320" s="98"/>
      <c r="I320" s="98"/>
      <c r="J320" s="98"/>
      <c r="K320" s="98"/>
      <c r="L320" s="98"/>
    </row>
    <row r="321">
      <c r="A321" s="98"/>
      <c r="B321" s="98"/>
      <c r="C321" s="98" t="str">
        <f>IFERROR(__xludf.DUMMYFUNCTION("""COMPUTED_VALUE"""),"-")</f>
        <v>-</v>
      </c>
      <c r="D321" s="98"/>
      <c r="E321" s="98"/>
      <c r="F321" s="100">
        <f>IFERROR(__xludf.DUMMYFUNCTION("""COMPUTED_VALUE"""),0.0)</f>
        <v>0</v>
      </c>
      <c r="G321" s="98"/>
      <c r="H321" s="98"/>
      <c r="I321" s="98"/>
      <c r="J321" s="98"/>
      <c r="K321" s="98"/>
      <c r="L321" s="98"/>
    </row>
    <row r="322">
      <c r="A322" s="98"/>
      <c r="B322" s="98"/>
      <c r="C322" s="98" t="str">
        <f>IFERROR(__xludf.DUMMYFUNCTION("""COMPUTED_VALUE"""),"-")</f>
        <v>-</v>
      </c>
      <c r="D322" s="98"/>
      <c r="E322" s="98"/>
      <c r="F322" s="100">
        <f>IFERROR(__xludf.DUMMYFUNCTION("""COMPUTED_VALUE"""),0.0)</f>
        <v>0</v>
      </c>
      <c r="G322" s="98"/>
      <c r="H322" s="98"/>
      <c r="I322" s="98"/>
      <c r="J322" s="98"/>
      <c r="K322" s="98"/>
      <c r="L322" s="98"/>
    </row>
    <row r="323">
      <c r="A323" s="98"/>
      <c r="B323" s="98"/>
      <c r="C323" s="98" t="str">
        <f>IFERROR(__xludf.DUMMYFUNCTION("""COMPUTED_VALUE"""),"-")</f>
        <v>-</v>
      </c>
      <c r="D323" s="98"/>
      <c r="E323" s="98"/>
      <c r="F323" s="100">
        <f>IFERROR(__xludf.DUMMYFUNCTION("""COMPUTED_VALUE"""),0.0)</f>
        <v>0</v>
      </c>
      <c r="G323" s="98"/>
      <c r="H323" s="98"/>
      <c r="I323" s="98"/>
      <c r="J323" s="98"/>
      <c r="K323" s="98"/>
      <c r="L323" s="98"/>
    </row>
    <row r="324">
      <c r="A324" s="98"/>
      <c r="B324" s="98"/>
      <c r="C324" s="98" t="str">
        <f>IFERROR(__xludf.DUMMYFUNCTION("""COMPUTED_VALUE"""),"-")</f>
        <v>-</v>
      </c>
      <c r="D324" s="98"/>
      <c r="E324" s="98"/>
      <c r="F324" s="100">
        <f>IFERROR(__xludf.DUMMYFUNCTION("""COMPUTED_VALUE"""),0.0)</f>
        <v>0</v>
      </c>
      <c r="G324" s="98"/>
      <c r="H324" s="98"/>
      <c r="I324" s="98"/>
      <c r="J324" s="98"/>
      <c r="K324" s="98"/>
      <c r="L324" s="98"/>
    </row>
    <row r="325">
      <c r="A325" s="98"/>
      <c r="B325" s="98"/>
      <c r="C325" s="98" t="str">
        <f>IFERROR(__xludf.DUMMYFUNCTION("""COMPUTED_VALUE"""),"-")</f>
        <v>-</v>
      </c>
      <c r="D325" s="98"/>
      <c r="E325" s="98"/>
      <c r="F325" s="100">
        <f>IFERROR(__xludf.DUMMYFUNCTION("""COMPUTED_VALUE"""),0.0)</f>
        <v>0</v>
      </c>
      <c r="G325" s="98"/>
      <c r="H325" s="98"/>
      <c r="I325" s="98"/>
      <c r="J325" s="98"/>
      <c r="K325" s="98"/>
      <c r="L325" s="98"/>
    </row>
    <row r="326">
      <c r="A326" s="98"/>
      <c r="B326" s="98"/>
      <c r="C326" s="98" t="str">
        <f>IFERROR(__xludf.DUMMYFUNCTION("""COMPUTED_VALUE"""),"-")</f>
        <v>-</v>
      </c>
      <c r="D326" s="98"/>
      <c r="E326" s="98"/>
      <c r="F326" s="100">
        <f>IFERROR(__xludf.DUMMYFUNCTION("""COMPUTED_VALUE"""),0.0)</f>
        <v>0</v>
      </c>
      <c r="G326" s="98"/>
      <c r="H326" s="98"/>
      <c r="I326" s="98"/>
      <c r="J326" s="98"/>
      <c r="K326" s="98"/>
      <c r="L326" s="98"/>
    </row>
    <row r="327">
      <c r="A327" s="98"/>
      <c r="B327" s="98"/>
      <c r="C327" s="98" t="str">
        <f>IFERROR(__xludf.DUMMYFUNCTION("""COMPUTED_VALUE"""),"-")</f>
        <v>-</v>
      </c>
      <c r="D327" s="98"/>
      <c r="E327" s="98"/>
      <c r="F327" s="100">
        <f>IFERROR(__xludf.DUMMYFUNCTION("""COMPUTED_VALUE"""),0.0)</f>
        <v>0</v>
      </c>
      <c r="G327" s="98"/>
      <c r="H327" s="98"/>
      <c r="I327" s="98"/>
      <c r="J327" s="98"/>
      <c r="K327" s="98"/>
      <c r="L327" s="98"/>
    </row>
    <row r="328">
      <c r="A328" s="98"/>
      <c r="B328" s="98"/>
      <c r="C328" s="98" t="str">
        <f>IFERROR(__xludf.DUMMYFUNCTION("""COMPUTED_VALUE"""),"-")</f>
        <v>-</v>
      </c>
      <c r="D328" s="98"/>
      <c r="E328" s="98"/>
      <c r="F328" s="100">
        <f>IFERROR(__xludf.DUMMYFUNCTION("""COMPUTED_VALUE"""),0.0)</f>
        <v>0</v>
      </c>
      <c r="G328" s="98"/>
      <c r="H328" s="98"/>
      <c r="I328" s="98"/>
      <c r="J328" s="98"/>
      <c r="K328" s="98"/>
      <c r="L328" s="98"/>
    </row>
    <row r="329">
      <c r="A329" s="98"/>
      <c r="B329" s="98"/>
      <c r="C329" s="98" t="str">
        <f>IFERROR(__xludf.DUMMYFUNCTION("""COMPUTED_VALUE"""),"-")</f>
        <v>-</v>
      </c>
      <c r="D329" s="98"/>
      <c r="E329" s="98"/>
      <c r="F329" s="100">
        <f>IFERROR(__xludf.DUMMYFUNCTION("""COMPUTED_VALUE"""),0.0)</f>
        <v>0</v>
      </c>
      <c r="G329" s="98"/>
      <c r="H329" s="98"/>
      <c r="I329" s="98"/>
      <c r="J329" s="98"/>
      <c r="K329" s="98"/>
      <c r="L329" s="98"/>
    </row>
    <row r="330">
      <c r="A330" s="98"/>
      <c r="B330" s="98"/>
      <c r="C330" s="98" t="str">
        <f>IFERROR(__xludf.DUMMYFUNCTION("""COMPUTED_VALUE"""),"-")</f>
        <v>-</v>
      </c>
      <c r="D330" s="98"/>
      <c r="E330" s="98"/>
      <c r="F330" s="100">
        <f>IFERROR(__xludf.DUMMYFUNCTION("""COMPUTED_VALUE"""),0.0)</f>
        <v>0</v>
      </c>
      <c r="G330" s="98"/>
      <c r="H330" s="98"/>
      <c r="I330" s="98"/>
      <c r="J330" s="98"/>
      <c r="K330" s="98"/>
      <c r="L330" s="98"/>
    </row>
    <row r="331">
      <c r="A331" s="98"/>
      <c r="B331" s="98"/>
      <c r="C331" s="98" t="str">
        <f>IFERROR(__xludf.DUMMYFUNCTION("""COMPUTED_VALUE"""),"-")</f>
        <v>-</v>
      </c>
      <c r="D331" s="98"/>
      <c r="E331" s="98"/>
      <c r="F331" s="100">
        <f>IFERROR(__xludf.DUMMYFUNCTION("""COMPUTED_VALUE"""),0.0)</f>
        <v>0</v>
      </c>
      <c r="G331" s="98"/>
      <c r="H331" s="98"/>
      <c r="I331" s="98"/>
      <c r="J331" s="98"/>
      <c r="K331" s="98"/>
      <c r="L331" s="98"/>
    </row>
    <row r="332">
      <c r="A332" s="98"/>
      <c r="B332" s="98"/>
      <c r="C332" s="98" t="str">
        <f>IFERROR(__xludf.DUMMYFUNCTION("""COMPUTED_VALUE"""),"-")</f>
        <v>-</v>
      </c>
      <c r="D332" s="98"/>
      <c r="E332" s="98"/>
      <c r="F332" s="100">
        <f>IFERROR(__xludf.DUMMYFUNCTION("""COMPUTED_VALUE"""),0.0)</f>
        <v>0</v>
      </c>
      <c r="G332" s="98"/>
      <c r="H332" s="98"/>
      <c r="I332" s="98"/>
      <c r="J332" s="98"/>
      <c r="K332" s="98"/>
      <c r="L332" s="98"/>
    </row>
    <row r="333">
      <c r="A333" s="98"/>
      <c r="B333" s="98"/>
      <c r="C333" s="98" t="str">
        <f>IFERROR(__xludf.DUMMYFUNCTION("""COMPUTED_VALUE"""),"-")</f>
        <v>-</v>
      </c>
      <c r="D333" s="98"/>
      <c r="E333" s="98"/>
      <c r="F333" s="100">
        <f>IFERROR(__xludf.DUMMYFUNCTION("""COMPUTED_VALUE"""),0.0)</f>
        <v>0</v>
      </c>
      <c r="G333" s="98"/>
      <c r="H333" s="98"/>
      <c r="I333" s="98"/>
      <c r="J333" s="98"/>
      <c r="K333" s="98"/>
      <c r="L333" s="98"/>
    </row>
    <row r="334">
      <c r="A334" s="98"/>
      <c r="B334" s="98"/>
      <c r="C334" s="98" t="str">
        <f>IFERROR(__xludf.DUMMYFUNCTION("""COMPUTED_VALUE"""),"-")</f>
        <v>-</v>
      </c>
      <c r="D334" s="98"/>
      <c r="E334" s="98"/>
      <c r="F334" s="100">
        <f>IFERROR(__xludf.DUMMYFUNCTION("""COMPUTED_VALUE"""),0.0)</f>
        <v>0</v>
      </c>
      <c r="G334" s="98"/>
      <c r="H334" s="98"/>
      <c r="I334" s="98"/>
      <c r="J334" s="98"/>
      <c r="K334" s="98"/>
      <c r="L334" s="98"/>
    </row>
    <row r="335">
      <c r="A335" s="98"/>
      <c r="B335" s="98"/>
      <c r="C335" s="98" t="str">
        <f>IFERROR(__xludf.DUMMYFUNCTION("""COMPUTED_VALUE"""),"-")</f>
        <v>-</v>
      </c>
      <c r="D335" s="98"/>
      <c r="E335" s="98"/>
      <c r="F335" s="100">
        <f>IFERROR(__xludf.DUMMYFUNCTION("""COMPUTED_VALUE"""),0.0)</f>
        <v>0</v>
      </c>
      <c r="G335" s="98"/>
      <c r="H335" s="98"/>
      <c r="I335" s="98"/>
      <c r="J335" s="98"/>
      <c r="K335" s="98"/>
      <c r="L335" s="98"/>
    </row>
    <row r="336">
      <c r="A336" s="98"/>
      <c r="B336" s="98"/>
      <c r="C336" s="98" t="str">
        <f>IFERROR(__xludf.DUMMYFUNCTION("""COMPUTED_VALUE"""),"-")</f>
        <v>-</v>
      </c>
      <c r="D336" s="98"/>
      <c r="E336" s="98"/>
      <c r="F336" s="100">
        <f>IFERROR(__xludf.DUMMYFUNCTION("""COMPUTED_VALUE"""),0.0)</f>
        <v>0</v>
      </c>
      <c r="G336" s="98"/>
      <c r="H336" s="98"/>
      <c r="I336" s="98"/>
      <c r="J336" s="98"/>
      <c r="K336" s="98"/>
      <c r="L336" s="98"/>
    </row>
    <row r="337">
      <c r="A337" s="98"/>
      <c r="B337" s="98"/>
      <c r="C337" s="98" t="str">
        <f>IFERROR(__xludf.DUMMYFUNCTION("""COMPUTED_VALUE"""),"-")</f>
        <v>-</v>
      </c>
      <c r="D337" s="98"/>
      <c r="E337" s="98"/>
      <c r="F337" s="100">
        <f>IFERROR(__xludf.DUMMYFUNCTION("""COMPUTED_VALUE"""),0.0)</f>
        <v>0</v>
      </c>
      <c r="G337" s="98"/>
      <c r="H337" s="98"/>
      <c r="I337" s="98"/>
      <c r="J337" s="98"/>
      <c r="K337" s="98"/>
      <c r="L337" s="98"/>
    </row>
    <row r="338">
      <c r="A338" s="98"/>
      <c r="B338" s="98"/>
      <c r="C338" s="98" t="str">
        <f>IFERROR(__xludf.DUMMYFUNCTION("""COMPUTED_VALUE"""),"-")</f>
        <v>-</v>
      </c>
      <c r="D338" s="98"/>
      <c r="E338" s="98"/>
      <c r="F338" s="100">
        <f>IFERROR(__xludf.DUMMYFUNCTION("""COMPUTED_VALUE"""),0.0)</f>
        <v>0</v>
      </c>
      <c r="G338" s="98"/>
      <c r="H338" s="98"/>
      <c r="I338" s="98"/>
      <c r="J338" s="98"/>
      <c r="K338" s="98"/>
      <c r="L338" s="98"/>
    </row>
    <row r="339">
      <c r="A339" s="98"/>
      <c r="B339" s="98"/>
      <c r="C339" s="98" t="str">
        <f>IFERROR(__xludf.DUMMYFUNCTION("""COMPUTED_VALUE"""),"-")</f>
        <v>-</v>
      </c>
      <c r="D339" s="98"/>
      <c r="E339" s="98"/>
      <c r="F339" s="100">
        <f>IFERROR(__xludf.DUMMYFUNCTION("""COMPUTED_VALUE"""),0.0)</f>
        <v>0</v>
      </c>
      <c r="G339" s="98"/>
      <c r="H339" s="98"/>
      <c r="I339" s="98"/>
      <c r="J339" s="98"/>
      <c r="K339" s="98"/>
      <c r="L339" s="98"/>
    </row>
    <row r="340">
      <c r="A340" s="98"/>
      <c r="B340" s="98"/>
      <c r="C340" s="98" t="str">
        <f>IFERROR(__xludf.DUMMYFUNCTION("""COMPUTED_VALUE"""),"-")</f>
        <v>-</v>
      </c>
      <c r="D340" s="98"/>
      <c r="E340" s="98"/>
      <c r="F340" s="100">
        <f>IFERROR(__xludf.DUMMYFUNCTION("""COMPUTED_VALUE"""),0.0)</f>
        <v>0</v>
      </c>
      <c r="G340" s="98"/>
      <c r="H340" s="98"/>
      <c r="I340" s="98"/>
      <c r="J340" s="98"/>
      <c r="K340" s="98"/>
      <c r="L340" s="98"/>
    </row>
    <row r="341">
      <c r="A341" s="98"/>
      <c r="B341" s="98"/>
      <c r="C341" s="98" t="str">
        <f>IFERROR(__xludf.DUMMYFUNCTION("""COMPUTED_VALUE"""),"-")</f>
        <v>-</v>
      </c>
      <c r="D341" s="98"/>
      <c r="E341" s="98"/>
      <c r="F341" s="100">
        <f>IFERROR(__xludf.DUMMYFUNCTION("""COMPUTED_VALUE"""),0.0)</f>
        <v>0</v>
      </c>
      <c r="G341" s="98"/>
      <c r="H341" s="98"/>
      <c r="I341" s="98"/>
      <c r="J341" s="98"/>
      <c r="K341" s="98"/>
      <c r="L341" s="98"/>
    </row>
    <row r="342">
      <c r="A342" s="98"/>
      <c r="B342" s="98"/>
      <c r="C342" s="98" t="str">
        <f>IFERROR(__xludf.DUMMYFUNCTION("""COMPUTED_VALUE"""),"-")</f>
        <v>-</v>
      </c>
      <c r="D342" s="98"/>
      <c r="E342" s="98"/>
      <c r="F342" s="100">
        <f>IFERROR(__xludf.DUMMYFUNCTION("""COMPUTED_VALUE"""),0.0)</f>
        <v>0</v>
      </c>
      <c r="G342" s="98"/>
      <c r="H342" s="98"/>
      <c r="I342" s="98"/>
      <c r="J342" s="98"/>
      <c r="K342" s="98"/>
      <c r="L342" s="98"/>
    </row>
    <row r="343">
      <c r="A343" s="98"/>
      <c r="B343" s="98"/>
      <c r="C343" s="98" t="str">
        <f>IFERROR(__xludf.DUMMYFUNCTION("""COMPUTED_VALUE"""),"-")</f>
        <v>-</v>
      </c>
      <c r="D343" s="98"/>
      <c r="E343" s="98"/>
      <c r="F343" s="100">
        <f>IFERROR(__xludf.DUMMYFUNCTION("""COMPUTED_VALUE"""),0.0)</f>
        <v>0</v>
      </c>
      <c r="G343" s="98"/>
      <c r="H343" s="98"/>
      <c r="I343" s="98"/>
      <c r="J343" s="98"/>
      <c r="K343" s="98"/>
      <c r="L343" s="98"/>
    </row>
    <row r="344">
      <c r="A344" s="98"/>
      <c r="B344" s="98"/>
      <c r="C344" s="98" t="str">
        <f>IFERROR(__xludf.DUMMYFUNCTION("""COMPUTED_VALUE"""),"-")</f>
        <v>-</v>
      </c>
      <c r="D344" s="98"/>
      <c r="E344" s="98"/>
      <c r="F344" s="100">
        <f>IFERROR(__xludf.DUMMYFUNCTION("""COMPUTED_VALUE"""),0.0)</f>
        <v>0</v>
      </c>
      <c r="G344" s="98"/>
      <c r="H344" s="98"/>
      <c r="I344" s="98"/>
      <c r="J344" s="98"/>
      <c r="K344" s="98"/>
      <c r="L344" s="98"/>
    </row>
    <row r="345">
      <c r="A345" s="98"/>
      <c r="B345" s="98"/>
      <c r="C345" s="98" t="str">
        <f>IFERROR(__xludf.DUMMYFUNCTION("""COMPUTED_VALUE"""),"-")</f>
        <v>-</v>
      </c>
      <c r="D345" s="98"/>
      <c r="E345" s="98"/>
      <c r="F345" s="100">
        <f>IFERROR(__xludf.DUMMYFUNCTION("""COMPUTED_VALUE"""),0.0)</f>
        <v>0</v>
      </c>
      <c r="G345" s="98"/>
      <c r="H345" s="98"/>
      <c r="I345" s="98"/>
      <c r="J345" s="98"/>
      <c r="K345" s="98"/>
      <c r="L345" s="98"/>
    </row>
    <row r="346">
      <c r="A346" s="98"/>
      <c r="B346" s="98"/>
      <c r="C346" s="98" t="str">
        <f>IFERROR(__xludf.DUMMYFUNCTION("""COMPUTED_VALUE"""),"-")</f>
        <v>-</v>
      </c>
      <c r="D346" s="98"/>
      <c r="E346" s="98"/>
      <c r="F346" s="100">
        <f>IFERROR(__xludf.DUMMYFUNCTION("""COMPUTED_VALUE"""),0.0)</f>
        <v>0</v>
      </c>
      <c r="G346" s="98"/>
      <c r="H346" s="98"/>
      <c r="I346" s="98"/>
      <c r="J346" s="98"/>
      <c r="K346" s="98"/>
      <c r="L346" s="98"/>
    </row>
    <row r="347">
      <c r="A347" s="98"/>
      <c r="B347" s="98"/>
      <c r="C347" s="98" t="str">
        <f>IFERROR(__xludf.DUMMYFUNCTION("""COMPUTED_VALUE"""),"-")</f>
        <v>-</v>
      </c>
      <c r="D347" s="98"/>
      <c r="E347" s="98"/>
      <c r="F347" s="100">
        <f>IFERROR(__xludf.DUMMYFUNCTION("""COMPUTED_VALUE"""),0.0)</f>
        <v>0</v>
      </c>
      <c r="G347" s="98"/>
      <c r="H347" s="98"/>
      <c r="I347" s="98"/>
      <c r="J347" s="98"/>
      <c r="K347" s="98"/>
      <c r="L347" s="98"/>
    </row>
    <row r="348">
      <c r="A348" s="98"/>
      <c r="B348" s="98"/>
      <c r="C348" s="98" t="str">
        <f>IFERROR(__xludf.DUMMYFUNCTION("""COMPUTED_VALUE"""),"-")</f>
        <v>-</v>
      </c>
      <c r="D348" s="98"/>
      <c r="E348" s="98"/>
      <c r="F348" s="100">
        <f>IFERROR(__xludf.DUMMYFUNCTION("""COMPUTED_VALUE"""),0.0)</f>
        <v>0</v>
      </c>
      <c r="G348" s="98"/>
      <c r="H348" s="98"/>
      <c r="I348" s="98"/>
      <c r="J348" s="98"/>
      <c r="K348" s="98"/>
      <c r="L348" s="98"/>
    </row>
    <row r="349">
      <c r="A349" s="98"/>
      <c r="B349" s="98"/>
      <c r="C349" s="98" t="str">
        <f>IFERROR(__xludf.DUMMYFUNCTION("""COMPUTED_VALUE"""),"-")</f>
        <v>-</v>
      </c>
      <c r="D349" s="98"/>
      <c r="E349" s="98"/>
      <c r="F349" s="100">
        <f>IFERROR(__xludf.DUMMYFUNCTION("""COMPUTED_VALUE"""),0.0)</f>
        <v>0</v>
      </c>
      <c r="G349" s="98"/>
      <c r="H349" s="98"/>
      <c r="I349" s="98"/>
      <c r="J349" s="98"/>
      <c r="K349" s="98"/>
      <c r="L349" s="98"/>
    </row>
    <row r="350">
      <c r="A350" s="98"/>
      <c r="B350" s="98"/>
      <c r="C350" s="98" t="str">
        <f>IFERROR(__xludf.DUMMYFUNCTION("""COMPUTED_VALUE"""),"-")</f>
        <v>-</v>
      </c>
      <c r="D350" s="98"/>
      <c r="E350" s="98"/>
      <c r="F350" s="100">
        <f>IFERROR(__xludf.DUMMYFUNCTION("""COMPUTED_VALUE"""),0.0)</f>
        <v>0</v>
      </c>
      <c r="G350" s="98"/>
      <c r="H350" s="98"/>
      <c r="I350" s="98"/>
      <c r="J350" s="98"/>
      <c r="K350" s="98"/>
      <c r="L350" s="98"/>
    </row>
    <row r="351">
      <c r="A351" s="98"/>
      <c r="B351" s="98"/>
      <c r="C351" s="98" t="str">
        <f>IFERROR(__xludf.DUMMYFUNCTION("""COMPUTED_VALUE"""),"-")</f>
        <v>-</v>
      </c>
      <c r="D351" s="98"/>
      <c r="E351" s="98"/>
      <c r="F351" s="100">
        <f>IFERROR(__xludf.DUMMYFUNCTION("""COMPUTED_VALUE"""),0.0)</f>
        <v>0</v>
      </c>
      <c r="G351" s="98"/>
      <c r="H351" s="98"/>
      <c r="I351" s="98"/>
      <c r="J351" s="98"/>
      <c r="K351" s="98"/>
      <c r="L351" s="98"/>
    </row>
    <row r="352">
      <c r="A352" s="98"/>
      <c r="B352" s="98"/>
      <c r="C352" s="98" t="str">
        <f>IFERROR(__xludf.DUMMYFUNCTION("""COMPUTED_VALUE"""),"-")</f>
        <v>-</v>
      </c>
      <c r="D352" s="98"/>
      <c r="E352" s="98"/>
      <c r="F352" s="100">
        <f>IFERROR(__xludf.DUMMYFUNCTION("""COMPUTED_VALUE"""),0.0)</f>
        <v>0</v>
      </c>
      <c r="G352" s="98"/>
      <c r="H352" s="98"/>
      <c r="I352" s="98"/>
      <c r="J352" s="98"/>
      <c r="K352" s="98"/>
      <c r="L352" s="98"/>
    </row>
    <row r="353">
      <c r="A353" s="98"/>
      <c r="B353" s="98"/>
      <c r="C353" s="98" t="str">
        <f>IFERROR(__xludf.DUMMYFUNCTION("""COMPUTED_VALUE"""),"-")</f>
        <v>-</v>
      </c>
      <c r="D353" s="98"/>
      <c r="E353" s="98"/>
      <c r="F353" s="100">
        <f>IFERROR(__xludf.DUMMYFUNCTION("""COMPUTED_VALUE"""),0.0)</f>
        <v>0</v>
      </c>
      <c r="G353" s="98"/>
      <c r="H353" s="98"/>
      <c r="I353" s="98"/>
      <c r="J353" s="98"/>
      <c r="K353" s="98"/>
      <c r="L353" s="98"/>
    </row>
    <row r="354">
      <c r="A354" s="98"/>
      <c r="B354" s="98"/>
      <c r="C354" s="98" t="str">
        <f>IFERROR(__xludf.DUMMYFUNCTION("""COMPUTED_VALUE"""),"-")</f>
        <v>-</v>
      </c>
      <c r="D354" s="98"/>
      <c r="E354" s="98"/>
      <c r="F354" s="100">
        <f>IFERROR(__xludf.DUMMYFUNCTION("""COMPUTED_VALUE"""),0.0)</f>
        <v>0</v>
      </c>
      <c r="G354" s="98"/>
      <c r="H354" s="98"/>
      <c r="I354" s="98"/>
      <c r="J354" s="98"/>
      <c r="K354" s="98"/>
      <c r="L354" s="98"/>
    </row>
    <row r="355">
      <c r="A355" s="98"/>
      <c r="B355" s="98"/>
      <c r="C355" s="98" t="str">
        <f>IFERROR(__xludf.DUMMYFUNCTION("""COMPUTED_VALUE"""),"-")</f>
        <v>-</v>
      </c>
      <c r="D355" s="98"/>
      <c r="E355" s="98"/>
      <c r="F355" s="100">
        <f>IFERROR(__xludf.DUMMYFUNCTION("""COMPUTED_VALUE"""),0.0)</f>
        <v>0</v>
      </c>
      <c r="G355" s="98"/>
      <c r="H355" s="98"/>
      <c r="I355" s="98"/>
      <c r="J355" s="98"/>
      <c r="K355" s="98"/>
      <c r="L355" s="98"/>
    </row>
    <row r="356">
      <c r="A356" s="98"/>
      <c r="B356" s="98"/>
      <c r="C356" s="98" t="str">
        <f>IFERROR(__xludf.DUMMYFUNCTION("""COMPUTED_VALUE"""),"-")</f>
        <v>-</v>
      </c>
      <c r="D356" s="98"/>
      <c r="E356" s="98"/>
      <c r="F356" s="100">
        <f>IFERROR(__xludf.DUMMYFUNCTION("""COMPUTED_VALUE"""),0.0)</f>
        <v>0</v>
      </c>
      <c r="G356" s="98"/>
      <c r="H356" s="98"/>
      <c r="I356" s="98"/>
      <c r="J356" s="98"/>
      <c r="K356" s="98"/>
      <c r="L356" s="98"/>
    </row>
    <row r="357">
      <c r="A357" s="98"/>
      <c r="B357" s="98"/>
      <c r="C357" s="98" t="str">
        <f>IFERROR(__xludf.DUMMYFUNCTION("""COMPUTED_VALUE"""),"-")</f>
        <v>-</v>
      </c>
      <c r="D357" s="98"/>
      <c r="E357" s="98"/>
      <c r="F357" s="100">
        <f>IFERROR(__xludf.DUMMYFUNCTION("""COMPUTED_VALUE"""),0.0)</f>
        <v>0</v>
      </c>
      <c r="G357" s="98"/>
      <c r="H357" s="98"/>
      <c r="I357" s="98"/>
      <c r="J357" s="98"/>
      <c r="K357" s="98"/>
      <c r="L357" s="98"/>
    </row>
    <row r="358">
      <c r="A358" s="98"/>
      <c r="B358" s="98"/>
      <c r="C358" s="98" t="str">
        <f>IFERROR(__xludf.DUMMYFUNCTION("""COMPUTED_VALUE"""),"-")</f>
        <v>-</v>
      </c>
      <c r="D358" s="98"/>
      <c r="E358" s="98"/>
      <c r="F358" s="100">
        <f>IFERROR(__xludf.DUMMYFUNCTION("""COMPUTED_VALUE"""),0.0)</f>
        <v>0</v>
      </c>
      <c r="G358" s="98"/>
      <c r="H358" s="98"/>
      <c r="I358" s="98"/>
      <c r="J358" s="98"/>
      <c r="K358" s="98"/>
      <c r="L358" s="98"/>
    </row>
    <row r="359">
      <c r="A359" s="98"/>
      <c r="B359" s="98"/>
      <c r="C359" s="98" t="str">
        <f>IFERROR(__xludf.DUMMYFUNCTION("""COMPUTED_VALUE"""),"-")</f>
        <v>-</v>
      </c>
      <c r="D359" s="98"/>
      <c r="E359" s="98"/>
      <c r="F359" s="100">
        <f>IFERROR(__xludf.DUMMYFUNCTION("""COMPUTED_VALUE"""),0.0)</f>
        <v>0</v>
      </c>
      <c r="G359" s="98"/>
      <c r="H359" s="98"/>
      <c r="I359" s="98"/>
      <c r="J359" s="98"/>
      <c r="K359" s="98"/>
      <c r="L359" s="98"/>
    </row>
    <row r="360">
      <c r="A360" s="98"/>
      <c r="B360" s="98"/>
      <c r="C360" s="98" t="str">
        <f>IFERROR(__xludf.DUMMYFUNCTION("""COMPUTED_VALUE"""),"-")</f>
        <v>-</v>
      </c>
      <c r="D360" s="98"/>
      <c r="E360" s="98"/>
      <c r="F360" s="100">
        <f>IFERROR(__xludf.DUMMYFUNCTION("""COMPUTED_VALUE"""),0.0)</f>
        <v>0</v>
      </c>
      <c r="G360" s="98"/>
      <c r="H360" s="98"/>
      <c r="I360" s="98"/>
      <c r="J360" s="98"/>
      <c r="K360" s="98"/>
      <c r="L360" s="98"/>
    </row>
    <row r="361">
      <c r="A361" s="98"/>
      <c r="B361" s="98"/>
      <c r="C361" s="98" t="str">
        <f>IFERROR(__xludf.DUMMYFUNCTION("""COMPUTED_VALUE"""),"-")</f>
        <v>-</v>
      </c>
      <c r="D361" s="98"/>
      <c r="E361" s="98"/>
      <c r="F361" s="100">
        <f>IFERROR(__xludf.DUMMYFUNCTION("""COMPUTED_VALUE"""),0.0)</f>
        <v>0</v>
      </c>
      <c r="G361" s="98"/>
      <c r="H361" s="98"/>
      <c r="I361" s="98"/>
      <c r="J361" s="98"/>
      <c r="K361" s="98"/>
      <c r="L361" s="98"/>
    </row>
    <row r="362">
      <c r="A362" s="98"/>
      <c r="B362" s="98"/>
      <c r="C362" s="98" t="str">
        <f>IFERROR(__xludf.DUMMYFUNCTION("""COMPUTED_VALUE"""),"-")</f>
        <v>-</v>
      </c>
      <c r="D362" s="98"/>
      <c r="E362" s="98"/>
      <c r="F362" s="100">
        <f>IFERROR(__xludf.DUMMYFUNCTION("""COMPUTED_VALUE"""),0.0)</f>
        <v>0</v>
      </c>
      <c r="G362" s="98"/>
      <c r="H362" s="98"/>
      <c r="I362" s="98"/>
      <c r="J362" s="98"/>
      <c r="K362" s="98"/>
      <c r="L362" s="98"/>
    </row>
    <row r="363">
      <c r="A363" s="98"/>
      <c r="B363" s="98"/>
      <c r="C363" s="98" t="str">
        <f>IFERROR(__xludf.DUMMYFUNCTION("""COMPUTED_VALUE"""),"-")</f>
        <v>-</v>
      </c>
      <c r="D363" s="98"/>
      <c r="E363" s="98"/>
      <c r="F363" s="100">
        <f>IFERROR(__xludf.DUMMYFUNCTION("""COMPUTED_VALUE"""),0.0)</f>
        <v>0</v>
      </c>
      <c r="G363" s="98"/>
      <c r="H363" s="98"/>
      <c r="I363" s="98"/>
      <c r="J363" s="98"/>
      <c r="K363" s="98"/>
      <c r="L363" s="98"/>
    </row>
    <row r="364">
      <c r="A364" s="98"/>
      <c r="B364" s="98"/>
      <c r="C364" s="98" t="str">
        <f>IFERROR(__xludf.DUMMYFUNCTION("""COMPUTED_VALUE"""),"-")</f>
        <v>-</v>
      </c>
      <c r="D364" s="98"/>
      <c r="E364" s="98"/>
      <c r="F364" s="100">
        <f>IFERROR(__xludf.DUMMYFUNCTION("""COMPUTED_VALUE"""),0.0)</f>
        <v>0</v>
      </c>
      <c r="G364" s="98"/>
      <c r="H364" s="98"/>
      <c r="I364" s="98"/>
      <c r="J364" s="98"/>
      <c r="K364" s="98"/>
      <c r="L364" s="98"/>
    </row>
    <row r="365">
      <c r="A365" s="98"/>
      <c r="B365" s="98"/>
      <c r="C365" s="98" t="str">
        <f>IFERROR(__xludf.DUMMYFUNCTION("""COMPUTED_VALUE"""),"-")</f>
        <v>-</v>
      </c>
      <c r="D365" s="98"/>
      <c r="E365" s="98"/>
      <c r="F365" s="100">
        <f>IFERROR(__xludf.DUMMYFUNCTION("""COMPUTED_VALUE"""),0.0)</f>
        <v>0</v>
      </c>
      <c r="G365" s="98"/>
      <c r="H365" s="98"/>
      <c r="I365" s="98"/>
      <c r="J365" s="98"/>
      <c r="K365" s="98"/>
      <c r="L365" s="98"/>
    </row>
    <row r="366">
      <c r="A366" s="98"/>
      <c r="B366" s="98"/>
      <c r="C366" s="98" t="str">
        <f>IFERROR(__xludf.DUMMYFUNCTION("""COMPUTED_VALUE"""),"-")</f>
        <v>-</v>
      </c>
      <c r="D366" s="98"/>
      <c r="E366" s="98"/>
      <c r="F366" s="100">
        <f>IFERROR(__xludf.DUMMYFUNCTION("""COMPUTED_VALUE"""),0.0)</f>
        <v>0</v>
      </c>
      <c r="G366" s="98"/>
      <c r="H366" s="98"/>
      <c r="I366" s="98"/>
      <c r="J366" s="98"/>
      <c r="K366" s="98"/>
      <c r="L366" s="98"/>
    </row>
    <row r="367">
      <c r="A367" s="98"/>
      <c r="B367" s="98"/>
      <c r="C367" s="98" t="str">
        <f>IFERROR(__xludf.DUMMYFUNCTION("""COMPUTED_VALUE"""),"-")</f>
        <v>-</v>
      </c>
      <c r="D367" s="98"/>
      <c r="E367" s="98"/>
      <c r="F367" s="100">
        <f>IFERROR(__xludf.DUMMYFUNCTION("""COMPUTED_VALUE"""),0.0)</f>
        <v>0</v>
      </c>
      <c r="G367" s="98"/>
      <c r="H367" s="98"/>
      <c r="I367" s="98"/>
      <c r="J367" s="98"/>
      <c r="K367" s="98"/>
      <c r="L367" s="98"/>
    </row>
    <row r="368">
      <c r="A368" s="98"/>
      <c r="B368" s="98"/>
      <c r="C368" s="98" t="str">
        <f>IFERROR(__xludf.DUMMYFUNCTION("""COMPUTED_VALUE"""),"-")</f>
        <v>-</v>
      </c>
      <c r="D368" s="98"/>
      <c r="E368" s="98"/>
      <c r="F368" s="100">
        <f>IFERROR(__xludf.DUMMYFUNCTION("""COMPUTED_VALUE"""),0.0)</f>
        <v>0</v>
      </c>
      <c r="G368" s="98"/>
      <c r="H368" s="98"/>
      <c r="I368" s="98"/>
      <c r="J368" s="98"/>
      <c r="K368" s="98"/>
      <c r="L368" s="98"/>
    </row>
    <row r="369">
      <c r="A369" s="98"/>
      <c r="B369" s="98"/>
      <c r="C369" s="98" t="str">
        <f>IFERROR(__xludf.DUMMYFUNCTION("""COMPUTED_VALUE"""),"-")</f>
        <v>-</v>
      </c>
      <c r="D369" s="98"/>
      <c r="E369" s="98"/>
      <c r="F369" s="100">
        <f>IFERROR(__xludf.DUMMYFUNCTION("""COMPUTED_VALUE"""),0.0)</f>
        <v>0</v>
      </c>
      <c r="G369" s="98"/>
      <c r="H369" s="98"/>
      <c r="I369" s="98"/>
      <c r="J369" s="98"/>
      <c r="K369" s="98"/>
      <c r="L369" s="98"/>
    </row>
    <row r="370">
      <c r="A370" s="98"/>
      <c r="B370" s="98"/>
      <c r="C370" s="98" t="str">
        <f>IFERROR(__xludf.DUMMYFUNCTION("""COMPUTED_VALUE"""),"-")</f>
        <v>-</v>
      </c>
      <c r="D370" s="98"/>
      <c r="E370" s="98"/>
      <c r="F370" s="100">
        <f>IFERROR(__xludf.DUMMYFUNCTION("""COMPUTED_VALUE"""),0.0)</f>
        <v>0</v>
      </c>
      <c r="G370" s="98"/>
      <c r="H370" s="98"/>
      <c r="I370" s="98"/>
      <c r="J370" s="98"/>
      <c r="K370" s="98"/>
      <c r="L370" s="98"/>
    </row>
    <row r="371">
      <c r="A371" s="98"/>
      <c r="B371" s="98"/>
      <c r="C371" s="98" t="str">
        <f>IFERROR(__xludf.DUMMYFUNCTION("""COMPUTED_VALUE"""),"-")</f>
        <v>-</v>
      </c>
      <c r="D371" s="98"/>
      <c r="E371" s="98"/>
      <c r="F371" s="100">
        <f>IFERROR(__xludf.DUMMYFUNCTION("""COMPUTED_VALUE"""),0.0)</f>
        <v>0</v>
      </c>
      <c r="G371" s="98"/>
      <c r="H371" s="98"/>
      <c r="I371" s="98"/>
      <c r="J371" s="98"/>
      <c r="K371" s="98"/>
      <c r="L371" s="98"/>
    </row>
    <row r="372">
      <c r="A372" s="98"/>
      <c r="B372" s="98"/>
      <c r="C372" s="98" t="str">
        <f>IFERROR(__xludf.DUMMYFUNCTION("""COMPUTED_VALUE"""),"-")</f>
        <v>-</v>
      </c>
      <c r="D372" s="98"/>
      <c r="E372" s="98"/>
      <c r="F372" s="100">
        <f>IFERROR(__xludf.DUMMYFUNCTION("""COMPUTED_VALUE"""),0.0)</f>
        <v>0</v>
      </c>
      <c r="G372" s="98"/>
      <c r="H372" s="98"/>
      <c r="I372" s="98"/>
      <c r="J372" s="98"/>
      <c r="K372" s="98"/>
      <c r="L372" s="98"/>
    </row>
    <row r="373">
      <c r="A373" s="98"/>
      <c r="B373" s="98"/>
      <c r="C373" s="98" t="str">
        <f>IFERROR(__xludf.DUMMYFUNCTION("""COMPUTED_VALUE"""),"-")</f>
        <v>-</v>
      </c>
      <c r="D373" s="98"/>
      <c r="E373" s="98"/>
      <c r="F373" s="100">
        <f>IFERROR(__xludf.DUMMYFUNCTION("""COMPUTED_VALUE"""),0.0)</f>
        <v>0</v>
      </c>
      <c r="G373" s="98"/>
      <c r="H373" s="98"/>
      <c r="I373" s="98"/>
      <c r="J373" s="98"/>
      <c r="K373" s="98"/>
      <c r="L373" s="98"/>
    </row>
    <row r="374">
      <c r="A374" s="98"/>
      <c r="B374" s="98"/>
      <c r="C374" s="98" t="str">
        <f>IFERROR(__xludf.DUMMYFUNCTION("""COMPUTED_VALUE"""),"-")</f>
        <v>-</v>
      </c>
      <c r="D374" s="98"/>
      <c r="E374" s="98"/>
      <c r="F374" s="100">
        <f>IFERROR(__xludf.DUMMYFUNCTION("""COMPUTED_VALUE"""),0.0)</f>
        <v>0</v>
      </c>
      <c r="G374" s="98"/>
      <c r="H374" s="98"/>
      <c r="I374" s="98"/>
      <c r="J374" s="98"/>
      <c r="K374" s="98"/>
      <c r="L374" s="98"/>
    </row>
    <row r="375">
      <c r="A375" s="98"/>
      <c r="B375" s="98"/>
      <c r="C375" s="98" t="str">
        <f>IFERROR(__xludf.DUMMYFUNCTION("""COMPUTED_VALUE"""),"-")</f>
        <v>-</v>
      </c>
      <c r="D375" s="98"/>
      <c r="E375" s="98"/>
      <c r="F375" s="100">
        <f>IFERROR(__xludf.DUMMYFUNCTION("""COMPUTED_VALUE"""),0.0)</f>
        <v>0</v>
      </c>
      <c r="G375" s="98"/>
      <c r="H375" s="98"/>
      <c r="I375" s="98"/>
      <c r="J375" s="98"/>
      <c r="K375" s="98"/>
      <c r="L375" s="98"/>
    </row>
    <row r="376">
      <c r="A376" s="98"/>
      <c r="B376" s="98"/>
      <c r="C376" s="98" t="str">
        <f>IFERROR(__xludf.DUMMYFUNCTION("""COMPUTED_VALUE"""),"-")</f>
        <v>-</v>
      </c>
      <c r="D376" s="98"/>
      <c r="E376" s="98"/>
      <c r="F376" s="100">
        <f>IFERROR(__xludf.DUMMYFUNCTION("""COMPUTED_VALUE"""),0.0)</f>
        <v>0</v>
      </c>
      <c r="G376" s="98"/>
      <c r="H376" s="98"/>
      <c r="I376" s="98"/>
      <c r="J376" s="98"/>
      <c r="K376" s="98"/>
      <c r="L376" s="98"/>
    </row>
    <row r="377">
      <c r="A377" s="98"/>
      <c r="B377" s="98"/>
      <c r="C377" s="98" t="str">
        <f>IFERROR(__xludf.DUMMYFUNCTION("""COMPUTED_VALUE"""),"-")</f>
        <v>-</v>
      </c>
      <c r="D377" s="98"/>
      <c r="E377" s="98"/>
      <c r="F377" s="100">
        <f>IFERROR(__xludf.DUMMYFUNCTION("""COMPUTED_VALUE"""),0.0)</f>
        <v>0</v>
      </c>
      <c r="G377" s="98"/>
      <c r="H377" s="98"/>
      <c r="I377" s="98"/>
      <c r="J377" s="98"/>
      <c r="K377" s="98"/>
      <c r="L377" s="98"/>
    </row>
    <row r="378">
      <c r="A378" s="98"/>
      <c r="B378" s="98"/>
      <c r="C378" s="98" t="str">
        <f>IFERROR(__xludf.DUMMYFUNCTION("""COMPUTED_VALUE"""),"-")</f>
        <v>-</v>
      </c>
      <c r="D378" s="98"/>
      <c r="E378" s="98"/>
      <c r="F378" s="100">
        <f>IFERROR(__xludf.DUMMYFUNCTION("""COMPUTED_VALUE"""),0.0)</f>
        <v>0</v>
      </c>
      <c r="G378" s="98"/>
      <c r="H378" s="98"/>
      <c r="I378" s="98"/>
      <c r="J378" s="98"/>
      <c r="K378" s="98"/>
      <c r="L378" s="98"/>
    </row>
    <row r="379">
      <c r="A379" s="98"/>
      <c r="B379" s="98"/>
      <c r="C379" s="98" t="str">
        <f>IFERROR(__xludf.DUMMYFUNCTION("""COMPUTED_VALUE"""),"-")</f>
        <v>-</v>
      </c>
      <c r="D379" s="98"/>
      <c r="E379" s="98"/>
      <c r="F379" s="100">
        <f>IFERROR(__xludf.DUMMYFUNCTION("""COMPUTED_VALUE"""),0.0)</f>
        <v>0</v>
      </c>
      <c r="G379" s="98"/>
      <c r="H379" s="98"/>
      <c r="I379" s="98"/>
      <c r="J379" s="98"/>
      <c r="K379" s="98"/>
      <c r="L379" s="98"/>
    </row>
    <row r="380">
      <c r="A380" s="98"/>
      <c r="B380" s="98"/>
      <c r="C380" s="98" t="str">
        <f>IFERROR(__xludf.DUMMYFUNCTION("""COMPUTED_VALUE"""),"-")</f>
        <v>-</v>
      </c>
      <c r="D380" s="98"/>
      <c r="E380" s="98"/>
      <c r="F380" s="100">
        <f>IFERROR(__xludf.DUMMYFUNCTION("""COMPUTED_VALUE"""),0.0)</f>
        <v>0</v>
      </c>
      <c r="G380" s="98"/>
      <c r="H380" s="98"/>
      <c r="I380" s="98"/>
      <c r="J380" s="98"/>
      <c r="K380" s="98"/>
      <c r="L380" s="98"/>
    </row>
    <row r="381">
      <c r="A381" s="98"/>
      <c r="B381" s="98"/>
      <c r="C381" s="98" t="str">
        <f>IFERROR(__xludf.DUMMYFUNCTION("""COMPUTED_VALUE"""),"-")</f>
        <v>-</v>
      </c>
      <c r="D381" s="98"/>
      <c r="E381" s="98"/>
      <c r="F381" s="100">
        <f>IFERROR(__xludf.DUMMYFUNCTION("""COMPUTED_VALUE"""),0.0)</f>
        <v>0</v>
      </c>
      <c r="G381" s="98"/>
      <c r="H381" s="98"/>
      <c r="I381" s="98"/>
      <c r="J381" s="98"/>
      <c r="K381" s="98"/>
      <c r="L381" s="98"/>
    </row>
    <row r="382">
      <c r="A382" s="98"/>
      <c r="B382" s="98"/>
      <c r="C382" s="98" t="str">
        <f>IFERROR(__xludf.DUMMYFUNCTION("""COMPUTED_VALUE"""),"-")</f>
        <v>-</v>
      </c>
      <c r="D382" s="98"/>
      <c r="E382" s="98"/>
      <c r="F382" s="100">
        <f>IFERROR(__xludf.DUMMYFUNCTION("""COMPUTED_VALUE"""),0.0)</f>
        <v>0</v>
      </c>
      <c r="G382" s="98"/>
      <c r="H382" s="98"/>
      <c r="I382" s="98"/>
      <c r="J382" s="98"/>
      <c r="K382" s="98"/>
      <c r="L382" s="98"/>
    </row>
    <row r="383">
      <c r="A383" s="98"/>
      <c r="B383" s="98"/>
      <c r="C383" s="98" t="str">
        <f>IFERROR(__xludf.DUMMYFUNCTION("""COMPUTED_VALUE"""),"-")</f>
        <v>-</v>
      </c>
      <c r="D383" s="98"/>
      <c r="E383" s="98"/>
      <c r="F383" s="100">
        <f>IFERROR(__xludf.DUMMYFUNCTION("""COMPUTED_VALUE"""),0.0)</f>
        <v>0</v>
      </c>
      <c r="G383" s="98"/>
      <c r="H383" s="98"/>
      <c r="I383" s="98"/>
      <c r="J383" s="98"/>
      <c r="K383" s="98"/>
      <c r="L383" s="98"/>
    </row>
    <row r="384">
      <c r="A384" s="98"/>
      <c r="B384" s="98"/>
      <c r="C384" s="98" t="str">
        <f>IFERROR(__xludf.DUMMYFUNCTION("""COMPUTED_VALUE"""),"-")</f>
        <v>-</v>
      </c>
      <c r="D384" s="98"/>
      <c r="E384" s="98"/>
      <c r="F384" s="100">
        <f>IFERROR(__xludf.DUMMYFUNCTION("""COMPUTED_VALUE"""),0.0)</f>
        <v>0</v>
      </c>
      <c r="G384" s="98"/>
      <c r="H384" s="98"/>
      <c r="I384" s="98"/>
      <c r="J384" s="98"/>
      <c r="K384" s="98"/>
      <c r="L384" s="98"/>
    </row>
    <row r="385">
      <c r="A385" s="98"/>
      <c r="B385" s="98"/>
      <c r="C385" s="98" t="str">
        <f>IFERROR(__xludf.DUMMYFUNCTION("""COMPUTED_VALUE"""),"-")</f>
        <v>-</v>
      </c>
      <c r="D385" s="98"/>
      <c r="E385" s="98"/>
      <c r="F385" s="100">
        <f>IFERROR(__xludf.DUMMYFUNCTION("""COMPUTED_VALUE"""),0.0)</f>
        <v>0</v>
      </c>
      <c r="G385" s="98"/>
      <c r="H385" s="98"/>
      <c r="I385" s="98"/>
      <c r="J385" s="98"/>
      <c r="K385" s="98"/>
      <c r="L385" s="98"/>
    </row>
    <row r="386">
      <c r="A386" s="98"/>
      <c r="B386" s="98"/>
      <c r="C386" s="98" t="str">
        <f>IFERROR(__xludf.DUMMYFUNCTION("""COMPUTED_VALUE"""),"-")</f>
        <v>-</v>
      </c>
      <c r="D386" s="98"/>
      <c r="E386" s="98"/>
      <c r="F386" s="100">
        <f>IFERROR(__xludf.DUMMYFUNCTION("""COMPUTED_VALUE"""),0.0)</f>
        <v>0</v>
      </c>
      <c r="G386" s="98"/>
      <c r="H386" s="98"/>
      <c r="I386" s="98"/>
      <c r="J386" s="98"/>
      <c r="K386" s="98"/>
      <c r="L386" s="98"/>
    </row>
    <row r="387">
      <c r="A387" s="98"/>
      <c r="B387" s="98"/>
      <c r="C387" s="98" t="str">
        <f>IFERROR(__xludf.DUMMYFUNCTION("""COMPUTED_VALUE"""),"-")</f>
        <v>-</v>
      </c>
      <c r="D387" s="98"/>
      <c r="E387" s="98"/>
      <c r="F387" s="100">
        <f>IFERROR(__xludf.DUMMYFUNCTION("""COMPUTED_VALUE"""),0.0)</f>
        <v>0</v>
      </c>
      <c r="G387" s="98"/>
      <c r="H387" s="98"/>
      <c r="I387" s="98"/>
      <c r="J387" s="98"/>
      <c r="K387" s="98"/>
      <c r="L387" s="98"/>
    </row>
    <row r="388">
      <c r="A388" s="98"/>
      <c r="B388" s="98"/>
      <c r="C388" s="98" t="str">
        <f>IFERROR(__xludf.DUMMYFUNCTION("""COMPUTED_VALUE"""),"-")</f>
        <v>-</v>
      </c>
      <c r="D388" s="98"/>
      <c r="E388" s="98"/>
      <c r="F388" s="100">
        <f>IFERROR(__xludf.DUMMYFUNCTION("""COMPUTED_VALUE"""),0.0)</f>
        <v>0</v>
      </c>
      <c r="G388" s="98"/>
      <c r="H388" s="98"/>
      <c r="I388" s="98"/>
      <c r="J388" s="98"/>
      <c r="K388" s="98"/>
      <c r="L388" s="98"/>
    </row>
    <row r="389">
      <c r="A389" s="98"/>
      <c r="B389" s="98"/>
      <c r="C389" s="98" t="str">
        <f>IFERROR(__xludf.DUMMYFUNCTION("""COMPUTED_VALUE"""),"-")</f>
        <v>-</v>
      </c>
      <c r="D389" s="98"/>
      <c r="E389" s="98"/>
      <c r="F389" s="100">
        <f>IFERROR(__xludf.DUMMYFUNCTION("""COMPUTED_VALUE"""),0.0)</f>
        <v>0</v>
      </c>
      <c r="G389" s="98"/>
      <c r="H389" s="98"/>
      <c r="I389" s="98"/>
      <c r="J389" s="98"/>
      <c r="K389" s="98"/>
      <c r="L389" s="98"/>
    </row>
    <row r="390">
      <c r="A390" s="98"/>
      <c r="B390" s="98"/>
      <c r="C390" s="98" t="str">
        <f>IFERROR(__xludf.DUMMYFUNCTION("""COMPUTED_VALUE"""),"-")</f>
        <v>-</v>
      </c>
      <c r="D390" s="98"/>
      <c r="E390" s="98"/>
      <c r="F390" s="100">
        <f>IFERROR(__xludf.DUMMYFUNCTION("""COMPUTED_VALUE"""),0.0)</f>
        <v>0</v>
      </c>
      <c r="G390" s="98"/>
      <c r="H390" s="98"/>
      <c r="I390" s="98"/>
      <c r="J390" s="98"/>
      <c r="K390" s="98"/>
      <c r="L390" s="98"/>
    </row>
    <row r="391">
      <c r="A391" s="98"/>
      <c r="B391" s="98"/>
      <c r="C391" s="98" t="str">
        <f>IFERROR(__xludf.DUMMYFUNCTION("""COMPUTED_VALUE"""),"-")</f>
        <v>-</v>
      </c>
      <c r="D391" s="98"/>
      <c r="E391" s="98"/>
      <c r="F391" s="100">
        <f>IFERROR(__xludf.DUMMYFUNCTION("""COMPUTED_VALUE"""),0.0)</f>
        <v>0</v>
      </c>
      <c r="G391" s="98"/>
      <c r="H391" s="98"/>
      <c r="I391" s="98"/>
      <c r="J391" s="98"/>
      <c r="K391" s="98"/>
      <c r="L391" s="98"/>
    </row>
    <row r="392">
      <c r="A392" s="98"/>
      <c r="B392" s="98"/>
      <c r="C392" s="98" t="str">
        <f>IFERROR(__xludf.DUMMYFUNCTION("""COMPUTED_VALUE"""),"-")</f>
        <v>-</v>
      </c>
      <c r="D392" s="98"/>
      <c r="E392" s="98"/>
      <c r="F392" s="100">
        <f>IFERROR(__xludf.DUMMYFUNCTION("""COMPUTED_VALUE"""),0.0)</f>
        <v>0</v>
      </c>
      <c r="G392" s="98"/>
      <c r="H392" s="98"/>
      <c r="I392" s="98"/>
      <c r="J392" s="98"/>
      <c r="K392" s="98"/>
      <c r="L392" s="98"/>
    </row>
    <row r="393">
      <c r="A393" s="98"/>
      <c r="B393" s="98"/>
      <c r="C393" s="98" t="str">
        <f>IFERROR(__xludf.DUMMYFUNCTION("""COMPUTED_VALUE"""),"-")</f>
        <v>-</v>
      </c>
      <c r="D393" s="98"/>
      <c r="E393" s="98"/>
      <c r="F393" s="100">
        <f>IFERROR(__xludf.DUMMYFUNCTION("""COMPUTED_VALUE"""),0.0)</f>
        <v>0</v>
      </c>
      <c r="G393" s="98"/>
      <c r="H393" s="98"/>
      <c r="I393" s="98"/>
      <c r="J393" s="98"/>
      <c r="K393" s="98"/>
      <c r="L393" s="98"/>
    </row>
    <row r="394">
      <c r="A394" s="98"/>
      <c r="B394" s="98"/>
      <c r="C394" s="98" t="str">
        <f>IFERROR(__xludf.DUMMYFUNCTION("""COMPUTED_VALUE"""),"-")</f>
        <v>-</v>
      </c>
      <c r="D394" s="98"/>
      <c r="E394" s="98"/>
      <c r="F394" s="100">
        <f>IFERROR(__xludf.DUMMYFUNCTION("""COMPUTED_VALUE"""),0.0)</f>
        <v>0</v>
      </c>
      <c r="G394" s="98"/>
      <c r="H394" s="98"/>
      <c r="I394" s="98"/>
      <c r="J394" s="98"/>
      <c r="K394" s="98"/>
      <c r="L394" s="98"/>
    </row>
    <row r="395">
      <c r="A395" s="98"/>
      <c r="B395" s="98"/>
      <c r="C395" s="98" t="str">
        <f>IFERROR(__xludf.DUMMYFUNCTION("""COMPUTED_VALUE"""),"-")</f>
        <v>-</v>
      </c>
      <c r="D395" s="98"/>
      <c r="E395" s="98"/>
      <c r="F395" s="100">
        <f>IFERROR(__xludf.DUMMYFUNCTION("""COMPUTED_VALUE"""),0.0)</f>
        <v>0</v>
      </c>
      <c r="G395" s="98"/>
      <c r="H395" s="98"/>
      <c r="I395" s="98"/>
      <c r="J395" s="98"/>
      <c r="K395" s="98"/>
      <c r="L395" s="98"/>
    </row>
    <row r="396">
      <c r="A396" s="98"/>
      <c r="B396" s="98"/>
      <c r="C396" s="98" t="str">
        <f>IFERROR(__xludf.DUMMYFUNCTION("""COMPUTED_VALUE"""),"-")</f>
        <v>-</v>
      </c>
      <c r="D396" s="98"/>
      <c r="E396" s="98"/>
      <c r="F396" s="100">
        <f>IFERROR(__xludf.DUMMYFUNCTION("""COMPUTED_VALUE"""),0.0)</f>
        <v>0</v>
      </c>
      <c r="G396" s="98"/>
      <c r="H396" s="98"/>
      <c r="I396" s="98"/>
      <c r="J396" s="98"/>
      <c r="K396" s="98"/>
      <c r="L396" s="98"/>
    </row>
    <row r="397">
      <c r="A397" s="98"/>
      <c r="B397" s="98"/>
      <c r="C397" s="98" t="str">
        <f>IFERROR(__xludf.DUMMYFUNCTION("""COMPUTED_VALUE"""),"-")</f>
        <v>-</v>
      </c>
      <c r="D397" s="98"/>
      <c r="E397" s="98"/>
      <c r="F397" s="100">
        <f>IFERROR(__xludf.DUMMYFUNCTION("""COMPUTED_VALUE"""),0.0)</f>
        <v>0</v>
      </c>
      <c r="G397" s="98"/>
      <c r="H397" s="98"/>
      <c r="I397" s="98"/>
      <c r="J397" s="98"/>
      <c r="K397" s="98"/>
      <c r="L397" s="98"/>
    </row>
    <row r="398">
      <c r="A398" s="98"/>
      <c r="B398" s="98"/>
      <c r="C398" s="98" t="str">
        <f>IFERROR(__xludf.DUMMYFUNCTION("""COMPUTED_VALUE"""),"-")</f>
        <v>-</v>
      </c>
      <c r="D398" s="98"/>
      <c r="E398" s="98"/>
      <c r="F398" s="100">
        <f>IFERROR(__xludf.DUMMYFUNCTION("""COMPUTED_VALUE"""),0.0)</f>
        <v>0</v>
      </c>
      <c r="G398" s="98"/>
      <c r="H398" s="98"/>
      <c r="I398" s="98"/>
      <c r="J398" s="98"/>
      <c r="K398" s="98"/>
      <c r="L398" s="98"/>
    </row>
    <row r="399">
      <c r="A399" s="98"/>
      <c r="B399" s="98"/>
      <c r="C399" s="98" t="str">
        <f>IFERROR(__xludf.DUMMYFUNCTION("""COMPUTED_VALUE"""),"-")</f>
        <v>-</v>
      </c>
      <c r="D399" s="98"/>
      <c r="E399" s="98"/>
      <c r="F399" s="100">
        <f>IFERROR(__xludf.DUMMYFUNCTION("""COMPUTED_VALUE"""),0.0)</f>
        <v>0</v>
      </c>
      <c r="G399" s="98"/>
      <c r="H399" s="98"/>
      <c r="I399" s="98"/>
      <c r="J399" s="98"/>
      <c r="K399" s="98"/>
      <c r="L399" s="98"/>
    </row>
    <row r="400">
      <c r="A400" s="98"/>
      <c r="B400" s="98"/>
      <c r="C400" s="98" t="str">
        <f>IFERROR(__xludf.DUMMYFUNCTION("""COMPUTED_VALUE"""),"-")</f>
        <v>-</v>
      </c>
      <c r="D400" s="98"/>
      <c r="E400" s="98"/>
      <c r="F400" s="100">
        <f>IFERROR(__xludf.DUMMYFUNCTION("""COMPUTED_VALUE"""),0.0)</f>
        <v>0</v>
      </c>
      <c r="G400" s="98"/>
      <c r="H400" s="98"/>
      <c r="I400" s="98"/>
      <c r="J400" s="98"/>
      <c r="K400" s="98"/>
      <c r="L400" s="98"/>
    </row>
    <row r="401">
      <c r="A401" s="98"/>
      <c r="B401" s="98"/>
      <c r="C401" s="98" t="str">
        <f>IFERROR(__xludf.DUMMYFUNCTION("""COMPUTED_VALUE"""),"-")</f>
        <v>-</v>
      </c>
      <c r="D401" s="98"/>
      <c r="E401" s="98"/>
      <c r="F401" s="100">
        <f>IFERROR(__xludf.DUMMYFUNCTION("""COMPUTED_VALUE"""),0.0)</f>
        <v>0</v>
      </c>
      <c r="G401" s="98"/>
      <c r="H401" s="98"/>
      <c r="I401" s="98"/>
      <c r="J401" s="98"/>
      <c r="K401" s="98"/>
      <c r="L401" s="98"/>
    </row>
    <row r="402">
      <c r="A402" s="98"/>
      <c r="B402" s="98"/>
      <c r="C402" s="98" t="str">
        <f>IFERROR(__xludf.DUMMYFUNCTION("""COMPUTED_VALUE"""),"-")</f>
        <v>-</v>
      </c>
      <c r="D402" s="98"/>
      <c r="E402" s="98"/>
      <c r="F402" s="100">
        <f>IFERROR(__xludf.DUMMYFUNCTION("""COMPUTED_VALUE"""),0.0)</f>
        <v>0</v>
      </c>
      <c r="G402" s="98"/>
      <c r="H402" s="98"/>
      <c r="I402" s="98"/>
      <c r="J402" s="98"/>
      <c r="K402" s="98"/>
      <c r="L402" s="98"/>
    </row>
    <row r="403">
      <c r="A403" s="98"/>
      <c r="B403" s="98"/>
      <c r="C403" s="98" t="str">
        <f>IFERROR(__xludf.DUMMYFUNCTION("""COMPUTED_VALUE"""),"-")</f>
        <v>-</v>
      </c>
      <c r="D403" s="98"/>
      <c r="E403" s="98"/>
      <c r="F403" s="100">
        <f>IFERROR(__xludf.DUMMYFUNCTION("""COMPUTED_VALUE"""),0.0)</f>
        <v>0</v>
      </c>
      <c r="G403" s="98"/>
      <c r="H403" s="98"/>
      <c r="I403" s="98"/>
      <c r="J403" s="98"/>
      <c r="K403" s="98"/>
      <c r="L403" s="98"/>
    </row>
    <row r="404">
      <c r="A404" s="98"/>
      <c r="B404" s="98"/>
      <c r="C404" s="98" t="str">
        <f>IFERROR(__xludf.DUMMYFUNCTION("""COMPUTED_VALUE"""),"-")</f>
        <v>-</v>
      </c>
      <c r="D404" s="98"/>
      <c r="E404" s="98"/>
      <c r="F404" s="100">
        <f>IFERROR(__xludf.DUMMYFUNCTION("""COMPUTED_VALUE"""),0.0)</f>
        <v>0</v>
      </c>
      <c r="G404" s="98"/>
      <c r="H404" s="98"/>
      <c r="I404" s="98"/>
      <c r="J404" s="98"/>
      <c r="K404" s="98"/>
      <c r="L404" s="98"/>
    </row>
    <row r="405">
      <c r="A405" s="98"/>
      <c r="B405" s="98"/>
      <c r="C405" s="98" t="str">
        <f>IFERROR(__xludf.DUMMYFUNCTION("""COMPUTED_VALUE"""),"-")</f>
        <v>-</v>
      </c>
      <c r="D405" s="98"/>
      <c r="E405" s="98"/>
      <c r="F405" s="100">
        <f>IFERROR(__xludf.DUMMYFUNCTION("""COMPUTED_VALUE"""),0.0)</f>
        <v>0</v>
      </c>
      <c r="G405" s="98"/>
      <c r="H405" s="98"/>
      <c r="I405" s="98"/>
      <c r="J405" s="98"/>
      <c r="K405" s="98"/>
      <c r="L405" s="98"/>
    </row>
    <row r="406">
      <c r="A406" s="98"/>
      <c r="B406" s="98"/>
      <c r="C406" s="98" t="str">
        <f>IFERROR(__xludf.DUMMYFUNCTION("""COMPUTED_VALUE"""),"-")</f>
        <v>-</v>
      </c>
      <c r="D406" s="98"/>
      <c r="E406" s="98"/>
      <c r="F406" s="100">
        <f>IFERROR(__xludf.DUMMYFUNCTION("""COMPUTED_VALUE"""),0.0)</f>
        <v>0</v>
      </c>
      <c r="G406" s="98"/>
      <c r="H406" s="98"/>
      <c r="I406" s="98"/>
      <c r="J406" s="98"/>
      <c r="K406" s="98"/>
      <c r="L406" s="98"/>
    </row>
    <row r="407">
      <c r="A407" s="98"/>
      <c r="B407" s="98"/>
      <c r="C407" s="98" t="str">
        <f>IFERROR(__xludf.DUMMYFUNCTION("""COMPUTED_VALUE"""),"-")</f>
        <v>-</v>
      </c>
      <c r="D407" s="98"/>
      <c r="E407" s="98"/>
      <c r="F407" s="100">
        <f>IFERROR(__xludf.DUMMYFUNCTION("""COMPUTED_VALUE"""),0.0)</f>
        <v>0</v>
      </c>
      <c r="G407" s="98"/>
      <c r="H407" s="98"/>
      <c r="I407" s="98"/>
      <c r="J407" s="98"/>
      <c r="K407" s="98"/>
      <c r="L407" s="98"/>
    </row>
    <row r="408">
      <c r="A408" s="98"/>
      <c r="B408" s="98"/>
      <c r="C408" s="98" t="str">
        <f>IFERROR(__xludf.DUMMYFUNCTION("""COMPUTED_VALUE"""),"-")</f>
        <v>-</v>
      </c>
      <c r="D408" s="98"/>
      <c r="E408" s="98"/>
      <c r="F408" s="100">
        <f>IFERROR(__xludf.DUMMYFUNCTION("""COMPUTED_VALUE"""),0.0)</f>
        <v>0</v>
      </c>
      <c r="G408" s="98"/>
      <c r="H408" s="98"/>
      <c r="I408" s="98"/>
      <c r="J408" s="98"/>
      <c r="K408" s="98"/>
      <c r="L408" s="98"/>
    </row>
    <row r="409">
      <c r="A409" s="98"/>
      <c r="B409" s="98"/>
      <c r="C409" s="98" t="str">
        <f>IFERROR(__xludf.DUMMYFUNCTION("""COMPUTED_VALUE"""),"-")</f>
        <v>-</v>
      </c>
      <c r="D409" s="98"/>
      <c r="E409" s="98"/>
      <c r="F409" s="100">
        <f>IFERROR(__xludf.DUMMYFUNCTION("""COMPUTED_VALUE"""),0.0)</f>
        <v>0</v>
      </c>
      <c r="G409" s="98"/>
      <c r="H409" s="98"/>
      <c r="I409" s="98"/>
      <c r="J409" s="98"/>
      <c r="K409" s="98"/>
      <c r="L409" s="98"/>
    </row>
    <row r="410">
      <c r="A410" s="98"/>
      <c r="B410" s="98"/>
      <c r="C410" s="98" t="str">
        <f>IFERROR(__xludf.DUMMYFUNCTION("""COMPUTED_VALUE"""),"-")</f>
        <v>-</v>
      </c>
      <c r="D410" s="98"/>
      <c r="E410" s="98"/>
      <c r="F410" s="100">
        <f>IFERROR(__xludf.DUMMYFUNCTION("""COMPUTED_VALUE"""),0.0)</f>
        <v>0</v>
      </c>
      <c r="G410" s="98"/>
      <c r="H410" s="98"/>
      <c r="I410" s="98"/>
      <c r="J410" s="98"/>
      <c r="K410" s="98"/>
      <c r="L410" s="98"/>
    </row>
    <row r="411">
      <c r="A411" s="98"/>
      <c r="B411" s="98"/>
      <c r="C411" s="98" t="str">
        <f>IFERROR(__xludf.DUMMYFUNCTION("""COMPUTED_VALUE"""),"-")</f>
        <v>-</v>
      </c>
      <c r="D411" s="98"/>
      <c r="E411" s="98"/>
      <c r="F411" s="100">
        <f>IFERROR(__xludf.DUMMYFUNCTION("""COMPUTED_VALUE"""),0.0)</f>
        <v>0</v>
      </c>
      <c r="G411" s="98"/>
      <c r="H411" s="98"/>
      <c r="I411" s="98"/>
      <c r="J411" s="98"/>
      <c r="K411" s="98"/>
      <c r="L411" s="98"/>
    </row>
    <row r="412">
      <c r="A412" s="98"/>
      <c r="B412" s="98"/>
      <c r="C412" s="98" t="str">
        <f>IFERROR(__xludf.DUMMYFUNCTION("""COMPUTED_VALUE"""),"-")</f>
        <v>-</v>
      </c>
      <c r="D412" s="98"/>
      <c r="E412" s="98"/>
      <c r="F412" s="100">
        <f>IFERROR(__xludf.DUMMYFUNCTION("""COMPUTED_VALUE"""),0.0)</f>
        <v>0</v>
      </c>
      <c r="G412" s="98"/>
      <c r="H412" s="98"/>
      <c r="I412" s="98"/>
      <c r="J412" s="98"/>
      <c r="K412" s="98"/>
      <c r="L412" s="98"/>
    </row>
    <row r="413">
      <c r="A413" s="98"/>
      <c r="B413" s="98"/>
      <c r="C413" s="98" t="str">
        <f>IFERROR(__xludf.DUMMYFUNCTION("""COMPUTED_VALUE"""),"-")</f>
        <v>-</v>
      </c>
      <c r="D413" s="98"/>
      <c r="E413" s="98"/>
      <c r="F413" s="100">
        <f>IFERROR(__xludf.DUMMYFUNCTION("""COMPUTED_VALUE"""),0.0)</f>
        <v>0</v>
      </c>
      <c r="G413" s="98"/>
      <c r="H413" s="98"/>
      <c r="I413" s="98"/>
      <c r="J413" s="98"/>
      <c r="K413" s="98"/>
      <c r="L413" s="98"/>
    </row>
    <row r="414">
      <c r="A414" s="98"/>
      <c r="B414" s="98"/>
      <c r="C414" s="98" t="str">
        <f>IFERROR(__xludf.DUMMYFUNCTION("""COMPUTED_VALUE"""),"-")</f>
        <v>-</v>
      </c>
      <c r="D414" s="98"/>
      <c r="E414" s="98"/>
      <c r="F414" s="100">
        <f>IFERROR(__xludf.DUMMYFUNCTION("""COMPUTED_VALUE"""),0.0)</f>
        <v>0</v>
      </c>
      <c r="G414" s="98"/>
      <c r="H414" s="98"/>
      <c r="I414" s="98"/>
      <c r="J414" s="98"/>
      <c r="K414" s="98"/>
      <c r="L414" s="98"/>
    </row>
    <row r="415">
      <c r="A415" s="98"/>
      <c r="B415" s="98"/>
      <c r="C415" s="98" t="str">
        <f>IFERROR(__xludf.DUMMYFUNCTION("""COMPUTED_VALUE"""),"-")</f>
        <v>-</v>
      </c>
      <c r="D415" s="98"/>
      <c r="E415" s="98"/>
      <c r="F415" s="100">
        <f>IFERROR(__xludf.DUMMYFUNCTION("""COMPUTED_VALUE"""),0.0)</f>
        <v>0</v>
      </c>
      <c r="G415" s="98"/>
      <c r="H415" s="98"/>
      <c r="I415" s="98"/>
      <c r="J415" s="98"/>
      <c r="K415" s="98"/>
      <c r="L415" s="98"/>
    </row>
    <row r="416">
      <c r="A416" s="98"/>
      <c r="B416" s="98"/>
      <c r="C416" s="98" t="str">
        <f>IFERROR(__xludf.DUMMYFUNCTION("""COMPUTED_VALUE"""),"-")</f>
        <v>-</v>
      </c>
      <c r="D416" s="98"/>
      <c r="E416" s="98"/>
      <c r="F416" s="100">
        <f>IFERROR(__xludf.DUMMYFUNCTION("""COMPUTED_VALUE"""),0.0)</f>
        <v>0</v>
      </c>
      <c r="G416" s="98"/>
      <c r="H416" s="98"/>
      <c r="I416" s="98"/>
      <c r="J416" s="98"/>
      <c r="K416" s="98"/>
      <c r="L416" s="98"/>
    </row>
    <row r="417">
      <c r="A417" s="98"/>
      <c r="B417" s="98"/>
      <c r="C417" s="98" t="str">
        <f>IFERROR(__xludf.DUMMYFUNCTION("""COMPUTED_VALUE"""),"-")</f>
        <v>-</v>
      </c>
      <c r="D417" s="98"/>
      <c r="E417" s="98"/>
      <c r="F417" s="100">
        <f>IFERROR(__xludf.DUMMYFUNCTION("""COMPUTED_VALUE"""),0.0)</f>
        <v>0</v>
      </c>
      <c r="G417" s="98"/>
      <c r="H417" s="98"/>
      <c r="I417" s="98"/>
      <c r="J417" s="98"/>
      <c r="K417" s="98"/>
      <c r="L417" s="98"/>
    </row>
    <row r="418">
      <c r="A418" s="98"/>
      <c r="B418" s="98"/>
      <c r="C418" s="98" t="str">
        <f>IFERROR(__xludf.DUMMYFUNCTION("""COMPUTED_VALUE"""),"-")</f>
        <v>-</v>
      </c>
      <c r="D418" s="98"/>
      <c r="E418" s="98"/>
      <c r="F418" s="100">
        <f>IFERROR(__xludf.DUMMYFUNCTION("""COMPUTED_VALUE"""),0.0)</f>
        <v>0</v>
      </c>
      <c r="G418" s="98"/>
      <c r="H418" s="98"/>
      <c r="I418" s="98"/>
      <c r="J418" s="98"/>
      <c r="K418" s="98"/>
      <c r="L418" s="98"/>
    </row>
    <row r="419">
      <c r="A419" s="98"/>
      <c r="B419" s="98"/>
      <c r="C419" s="98" t="str">
        <f>IFERROR(__xludf.DUMMYFUNCTION("""COMPUTED_VALUE"""),"-")</f>
        <v>-</v>
      </c>
      <c r="D419" s="98"/>
      <c r="E419" s="98"/>
      <c r="F419" s="100">
        <f>IFERROR(__xludf.DUMMYFUNCTION("""COMPUTED_VALUE"""),0.0)</f>
        <v>0</v>
      </c>
      <c r="G419" s="98"/>
      <c r="H419" s="98"/>
      <c r="I419" s="98"/>
      <c r="J419" s="98"/>
      <c r="K419" s="98"/>
      <c r="L419" s="98"/>
    </row>
    <row r="420">
      <c r="A420" s="98"/>
      <c r="B420" s="98"/>
      <c r="C420" s="98" t="str">
        <f>IFERROR(__xludf.DUMMYFUNCTION("""COMPUTED_VALUE"""),"-")</f>
        <v>-</v>
      </c>
      <c r="D420" s="98"/>
      <c r="E420" s="98"/>
      <c r="F420" s="100">
        <f>IFERROR(__xludf.DUMMYFUNCTION("""COMPUTED_VALUE"""),0.0)</f>
        <v>0</v>
      </c>
      <c r="G420" s="98"/>
      <c r="H420" s="98"/>
      <c r="I420" s="98"/>
      <c r="J420" s="98"/>
      <c r="K420" s="98"/>
      <c r="L420" s="98"/>
    </row>
    <row r="421">
      <c r="A421" s="98"/>
      <c r="B421" s="98"/>
      <c r="C421" s="98" t="str">
        <f>IFERROR(__xludf.DUMMYFUNCTION("""COMPUTED_VALUE"""),"-")</f>
        <v>-</v>
      </c>
      <c r="D421" s="98"/>
      <c r="E421" s="98"/>
      <c r="F421" s="100">
        <f>IFERROR(__xludf.DUMMYFUNCTION("""COMPUTED_VALUE"""),0.0)</f>
        <v>0</v>
      </c>
      <c r="G421" s="98"/>
      <c r="H421" s="98"/>
      <c r="I421" s="98"/>
      <c r="J421" s="98"/>
      <c r="K421" s="98"/>
      <c r="L421" s="98"/>
    </row>
    <row r="422">
      <c r="A422" s="98"/>
      <c r="B422" s="98"/>
      <c r="C422" s="98" t="str">
        <f>IFERROR(__xludf.DUMMYFUNCTION("""COMPUTED_VALUE"""),"-")</f>
        <v>-</v>
      </c>
      <c r="D422" s="98"/>
      <c r="E422" s="98"/>
      <c r="F422" s="100">
        <f>IFERROR(__xludf.DUMMYFUNCTION("""COMPUTED_VALUE"""),0.0)</f>
        <v>0</v>
      </c>
      <c r="G422" s="98"/>
      <c r="H422" s="98"/>
      <c r="I422" s="98"/>
      <c r="J422" s="98"/>
      <c r="K422" s="98"/>
      <c r="L422" s="98"/>
    </row>
    <row r="423">
      <c r="A423" s="98"/>
      <c r="B423" s="98"/>
      <c r="C423" s="98" t="str">
        <f>IFERROR(__xludf.DUMMYFUNCTION("""COMPUTED_VALUE"""),"-")</f>
        <v>-</v>
      </c>
      <c r="D423" s="98"/>
      <c r="E423" s="98"/>
      <c r="F423" s="100">
        <f>IFERROR(__xludf.DUMMYFUNCTION("""COMPUTED_VALUE"""),0.0)</f>
        <v>0</v>
      </c>
      <c r="G423" s="98"/>
      <c r="H423" s="98"/>
      <c r="I423" s="98"/>
      <c r="J423" s="98"/>
      <c r="K423" s="98"/>
      <c r="L423" s="98"/>
    </row>
    <row r="424">
      <c r="A424" s="98"/>
      <c r="B424" s="98"/>
      <c r="C424" s="98" t="str">
        <f>IFERROR(__xludf.DUMMYFUNCTION("""COMPUTED_VALUE"""),"-")</f>
        <v>-</v>
      </c>
      <c r="D424" s="98"/>
      <c r="E424" s="98"/>
      <c r="F424" s="100">
        <f>IFERROR(__xludf.DUMMYFUNCTION("""COMPUTED_VALUE"""),0.0)</f>
        <v>0</v>
      </c>
      <c r="G424" s="98"/>
      <c r="H424" s="98"/>
      <c r="I424" s="98"/>
      <c r="J424" s="98"/>
      <c r="K424" s="98"/>
      <c r="L424" s="98"/>
    </row>
    <row r="425">
      <c r="A425" s="98"/>
      <c r="B425" s="98"/>
      <c r="C425" s="98" t="str">
        <f>IFERROR(__xludf.DUMMYFUNCTION("""COMPUTED_VALUE"""),"-")</f>
        <v>-</v>
      </c>
      <c r="D425" s="98"/>
      <c r="E425" s="98"/>
      <c r="F425" s="100">
        <f>IFERROR(__xludf.DUMMYFUNCTION("""COMPUTED_VALUE"""),0.0)</f>
        <v>0</v>
      </c>
      <c r="G425" s="98"/>
      <c r="H425" s="98"/>
      <c r="I425" s="98"/>
      <c r="J425" s="98"/>
      <c r="K425" s="98"/>
      <c r="L425" s="98"/>
    </row>
    <row r="426">
      <c r="A426" s="98"/>
      <c r="B426" s="98"/>
      <c r="C426" s="98" t="str">
        <f>IFERROR(__xludf.DUMMYFUNCTION("""COMPUTED_VALUE"""),"-")</f>
        <v>-</v>
      </c>
      <c r="D426" s="98"/>
      <c r="E426" s="98"/>
      <c r="F426" s="100">
        <f>IFERROR(__xludf.DUMMYFUNCTION("""COMPUTED_VALUE"""),0.0)</f>
        <v>0</v>
      </c>
      <c r="G426" s="98"/>
      <c r="H426" s="98"/>
      <c r="I426" s="98"/>
      <c r="J426" s="98"/>
      <c r="K426" s="98"/>
      <c r="L426" s="98"/>
    </row>
    <row r="427">
      <c r="A427" s="98"/>
      <c r="B427" s="98"/>
      <c r="C427" s="98" t="str">
        <f>IFERROR(__xludf.DUMMYFUNCTION("""COMPUTED_VALUE"""),"-")</f>
        <v>-</v>
      </c>
      <c r="D427" s="98"/>
      <c r="E427" s="98"/>
      <c r="F427" s="100">
        <f>IFERROR(__xludf.DUMMYFUNCTION("""COMPUTED_VALUE"""),0.0)</f>
        <v>0</v>
      </c>
      <c r="G427" s="98"/>
      <c r="H427" s="98"/>
      <c r="I427" s="98"/>
      <c r="J427" s="98"/>
      <c r="K427" s="98"/>
      <c r="L427" s="98"/>
    </row>
    <row r="428">
      <c r="A428" s="98"/>
      <c r="B428" s="98"/>
      <c r="C428" s="98" t="str">
        <f>IFERROR(__xludf.DUMMYFUNCTION("""COMPUTED_VALUE"""),"-")</f>
        <v>-</v>
      </c>
      <c r="D428" s="98"/>
      <c r="E428" s="98"/>
      <c r="F428" s="100">
        <f>IFERROR(__xludf.DUMMYFUNCTION("""COMPUTED_VALUE"""),0.0)</f>
        <v>0</v>
      </c>
      <c r="G428" s="98"/>
      <c r="H428" s="98"/>
      <c r="I428" s="98"/>
      <c r="J428" s="98"/>
      <c r="K428" s="98"/>
      <c r="L428" s="98"/>
    </row>
    <row r="429">
      <c r="A429" s="98"/>
      <c r="B429" s="98"/>
      <c r="C429" s="98" t="str">
        <f>IFERROR(__xludf.DUMMYFUNCTION("""COMPUTED_VALUE"""),"-")</f>
        <v>-</v>
      </c>
      <c r="D429" s="98"/>
      <c r="E429" s="98"/>
      <c r="F429" s="100">
        <f>IFERROR(__xludf.DUMMYFUNCTION("""COMPUTED_VALUE"""),0.0)</f>
        <v>0</v>
      </c>
      <c r="G429" s="98"/>
      <c r="H429" s="98"/>
      <c r="I429" s="98"/>
      <c r="J429" s="98"/>
      <c r="K429" s="98"/>
      <c r="L429" s="98"/>
    </row>
    <row r="430">
      <c r="A430" s="98"/>
      <c r="B430" s="98"/>
      <c r="C430" s="98" t="str">
        <f>IFERROR(__xludf.DUMMYFUNCTION("""COMPUTED_VALUE"""),"-")</f>
        <v>-</v>
      </c>
      <c r="D430" s="98"/>
      <c r="E430" s="98"/>
      <c r="F430" s="100">
        <f>IFERROR(__xludf.DUMMYFUNCTION("""COMPUTED_VALUE"""),0.0)</f>
        <v>0</v>
      </c>
      <c r="G430" s="98"/>
      <c r="H430" s="98"/>
      <c r="I430" s="98"/>
      <c r="J430" s="98"/>
      <c r="K430" s="98"/>
      <c r="L430" s="98"/>
    </row>
    <row r="431">
      <c r="A431" s="98"/>
      <c r="B431" s="98"/>
      <c r="C431" s="98" t="str">
        <f>IFERROR(__xludf.DUMMYFUNCTION("""COMPUTED_VALUE"""),"-")</f>
        <v>-</v>
      </c>
      <c r="D431" s="98"/>
      <c r="E431" s="98"/>
      <c r="F431" s="100">
        <f>IFERROR(__xludf.DUMMYFUNCTION("""COMPUTED_VALUE"""),0.0)</f>
        <v>0</v>
      </c>
      <c r="G431" s="98"/>
      <c r="H431" s="98"/>
      <c r="I431" s="98"/>
      <c r="J431" s="98"/>
      <c r="K431" s="98"/>
      <c r="L431" s="98"/>
    </row>
    <row r="432">
      <c r="A432" s="98"/>
      <c r="B432" s="98"/>
      <c r="C432" s="98" t="str">
        <f>IFERROR(__xludf.DUMMYFUNCTION("""COMPUTED_VALUE"""),"-")</f>
        <v>-</v>
      </c>
      <c r="D432" s="98"/>
      <c r="E432" s="98"/>
      <c r="F432" s="100">
        <f>IFERROR(__xludf.DUMMYFUNCTION("""COMPUTED_VALUE"""),0.0)</f>
        <v>0</v>
      </c>
      <c r="G432" s="98"/>
      <c r="H432" s="98"/>
      <c r="I432" s="98"/>
      <c r="J432" s="98"/>
      <c r="K432" s="98"/>
      <c r="L432" s="98"/>
    </row>
    <row r="433">
      <c r="A433" s="98"/>
      <c r="B433" s="98"/>
      <c r="C433" s="98" t="str">
        <f>IFERROR(__xludf.DUMMYFUNCTION("""COMPUTED_VALUE"""),"-")</f>
        <v>-</v>
      </c>
      <c r="D433" s="98"/>
      <c r="E433" s="98"/>
      <c r="F433" s="100">
        <f>IFERROR(__xludf.DUMMYFUNCTION("""COMPUTED_VALUE"""),0.0)</f>
        <v>0</v>
      </c>
      <c r="G433" s="98"/>
      <c r="H433" s="98"/>
      <c r="I433" s="98"/>
      <c r="J433" s="98"/>
      <c r="K433" s="98"/>
      <c r="L433" s="98"/>
    </row>
    <row r="434">
      <c r="A434" s="98"/>
      <c r="B434" s="98"/>
      <c r="C434" s="98" t="str">
        <f>IFERROR(__xludf.DUMMYFUNCTION("""COMPUTED_VALUE"""),"-")</f>
        <v>-</v>
      </c>
      <c r="D434" s="98"/>
      <c r="E434" s="98"/>
      <c r="F434" s="100">
        <f>IFERROR(__xludf.DUMMYFUNCTION("""COMPUTED_VALUE"""),0.0)</f>
        <v>0</v>
      </c>
      <c r="G434" s="98"/>
      <c r="H434" s="98"/>
      <c r="I434" s="98"/>
      <c r="J434" s="98"/>
      <c r="K434" s="98"/>
      <c r="L434" s="98"/>
    </row>
    <row r="435">
      <c r="A435" s="98"/>
      <c r="B435" s="98"/>
      <c r="C435" s="98" t="str">
        <f>IFERROR(__xludf.DUMMYFUNCTION("""COMPUTED_VALUE"""),"-")</f>
        <v>-</v>
      </c>
      <c r="D435" s="98"/>
      <c r="E435" s="98"/>
      <c r="F435" s="100">
        <f>IFERROR(__xludf.DUMMYFUNCTION("""COMPUTED_VALUE"""),0.0)</f>
        <v>0</v>
      </c>
      <c r="G435" s="98"/>
      <c r="H435" s="98"/>
      <c r="I435" s="98"/>
      <c r="J435" s="98"/>
      <c r="K435" s="98"/>
      <c r="L435" s="98"/>
    </row>
    <row r="436">
      <c r="A436" s="98"/>
      <c r="B436" s="98"/>
      <c r="C436" s="98" t="str">
        <f>IFERROR(__xludf.DUMMYFUNCTION("""COMPUTED_VALUE"""),"-")</f>
        <v>-</v>
      </c>
      <c r="D436" s="98"/>
      <c r="E436" s="98"/>
      <c r="F436" s="100">
        <f>IFERROR(__xludf.DUMMYFUNCTION("""COMPUTED_VALUE"""),0.0)</f>
        <v>0</v>
      </c>
      <c r="G436" s="98"/>
      <c r="H436" s="98"/>
      <c r="I436" s="98"/>
      <c r="J436" s="98"/>
      <c r="K436" s="98"/>
      <c r="L436" s="98"/>
    </row>
    <row r="437">
      <c r="A437" s="98"/>
      <c r="B437" s="98"/>
      <c r="C437" s="98" t="str">
        <f>IFERROR(__xludf.DUMMYFUNCTION("""COMPUTED_VALUE"""),"-")</f>
        <v>-</v>
      </c>
      <c r="D437" s="98"/>
      <c r="E437" s="98"/>
      <c r="F437" s="100">
        <f>IFERROR(__xludf.DUMMYFUNCTION("""COMPUTED_VALUE"""),0.0)</f>
        <v>0</v>
      </c>
      <c r="G437" s="98"/>
      <c r="H437" s="98"/>
      <c r="I437" s="98"/>
      <c r="J437" s="98"/>
      <c r="K437" s="98"/>
      <c r="L437" s="98"/>
    </row>
    <row r="438">
      <c r="A438" s="98"/>
      <c r="B438" s="98"/>
      <c r="C438" s="98" t="str">
        <f>IFERROR(__xludf.DUMMYFUNCTION("""COMPUTED_VALUE"""),"-")</f>
        <v>-</v>
      </c>
      <c r="D438" s="98"/>
      <c r="E438" s="98"/>
      <c r="F438" s="100">
        <f>IFERROR(__xludf.DUMMYFUNCTION("""COMPUTED_VALUE"""),0.0)</f>
        <v>0</v>
      </c>
      <c r="G438" s="98"/>
      <c r="H438" s="98"/>
      <c r="I438" s="98"/>
      <c r="J438" s="98"/>
      <c r="K438" s="98"/>
      <c r="L438" s="98"/>
    </row>
    <row r="439">
      <c r="A439" s="98"/>
      <c r="B439" s="98"/>
      <c r="C439" s="98" t="str">
        <f>IFERROR(__xludf.DUMMYFUNCTION("""COMPUTED_VALUE"""),"-")</f>
        <v>-</v>
      </c>
      <c r="D439" s="98"/>
      <c r="E439" s="98"/>
      <c r="F439" s="100">
        <f>IFERROR(__xludf.DUMMYFUNCTION("""COMPUTED_VALUE"""),0.0)</f>
        <v>0</v>
      </c>
      <c r="G439" s="98"/>
      <c r="H439" s="98"/>
      <c r="I439" s="98"/>
      <c r="J439" s="98"/>
      <c r="K439" s="98"/>
      <c r="L439" s="98"/>
    </row>
    <row r="440">
      <c r="A440" s="98"/>
      <c r="B440" s="98"/>
      <c r="C440" s="98" t="str">
        <f>IFERROR(__xludf.DUMMYFUNCTION("""COMPUTED_VALUE"""),"-")</f>
        <v>-</v>
      </c>
      <c r="D440" s="98"/>
      <c r="E440" s="98"/>
      <c r="F440" s="100">
        <f>IFERROR(__xludf.DUMMYFUNCTION("""COMPUTED_VALUE"""),0.0)</f>
        <v>0</v>
      </c>
      <c r="G440" s="98"/>
      <c r="H440" s="98"/>
      <c r="I440" s="98"/>
      <c r="J440" s="98"/>
      <c r="K440" s="98"/>
      <c r="L440" s="98"/>
    </row>
    <row r="441">
      <c r="A441" s="98"/>
      <c r="B441" s="98"/>
      <c r="C441" s="98" t="str">
        <f>IFERROR(__xludf.DUMMYFUNCTION("""COMPUTED_VALUE"""),"-")</f>
        <v>-</v>
      </c>
      <c r="D441" s="98"/>
      <c r="E441" s="98"/>
      <c r="F441" s="100">
        <f>IFERROR(__xludf.DUMMYFUNCTION("""COMPUTED_VALUE"""),0.0)</f>
        <v>0</v>
      </c>
      <c r="G441" s="98"/>
      <c r="H441" s="98"/>
      <c r="I441" s="98"/>
      <c r="J441" s="98"/>
      <c r="K441" s="98"/>
      <c r="L441" s="98"/>
    </row>
    <row r="442">
      <c r="A442" s="98"/>
      <c r="B442" s="98"/>
      <c r="C442" s="98" t="str">
        <f>IFERROR(__xludf.DUMMYFUNCTION("""COMPUTED_VALUE"""),"-")</f>
        <v>-</v>
      </c>
      <c r="D442" s="98"/>
      <c r="E442" s="98"/>
      <c r="F442" s="100">
        <f>IFERROR(__xludf.DUMMYFUNCTION("""COMPUTED_VALUE"""),0.0)</f>
        <v>0</v>
      </c>
      <c r="G442" s="98"/>
      <c r="H442" s="98"/>
      <c r="I442" s="98"/>
      <c r="J442" s="98"/>
      <c r="K442" s="98"/>
      <c r="L442" s="98"/>
    </row>
    <row r="443">
      <c r="A443" s="98"/>
      <c r="B443" s="98"/>
      <c r="C443" s="98" t="str">
        <f>IFERROR(__xludf.DUMMYFUNCTION("""COMPUTED_VALUE"""),"-")</f>
        <v>-</v>
      </c>
      <c r="D443" s="98"/>
      <c r="E443" s="98"/>
      <c r="F443" s="100">
        <f>IFERROR(__xludf.DUMMYFUNCTION("""COMPUTED_VALUE"""),0.0)</f>
        <v>0</v>
      </c>
      <c r="G443" s="98"/>
      <c r="H443" s="98"/>
      <c r="I443" s="98"/>
      <c r="J443" s="98"/>
      <c r="K443" s="98"/>
      <c r="L443" s="98"/>
    </row>
    <row r="444">
      <c r="A444" s="98"/>
      <c r="B444" s="98"/>
      <c r="C444" s="98" t="str">
        <f>IFERROR(__xludf.DUMMYFUNCTION("""COMPUTED_VALUE"""),"-")</f>
        <v>-</v>
      </c>
      <c r="D444" s="98"/>
      <c r="E444" s="98"/>
      <c r="F444" s="100">
        <f>IFERROR(__xludf.DUMMYFUNCTION("""COMPUTED_VALUE"""),0.0)</f>
        <v>0</v>
      </c>
      <c r="G444" s="98"/>
      <c r="H444" s="98"/>
      <c r="I444" s="98"/>
      <c r="J444" s="98"/>
      <c r="K444" s="98"/>
      <c r="L444" s="98"/>
    </row>
    <row r="445">
      <c r="A445" s="98"/>
      <c r="B445" s="98"/>
      <c r="C445" s="98" t="str">
        <f>IFERROR(__xludf.DUMMYFUNCTION("""COMPUTED_VALUE"""),"-")</f>
        <v>-</v>
      </c>
      <c r="D445" s="98"/>
      <c r="E445" s="98"/>
      <c r="F445" s="100">
        <f>IFERROR(__xludf.DUMMYFUNCTION("""COMPUTED_VALUE"""),0.0)</f>
        <v>0</v>
      </c>
      <c r="G445" s="98"/>
      <c r="H445" s="98"/>
      <c r="I445" s="98"/>
      <c r="J445" s="98"/>
      <c r="K445" s="98"/>
      <c r="L445" s="98"/>
    </row>
    <row r="446">
      <c r="A446" s="98"/>
      <c r="B446" s="98"/>
      <c r="C446" s="98" t="str">
        <f>IFERROR(__xludf.DUMMYFUNCTION("""COMPUTED_VALUE"""),"-")</f>
        <v>-</v>
      </c>
      <c r="D446" s="98"/>
      <c r="E446" s="98"/>
      <c r="F446" s="100">
        <f>IFERROR(__xludf.DUMMYFUNCTION("""COMPUTED_VALUE"""),0.0)</f>
        <v>0</v>
      </c>
      <c r="G446" s="98"/>
      <c r="H446" s="98"/>
      <c r="I446" s="98"/>
      <c r="J446" s="98"/>
      <c r="K446" s="98"/>
      <c r="L446" s="98"/>
    </row>
    <row r="447">
      <c r="A447" s="98"/>
      <c r="B447" s="98"/>
      <c r="C447" s="98" t="str">
        <f>IFERROR(__xludf.DUMMYFUNCTION("""COMPUTED_VALUE"""),"-")</f>
        <v>-</v>
      </c>
      <c r="D447" s="98"/>
      <c r="E447" s="98"/>
      <c r="F447" s="100">
        <f>IFERROR(__xludf.DUMMYFUNCTION("""COMPUTED_VALUE"""),0.0)</f>
        <v>0</v>
      </c>
      <c r="G447" s="98"/>
      <c r="H447" s="98"/>
      <c r="I447" s="98"/>
      <c r="J447" s="98"/>
      <c r="K447" s="98"/>
      <c r="L447" s="98"/>
    </row>
    <row r="448">
      <c r="A448" s="98"/>
      <c r="B448" s="98"/>
      <c r="C448" s="98" t="str">
        <f>IFERROR(__xludf.DUMMYFUNCTION("""COMPUTED_VALUE"""),"-")</f>
        <v>-</v>
      </c>
      <c r="D448" s="98"/>
      <c r="E448" s="98"/>
      <c r="F448" s="100">
        <f>IFERROR(__xludf.DUMMYFUNCTION("""COMPUTED_VALUE"""),0.0)</f>
        <v>0</v>
      </c>
      <c r="G448" s="98"/>
      <c r="H448" s="98"/>
      <c r="I448" s="98"/>
      <c r="J448" s="98"/>
      <c r="K448" s="98"/>
      <c r="L448" s="98"/>
    </row>
    <row r="449">
      <c r="A449" s="98"/>
      <c r="B449" s="98"/>
      <c r="C449" s="98" t="str">
        <f>IFERROR(__xludf.DUMMYFUNCTION("""COMPUTED_VALUE"""),"-")</f>
        <v>-</v>
      </c>
      <c r="D449" s="98"/>
      <c r="E449" s="98"/>
      <c r="F449" s="100">
        <f>IFERROR(__xludf.DUMMYFUNCTION("""COMPUTED_VALUE"""),0.0)</f>
        <v>0</v>
      </c>
      <c r="G449" s="98"/>
      <c r="H449" s="98"/>
      <c r="I449" s="98"/>
      <c r="J449" s="98"/>
      <c r="K449" s="98"/>
      <c r="L449" s="98"/>
    </row>
    <row r="450">
      <c r="A450" s="98"/>
      <c r="B450" s="98"/>
      <c r="C450" s="98" t="str">
        <f>IFERROR(__xludf.DUMMYFUNCTION("""COMPUTED_VALUE"""),"-")</f>
        <v>-</v>
      </c>
      <c r="D450" s="98"/>
      <c r="E450" s="98"/>
      <c r="F450" s="100">
        <f>IFERROR(__xludf.DUMMYFUNCTION("""COMPUTED_VALUE"""),0.0)</f>
        <v>0</v>
      </c>
      <c r="G450" s="98"/>
      <c r="H450" s="98"/>
      <c r="I450" s="98"/>
      <c r="J450" s="98"/>
      <c r="K450" s="98"/>
      <c r="L450" s="98"/>
    </row>
    <row r="451">
      <c r="A451" s="98"/>
      <c r="B451" s="98"/>
      <c r="C451" s="98" t="str">
        <f>IFERROR(__xludf.DUMMYFUNCTION("""COMPUTED_VALUE"""),"-")</f>
        <v>-</v>
      </c>
      <c r="D451" s="98"/>
      <c r="E451" s="98"/>
      <c r="F451" s="100">
        <f>IFERROR(__xludf.DUMMYFUNCTION("""COMPUTED_VALUE"""),0.0)</f>
        <v>0</v>
      </c>
      <c r="G451" s="98"/>
      <c r="H451" s="98"/>
      <c r="I451" s="98"/>
      <c r="J451" s="98"/>
      <c r="K451" s="98"/>
      <c r="L451" s="98"/>
    </row>
    <row r="452">
      <c r="A452" s="98"/>
      <c r="B452" s="98"/>
      <c r="C452" s="98" t="str">
        <f>IFERROR(__xludf.DUMMYFUNCTION("""COMPUTED_VALUE"""),"-")</f>
        <v>-</v>
      </c>
      <c r="D452" s="98"/>
      <c r="E452" s="98"/>
      <c r="F452" s="100">
        <f>IFERROR(__xludf.DUMMYFUNCTION("""COMPUTED_VALUE"""),0.0)</f>
        <v>0</v>
      </c>
      <c r="G452" s="98"/>
      <c r="H452" s="98"/>
      <c r="I452" s="98"/>
      <c r="J452" s="98"/>
      <c r="K452" s="98"/>
      <c r="L452" s="98"/>
    </row>
    <row r="453">
      <c r="A453" s="98"/>
      <c r="B453" s="98"/>
      <c r="C453" s="98" t="str">
        <f>IFERROR(__xludf.DUMMYFUNCTION("""COMPUTED_VALUE"""),"-")</f>
        <v>-</v>
      </c>
      <c r="D453" s="98"/>
      <c r="E453" s="98"/>
      <c r="F453" s="100">
        <f>IFERROR(__xludf.DUMMYFUNCTION("""COMPUTED_VALUE"""),0.0)</f>
        <v>0</v>
      </c>
      <c r="G453" s="98"/>
      <c r="H453" s="98"/>
      <c r="I453" s="98"/>
      <c r="J453" s="98"/>
      <c r="K453" s="98"/>
      <c r="L453" s="98"/>
    </row>
    <row r="454">
      <c r="A454" s="98"/>
      <c r="B454" s="98"/>
      <c r="C454" s="98" t="str">
        <f>IFERROR(__xludf.DUMMYFUNCTION("""COMPUTED_VALUE"""),"-")</f>
        <v>-</v>
      </c>
      <c r="D454" s="98"/>
      <c r="E454" s="98"/>
      <c r="F454" s="100">
        <f>IFERROR(__xludf.DUMMYFUNCTION("""COMPUTED_VALUE"""),0.0)</f>
        <v>0</v>
      </c>
      <c r="G454" s="98"/>
      <c r="H454" s="98"/>
      <c r="I454" s="98"/>
      <c r="J454" s="98"/>
      <c r="K454" s="98"/>
      <c r="L454" s="98"/>
    </row>
    <row r="455">
      <c r="A455" s="98"/>
      <c r="B455" s="98"/>
      <c r="C455" s="98" t="str">
        <f>IFERROR(__xludf.DUMMYFUNCTION("""COMPUTED_VALUE"""),"-")</f>
        <v>-</v>
      </c>
      <c r="D455" s="98"/>
      <c r="E455" s="98"/>
      <c r="F455" s="100">
        <f>IFERROR(__xludf.DUMMYFUNCTION("""COMPUTED_VALUE"""),0.0)</f>
        <v>0</v>
      </c>
      <c r="G455" s="98"/>
      <c r="H455" s="98"/>
      <c r="I455" s="98"/>
      <c r="J455" s="98"/>
      <c r="K455" s="98"/>
      <c r="L455" s="98"/>
    </row>
    <row r="456">
      <c r="A456" s="98"/>
      <c r="B456" s="98"/>
      <c r="C456" s="98" t="str">
        <f>IFERROR(__xludf.DUMMYFUNCTION("""COMPUTED_VALUE"""),"-")</f>
        <v>-</v>
      </c>
      <c r="D456" s="98"/>
      <c r="E456" s="98"/>
      <c r="F456" s="100">
        <f>IFERROR(__xludf.DUMMYFUNCTION("""COMPUTED_VALUE"""),0.0)</f>
        <v>0</v>
      </c>
      <c r="G456" s="98"/>
      <c r="H456" s="98"/>
      <c r="I456" s="98"/>
      <c r="J456" s="98"/>
      <c r="K456" s="98"/>
      <c r="L456" s="98"/>
    </row>
    <row r="457">
      <c r="A457" s="98"/>
      <c r="B457" s="98"/>
      <c r="C457" s="98" t="str">
        <f>IFERROR(__xludf.DUMMYFUNCTION("""COMPUTED_VALUE"""),"-")</f>
        <v>-</v>
      </c>
      <c r="D457" s="98"/>
      <c r="E457" s="98"/>
      <c r="F457" s="100">
        <f>IFERROR(__xludf.DUMMYFUNCTION("""COMPUTED_VALUE"""),0.0)</f>
        <v>0</v>
      </c>
      <c r="G457" s="98"/>
      <c r="H457" s="98"/>
      <c r="I457" s="98"/>
      <c r="J457" s="98"/>
      <c r="K457" s="98"/>
      <c r="L457" s="98"/>
    </row>
    <row r="458">
      <c r="A458" s="98"/>
      <c r="B458" s="98"/>
      <c r="C458" s="98" t="str">
        <f>IFERROR(__xludf.DUMMYFUNCTION("""COMPUTED_VALUE"""),"-")</f>
        <v>-</v>
      </c>
      <c r="D458" s="98"/>
      <c r="E458" s="98"/>
      <c r="F458" s="100">
        <f>IFERROR(__xludf.DUMMYFUNCTION("""COMPUTED_VALUE"""),0.0)</f>
        <v>0</v>
      </c>
      <c r="G458" s="98"/>
      <c r="H458" s="98"/>
      <c r="I458" s="98"/>
      <c r="J458" s="98"/>
      <c r="K458" s="98"/>
      <c r="L458" s="98"/>
    </row>
    <row r="459">
      <c r="A459" s="98"/>
      <c r="B459" s="98"/>
      <c r="C459" s="98" t="str">
        <f>IFERROR(__xludf.DUMMYFUNCTION("""COMPUTED_VALUE"""),"-")</f>
        <v>-</v>
      </c>
      <c r="D459" s="98"/>
      <c r="E459" s="98"/>
      <c r="F459" s="100">
        <f>IFERROR(__xludf.DUMMYFUNCTION("""COMPUTED_VALUE"""),0.0)</f>
        <v>0</v>
      </c>
      <c r="G459" s="98"/>
      <c r="H459" s="98"/>
      <c r="I459" s="98"/>
      <c r="J459" s="98"/>
      <c r="K459" s="98"/>
      <c r="L459" s="98"/>
    </row>
    <row r="460">
      <c r="A460" s="98"/>
      <c r="B460" s="98"/>
      <c r="C460" s="98" t="str">
        <f>IFERROR(__xludf.DUMMYFUNCTION("""COMPUTED_VALUE"""),"-")</f>
        <v>-</v>
      </c>
      <c r="D460" s="98"/>
      <c r="E460" s="98"/>
      <c r="F460" s="100">
        <f>IFERROR(__xludf.DUMMYFUNCTION("""COMPUTED_VALUE"""),0.0)</f>
        <v>0</v>
      </c>
      <c r="G460" s="98"/>
      <c r="H460" s="98"/>
      <c r="I460" s="98"/>
      <c r="J460" s="98"/>
      <c r="K460" s="98"/>
      <c r="L460" s="98"/>
    </row>
    <row r="461">
      <c r="A461" s="98"/>
      <c r="B461" s="98"/>
      <c r="C461" s="98" t="str">
        <f>IFERROR(__xludf.DUMMYFUNCTION("""COMPUTED_VALUE"""),"-")</f>
        <v>-</v>
      </c>
      <c r="D461" s="98"/>
      <c r="E461" s="98"/>
      <c r="F461" s="100">
        <f>IFERROR(__xludf.DUMMYFUNCTION("""COMPUTED_VALUE"""),0.0)</f>
        <v>0</v>
      </c>
      <c r="G461" s="98"/>
      <c r="H461" s="98"/>
      <c r="I461" s="98"/>
      <c r="J461" s="98"/>
      <c r="K461" s="98"/>
      <c r="L461" s="98"/>
    </row>
    <row r="462">
      <c r="A462" s="98"/>
      <c r="B462" s="98"/>
      <c r="C462" s="98" t="str">
        <f>IFERROR(__xludf.DUMMYFUNCTION("""COMPUTED_VALUE"""),"-")</f>
        <v>-</v>
      </c>
      <c r="D462" s="98"/>
      <c r="E462" s="98"/>
      <c r="F462" s="100">
        <f>IFERROR(__xludf.DUMMYFUNCTION("""COMPUTED_VALUE"""),0.0)</f>
        <v>0</v>
      </c>
      <c r="G462" s="98"/>
      <c r="H462" s="98"/>
      <c r="I462" s="98"/>
      <c r="J462" s="98"/>
      <c r="K462" s="98"/>
      <c r="L462" s="98"/>
    </row>
    <row r="463">
      <c r="A463" s="98"/>
      <c r="B463" s="98"/>
      <c r="C463" s="98" t="str">
        <f>IFERROR(__xludf.DUMMYFUNCTION("""COMPUTED_VALUE"""),"-")</f>
        <v>-</v>
      </c>
      <c r="D463" s="98"/>
      <c r="E463" s="98"/>
      <c r="F463" s="100">
        <f>IFERROR(__xludf.DUMMYFUNCTION("""COMPUTED_VALUE"""),0.0)</f>
        <v>0</v>
      </c>
      <c r="G463" s="98"/>
      <c r="H463" s="98"/>
      <c r="I463" s="98"/>
      <c r="J463" s="98"/>
      <c r="K463" s="98"/>
      <c r="L463" s="98"/>
    </row>
    <row r="464">
      <c r="A464" s="98"/>
      <c r="B464" s="98"/>
      <c r="C464" s="98" t="str">
        <f>IFERROR(__xludf.DUMMYFUNCTION("""COMPUTED_VALUE"""),"-")</f>
        <v>-</v>
      </c>
      <c r="D464" s="98"/>
      <c r="E464" s="98"/>
      <c r="F464" s="100">
        <f>IFERROR(__xludf.DUMMYFUNCTION("""COMPUTED_VALUE"""),0.0)</f>
        <v>0</v>
      </c>
      <c r="G464" s="98"/>
      <c r="H464" s="98"/>
      <c r="I464" s="98"/>
      <c r="J464" s="98"/>
      <c r="K464" s="98"/>
      <c r="L464" s="98"/>
    </row>
    <row r="465">
      <c r="A465" s="98"/>
      <c r="B465" s="98"/>
      <c r="C465" s="98" t="str">
        <f>IFERROR(__xludf.DUMMYFUNCTION("""COMPUTED_VALUE"""),"-")</f>
        <v>-</v>
      </c>
      <c r="D465" s="98"/>
      <c r="E465" s="98"/>
      <c r="F465" s="100">
        <f>IFERROR(__xludf.DUMMYFUNCTION("""COMPUTED_VALUE"""),0.0)</f>
        <v>0</v>
      </c>
      <c r="G465" s="98"/>
      <c r="H465" s="98"/>
      <c r="I465" s="98"/>
      <c r="J465" s="98"/>
      <c r="K465" s="98"/>
      <c r="L465" s="98"/>
    </row>
    <row r="466">
      <c r="A466" s="98"/>
      <c r="B466" s="98"/>
      <c r="C466" s="98" t="str">
        <f>IFERROR(__xludf.DUMMYFUNCTION("""COMPUTED_VALUE"""),"-")</f>
        <v>-</v>
      </c>
      <c r="D466" s="98"/>
      <c r="E466" s="98"/>
      <c r="F466" s="100">
        <f>IFERROR(__xludf.DUMMYFUNCTION("""COMPUTED_VALUE"""),0.0)</f>
        <v>0</v>
      </c>
      <c r="G466" s="98"/>
      <c r="H466" s="98"/>
      <c r="I466" s="98"/>
      <c r="J466" s="98"/>
      <c r="K466" s="98"/>
      <c r="L466" s="98"/>
    </row>
    <row r="467">
      <c r="A467" s="98"/>
      <c r="B467" s="98"/>
      <c r="C467" s="98" t="str">
        <f>IFERROR(__xludf.DUMMYFUNCTION("""COMPUTED_VALUE"""),"-")</f>
        <v>-</v>
      </c>
      <c r="D467" s="98"/>
      <c r="E467" s="98"/>
      <c r="F467" s="100">
        <f>IFERROR(__xludf.DUMMYFUNCTION("""COMPUTED_VALUE"""),0.0)</f>
        <v>0</v>
      </c>
      <c r="G467" s="98"/>
      <c r="H467" s="98"/>
      <c r="I467" s="98"/>
      <c r="J467" s="98"/>
      <c r="K467" s="98"/>
      <c r="L467" s="98"/>
    </row>
    <row r="468">
      <c r="A468" s="98"/>
      <c r="B468" s="98"/>
      <c r="C468" s="98" t="str">
        <f>IFERROR(__xludf.DUMMYFUNCTION("""COMPUTED_VALUE"""),"-")</f>
        <v>-</v>
      </c>
      <c r="D468" s="98"/>
      <c r="E468" s="98"/>
      <c r="F468" s="100">
        <f>IFERROR(__xludf.DUMMYFUNCTION("""COMPUTED_VALUE"""),0.0)</f>
        <v>0</v>
      </c>
      <c r="G468" s="98"/>
      <c r="H468" s="98"/>
      <c r="I468" s="98"/>
      <c r="J468" s="98"/>
      <c r="K468" s="98"/>
      <c r="L468" s="98"/>
    </row>
    <row r="469">
      <c r="A469" s="98"/>
      <c r="B469" s="98"/>
      <c r="C469" s="98" t="str">
        <f>IFERROR(__xludf.DUMMYFUNCTION("""COMPUTED_VALUE"""),"-")</f>
        <v>-</v>
      </c>
      <c r="D469" s="98"/>
      <c r="E469" s="98"/>
      <c r="F469" s="100">
        <f>IFERROR(__xludf.DUMMYFUNCTION("""COMPUTED_VALUE"""),0.0)</f>
        <v>0</v>
      </c>
      <c r="G469" s="98"/>
      <c r="H469" s="98"/>
      <c r="I469" s="98"/>
      <c r="J469" s="98"/>
      <c r="K469" s="98"/>
      <c r="L469" s="98"/>
    </row>
    <row r="470">
      <c r="A470" s="98"/>
      <c r="B470" s="98"/>
      <c r="C470" s="98" t="str">
        <f>IFERROR(__xludf.DUMMYFUNCTION("""COMPUTED_VALUE"""),"-")</f>
        <v>-</v>
      </c>
      <c r="D470" s="98"/>
      <c r="E470" s="98"/>
      <c r="F470" s="100">
        <f>IFERROR(__xludf.DUMMYFUNCTION("""COMPUTED_VALUE"""),0.0)</f>
        <v>0</v>
      </c>
      <c r="G470" s="98"/>
      <c r="H470" s="98"/>
      <c r="I470" s="98"/>
      <c r="J470" s="98"/>
      <c r="K470" s="98"/>
      <c r="L470" s="98"/>
    </row>
    <row r="471">
      <c r="A471" s="98"/>
      <c r="B471" s="98"/>
      <c r="C471" s="98" t="str">
        <f>IFERROR(__xludf.DUMMYFUNCTION("""COMPUTED_VALUE"""),"-")</f>
        <v>-</v>
      </c>
      <c r="D471" s="98"/>
      <c r="E471" s="98"/>
      <c r="F471" s="100">
        <f>IFERROR(__xludf.DUMMYFUNCTION("""COMPUTED_VALUE"""),0.0)</f>
        <v>0</v>
      </c>
      <c r="G471" s="98"/>
      <c r="H471" s="98"/>
      <c r="I471" s="98"/>
      <c r="J471" s="98"/>
      <c r="K471" s="98"/>
      <c r="L471" s="98"/>
    </row>
    <row r="472">
      <c r="A472" s="98"/>
      <c r="B472" s="98"/>
      <c r="C472" s="98" t="str">
        <f>IFERROR(__xludf.DUMMYFUNCTION("""COMPUTED_VALUE"""),"-")</f>
        <v>-</v>
      </c>
      <c r="D472" s="98"/>
      <c r="E472" s="98"/>
      <c r="F472" s="100">
        <f>IFERROR(__xludf.DUMMYFUNCTION("""COMPUTED_VALUE"""),0.0)</f>
        <v>0</v>
      </c>
      <c r="G472" s="98"/>
      <c r="H472" s="98"/>
      <c r="I472" s="98"/>
      <c r="J472" s="98"/>
      <c r="K472" s="98"/>
      <c r="L472" s="98"/>
    </row>
    <row r="473">
      <c r="A473" s="98"/>
      <c r="B473" s="98"/>
      <c r="C473" s="98" t="str">
        <f>IFERROR(__xludf.DUMMYFUNCTION("""COMPUTED_VALUE"""),"-")</f>
        <v>-</v>
      </c>
      <c r="D473" s="98"/>
      <c r="E473" s="98"/>
      <c r="F473" s="100">
        <f>IFERROR(__xludf.DUMMYFUNCTION("""COMPUTED_VALUE"""),0.0)</f>
        <v>0</v>
      </c>
      <c r="G473" s="98"/>
      <c r="H473" s="98"/>
      <c r="I473" s="98"/>
      <c r="J473" s="98"/>
      <c r="K473" s="98"/>
      <c r="L473" s="98"/>
    </row>
    <row r="474">
      <c r="A474" s="98"/>
      <c r="B474" s="98"/>
      <c r="C474" s="98" t="str">
        <f>IFERROR(__xludf.DUMMYFUNCTION("""COMPUTED_VALUE"""),"-")</f>
        <v>-</v>
      </c>
      <c r="D474" s="98"/>
      <c r="E474" s="98"/>
      <c r="F474" s="100">
        <f>IFERROR(__xludf.DUMMYFUNCTION("""COMPUTED_VALUE"""),0.0)</f>
        <v>0</v>
      </c>
      <c r="G474" s="98"/>
      <c r="H474" s="98"/>
      <c r="I474" s="98"/>
      <c r="J474" s="98"/>
      <c r="K474" s="98"/>
      <c r="L474" s="98"/>
    </row>
    <row r="475">
      <c r="A475" s="98"/>
      <c r="B475" s="98"/>
      <c r="C475" s="98" t="str">
        <f>IFERROR(__xludf.DUMMYFUNCTION("""COMPUTED_VALUE"""),"-")</f>
        <v>-</v>
      </c>
      <c r="D475" s="98"/>
      <c r="E475" s="98"/>
      <c r="F475" s="100">
        <f>IFERROR(__xludf.DUMMYFUNCTION("""COMPUTED_VALUE"""),0.0)</f>
        <v>0</v>
      </c>
      <c r="G475" s="98"/>
      <c r="H475" s="98"/>
      <c r="I475" s="98"/>
      <c r="J475" s="98"/>
      <c r="K475" s="98"/>
      <c r="L475" s="98"/>
    </row>
    <row r="476">
      <c r="A476" s="98"/>
      <c r="B476" s="98"/>
      <c r="C476" s="98" t="str">
        <f>IFERROR(__xludf.DUMMYFUNCTION("""COMPUTED_VALUE"""),"-")</f>
        <v>-</v>
      </c>
      <c r="D476" s="98"/>
      <c r="E476" s="98"/>
      <c r="F476" s="100">
        <f>IFERROR(__xludf.DUMMYFUNCTION("""COMPUTED_VALUE"""),0.0)</f>
        <v>0</v>
      </c>
      <c r="G476" s="98"/>
      <c r="H476" s="98"/>
      <c r="I476" s="98"/>
      <c r="J476" s="98"/>
      <c r="K476" s="98"/>
      <c r="L476" s="98"/>
    </row>
    <row r="477">
      <c r="A477" s="98"/>
      <c r="B477" s="98"/>
      <c r="C477" s="98" t="str">
        <f>IFERROR(__xludf.DUMMYFUNCTION("""COMPUTED_VALUE"""),"-")</f>
        <v>-</v>
      </c>
      <c r="D477" s="98"/>
      <c r="E477" s="98"/>
      <c r="F477" s="100">
        <f>IFERROR(__xludf.DUMMYFUNCTION("""COMPUTED_VALUE"""),0.0)</f>
        <v>0</v>
      </c>
      <c r="G477" s="98"/>
      <c r="H477" s="98"/>
      <c r="I477" s="98"/>
      <c r="J477" s="98"/>
      <c r="K477" s="98"/>
      <c r="L477" s="98"/>
    </row>
    <row r="478">
      <c r="A478" s="98"/>
      <c r="B478" s="98"/>
      <c r="C478" s="98" t="str">
        <f>IFERROR(__xludf.DUMMYFUNCTION("""COMPUTED_VALUE"""),"-")</f>
        <v>-</v>
      </c>
      <c r="D478" s="98"/>
      <c r="E478" s="98"/>
      <c r="F478" s="100">
        <f>IFERROR(__xludf.DUMMYFUNCTION("""COMPUTED_VALUE"""),0.0)</f>
        <v>0</v>
      </c>
      <c r="G478" s="98"/>
      <c r="H478" s="98"/>
      <c r="I478" s="98"/>
      <c r="J478" s="98"/>
      <c r="K478" s="98"/>
      <c r="L478" s="98"/>
    </row>
    <row r="479">
      <c r="A479" s="98"/>
      <c r="B479" s="98"/>
      <c r="C479" s="98" t="str">
        <f>IFERROR(__xludf.DUMMYFUNCTION("""COMPUTED_VALUE"""),"-")</f>
        <v>-</v>
      </c>
      <c r="D479" s="98"/>
      <c r="E479" s="98"/>
      <c r="F479" s="100">
        <f>IFERROR(__xludf.DUMMYFUNCTION("""COMPUTED_VALUE"""),0.0)</f>
        <v>0</v>
      </c>
      <c r="G479" s="98"/>
      <c r="H479" s="98"/>
      <c r="I479" s="98"/>
      <c r="J479" s="98"/>
      <c r="K479" s="98"/>
      <c r="L479" s="98"/>
    </row>
    <row r="480">
      <c r="A480" s="98"/>
      <c r="B480" s="98"/>
      <c r="C480" s="98" t="str">
        <f>IFERROR(__xludf.DUMMYFUNCTION("""COMPUTED_VALUE"""),"-")</f>
        <v>-</v>
      </c>
      <c r="D480" s="98"/>
      <c r="E480" s="98"/>
      <c r="F480" s="100">
        <f>IFERROR(__xludf.DUMMYFUNCTION("""COMPUTED_VALUE"""),0.0)</f>
        <v>0</v>
      </c>
      <c r="G480" s="98"/>
      <c r="H480" s="98"/>
      <c r="I480" s="98"/>
      <c r="J480" s="98"/>
      <c r="K480" s="98"/>
      <c r="L480" s="98"/>
    </row>
    <row r="481">
      <c r="A481" s="98"/>
      <c r="B481" s="98"/>
      <c r="C481" s="98" t="str">
        <f>IFERROR(__xludf.DUMMYFUNCTION("""COMPUTED_VALUE"""),"-")</f>
        <v>-</v>
      </c>
      <c r="D481" s="98"/>
      <c r="E481" s="98"/>
      <c r="F481" s="100">
        <f>IFERROR(__xludf.DUMMYFUNCTION("""COMPUTED_VALUE"""),0.0)</f>
        <v>0</v>
      </c>
      <c r="G481" s="98"/>
      <c r="H481" s="98"/>
      <c r="I481" s="98"/>
      <c r="J481" s="98"/>
      <c r="K481" s="98"/>
      <c r="L481" s="98"/>
    </row>
    <row r="482">
      <c r="A482" s="98" t="str">
        <f>IFERROR(__xludf.DUMMYFUNCTION("""COMPUTED_VALUE"""),"Transmission")</f>
        <v>Transmission</v>
      </c>
      <c r="B482" s="98" t="str">
        <f>IFERROR(__xludf.DUMMYFUNCTION("""COMPUTED_VALUE"""),"Repair High lost")</f>
        <v>Repair High lost</v>
      </c>
      <c r="C482" s="98" t="str">
        <f>IFERROR(__xludf.DUMMYFUNCTION("""COMPUTED_VALUE"""),"Control 6 link MW error assign to team and push daily in group")</f>
        <v>Control 6 link MW error assign to team and push daily in group</v>
      </c>
      <c r="D482" s="99">
        <f>IFERROR(__xludf.DUMMYFUNCTION("""COMPUTED_VALUE"""),45959.0)</f>
        <v>45959</v>
      </c>
      <c r="E482" s="99">
        <f>IFERROR(__xludf.DUMMYFUNCTION("""COMPUTED_VALUE"""),45976.0)</f>
        <v>45976</v>
      </c>
      <c r="F482" s="98"/>
      <c r="G482" s="98"/>
      <c r="H482" s="98"/>
      <c r="I482" s="98"/>
      <c r="J482" s="98"/>
      <c r="K482" s="98"/>
      <c r="L482" s="98"/>
    </row>
    <row r="483">
      <c r="A483" s="98" t="str">
        <f>IFERROR(__xludf.DUMMYFUNCTION("""COMPUTED_VALUE"""),"Transmission")</f>
        <v>Transmission</v>
      </c>
      <c r="B483" s="98" t="str">
        <f>IFERROR(__xludf.DUMMYFUNCTION("""COMPUTED_VALUE"""),"Repair High lost")</f>
        <v>Repair High lost</v>
      </c>
      <c r="C483" s="98" t="str">
        <f>IFERROR(__xludf.DUMMYFUNCTION("""COMPUTED_VALUE"""),"Repair High lost link  2 link TNI0009 - TNI0015 + TNI0012 - TNI0015")</f>
        <v>Repair High lost link  2 link TNI0009 - TNI0015 + TNI0012 - TNI0015</v>
      </c>
      <c r="D483" s="99">
        <f>IFERROR(__xludf.DUMMYFUNCTION("""COMPUTED_VALUE"""),45959.0)</f>
        <v>45959</v>
      </c>
      <c r="E483" s="99">
        <f>IFERROR(__xludf.DUMMYFUNCTION("""COMPUTED_VALUE"""),45976.0)</f>
        <v>45976</v>
      </c>
      <c r="F483" s="98"/>
      <c r="G483" s="99">
        <f>IFERROR(__xludf.DUMMYFUNCTION("""COMPUTED_VALUE"""),46000.0)</f>
        <v>46000</v>
      </c>
      <c r="H483" s="98" t="str">
        <f>IFERROR(__xludf.DUMMYFUNCTION("""COMPUTED_VALUE"""),"only finished TNI0009-TNI0015")</f>
        <v>only finished TNI0009-TNI0015</v>
      </c>
      <c r="I483" s="98"/>
      <c r="J483" s="98"/>
      <c r="K483" s="98"/>
      <c r="L483" s="98"/>
    </row>
    <row r="484">
      <c r="A484" s="98" t="str">
        <f>IFERROR(__xludf.DUMMYFUNCTION("""COMPUTED_VALUE"""),"FBB")</f>
        <v>FBB</v>
      </c>
      <c r="B484" s="98" t="str">
        <f>IFERROR(__xludf.DUMMYFUNCTION("""COMPUTED_VALUE"""),"DIA error")</f>
        <v>DIA error</v>
      </c>
      <c r="C484" s="98" t="str">
        <f>IFERROR(__xludf.DUMMYFUNCTION("""COMPUTED_VALUE"""),"Check island DIA customers what’s materials you need to repair send PWZ to request to HO, Team 4")</f>
        <v>Check island DIA customers what’s materials you need to repair send PWZ to request to HO, Team 4</v>
      </c>
      <c r="D484" s="99">
        <f>IFERROR(__xludf.DUMMYFUNCTION("""COMPUTED_VALUE"""),45959.0)</f>
        <v>45959</v>
      </c>
      <c r="E484" s="99">
        <f>IFERROR(__xludf.DUMMYFUNCTION("""COMPUTED_VALUE"""),45969.0)</f>
        <v>45969</v>
      </c>
      <c r="F484" s="98"/>
      <c r="G484" s="98"/>
      <c r="H484" s="98"/>
      <c r="I484" s="98"/>
      <c r="J484" s="98"/>
      <c r="K484" s="98"/>
      <c r="L484" s="98"/>
    </row>
    <row r="485">
      <c r="A485" s="98" t="str">
        <f>IFERROR(__xludf.DUMMYFUNCTION("""COMPUTED_VALUE"""),"M&amp;E")</f>
        <v>M&amp;E</v>
      </c>
      <c r="B485" s="98"/>
      <c r="C485" s="98" t="str">
        <f>IFERROR(__xludf.DUMMYFUNCTION("""COMPUTED_VALUE"""),"Return Rectifier Box to Mytel Warehouse
Team01 &gt;&gt; 6 box 
Team02 &gt;&gt; 1 box
Team03&gt;&gt; 2 box
Team04&gt;&gt; 2Box")</f>
        <v>Return Rectifier Box to Mytel Warehouse
Team01 &gt;&gt; 6 box 
Team02 &gt;&gt; 1 box
Team03&gt;&gt; 2 box
Team04&gt;&gt; 2Box</v>
      </c>
      <c r="D485" s="99">
        <f>IFERROR(__xludf.DUMMYFUNCTION("""COMPUTED_VALUE"""),46195.0)</f>
        <v>46195</v>
      </c>
      <c r="E485" s="99">
        <f>IFERROR(__xludf.DUMMYFUNCTION("""COMPUTED_VALUE"""),46203.0)</f>
        <v>46203</v>
      </c>
      <c r="F485" s="98"/>
      <c r="G485" s="98"/>
      <c r="H485" s="98"/>
      <c r="I485" s="98"/>
      <c r="J485" s="98"/>
      <c r="K485" s="98"/>
      <c r="L485" s="98"/>
    </row>
    <row r="486">
      <c r="A486" s="98"/>
      <c r="B486" s="98"/>
      <c r="C486" s="98"/>
      <c r="D486" s="98"/>
      <c r="E486" s="98"/>
      <c r="F486" s="98"/>
      <c r="G486" s="98"/>
      <c r="H486" s="98"/>
      <c r="I486" s="98"/>
      <c r="J486" s="98"/>
      <c r="K486" s="98"/>
      <c r="L486" s="98"/>
    </row>
    <row r="487">
      <c r="A487" s="98"/>
      <c r="B487" s="98"/>
      <c r="C487" s="98"/>
      <c r="D487" s="98"/>
      <c r="E487" s="98"/>
      <c r="F487" s="98"/>
      <c r="G487" s="98"/>
      <c r="H487" s="98"/>
      <c r="I487" s="98"/>
      <c r="J487" s="98"/>
      <c r="K487" s="98"/>
      <c r="L487" s="98"/>
    </row>
    <row r="488">
      <c r="A488" s="98"/>
      <c r="B488" s="98"/>
      <c r="C488" s="98"/>
      <c r="D488" s="98"/>
      <c r="E488" s="98"/>
      <c r="F488" s="98"/>
      <c r="G488" s="98"/>
      <c r="H488" s="98"/>
      <c r="I488" s="98"/>
      <c r="J488" s="98"/>
      <c r="K488" s="98"/>
      <c r="L488" s="98"/>
    </row>
    <row r="489">
      <c r="A489" s="98"/>
      <c r="B489" s="98"/>
      <c r="C489" s="98"/>
      <c r="D489" s="98"/>
      <c r="E489" s="98"/>
      <c r="F489" s="98"/>
      <c r="G489" s="98"/>
      <c r="H489" s="98"/>
      <c r="I489" s="98"/>
      <c r="J489" s="98"/>
      <c r="K489" s="98"/>
      <c r="L489" s="98"/>
    </row>
    <row r="490">
      <c r="A490" s="98"/>
      <c r="B490" s="98"/>
      <c r="C490" s="98"/>
      <c r="D490" s="98"/>
      <c r="E490" s="98"/>
      <c r="F490" s="98"/>
      <c r="G490" s="98"/>
      <c r="H490" s="98"/>
      <c r="I490" s="98"/>
      <c r="J490" s="98"/>
      <c r="K490" s="98"/>
      <c r="L490" s="98"/>
    </row>
    <row r="491">
      <c r="A491" s="98"/>
      <c r="B491" s="98"/>
      <c r="C491" s="98"/>
      <c r="D491" s="98"/>
      <c r="E491" s="98"/>
      <c r="F491" s="98"/>
      <c r="G491" s="98"/>
      <c r="H491" s="98"/>
      <c r="I491" s="98"/>
      <c r="J491" s="98"/>
      <c r="K491" s="98"/>
      <c r="L491" s="98"/>
    </row>
    <row r="492">
      <c r="A492" s="98"/>
      <c r="B492" s="98"/>
      <c r="C492" s="98"/>
      <c r="D492" s="98"/>
      <c r="E492" s="98"/>
      <c r="F492" s="98"/>
      <c r="G492" s="98"/>
      <c r="H492" s="98"/>
      <c r="I492" s="98"/>
      <c r="J492" s="98"/>
      <c r="K492" s="98"/>
      <c r="L492" s="98"/>
    </row>
    <row r="493">
      <c r="A493" s="98"/>
      <c r="B493" s="98"/>
      <c r="C493" s="98"/>
      <c r="D493" s="98"/>
      <c r="E493" s="98"/>
      <c r="F493" s="98"/>
      <c r="G493" s="98"/>
      <c r="H493" s="98"/>
      <c r="I493" s="98"/>
      <c r="J493" s="98"/>
      <c r="K493" s="98"/>
      <c r="L493" s="98"/>
    </row>
    <row r="494">
      <c r="A494" s="98"/>
      <c r="B494" s="98"/>
      <c r="C494" s="98"/>
      <c r="D494" s="98"/>
      <c r="E494" s="98"/>
      <c r="F494" s="98"/>
      <c r="G494" s="98"/>
      <c r="H494" s="98"/>
      <c r="I494" s="98"/>
      <c r="J494" s="98"/>
      <c r="K494" s="98"/>
      <c r="L494" s="98"/>
    </row>
    <row r="495">
      <c r="A495" s="98"/>
      <c r="B495" s="98"/>
      <c r="C495" s="98"/>
      <c r="D495" s="98"/>
      <c r="E495" s="98"/>
      <c r="F495" s="98"/>
      <c r="G495" s="98"/>
      <c r="H495" s="98"/>
      <c r="I495" s="98"/>
      <c r="J495" s="98"/>
      <c r="K495" s="98"/>
      <c r="L495" s="98"/>
    </row>
    <row r="496">
      <c r="A496" s="98"/>
      <c r="B496" s="98"/>
      <c r="C496" s="98"/>
      <c r="D496" s="98"/>
      <c r="E496" s="98"/>
      <c r="F496" s="98"/>
      <c r="G496" s="98"/>
      <c r="H496" s="98"/>
      <c r="I496" s="98"/>
      <c r="J496" s="98"/>
      <c r="K496" s="98"/>
      <c r="L496" s="98"/>
    </row>
    <row r="497">
      <c r="A497" s="98"/>
      <c r="B497" s="98"/>
      <c r="C497" s="98"/>
      <c r="D497" s="98"/>
      <c r="E497" s="98"/>
      <c r="F497" s="98"/>
      <c r="G497" s="98"/>
      <c r="H497" s="98"/>
      <c r="I497" s="98"/>
      <c r="J497" s="98"/>
      <c r="K497" s="98"/>
      <c r="L497" s="98"/>
    </row>
    <row r="498">
      <c r="A498" s="98"/>
      <c r="B498" s="98"/>
      <c r="C498" s="98"/>
      <c r="D498" s="98"/>
      <c r="E498" s="98"/>
      <c r="F498" s="98"/>
      <c r="G498" s="98"/>
      <c r="H498" s="98"/>
      <c r="I498" s="98"/>
      <c r="J498" s="98"/>
      <c r="K498" s="98"/>
      <c r="L498" s="98"/>
    </row>
    <row r="499">
      <c r="A499" s="98"/>
      <c r="B499" s="98"/>
      <c r="C499" s="98"/>
      <c r="D499" s="98"/>
      <c r="E499" s="98"/>
      <c r="F499" s="98"/>
      <c r="G499" s="98"/>
      <c r="H499" s="98"/>
      <c r="I499" s="98"/>
      <c r="J499" s="98"/>
      <c r="K499" s="98"/>
      <c r="L499" s="98"/>
    </row>
    <row r="500">
      <c r="A500" s="98"/>
      <c r="B500" s="98"/>
      <c r="C500" s="98"/>
      <c r="D500" s="98"/>
      <c r="E500" s="98"/>
      <c r="F500" s="98"/>
      <c r="G500" s="98"/>
      <c r="H500" s="98"/>
      <c r="I500" s="98"/>
      <c r="J500" s="98"/>
      <c r="K500" s="98"/>
      <c r="L500" s="98"/>
    </row>
    <row r="501">
      <c r="A501" s="98"/>
      <c r="B501" s="98"/>
      <c r="C501" s="98"/>
      <c r="D501" s="98"/>
      <c r="E501" s="98"/>
      <c r="F501" s="98"/>
      <c r="G501" s="98"/>
      <c r="H501" s="98"/>
      <c r="I501" s="98"/>
      <c r="J501" s="98"/>
      <c r="K501" s="98"/>
      <c r="L501" s="98"/>
    </row>
    <row r="502">
      <c r="A502" s="98"/>
      <c r="B502" s="98"/>
      <c r="C502" s="98"/>
      <c r="D502" s="98"/>
      <c r="E502" s="98"/>
      <c r="F502" s="98"/>
      <c r="G502" s="98"/>
      <c r="H502" s="98"/>
      <c r="I502" s="98"/>
      <c r="J502" s="98"/>
      <c r="K502" s="98"/>
      <c r="L502" s="98"/>
    </row>
    <row r="503">
      <c r="A503" s="98"/>
      <c r="B503" s="98"/>
      <c r="C503" s="98"/>
      <c r="D503" s="98"/>
      <c r="E503" s="98"/>
      <c r="F503" s="98"/>
      <c r="G503" s="98"/>
      <c r="H503" s="98"/>
      <c r="I503" s="98"/>
      <c r="J503" s="98"/>
      <c r="K503" s="98"/>
      <c r="L503" s="98"/>
    </row>
    <row r="504">
      <c r="A504" s="98"/>
      <c r="B504" s="98"/>
      <c r="C504" s="98"/>
      <c r="D504" s="98"/>
      <c r="E504" s="98"/>
      <c r="F504" s="98"/>
      <c r="G504" s="98"/>
      <c r="H504" s="98"/>
      <c r="I504" s="98"/>
      <c r="J504" s="98"/>
      <c r="K504" s="98"/>
      <c r="L504" s="98"/>
    </row>
    <row r="505">
      <c r="A505" s="98"/>
      <c r="B505" s="98"/>
      <c r="C505" s="98"/>
      <c r="D505" s="98"/>
      <c r="E505" s="98"/>
      <c r="F505" s="98"/>
      <c r="G505" s="98"/>
      <c r="H505" s="98"/>
      <c r="I505" s="98"/>
      <c r="J505" s="98"/>
      <c r="K505" s="98"/>
      <c r="L505" s="98"/>
    </row>
    <row r="506">
      <c r="A506" s="98"/>
      <c r="B506" s="98"/>
      <c r="C506" s="98"/>
      <c r="D506" s="98"/>
      <c r="E506" s="98"/>
      <c r="F506" s="98"/>
      <c r="G506" s="98"/>
      <c r="H506" s="98"/>
      <c r="I506" s="98"/>
      <c r="J506" s="98"/>
      <c r="K506" s="98"/>
      <c r="L506" s="98"/>
    </row>
    <row r="507">
      <c r="A507" s="98"/>
      <c r="B507" s="98"/>
      <c r="C507" s="98"/>
      <c r="D507" s="98"/>
      <c r="E507" s="98"/>
      <c r="F507" s="98"/>
      <c r="G507" s="98"/>
      <c r="H507" s="98"/>
      <c r="I507" s="98"/>
      <c r="J507" s="98"/>
      <c r="K507" s="98"/>
      <c r="L507" s="98"/>
    </row>
    <row r="508">
      <c r="A508" s="98"/>
      <c r="B508" s="98"/>
      <c r="C508" s="98"/>
      <c r="D508" s="98"/>
      <c r="E508" s="98"/>
      <c r="F508" s="98"/>
      <c r="G508" s="98"/>
      <c r="H508" s="98"/>
      <c r="I508" s="98"/>
      <c r="J508" s="98"/>
      <c r="K508" s="98"/>
      <c r="L508" s="98"/>
    </row>
    <row r="509">
      <c r="A509" s="98"/>
      <c r="B509" s="98"/>
      <c r="C509" s="98"/>
      <c r="D509" s="98"/>
      <c r="E509" s="98"/>
      <c r="F509" s="98"/>
      <c r="G509" s="98"/>
      <c r="H509" s="98"/>
      <c r="I509" s="98"/>
      <c r="J509" s="98"/>
      <c r="K509" s="98"/>
      <c r="L509" s="98"/>
    </row>
    <row r="510">
      <c r="A510" s="98"/>
      <c r="B510" s="98"/>
      <c r="C510" s="98"/>
      <c r="D510" s="98"/>
      <c r="E510" s="98"/>
      <c r="F510" s="98"/>
      <c r="G510" s="98"/>
      <c r="H510" s="98"/>
      <c r="I510" s="98"/>
      <c r="J510" s="98"/>
      <c r="K510" s="98"/>
      <c r="L510" s="98"/>
    </row>
    <row r="511">
      <c r="A511" s="98"/>
      <c r="B511" s="98"/>
      <c r="C511" s="98"/>
      <c r="D511" s="98"/>
      <c r="E511" s="98"/>
      <c r="F511" s="98"/>
      <c r="G511" s="98"/>
      <c r="H511" s="98"/>
      <c r="I511" s="98"/>
      <c r="J511" s="98"/>
      <c r="K511" s="98"/>
      <c r="L511" s="98"/>
    </row>
    <row r="512">
      <c r="A512" s="98"/>
      <c r="B512" s="98"/>
      <c r="C512" s="98"/>
      <c r="D512" s="98"/>
      <c r="E512" s="98"/>
      <c r="F512" s="98"/>
      <c r="G512" s="98"/>
      <c r="H512" s="98"/>
      <c r="I512" s="98"/>
      <c r="J512" s="98"/>
      <c r="K512" s="98"/>
      <c r="L512" s="98"/>
    </row>
    <row r="513">
      <c r="A513" s="98"/>
      <c r="B513" s="98"/>
      <c r="C513" s="98"/>
      <c r="D513" s="98"/>
      <c r="E513" s="98"/>
      <c r="F513" s="98"/>
      <c r="G513" s="98"/>
      <c r="H513" s="98"/>
      <c r="I513" s="98"/>
      <c r="J513" s="98"/>
      <c r="K513" s="98"/>
      <c r="L513" s="98"/>
    </row>
    <row r="514">
      <c r="A514" s="98"/>
      <c r="B514" s="98"/>
      <c r="C514" s="98"/>
      <c r="D514" s="98"/>
      <c r="E514" s="98"/>
      <c r="F514" s="98"/>
      <c r="G514" s="98"/>
      <c r="H514" s="98"/>
      <c r="I514" s="98"/>
      <c r="J514" s="98"/>
      <c r="K514" s="98"/>
      <c r="L514" s="98"/>
    </row>
    <row r="515">
      <c r="A515" s="98"/>
      <c r="B515" s="98"/>
      <c r="C515" s="98"/>
      <c r="D515" s="98"/>
      <c r="E515" s="98"/>
      <c r="F515" s="98"/>
      <c r="G515" s="98"/>
      <c r="H515" s="98"/>
      <c r="I515" s="98"/>
      <c r="J515" s="98"/>
      <c r="K515" s="98"/>
      <c r="L515" s="98"/>
    </row>
    <row r="516">
      <c r="A516" s="98"/>
      <c r="B516" s="98"/>
      <c r="C516" s="98"/>
      <c r="D516" s="98"/>
      <c r="E516" s="98"/>
      <c r="F516" s="98"/>
      <c r="G516" s="98"/>
      <c r="H516" s="98"/>
      <c r="I516" s="98"/>
      <c r="J516" s="98"/>
      <c r="K516" s="98"/>
      <c r="L516" s="98"/>
    </row>
    <row r="517">
      <c r="A517" s="98"/>
      <c r="B517" s="98"/>
      <c r="C517" s="98"/>
      <c r="D517" s="98"/>
      <c r="E517" s="98"/>
      <c r="F517" s="98"/>
      <c r="G517" s="98"/>
      <c r="H517" s="98"/>
      <c r="I517" s="98"/>
      <c r="J517" s="98"/>
      <c r="K517" s="98"/>
      <c r="L517" s="98"/>
    </row>
    <row r="518">
      <c r="A518" s="98"/>
      <c r="B518" s="98"/>
      <c r="C518" s="98"/>
      <c r="D518" s="98"/>
      <c r="E518" s="98"/>
      <c r="F518" s="98"/>
      <c r="G518" s="98"/>
      <c r="H518" s="98"/>
      <c r="I518" s="98"/>
      <c r="J518" s="98"/>
      <c r="K518" s="98"/>
      <c r="L518" s="98"/>
    </row>
    <row r="519">
      <c r="A519" s="98"/>
      <c r="B519" s="98"/>
      <c r="C519" s="98"/>
      <c r="D519" s="98"/>
      <c r="E519" s="98"/>
      <c r="F519" s="98"/>
      <c r="G519" s="98"/>
      <c r="H519" s="98"/>
      <c r="I519" s="98"/>
      <c r="J519" s="98"/>
      <c r="K519" s="98"/>
      <c r="L519" s="98"/>
    </row>
    <row r="520">
      <c r="A520" s="98"/>
      <c r="B520" s="98"/>
      <c r="C520" s="98"/>
      <c r="D520" s="98"/>
      <c r="E520" s="98"/>
      <c r="F520" s="98"/>
      <c r="G520" s="98"/>
      <c r="H520" s="98"/>
      <c r="I520" s="98"/>
      <c r="J520" s="98"/>
      <c r="K520" s="98"/>
      <c r="L520" s="98"/>
    </row>
    <row r="521">
      <c r="A521" s="98"/>
      <c r="B521" s="98"/>
      <c r="C521" s="98"/>
      <c r="D521" s="98"/>
      <c r="E521" s="98"/>
      <c r="F521" s="98"/>
      <c r="G521" s="98"/>
      <c r="H521" s="98"/>
      <c r="I521" s="98"/>
      <c r="J521" s="98"/>
      <c r="K521" s="98"/>
      <c r="L521" s="98"/>
    </row>
    <row r="522">
      <c r="A522" s="98"/>
      <c r="B522" s="98"/>
      <c r="C522" s="98"/>
      <c r="D522" s="98"/>
      <c r="E522" s="98"/>
      <c r="F522" s="98"/>
      <c r="G522" s="98"/>
      <c r="H522" s="98"/>
      <c r="I522" s="98"/>
      <c r="J522" s="98"/>
      <c r="K522" s="98"/>
      <c r="L522" s="98"/>
    </row>
    <row r="523">
      <c r="A523" s="98"/>
      <c r="B523" s="98"/>
      <c r="C523" s="98"/>
      <c r="D523" s="98"/>
      <c r="E523" s="98"/>
      <c r="F523" s="98"/>
      <c r="G523" s="98"/>
      <c r="H523" s="98"/>
      <c r="I523" s="98"/>
      <c r="J523" s="98"/>
      <c r="K523" s="98"/>
      <c r="L523" s="98"/>
    </row>
    <row r="524">
      <c r="A524" s="98"/>
      <c r="B524" s="98"/>
      <c r="C524" s="98"/>
      <c r="D524" s="98"/>
      <c r="E524" s="98"/>
      <c r="F524" s="98"/>
      <c r="G524" s="98"/>
      <c r="H524" s="98"/>
      <c r="I524" s="98"/>
      <c r="J524" s="98"/>
      <c r="K524" s="98"/>
      <c r="L524" s="98"/>
    </row>
    <row r="525">
      <c r="A525" s="98"/>
      <c r="B525" s="98"/>
      <c r="C525" s="98"/>
      <c r="D525" s="98"/>
      <c r="E525" s="98"/>
      <c r="F525" s="98"/>
      <c r="G525" s="98"/>
      <c r="H525" s="98"/>
      <c r="I525" s="98"/>
      <c r="J525" s="98"/>
      <c r="K525" s="98"/>
      <c r="L525" s="98"/>
    </row>
    <row r="526">
      <c r="A526" s="98"/>
      <c r="B526" s="98"/>
      <c r="C526" s="98"/>
      <c r="D526" s="98"/>
      <c r="E526" s="98"/>
      <c r="F526" s="98"/>
      <c r="G526" s="98"/>
      <c r="H526" s="98"/>
      <c r="I526" s="98"/>
      <c r="J526" s="98"/>
      <c r="K526" s="98"/>
      <c r="L526" s="98"/>
    </row>
    <row r="527">
      <c r="A527" s="98"/>
      <c r="B527" s="98"/>
      <c r="C527" s="98"/>
      <c r="D527" s="98"/>
      <c r="E527" s="98"/>
      <c r="F527" s="98"/>
      <c r="G527" s="98"/>
      <c r="H527" s="98"/>
      <c r="I527" s="98"/>
      <c r="J527" s="98"/>
      <c r="K527" s="98"/>
      <c r="L527" s="98"/>
    </row>
    <row r="528">
      <c r="A528" s="98"/>
      <c r="B528" s="98"/>
      <c r="C528" s="98"/>
      <c r="D528" s="98"/>
      <c r="E528" s="98"/>
      <c r="F528" s="98"/>
      <c r="G528" s="98"/>
      <c r="H528" s="98"/>
      <c r="I528" s="98"/>
      <c r="J528" s="98"/>
      <c r="K528" s="98"/>
      <c r="L528" s="98"/>
    </row>
    <row r="529">
      <c r="A529" s="98"/>
      <c r="B529" s="98"/>
      <c r="C529" s="98"/>
      <c r="D529" s="98"/>
      <c r="E529" s="98"/>
      <c r="F529" s="98"/>
      <c r="G529" s="98"/>
      <c r="H529" s="98"/>
      <c r="I529" s="98"/>
      <c r="J529" s="98"/>
      <c r="K529" s="98"/>
      <c r="L529" s="98"/>
    </row>
    <row r="530">
      <c r="A530" s="98"/>
      <c r="B530" s="98"/>
      <c r="C530" s="98"/>
      <c r="D530" s="98"/>
      <c r="E530" s="98"/>
      <c r="F530" s="98"/>
      <c r="G530" s="98"/>
      <c r="H530" s="98"/>
      <c r="I530" s="98"/>
      <c r="J530" s="98"/>
      <c r="K530" s="98"/>
      <c r="L530" s="98"/>
    </row>
    <row r="531">
      <c r="A531" s="98"/>
      <c r="B531" s="98"/>
      <c r="C531" s="98"/>
      <c r="D531" s="98"/>
      <c r="E531" s="98"/>
      <c r="F531" s="98"/>
      <c r="G531" s="98"/>
      <c r="H531" s="98"/>
      <c r="I531" s="98"/>
      <c r="J531" s="98"/>
      <c r="K531" s="98"/>
      <c r="L531" s="98"/>
    </row>
    <row r="532">
      <c r="A532" s="98"/>
      <c r="B532" s="98"/>
      <c r="C532" s="98"/>
      <c r="D532" s="98"/>
      <c r="E532" s="98"/>
      <c r="F532" s="98"/>
      <c r="G532" s="98"/>
      <c r="H532" s="98"/>
      <c r="I532" s="98"/>
      <c r="J532" s="98"/>
      <c r="K532" s="98"/>
      <c r="L532" s="98"/>
    </row>
    <row r="533">
      <c r="A533" s="98"/>
      <c r="B533" s="98"/>
      <c r="C533" s="98"/>
      <c r="D533" s="98"/>
      <c r="E533" s="98"/>
      <c r="F533" s="98"/>
      <c r="G533" s="98"/>
      <c r="H533" s="98"/>
      <c r="I533" s="98"/>
      <c r="J533" s="98"/>
      <c r="K533" s="98"/>
      <c r="L533" s="98"/>
    </row>
    <row r="534">
      <c r="A534" s="98"/>
      <c r="B534" s="98"/>
      <c r="C534" s="98"/>
      <c r="D534" s="98"/>
      <c r="E534" s="98"/>
      <c r="F534" s="98"/>
      <c r="G534" s="98"/>
      <c r="H534" s="98"/>
      <c r="I534" s="98"/>
      <c r="J534" s="98"/>
      <c r="K534" s="98"/>
      <c r="L534" s="98"/>
    </row>
    <row r="535">
      <c r="A535" s="98"/>
      <c r="B535" s="98"/>
      <c r="C535" s="98"/>
      <c r="D535" s="98"/>
      <c r="E535" s="98"/>
      <c r="F535" s="98"/>
      <c r="G535" s="98"/>
      <c r="H535" s="98"/>
      <c r="I535" s="98"/>
      <c r="J535" s="98"/>
      <c r="K535" s="98"/>
      <c r="L535" s="98"/>
    </row>
    <row r="536">
      <c r="A536" s="98"/>
      <c r="B536" s="98"/>
      <c r="C536" s="98"/>
      <c r="D536" s="98"/>
      <c r="E536" s="98"/>
      <c r="F536" s="98"/>
      <c r="G536" s="98"/>
      <c r="H536" s="98"/>
      <c r="I536" s="98"/>
      <c r="J536" s="98"/>
      <c r="K536" s="98"/>
      <c r="L536" s="98"/>
    </row>
    <row r="537">
      <c r="A537" s="98"/>
      <c r="B537" s="98"/>
      <c r="C537" s="98"/>
      <c r="D537" s="98"/>
      <c r="E537" s="98"/>
      <c r="F537" s="98"/>
      <c r="G537" s="98"/>
      <c r="H537" s="98"/>
      <c r="I537" s="98"/>
      <c r="J537" s="98"/>
      <c r="K537" s="98"/>
      <c r="L537" s="98"/>
    </row>
    <row r="538">
      <c r="A538" s="98"/>
      <c r="B538" s="98"/>
      <c r="C538" s="98"/>
      <c r="D538" s="98"/>
      <c r="E538" s="98"/>
      <c r="F538" s="98"/>
      <c r="G538" s="98"/>
      <c r="H538" s="98"/>
      <c r="I538" s="98"/>
      <c r="J538" s="98"/>
      <c r="K538" s="98"/>
      <c r="L538" s="98"/>
    </row>
    <row r="539">
      <c r="A539" s="98"/>
      <c r="B539" s="98"/>
      <c r="C539" s="98"/>
      <c r="D539" s="98"/>
      <c r="E539" s="98"/>
      <c r="F539" s="98"/>
      <c r="G539" s="98"/>
      <c r="H539" s="98"/>
      <c r="I539" s="98"/>
      <c r="J539" s="98"/>
      <c r="K539" s="98"/>
      <c r="L539" s="98"/>
    </row>
    <row r="540">
      <c r="A540" s="98"/>
      <c r="B540" s="98"/>
      <c r="C540" s="98"/>
      <c r="D540" s="98"/>
      <c r="E540" s="98"/>
      <c r="F540" s="98"/>
      <c r="G540" s="98"/>
      <c r="H540" s="98"/>
      <c r="I540" s="98"/>
      <c r="J540" s="98"/>
      <c r="K540" s="98"/>
      <c r="L540" s="98"/>
    </row>
    <row r="541">
      <c r="A541" s="98"/>
      <c r="B541" s="98"/>
      <c r="C541" s="98"/>
      <c r="D541" s="98"/>
      <c r="E541" s="98"/>
      <c r="F541" s="98"/>
      <c r="G541" s="98"/>
      <c r="H541" s="98"/>
      <c r="I541" s="98"/>
      <c r="J541" s="98"/>
      <c r="K541" s="98"/>
      <c r="L541" s="98"/>
    </row>
    <row r="542">
      <c r="A542" s="98"/>
      <c r="B542" s="98"/>
      <c r="C542" s="98"/>
      <c r="D542" s="98"/>
      <c r="E542" s="98"/>
      <c r="F542" s="98"/>
      <c r="G542" s="98"/>
      <c r="H542" s="98"/>
      <c r="I542" s="98"/>
      <c r="J542" s="98"/>
      <c r="K542" s="98"/>
      <c r="L542" s="98"/>
    </row>
    <row r="543">
      <c r="A543" s="98"/>
      <c r="B543" s="98"/>
      <c r="C543" s="98"/>
      <c r="D543" s="98"/>
      <c r="E543" s="98"/>
      <c r="F543" s="98"/>
      <c r="G543" s="98"/>
      <c r="H543" s="98"/>
      <c r="I543" s="98"/>
      <c r="J543" s="98"/>
      <c r="K543" s="98"/>
      <c r="L543" s="98"/>
    </row>
    <row r="544">
      <c r="A544" s="98"/>
      <c r="B544" s="98"/>
      <c r="C544" s="98"/>
      <c r="D544" s="98"/>
      <c r="E544" s="98"/>
      <c r="F544" s="98"/>
      <c r="G544" s="98"/>
      <c r="H544" s="98"/>
      <c r="I544" s="98"/>
      <c r="J544" s="98"/>
      <c r="K544" s="98"/>
      <c r="L544" s="98"/>
    </row>
    <row r="545">
      <c r="A545" s="98"/>
      <c r="B545" s="98"/>
      <c r="C545" s="98"/>
      <c r="D545" s="98"/>
      <c r="E545" s="98"/>
      <c r="F545" s="98"/>
      <c r="G545" s="98"/>
      <c r="H545" s="98"/>
      <c r="I545" s="98"/>
      <c r="J545" s="98"/>
      <c r="K545" s="98"/>
      <c r="L545" s="98"/>
    </row>
    <row r="546">
      <c r="A546" s="98"/>
      <c r="B546" s="98"/>
      <c r="C546" s="98"/>
      <c r="D546" s="98"/>
      <c r="E546" s="98"/>
      <c r="F546" s="98"/>
      <c r="G546" s="98"/>
      <c r="H546" s="98"/>
      <c r="I546" s="98"/>
      <c r="J546" s="98"/>
      <c r="K546" s="98"/>
      <c r="L546" s="98"/>
    </row>
    <row r="547">
      <c r="A547" s="98"/>
      <c r="B547" s="98"/>
      <c r="C547" s="98"/>
      <c r="D547" s="98"/>
      <c r="E547" s="98"/>
      <c r="F547" s="98"/>
      <c r="G547" s="98"/>
      <c r="H547" s="98"/>
      <c r="I547" s="98"/>
      <c r="J547" s="98"/>
      <c r="K547" s="98"/>
      <c r="L547" s="98"/>
    </row>
    <row r="548">
      <c r="A548" s="98"/>
      <c r="B548" s="98"/>
      <c r="C548" s="98"/>
      <c r="D548" s="98"/>
      <c r="E548" s="98"/>
      <c r="F548" s="98"/>
      <c r="G548" s="98"/>
      <c r="H548" s="98"/>
      <c r="I548" s="98"/>
      <c r="J548" s="98"/>
      <c r="K548" s="98"/>
      <c r="L548" s="98"/>
    </row>
    <row r="549">
      <c r="A549" s="98"/>
      <c r="B549" s="98"/>
      <c r="C549" s="98"/>
      <c r="D549" s="98"/>
      <c r="E549" s="98"/>
      <c r="F549" s="98"/>
      <c r="G549" s="98"/>
      <c r="H549" s="98"/>
      <c r="I549" s="98"/>
      <c r="J549" s="98"/>
      <c r="K549" s="98"/>
      <c r="L549" s="98"/>
    </row>
    <row r="550">
      <c r="A550" s="98"/>
      <c r="B550" s="98"/>
      <c r="C550" s="98"/>
      <c r="D550" s="98"/>
      <c r="E550" s="98"/>
      <c r="F550" s="98"/>
      <c r="G550" s="98"/>
      <c r="H550" s="98"/>
      <c r="I550" s="98"/>
      <c r="J550" s="98"/>
      <c r="K550" s="98"/>
      <c r="L550" s="98"/>
    </row>
    <row r="551">
      <c r="A551" s="98"/>
      <c r="B551" s="98"/>
      <c r="C551" s="98"/>
      <c r="D551" s="98"/>
      <c r="E551" s="98"/>
      <c r="F551" s="98"/>
      <c r="G551" s="98"/>
      <c r="H551" s="98"/>
      <c r="I551" s="98"/>
      <c r="J551" s="98"/>
      <c r="K551" s="98"/>
      <c r="L551" s="98"/>
    </row>
    <row r="552">
      <c r="A552" s="98"/>
      <c r="B552" s="98"/>
      <c r="C552" s="98"/>
      <c r="D552" s="98"/>
      <c r="E552" s="98"/>
      <c r="F552" s="98"/>
      <c r="G552" s="98"/>
      <c r="H552" s="98"/>
      <c r="I552" s="98"/>
      <c r="J552" s="98"/>
      <c r="K552" s="98"/>
      <c r="L552" s="98"/>
    </row>
    <row r="553">
      <c r="A553" s="98"/>
      <c r="B553" s="98"/>
      <c r="C553" s="98"/>
      <c r="D553" s="98"/>
      <c r="E553" s="98"/>
      <c r="F553" s="98"/>
      <c r="G553" s="98"/>
      <c r="H553" s="98"/>
      <c r="I553" s="98"/>
      <c r="J553" s="98"/>
      <c r="K553" s="98"/>
      <c r="L553" s="98"/>
    </row>
    <row r="554">
      <c r="A554" s="98"/>
      <c r="B554" s="98"/>
      <c r="C554" s="98"/>
      <c r="D554" s="98"/>
      <c r="E554" s="98"/>
      <c r="F554" s="98"/>
      <c r="G554" s="98"/>
      <c r="H554" s="98"/>
      <c r="I554" s="98"/>
      <c r="J554" s="98"/>
      <c r="K554" s="98"/>
      <c r="L554" s="98"/>
    </row>
    <row r="555">
      <c r="A555" s="98"/>
      <c r="B555" s="98"/>
      <c r="C555" s="98"/>
      <c r="D555" s="98"/>
      <c r="E555" s="98"/>
      <c r="F555" s="98"/>
      <c r="G555" s="98"/>
      <c r="H555" s="98"/>
      <c r="I555" s="98"/>
      <c r="J555" s="98"/>
      <c r="K555" s="98"/>
      <c r="L555" s="98"/>
    </row>
    <row r="556">
      <c r="A556" s="98"/>
      <c r="B556" s="98"/>
      <c r="C556" s="98"/>
      <c r="D556" s="98"/>
      <c r="E556" s="98"/>
      <c r="F556" s="98"/>
      <c r="G556" s="98"/>
      <c r="H556" s="98"/>
      <c r="I556" s="98"/>
      <c r="J556" s="98"/>
      <c r="K556" s="98"/>
      <c r="L556" s="98"/>
    </row>
    <row r="557">
      <c r="A557" s="98"/>
      <c r="B557" s="98"/>
      <c r="C557" s="98"/>
      <c r="D557" s="98"/>
      <c r="E557" s="98"/>
      <c r="F557" s="98"/>
      <c r="G557" s="98"/>
      <c r="H557" s="98"/>
      <c r="I557" s="98"/>
      <c r="J557" s="98"/>
      <c r="K557" s="98"/>
      <c r="L557" s="98"/>
    </row>
    <row r="558">
      <c r="A558" s="98"/>
      <c r="B558" s="98"/>
      <c r="C558" s="98"/>
      <c r="D558" s="98"/>
      <c r="E558" s="98"/>
      <c r="F558" s="98"/>
      <c r="G558" s="98"/>
      <c r="H558" s="98"/>
      <c r="I558" s="98"/>
      <c r="J558" s="98"/>
      <c r="K558" s="98"/>
      <c r="L558" s="98"/>
    </row>
    <row r="559">
      <c r="A559" s="98"/>
      <c r="B559" s="98"/>
      <c r="C559" s="98"/>
      <c r="D559" s="98"/>
      <c r="E559" s="98"/>
      <c r="F559" s="98"/>
      <c r="G559" s="98"/>
      <c r="H559" s="98"/>
      <c r="I559" s="98"/>
      <c r="J559" s="98"/>
      <c r="K559" s="98"/>
      <c r="L559" s="98"/>
    </row>
    <row r="560">
      <c r="A560" s="98"/>
      <c r="B560" s="98"/>
      <c r="C560" s="98"/>
      <c r="D560" s="98"/>
      <c r="E560" s="98"/>
      <c r="F560" s="98"/>
      <c r="G560" s="98"/>
      <c r="H560" s="98"/>
      <c r="I560" s="98"/>
      <c r="J560" s="98"/>
      <c r="K560" s="98"/>
      <c r="L560" s="98"/>
    </row>
    <row r="561">
      <c r="A561" s="98"/>
      <c r="B561" s="98"/>
      <c r="C561" s="98"/>
      <c r="D561" s="98"/>
      <c r="E561" s="98"/>
      <c r="F561" s="98"/>
      <c r="G561" s="98"/>
      <c r="H561" s="98"/>
      <c r="I561" s="98"/>
      <c r="J561" s="98"/>
      <c r="K561" s="98"/>
      <c r="L561" s="98"/>
    </row>
    <row r="562">
      <c r="A562" s="98"/>
      <c r="B562" s="98"/>
      <c r="C562" s="98"/>
      <c r="D562" s="98"/>
      <c r="E562" s="98"/>
      <c r="F562" s="98"/>
      <c r="G562" s="98"/>
      <c r="H562" s="98"/>
      <c r="I562" s="98"/>
      <c r="J562" s="98"/>
      <c r="K562" s="98"/>
      <c r="L562" s="98"/>
    </row>
    <row r="563">
      <c r="A563" s="98"/>
      <c r="B563" s="98"/>
      <c r="C563" s="98"/>
      <c r="D563" s="98"/>
      <c r="E563" s="98"/>
      <c r="F563" s="98"/>
      <c r="G563" s="98"/>
      <c r="H563" s="98"/>
      <c r="I563" s="98"/>
      <c r="J563" s="98"/>
      <c r="K563" s="98"/>
      <c r="L563" s="98"/>
    </row>
    <row r="564">
      <c r="A564" s="98"/>
      <c r="B564" s="98"/>
      <c r="C564" s="98"/>
      <c r="D564" s="98"/>
      <c r="E564" s="98"/>
      <c r="F564" s="98"/>
      <c r="G564" s="98"/>
      <c r="H564" s="98"/>
      <c r="I564" s="98"/>
      <c r="J564" s="98"/>
      <c r="K564" s="98"/>
      <c r="L564" s="98"/>
    </row>
    <row r="565">
      <c r="A565" s="98"/>
      <c r="B565" s="98"/>
      <c r="C565" s="98"/>
      <c r="D565" s="98"/>
      <c r="E565" s="98"/>
      <c r="F565" s="98"/>
      <c r="G565" s="98"/>
      <c r="H565" s="98"/>
      <c r="I565" s="98"/>
      <c r="J565" s="98"/>
      <c r="K565" s="98"/>
      <c r="L565" s="98"/>
    </row>
    <row r="566">
      <c r="A566" s="98"/>
      <c r="B566" s="98"/>
      <c r="C566" s="98"/>
      <c r="D566" s="98"/>
      <c r="E566" s="98"/>
      <c r="F566" s="98"/>
      <c r="G566" s="98"/>
      <c r="H566" s="98"/>
      <c r="I566" s="98"/>
      <c r="J566" s="98"/>
      <c r="K566" s="98"/>
      <c r="L566" s="98"/>
    </row>
    <row r="567">
      <c r="A567" s="98"/>
      <c r="B567" s="98"/>
      <c r="C567" s="98"/>
      <c r="D567" s="98"/>
      <c r="E567" s="98"/>
      <c r="F567" s="98"/>
      <c r="G567" s="98"/>
      <c r="H567" s="98"/>
      <c r="I567" s="98"/>
      <c r="J567" s="98"/>
      <c r="K567" s="98"/>
      <c r="L567" s="98"/>
    </row>
    <row r="568">
      <c r="A568" s="98"/>
      <c r="B568" s="98"/>
      <c r="C568" s="98"/>
      <c r="D568" s="98"/>
      <c r="E568" s="98"/>
      <c r="F568" s="98"/>
      <c r="G568" s="98"/>
      <c r="H568" s="98"/>
      <c r="I568" s="98"/>
      <c r="J568" s="98"/>
      <c r="K568" s="98"/>
      <c r="L568" s="98"/>
    </row>
    <row r="569">
      <c r="A569" s="98"/>
      <c r="B569" s="98"/>
      <c r="C569" s="98"/>
      <c r="D569" s="98"/>
      <c r="E569" s="98"/>
      <c r="F569" s="98"/>
      <c r="G569" s="98"/>
      <c r="H569" s="98"/>
      <c r="I569" s="98"/>
      <c r="J569" s="98"/>
      <c r="K569" s="98"/>
      <c r="L569" s="98"/>
    </row>
    <row r="570">
      <c r="A570" s="98"/>
      <c r="B570" s="98"/>
      <c r="C570" s="98"/>
      <c r="D570" s="98"/>
      <c r="E570" s="98"/>
      <c r="F570" s="98"/>
      <c r="G570" s="98"/>
      <c r="H570" s="98"/>
      <c r="I570" s="98"/>
      <c r="J570" s="98"/>
      <c r="K570" s="98"/>
      <c r="L570" s="98"/>
    </row>
    <row r="571">
      <c r="A571" s="98"/>
      <c r="B571" s="98"/>
      <c r="C571" s="98"/>
      <c r="D571" s="98"/>
      <c r="E571" s="98"/>
      <c r="F571" s="98"/>
      <c r="G571" s="98"/>
      <c r="H571" s="98"/>
      <c r="I571" s="98"/>
      <c r="J571" s="98"/>
      <c r="K571" s="98"/>
      <c r="L571" s="98"/>
    </row>
    <row r="572">
      <c r="A572" s="98"/>
      <c r="B572" s="98"/>
      <c r="C572" s="98"/>
      <c r="D572" s="98"/>
      <c r="E572" s="98"/>
      <c r="F572" s="98"/>
      <c r="G572" s="98"/>
      <c r="H572" s="98"/>
      <c r="I572" s="98"/>
      <c r="J572" s="98"/>
      <c r="K572" s="98"/>
      <c r="L572" s="98"/>
    </row>
    <row r="573">
      <c r="A573" s="98"/>
      <c r="B573" s="98"/>
      <c r="C573" s="98"/>
      <c r="D573" s="98"/>
      <c r="E573" s="98"/>
      <c r="F573" s="98"/>
      <c r="G573" s="98"/>
      <c r="H573" s="98"/>
      <c r="I573" s="98"/>
      <c r="J573" s="98"/>
      <c r="K573" s="98"/>
      <c r="L573" s="98"/>
    </row>
    <row r="574">
      <c r="A574" s="98"/>
      <c r="B574" s="98"/>
      <c r="C574" s="98"/>
      <c r="D574" s="98"/>
      <c r="E574" s="98"/>
      <c r="F574" s="98"/>
      <c r="G574" s="98"/>
      <c r="H574" s="98"/>
      <c r="I574" s="98"/>
      <c r="J574" s="98"/>
      <c r="K574" s="98"/>
      <c r="L574" s="98"/>
    </row>
    <row r="575">
      <c r="A575" s="98"/>
      <c r="B575" s="98"/>
      <c r="C575" s="98"/>
      <c r="D575" s="98"/>
      <c r="E575" s="98"/>
      <c r="F575" s="98"/>
      <c r="G575" s="98"/>
      <c r="H575" s="98"/>
      <c r="I575" s="98"/>
      <c r="J575" s="98"/>
      <c r="K575" s="98"/>
      <c r="L575" s="98"/>
    </row>
    <row r="576">
      <c r="A576" s="98"/>
      <c r="B576" s="98"/>
      <c r="C576" s="98"/>
      <c r="D576" s="98"/>
      <c r="E576" s="98"/>
      <c r="F576" s="98"/>
      <c r="G576" s="98"/>
      <c r="H576" s="98"/>
      <c r="I576" s="98"/>
      <c r="J576" s="98"/>
      <c r="K576" s="98"/>
      <c r="L576" s="98"/>
    </row>
    <row r="577">
      <c r="A577" s="98"/>
      <c r="B577" s="98"/>
      <c r="C577" s="98"/>
      <c r="D577" s="98"/>
      <c r="E577" s="98"/>
      <c r="F577" s="98"/>
      <c r="G577" s="98"/>
      <c r="H577" s="98"/>
      <c r="I577" s="98"/>
      <c r="J577" s="98"/>
      <c r="K577" s="98"/>
      <c r="L577" s="98"/>
    </row>
    <row r="578">
      <c r="A578" s="98"/>
      <c r="B578" s="98"/>
      <c r="C578" s="98"/>
      <c r="D578" s="98"/>
      <c r="E578" s="98"/>
      <c r="F578" s="98"/>
      <c r="G578" s="98"/>
      <c r="H578" s="98"/>
      <c r="I578" s="98"/>
      <c r="J578" s="98"/>
      <c r="K578" s="98"/>
      <c r="L578" s="98"/>
    </row>
    <row r="579">
      <c r="A579" s="98"/>
      <c r="B579" s="98"/>
      <c r="C579" s="98"/>
      <c r="D579" s="98"/>
      <c r="E579" s="98"/>
      <c r="F579" s="98"/>
      <c r="G579" s="98"/>
      <c r="H579" s="98"/>
      <c r="I579" s="98"/>
      <c r="J579" s="98"/>
      <c r="K579" s="98"/>
      <c r="L579" s="98"/>
    </row>
    <row r="580">
      <c r="A580" s="98"/>
      <c r="B580" s="98"/>
      <c r="C580" s="98"/>
      <c r="D580" s="98"/>
      <c r="E580" s="98"/>
      <c r="F580" s="98"/>
      <c r="G580" s="98"/>
      <c r="H580" s="98"/>
      <c r="I580" s="98"/>
      <c r="J580" s="98"/>
      <c r="K580" s="98"/>
      <c r="L580" s="98"/>
    </row>
    <row r="581">
      <c r="A581" s="98"/>
      <c r="B581" s="98"/>
      <c r="C581" s="98"/>
      <c r="D581" s="98"/>
      <c r="E581" s="98"/>
      <c r="F581" s="98"/>
      <c r="G581" s="98"/>
      <c r="H581" s="98"/>
      <c r="I581" s="98"/>
      <c r="J581" s="98"/>
      <c r="K581" s="98"/>
      <c r="L581" s="98"/>
    </row>
    <row r="582">
      <c r="A582" s="98"/>
      <c r="B582" s="98"/>
      <c r="C582" s="98"/>
      <c r="D582" s="98"/>
      <c r="E582" s="98"/>
      <c r="F582" s="98"/>
      <c r="G582" s="98"/>
      <c r="H582" s="98"/>
      <c r="I582" s="98"/>
      <c r="J582" s="98"/>
      <c r="K582" s="98"/>
      <c r="L582" s="98"/>
    </row>
    <row r="583">
      <c r="A583" s="98"/>
      <c r="B583" s="98"/>
      <c r="C583" s="98"/>
      <c r="D583" s="98"/>
      <c r="E583" s="98"/>
      <c r="F583" s="98"/>
      <c r="G583" s="98"/>
      <c r="H583" s="98"/>
      <c r="I583" s="98"/>
      <c r="J583" s="98"/>
      <c r="K583" s="98"/>
      <c r="L583" s="98"/>
    </row>
    <row r="584">
      <c r="A584" s="98"/>
      <c r="B584" s="98"/>
      <c r="C584" s="98"/>
      <c r="D584" s="98"/>
      <c r="E584" s="98"/>
      <c r="F584" s="98"/>
      <c r="G584" s="98"/>
      <c r="H584" s="98"/>
      <c r="I584" s="98"/>
      <c r="J584" s="98"/>
      <c r="K584" s="98"/>
      <c r="L584" s="98"/>
    </row>
    <row r="585">
      <c r="A585" s="98"/>
      <c r="B585" s="98"/>
      <c r="C585" s="98"/>
      <c r="D585" s="98"/>
      <c r="E585" s="98"/>
      <c r="F585" s="98"/>
      <c r="G585" s="98"/>
      <c r="H585" s="98"/>
      <c r="I585" s="98"/>
      <c r="J585" s="98"/>
      <c r="K585" s="98"/>
      <c r="L585" s="98"/>
    </row>
    <row r="586">
      <c r="A586" s="98"/>
      <c r="B586" s="98"/>
      <c r="C586" s="98"/>
      <c r="D586" s="98"/>
      <c r="E586" s="98"/>
      <c r="F586" s="98"/>
      <c r="G586" s="98"/>
      <c r="H586" s="98"/>
      <c r="I586" s="98"/>
      <c r="J586" s="98"/>
      <c r="K586" s="98"/>
      <c r="L586" s="98"/>
    </row>
    <row r="587">
      <c r="A587" s="98"/>
      <c r="B587" s="98"/>
      <c r="C587" s="98"/>
      <c r="D587" s="98"/>
      <c r="E587" s="98"/>
      <c r="F587" s="98"/>
      <c r="G587" s="98"/>
      <c r="H587" s="98"/>
      <c r="I587" s="98"/>
      <c r="J587" s="98"/>
      <c r="K587" s="98"/>
      <c r="L587" s="98"/>
    </row>
    <row r="588">
      <c r="A588" s="98"/>
      <c r="B588" s="98"/>
      <c r="C588" s="98"/>
      <c r="D588" s="98"/>
      <c r="E588" s="98"/>
      <c r="F588" s="98"/>
      <c r="G588" s="98"/>
      <c r="H588" s="98"/>
      <c r="I588" s="98"/>
      <c r="J588" s="98"/>
      <c r="K588" s="98"/>
      <c r="L588" s="98"/>
    </row>
    <row r="589">
      <c r="A589" s="98"/>
      <c r="B589" s="98"/>
      <c r="C589" s="98"/>
      <c r="D589" s="98"/>
      <c r="E589" s="98"/>
      <c r="F589" s="98"/>
      <c r="G589" s="98"/>
      <c r="H589" s="98"/>
      <c r="I589" s="98"/>
      <c r="J589" s="98"/>
      <c r="K589" s="98"/>
      <c r="L589" s="98"/>
    </row>
    <row r="590">
      <c r="A590" s="98"/>
      <c r="B590" s="98"/>
      <c r="C590" s="98"/>
      <c r="D590" s="98"/>
      <c r="E590" s="98"/>
      <c r="F590" s="98"/>
      <c r="G590" s="98"/>
      <c r="H590" s="98"/>
      <c r="I590" s="98"/>
      <c r="J590" s="98"/>
      <c r="K590" s="98"/>
      <c r="L590" s="98"/>
    </row>
    <row r="591">
      <c r="A591" s="98"/>
      <c r="B591" s="98"/>
      <c r="C591" s="98"/>
      <c r="D591" s="98"/>
      <c r="E591" s="98"/>
      <c r="F591" s="98"/>
      <c r="G591" s="98"/>
      <c r="H591" s="98"/>
      <c r="I591" s="98"/>
      <c r="J591" s="98"/>
      <c r="K591" s="98"/>
      <c r="L591" s="98"/>
    </row>
    <row r="592">
      <c r="A592" s="98"/>
      <c r="B592" s="98"/>
      <c r="C592" s="98"/>
      <c r="D592" s="98"/>
      <c r="E592" s="98"/>
      <c r="F592" s="98"/>
      <c r="G592" s="98"/>
      <c r="H592" s="98"/>
      <c r="I592" s="98"/>
      <c r="J592" s="98"/>
      <c r="K592" s="98"/>
      <c r="L592" s="98"/>
    </row>
    <row r="593">
      <c r="A593" s="98"/>
      <c r="B593" s="98"/>
      <c r="C593" s="98"/>
      <c r="D593" s="98"/>
      <c r="E593" s="98"/>
      <c r="F593" s="98"/>
      <c r="G593" s="98"/>
      <c r="H593" s="98"/>
      <c r="I593" s="98"/>
      <c r="J593" s="98"/>
      <c r="K593" s="98"/>
      <c r="L593" s="98"/>
    </row>
    <row r="594">
      <c r="A594" s="98"/>
      <c r="B594" s="98"/>
      <c r="C594" s="98"/>
      <c r="D594" s="98"/>
      <c r="E594" s="98"/>
      <c r="F594" s="98"/>
      <c r="G594" s="98"/>
      <c r="H594" s="98"/>
      <c r="I594" s="98"/>
      <c r="J594" s="98"/>
      <c r="K594" s="98"/>
      <c r="L594" s="98"/>
    </row>
    <row r="595">
      <c r="A595" s="98"/>
      <c r="B595" s="98"/>
      <c r="C595" s="98"/>
      <c r="D595" s="98"/>
      <c r="E595" s="98"/>
      <c r="F595" s="98"/>
      <c r="G595" s="98"/>
      <c r="H595" s="98"/>
      <c r="I595" s="98"/>
      <c r="J595" s="98"/>
      <c r="K595" s="98"/>
      <c r="L595" s="98"/>
    </row>
    <row r="596">
      <c r="A596" s="98"/>
      <c r="B596" s="98"/>
      <c r="C596" s="98"/>
      <c r="D596" s="98"/>
      <c r="E596" s="98"/>
      <c r="F596" s="98"/>
      <c r="G596" s="98"/>
      <c r="H596" s="98"/>
      <c r="I596" s="98"/>
      <c r="J596" s="98"/>
      <c r="K596" s="98"/>
      <c r="L596" s="98"/>
    </row>
    <row r="597">
      <c r="A597" s="98"/>
      <c r="B597" s="98"/>
      <c r="C597" s="98"/>
      <c r="D597" s="98"/>
      <c r="E597" s="98"/>
      <c r="F597" s="98"/>
      <c r="G597" s="98"/>
      <c r="H597" s="98"/>
      <c r="I597" s="98"/>
      <c r="J597" s="98"/>
      <c r="K597" s="98"/>
      <c r="L597" s="98"/>
    </row>
    <row r="598">
      <c r="A598" s="98"/>
      <c r="B598" s="98"/>
      <c r="C598" s="98"/>
      <c r="D598" s="98"/>
      <c r="E598" s="98"/>
      <c r="F598" s="98"/>
      <c r="G598" s="98"/>
      <c r="H598" s="98"/>
      <c r="I598" s="98"/>
      <c r="J598" s="98"/>
      <c r="K598" s="98"/>
      <c r="L598" s="98"/>
    </row>
    <row r="599">
      <c r="A599" s="98"/>
      <c r="B599" s="98"/>
      <c r="C599" s="98"/>
      <c r="D599" s="98"/>
      <c r="E599" s="98"/>
      <c r="F599" s="98"/>
      <c r="G599" s="98"/>
      <c r="H599" s="98"/>
      <c r="I599" s="98"/>
      <c r="J599" s="98"/>
      <c r="K599" s="98"/>
      <c r="L599" s="98"/>
    </row>
    <row r="600">
      <c r="A600" s="98"/>
      <c r="B600" s="98"/>
      <c r="C600" s="98"/>
      <c r="D600" s="98"/>
      <c r="E600" s="98"/>
      <c r="F600" s="98"/>
      <c r="G600" s="98"/>
      <c r="H600" s="98"/>
      <c r="I600" s="98"/>
      <c r="J600" s="98"/>
      <c r="K600" s="98"/>
      <c r="L600" s="98"/>
    </row>
    <row r="601">
      <c r="A601" s="98"/>
      <c r="B601" s="98"/>
      <c r="C601" s="98"/>
      <c r="D601" s="98"/>
      <c r="E601" s="98"/>
      <c r="F601" s="98"/>
      <c r="G601" s="98"/>
      <c r="H601" s="98"/>
      <c r="I601" s="98"/>
      <c r="J601" s="98"/>
      <c r="K601" s="98"/>
      <c r="L601" s="98"/>
    </row>
    <row r="602">
      <c r="A602" s="98"/>
      <c r="B602" s="98"/>
      <c r="C602" s="98"/>
      <c r="D602" s="98"/>
      <c r="E602" s="98"/>
      <c r="F602" s="98"/>
      <c r="G602" s="98"/>
      <c r="H602" s="98"/>
      <c r="I602" s="98"/>
      <c r="J602" s="98"/>
      <c r="K602" s="98"/>
      <c r="L602" s="98"/>
    </row>
    <row r="603">
      <c r="A603" s="98"/>
      <c r="B603" s="98"/>
      <c r="C603" s="98"/>
      <c r="D603" s="98"/>
      <c r="E603" s="98"/>
      <c r="F603" s="98"/>
      <c r="G603" s="98"/>
      <c r="H603" s="98"/>
      <c r="I603" s="98"/>
      <c r="J603" s="98"/>
      <c r="K603" s="98"/>
      <c r="L603" s="98"/>
    </row>
    <row r="604">
      <c r="A604" s="98"/>
      <c r="B604" s="98"/>
      <c r="C604" s="98"/>
      <c r="D604" s="98"/>
      <c r="E604" s="98"/>
      <c r="F604" s="98"/>
      <c r="G604" s="98"/>
      <c r="H604" s="98"/>
      <c r="I604" s="98"/>
      <c r="J604" s="98"/>
      <c r="K604" s="98"/>
      <c r="L604" s="98"/>
    </row>
    <row r="605">
      <c r="A605" s="98"/>
      <c r="B605" s="98"/>
      <c r="C605" s="98"/>
      <c r="D605" s="98"/>
      <c r="E605" s="98"/>
      <c r="F605" s="98"/>
      <c r="G605" s="98"/>
      <c r="H605" s="98"/>
      <c r="I605" s="98"/>
      <c r="J605" s="98"/>
      <c r="K605" s="98"/>
      <c r="L605" s="98"/>
    </row>
    <row r="606">
      <c r="A606" s="98"/>
      <c r="B606" s="98"/>
      <c r="C606" s="98"/>
      <c r="D606" s="98"/>
      <c r="E606" s="98"/>
      <c r="F606" s="98"/>
      <c r="G606" s="98"/>
      <c r="H606" s="98"/>
      <c r="I606" s="98"/>
      <c r="J606" s="98"/>
      <c r="K606" s="98"/>
      <c r="L606" s="98"/>
    </row>
    <row r="607">
      <c r="A607" s="98"/>
      <c r="B607" s="98"/>
      <c r="C607" s="98"/>
      <c r="D607" s="98"/>
      <c r="E607" s="98"/>
      <c r="F607" s="98"/>
      <c r="G607" s="98"/>
      <c r="H607" s="98"/>
      <c r="I607" s="98"/>
      <c r="J607" s="98"/>
      <c r="K607" s="98"/>
      <c r="L607" s="98"/>
    </row>
    <row r="608">
      <c r="A608" s="98"/>
      <c r="B608" s="98"/>
      <c r="C608" s="98"/>
      <c r="D608" s="98"/>
      <c r="E608" s="98"/>
      <c r="F608" s="98"/>
      <c r="G608" s="98"/>
      <c r="H608" s="98"/>
      <c r="I608" s="98"/>
      <c r="J608" s="98"/>
      <c r="K608" s="98"/>
      <c r="L608" s="98"/>
    </row>
    <row r="609">
      <c r="A609" s="98"/>
      <c r="B609" s="98"/>
      <c r="C609" s="98"/>
      <c r="D609" s="98"/>
      <c r="E609" s="98"/>
      <c r="F609" s="98"/>
      <c r="G609" s="98"/>
      <c r="H609" s="98"/>
      <c r="I609" s="98"/>
      <c r="J609" s="98"/>
      <c r="K609" s="98"/>
      <c r="L609" s="98"/>
    </row>
    <row r="610">
      <c r="A610" s="98"/>
      <c r="B610" s="98"/>
      <c r="C610" s="98"/>
      <c r="D610" s="98"/>
      <c r="E610" s="98"/>
      <c r="F610" s="98"/>
      <c r="G610" s="98"/>
      <c r="H610" s="98"/>
      <c r="I610" s="98"/>
      <c r="J610" s="98"/>
      <c r="K610" s="98"/>
      <c r="L610" s="98"/>
    </row>
    <row r="611">
      <c r="A611" s="98"/>
      <c r="B611" s="98"/>
      <c r="C611" s="98"/>
      <c r="D611" s="98"/>
      <c r="E611" s="98"/>
      <c r="F611" s="98"/>
      <c r="G611" s="98"/>
      <c r="H611" s="98"/>
      <c r="I611" s="98"/>
      <c r="J611" s="98"/>
      <c r="K611" s="98"/>
      <c r="L611" s="98"/>
    </row>
    <row r="612">
      <c r="A612" s="98"/>
      <c r="B612" s="98"/>
      <c r="C612" s="98"/>
      <c r="D612" s="98"/>
      <c r="E612" s="98"/>
      <c r="F612" s="98"/>
      <c r="G612" s="98"/>
      <c r="H612" s="98"/>
      <c r="I612" s="98"/>
      <c r="J612" s="98"/>
      <c r="K612" s="98"/>
      <c r="L612" s="98"/>
    </row>
    <row r="613">
      <c r="A613" s="98"/>
      <c r="B613" s="98"/>
      <c r="C613" s="98"/>
      <c r="D613" s="98"/>
      <c r="E613" s="98"/>
      <c r="F613" s="98"/>
      <c r="G613" s="98"/>
      <c r="H613" s="98"/>
      <c r="I613" s="98"/>
      <c r="J613" s="98"/>
      <c r="K613" s="98"/>
      <c r="L613" s="98"/>
    </row>
    <row r="614">
      <c r="A614" s="98"/>
      <c r="B614" s="98"/>
      <c r="C614" s="98"/>
      <c r="D614" s="98"/>
      <c r="E614" s="98"/>
      <c r="F614" s="98"/>
      <c r="G614" s="98"/>
      <c r="H614" s="98"/>
      <c r="I614" s="98"/>
      <c r="J614" s="98"/>
      <c r="K614" s="98"/>
      <c r="L614" s="98"/>
    </row>
    <row r="615">
      <c r="A615" s="98"/>
      <c r="B615" s="98"/>
      <c r="C615" s="98"/>
      <c r="D615" s="98"/>
      <c r="E615" s="98"/>
      <c r="F615" s="98"/>
      <c r="G615" s="98"/>
      <c r="H615" s="98"/>
      <c r="I615" s="98"/>
      <c r="J615" s="98"/>
      <c r="K615" s="98"/>
      <c r="L615" s="98"/>
    </row>
    <row r="616">
      <c r="A616" s="98"/>
      <c r="B616" s="98"/>
      <c r="C616" s="98"/>
      <c r="D616" s="98"/>
      <c r="E616" s="98"/>
      <c r="F616" s="98"/>
      <c r="G616" s="98"/>
      <c r="H616" s="98"/>
      <c r="I616" s="98"/>
      <c r="J616" s="98"/>
      <c r="K616" s="98"/>
      <c r="L616" s="98"/>
    </row>
    <row r="617">
      <c r="A617" s="98"/>
      <c r="B617" s="98"/>
      <c r="C617" s="98"/>
      <c r="D617" s="98"/>
      <c r="E617" s="98"/>
      <c r="F617" s="98"/>
      <c r="G617" s="98"/>
      <c r="H617" s="98"/>
      <c r="I617" s="98"/>
      <c r="J617" s="98"/>
      <c r="K617" s="98"/>
      <c r="L617" s="98"/>
    </row>
    <row r="618">
      <c r="A618" s="98"/>
      <c r="B618" s="98"/>
      <c r="C618" s="98"/>
      <c r="D618" s="98"/>
      <c r="E618" s="98"/>
      <c r="F618" s="98"/>
      <c r="G618" s="98"/>
      <c r="H618" s="98"/>
      <c r="I618" s="98"/>
      <c r="J618" s="98"/>
      <c r="K618" s="98"/>
      <c r="L618" s="98"/>
    </row>
    <row r="619">
      <c r="A619" s="98"/>
      <c r="B619" s="98"/>
      <c r="C619" s="98"/>
      <c r="D619" s="98"/>
      <c r="E619" s="98"/>
      <c r="F619" s="98"/>
      <c r="G619" s="98"/>
      <c r="H619" s="98"/>
      <c r="I619" s="98"/>
      <c r="J619" s="98"/>
      <c r="K619" s="98"/>
      <c r="L619" s="98"/>
    </row>
    <row r="620">
      <c r="A620" s="98"/>
      <c r="B620" s="98"/>
      <c r="C620" s="98"/>
      <c r="D620" s="98"/>
      <c r="E620" s="98"/>
      <c r="F620" s="98"/>
      <c r="G620" s="98"/>
      <c r="H620" s="98"/>
      <c r="I620" s="98"/>
      <c r="J620" s="98"/>
      <c r="K620" s="98"/>
      <c r="L620" s="98"/>
    </row>
    <row r="621">
      <c r="A621" s="98"/>
      <c r="B621" s="98"/>
      <c r="C621" s="98"/>
      <c r="D621" s="98"/>
      <c r="E621" s="98"/>
      <c r="F621" s="98"/>
      <c r="G621" s="98"/>
      <c r="H621" s="98"/>
      <c r="I621" s="98"/>
      <c r="J621" s="98"/>
      <c r="K621" s="98"/>
      <c r="L621" s="98"/>
    </row>
    <row r="622">
      <c r="A622" s="98"/>
      <c r="B622" s="98"/>
      <c r="C622" s="98"/>
      <c r="D622" s="98"/>
      <c r="E622" s="98"/>
      <c r="F622" s="98"/>
      <c r="G622" s="98"/>
      <c r="H622" s="98"/>
      <c r="I622" s="98"/>
      <c r="J622" s="98"/>
      <c r="K622" s="98"/>
      <c r="L622" s="98"/>
    </row>
    <row r="623">
      <c r="A623" s="98"/>
      <c r="B623" s="98"/>
      <c r="C623" s="98"/>
      <c r="D623" s="98"/>
      <c r="E623" s="98"/>
      <c r="F623" s="98"/>
      <c r="G623" s="98"/>
      <c r="H623" s="98"/>
      <c r="I623" s="98"/>
      <c r="J623" s="98"/>
      <c r="K623" s="98"/>
      <c r="L623" s="98"/>
    </row>
    <row r="624">
      <c r="A624" s="98"/>
      <c r="B624" s="98"/>
      <c r="C624" s="98"/>
      <c r="D624" s="98"/>
      <c r="E624" s="98"/>
      <c r="F624" s="98"/>
      <c r="G624" s="98"/>
      <c r="H624" s="98"/>
      <c r="I624" s="98"/>
      <c r="J624" s="98"/>
      <c r="K624" s="98"/>
      <c r="L624" s="98"/>
    </row>
    <row r="625">
      <c r="A625" s="98"/>
      <c r="B625" s="98"/>
      <c r="C625" s="98"/>
      <c r="D625" s="98"/>
      <c r="E625" s="98"/>
      <c r="F625" s="98"/>
      <c r="G625" s="98"/>
      <c r="H625" s="98"/>
      <c r="I625" s="98"/>
      <c r="J625" s="98"/>
      <c r="K625" s="98"/>
      <c r="L625" s="98"/>
    </row>
    <row r="626">
      <c r="A626" s="98"/>
      <c r="B626" s="98"/>
      <c r="C626" s="98"/>
      <c r="D626" s="98"/>
      <c r="E626" s="98"/>
      <c r="F626" s="98"/>
      <c r="G626" s="98"/>
      <c r="H626" s="98"/>
      <c r="I626" s="98"/>
      <c r="J626" s="98"/>
      <c r="K626" s="98"/>
      <c r="L626" s="98"/>
    </row>
    <row r="627">
      <c r="A627" s="98"/>
      <c r="B627" s="98"/>
      <c r="C627" s="98"/>
      <c r="D627" s="98"/>
      <c r="E627" s="98"/>
      <c r="F627" s="98"/>
      <c r="G627" s="98"/>
      <c r="H627" s="98"/>
      <c r="I627" s="98"/>
      <c r="J627" s="98"/>
      <c r="K627" s="98"/>
      <c r="L627" s="98"/>
    </row>
    <row r="628">
      <c r="A628" s="98"/>
      <c r="B628" s="98"/>
      <c r="C628" s="98"/>
      <c r="D628" s="98"/>
      <c r="E628" s="98"/>
      <c r="F628" s="98"/>
      <c r="G628" s="98"/>
      <c r="H628" s="98"/>
      <c r="I628" s="98"/>
      <c r="J628" s="98"/>
      <c r="K628" s="98"/>
      <c r="L628" s="98"/>
    </row>
    <row r="629">
      <c r="A629" s="98"/>
      <c r="B629" s="98"/>
      <c r="C629" s="98"/>
      <c r="D629" s="98"/>
      <c r="E629" s="98"/>
      <c r="F629" s="98"/>
      <c r="G629" s="98"/>
      <c r="H629" s="98"/>
      <c r="I629" s="98"/>
      <c r="J629" s="98"/>
      <c r="K629" s="98"/>
      <c r="L629" s="98"/>
    </row>
    <row r="630">
      <c r="A630" s="98"/>
      <c r="B630" s="98"/>
      <c r="C630" s="98"/>
      <c r="D630" s="98"/>
      <c r="E630" s="98"/>
      <c r="F630" s="98"/>
      <c r="G630" s="98"/>
      <c r="H630" s="98"/>
      <c r="I630" s="98"/>
      <c r="J630" s="98"/>
      <c r="K630" s="98"/>
      <c r="L630" s="98"/>
    </row>
    <row r="631">
      <c r="A631" s="98"/>
      <c r="B631" s="98"/>
      <c r="C631" s="98"/>
      <c r="D631" s="98"/>
      <c r="E631" s="98"/>
      <c r="F631" s="98"/>
      <c r="G631" s="98"/>
      <c r="H631" s="98"/>
      <c r="I631" s="98"/>
      <c r="J631" s="98"/>
      <c r="K631" s="98"/>
      <c r="L631" s="98"/>
    </row>
    <row r="632">
      <c r="A632" s="98"/>
      <c r="B632" s="98"/>
      <c r="C632" s="98"/>
      <c r="D632" s="98"/>
      <c r="E632" s="98"/>
      <c r="F632" s="98"/>
      <c r="G632" s="98"/>
      <c r="H632" s="98"/>
      <c r="I632" s="98"/>
      <c r="J632" s="98"/>
      <c r="K632" s="98"/>
      <c r="L632" s="98"/>
    </row>
    <row r="633">
      <c r="A633" s="98"/>
      <c r="B633" s="98"/>
      <c r="C633" s="98"/>
      <c r="D633" s="98"/>
      <c r="E633" s="98"/>
      <c r="F633" s="98"/>
      <c r="G633" s="98"/>
      <c r="H633" s="98"/>
      <c r="I633" s="98"/>
      <c r="J633" s="98"/>
      <c r="K633" s="98"/>
      <c r="L633" s="98"/>
    </row>
    <row r="634">
      <c r="A634" s="98"/>
      <c r="B634" s="98"/>
      <c r="C634" s="98"/>
      <c r="D634" s="98"/>
      <c r="E634" s="98"/>
      <c r="F634" s="98"/>
      <c r="G634" s="98"/>
      <c r="H634" s="98"/>
      <c r="I634" s="98"/>
      <c r="J634" s="98"/>
      <c r="K634" s="98"/>
      <c r="L634" s="98"/>
    </row>
    <row r="635">
      <c r="A635" s="98"/>
      <c r="B635" s="98"/>
      <c r="C635" s="98"/>
      <c r="D635" s="98"/>
      <c r="E635" s="98"/>
      <c r="F635" s="98"/>
      <c r="G635" s="98"/>
      <c r="H635" s="98"/>
      <c r="I635" s="98"/>
      <c r="J635" s="98"/>
      <c r="K635" s="98"/>
      <c r="L635" s="98"/>
    </row>
    <row r="636">
      <c r="A636" s="98"/>
      <c r="B636" s="98"/>
      <c r="C636" s="98"/>
      <c r="D636" s="98"/>
      <c r="E636" s="98"/>
      <c r="F636" s="98"/>
      <c r="G636" s="98"/>
      <c r="H636" s="98"/>
      <c r="I636" s="98"/>
      <c r="J636" s="98"/>
      <c r="K636" s="98"/>
      <c r="L636" s="98"/>
    </row>
    <row r="637">
      <c r="A637" s="98"/>
      <c r="B637" s="98"/>
      <c r="C637" s="98"/>
      <c r="D637" s="98"/>
      <c r="E637" s="98"/>
      <c r="F637" s="98"/>
      <c r="G637" s="98"/>
      <c r="H637" s="98"/>
      <c r="I637" s="98"/>
      <c r="J637" s="98"/>
      <c r="K637" s="98"/>
      <c r="L637" s="98"/>
    </row>
    <row r="638">
      <c r="A638" s="98"/>
      <c r="B638" s="98"/>
      <c r="C638" s="98"/>
      <c r="D638" s="98"/>
      <c r="E638" s="98"/>
      <c r="F638" s="98"/>
      <c r="G638" s="98"/>
      <c r="H638" s="98"/>
      <c r="I638" s="98"/>
      <c r="J638" s="98"/>
      <c r="K638" s="98"/>
      <c r="L638" s="98"/>
    </row>
    <row r="639">
      <c r="A639" s="98"/>
      <c r="B639" s="98"/>
      <c r="C639" s="98"/>
      <c r="D639" s="98"/>
      <c r="E639" s="98"/>
      <c r="F639" s="98"/>
      <c r="G639" s="98"/>
      <c r="H639" s="98"/>
      <c r="I639" s="98"/>
      <c r="J639" s="98"/>
      <c r="K639" s="98"/>
      <c r="L639" s="98"/>
    </row>
    <row r="640">
      <c r="A640" s="98"/>
      <c r="B640" s="98"/>
      <c r="C640" s="98"/>
      <c r="D640" s="98"/>
      <c r="E640" s="98"/>
      <c r="F640" s="98"/>
      <c r="G640" s="98"/>
      <c r="H640" s="98"/>
      <c r="I640" s="98"/>
      <c r="J640" s="98"/>
      <c r="K640" s="98"/>
      <c r="L640" s="98"/>
    </row>
    <row r="641">
      <c r="A641" s="98"/>
      <c r="B641" s="98"/>
      <c r="C641" s="98"/>
      <c r="D641" s="98"/>
      <c r="E641" s="98"/>
      <c r="F641" s="98"/>
      <c r="G641" s="98"/>
      <c r="H641" s="98"/>
      <c r="I641" s="98"/>
      <c r="J641" s="98"/>
      <c r="K641" s="98"/>
      <c r="L641" s="98"/>
    </row>
    <row r="642">
      <c r="A642" s="98"/>
      <c r="B642" s="98"/>
      <c r="C642" s="98"/>
      <c r="D642" s="98"/>
      <c r="E642" s="98"/>
      <c r="F642" s="98"/>
      <c r="G642" s="98"/>
      <c r="H642" s="98"/>
      <c r="I642" s="98"/>
      <c r="J642" s="98"/>
      <c r="K642" s="98"/>
      <c r="L642" s="98"/>
    </row>
    <row r="643">
      <c r="A643" s="98"/>
      <c r="B643" s="98"/>
      <c r="C643" s="98"/>
      <c r="D643" s="98"/>
      <c r="E643" s="98"/>
      <c r="F643" s="98"/>
      <c r="G643" s="98"/>
      <c r="H643" s="98"/>
      <c r="I643" s="98"/>
      <c r="J643" s="98"/>
      <c r="K643" s="98"/>
      <c r="L643" s="98"/>
    </row>
    <row r="644">
      <c r="A644" s="98"/>
      <c r="B644" s="98"/>
      <c r="C644" s="98"/>
      <c r="D644" s="98"/>
      <c r="E644" s="98"/>
      <c r="F644" s="98"/>
      <c r="G644" s="98"/>
      <c r="H644" s="98"/>
      <c r="I644" s="98"/>
      <c r="J644" s="98"/>
      <c r="K644" s="98"/>
      <c r="L644" s="98"/>
    </row>
    <row r="645">
      <c r="A645" s="98"/>
      <c r="B645" s="98"/>
      <c r="C645" s="98"/>
      <c r="D645" s="98"/>
      <c r="E645" s="98"/>
      <c r="F645" s="98"/>
      <c r="G645" s="98"/>
      <c r="H645" s="98"/>
      <c r="I645" s="98"/>
      <c r="J645" s="98"/>
      <c r="K645" s="98"/>
      <c r="L645" s="98"/>
    </row>
    <row r="646">
      <c r="A646" s="98"/>
      <c r="B646" s="98"/>
      <c r="C646" s="98"/>
      <c r="D646" s="98"/>
      <c r="E646" s="98"/>
      <c r="F646" s="98"/>
      <c r="G646" s="98"/>
      <c r="H646" s="98"/>
      <c r="I646" s="98"/>
      <c r="J646" s="98"/>
      <c r="K646" s="98"/>
      <c r="L646" s="98"/>
    </row>
    <row r="647">
      <c r="A647" s="98"/>
      <c r="B647" s="98"/>
      <c r="C647" s="98"/>
      <c r="D647" s="98"/>
      <c r="E647" s="98"/>
      <c r="F647" s="98"/>
      <c r="G647" s="98"/>
      <c r="H647" s="98"/>
      <c r="I647" s="98"/>
      <c r="J647" s="98"/>
      <c r="K647" s="98"/>
      <c r="L647" s="98"/>
    </row>
    <row r="648">
      <c r="A648" s="98"/>
      <c r="B648" s="98"/>
      <c r="C648" s="98"/>
      <c r="D648" s="98"/>
      <c r="E648" s="98"/>
      <c r="F648" s="98"/>
      <c r="G648" s="98"/>
      <c r="H648" s="98"/>
      <c r="I648" s="98"/>
      <c r="J648" s="98"/>
      <c r="K648" s="98"/>
      <c r="L648" s="98"/>
    </row>
    <row r="649">
      <c r="A649" s="98"/>
      <c r="B649" s="98"/>
      <c r="C649" s="98"/>
      <c r="D649" s="98"/>
      <c r="E649" s="98"/>
      <c r="F649" s="98"/>
      <c r="G649" s="98"/>
      <c r="H649" s="98"/>
      <c r="I649" s="98"/>
      <c r="J649" s="98"/>
      <c r="K649" s="98"/>
      <c r="L649" s="98"/>
    </row>
    <row r="650">
      <c r="A650" s="98"/>
      <c r="B650" s="98"/>
      <c r="C650" s="98"/>
      <c r="D650" s="98"/>
      <c r="E650" s="98"/>
      <c r="F650" s="98"/>
      <c r="G650" s="98"/>
      <c r="H650" s="98"/>
      <c r="I650" s="98"/>
      <c r="J650" s="98"/>
      <c r="K650" s="98"/>
      <c r="L650" s="98"/>
    </row>
    <row r="651">
      <c r="A651" s="98"/>
      <c r="B651" s="98"/>
      <c r="C651" s="98"/>
      <c r="D651" s="98"/>
      <c r="E651" s="98"/>
      <c r="F651" s="98"/>
      <c r="G651" s="98"/>
      <c r="H651" s="98"/>
      <c r="I651" s="98"/>
      <c r="J651" s="98"/>
      <c r="K651" s="98"/>
      <c r="L651" s="98"/>
    </row>
    <row r="652">
      <c r="A652" s="98"/>
      <c r="B652" s="98"/>
      <c r="C652" s="98"/>
      <c r="D652" s="98"/>
      <c r="E652" s="98"/>
      <c r="F652" s="98"/>
      <c r="G652" s="98"/>
      <c r="H652" s="98"/>
      <c r="I652" s="98"/>
      <c r="J652" s="98"/>
      <c r="K652" s="98"/>
      <c r="L652" s="98"/>
    </row>
    <row r="653">
      <c r="A653" s="98"/>
      <c r="B653" s="98"/>
      <c r="C653" s="98"/>
      <c r="D653" s="98"/>
      <c r="E653" s="98"/>
      <c r="F653" s="98"/>
      <c r="G653" s="98"/>
      <c r="H653" s="98"/>
      <c r="I653" s="98"/>
      <c r="J653" s="98"/>
      <c r="K653" s="98"/>
      <c r="L653" s="98"/>
    </row>
    <row r="654">
      <c r="A654" s="98"/>
      <c r="B654" s="98"/>
      <c r="C654" s="98"/>
      <c r="D654" s="98"/>
      <c r="E654" s="98"/>
      <c r="F654" s="98"/>
      <c r="G654" s="98"/>
      <c r="H654" s="98"/>
      <c r="I654" s="98"/>
      <c r="J654" s="98"/>
      <c r="K654" s="98"/>
      <c r="L654" s="98"/>
    </row>
    <row r="655">
      <c r="A655" s="98"/>
      <c r="B655" s="98"/>
      <c r="C655" s="98"/>
      <c r="D655" s="98"/>
      <c r="E655" s="98"/>
      <c r="F655" s="98"/>
      <c r="G655" s="98"/>
      <c r="H655" s="98"/>
      <c r="I655" s="98"/>
      <c r="J655" s="98"/>
      <c r="K655" s="98"/>
      <c r="L655" s="98"/>
    </row>
    <row r="656">
      <c r="A656" s="98"/>
      <c r="B656" s="98"/>
      <c r="C656" s="98"/>
      <c r="D656" s="98"/>
      <c r="E656" s="98"/>
      <c r="F656" s="98"/>
      <c r="G656" s="98"/>
      <c r="H656" s="98"/>
      <c r="I656" s="98"/>
      <c r="J656" s="98"/>
      <c r="K656" s="98"/>
      <c r="L656" s="98"/>
    </row>
    <row r="657">
      <c r="A657" s="98"/>
      <c r="B657" s="98"/>
      <c r="C657" s="98"/>
      <c r="D657" s="98"/>
      <c r="E657" s="98"/>
      <c r="F657" s="98"/>
      <c r="G657" s="98"/>
      <c r="H657" s="98"/>
      <c r="I657" s="98"/>
      <c r="J657" s="98"/>
      <c r="K657" s="98"/>
      <c r="L657" s="98"/>
    </row>
    <row r="658">
      <c r="A658" s="98"/>
      <c r="B658" s="98"/>
      <c r="C658" s="98"/>
      <c r="D658" s="98"/>
      <c r="E658" s="98"/>
      <c r="F658" s="98"/>
      <c r="G658" s="98"/>
      <c r="H658" s="98"/>
      <c r="I658" s="98"/>
      <c r="J658" s="98"/>
      <c r="K658" s="98"/>
      <c r="L658" s="98"/>
    </row>
    <row r="659">
      <c r="A659" s="98"/>
      <c r="B659" s="98"/>
      <c r="C659" s="98"/>
      <c r="D659" s="98"/>
      <c r="E659" s="98"/>
      <c r="F659" s="98"/>
      <c r="G659" s="98"/>
      <c r="H659" s="98"/>
      <c r="I659" s="98"/>
      <c r="J659" s="98"/>
      <c r="K659" s="98"/>
      <c r="L659" s="98"/>
    </row>
    <row r="660">
      <c r="A660" s="98"/>
      <c r="B660" s="98"/>
      <c r="C660" s="98"/>
      <c r="D660" s="98"/>
      <c r="E660" s="98"/>
      <c r="F660" s="98"/>
      <c r="G660" s="98"/>
      <c r="H660" s="98"/>
      <c r="I660" s="98"/>
      <c r="J660" s="98"/>
      <c r="K660" s="98"/>
      <c r="L660" s="98"/>
    </row>
    <row r="661">
      <c r="A661" s="98"/>
      <c r="B661" s="98"/>
      <c r="C661" s="98"/>
      <c r="D661" s="98"/>
      <c r="E661" s="98"/>
      <c r="F661" s="98"/>
      <c r="G661" s="98"/>
      <c r="H661" s="98"/>
      <c r="I661" s="98"/>
      <c r="J661" s="98"/>
      <c r="K661" s="98"/>
      <c r="L661" s="98"/>
    </row>
    <row r="662">
      <c r="A662" s="98"/>
      <c r="B662" s="98"/>
      <c r="C662" s="98"/>
      <c r="D662" s="98"/>
      <c r="E662" s="98"/>
      <c r="F662" s="98"/>
      <c r="G662" s="98"/>
      <c r="H662" s="98"/>
      <c r="I662" s="98"/>
      <c r="J662" s="98"/>
      <c r="K662" s="98"/>
      <c r="L662" s="98"/>
    </row>
    <row r="663">
      <c r="A663" s="98"/>
      <c r="B663" s="98"/>
      <c r="C663" s="98"/>
      <c r="D663" s="98"/>
      <c r="E663" s="98"/>
      <c r="F663" s="98"/>
      <c r="G663" s="98"/>
      <c r="H663" s="98"/>
      <c r="I663" s="98"/>
      <c r="J663" s="98"/>
      <c r="K663" s="98"/>
      <c r="L663" s="98"/>
    </row>
    <row r="664">
      <c r="A664" s="98"/>
      <c r="B664" s="98"/>
      <c r="C664" s="98"/>
      <c r="D664" s="98"/>
      <c r="E664" s="98"/>
      <c r="F664" s="98"/>
      <c r="G664" s="98"/>
      <c r="H664" s="98"/>
      <c r="I664" s="98"/>
      <c r="J664" s="98"/>
      <c r="K664" s="98"/>
      <c r="L664" s="98"/>
    </row>
    <row r="665">
      <c r="A665" s="98"/>
      <c r="B665" s="98"/>
      <c r="C665" s="98"/>
      <c r="D665" s="98"/>
      <c r="E665" s="98"/>
      <c r="F665" s="98"/>
      <c r="G665" s="98"/>
      <c r="H665" s="98"/>
      <c r="I665" s="98"/>
      <c r="J665" s="98"/>
      <c r="K665" s="98"/>
      <c r="L665" s="98"/>
    </row>
    <row r="666">
      <c r="A666" s="98"/>
      <c r="B666" s="98"/>
      <c r="C666" s="98"/>
      <c r="D666" s="98"/>
      <c r="E666" s="98"/>
      <c r="F666" s="98"/>
      <c r="G666" s="98"/>
      <c r="H666" s="98"/>
      <c r="I666" s="98"/>
      <c r="J666" s="98"/>
      <c r="K666" s="98"/>
      <c r="L666" s="98"/>
    </row>
    <row r="667">
      <c r="A667" s="98"/>
      <c r="B667" s="98"/>
      <c r="C667" s="98"/>
      <c r="D667" s="98"/>
      <c r="E667" s="98"/>
      <c r="F667" s="98"/>
      <c r="G667" s="98"/>
      <c r="H667" s="98"/>
      <c r="I667" s="98"/>
      <c r="J667" s="98"/>
      <c r="K667" s="98"/>
      <c r="L667" s="98"/>
    </row>
    <row r="668">
      <c r="A668" s="98"/>
      <c r="B668" s="98"/>
      <c r="C668" s="98"/>
      <c r="D668" s="98"/>
      <c r="E668" s="98"/>
      <c r="F668" s="98"/>
      <c r="G668" s="98"/>
      <c r="H668" s="98"/>
      <c r="I668" s="98"/>
      <c r="J668" s="98"/>
      <c r="K668" s="98"/>
      <c r="L668" s="98"/>
    </row>
    <row r="669">
      <c r="A669" s="98"/>
      <c r="B669" s="98"/>
      <c r="C669" s="98"/>
      <c r="D669" s="98"/>
      <c r="E669" s="98"/>
      <c r="F669" s="98"/>
      <c r="G669" s="98"/>
      <c r="H669" s="98"/>
      <c r="I669" s="98"/>
      <c r="J669" s="98"/>
      <c r="K669" s="98"/>
      <c r="L669" s="98"/>
    </row>
    <row r="670">
      <c r="A670" s="98"/>
      <c r="B670" s="98"/>
      <c r="C670" s="98"/>
      <c r="D670" s="98"/>
      <c r="E670" s="98"/>
      <c r="F670" s="98"/>
      <c r="G670" s="98"/>
      <c r="H670" s="98"/>
      <c r="I670" s="98"/>
      <c r="J670" s="98"/>
      <c r="K670" s="98"/>
      <c r="L670" s="98"/>
    </row>
    <row r="671">
      <c r="A671" s="98"/>
      <c r="B671" s="98"/>
      <c r="C671" s="98"/>
      <c r="D671" s="98"/>
      <c r="E671" s="98"/>
      <c r="F671" s="98"/>
      <c r="G671" s="98"/>
      <c r="H671" s="98"/>
      <c r="I671" s="98"/>
      <c r="J671" s="98"/>
      <c r="K671" s="98"/>
      <c r="L671" s="98"/>
    </row>
    <row r="672">
      <c r="A672" s="98"/>
      <c r="B672" s="98"/>
      <c r="C672" s="98"/>
      <c r="D672" s="98"/>
      <c r="E672" s="98"/>
      <c r="F672" s="98"/>
      <c r="G672" s="98"/>
      <c r="H672" s="98"/>
      <c r="I672" s="98"/>
      <c r="J672" s="98"/>
      <c r="K672" s="98"/>
      <c r="L672" s="98"/>
    </row>
    <row r="673">
      <c r="A673" s="98"/>
      <c r="B673" s="98"/>
      <c r="C673" s="98"/>
      <c r="D673" s="98"/>
      <c r="E673" s="98"/>
      <c r="F673" s="98"/>
      <c r="G673" s="98"/>
      <c r="H673" s="98"/>
      <c r="I673" s="98"/>
      <c r="J673" s="98"/>
      <c r="K673" s="98"/>
      <c r="L673" s="98"/>
    </row>
    <row r="674">
      <c r="A674" s="98"/>
      <c r="B674" s="98"/>
      <c r="C674" s="98"/>
      <c r="D674" s="98"/>
      <c r="E674" s="98"/>
      <c r="F674" s="98"/>
      <c r="G674" s="98"/>
      <c r="H674" s="98"/>
      <c r="I674" s="98"/>
      <c r="J674" s="98"/>
      <c r="K674" s="98"/>
      <c r="L674" s="98"/>
    </row>
    <row r="675">
      <c r="A675" s="98"/>
      <c r="B675" s="98"/>
      <c r="C675" s="98"/>
      <c r="D675" s="98"/>
      <c r="E675" s="98"/>
      <c r="F675" s="98"/>
      <c r="G675" s="98"/>
      <c r="H675" s="98"/>
      <c r="I675" s="98"/>
      <c r="J675" s="98"/>
      <c r="K675" s="98"/>
      <c r="L675" s="98"/>
    </row>
    <row r="676">
      <c r="A676" s="98"/>
      <c r="B676" s="98"/>
      <c r="C676" s="98"/>
      <c r="D676" s="98"/>
      <c r="E676" s="98"/>
      <c r="F676" s="98"/>
      <c r="G676" s="98"/>
      <c r="H676" s="98"/>
      <c r="I676" s="98"/>
      <c r="J676" s="98"/>
      <c r="K676" s="98"/>
      <c r="L676" s="98"/>
    </row>
    <row r="677">
      <c r="A677" s="98"/>
      <c r="B677" s="98"/>
      <c r="C677" s="98"/>
      <c r="D677" s="98"/>
      <c r="E677" s="98"/>
      <c r="F677" s="98"/>
      <c r="G677" s="98"/>
      <c r="H677" s="98"/>
      <c r="I677" s="98"/>
      <c r="J677" s="98"/>
      <c r="K677" s="98"/>
      <c r="L677" s="98"/>
    </row>
    <row r="678">
      <c r="A678" s="98"/>
      <c r="B678" s="98"/>
      <c r="C678" s="98"/>
      <c r="D678" s="98"/>
      <c r="E678" s="98"/>
      <c r="F678" s="98"/>
      <c r="G678" s="98"/>
      <c r="H678" s="98"/>
      <c r="I678" s="98"/>
      <c r="J678" s="98"/>
      <c r="K678" s="98"/>
      <c r="L678" s="98"/>
    </row>
    <row r="679">
      <c r="A679" s="98"/>
      <c r="B679" s="98"/>
      <c r="C679" s="98"/>
      <c r="D679" s="98"/>
      <c r="E679" s="98"/>
      <c r="F679" s="98"/>
      <c r="G679" s="98"/>
      <c r="H679" s="98"/>
      <c r="I679" s="98"/>
      <c r="J679" s="98"/>
      <c r="K679" s="98"/>
      <c r="L679" s="98"/>
    </row>
    <row r="680">
      <c r="A680" s="98"/>
      <c r="B680" s="98"/>
      <c r="C680" s="98"/>
      <c r="D680" s="98"/>
      <c r="E680" s="98"/>
      <c r="F680" s="98"/>
      <c r="G680" s="98"/>
      <c r="H680" s="98"/>
      <c r="I680" s="98"/>
      <c r="J680" s="98"/>
      <c r="K680" s="98"/>
      <c r="L680" s="98"/>
    </row>
    <row r="681">
      <c r="A681" s="98"/>
      <c r="B681" s="98"/>
      <c r="C681" s="98"/>
      <c r="D681" s="98"/>
      <c r="E681" s="98"/>
      <c r="F681" s="98"/>
      <c r="G681" s="98"/>
      <c r="H681" s="98"/>
      <c r="I681" s="98"/>
      <c r="J681" s="98"/>
      <c r="K681" s="98"/>
      <c r="L681" s="98"/>
    </row>
    <row r="682">
      <c r="A682" s="98"/>
      <c r="B682" s="98"/>
      <c r="C682" s="98"/>
      <c r="D682" s="98"/>
      <c r="E682" s="98"/>
      <c r="F682" s="98"/>
      <c r="G682" s="98"/>
      <c r="H682" s="98"/>
      <c r="I682" s="98"/>
      <c r="J682" s="98"/>
      <c r="K682" s="98"/>
      <c r="L682" s="98"/>
    </row>
    <row r="683">
      <c r="A683" s="98"/>
      <c r="B683" s="98"/>
      <c r="C683" s="98"/>
      <c r="D683" s="98"/>
      <c r="E683" s="98"/>
      <c r="F683" s="98"/>
      <c r="G683" s="98"/>
      <c r="H683" s="98"/>
      <c r="I683" s="98"/>
      <c r="J683" s="98"/>
      <c r="K683" s="98"/>
      <c r="L683" s="98"/>
    </row>
    <row r="684">
      <c r="A684" s="98"/>
      <c r="B684" s="98"/>
      <c r="C684" s="98"/>
      <c r="D684" s="98"/>
      <c r="E684" s="98"/>
      <c r="F684" s="98"/>
      <c r="G684" s="98"/>
      <c r="H684" s="98"/>
      <c r="I684" s="98"/>
      <c r="J684" s="98"/>
      <c r="K684" s="98"/>
      <c r="L684" s="98"/>
    </row>
    <row r="685">
      <c r="A685" s="98"/>
      <c r="B685" s="98"/>
      <c r="C685" s="98"/>
      <c r="D685" s="98"/>
      <c r="E685" s="98"/>
      <c r="F685" s="98"/>
      <c r="G685" s="98"/>
      <c r="H685" s="98"/>
      <c r="I685" s="98"/>
      <c r="J685" s="98"/>
      <c r="K685" s="98"/>
      <c r="L685" s="98"/>
    </row>
    <row r="686">
      <c r="A686" s="98"/>
      <c r="B686" s="98"/>
      <c r="C686" s="98"/>
      <c r="D686" s="98"/>
      <c r="E686" s="98"/>
      <c r="F686" s="98"/>
      <c r="G686" s="98"/>
      <c r="H686" s="98"/>
      <c r="I686" s="98"/>
      <c r="J686" s="98"/>
      <c r="K686" s="98"/>
      <c r="L686" s="98"/>
    </row>
    <row r="687">
      <c r="A687" s="98"/>
      <c r="B687" s="98"/>
      <c r="C687" s="98"/>
      <c r="D687" s="98"/>
      <c r="E687" s="98"/>
      <c r="F687" s="98"/>
      <c r="G687" s="98"/>
      <c r="H687" s="98"/>
      <c r="I687" s="98"/>
      <c r="J687" s="98"/>
      <c r="K687" s="98"/>
      <c r="L687" s="98"/>
    </row>
    <row r="688">
      <c r="A688" s="98"/>
      <c r="B688" s="98"/>
      <c r="C688" s="98"/>
      <c r="D688" s="98"/>
      <c r="E688" s="98"/>
      <c r="F688" s="98"/>
      <c r="G688" s="98"/>
      <c r="H688" s="98"/>
      <c r="I688" s="98"/>
      <c r="J688" s="98"/>
      <c r="K688" s="98"/>
      <c r="L688" s="98"/>
    </row>
    <row r="689">
      <c r="A689" s="98"/>
      <c r="B689" s="98"/>
      <c r="C689" s="98"/>
      <c r="D689" s="98"/>
      <c r="E689" s="98"/>
      <c r="F689" s="98"/>
      <c r="G689" s="98"/>
      <c r="H689" s="98"/>
      <c r="I689" s="98"/>
      <c r="J689" s="98"/>
      <c r="K689" s="98"/>
      <c r="L689" s="98"/>
    </row>
    <row r="690">
      <c r="A690" s="98"/>
      <c r="B690" s="98"/>
      <c r="C690" s="98"/>
      <c r="D690" s="98"/>
      <c r="E690" s="98"/>
      <c r="F690" s="98"/>
      <c r="G690" s="98"/>
      <c r="H690" s="98"/>
      <c r="I690" s="98"/>
      <c r="J690" s="98"/>
      <c r="K690" s="98"/>
      <c r="L690" s="98"/>
    </row>
    <row r="691">
      <c r="A691" s="98"/>
      <c r="B691" s="98"/>
      <c r="C691" s="98"/>
      <c r="D691" s="98"/>
      <c r="E691" s="98"/>
      <c r="F691" s="98"/>
      <c r="G691" s="98"/>
      <c r="H691" s="98"/>
      <c r="I691" s="98"/>
      <c r="J691" s="98"/>
      <c r="K691" s="98"/>
      <c r="L691" s="98"/>
    </row>
    <row r="692">
      <c r="A692" s="98"/>
      <c r="B692" s="98"/>
      <c r="C692" s="98"/>
      <c r="D692" s="98"/>
      <c r="E692" s="98"/>
      <c r="F692" s="98"/>
      <c r="G692" s="98"/>
      <c r="H692" s="98"/>
      <c r="I692" s="98"/>
      <c r="J692" s="98"/>
      <c r="K692" s="98"/>
      <c r="L692" s="98"/>
    </row>
    <row r="693">
      <c r="A693" s="98"/>
      <c r="B693" s="98"/>
      <c r="C693" s="98"/>
      <c r="D693" s="98"/>
      <c r="E693" s="98"/>
      <c r="F693" s="98"/>
      <c r="G693" s="98"/>
      <c r="H693" s="98"/>
      <c r="I693" s="98"/>
      <c r="J693" s="98"/>
      <c r="K693" s="98"/>
      <c r="L693" s="98"/>
    </row>
    <row r="694">
      <c r="A694" s="98"/>
      <c r="B694" s="98"/>
      <c r="C694" s="98"/>
      <c r="D694" s="98"/>
      <c r="E694" s="98"/>
      <c r="F694" s="98"/>
      <c r="G694" s="98"/>
      <c r="H694" s="98"/>
      <c r="I694" s="98"/>
      <c r="J694" s="98"/>
      <c r="K694" s="98"/>
      <c r="L694" s="98"/>
    </row>
    <row r="695">
      <c r="A695" s="98"/>
      <c r="B695" s="98"/>
      <c r="C695" s="98"/>
      <c r="D695" s="98"/>
      <c r="E695" s="98"/>
      <c r="F695" s="98"/>
      <c r="G695" s="98"/>
      <c r="H695" s="98"/>
      <c r="I695" s="98"/>
      <c r="J695" s="98"/>
      <c r="K695" s="98"/>
      <c r="L695" s="98"/>
    </row>
    <row r="696">
      <c r="A696" s="98"/>
      <c r="B696" s="98"/>
      <c r="C696" s="98"/>
      <c r="D696" s="98"/>
      <c r="E696" s="98"/>
      <c r="F696" s="98"/>
      <c r="G696" s="98"/>
      <c r="H696" s="98"/>
      <c r="I696" s="98"/>
      <c r="J696" s="98"/>
      <c r="K696" s="98"/>
      <c r="L696" s="98"/>
    </row>
    <row r="697">
      <c r="A697" s="98"/>
      <c r="B697" s="98"/>
      <c r="C697" s="98"/>
      <c r="D697" s="98"/>
      <c r="E697" s="98"/>
      <c r="F697" s="98"/>
      <c r="G697" s="98"/>
      <c r="H697" s="98"/>
      <c r="I697" s="98"/>
      <c r="J697" s="98"/>
      <c r="K697" s="98"/>
      <c r="L697" s="98"/>
    </row>
    <row r="698">
      <c r="A698" s="98"/>
      <c r="B698" s="98"/>
      <c r="C698" s="98"/>
      <c r="D698" s="98"/>
      <c r="E698" s="98"/>
      <c r="F698" s="98"/>
      <c r="G698" s="98"/>
      <c r="H698" s="98"/>
      <c r="I698" s="98"/>
      <c r="J698" s="98"/>
      <c r="K698" s="98"/>
      <c r="L698" s="98"/>
    </row>
    <row r="699">
      <c r="A699" s="98"/>
      <c r="B699" s="98"/>
      <c r="C699" s="98"/>
      <c r="D699" s="98"/>
      <c r="E699" s="98"/>
      <c r="F699" s="98"/>
      <c r="G699" s="98"/>
      <c r="H699" s="98"/>
      <c r="I699" s="98"/>
      <c r="J699" s="98"/>
      <c r="K699" s="98"/>
      <c r="L699" s="98"/>
    </row>
    <row r="700">
      <c r="A700" s="98"/>
      <c r="B700" s="98"/>
      <c r="C700" s="98"/>
      <c r="D700" s="98"/>
      <c r="E700" s="98"/>
      <c r="F700" s="98"/>
      <c r="G700" s="98"/>
      <c r="H700" s="98"/>
      <c r="I700" s="98"/>
      <c r="J700" s="98"/>
      <c r="K700" s="98"/>
      <c r="L700" s="98"/>
    </row>
    <row r="701">
      <c r="A701" s="98"/>
      <c r="B701" s="98"/>
      <c r="C701" s="98"/>
      <c r="D701" s="98"/>
      <c r="E701" s="98"/>
      <c r="F701" s="98"/>
      <c r="G701" s="98"/>
      <c r="H701" s="98"/>
      <c r="I701" s="98"/>
      <c r="J701" s="98"/>
      <c r="K701" s="98"/>
      <c r="L701" s="98"/>
    </row>
    <row r="702">
      <c r="A702" s="98"/>
      <c r="B702" s="98"/>
      <c r="C702" s="98"/>
      <c r="D702" s="98"/>
      <c r="E702" s="98"/>
      <c r="F702" s="98"/>
      <c r="G702" s="98"/>
      <c r="H702" s="98"/>
      <c r="I702" s="98"/>
      <c r="J702" s="98"/>
      <c r="K702" s="98"/>
      <c r="L702" s="98"/>
    </row>
    <row r="703">
      <c r="A703" s="98"/>
      <c r="B703" s="98"/>
      <c r="C703" s="98"/>
      <c r="D703" s="98"/>
      <c r="E703" s="98"/>
      <c r="F703" s="98"/>
      <c r="G703" s="98"/>
      <c r="H703" s="98"/>
      <c r="I703" s="98"/>
      <c r="J703" s="98"/>
      <c r="K703" s="98"/>
      <c r="L703" s="98"/>
    </row>
    <row r="704">
      <c r="A704" s="98"/>
      <c r="B704" s="98"/>
      <c r="C704" s="98"/>
      <c r="D704" s="98"/>
      <c r="E704" s="98"/>
      <c r="F704" s="98"/>
      <c r="G704" s="98"/>
      <c r="H704" s="98"/>
      <c r="I704" s="98"/>
      <c r="J704" s="98"/>
      <c r="K704" s="98"/>
      <c r="L704" s="98"/>
    </row>
    <row r="705">
      <c r="A705" s="98"/>
      <c r="B705" s="98"/>
      <c r="C705" s="98"/>
      <c r="D705" s="98"/>
      <c r="E705" s="98"/>
      <c r="F705" s="98"/>
      <c r="G705" s="98"/>
      <c r="H705" s="98"/>
      <c r="I705" s="98"/>
      <c r="J705" s="98"/>
      <c r="K705" s="98"/>
      <c r="L705" s="98"/>
    </row>
    <row r="706">
      <c r="A706" s="98"/>
      <c r="B706" s="98"/>
      <c r="C706" s="98"/>
      <c r="D706" s="98"/>
      <c r="E706" s="98"/>
      <c r="F706" s="98"/>
      <c r="G706" s="98"/>
      <c r="H706" s="98"/>
      <c r="I706" s="98"/>
      <c r="J706" s="98"/>
      <c r="K706" s="98"/>
      <c r="L706" s="98"/>
    </row>
    <row r="707">
      <c r="A707" s="98"/>
      <c r="B707" s="98"/>
      <c r="C707" s="98"/>
      <c r="D707" s="98"/>
      <c r="E707" s="98"/>
      <c r="F707" s="98"/>
      <c r="G707" s="98"/>
      <c r="H707" s="98"/>
      <c r="I707" s="98"/>
      <c r="J707" s="98"/>
      <c r="K707" s="98"/>
      <c r="L707" s="98"/>
    </row>
    <row r="708">
      <c r="A708" s="98"/>
      <c r="B708" s="98"/>
      <c r="C708" s="98"/>
      <c r="D708" s="98"/>
      <c r="E708" s="98"/>
      <c r="F708" s="98"/>
      <c r="G708" s="98"/>
      <c r="H708" s="98"/>
      <c r="I708" s="98"/>
      <c r="J708" s="98"/>
      <c r="K708" s="98"/>
      <c r="L708" s="98"/>
    </row>
    <row r="709">
      <c r="A709" s="98"/>
      <c r="B709" s="98"/>
      <c r="C709" s="98"/>
      <c r="D709" s="98"/>
      <c r="E709" s="98"/>
      <c r="F709" s="98"/>
      <c r="G709" s="98"/>
      <c r="H709" s="98"/>
      <c r="I709" s="98"/>
      <c r="J709" s="98"/>
      <c r="K709" s="98"/>
      <c r="L709" s="98"/>
    </row>
    <row r="710">
      <c r="A710" s="98"/>
      <c r="B710" s="98"/>
      <c r="C710" s="98"/>
      <c r="D710" s="98"/>
      <c r="E710" s="98"/>
      <c r="F710" s="98"/>
      <c r="G710" s="98"/>
      <c r="H710" s="98"/>
      <c r="I710" s="98"/>
      <c r="J710" s="98"/>
      <c r="K710" s="98"/>
      <c r="L710" s="98"/>
    </row>
    <row r="711">
      <c r="A711" s="98"/>
      <c r="B711" s="98"/>
      <c r="C711" s="98"/>
      <c r="D711" s="98"/>
      <c r="E711" s="98"/>
      <c r="F711" s="98"/>
      <c r="G711" s="98"/>
      <c r="H711" s="98"/>
      <c r="I711" s="98"/>
      <c r="J711" s="98"/>
      <c r="K711" s="98"/>
      <c r="L711" s="98"/>
    </row>
    <row r="712">
      <c r="A712" s="98"/>
      <c r="B712" s="98"/>
      <c r="C712" s="98"/>
      <c r="D712" s="98"/>
      <c r="E712" s="98"/>
      <c r="F712" s="98"/>
      <c r="G712" s="98"/>
      <c r="H712" s="98"/>
      <c r="I712" s="98"/>
      <c r="J712" s="98"/>
      <c r="K712" s="98"/>
      <c r="L712" s="98"/>
    </row>
    <row r="713">
      <c r="A713" s="98"/>
      <c r="B713" s="98"/>
      <c r="C713" s="98"/>
      <c r="D713" s="98"/>
      <c r="E713" s="98"/>
      <c r="F713" s="98"/>
      <c r="G713" s="98"/>
      <c r="H713" s="98"/>
      <c r="I713" s="98"/>
      <c r="J713" s="98"/>
      <c r="K713" s="98"/>
      <c r="L713" s="98"/>
    </row>
    <row r="714">
      <c r="A714" s="98"/>
      <c r="B714" s="98"/>
      <c r="C714" s="98"/>
      <c r="D714" s="98"/>
      <c r="E714" s="98"/>
      <c r="F714" s="98"/>
      <c r="G714" s="98"/>
      <c r="H714" s="98"/>
      <c r="I714" s="98"/>
      <c r="J714" s="98"/>
      <c r="K714" s="98"/>
      <c r="L714" s="98"/>
    </row>
    <row r="715">
      <c r="A715" s="98"/>
      <c r="B715" s="98"/>
      <c r="C715" s="98"/>
      <c r="D715" s="98"/>
      <c r="E715" s="98"/>
      <c r="F715" s="98"/>
      <c r="G715" s="98"/>
      <c r="H715" s="98"/>
      <c r="I715" s="98"/>
      <c r="J715" s="98"/>
      <c r="K715" s="98"/>
      <c r="L715" s="98"/>
    </row>
    <row r="716">
      <c r="A716" s="98"/>
      <c r="B716" s="98"/>
      <c r="C716" s="98"/>
      <c r="D716" s="98"/>
      <c r="E716" s="98"/>
      <c r="F716" s="98"/>
      <c r="G716" s="98"/>
      <c r="H716" s="98"/>
      <c r="I716" s="98"/>
      <c r="J716" s="98"/>
      <c r="K716" s="98"/>
      <c r="L716" s="98"/>
    </row>
    <row r="717">
      <c r="A717" s="98"/>
      <c r="B717" s="98"/>
      <c r="C717" s="98"/>
      <c r="D717" s="98"/>
      <c r="E717" s="98"/>
      <c r="F717" s="98"/>
      <c r="G717" s="98"/>
      <c r="H717" s="98"/>
      <c r="I717" s="98"/>
      <c r="J717" s="98"/>
      <c r="K717" s="98"/>
      <c r="L717" s="98"/>
    </row>
    <row r="718">
      <c r="A718" s="98"/>
      <c r="B718" s="98"/>
      <c r="C718" s="98"/>
      <c r="D718" s="98"/>
      <c r="E718" s="98"/>
      <c r="F718" s="98"/>
      <c r="G718" s="98"/>
      <c r="H718" s="98"/>
      <c r="I718" s="98"/>
      <c r="J718" s="98"/>
      <c r="K718" s="98"/>
      <c r="L718" s="98"/>
    </row>
    <row r="719">
      <c r="A719" s="98"/>
      <c r="B719" s="98"/>
      <c r="C719" s="98"/>
      <c r="D719" s="98"/>
      <c r="E719" s="98"/>
      <c r="F719" s="98"/>
      <c r="G719" s="98"/>
      <c r="H719" s="98"/>
      <c r="I719" s="98"/>
      <c r="J719" s="98"/>
      <c r="K719" s="98"/>
      <c r="L719" s="98"/>
    </row>
    <row r="720">
      <c r="A720" s="98"/>
      <c r="B720" s="98"/>
      <c r="C720" s="98"/>
      <c r="D720" s="98"/>
      <c r="E720" s="98"/>
      <c r="F720" s="98"/>
      <c r="G720" s="98"/>
      <c r="H720" s="98"/>
      <c r="I720" s="98"/>
      <c r="J720" s="98"/>
      <c r="K720" s="98"/>
      <c r="L720" s="98"/>
    </row>
    <row r="721">
      <c r="A721" s="98"/>
      <c r="B721" s="98"/>
      <c r="C721" s="98"/>
      <c r="D721" s="98"/>
      <c r="E721" s="98"/>
      <c r="F721" s="98"/>
      <c r="G721" s="98"/>
      <c r="H721" s="98"/>
      <c r="I721" s="98"/>
      <c r="J721" s="98"/>
      <c r="K721" s="98"/>
      <c r="L721" s="98"/>
    </row>
    <row r="722">
      <c r="A722" s="98"/>
      <c r="B722" s="98"/>
      <c r="C722" s="98"/>
      <c r="D722" s="98"/>
      <c r="E722" s="98"/>
      <c r="F722" s="98"/>
      <c r="G722" s="98"/>
      <c r="H722" s="98"/>
      <c r="I722" s="98"/>
      <c r="J722" s="98"/>
      <c r="K722" s="98"/>
      <c r="L722" s="98"/>
    </row>
    <row r="723">
      <c r="A723" s="98"/>
      <c r="B723" s="98"/>
      <c r="C723" s="98"/>
      <c r="D723" s="98"/>
      <c r="E723" s="98"/>
      <c r="F723" s="98"/>
      <c r="G723" s="98"/>
      <c r="H723" s="98"/>
      <c r="I723" s="98"/>
      <c r="J723" s="98"/>
      <c r="K723" s="98"/>
      <c r="L723" s="98"/>
    </row>
    <row r="724">
      <c r="A724" s="98"/>
      <c r="B724" s="98"/>
      <c r="C724" s="98"/>
      <c r="D724" s="98"/>
      <c r="E724" s="98"/>
      <c r="F724" s="98"/>
      <c r="G724" s="98"/>
      <c r="H724" s="98"/>
      <c r="I724" s="98"/>
      <c r="J724" s="98"/>
      <c r="K724" s="98"/>
      <c r="L724" s="98"/>
    </row>
    <row r="725">
      <c r="A725" s="98"/>
      <c r="B725" s="98"/>
      <c r="C725" s="98"/>
      <c r="D725" s="98"/>
      <c r="E725" s="98"/>
      <c r="F725" s="98"/>
      <c r="G725" s="98"/>
      <c r="H725" s="98"/>
      <c r="I725" s="98"/>
      <c r="J725" s="98"/>
      <c r="K725" s="98"/>
      <c r="L725" s="98"/>
    </row>
    <row r="726">
      <c r="A726" s="98"/>
      <c r="B726" s="98"/>
      <c r="C726" s="98"/>
      <c r="D726" s="98"/>
      <c r="E726" s="98"/>
      <c r="F726" s="98"/>
      <c r="G726" s="98"/>
      <c r="H726" s="98"/>
      <c r="I726" s="98"/>
      <c r="J726" s="98"/>
      <c r="K726" s="98"/>
      <c r="L726" s="98"/>
    </row>
    <row r="727">
      <c r="A727" s="98"/>
      <c r="B727" s="98"/>
      <c r="C727" s="98"/>
      <c r="D727" s="98"/>
      <c r="E727" s="98"/>
      <c r="F727" s="98"/>
      <c r="G727" s="98"/>
      <c r="H727" s="98"/>
      <c r="I727" s="98"/>
      <c r="J727" s="98"/>
      <c r="K727" s="98"/>
      <c r="L727" s="98"/>
    </row>
    <row r="728">
      <c r="A728" s="98"/>
      <c r="B728" s="98"/>
      <c r="C728" s="98"/>
      <c r="D728" s="98"/>
      <c r="E728" s="98"/>
      <c r="F728" s="98"/>
      <c r="G728" s="98"/>
      <c r="H728" s="98"/>
      <c r="I728" s="98"/>
      <c r="J728" s="98"/>
      <c r="K728" s="98"/>
      <c r="L728" s="98"/>
    </row>
    <row r="729">
      <c r="A729" s="98"/>
      <c r="B729" s="98"/>
      <c r="C729" s="98"/>
      <c r="D729" s="98"/>
      <c r="E729" s="98"/>
      <c r="F729" s="98"/>
      <c r="G729" s="98"/>
      <c r="H729" s="98"/>
      <c r="I729" s="98"/>
      <c r="J729" s="98"/>
      <c r="K729" s="98"/>
      <c r="L729" s="98"/>
    </row>
    <row r="730">
      <c r="A730" s="98"/>
      <c r="B730" s="98"/>
      <c r="C730" s="98"/>
      <c r="D730" s="98"/>
      <c r="E730" s="98"/>
      <c r="F730" s="98"/>
      <c r="G730" s="98"/>
      <c r="H730" s="98"/>
      <c r="I730" s="98"/>
      <c r="J730" s="98"/>
      <c r="K730" s="98"/>
      <c r="L730" s="98"/>
    </row>
    <row r="731">
      <c r="A731" s="98"/>
      <c r="B731" s="98"/>
      <c r="C731" s="98"/>
      <c r="D731" s="98"/>
      <c r="E731" s="98"/>
      <c r="F731" s="98"/>
      <c r="G731" s="98"/>
      <c r="H731" s="98"/>
      <c r="I731" s="98"/>
      <c r="J731" s="98"/>
      <c r="K731" s="98"/>
      <c r="L731" s="98"/>
    </row>
    <row r="732">
      <c r="A732" s="98"/>
      <c r="B732" s="98"/>
      <c r="C732" s="98"/>
      <c r="D732" s="98"/>
      <c r="E732" s="98"/>
      <c r="F732" s="98"/>
      <c r="G732" s="98"/>
      <c r="H732" s="98"/>
      <c r="I732" s="98"/>
      <c r="J732" s="98"/>
      <c r="K732" s="98"/>
      <c r="L732" s="98"/>
    </row>
    <row r="733">
      <c r="A733" s="98"/>
      <c r="B733" s="98"/>
      <c r="C733" s="98"/>
      <c r="D733" s="98"/>
      <c r="E733" s="98"/>
      <c r="F733" s="98"/>
      <c r="G733" s="98"/>
      <c r="H733" s="98"/>
      <c r="I733" s="98"/>
      <c r="J733" s="98"/>
      <c r="K733" s="98"/>
      <c r="L733" s="98"/>
    </row>
    <row r="734">
      <c r="A734" s="98"/>
      <c r="B734" s="98"/>
      <c r="C734" s="98"/>
      <c r="D734" s="98"/>
      <c r="E734" s="98"/>
      <c r="F734" s="98"/>
      <c r="G734" s="98"/>
      <c r="H734" s="98"/>
      <c r="I734" s="98"/>
      <c r="J734" s="98"/>
      <c r="K734" s="98"/>
      <c r="L734" s="98"/>
    </row>
    <row r="735">
      <c r="A735" s="98"/>
      <c r="B735" s="98"/>
      <c r="C735" s="98"/>
      <c r="D735" s="98"/>
      <c r="E735" s="98"/>
      <c r="F735" s="98"/>
      <c r="G735" s="98"/>
      <c r="H735" s="98"/>
      <c r="I735" s="98"/>
      <c r="J735" s="98"/>
      <c r="K735" s="98"/>
      <c r="L735" s="98"/>
    </row>
    <row r="736">
      <c r="A736" s="98"/>
      <c r="B736" s="98"/>
      <c r="C736" s="98"/>
      <c r="D736" s="98"/>
      <c r="E736" s="98"/>
      <c r="F736" s="98"/>
      <c r="G736" s="98"/>
      <c r="H736" s="98"/>
      <c r="I736" s="98"/>
      <c r="J736" s="98"/>
      <c r="K736" s="98"/>
      <c r="L736" s="98"/>
    </row>
    <row r="737">
      <c r="A737" s="98"/>
      <c r="B737" s="98"/>
      <c r="C737" s="98"/>
      <c r="D737" s="98"/>
      <c r="E737" s="98"/>
      <c r="F737" s="98"/>
      <c r="G737" s="98"/>
      <c r="H737" s="98"/>
      <c r="I737" s="98"/>
      <c r="J737" s="98"/>
      <c r="K737" s="98"/>
      <c r="L737" s="98"/>
    </row>
    <row r="738">
      <c r="A738" s="98"/>
      <c r="B738" s="98"/>
      <c r="C738" s="98"/>
      <c r="D738" s="98"/>
      <c r="E738" s="98"/>
      <c r="F738" s="98"/>
      <c r="G738" s="98"/>
      <c r="H738" s="98"/>
      <c r="I738" s="98"/>
      <c r="J738" s="98"/>
      <c r="K738" s="98"/>
      <c r="L738" s="98"/>
    </row>
    <row r="739">
      <c r="A739" s="98"/>
      <c r="B739" s="98"/>
      <c r="C739" s="98"/>
      <c r="D739" s="98"/>
      <c r="E739" s="98"/>
      <c r="F739" s="98"/>
      <c r="G739" s="98"/>
      <c r="H739" s="98"/>
      <c r="I739" s="98"/>
      <c r="J739" s="98"/>
      <c r="K739" s="98"/>
      <c r="L739" s="98"/>
    </row>
    <row r="740">
      <c r="A740" s="98"/>
      <c r="B740" s="98"/>
      <c r="C740" s="98"/>
      <c r="D740" s="98"/>
      <c r="E740" s="98"/>
      <c r="F740" s="98"/>
      <c r="G740" s="98"/>
      <c r="H740" s="98"/>
      <c r="I740" s="98"/>
      <c r="J740" s="98"/>
      <c r="K740" s="98"/>
      <c r="L740" s="98"/>
    </row>
    <row r="741">
      <c r="A741" s="98"/>
      <c r="B741" s="98"/>
      <c r="C741" s="98"/>
      <c r="D741" s="98"/>
      <c r="E741" s="98"/>
      <c r="F741" s="98"/>
      <c r="G741" s="98"/>
      <c r="H741" s="98"/>
      <c r="I741" s="98"/>
      <c r="J741" s="98"/>
      <c r="K741" s="98"/>
      <c r="L741" s="98"/>
    </row>
    <row r="742">
      <c r="A742" s="98"/>
      <c r="B742" s="98"/>
      <c r="C742" s="98"/>
      <c r="D742" s="98"/>
      <c r="E742" s="98"/>
      <c r="F742" s="98"/>
      <c r="G742" s="98"/>
      <c r="H742" s="98"/>
      <c r="I742" s="98"/>
      <c r="J742" s="98"/>
      <c r="K742" s="98"/>
      <c r="L742" s="98"/>
    </row>
    <row r="743">
      <c r="A743" s="98"/>
      <c r="B743" s="98"/>
      <c r="C743" s="98"/>
      <c r="D743" s="98"/>
      <c r="E743" s="98"/>
      <c r="F743" s="98"/>
      <c r="G743" s="98"/>
      <c r="H743" s="98"/>
      <c r="I743" s="98"/>
      <c r="J743" s="98"/>
      <c r="K743" s="98"/>
      <c r="L743" s="98"/>
    </row>
    <row r="744">
      <c r="A744" s="98"/>
      <c r="B744" s="98"/>
      <c r="C744" s="98"/>
      <c r="D744" s="98"/>
      <c r="E744" s="98"/>
      <c r="F744" s="98"/>
      <c r="G744" s="98"/>
      <c r="H744" s="98"/>
      <c r="I744" s="98"/>
      <c r="J744" s="98"/>
      <c r="K744" s="98"/>
      <c r="L744" s="98"/>
    </row>
    <row r="745">
      <c r="A745" s="98"/>
      <c r="B745" s="98"/>
      <c r="C745" s="98"/>
      <c r="D745" s="98"/>
      <c r="E745" s="98"/>
      <c r="F745" s="98"/>
      <c r="G745" s="98"/>
      <c r="H745" s="98"/>
      <c r="I745" s="98"/>
      <c r="J745" s="98"/>
      <c r="K745" s="98"/>
      <c r="L745" s="98"/>
    </row>
    <row r="746">
      <c r="A746" s="98"/>
      <c r="B746" s="98"/>
      <c r="C746" s="98"/>
      <c r="D746" s="98"/>
      <c r="E746" s="98"/>
      <c r="F746" s="98"/>
      <c r="G746" s="98"/>
      <c r="H746" s="98"/>
      <c r="I746" s="98"/>
      <c r="J746" s="98"/>
      <c r="K746" s="98"/>
      <c r="L746" s="98"/>
    </row>
    <row r="747">
      <c r="A747" s="98"/>
      <c r="B747" s="98"/>
      <c r="C747" s="98"/>
      <c r="D747" s="98"/>
      <c r="E747" s="98"/>
      <c r="F747" s="98"/>
      <c r="G747" s="98"/>
      <c r="H747" s="98"/>
      <c r="I747" s="98"/>
      <c r="J747" s="98"/>
      <c r="K747" s="98"/>
      <c r="L747" s="98"/>
    </row>
    <row r="748">
      <c r="A748" s="98"/>
      <c r="B748" s="98"/>
      <c r="C748" s="98"/>
      <c r="D748" s="98"/>
      <c r="E748" s="98"/>
      <c r="F748" s="98"/>
      <c r="G748" s="98"/>
      <c r="H748" s="98"/>
      <c r="I748" s="98"/>
      <c r="J748" s="98"/>
      <c r="K748" s="98"/>
      <c r="L748" s="98"/>
    </row>
    <row r="749">
      <c r="A749" s="98"/>
      <c r="B749" s="98"/>
      <c r="C749" s="98"/>
      <c r="D749" s="98"/>
      <c r="E749" s="98"/>
      <c r="F749" s="98"/>
      <c r="G749" s="98"/>
      <c r="H749" s="98"/>
      <c r="I749" s="98"/>
      <c r="J749" s="98"/>
      <c r="K749" s="98"/>
      <c r="L749" s="98"/>
    </row>
    <row r="750">
      <c r="A750" s="98"/>
      <c r="B750" s="98"/>
      <c r="C750" s="98"/>
      <c r="D750" s="98"/>
      <c r="E750" s="98"/>
      <c r="F750" s="98"/>
      <c r="G750" s="98"/>
      <c r="H750" s="98"/>
      <c r="I750" s="98"/>
      <c r="J750" s="98"/>
      <c r="K750" s="98"/>
      <c r="L750" s="98"/>
    </row>
    <row r="751">
      <c r="A751" s="98"/>
      <c r="B751" s="98"/>
      <c r="C751" s="98"/>
      <c r="D751" s="98"/>
      <c r="E751" s="98"/>
      <c r="F751" s="98"/>
      <c r="G751" s="98"/>
      <c r="H751" s="98"/>
      <c r="I751" s="98"/>
      <c r="J751" s="98"/>
      <c r="K751" s="98"/>
      <c r="L751" s="98"/>
    </row>
    <row r="752">
      <c r="A752" s="98"/>
      <c r="B752" s="98"/>
      <c r="C752" s="98"/>
      <c r="D752" s="98"/>
      <c r="E752" s="98"/>
      <c r="F752" s="98"/>
      <c r="G752" s="98"/>
      <c r="H752" s="98"/>
      <c r="I752" s="98"/>
      <c r="J752" s="98"/>
      <c r="K752" s="98"/>
      <c r="L752" s="98"/>
    </row>
    <row r="753">
      <c r="A753" s="98"/>
      <c r="B753" s="98"/>
      <c r="C753" s="98"/>
      <c r="D753" s="98"/>
      <c r="E753" s="98"/>
      <c r="F753" s="98"/>
      <c r="G753" s="98"/>
      <c r="H753" s="98"/>
      <c r="I753" s="98"/>
      <c r="J753" s="98"/>
      <c r="K753" s="98"/>
      <c r="L753" s="98"/>
    </row>
    <row r="754">
      <c r="A754" s="98"/>
      <c r="B754" s="98"/>
      <c r="C754" s="98"/>
      <c r="D754" s="98"/>
      <c r="E754" s="98"/>
      <c r="F754" s="98"/>
      <c r="G754" s="98"/>
      <c r="H754" s="98"/>
      <c r="I754" s="98"/>
      <c r="J754" s="98"/>
      <c r="K754" s="98"/>
      <c r="L754" s="98"/>
    </row>
    <row r="755">
      <c r="A755" s="98"/>
      <c r="B755" s="98"/>
      <c r="C755" s="98"/>
      <c r="D755" s="98"/>
      <c r="E755" s="98"/>
      <c r="F755" s="98"/>
      <c r="G755" s="98"/>
      <c r="H755" s="98"/>
      <c r="I755" s="98"/>
      <c r="J755" s="98"/>
      <c r="K755" s="98"/>
      <c r="L755" s="98"/>
    </row>
    <row r="756">
      <c r="A756" s="98"/>
      <c r="B756" s="98"/>
      <c r="C756" s="98"/>
      <c r="D756" s="98"/>
      <c r="E756" s="98"/>
      <c r="F756" s="98"/>
      <c r="G756" s="98"/>
      <c r="H756" s="98"/>
      <c r="I756" s="98"/>
      <c r="J756" s="98"/>
      <c r="K756" s="98"/>
      <c r="L756" s="98"/>
    </row>
    <row r="757">
      <c r="A757" s="98"/>
      <c r="B757" s="98"/>
      <c r="C757" s="98"/>
      <c r="D757" s="98"/>
      <c r="E757" s="98"/>
      <c r="F757" s="98"/>
      <c r="G757" s="98"/>
      <c r="H757" s="98"/>
      <c r="I757" s="98"/>
      <c r="J757" s="98"/>
      <c r="K757" s="98"/>
      <c r="L757" s="98"/>
    </row>
    <row r="758">
      <c r="A758" s="98"/>
      <c r="B758" s="98"/>
      <c r="C758" s="98"/>
      <c r="D758" s="98"/>
      <c r="E758" s="98"/>
      <c r="F758" s="98"/>
      <c r="G758" s="98"/>
      <c r="H758" s="98"/>
      <c r="I758" s="98"/>
      <c r="J758" s="98"/>
      <c r="K758" s="98"/>
      <c r="L758" s="98"/>
    </row>
    <row r="759">
      <c r="A759" s="98"/>
      <c r="B759" s="98"/>
      <c r="C759" s="98"/>
      <c r="D759" s="98"/>
      <c r="E759" s="98"/>
      <c r="F759" s="98"/>
      <c r="G759" s="98"/>
      <c r="H759" s="98"/>
      <c r="I759" s="98"/>
      <c r="J759" s="98"/>
      <c r="K759" s="98"/>
      <c r="L759" s="98"/>
    </row>
    <row r="760">
      <c r="A760" s="98"/>
      <c r="B760" s="98"/>
      <c r="C760" s="98"/>
      <c r="D760" s="98"/>
      <c r="E760" s="98"/>
      <c r="F760" s="98"/>
      <c r="G760" s="98"/>
      <c r="H760" s="98"/>
      <c r="I760" s="98"/>
      <c r="J760" s="98"/>
      <c r="K760" s="98"/>
      <c r="L760" s="98"/>
    </row>
    <row r="761">
      <c r="A761" s="98"/>
      <c r="B761" s="98"/>
      <c r="C761" s="98"/>
      <c r="D761" s="98"/>
      <c r="E761" s="98"/>
      <c r="F761" s="98"/>
      <c r="G761" s="98"/>
      <c r="H761" s="98"/>
      <c r="I761" s="98"/>
      <c r="J761" s="98"/>
      <c r="K761" s="98"/>
      <c r="L761" s="98"/>
    </row>
    <row r="762">
      <c r="A762" s="98"/>
      <c r="B762" s="98"/>
      <c r="C762" s="98"/>
      <c r="D762" s="98"/>
      <c r="E762" s="98"/>
      <c r="F762" s="98"/>
      <c r="G762" s="98"/>
      <c r="H762" s="98"/>
      <c r="I762" s="98"/>
      <c r="J762" s="98"/>
      <c r="K762" s="98"/>
      <c r="L762" s="98"/>
    </row>
    <row r="763">
      <c r="A763" s="98"/>
      <c r="B763" s="98"/>
      <c r="C763" s="98"/>
      <c r="D763" s="98"/>
      <c r="E763" s="98"/>
      <c r="F763" s="98"/>
      <c r="G763" s="98"/>
      <c r="H763" s="98"/>
      <c r="I763" s="98"/>
      <c r="J763" s="98"/>
      <c r="K763" s="98"/>
      <c r="L763" s="98"/>
    </row>
    <row r="764">
      <c r="A764" s="98"/>
      <c r="B764" s="98"/>
      <c r="C764" s="98"/>
      <c r="D764" s="98"/>
      <c r="E764" s="98"/>
      <c r="F764" s="98"/>
      <c r="G764" s="98"/>
      <c r="H764" s="98"/>
      <c r="I764" s="98"/>
      <c r="J764" s="98"/>
      <c r="K764" s="98"/>
      <c r="L764" s="98"/>
    </row>
    <row r="765">
      <c r="A765" s="98"/>
      <c r="B765" s="98"/>
      <c r="C765" s="98"/>
      <c r="D765" s="98"/>
      <c r="E765" s="98"/>
      <c r="F765" s="98"/>
      <c r="G765" s="98"/>
      <c r="H765" s="98"/>
      <c r="I765" s="98"/>
      <c r="J765" s="98"/>
      <c r="K765" s="98"/>
      <c r="L765" s="98"/>
    </row>
    <row r="766">
      <c r="A766" s="98"/>
      <c r="B766" s="98"/>
      <c r="C766" s="98"/>
      <c r="D766" s="98"/>
      <c r="E766" s="98"/>
      <c r="F766" s="98"/>
      <c r="G766" s="98"/>
      <c r="H766" s="98"/>
      <c r="I766" s="98"/>
      <c r="J766" s="98"/>
      <c r="K766" s="98"/>
      <c r="L766" s="98"/>
    </row>
    <row r="767">
      <c r="A767" s="98"/>
      <c r="B767" s="98"/>
      <c r="C767" s="98"/>
      <c r="D767" s="98"/>
      <c r="E767" s="98"/>
      <c r="F767" s="98"/>
      <c r="G767" s="98"/>
      <c r="H767" s="98"/>
      <c r="I767" s="98"/>
      <c r="J767" s="98"/>
      <c r="K767" s="98"/>
      <c r="L767" s="98"/>
    </row>
    <row r="768">
      <c r="A768" s="98"/>
      <c r="B768" s="98"/>
      <c r="C768" s="98"/>
      <c r="D768" s="98"/>
      <c r="E768" s="98"/>
      <c r="F768" s="98"/>
      <c r="G768" s="98"/>
      <c r="H768" s="98"/>
      <c r="I768" s="98"/>
      <c r="J768" s="98"/>
      <c r="K768" s="98"/>
      <c r="L768" s="98"/>
    </row>
    <row r="769">
      <c r="A769" s="98"/>
      <c r="B769" s="98"/>
      <c r="C769" s="98"/>
      <c r="D769" s="98"/>
      <c r="E769" s="98"/>
      <c r="F769" s="98"/>
      <c r="G769" s="98"/>
      <c r="H769" s="98"/>
      <c r="I769" s="98"/>
      <c r="J769" s="98"/>
      <c r="K769" s="98"/>
      <c r="L769" s="98"/>
    </row>
    <row r="770">
      <c r="A770" s="98"/>
      <c r="B770" s="98"/>
      <c r="C770" s="98"/>
      <c r="D770" s="98"/>
      <c r="E770" s="98"/>
      <c r="F770" s="98"/>
      <c r="G770" s="98"/>
      <c r="H770" s="98"/>
      <c r="I770" s="98"/>
      <c r="J770" s="98"/>
      <c r="K770" s="98"/>
      <c r="L770" s="98"/>
    </row>
    <row r="771">
      <c r="A771" s="98"/>
      <c r="B771" s="98"/>
      <c r="C771" s="98"/>
      <c r="D771" s="98"/>
      <c r="E771" s="98"/>
      <c r="F771" s="98"/>
      <c r="G771" s="98"/>
      <c r="H771" s="98"/>
      <c r="I771" s="98"/>
      <c r="J771" s="98"/>
      <c r="K771" s="98"/>
      <c r="L771" s="98"/>
    </row>
    <row r="772">
      <c r="A772" s="98"/>
      <c r="B772" s="98"/>
      <c r="C772" s="98"/>
      <c r="D772" s="98"/>
      <c r="E772" s="98"/>
      <c r="F772" s="98"/>
      <c r="G772" s="98"/>
      <c r="H772" s="98"/>
      <c r="I772" s="98"/>
      <c r="J772" s="98"/>
      <c r="K772" s="98"/>
      <c r="L772" s="98"/>
    </row>
    <row r="773">
      <c r="A773" s="98"/>
      <c r="B773" s="98"/>
      <c r="C773" s="98"/>
      <c r="D773" s="98"/>
      <c r="E773" s="98"/>
      <c r="F773" s="98"/>
      <c r="G773" s="98"/>
      <c r="H773" s="98"/>
      <c r="I773" s="98"/>
      <c r="J773" s="98"/>
      <c r="K773" s="98"/>
      <c r="L773" s="98"/>
    </row>
    <row r="774">
      <c r="A774" s="98"/>
      <c r="B774" s="98"/>
      <c r="C774" s="98"/>
      <c r="D774" s="98"/>
      <c r="E774" s="98"/>
      <c r="F774" s="98"/>
      <c r="G774" s="98"/>
      <c r="H774" s="98"/>
      <c r="I774" s="98"/>
      <c r="J774" s="98"/>
      <c r="K774" s="98"/>
      <c r="L774" s="98"/>
    </row>
    <row r="775">
      <c r="A775" s="98"/>
      <c r="B775" s="98"/>
      <c r="C775" s="98"/>
      <c r="D775" s="98"/>
      <c r="E775" s="98"/>
      <c r="F775" s="98"/>
      <c r="G775" s="98"/>
      <c r="H775" s="98"/>
      <c r="I775" s="98"/>
      <c r="J775" s="98"/>
      <c r="K775" s="98"/>
      <c r="L775" s="98"/>
    </row>
    <row r="776">
      <c r="A776" s="98"/>
      <c r="B776" s="98"/>
      <c r="C776" s="98"/>
      <c r="D776" s="98"/>
      <c r="E776" s="98"/>
      <c r="F776" s="98"/>
      <c r="G776" s="98"/>
      <c r="H776" s="98"/>
      <c r="I776" s="98"/>
      <c r="J776" s="98"/>
      <c r="K776" s="98"/>
      <c r="L776" s="98"/>
    </row>
    <row r="777">
      <c r="A777" s="98"/>
      <c r="B777" s="98"/>
      <c r="C777" s="98"/>
      <c r="D777" s="98"/>
      <c r="E777" s="98"/>
      <c r="F777" s="98"/>
      <c r="G777" s="98"/>
      <c r="H777" s="98"/>
      <c r="I777" s="98"/>
      <c r="J777" s="98"/>
      <c r="K777" s="98"/>
      <c r="L777" s="98"/>
    </row>
    <row r="778">
      <c r="A778" s="98"/>
      <c r="B778" s="98"/>
      <c r="C778" s="98"/>
      <c r="D778" s="98"/>
      <c r="E778" s="98"/>
      <c r="F778" s="98"/>
      <c r="G778" s="98"/>
      <c r="H778" s="98"/>
      <c r="I778" s="98"/>
      <c r="J778" s="98"/>
      <c r="K778" s="98"/>
      <c r="L778" s="98"/>
    </row>
    <row r="779">
      <c r="A779" s="98"/>
      <c r="B779" s="98"/>
      <c r="C779" s="98"/>
      <c r="D779" s="98"/>
      <c r="E779" s="98"/>
      <c r="F779" s="98"/>
      <c r="G779" s="98"/>
      <c r="H779" s="98"/>
      <c r="I779" s="98"/>
      <c r="J779" s="98"/>
      <c r="K779" s="98"/>
      <c r="L779" s="98"/>
    </row>
    <row r="780">
      <c r="A780" s="98"/>
      <c r="B780" s="98"/>
      <c r="C780" s="98"/>
      <c r="D780" s="98"/>
      <c r="E780" s="98"/>
      <c r="F780" s="98"/>
      <c r="G780" s="98"/>
      <c r="H780" s="98"/>
      <c r="I780" s="98"/>
      <c r="J780" s="98"/>
      <c r="K780" s="98"/>
      <c r="L780" s="98"/>
    </row>
    <row r="781">
      <c r="A781" s="98"/>
      <c r="B781" s="98"/>
      <c r="C781" s="98"/>
      <c r="D781" s="98"/>
      <c r="E781" s="98"/>
      <c r="F781" s="98"/>
      <c r="G781" s="98"/>
      <c r="H781" s="98"/>
      <c r="I781" s="98"/>
      <c r="J781" s="98"/>
      <c r="K781" s="98"/>
      <c r="L781" s="98"/>
    </row>
    <row r="782">
      <c r="A782" s="98"/>
      <c r="B782" s="98"/>
      <c r="C782" s="98"/>
      <c r="D782" s="98"/>
      <c r="E782" s="98"/>
      <c r="F782" s="98"/>
      <c r="G782" s="98"/>
      <c r="H782" s="98"/>
      <c r="I782" s="98"/>
      <c r="J782" s="98"/>
      <c r="K782" s="98"/>
      <c r="L782" s="98"/>
    </row>
    <row r="783">
      <c r="A783" s="98"/>
      <c r="B783" s="98"/>
      <c r="C783" s="98"/>
      <c r="D783" s="98"/>
      <c r="E783" s="98"/>
      <c r="F783" s="98"/>
      <c r="G783" s="98"/>
      <c r="H783" s="98"/>
      <c r="I783" s="98"/>
      <c r="J783" s="98"/>
      <c r="K783" s="98"/>
      <c r="L783" s="98"/>
    </row>
    <row r="784">
      <c r="A784" s="98"/>
      <c r="B784" s="98"/>
      <c r="C784" s="98"/>
      <c r="D784" s="98"/>
      <c r="E784" s="98"/>
      <c r="F784" s="98"/>
      <c r="G784" s="98"/>
      <c r="H784" s="98"/>
      <c r="I784" s="98"/>
      <c r="J784" s="98"/>
      <c r="K784" s="98"/>
      <c r="L784" s="98"/>
    </row>
    <row r="785">
      <c r="A785" s="98"/>
      <c r="B785" s="98"/>
      <c r="C785" s="98"/>
      <c r="D785" s="98"/>
      <c r="E785" s="98"/>
      <c r="F785" s="98"/>
      <c r="G785" s="98"/>
      <c r="H785" s="98"/>
      <c r="I785" s="98"/>
      <c r="J785" s="98"/>
      <c r="K785" s="98"/>
      <c r="L785" s="98"/>
    </row>
    <row r="786">
      <c r="A786" s="98"/>
      <c r="B786" s="98"/>
      <c r="C786" s="98"/>
      <c r="D786" s="98"/>
      <c r="E786" s="98"/>
      <c r="F786" s="98"/>
      <c r="G786" s="98"/>
      <c r="H786" s="98"/>
      <c r="I786" s="98"/>
      <c r="J786" s="98"/>
      <c r="K786" s="98"/>
      <c r="L786" s="98"/>
    </row>
    <row r="787">
      <c r="A787" s="98"/>
      <c r="B787" s="98"/>
      <c r="C787" s="98"/>
      <c r="D787" s="98"/>
      <c r="E787" s="98"/>
      <c r="F787" s="98"/>
      <c r="G787" s="98"/>
      <c r="H787" s="98"/>
      <c r="I787" s="98"/>
      <c r="J787" s="98"/>
      <c r="K787" s="98"/>
      <c r="L787" s="98"/>
    </row>
    <row r="788">
      <c r="A788" s="98"/>
      <c r="B788" s="98"/>
      <c r="C788" s="98"/>
      <c r="D788" s="98"/>
      <c r="E788" s="98"/>
      <c r="F788" s="98"/>
      <c r="G788" s="98"/>
      <c r="H788" s="98"/>
      <c r="I788" s="98"/>
      <c r="J788" s="98"/>
      <c r="K788" s="98"/>
      <c r="L788" s="98"/>
    </row>
    <row r="789">
      <c r="A789" s="98"/>
      <c r="B789" s="98"/>
      <c r="C789" s="98"/>
      <c r="D789" s="98"/>
      <c r="E789" s="98"/>
      <c r="F789" s="98"/>
      <c r="G789" s="98"/>
      <c r="H789" s="98"/>
      <c r="I789" s="98"/>
      <c r="J789" s="98"/>
      <c r="K789" s="98"/>
      <c r="L789" s="98"/>
    </row>
    <row r="790">
      <c r="A790" s="98"/>
      <c r="B790" s="98"/>
      <c r="C790" s="98"/>
      <c r="D790" s="98"/>
      <c r="E790" s="98"/>
      <c r="F790" s="98"/>
      <c r="G790" s="98"/>
      <c r="H790" s="98"/>
      <c r="I790" s="98"/>
      <c r="J790" s="98"/>
      <c r="K790" s="98"/>
      <c r="L790" s="98"/>
    </row>
    <row r="791">
      <c r="A791" s="98"/>
      <c r="B791" s="98"/>
      <c r="C791" s="98"/>
      <c r="D791" s="98"/>
      <c r="E791" s="98"/>
      <c r="F791" s="98"/>
      <c r="G791" s="98"/>
      <c r="H791" s="98"/>
      <c r="I791" s="98"/>
      <c r="J791" s="98"/>
      <c r="K791" s="98"/>
      <c r="L791" s="98"/>
    </row>
    <row r="792">
      <c r="A792" s="98"/>
      <c r="B792" s="98"/>
      <c r="C792" s="98"/>
      <c r="D792" s="98"/>
      <c r="E792" s="98"/>
      <c r="F792" s="98"/>
      <c r="G792" s="98"/>
      <c r="H792" s="98"/>
      <c r="I792" s="98"/>
      <c r="J792" s="98"/>
      <c r="K792" s="98"/>
      <c r="L792" s="98"/>
    </row>
    <row r="793">
      <c r="A793" s="98"/>
      <c r="B793" s="98"/>
      <c r="C793" s="98"/>
      <c r="D793" s="98"/>
      <c r="E793" s="98"/>
      <c r="F793" s="98"/>
      <c r="G793" s="98"/>
      <c r="H793" s="98"/>
      <c r="I793" s="98"/>
      <c r="J793" s="98"/>
      <c r="K793" s="98"/>
      <c r="L793" s="98"/>
    </row>
    <row r="794">
      <c r="A794" s="98"/>
      <c r="B794" s="98"/>
      <c r="C794" s="98"/>
      <c r="D794" s="98"/>
      <c r="E794" s="98"/>
      <c r="F794" s="98"/>
      <c r="G794" s="98"/>
      <c r="H794" s="98"/>
      <c r="I794" s="98"/>
      <c r="J794" s="98"/>
      <c r="K794" s="98"/>
      <c r="L794" s="98"/>
    </row>
    <row r="795">
      <c r="A795" s="98"/>
      <c r="B795" s="98"/>
      <c r="C795" s="98"/>
      <c r="D795" s="98"/>
      <c r="E795" s="98"/>
      <c r="F795" s="98"/>
      <c r="G795" s="98"/>
      <c r="H795" s="98"/>
      <c r="I795" s="98"/>
      <c r="J795" s="98"/>
      <c r="K795" s="98"/>
      <c r="L795" s="98"/>
    </row>
    <row r="796">
      <c r="A796" s="98"/>
      <c r="B796" s="98"/>
      <c r="C796" s="98"/>
      <c r="D796" s="98"/>
      <c r="E796" s="98"/>
      <c r="F796" s="98"/>
      <c r="G796" s="98"/>
      <c r="H796" s="98"/>
      <c r="I796" s="98"/>
      <c r="J796" s="98"/>
      <c r="K796" s="98"/>
      <c r="L796" s="98"/>
    </row>
    <row r="797">
      <c r="A797" s="98"/>
      <c r="B797" s="98"/>
      <c r="C797" s="98"/>
      <c r="D797" s="98"/>
      <c r="E797" s="98"/>
      <c r="F797" s="98"/>
      <c r="G797" s="98"/>
      <c r="H797" s="98"/>
      <c r="I797" s="98"/>
      <c r="J797" s="98"/>
      <c r="K797" s="98"/>
      <c r="L797" s="98"/>
    </row>
    <row r="798">
      <c r="A798" s="98"/>
      <c r="B798" s="98"/>
      <c r="C798" s="98"/>
      <c r="D798" s="98"/>
      <c r="E798" s="98"/>
      <c r="F798" s="98"/>
      <c r="G798" s="98"/>
      <c r="H798" s="98"/>
      <c r="I798" s="98"/>
      <c r="J798" s="98"/>
      <c r="K798" s="98"/>
      <c r="L798" s="98"/>
    </row>
    <row r="799">
      <c r="A799" s="98"/>
      <c r="B799" s="98"/>
      <c r="C799" s="98"/>
      <c r="D799" s="98"/>
      <c r="E799" s="98"/>
      <c r="F799" s="98"/>
      <c r="G799" s="98"/>
      <c r="H799" s="98"/>
      <c r="I799" s="98"/>
      <c r="J799" s="98"/>
      <c r="K799" s="98"/>
      <c r="L799" s="98"/>
    </row>
    <row r="800">
      <c r="A800" s="98"/>
      <c r="B800" s="98"/>
      <c r="C800" s="98"/>
      <c r="D800" s="98"/>
      <c r="E800" s="98"/>
      <c r="F800" s="98"/>
      <c r="G800" s="98"/>
      <c r="H800" s="98"/>
      <c r="I800" s="98"/>
      <c r="J800" s="98"/>
      <c r="K800" s="98"/>
      <c r="L800" s="98"/>
    </row>
    <row r="801">
      <c r="A801" s="98"/>
      <c r="B801" s="98"/>
      <c r="C801" s="98"/>
      <c r="D801" s="98"/>
      <c r="E801" s="98"/>
      <c r="F801" s="98"/>
      <c r="G801" s="98"/>
      <c r="H801" s="98"/>
      <c r="I801" s="98"/>
      <c r="J801" s="98"/>
      <c r="K801" s="98"/>
      <c r="L801" s="98"/>
    </row>
    <row r="802">
      <c r="A802" s="98"/>
      <c r="B802" s="98"/>
      <c r="C802" s="98"/>
      <c r="D802" s="98"/>
      <c r="E802" s="98"/>
      <c r="F802" s="98"/>
      <c r="G802" s="98"/>
      <c r="H802" s="98"/>
      <c r="I802" s="98"/>
      <c r="J802" s="98"/>
      <c r="K802" s="98"/>
      <c r="L802" s="98"/>
    </row>
    <row r="803">
      <c r="A803" s="98"/>
      <c r="B803" s="98"/>
      <c r="C803" s="98"/>
      <c r="D803" s="98"/>
      <c r="E803" s="98"/>
      <c r="F803" s="98"/>
      <c r="G803" s="98"/>
      <c r="H803" s="98"/>
      <c r="I803" s="98"/>
      <c r="J803" s="98"/>
      <c r="K803" s="98"/>
      <c r="L803" s="98"/>
    </row>
    <row r="804">
      <c r="A804" s="98"/>
      <c r="B804" s="98"/>
      <c r="C804" s="98"/>
      <c r="D804" s="98"/>
      <c r="E804" s="98"/>
      <c r="F804" s="98"/>
      <c r="G804" s="98"/>
      <c r="H804" s="98"/>
      <c r="I804" s="98"/>
      <c r="J804" s="98"/>
      <c r="K804" s="98"/>
      <c r="L804" s="98"/>
    </row>
    <row r="805">
      <c r="A805" s="98"/>
      <c r="B805" s="98"/>
      <c r="C805" s="98"/>
      <c r="D805" s="98"/>
      <c r="E805" s="98"/>
      <c r="F805" s="98"/>
      <c r="G805" s="98"/>
      <c r="H805" s="98"/>
      <c r="I805" s="98"/>
      <c r="J805" s="98"/>
      <c r="K805" s="98"/>
      <c r="L805" s="98"/>
    </row>
    <row r="806">
      <c r="A806" s="98"/>
      <c r="B806" s="98"/>
      <c r="C806" s="98"/>
      <c r="D806" s="98"/>
      <c r="E806" s="98"/>
      <c r="F806" s="98"/>
      <c r="G806" s="98"/>
      <c r="H806" s="98"/>
      <c r="I806" s="98"/>
      <c r="J806" s="98"/>
      <c r="K806" s="98"/>
      <c r="L806" s="98"/>
    </row>
    <row r="807">
      <c r="A807" s="98"/>
      <c r="B807" s="98"/>
      <c r="C807" s="98"/>
      <c r="D807" s="98"/>
      <c r="E807" s="98"/>
      <c r="F807" s="98"/>
      <c r="G807" s="98"/>
      <c r="H807" s="98"/>
      <c r="I807" s="98"/>
      <c r="J807" s="98"/>
      <c r="K807" s="98"/>
      <c r="L807" s="98"/>
    </row>
    <row r="808">
      <c r="A808" s="98"/>
      <c r="B808" s="98"/>
      <c r="C808" s="98"/>
      <c r="D808" s="98"/>
      <c r="E808" s="98"/>
      <c r="F808" s="98"/>
      <c r="G808" s="98"/>
      <c r="H808" s="98"/>
      <c r="I808" s="98"/>
      <c r="J808" s="98"/>
      <c r="K808" s="98"/>
      <c r="L808" s="98"/>
    </row>
    <row r="809">
      <c r="A809" s="98"/>
      <c r="B809" s="98"/>
      <c r="C809" s="98"/>
      <c r="D809" s="98"/>
      <c r="E809" s="98"/>
      <c r="F809" s="98"/>
      <c r="G809" s="98"/>
      <c r="H809" s="98"/>
      <c r="I809" s="98"/>
      <c r="J809" s="98"/>
      <c r="K809" s="98"/>
      <c r="L809" s="98"/>
    </row>
    <row r="810">
      <c r="A810" s="98"/>
      <c r="B810" s="98"/>
      <c r="C810" s="98"/>
      <c r="D810" s="98"/>
      <c r="E810" s="98"/>
      <c r="F810" s="98"/>
      <c r="G810" s="98"/>
      <c r="H810" s="98"/>
      <c r="I810" s="98"/>
      <c r="J810" s="98"/>
      <c r="K810" s="98"/>
      <c r="L810" s="98"/>
    </row>
    <row r="811">
      <c r="A811" s="98"/>
      <c r="B811" s="98"/>
      <c r="C811" s="98"/>
      <c r="D811" s="98"/>
      <c r="E811" s="98"/>
      <c r="F811" s="98"/>
      <c r="G811" s="98"/>
      <c r="H811" s="98"/>
      <c r="I811" s="98"/>
      <c r="J811" s="98"/>
      <c r="K811" s="98"/>
      <c r="L811" s="98"/>
    </row>
    <row r="812">
      <c r="A812" s="98"/>
      <c r="B812" s="98"/>
      <c r="C812" s="98"/>
      <c r="D812" s="98"/>
      <c r="E812" s="98"/>
      <c r="F812" s="98"/>
      <c r="G812" s="98"/>
      <c r="H812" s="98"/>
      <c r="I812" s="98"/>
      <c r="J812" s="98"/>
      <c r="K812" s="98"/>
      <c r="L812" s="98"/>
    </row>
    <row r="813">
      <c r="A813" s="98"/>
      <c r="B813" s="98"/>
      <c r="C813" s="98"/>
      <c r="D813" s="98"/>
      <c r="E813" s="98"/>
      <c r="F813" s="98"/>
      <c r="G813" s="98"/>
      <c r="H813" s="98"/>
      <c r="I813" s="98"/>
      <c r="J813" s="98"/>
      <c r="K813" s="98"/>
      <c r="L813" s="98"/>
    </row>
    <row r="814">
      <c r="A814" s="98"/>
      <c r="B814" s="98"/>
      <c r="C814" s="98"/>
      <c r="D814" s="98"/>
      <c r="E814" s="98"/>
      <c r="F814" s="98"/>
      <c r="G814" s="98"/>
      <c r="H814" s="98"/>
      <c r="I814" s="98"/>
      <c r="J814" s="98"/>
      <c r="K814" s="98"/>
      <c r="L814" s="98"/>
    </row>
    <row r="815">
      <c r="A815" s="98"/>
      <c r="B815" s="98"/>
      <c r="C815" s="98"/>
      <c r="D815" s="98"/>
      <c r="E815" s="98"/>
      <c r="F815" s="98"/>
      <c r="G815" s="98"/>
      <c r="H815" s="98"/>
      <c r="I815" s="98"/>
      <c r="J815" s="98"/>
      <c r="K815" s="98"/>
      <c r="L815" s="98"/>
    </row>
    <row r="816">
      <c r="A816" s="98"/>
      <c r="B816" s="98"/>
      <c r="C816" s="98"/>
      <c r="D816" s="98"/>
      <c r="E816" s="98"/>
      <c r="F816" s="98"/>
      <c r="G816" s="98"/>
      <c r="H816" s="98"/>
      <c r="I816" s="98"/>
      <c r="J816" s="98"/>
      <c r="K816" s="98"/>
      <c r="L816" s="98"/>
    </row>
    <row r="817">
      <c r="A817" s="98"/>
      <c r="B817" s="98"/>
      <c r="C817" s="98"/>
      <c r="D817" s="98"/>
      <c r="E817" s="98"/>
      <c r="F817" s="98"/>
      <c r="G817" s="98"/>
      <c r="H817" s="98"/>
      <c r="I817" s="98"/>
      <c r="J817" s="98"/>
      <c r="K817" s="98"/>
      <c r="L817" s="98"/>
    </row>
    <row r="818">
      <c r="A818" s="98"/>
      <c r="B818" s="98"/>
      <c r="C818" s="98"/>
      <c r="D818" s="98"/>
      <c r="E818" s="98"/>
      <c r="F818" s="98"/>
      <c r="G818" s="98"/>
      <c r="H818" s="98"/>
      <c r="I818" s="98"/>
      <c r="J818" s="98"/>
      <c r="K818" s="98"/>
      <c r="L818" s="98"/>
    </row>
    <row r="819">
      <c r="A819" s="98"/>
      <c r="B819" s="98"/>
      <c r="C819" s="98"/>
      <c r="D819" s="98"/>
      <c r="E819" s="98"/>
      <c r="F819" s="98"/>
      <c r="G819" s="98"/>
      <c r="H819" s="98"/>
      <c r="I819" s="98"/>
      <c r="J819" s="98"/>
      <c r="K819" s="98"/>
      <c r="L819" s="98"/>
    </row>
    <row r="820">
      <c r="A820" s="98"/>
      <c r="B820" s="98"/>
      <c r="C820" s="98"/>
      <c r="D820" s="98"/>
      <c r="E820" s="98"/>
      <c r="F820" s="98"/>
      <c r="G820" s="98"/>
      <c r="H820" s="98"/>
      <c r="I820" s="98"/>
      <c r="J820" s="98"/>
      <c r="K820" s="98"/>
      <c r="L820" s="98"/>
    </row>
    <row r="821">
      <c r="A821" s="98"/>
      <c r="B821" s="98"/>
      <c r="C821" s="98"/>
      <c r="D821" s="98"/>
      <c r="E821" s="98"/>
      <c r="F821" s="98"/>
      <c r="G821" s="98"/>
      <c r="H821" s="98"/>
      <c r="I821" s="98"/>
      <c r="J821" s="98"/>
      <c r="K821" s="98"/>
      <c r="L821" s="98"/>
    </row>
    <row r="822">
      <c r="A822" s="98"/>
      <c r="B822" s="98"/>
      <c r="C822" s="98"/>
      <c r="D822" s="98"/>
      <c r="E822" s="98"/>
      <c r="F822" s="98"/>
      <c r="G822" s="98"/>
      <c r="H822" s="98"/>
      <c r="I822" s="98"/>
      <c r="J822" s="98"/>
      <c r="K822" s="98"/>
      <c r="L822" s="98"/>
    </row>
    <row r="823">
      <c r="A823" s="98"/>
      <c r="B823" s="98"/>
      <c r="C823" s="98"/>
      <c r="D823" s="98"/>
      <c r="E823" s="98"/>
      <c r="F823" s="98"/>
      <c r="G823" s="98"/>
      <c r="H823" s="98"/>
      <c r="I823" s="98"/>
      <c r="J823" s="98"/>
      <c r="K823" s="98"/>
      <c r="L823" s="98"/>
    </row>
    <row r="824">
      <c r="A824" s="98"/>
      <c r="B824" s="98"/>
      <c r="C824" s="98"/>
      <c r="D824" s="98"/>
      <c r="E824" s="98"/>
      <c r="F824" s="98"/>
      <c r="G824" s="98"/>
      <c r="H824" s="98"/>
      <c r="I824" s="98"/>
      <c r="J824" s="98"/>
      <c r="K824" s="98"/>
      <c r="L824" s="98"/>
    </row>
    <row r="825">
      <c r="A825" s="98"/>
      <c r="B825" s="98"/>
      <c r="C825" s="98"/>
      <c r="D825" s="98"/>
      <c r="E825" s="98"/>
      <c r="F825" s="98"/>
      <c r="G825" s="98"/>
      <c r="H825" s="98"/>
      <c r="I825" s="98"/>
      <c r="J825" s="98"/>
      <c r="K825" s="98"/>
      <c r="L825" s="98"/>
    </row>
    <row r="826">
      <c r="A826" s="98"/>
      <c r="B826" s="98"/>
      <c r="C826" s="98"/>
      <c r="D826" s="98"/>
      <c r="E826" s="98"/>
      <c r="F826" s="98"/>
      <c r="G826" s="98"/>
      <c r="H826" s="98"/>
      <c r="I826" s="98"/>
      <c r="J826" s="98"/>
      <c r="K826" s="98"/>
      <c r="L826" s="98"/>
    </row>
    <row r="827">
      <c r="A827" s="98"/>
      <c r="B827" s="98"/>
      <c r="C827" s="98"/>
      <c r="D827" s="98"/>
      <c r="E827" s="98"/>
      <c r="F827" s="98"/>
      <c r="G827" s="98"/>
      <c r="H827" s="98"/>
      <c r="I827" s="98"/>
      <c r="J827" s="98"/>
      <c r="K827" s="98"/>
      <c r="L827" s="98"/>
    </row>
    <row r="828">
      <c r="A828" s="98"/>
      <c r="B828" s="98"/>
      <c r="C828" s="98"/>
      <c r="D828" s="98"/>
      <c r="E828" s="98"/>
      <c r="F828" s="98"/>
      <c r="G828" s="98"/>
      <c r="H828" s="98"/>
      <c r="I828" s="98"/>
      <c r="J828" s="98"/>
      <c r="K828" s="98"/>
      <c r="L828" s="98"/>
    </row>
    <row r="829">
      <c r="A829" s="98"/>
      <c r="B829" s="98"/>
      <c r="C829" s="98"/>
      <c r="D829" s="98"/>
      <c r="E829" s="98"/>
      <c r="F829" s="98"/>
      <c r="G829" s="98"/>
      <c r="H829" s="98"/>
      <c r="I829" s="98"/>
      <c r="J829" s="98"/>
      <c r="K829" s="98"/>
      <c r="L829" s="98"/>
    </row>
    <row r="830">
      <c r="A830" s="98"/>
      <c r="B830" s="98"/>
      <c r="C830" s="98"/>
      <c r="D830" s="98"/>
      <c r="E830" s="98"/>
      <c r="F830" s="98"/>
      <c r="G830" s="98"/>
      <c r="H830" s="98"/>
      <c r="I830" s="98"/>
      <c r="J830" s="98"/>
      <c r="K830" s="98"/>
      <c r="L830" s="98"/>
    </row>
    <row r="831">
      <c r="A831" s="98"/>
      <c r="B831" s="98"/>
      <c r="C831" s="98"/>
      <c r="D831" s="98"/>
      <c r="E831" s="98"/>
      <c r="F831" s="98"/>
      <c r="G831" s="98"/>
      <c r="H831" s="98"/>
      <c r="I831" s="98"/>
      <c r="J831" s="98"/>
      <c r="K831" s="98"/>
      <c r="L831" s="98"/>
    </row>
    <row r="832">
      <c r="A832" s="98"/>
      <c r="B832" s="98"/>
      <c r="C832" s="98"/>
      <c r="D832" s="98"/>
      <c r="E832" s="98"/>
      <c r="F832" s="98"/>
      <c r="G832" s="98"/>
      <c r="H832" s="98"/>
      <c r="I832" s="98"/>
      <c r="J832" s="98"/>
      <c r="K832" s="98"/>
      <c r="L832" s="98"/>
    </row>
    <row r="833">
      <c r="A833" s="98"/>
      <c r="B833" s="98"/>
      <c r="C833" s="98"/>
      <c r="D833" s="98"/>
      <c r="E833" s="98"/>
      <c r="F833" s="98"/>
      <c r="G833" s="98"/>
      <c r="H833" s="98"/>
      <c r="I833" s="98"/>
      <c r="J833" s="98"/>
      <c r="K833" s="98"/>
      <c r="L833" s="98"/>
    </row>
    <row r="834">
      <c r="A834" s="98"/>
      <c r="B834" s="98"/>
      <c r="C834" s="98"/>
      <c r="D834" s="98"/>
      <c r="E834" s="98"/>
      <c r="F834" s="98"/>
      <c r="G834" s="98"/>
      <c r="H834" s="98"/>
      <c r="I834" s="98"/>
      <c r="J834" s="98"/>
      <c r="K834" s="98"/>
      <c r="L834" s="98"/>
    </row>
    <row r="835">
      <c r="A835" s="98"/>
      <c r="B835" s="98"/>
      <c r="C835" s="98"/>
      <c r="D835" s="98"/>
      <c r="E835" s="98"/>
      <c r="F835" s="98"/>
      <c r="G835" s="98"/>
      <c r="H835" s="98"/>
      <c r="I835" s="98"/>
      <c r="J835" s="98"/>
      <c r="K835" s="98"/>
      <c r="L835" s="98"/>
    </row>
    <row r="836">
      <c r="A836" s="98"/>
      <c r="B836" s="98"/>
      <c r="C836" s="98"/>
      <c r="D836" s="98"/>
      <c r="E836" s="98"/>
      <c r="F836" s="98"/>
      <c r="G836" s="98"/>
      <c r="H836" s="98"/>
      <c r="I836" s="98"/>
      <c r="J836" s="98"/>
      <c r="K836" s="98"/>
      <c r="L836" s="98"/>
    </row>
    <row r="837">
      <c r="A837" s="98"/>
      <c r="B837" s="98"/>
      <c r="C837" s="98"/>
      <c r="D837" s="98"/>
      <c r="E837" s="98"/>
      <c r="F837" s="98"/>
      <c r="G837" s="98"/>
      <c r="H837" s="98"/>
      <c r="I837" s="98"/>
      <c r="J837" s="98"/>
      <c r="K837" s="98"/>
      <c r="L837" s="98"/>
    </row>
    <row r="838">
      <c r="A838" s="98"/>
      <c r="B838" s="98"/>
      <c r="C838" s="98"/>
      <c r="D838" s="98"/>
      <c r="E838" s="98"/>
      <c r="F838" s="98"/>
      <c r="G838" s="98"/>
      <c r="H838" s="98"/>
      <c r="I838" s="98"/>
      <c r="J838" s="98"/>
      <c r="K838" s="98"/>
      <c r="L838" s="98"/>
    </row>
    <row r="839">
      <c r="A839" s="98"/>
      <c r="B839" s="98"/>
      <c r="C839" s="98"/>
      <c r="D839" s="98"/>
      <c r="E839" s="98"/>
      <c r="F839" s="98"/>
      <c r="G839" s="98"/>
      <c r="H839" s="98"/>
      <c r="I839" s="98"/>
      <c r="J839" s="98"/>
      <c r="K839" s="98"/>
      <c r="L839" s="98"/>
    </row>
    <row r="840">
      <c r="A840" s="98"/>
      <c r="B840" s="98"/>
      <c r="C840" s="98"/>
      <c r="D840" s="98"/>
      <c r="E840" s="98"/>
      <c r="F840" s="98"/>
      <c r="G840" s="98"/>
      <c r="H840" s="98"/>
      <c r="I840" s="98"/>
      <c r="J840" s="98"/>
      <c r="K840" s="98"/>
      <c r="L840" s="98"/>
    </row>
    <row r="841">
      <c r="A841" s="98"/>
      <c r="B841" s="98"/>
      <c r="C841" s="98"/>
      <c r="D841" s="98"/>
      <c r="E841" s="98"/>
      <c r="F841" s="98"/>
      <c r="G841" s="98"/>
      <c r="H841" s="98"/>
      <c r="I841" s="98"/>
      <c r="J841" s="98"/>
      <c r="K841" s="98"/>
      <c r="L841" s="98"/>
    </row>
    <row r="842">
      <c r="A842" s="98"/>
      <c r="B842" s="98"/>
      <c r="C842" s="98"/>
      <c r="D842" s="98"/>
      <c r="E842" s="98"/>
      <c r="F842" s="98"/>
      <c r="G842" s="98"/>
      <c r="H842" s="98"/>
      <c r="I842" s="98"/>
      <c r="J842" s="98"/>
      <c r="K842" s="98"/>
      <c r="L842" s="98"/>
    </row>
    <row r="843">
      <c r="A843" s="98"/>
      <c r="B843" s="98"/>
      <c r="C843" s="98"/>
      <c r="D843" s="98"/>
      <c r="E843" s="98"/>
      <c r="F843" s="98"/>
      <c r="G843" s="98"/>
      <c r="H843" s="98"/>
      <c r="I843" s="98"/>
      <c r="J843" s="98"/>
      <c r="K843" s="98"/>
      <c r="L843" s="98"/>
    </row>
    <row r="844">
      <c r="A844" s="98"/>
      <c r="B844" s="98"/>
      <c r="C844" s="98"/>
      <c r="D844" s="98"/>
      <c r="E844" s="98"/>
      <c r="F844" s="98"/>
      <c r="G844" s="98"/>
      <c r="H844" s="98"/>
      <c r="I844" s="98"/>
      <c r="J844" s="98"/>
      <c r="K844" s="98"/>
      <c r="L844" s="98"/>
    </row>
    <row r="845">
      <c r="A845" s="98"/>
      <c r="B845" s="98"/>
      <c r="C845" s="98"/>
      <c r="D845" s="98"/>
      <c r="E845" s="98"/>
      <c r="F845" s="98"/>
      <c r="G845" s="98"/>
      <c r="H845" s="98"/>
      <c r="I845" s="98"/>
      <c r="J845" s="98"/>
      <c r="K845" s="98"/>
      <c r="L845" s="98"/>
    </row>
    <row r="846">
      <c r="A846" s="98"/>
      <c r="B846" s="98"/>
      <c r="C846" s="98"/>
      <c r="D846" s="98"/>
      <c r="E846" s="98"/>
      <c r="F846" s="98"/>
      <c r="G846" s="98"/>
      <c r="H846" s="98"/>
      <c r="I846" s="98"/>
      <c r="J846" s="98"/>
      <c r="K846" s="98"/>
      <c r="L846" s="98"/>
    </row>
    <row r="847">
      <c r="A847" s="98"/>
      <c r="B847" s="98"/>
      <c r="C847" s="98"/>
      <c r="D847" s="98"/>
      <c r="E847" s="98"/>
      <c r="F847" s="98"/>
      <c r="G847" s="98"/>
      <c r="H847" s="98"/>
      <c r="I847" s="98"/>
      <c r="J847" s="98"/>
      <c r="K847" s="98"/>
      <c r="L847" s="98"/>
    </row>
    <row r="848">
      <c r="A848" s="98"/>
      <c r="B848" s="98"/>
      <c r="C848" s="98"/>
      <c r="D848" s="98"/>
      <c r="E848" s="98"/>
      <c r="F848" s="98"/>
      <c r="G848" s="98"/>
      <c r="H848" s="98"/>
      <c r="I848" s="98"/>
      <c r="J848" s="98"/>
      <c r="K848" s="98"/>
      <c r="L848" s="98"/>
    </row>
    <row r="849">
      <c r="A849" s="98"/>
      <c r="B849" s="98"/>
      <c r="C849" s="98"/>
      <c r="D849" s="98"/>
      <c r="E849" s="98"/>
      <c r="F849" s="98"/>
      <c r="G849" s="98"/>
      <c r="H849" s="98"/>
      <c r="I849" s="98"/>
      <c r="J849" s="98"/>
      <c r="K849" s="98"/>
      <c r="L849" s="98"/>
    </row>
    <row r="850">
      <c r="A850" s="98"/>
      <c r="B850" s="98"/>
      <c r="C850" s="98"/>
      <c r="D850" s="98"/>
      <c r="E850" s="98"/>
      <c r="F850" s="98"/>
      <c r="G850" s="98"/>
      <c r="H850" s="98"/>
      <c r="I850" s="98"/>
      <c r="J850" s="98"/>
      <c r="K850" s="98"/>
      <c r="L850" s="98"/>
    </row>
    <row r="851">
      <c r="A851" s="98"/>
      <c r="B851" s="98"/>
      <c r="C851" s="98"/>
      <c r="D851" s="98"/>
      <c r="E851" s="98"/>
      <c r="F851" s="98"/>
      <c r="G851" s="98"/>
      <c r="H851" s="98"/>
      <c r="I851" s="98"/>
      <c r="J851" s="98"/>
      <c r="K851" s="98"/>
      <c r="L851" s="98"/>
    </row>
    <row r="852">
      <c r="A852" s="98"/>
      <c r="B852" s="98"/>
      <c r="C852" s="98"/>
      <c r="D852" s="98"/>
      <c r="E852" s="98"/>
      <c r="F852" s="98"/>
      <c r="G852" s="98"/>
      <c r="H852" s="98"/>
      <c r="I852" s="98"/>
      <c r="J852" s="98"/>
      <c r="K852" s="98"/>
      <c r="L852" s="98"/>
    </row>
    <row r="853">
      <c r="A853" s="98"/>
      <c r="B853" s="98"/>
      <c r="C853" s="98"/>
      <c r="D853" s="98"/>
      <c r="E853" s="98"/>
      <c r="F853" s="98"/>
      <c r="G853" s="98"/>
      <c r="H853" s="98"/>
      <c r="I853" s="98"/>
      <c r="J853" s="98"/>
      <c r="K853" s="98"/>
      <c r="L853" s="98"/>
    </row>
    <row r="854">
      <c r="A854" s="98"/>
      <c r="B854" s="98"/>
      <c r="C854" s="98"/>
      <c r="D854" s="98"/>
      <c r="E854" s="98"/>
      <c r="F854" s="98"/>
      <c r="G854" s="98"/>
      <c r="H854" s="98"/>
      <c r="I854" s="98"/>
      <c r="J854" s="98"/>
      <c r="K854" s="98"/>
      <c r="L854" s="98"/>
    </row>
    <row r="855">
      <c r="A855" s="98"/>
      <c r="B855" s="98"/>
      <c r="C855" s="98"/>
      <c r="D855" s="98"/>
      <c r="E855" s="98"/>
      <c r="F855" s="98"/>
      <c r="G855" s="98"/>
      <c r="H855" s="98"/>
      <c r="I855" s="98"/>
      <c r="J855" s="98"/>
      <c r="K855" s="98"/>
      <c r="L855" s="98"/>
    </row>
    <row r="856">
      <c r="A856" s="98"/>
      <c r="B856" s="98"/>
      <c r="C856" s="98"/>
      <c r="D856" s="98"/>
      <c r="E856" s="98"/>
      <c r="F856" s="98"/>
      <c r="G856" s="98"/>
      <c r="H856" s="98"/>
      <c r="I856" s="98"/>
      <c r="J856" s="98"/>
      <c r="K856" s="98"/>
      <c r="L856" s="98"/>
    </row>
    <row r="857">
      <c r="A857" s="98"/>
      <c r="B857" s="98"/>
      <c r="C857" s="98"/>
      <c r="D857" s="98"/>
      <c r="E857" s="98"/>
      <c r="F857" s="98"/>
      <c r="G857" s="98"/>
      <c r="H857" s="98"/>
      <c r="I857" s="98"/>
      <c r="J857" s="98"/>
      <c r="K857" s="98"/>
      <c r="L857" s="98"/>
    </row>
    <row r="858">
      <c r="A858" s="98"/>
      <c r="B858" s="98"/>
      <c r="C858" s="98"/>
      <c r="D858" s="98"/>
      <c r="E858" s="98"/>
      <c r="F858" s="98"/>
      <c r="G858" s="98"/>
      <c r="H858" s="98"/>
      <c r="I858" s="98"/>
      <c r="J858" s="98"/>
      <c r="K858" s="98"/>
      <c r="L858" s="98"/>
    </row>
    <row r="859">
      <c r="A859" s="98"/>
      <c r="B859" s="98"/>
      <c r="C859" s="98"/>
      <c r="D859" s="98"/>
      <c r="E859" s="98"/>
      <c r="F859" s="98"/>
      <c r="G859" s="98"/>
      <c r="H859" s="98"/>
      <c r="I859" s="98"/>
      <c r="J859" s="98"/>
      <c r="K859" s="98"/>
      <c r="L859" s="98"/>
    </row>
    <row r="860">
      <c r="A860" s="98"/>
      <c r="B860" s="98"/>
      <c r="C860" s="98"/>
      <c r="D860" s="98"/>
      <c r="E860" s="98"/>
      <c r="F860" s="98"/>
      <c r="G860" s="98"/>
      <c r="H860" s="98"/>
      <c r="I860" s="98"/>
      <c r="J860" s="98"/>
      <c r="K860" s="98"/>
      <c r="L860" s="98"/>
    </row>
    <row r="861">
      <c r="A861" s="98"/>
      <c r="B861" s="98"/>
      <c r="C861" s="98"/>
      <c r="D861" s="98"/>
      <c r="E861" s="98"/>
      <c r="F861" s="98"/>
      <c r="G861" s="98"/>
      <c r="H861" s="98"/>
      <c r="I861" s="98"/>
      <c r="J861" s="98"/>
      <c r="K861" s="98"/>
      <c r="L861" s="98"/>
    </row>
    <row r="862">
      <c r="A862" s="98"/>
      <c r="B862" s="98"/>
      <c r="C862" s="98"/>
      <c r="D862" s="98"/>
      <c r="E862" s="98"/>
      <c r="F862" s="98"/>
      <c r="G862" s="98"/>
      <c r="H862" s="98"/>
      <c r="I862" s="98"/>
      <c r="J862" s="98"/>
      <c r="K862" s="98"/>
      <c r="L862" s="98"/>
    </row>
    <row r="863">
      <c r="A863" s="98"/>
      <c r="B863" s="98"/>
      <c r="C863" s="98"/>
      <c r="D863" s="98"/>
      <c r="E863" s="98"/>
      <c r="F863" s="98"/>
      <c r="G863" s="98"/>
      <c r="H863" s="98"/>
      <c r="I863" s="98"/>
      <c r="J863" s="98"/>
      <c r="K863" s="98"/>
      <c r="L863" s="98"/>
    </row>
    <row r="864">
      <c r="A864" s="98"/>
      <c r="B864" s="98"/>
      <c r="C864" s="98"/>
      <c r="D864" s="98"/>
      <c r="E864" s="98"/>
      <c r="F864" s="98"/>
      <c r="G864" s="98"/>
      <c r="H864" s="98"/>
      <c r="I864" s="98"/>
      <c r="J864" s="98"/>
      <c r="K864" s="98"/>
      <c r="L864" s="98"/>
    </row>
    <row r="865">
      <c r="A865" s="98"/>
      <c r="B865" s="98"/>
      <c r="C865" s="98"/>
      <c r="D865" s="98"/>
      <c r="E865" s="98"/>
      <c r="F865" s="98"/>
      <c r="G865" s="98"/>
      <c r="H865" s="98"/>
      <c r="I865" s="98"/>
      <c r="J865" s="98"/>
      <c r="K865" s="98"/>
      <c r="L865" s="98"/>
    </row>
    <row r="866">
      <c r="A866" s="98"/>
      <c r="B866" s="98"/>
      <c r="C866" s="98"/>
      <c r="D866" s="98"/>
      <c r="E866" s="98"/>
      <c r="F866" s="98"/>
      <c r="G866" s="98"/>
      <c r="H866" s="98"/>
      <c r="I866" s="98"/>
      <c r="J866" s="98"/>
      <c r="K866" s="98"/>
      <c r="L866" s="98"/>
    </row>
    <row r="867">
      <c r="A867" s="98"/>
      <c r="B867" s="98"/>
      <c r="C867" s="98"/>
      <c r="D867" s="98"/>
      <c r="E867" s="98"/>
      <c r="F867" s="98"/>
      <c r="G867" s="98"/>
      <c r="H867" s="98"/>
      <c r="I867" s="98"/>
      <c r="J867" s="98"/>
      <c r="K867" s="98"/>
      <c r="L867" s="98"/>
    </row>
    <row r="868">
      <c r="A868" s="98"/>
      <c r="B868" s="98"/>
      <c r="C868" s="98"/>
      <c r="D868" s="98"/>
      <c r="E868" s="98"/>
      <c r="F868" s="98"/>
      <c r="G868" s="98"/>
      <c r="H868" s="98"/>
      <c r="I868" s="98"/>
      <c r="J868" s="98"/>
      <c r="K868" s="98"/>
      <c r="L868" s="98"/>
    </row>
    <row r="869">
      <c r="A869" s="98"/>
      <c r="B869" s="98"/>
      <c r="C869" s="98"/>
      <c r="D869" s="98"/>
      <c r="E869" s="98"/>
      <c r="F869" s="98"/>
      <c r="G869" s="98"/>
      <c r="H869" s="98"/>
      <c r="I869" s="98"/>
      <c r="J869" s="98"/>
      <c r="K869" s="98"/>
      <c r="L869" s="98"/>
    </row>
    <row r="870">
      <c r="A870" s="98"/>
      <c r="B870" s="98"/>
      <c r="C870" s="98"/>
      <c r="D870" s="98"/>
      <c r="E870" s="98"/>
      <c r="F870" s="98"/>
      <c r="G870" s="98"/>
      <c r="H870" s="98"/>
      <c r="I870" s="98"/>
      <c r="J870" s="98"/>
      <c r="K870" s="98"/>
      <c r="L870" s="98"/>
    </row>
    <row r="871">
      <c r="A871" s="98"/>
      <c r="B871" s="98"/>
      <c r="C871" s="98"/>
      <c r="D871" s="98"/>
      <c r="E871" s="98"/>
      <c r="F871" s="98"/>
      <c r="G871" s="98"/>
      <c r="H871" s="98"/>
      <c r="I871" s="98"/>
      <c r="J871" s="98"/>
      <c r="K871" s="98"/>
      <c r="L871" s="98"/>
    </row>
    <row r="872">
      <c r="A872" s="98"/>
      <c r="B872" s="98"/>
      <c r="C872" s="98"/>
      <c r="D872" s="98"/>
      <c r="E872" s="98"/>
      <c r="F872" s="98"/>
      <c r="G872" s="98"/>
      <c r="H872" s="98"/>
      <c r="I872" s="98"/>
      <c r="J872" s="98"/>
      <c r="K872" s="98"/>
      <c r="L872" s="98"/>
    </row>
    <row r="873">
      <c r="A873" s="98"/>
      <c r="B873" s="98"/>
      <c r="C873" s="98"/>
      <c r="D873" s="98"/>
      <c r="E873" s="98"/>
      <c r="F873" s="98"/>
      <c r="G873" s="98"/>
      <c r="H873" s="98"/>
      <c r="I873" s="98"/>
      <c r="J873" s="98"/>
      <c r="K873" s="98"/>
      <c r="L873" s="98"/>
    </row>
    <row r="874">
      <c r="A874" s="98"/>
      <c r="B874" s="98"/>
      <c r="C874" s="98"/>
      <c r="D874" s="98"/>
      <c r="E874" s="98"/>
      <c r="F874" s="98"/>
      <c r="G874" s="98"/>
      <c r="H874" s="98"/>
      <c r="I874" s="98"/>
      <c r="J874" s="98"/>
      <c r="K874" s="98"/>
      <c r="L874" s="98"/>
    </row>
    <row r="875">
      <c r="A875" s="98"/>
      <c r="B875" s="98"/>
      <c r="C875" s="98"/>
      <c r="D875" s="98"/>
      <c r="E875" s="98"/>
      <c r="F875" s="98"/>
      <c r="G875" s="98"/>
      <c r="H875" s="98"/>
      <c r="I875" s="98"/>
      <c r="J875" s="98"/>
      <c r="K875" s="98"/>
      <c r="L875" s="98"/>
    </row>
    <row r="876">
      <c r="A876" s="98"/>
      <c r="B876" s="98"/>
      <c r="C876" s="98"/>
      <c r="D876" s="98"/>
      <c r="E876" s="98"/>
      <c r="F876" s="98"/>
      <c r="G876" s="98"/>
      <c r="H876" s="98"/>
      <c r="I876" s="98"/>
      <c r="J876" s="98"/>
      <c r="K876" s="98"/>
      <c r="L876" s="98"/>
    </row>
    <row r="877">
      <c r="A877" s="98"/>
      <c r="B877" s="98"/>
      <c r="C877" s="98"/>
      <c r="D877" s="98"/>
      <c r="E877" s="98"/>
      <c r="F877" s="98"/>
      <c r="G877" s="98"/>
      <c r="H877" s="98"/>
      <c r="I877" s="98"/>
      <c r="J877" s="98"/>
      <c r="K877" s="98"/>
      <c r="L877" s="98"/>
    </row>
    <row r="878">
      <c r="A878" s="98"/>
      <c r="B878" s="98"/>
      <c r="C878" s="98"/>
      <c r="D878" s="98"/>
      <c r="E878" s="98"/>
      <c r="F878" s="98"/>
      <c r="G878" s="98"/>
      <c r="H878" s="98"/>
      <c r="I878" s="98"/>
      <c r="J878" s="98"/>
      <c r="K878" s="98"/>
      <c r="L878" s="98"/>
    </row>
    <row r="879">
      <c r="A879" s="98"/>
      <c r="B879" s="98"/>
      <c r="C879" s="98"/>
      <c r="D879" s="98"/>
      <c r="E879" s="98"/>
      <c r="F879" s="98"/>
      <c r="G879" s="98"/>
      <c r="H879" s="98"/>
      <c r="I879" s="98"/>
      <c r="J879" s="98"/>
      <c r="K879" s="98"/>
      <c r="L879" s="98"/>
    </row>
    <row r="880">
      <c r="A880" s="98"/>
      <c r="B880" s="98"/>
      <c r="C880" s="98"/>
      <c r="D880" s="98"/>
      <c r="E880" s="98"/>
      <c r="F880" s="98"/>
      <c r="G880" s="98"/>
      <c r="H880" s="98"/>
      <c r="I880" s="98"/>
      <c r="J880" s="98"/>
      <c r="K880" s="98"/>
      <c r="L880" s="98"/>
    </row>
    <row r="881">
      <c r="A881" s="98"/>
      <c r="B881" s="98"/>
      <c r="C881" s="98"/>
      <c r="D881" s="98"/>
      <c r="E881" s="98"/>
      <c r="F881" s="98"/>
      <c r="G881" s="98"/>
      <c r="H881" s="98"/>
      <c r="I881" s="98"/>
      <c r="J881" s="98"/>
      <c r="K881" s="98"/>
      <c r="L881" s="98"/>
    </row>
    <row r="882">
      <c r="A882" s="98"/>
      <c r="B882" s="98"/>
      <c r="C882" s="98"/>
      <c r="D882" s="98"/>
      <c r="E882" s="98"/>
      <c r="F882" s="98"/>
      <c r="G882" s="98"/>
      <c r="H882" s="98"/>
      <c r="I882" s="98"/>
      <c r="J882" s="98"/>
      <c r="K882" s="98"/>
      <c r="L882" s="98"/>
    </row>
    <row r="883">
      <c r="A883" s="98"/>
      <c r="B883" s="98"/>
      <c r="C883" s="98"/>
      <c r="D883" s="98"/>
      <c r="E883" s="98"/>
      <c r="F883" s="98"/>
      <c r="G883" s="98"/>
      <c r="H883" s="98"/>
      <c r="I883" s="98"/>
      <c r="J883" s="98"/>
      <c r="K883" s="98"/>
      <c r="L883" s="98"/>
    </row>
    <row r="884">
      <c r="A884" s="98"/>
      <c r="B884" s="98"/>
      <c r="C884" s="98"/>
      <c r="D884" s="98"/>
      <c r="E884" s="98"/>
      <c r="F884" s="98"/>
      <c r="G884" s="98"/>
      <c r="H884" s="98"/>
      <c r="I884" s="98"/>
      <c r="J884" s="98"/>
      <c r="K884" s="98"/>
      <c r="L884" s="98"/>
    </row>
    <row r="885">
      <c r="A885" s="98"/>
      <c r="B885" s="98"/>
      <c r="C885" s="98"/>
      <c r="D885" s="98"/>
      <c r="E885" s="98"/>
      <c r="F885" s="98"/>
      <c r="G885" s="98"/>
      <c r="H885" s="98"/>
      <c r="I885" s="98"/>
      <c r="J885" s="98"/>
      <c r="K885" s="98"/>
      <c r="L885" s="98"/>
    </row>
    <row r="886">
      <c r="A886" s="98"/>
      <c r="B886" s="98"/>
      <c r="C886" s="98"/>
      <c r="D886" s="98"/>
      <c r="E886" s="98"/>
      <c r="F886" s="98"/>
      <c r="G886" s="98"/>
      <c r="H886" s="98"/>
      <c r="I886" s="98"/>
      <c r="J886" s="98"/>
      <c r="K886" s="98"/>
      <c r="L886" s="98"/>
    </row>
    <row r="887">
      <c r="A887" s="98"/>
      <c r="B887" s="98"/>
      <c r="C887" s="98"/>
      <c r="D887" s="98"/>
      <c r="E887" s="98"/>
      <c r="F887" s="98"/>
      <c r="G887" s="98"/>
      <c r="H887" s="98"/>
      <c r="I887" s="98"/>
      <c r="J887" s="98"/>
      <c r="K887" s="98"/>
      <c r="L887" s="98"/>
    </row>
    <row r="888">
      <c r="A888" s="98"/>
      <c r="B888" s="98"/>
      <c r="C888" s="98"/>
      <c r="D888" s="98"/>
      <c r="E888" s="98"/>
      <c r="F888" s="98"/>
      <c r="G888" s="98"/>
      <c r="H888" s="98"/>
      <c r="I888" s="98"/>
      <c r="J888" s="98"/>
      <c r="K888" s="98"/>
      <c r="L888" s="98"/>
    </row>
    <row r="889">
      <c r="A889" s="98"/>
      <c r="B889" s="98"/>
      <c r="C889" s="98"/>
      <c r="D889" s="98"/>
      <c r="E889" s="98"/>
      <c r="F889" s="98"/>
      <c r="G889" s="98"/>
      <c r="H889" s="98"/>
      <c r="I889" s="98"/>
      <c r="J889" s="98"/>
      <c r="K889" s="98"/>
      <c r="L889" s="98"/>
    </row>
    <row r="890">
      <c r="A890" s="98"/>
      <c r="B890" s="98"/>
      <c r="C890" s="98"/>
      <c r="D890" s="98"/>
      <c r="E890" s="98"/>
      <c r="F890" s="98"/>
      <c r="G890" s="98"/>
      <c r="H890" s="98"/>
      <c r="I890" s="98"/>
      <c r="J890" s="98"/>
      <c r="K890" s="98"/>
      <c r="L890" s="98"/>
    </row>
    <row r="891">
      <c r="A891" s="98"/>
      <c r="B891" s="98"/>
      <c r="C891" s="98"/>
      <c r="D891" s="98"/>
      <c r="E891" s="98"/>
      <c r="F891" s="98"/>
      <c r="G891" s="98"/>
      <c r="H891" s="98"/>
      <c r="I891" s="98"/>
      <c r="J891" s="98"/>
      <c r="K891" s="98"/>
      <c r="L891" s="98"/>
    </row>
    <row r="892">
      <c r="A892" s="98"/>
      <c r="B892" s="98"/>
      <c r="C892" s="98"/>
      <c r="D892" s="98"/>
      <c r="E892" s="98"/>
      <c r="F892" s="98"/>
      <c r="G892" s="98"/>
      <c r="H892" s="98"/>
      <c r="I892" s="98"/>
      <c r="J892" s="98"/>
      <c r="K892" s="98"/>
      <c r="L892" s="98"/>
    </row>
    <row r="893">
      <c r="A893" s="98"/>
      <c r="B893" s="98"/>
      <c r="C893" s="98"/>
      <c r="D893" s="98"/>
      <c r="E893" s="98"/>
      <c r="F893" s="98"/>
      <c r="G893" s="98"/>
      <c r="H893" s="98"/>
      <c r="I893" s="98"/>
      <c r="J893" s="98"/>
      <c r="K893" s="98"/>
      <c r="L893" s="98"/>
    </row>
    <row r="894">
      <c r="A894" s="98"/>
      <c r="B894" s="98"/>
      <c r="C894" s="98"/>
      <c r="D894" s="98"/>
      <c r="E894" s="98"/>
      <c r="F894" s="98"/>
      <c r="G894" s="98"/>
      <c r="H894" s="98"/>
      <c r="I894" s="98"/>
      <c r="J894" s="98"/>
      <c r="K894" s="98"/>
      <c r="L894" s="98"/>
    </row>
    <row r="895">
      <c r="A895" s="98"/>
      <c r="B895" s="98"/>
      <c r="C895" s="98"/>
      <c r="D895" s="98"/>
      <c r="E895" s="98"/>
      <c r="F895" s="98"/>
      <c r="G895" s="98"/>
      <c r="H895" s="98"/>
      <c r="I895" s="98"/>
      <c r="J895" s="98"/>
      <c r="K895" s="98"/>
      <c r="L895" s="98"/>
    </row>
    <row r="896">
      <c r="A896" s="98"/>
      <c r="B896" s="98"/>
      <c r="C896" s="98"/>
      <c r="D896" s="98"/>
      <c r="E896" s="98"/>
      <c r="F896" s="98"/>
      <c r="G896" s="98"/>
      <c r="H896" s="98"/>
      <c r="I896" s="98"/>
      <c r="J896" s="98"/>
      <c r="K896" s="98"/>
      <c r="L896" s="98"/>
    </row>
    <row r="897">
      <c r="A897" s="98"/>
      <c r="B897" s="98"/>
      <c r="C897" s="98"/>
      <c r="D897" s="98"/>
      <c r="E897" s="98"/>
      <c r="F897" s="98"/>
      <c r="G897" s="98"/>
      <c r="H897" s="98"/>
      <c r="I897" s="98"/>
      <c r="J897" s="98"/>
      <c r="K897" s="98"/>
      <c r="L897" s="98"/>
    </row>
    <row r="898">
      <c r="A898" s="98"/>
      <c r="B898" s="98"/>
      <c r="C898" s="98"/>
      <c r="D898" s="98"/>
      <c r="E898" s="98"/>
      <c r="F898" s="98"/>
      <c r="G898" s="98"/>
      <c r="H898" s="98"/>
      <c r="I898" s="98"/>
      <c r="J898" s="98"/>
      <c r="K898" s="98"/>
      <c r="L898" s="98"/>
    </row>
    <row r="899">
      <c r="A899" s="98"/>
      <c r="B899" s="98"/>
      <c r="C899" s="98"/>
      <c r="D899" s="98"/>
      <c r="E899" s="98"/>
      <c r="F899" s="98"/>
      <c r="G899" s="98"/>
      <c r="H899" s="98"/>
      <c r="I899" s="98"/>
      <c r="J899" s="98"/>
      <c r="K899" s="98"/>
      <c r="L899" s="98"/>
    </row>
    <row r="900">
      <c r="A900" s="98"/>
      <c r="B900" s="98"/>
      <c r="C900" s="98"/>
      <c r="D900" s="98"/>
      <c r="E900" s="98"/>
      <c r="F900" s="98"/>
      <c r="G900" s="98"/>
      <c r="H900" s="98"/>
      <c r="I900" s="98"/>
      <c r="J900" s="98"/>
      <c r="K900" s="98"/>
      <c r="L900" s="98"/>
    </row>
    <row r="901">
      <c r="A901" s="98"/>
      <c r="B901" s="98"/>
      <c r="C901" s="98"/>
      <c r="D901" s="98"/>
      <c r="E901" s="98"/>
      <c r="F901" s="98"/>
      <c r="G901" s="98"/>
      <c r="H901" s="98"/>
      <c r="I901" s="98"/>
      <c r="J901" s="98"/>
      <c r="K901" s="98"/>
      <c r="L901" s="98"/>
    </row>
    <row r="902">
      <c r="A902" s="98"/>
      <c r="B902" s="98"/>
      <c r="C902" s="98"/>
      <c r="D902" s="98"/>
      <c r="E902" s="98"/>
      <c r="F902" s="98"/>
      <c r="G902" s="98"/>
      <c r="H902" s="98"/>
      <c r="I902" s="98"/>
      <c r="J902" s="98"/>
      <c r="K902" s="98"/>
      <c r="L902" s="98"/>
    </row>
    <row r="903">
      <c r="A903" s="98"/>
      <c r="B903" s="98"/>
      <c r="C903" s="98"/>
      <c r="D903" s="98"/>
      <c r="E903" s="98"/>
      <c r="F903" s="98"/>
      <c r="G903" s="98"/>
      <c r="H903" s="98"/>
      <c r="I903" s="98"/>
      <c r="J903" s="98"/>
      <c r="K903" s="98"/>
      <c r="L903" s="98"/>
    </row>
    <row r="904">
      <c r="A904" s="98"/>
      <c r="B904" s="98"/>
      <c r="C904" s="98"/>
      <c r="D904" s="98"/>
      <c r="E904" s="98"/>
      <c r="F904" s="98"/>
      <c r="G904" s="98"/>
      <c r="H904" s="98"/>
      <c r="I904" s="98"/>
      <c r="J904" s="98"/>
      <c r="K904" s="98"/>
      <c r="L904" s="98"/>
    </row>
    <row r="905">
      <c r="A905" s="98"/>
      <c r="B905" s="98"/>
      <c r="C905" s="98"/>
      <c r="D905" s="98"/>
      <c r="E905" s="98"/>
      <c r="F905" s="98"/>
      <c r="G905" s="98"/>
      <c r="H905" s="98"/>
      <c r="I905" s="98"/>
      <c r="J905" s="98"/>
      <c r="K905" s="98"/>
      <c r="L905" s="98"/>
    </row>
    <row r="906">
      <c r="A906" s="98"/>
      <c r="B906" s="98"/>
      <c r="C906" s="98"/>
      <c r="D906" s="98"/>
      <c r="E906" s="98"/>
      <c r="F906" s="98"/>
      <c r="G906" s="98"/>
      <c r="H906" s="98"/>
      <c r="I906" s="98"/>
      <c r="J906" s="98"/>
      <c r="K906" s="98"/>
      <c r="L906" s="98"/>
    </row>
    <row r="907">
      <c r="A907" s="98"/>
      <c r="B907" s="98"/>
      <c r="C907" s="98"/>
      <c r="D907" s="98"/>
      <c r="E907" s="98"/>
      <c r="F907" s="98"/>
      <c r="G907" s="98"/>
      <c r="H907" s="98"/>
      <c r="I907" s="98"/>
      <c r="J907" s="98"/>
      <c r="K907" s="98"/>
      <c r="L907" s="98"/>
    </row>
    <row r="908">
      <c r="A908" s="98"/>
      <c r="B908" s="98"/>
      <c r="C908" s="98"/>
      <c r="D908" s="98"/>
      <c r="E908" s="98"/>
      <c r="F908" s="98"/>
      <c r="G908" s="98"/>
      <c r="H908" s="98"/>
      <c r="I908" s="98"/>
      <c r="J908" s="98"/>
      <c r="K908" s="98"/>
      <c r="L908" s="98"/>
    </row>
    <row r="909">
      <c r="A909" s="98"/>
      <c r="B909" s="98"/>
      <c r="C909" s="98"/>
      <c r="D909" s="98"/>
      <c r="E909" s="98"/>
      <c r="F909" s="98"/>
      <c r="G909" s="98"/>
      <c r="H909" s="98"/>
      <c r="I909" s="98"/>
      <c r="J909" s="98"/>
      <c r="K909" s="98"/>
      <c r="L909" s="98"/>
    </row>
    <row r="910">
      <c r="A910" s="98"/>
      <c r="B910" s="98"/>
      <c r="C910" s="98"/>
      <c r="D910" s="98"/>
      <c r="E910" s="98"/>
      <c r="F910" s="98"/>
      <c r="G910" s="98"/>
      <c r="H910" s="98"/>
      <c r="I910" s="98"/>
      <c r="J910" s="98"/>
      <c r="K910" s="98"/>
      <c r="L910" s="98"/>
    </row>
    <row r="911">
      <c r="A911" s="98"/>
      <c r="B911" s="98"/>
      <c r="C911" s="98"/>
      <c r="D911" s="98"/>
      <c r="E911" s="98"/>
      <c r="F911" s="98"/>
      <c r="G911" s="98"/>
      <c r="H911" s="98"/>
      <c r="I911" s="98"/>
      <c r="J911" s="98"/>
      <c r="K911" s="98"/>
      <c r="L911" s="98"/>
    </row>
    <row r="912">
      <c r="A912" s="98"/>
      <c r="B912" s="98"/>
      <c r="C912" s="98"/>
      <c r="D912" s="98"/>
      <c r="E912" s="98"/>
      <c r="F912" s="98"/>
      <c r="G912" s="98"/>
      <c r="H912" s="98"/>
      <c r="I912" s="98"/>
      <c r="J912" s="98"/>
      <c r="K912" s="98"/>
      <c r="L912" s="98"/>
    </row>
    <row r="913">
      <c r="A913" s="98"/>
      <c r="B913" s="98"/>
      <c r="C913" s="98"/>
      <c r="D913" s="98"/>
      <c r="E913" s="98"/>
      <c r="F913" s="98"/>
      <c r="G913" s="98"/>
      <c r="H913" s="98"/>
      <c r="I913" s="98"/>
      <c r="J913" s="98"/>
      <c r="K913" s="98"/>
      <c r="L913" s="98"/>
    </row>
    <row r="914">
      <c r="A914" s="98"/>
      <c r="B914" s="98"/>
      <c r="C914" s="98"/>
      <c r="D914" s="98"/>
      <c r="E914" s="98"/>
      <c r="F914" s="98"/>
      <c r="G914" s="98"/>
      <c r="H914" s="98"/>
      <c r="I914" s="98"/>
      <c r="J914" s="98"/>
      <c r="K914" s="98"/>
      <c r="L914" s="98"/>
    </row>
    <row r="915">
      <c r="A915" s="98"/>
      <c r="B915" s="98"/>
      <c r="C915" s="98"/>
      <c r="D915" s="98"/>
      <c r="E915" s="98"/>
      <c r="F915" s="98"/>
      <c r="G915" s="98"/>
      <c r="H915" s="98"/>
      <c r="I915" s="98"/>
      <c r="J915" s="98"/>
      <c r="K915" s="98"/>
      <c r="L915" s="98"/>
    </row>
    <row r="916">
      <c r="A916" s="98"/>
      <c r="B916" s="98"/>
      <c r="C916" s="98"/>
      <c r="D916" s="98"/>
      <c r="E916" s="98"/>
      <c r="F916" s="98"/>
      <c r="G916" s="98"/>
      <c r="H916" s="98"/>
      <c r="I916" s="98"/>
      <c r="J916" s="98"/>
      <c r="K916" s="98"/>
      <c r="L916" s="98"/>
    </row>
    <row r="917">
      <c r="A917" s="98"/>
      <c r="B917" s="98"/>
      <c r="C917" s="98"/>
      <c r="D917" s="98"/>
      <c r="E917" s="98"/>
      <c r="F917" s="98"/>
      <c r="G917" s="98"/>
      <c r="H917" s="98"/>
      <c r="I917" s="98"/>
      <c r="J917" s="98"/>
      <c r="K917" s="98"/>
      <c r="L917" s="98"/>
    </row>
    <row r="918">
      <c r="A918" s="98"/>
      <c r="B918" s="98"/>
      <c r="C918" s="98"/>
      <c r="D918" s="98"/>
      <c r="E918" s="98"/>
      <c r="F918" s="98"/>
      <c r="G918" s="98"/>
      <c r="H918" s="98"/>
      <c r="I918" s="98"/>
      <c r="J918" s="98"/>
      <c r="K918" s="98"/>
      <c r="L918" s="98"/>
    </row>
    <row r="919">
      <c r="A919" s="98"/>
      <c r="B919" s="98"/>
      <c r="C919" s="98"/>
      <c r="D919" s="98"/>
      <c r="E919" s="98"/>
      <c r="F919" s="98"/>
      <c r="G919" s="98"/>
      <c r="H919" s="98"/>
      <c r="I919" s="98"/>
      <c r="J919" s="98"/>
      <c r="K919" s="98"/>
      <c r="L919" s="98"/>
    </row>
    <row r="920">
      <c r="A920" s="98"/>
      <c r="B920" s="98"/>
      <c r="C920" s="98"/>
      <c r="D920" s="98"/>
      <c r="E920" s="98"/>
      <c r="F920" s="98"/>
      <c r="G920" s="98"/>
      <c r="H920" s="98"/>
      <c r="I920" s="98"/>
      <c r="J920" s="98"/>
      <c r="K920" s="98"/>
      <c r="L920" s="98"/>
    </row>
    <row r="921">
      <c r="A921" s="98"/>
      <c r="B921" s="98"/>
      <c r="C921" s="98"/>
      <c r="D921" s="98"/>
      <c r="E921" s="98"/>
      <c r="F921" s="98"/>
      <c r="G921" s="98"/>
      <c r="H921" s="98"/>
      <c r="I921" s="98"/>
      <c r="J921" s="98"/>
      <c r="K921" s="98"/>
      <c r="L921" s="98"/>
    </row>
    <row r="922">
      <c r="A922" s="98"/>
      <c r="B922" s="98"/>
      <c r="C922" s="98"/>
      <c r="D922" s="98"/>
      <c r="E922" s="98"/>
      <c r="F922" s="98"/>
      <c r="G922" s="98"/>
      <c r="H922" s="98"/>
      <c r="I922" s="98"/>
      <c r="J922" s="98"/>
      <c r="K922" s="98"/>
      <c r="L922" s="98"/>
    </row>
    <row r="923">
      <c r="A923" s="98"/>
      <c r="B923" s="98"/>
      <c r="C923" s="98"/>
      <c r="D923" s="98"/>
      <c r="E923" s="98"/>
      <c r="F923" s="98"/>
      <c r="G923" s="98"/>
      <c r="H923" s="98"/>
      <c r="I923" s="98"/>
      <c r="J923" s="98"/>
      <c r="K923" s="98"/>
      <c r="L923" s="98"/>
    </row>
    <row r="924">
      <c r="A924" s="98"/>
      <c r="B924" s="98"/>
      <c r="C924" s="98"/>
      <c r="D924" s="98"/>
      <c r="E924" s="98"/>
      <c r="F924" s="98"/>
      <c r="G924" s="98"/>
      <c r="H924" s="98"/>
      <c r="I924" s="98"/>
      <c r="J924" s="98"/>
      <c r="K924" s="98"/>
      <c r="L924" s="98"/>
    </row>
    <row r="925">
      <c r="A925" s="98"/>
      <c r="B925" s="98"/>
      <c r="C925" s="98"/>
      <c r="D925" s="98"/>
      <c r="E925" s="98"/>
      <c r="F925" s="98"/>
      <c r="G925" s="98"/>
      <c r="H925" s="98"/>
      <c r="I925" s="98"/>
      <c r="J925" s="98"/>
      <c r="K925" s="98"/>
      <c r="L925" s="98"/>
    </row>
    <row r="926">
      <c r="A926" s="98"/>
      <c r="B926" s="98"/>
      <c r="C926" s="98"/>
      <c r="D926" s="98"/>
      <c r="E926" s="98"/>
      <c r="F926" s="98"/>
      <c r="G926" s="98"/>
      <c r="H926" s="98"/>
      <c r="I926" s="98"/>
      <c r="J926" s="98"/>
      <c r="K926" s="98"/>
      <c r="L926" s="98"/>
    </row>
    <row r="927">
      <c r="A927" s="98"/>
      <c r="B927" s="98"/>
      <c r="C927" s="98"/>
      <c r="D927" s="98"/>
      <c r="E927" s="98"/>
      <c r="F927" s="98"/>
      <c r="G927" s="98"/>
      <c r="H927" s="98"/>
      <c r="I927" s="98"/>
      <c r="J927" s="98"/>
      <c r="K927" s="98"/>
      <c r="L927" s="98"/>
    </row>
    <row r="928">
      <c r="A928" s="98"/>
      <c r="B928" s="98"/>
      <c r="C928" s="98"/>
      <c r="D928" s="98"/>
      <c r="E928" s="98"/>
      <c r="F928" s="98"/>
      <c r="G928" s="98"/>
      <c r="H928" s="98"/>
      <c r="I928" s="98"/>
      <c r="J928" s="98"/>
      <c r="K928" s="98"/>
      <c r="L928" s="98"/>
    </row>
    <row r="929">
      <c r="A929" s="98"/>
      <c r="B929" s="98"/>
      <c r="C929" s="98"/>
      <c r="D929" s="98"/>
      <c r="E929" s="98"/>
      <c r="F929" s="98"/>
      <c r="G929" s="98"/>
      <c r="H929" s="98"/>
      <c r="I929" s="98"/>
      <c r="J929" s="98"/>
      <c r="K929" s="98"/>
      <c r="L929" s="98"/>
    </row>
    <row r="930">
      <c r="A930" s="98"/>
      <c r="B930" s="98"/>
      <c r="C930" s="98"/>
      <c r="D930" s="98"/>
      <c r="E930" s="98"/>
      <c r="F930" s="98"/>
      <c r="G930" s="98"/>
      <c r="H930" s="98"/>
      <c r="I930" s="98"/>
      <c r="J930" s="98"/>
      <c r="K930" s="98"/>
      <c r="L930" s="98"/>
    </row>
    <row r="931">
      <c r="A931" s="98"/>
      <c r="B931" s="98"/>
      <c r="C931" s="98"/>
      <c r="D931" s="98"/>
      <c r="E931" s="98"/>
      <c r="F931" s="98"/>
      <c r="G931" s="98"/>
      <c r="H931" s="98"/>
      <c r="I931" s="98"/>
      <c r="J931" s="98"/>
      <c r="K931" s="98"/>
      <c r="L931" s="98"/>
    </row>
    <row r="932">
      <c r="A932" s="98"/>
      <c r="B932" s="98"/>
      <c r="C932" s="98"/>
      <c r="D932" s="98"/>
      <c r="E932" s="98"/>
      <c r="F932" s="98"/>
      <c r="G932" s="98"/>
      <c r="H932" s="98"/>
      <c r="I932" s="98"/>
      <c r="J932" s="98"/>
      <c r="K932" s="98"/>
      <c r="L932" s="98"/>
    </row>
    <row r="933">
      <c r="A933" s="98"/>
      <c r="B933" s="98"/>
      <c r="C933" s="98"/>
      <c r="D933" s="98"/>
      <c r="E933" s="98"/>
      <c r="F933" s="98"/>
      <c r="G933" s="98"/>
      <c r="H933" s="98"/>
      <c r="I933" s="98"/>
      <c r="J933" s="98"/>
      <c r="K933" s="98"/>
      <c r="L933" s="98"/>
    </row>
    <row r="934">
      <c r="A934" s="98"/>
      <c r="B934" s="98"/>
      <c r="C934" s="98"/>
      <c r="D934" s="98"/>
      <c r="E934" s="98"/>
      <c r="F934" s="98"/>
      <c r="G934" s="98"/>
      <c r="H934" s="98"/>
      <c r="I934" s="98"/>
      <c r="J934" s="98"/>
      <c r="K934" s="98"/>
      <c r="L934" s="98"/>
    </row>
    <row r="935">
      <c r="A935" s="98"/>
      <c r="B935" s="98"/>
      <c r="C935" s="98"/>
      <c r="D935" s="98"/>
      <c r="E935" s="98"/>
      <c r="F935" s="98"/>
      <c r="G935" s="98"/>
      <c r="H935" s="98"/>
      <c r="I935" s="98"/>
      <c r="J935" s="98"/>
      <c r="K935" s="98"/>
      <c r="L935" s="98"/>
    </row>
    <row r="936">
      <c r="A936" s="98"/>
      <c r="B936" s="98"/>
      <c r="C936" s="98"/>
      <c r="D936" s="98"/>
      <c r="E936" s="98"/>
      <c r="F936" s="98"/>
      <c r="G936" s="98"/>
      <c r="H936" s="98"/>
      <c r="I936" s="98"/>
      <c r="J936" s="98"/>
      <c r="K936" s="98"/>
      <c r="L936" s="98"/>
    </row>
    <row r="937">
      <c r="A937" s="98"/>
      <c r="B937" s="98"/>
      <c r="C937" s="98"/>
      <c r="D937" s="98"/>
      <c r="E937" s="98"/>
      <c r="F937" s="98"/>
      <c r="G937" s="98"/>
      <c r="H937" s="98"/>
      <c r="I937" s="98"/>
      <c r="J937" s="98"/>
      <c r="K937" s="98"/>
      <c r="L937" s="98"/>
    </row>
    <row r="938">
      <c r="A938" s="98"/>
      <c r="B938" s="98"/>
      <c r="C938" s="98"/>
      <c r="D938" s="98"/>
      <c r="E938" s="98"/>
      <c r="F938" s="98"/>
      <c r="G938" s="98"/>
      <c r="H938" s="98"/>
      <c r="I938" s="98"/>
      <c r="J938" s="98"/>
      <c r="K938" s="98"/>
      <c r="L938" s="98"/>
    </row>
    <row r="939">
      <c r="A939" s="98"/>
      <c r="B939" s="98"/>
      <c r="C939" s="98"/>
      <c r="D939" s="98"/>
      <c r="E939" s="98"/>
      <c r="F939" s="98"/>
      <c r="G939" s="98"/>
      <c r="H939" s="98"/>
      <c r="I939" s="98"/>
      <c r="J939" s="98"/>
      <c r="K939" s="98"/>
      <c r="L939" s="98"/>
    </row>
    <row r="940">
      <c r="A940" s="98"/>
      <c r="B940" s="98"/>
      <c r="C940" s="98"/>
      <c r="D940" s="98"/>
      <c r="E940" s="98"/>
      <c r="F940" s="98"/>
      <c r="G940" s="98"/>
      <c r="H940" s="98"/>
      <c r="I940" s="98"/>
      <c r="J940" s="98"/>
      <c r="K940" s="98"/>
      <c r="L940" s="98"/>
    </row>
    <row r="941">
      <c r="A941" s="98"/>
      <c r="B941" s="98"/>
      <c r="C941" s="98"/>
      <c r="D941" s="98"/>
      <c r="E941" s="98"/>
      <c r="F941" s="98"/>
      <c r="G941" s="98"/>
      <c r="H941" s="98"/>
      <c r="I941" s="98"/>
      <c r="J941" s="98"/>
      <c r="K941" s="98"/>
      <c r="L941" s="98"/>
    </row>
    <row r="942">
      <c r="A942" s="98"/>
      <c r="B942" s="98"/>
      <c r="C942" s="98"/>
      <c r="D942" s="98"/>
      <c r="E942" s="98"/>
      <c r="F942" s="98"/>
      <c r="G942" s="98"/>
      <c r="H942" s="98"/>
      <c r="I942" s="98"/>
      <c r="J942" s="98"/>
      <c r="K942" s="98"/>
      <c r="L942" s="98"/>
    </row>
    <row r="943">
      <c r="A943" s="98"/>
      <c r="B943" s="98"/>
      <c r="C943" s="98"/>
      <c r="D943" s="98"/>
      <c r="E943" s="98"/>
      <c r="F943" s="98"/>
      <c r="G943" s="98"/>
      <c r="H943" s="98"/>
      <c r="I943" s="98"/>
      <c r="J943" s="98"/>
      <c r="K943" s="98"/>
      <c r="L943" s="98"/>
    </row>
    <row r="944">
      <c r="A944" s="98"/>
      <c r="B944" s="98"/>
      <c r="C944" s="98"/>
      <c r="D944" s="98"/>
      <c r="E944" s="98"/>
      <c r="F944" s="98"/>
      <c r="G944" s="98"/>
      <c r="H944" s="98"/>
      <c r="I944" s="98"/>
      <c r="J944" s="98"/>
      <c r="K944" s="98"/>
      <c r="L944" s="98"/>
    </row>
    <row r="945">
      <c r="A945" s="98"/>
      <c r="B945" s="98"/>
      <c r="C945" s="98"/>
      <c r="D945" s="98"/>
      <c r="E945" s="98"/>
      <c r="F945" s="98"/>
      <c r="G945" s="98"/>
      <c r="H945" s="98"/>
      <c r="I945" s="98"/>
      <c r="J945" s="98"/>
      <c r="K945" s="98"/>
      <c r="L945" s="98"/>
    </row>
    <row r="946">
      <c r="A946" s="98"/>
      <c r="B946" s="98"/>
      <c r="C946" s="98"/>
      <c r="D946" s="98"/>
      <c r="E946" s="98"/>
      <c r="F946" s="98"/>
      <c r="G946" s="98"/>
      <c r="H946" s="98"/>
      <c r="I946" s="98"/>
      <c r="J946" s="98"/>
      <c r="K946" s="98"/>
      <c r="L946" s="98"/>
    </row>
    <row r="947">
      <c r="A947" s="98"/>
      <c r="B947" s="98"/>
      <c r="C947" s="98"/>
      <c r="D947" s="98"/>
      <c r="E947" s="98"/>
      <c r="F947" s="98"/>
      <c r="G947" s="98"/>
      <c r="H947" s="98"/>
      <c r="I947" s="98"/>
      <c r="J947" s="98"/>
      <c r="K947" s="98"/>
      <c r="L947" s="98"/>
    </row>
    <row r="948">
      <c r="A948" s="98"/>
      <c r="B948" s="98"/>
      <c r="C948" s="98"/>
      <c r="D948" s="98"/>
      <c r="E948" s="98"/>
      <c r="F948" s="98"/>
      <c r="G948" s="98"/>
      <c r="H948" s="98"/>
      <c r="I948" s="98"/>
      <c r="J948" s="98"/>
      <c r="K948" s="98"/>
      <c r="L948" s="98"/>
    </row>
    <row r="949">
      <c r="A949" s="98"/>
      <c r="B949" s="98"/>
      <c r="C949" s="98"/>
      <c r="D949" s="98"/>
      <c r="E949" s="98"/>
      <c r="F949" s="98"/>
      <c r="G949" s="98"/>
      <c r="H949" s="98"/>
      <c r="I949" s="98"/>
      <c r="J949" s="98"/>
      <c r="K949" s="98"/>
      <c r="L949" s="98"/>
    </row>
    <row r="950">
      <c r="A950" s="98"/>
      <c r="B950" s="98"/>
      <c r="C950" s="98"/>
      <c r="D950" s="98"/>
      <c r="E950" s="98"/>
      <c r="F950" s="98"/>
      <c r="G950" s="98"/>
      <c r="H950" s="98"/>
      <c r="I950" s="98"/>
      <c r="J950" s="98"/>
      <c r="K950" s="98"/>
      <c r="L950" s="98"/>
    </row>
    <row r="951">
      <c r="A951" s="98"/>
      <c r="B951" s="98"/>
      <c r="C951" s="98"/>
      <c r="D951" s="98"/>
      <c r="E951" s="98"/>
      <c r="F951" s="98"/>
      <c r="G951" s="98"/>
      <c r="H951" s="98"/>
      <c r="I951" s="98"/>
      <c r="J951" s="98"/>
      <c r="K951" s="98"/>
      <c r="L951" s="98"/>
    </row>
    <row r="952">
      <c r="A952" s="98"/>
      <c r="B952" s="98"/>
      <c r="C952" s="98"/>
      <c r="D952" s="98"/>
      <c r="E952" s="98"/>
      <c r="F952" s="98"/>
      <c r="G952" s="98"/>
      <c r="H952" s="98"/>
      <c r="I952" s="98"/>
      <c r="J952" s="98"/>
      <c r="K952" s="98"/>
      <c r="L952" s="98"/>
    </row>
    <row r="953">
      <c r="A953" s="98"/>
      <c r="B953" s="98"/>
      <c r="C953" s="98"/>
      <c r="D953" s="98"/>
      <c r="E953" s="98"/>
      <c r="F953" s="98"/>
      <c r="G953" s="98"/>
      <c r="H953" s="98"/>
      <c r="I953" s="98"/>
      <c r="J953" s="98"/>
      <c r="K953" s="98"/>
      <c r="L953" s="98"/>
    </row>
    <row r="954">
      <c r="A954" s="98"/>
      <c r="B954" s="98"/>
      <c r="C954" s="98"/>
      <c r="D954" s="98"/>
      <c r="E954" s="98"/>
      <c r="F954" s="98"/>
      <c r="G954" s="98"/>
      <c r="H954" s="98"/>
      <c r="I954" s="98"/>
      <c r="J954" s="98"/>
      <c r="K954" s="98"/>
      <c r="L954" s="98"/>
    </row>
    <row r="955">
      <c r="A955" s="98"/>
      <c r="B955" s="98"/>
      <c r="C955" s="98"/>
      <c r="D955" s="98"/>
      <c r="E955" s="98"/>
      <c r="F955" s="98"/>
      <c r="G955" s="98"/>
      <c r="H955" s="98"/>
      <c r="I955" s="98"/>
      <c r="J955" s="98"/>
      <c r="K955" s="98"/>
      <c r="L955" s="98"/>
    </row>
    <row r="956">
      <c r="A956" s="98"/>
      <c r="B956" s="98"/>
      <c r="C956" s="98"/>
      <c r="D956" s="98"/>
      <c r="E956" s="98"/>
      <c r="F956" s="98"/>
      <c r="G956" s="98"/>
      <c r="H956" s="98"/>
      <c r="I956" s="98"/>
      <c r="J956" s="98"/>
      <c r="K956" s="98"/>
      <c r="L956" s="98"/>
    </row>
    <row r="957">
      <c r="A957" s="98"/>
      <c r="B957" s="98"/>
      <c r="C957" s="98"/>
      <c r="D957" s="98"/>
      <c r="E957" s="98"/>
      <c r="F957" s="98"/>
      <c r="G957" s="98"/>
      <c r="H957" s="98"/>
      <c r="I957" s="98"/>
      <c r="J957" s="98"/>
      <c r="K957" s="98"/>
      <c r="L957" s="98"/>
    </row>
    <row r="958">
      <c r="A958" s="98"/>
      <c r="B958" s="98"/>
      <c r="C958" s="98"/>
      <c r="D958" s="98"/>
      <c r="E958" s="98"/>
      <c r="F958" s="98"/>
      <c r="G958" s="98"/>
      <c r="H958" s="98"/>
      <c r="I958" s="98"/>
      <c r="J958" s="98"/>
      <c r="K958" s="98"/>
      <c r="L958" s="98"/>
    </row>
    <row r="959">
      <c r="A959" s="98"/>
      <c r="B959" s="98"/>
      <c r="C959" s="98"/>
      <c r="D959" s="98"/>
      <c r="E959" s="98"/>
      <c r="F959" s="98"/>
      <c r="G959" s="98"/>
      <c r="H959" s="98"/>
      <c r="I959" s="98"/>
      <c r="J959" s="98"/>
      <c r="K959" s="98"/>
      <c r="L959" s="98"/>
    </row>
    <row r="960">
      <c r="A960" s="98"/>
      <c r="B960" s="98"/>
      <c r="C960" s="98"/>
      <c r="D960" s="98"/>
      <c r="E960" s="98"/>
      <c r="F960" s="98"/>
      <c r="G960" s="98"/>
      <c r="H960" s="98"/>
      <c r="I960" s="98"/>
      <c r="J960" s="98"/>
      <c r="K960" s="98"/>
      <c r="L960" s="98"/>
    </row>
    <row r="961">
      <c r="A961" s="98"/>
      <c r="B961" s="98"/>
      <c r="C961" s="98"/>
      <c r="D961" s="98"/>
      <c r="E961" s="98"/>
      <c r="F961" s="98"/>
      <c r="G961" s="98"/>
      <c r="H961" s="98"/>
      <c r="I961" s="98"/>
      <c r="J961" s="98"/>
      <c r="K961" s="98"/>
      <c r="L961" s="98"/>
    </row>
    <row r="962">
      <c r="A962" s="98"/>
      <c r="B962" s="98"/>
      <c r="C962" s="98"/>
      <c r="D962" s="98"/>
      <c r="E962" s="98"/>
      <c r="F962" s="98"/>
      <c r="G962" s="98"/>
      <c r="H962" s="98"/>
      <c r="I962" s="98"/>
      <c r="J962" s="98"/>
      <c r="K962" s="98"/>
      <c r="L962" s="98"/>
    </row>
    <row r="963">
      <c r="A963" s="98"/>
      <c r="B963" s="98"/>
      <c r="C963" s="98"/>
      <c r="D963" s="98"/>
      <c r="E963" s="98"/>
      <c r="F963" s="98"/>
      <c r="G963" s="98"/>
      <c r="H963" s="98"/>
      <c r="I963" s="98"/>
      <c r="J963" s="98"/>
      <c r="K963" s="98"/>
      <c r="L963" s="98"/>
    </row>
    <row r="964">
      <c r="A964" s="98"/>
      <c r="B964" s="98"/>
      <c r="C964" s="98"/>
      <c r="D964" s="98"/>
      <c r="E964" s="98"/>
      <c r="F964" s="98"/>
      <c r="G964" s="98"/>
      <c r="H964" s="98"/>
      <c r="I964" s="98"/>
      <c r="J964" s="98"/>
      <c r="K964" s="98"/>
      <c r="L964" s="98"/>
    </row>
    <row r="965">
      <c r="A965" s="98"/>
      <c r="B965" s="98"/>
      <c r="C965" s="98"/>
      <c r="D965" s="98"/>
      <c r="E965" s="98"/>
      <c r="F965" s="98"/>
      <c r="G965" s="98"/>
      <c r="H965" s="98"/>
      <c r="I965" s="98"/>
      <c r="J965" s="98"/>
      <c r="K965" s="98"/>
      <c r="L965" s="98"/>
    </row>
    <row r="966">
      <c r="A966" s="98"/>
      <c r="B966" s="98"/>
      <c r="C966" s="98"/>
      <c r="D966" s="98"/>
      <c r="E966" s="98"/>
      <c r="F966" s="98"/>
      <c r="G966" s="98"/>
      <c r="H966" s="98"/>
      <c r="I966" s="98"/>
      <c r="J966" s="98"/>
      <c r="K966" s="98"/>
      <c r="L966" s="98"/>
    </row>
    <row r="967">
      <c r="A967" s="98"/>
      <c r="B967" s="98"/>
      <c r="C967" s="98"/>
      <c r="D967" s="98"/>
      <c r="E967" s="98"/>
      <c r="F967" s="98"/>
      <c r="G967" s="98"/>
      <c r="H967" s="98"/>
      <c r="I967" s="98"/>
      <c r="J967" s="98"/>
      <c r="K967" s="98"/>
      <c r="L967" s="98"/>
    </row>
    <row r="968">
      <c r="A968" s="98"/>
      <c r="B968" s="98"/>
      <c r="C968" s="98"/>
      <c r="D968" s="98"/>
      <c r="E968" s="98"/>
      <c r="F968" s="98"/>
      <c r="G968" s="98"/>
      <c r="H968" s="98"/>
      <c r="I968" s="98"/>
      <c r="J968" s="98"/>
      <c r="K968" s="98"/>
      <c r="L968" s="98"/>
    </row>
    <row r="969">
      <c r="A969" s="98"/>
      <c r="B969" s="98"/>
      <c r="C969" s="98"/>
      <c r="D969" s="98"/>
      <c r="E969" s="98"/>
      <c r="F969" s="98"/>
      <c r="G969" s="98"/>
      <c r="H969" s="98"/>
      <c r="I969" s="98"/>
      <c r="J969" s="98"/>
      <c r="K969" s="98"/>
      <c r="L969" s="98"/>
    </row>
    <row r="970">
      <c r="A970" s="98"/>
      <c r="B970" s="98"/>
      <c r="C970" s="98"/>
      <c r="D970" s="98"/>
      <c r="E970" s="98"/>
      <c r="F970" s="98"/>
      <c r="G970" s="98"/>
      <c r="H970" s="98"/>
      <c r="I970" s="98"/>
      <c r="J970" s="98"/>
      <c r="K970" s="98"/>
      <c r="L970" s="98"/>
    </row>
    <row r="971">
      <c r="A971" s="98"/>
      <c r="B971" s="98"/>
      <c r="C971" s="98"/>
      <c r="D971" s="98"/>
      <c r="E971" s="98"/>
      <c r="F971" s="98"/>
      <c r="G971" s="98"/>
      <c r="H971" s="98"/>
      <c r="I971" s="98"/>
      <c r="J971" s="98"/>
      <c r="K971" s="98"/>
      <c r="L971" s="98"/>
    </row>
    <row r="972">
      <c r="A972" s="98"/>
      <c r="B972" s="98"/>
      <c r="C972" s="98"/>
      <c r="D972" s="98"/>
      <c r="E972" s="98"/>
      <c r="F972" s="98"/>
      <c r="G972" s="98"/>
      <c r="H972" s="98"/>
      <c r="I972" s="98"/>
      <c r="J972" s="98"/>
      <c r="K972" s="98"/>
      <c r="L972" s="98"/>
    </row>
    <row r="973">
      <c r="A973" s="98"/>
      <c r="B973" s="98"/>
      <c r="C973" s="98"/>
      <c r="D973" s="98"/>
      <c r="E973" s="98"/>
      <c r="F973" s="98"/>
      <c r="G973" s="98"/>
      <c r="H973" s="98"/>
      <c r="I973" s="98"/>
      <c r="J973" s="98"/>
      <c r="K973" s="98"/>
      <c r="L973" s="98"/>
    </row>
    <row r="974">
      <c r="A974" s="98"/>
      <c r="B974" s="98"/>
      <c r="C974" s="98"/>
      <c r="D974" s="98"/>
      <c r="E974" s="98"/>
      <c r="F974" s="98"/>
      <c r="G974" s="98"/>
      <c r="H974" s="98"/>
      <c r="I974" s="98"/>
      <c r="J974" s="98"/>
      <c r="K974" s="98"/>
      <c r="L974" s="98"/>
    </row>
    <row r="975">
      <c r="A975" s="98"/>
      <c r="B975" s="98"/>
      <c r="C975" s="98"/>
      <c r="D975" s="98"/>
      <c r="E975" s="98"/>
      <c r="F975" s="98"/>
      <c r="G975" s="98"/>
      <c r="H975" s="98"/>
      <c r="I975" s="98"/>
      <c r="J975" s="98"/>
      <c r="K975" s="98"/>
      <c r="L975" s="98"/>
    </row>
    <row r="976">
      <c r="A976" s="98"/>
      <c r="B976" s="98"/>
      <c r="C976" s="98"/>
      <c r="D976" s="98"/>
      <c r="E976" s="98"/>
      <c r="F976" s="98"/>
      <c r="G976" s="98"/>
      <c r="H976" s="98"/>
      <c r="I976" s="98"/>
      <c r="J976" s="98"/>
      <c r="K976" s="98"/>
      <c r="L976" s="98"/>
    </row>
    <row r="977">
      <c r="A977" s="98"/>
      <c r="B977" s="98"/>
      <c r="C977" s="98"/>
      <c r="D977" s="98"/>
      <c r="E977" s="98"/>
      <c r="F977" s="98"/>
      <c r="G977" s="98"/>
      <c r="H977" s="98"/>
      <c r="I977" s="98"/>
      <c r="J977" s="98"/>
      <c r="K977" s="98"/>
      <c r="L977" s="98"/>
    </row>
    <row r="978">
      <c r="A978" s="98"/>
      <c r="B978" s="98"/>
      <c r="C978" s="98"/>
      <c r="D978" s="98"/>
      <c r="E978" s="98"/>
      <c r="F978" s="98"/>
      <c r="G978" s="98"/>
      <c r="H978" s="98"/>
      <c r="I978" s="98"/>
      <c r="J978" s="98"/>
      <c r="K978" s="98"/>
      <c r="L978" s="98"/>
    </row>
    <row r="979">
      <c r="A979" s="98"/>
      <c r="B979" s="98"/>
      <c r="C979" s="98"/>
      <c r="D979" s="98"/>
      <c r="E979" s="98"/>
      <c r="F979" s="98"/>
      <c r="G979" s="98"/>
      <c r="H979" s="98"/>
      <c r="I979" s="98"/>
      <c r="J979" s="98"/>
      <c r="K979" s="98"/>
      <c r="L979" s="98"/>
    </row>
    <row r="980">
      <c r="A980" s="98"/>
      <c r="B980" s="98"/>
      <c r="C980" s="98"/>
      <c r="D980" s="98"/>
      <c r="E980" s="98"/>
      <c r="F980" s="98"/>
      <c r="G980" s="98"/>
      <c r="H980" s="98"/>
      <c r="I980" s="98"/>
      <c r="J980" s="98"/>
      <c r="K980" s="98"/>
      <c r="L980" s="98"/>
    </row>
    <row r="981">
      <c r="A981" s="98"/>
      <c r="B981" s="98"/>
      <c r="C981" s="98"/>
      <c r="D981" s="98"/>
      <c r="E981" s="98"/>
      <c r="F981" s="98"/>
      <c r="G981" s="98"/>
      <c r="H981" s="98"/>
      <c r="I981" s="98"/>
      <c r="J981" s="98"/>
      <c r="K981" s="98"/>
      <c r="L981" s="98"/>
    </row>
    <row r="982">
      <c r="A982" s="98"/>
      <c r="B982" s="98"/>
      <c r="C982" s="98"/>
      <c r="D982" s="98"/>
      <c r="E982" s="98"/>
      <c r="F982" s="98"/>
      <c r="G982" s="98"/>
      <c r="H982" s="98"/>
      <c r="I982" s="98"/>
      <c r="J982" s="98"/>
      <c r="K982" s="98"/>
      <c r="L982" s="98"/>
    </row>
    <row r="983">
      <c r="A983" s="98"/>
      <c r="B983" s="98"/>
      <c r="C983" s="98"/>
      <c r="D983" s="98"/>
      <c r="E983" s="98"/>
      <c r="F983" s="98"/>
      <c r="G983" s="98"/>
      <c r="H983" s="98"/>
      <c r="I983" s="98"/>
      <c r="J983" s="98"/>
      <c r="K983" s="98"/>
      <c r="L983" s="98"/>
    </row>
    <row r="984">
      <c r="A984" s="98"/>
      <c r="B984" s="98"/>
      <c r="C984" s="98"/>
      <c r="D984" s="98"/>
      <c r="E984" s="98"/>
      <c r="F984" s="98"/>
      <c r="G984" s="98"/>
      <c r="H984" s="98"/>
      <c r="I984" s="98"/>
      <c r="J984" s="98"/>
      <c r="K984" s="98"/>
      <c r="L984" s="98"/>
    </row>
    <row r="985">
      <c r="A985" s="98"/>
      <c r="B985" s="98"/>
      <c r="C985" s="98"/>
      <c r="D985" s="98"/>
      <c r="E985" s="98"/>
      <c r="F985" s="98"/>
      <c r="G985" s="98"/>
      <c r="H985" s="98"/>
      <c r="I985" s="98"/>
      <c r="J985" s="98"/>
      <c r="K985" s="98"/>
      <c r="L985" s="98"/>
    </row>
    <row r="986">
      <c r="A986" s="98"/>
      <c r="B986" s="98"/>
      <c r="C986" s="98"/>
      <c r="D986" s="98"/>
      <c r="E986" s="98"/>
      <c r="F986" s="98"/>
      <c r="G986" s="98"/>
      <c r="H986" s="98"/>
      <c r="I986" s="98"/>
      <c r="J986" s="98"/>
      <c r="K986" s="98"/>
      <c r="L986" s="98"/>
    </row>
    <row r="987">
      <c r="A987" s="98"/>
      <c r="B987" s="98"/>
      <c r="C987" s="98"/>
      <c r="D987" s="98"/>
      <c r="E987" s="98"/>
      <c r="F987" s="98"/>
      <c r="G987" s="98"/>
      <c r="H987" s="98"/>
      <c r="I987" s="98"/>
      <c r="J987" s="98"/>
      <c r="K987" s="98"/>
      <c r="L987" s="98"/>
    </row>
    <row r="988">
      <c r="A988" s="98"/>
      <c r="B988" s="98"/>
      <c r="C988" s="98"/>
      <c r="D988" s="98"/>
      <c r="E988" s="98"/>
      <c r="F988" s="98"/>
      <c r="G988" s="98"/>
      <c r="H988" s="98"/>
      <c r="I988" s="98"/>
      <c r="J988" s="98"/>
      <c r="K988" s="98"/>
      <c r="L988" s="98"/>
    </row>
    <row r="989">
      <c r="A989" s="98"/>
      <c r="B989" s="98"/>
      <c r="C989" s="98"/>
      <c r="D989" s="98"/>
      <c r="E989" s="98"/>
      <c r="F989" s="98"/>
      <c r="G989" s="98"/>
      <c r="H989" s="98"/>
      <c r="I989" s="98"/>
      <c r="J989" s="98"/>
      <c r="K989" s="98"/>
      <c r="L989" s="98"/>
    </row>
    <row r="990">
      <c r="A990" s="98"/>
      <c r="B990" s="98"/>
      <c r="C990" s="98"/>
      <c r="D990" s="98"/>
      <c r="E990" s="98"/>
      <c r="F990" s="98"/>
      <c r="G990" s="98"/>
      <c r="H990" s="98"/>
      <c r="I990" s="98"/>
      <c r="J990" s="98"/>
      <c r="K990" s="98"/>
      <c r="L990" s="98"/>
    </row>
    <row r="991">
      <c r="A991" s="98"/>
      <c r="B991" s="98"/>
      <c r="C991" s="98"/>
      <c r="D991" s="98"/>
      <c r="E991" s="98"/>
      <c r="F991" s="98"/>
      <c r="G991" s="98"/>
      <c r="H991" s="98"/>
      <c r="I991" s="98"/>
      <c r="J991" s="98"/>
      <c r="K991" s="98"/>
      <c r="L991" s="98"/>
    </row>
    <row r="992">
      <c r="A992" s="98"/>
      <c r="B992" s="98"/>
      <c r="C992" s="98"/>
      <c r="D992" s="98"/>
      <c r="E992" s="98"/>
      <c r="F992" s="98"/>
      <c r="G992" s="98"/>
      <c r="H992" s="98"/>
      <c r="I992" s="98"/>
      <c r="J992" s="98"/>
      <c r="K992" s="98"/>
      <c r="L992" s="98"/>
    </row>
    <row r="993">
      <c r="A993" s="98"/>
      <c r="B993" s="98"/>
      <c r="C993" s="98"/>
      <c r="D993" s="98"/>
      <c r="E993" s="98"/>
      <c r="F993" s="98"/>
      <c r="G993" s="98"/>
      <c r="H993" s="98"/>
      <c r="I993" s="98"/>
      <c r="J993" s="98"/>
      <c r="K993" s="98"/>
      <c r="L993" s="9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22.63"/>
  </cols>
  <sheetData>
    <row r="1">
      <c r="A1" s="101" t="s">
        <v>187</v>
      </c>
      <c r="B1" s="101" t="s">
        <v>188</v>
      </c>
      <c r="C1" s="101" t="s">
        <v>189</v>
      </c>
      <c r="D1" s="101" t="s">
        <v>190</v>
      </c>
      <c r="E1" s="101" t="s">
        <v>70</v>
      </c>
    </row>
    <row r="2">
      <c r="A2" s="55" t="s">
        <v>191</v>
      </c>
      <c r="B2" s="55">
        <v>1.672525126E9</v>
      </c>
      <c r="C2" s="55" t="s">
        <v>192</v>
      </c>
      <c r="D2" s="55" t="s">
        <v>193</v>
      </c>
      <c r="E2" s="54">
        <v>46148.649305555555</v>
      </c>
    </row>
    <row r="3">
      <c r="A3" s="55" t="s">
        <v>194</v>
      </c>
      <c r="B3" s="55">
        <v>8.653753857E9</v>
      </c>
      <c r="C3" s="55" t="s">
        <v>192</v>
      </c>
      <c r="D3" s="55" t="s">
        <v>195</v>
      </c>
      <c r="E3" s="54">
        <v>46240.396527777775</v>
      </c>
    </row>
    <row r="4">
      <c r="A4" s="55" t="s">
        <v>196</v>
      </c>
      <c r="B4" s="55">
        <v>5.60223739E9</v>
      </c>
      <c r="C4" s="55" t="s">
        <v>192</v>
      </c>
      <c r="D4" s="55" t="s">
        <v>197</v>
      </c>
      <c r="E4" s="54">
        <v>46271.57986111111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63"/>
    <col customWidth="1" min="5" max="5" width="24.0"/>
    <col customWidth="1" min="6" max="6" width="9.5"/>
    <col customWidth="1" min="7" max="9" width="17.0"/>
    <col customWidth="1" min="10" max="10" width="15.63"/>
  </cols>
  <sheetData>
    <row r="1">
      <c r="A1" s="102" t="s">
        <v>198</v>
      </c>
      <c r="B1" s="102" t="s">
        <v>70</v>
      </c>
      <c r="C1" s="103" t="s">
        <v>71</v>
      </c>
      <c r="D1" s="104" t="s">
        <v>199</v>
      </c>
      <c r="E1" s="104" t="s">
        <v>200</v>
      </c>
      <c r="F1" s="104" t="s">
        <v>201</v>
      </c>
      <c r="J1" s="98" t="str">
        <f t="array" ref="J1:J730">IF(E2:E731="", "", IFERROR(VLOOKUP(E2:E731, Staff!A:F, 6, FALSE), ""))</f>
        <v>Khant Chaw Nyo</v>
      </c>
    </row>
    <row r="2">
      <c r="A2" s="105">
        <v>13.0</v>
      </c>
      <c r="B2" s="106">
        <v>46205.0</v>
      </c>
      <c r="C2" s="107">
        <v>0.6111111111111112</v>
      </c>
      <c r="D2" s="55" t="s">
        <v>202</v>
      </c>
      <c r="E2" s="55">
        <v>6.361576236E9</v>
      </c>
      <c r="F2" s="55" t="s">
        <v>203</v>
      </c>
      <c r="J2" s="98" t="s">
        <v>202</v>
      </c>
    </row>
    <row r="3">
      <c r="A3" s="105">
        <v>12.0</v>
      </c>
      <c r="B3" s="106">
        <v>46205.0</v>
      </c>
      <c r="C3" s="107">
        <v>0.48680555555555555</v>
      </c>
      <c r="D3" s="55" t="s">
        <v>202</v>
      </c>
      <c r="E3" s="55">
        <v>6.361576236E9</v>
      </c>
      <c r="F3" s="55" t="s">
        <v>204</v>
      </c>
      <c r="J3" s="98" t="s">
        <v>205</v>
      </c>
    </row>
    <row r="4">
      <c r="A4" s="105">
        <v>11.0</v>
      </c>
      <c r="B4" s="106">
        <v>46205.0</v>
      </c>
      <c r="C4" s="107">
        <v>0.425</v>
      </c>
      <c r="D4" s="55" t="s">
        <v>206</v>
      </c>
      <c r="E4" s="55">
        <v>5.883329989E9</v>
      </c>
      <c r="F4" s="55" t="s">
        <v>207</v>
      </c>
      <c r="J4" s="98" t="s">
        <v>202</v>
      </c>
    </row>
    <row r="5">
      <c r="A5" s="105">
        <v>10.0</v>
      </c>
      <c r="B5" s="106">
        <v>46205.0</v>
      </c>
      <c r="C5" s="107">
        <v>0.40347222222222223</v>
      </c>
      <c r="D5" s="55" t="s">
        <v>202</v>
      </c>
      <c r="E5" s="55">
        <v>6.361576236E9</v>
      </c>
      <c r="F5" s="55" t="s">
        <v>208</v>
      </c>
      <c r="J5" s="98" t="s">
        <v>34</v>
      </c>
    </row>
    <row r="6">
      <c r="A6" s="105">
        <v>9.0</v>
      </c>
      <c r="B6" s="106">
        <v>46205.0</v>
      </c>
      <c r="C6" s="107">
        <v>0.3972222222222222</v>
      </c>
      <c r="D6" s="55" t="s">
        <v>209</v>
      </c>
      <c r="E6" s="55">
        <v>7.772056124E9</v>
      </c>
      <c r="F6" s="55" t="s">
        <v>210</v>
      </c>
      <c r="J6" s="98" t="s">
        <v>39</v>
      </c>
    </row>
    <row r="7">
      <c r="A7" s="105">
        <v>8.0</v>
      </c>
      <c r="B7" s="106">
        <v>46205.0</v>
      </c>
      <c r="C7" s="107">
        <v>0.39444444444444443</v>
      </c>
      <c r="D7" s="55" t="s">
        <v>211</v>
      </c>
      <c r="E7" s="55">
        <v>6.558915011E9</v>
      </c>
      <c r="F7" s="55" t="s">
        <v>212</v>
      </c>
      <c r="J7" s="98" t="s">
        <v>39</v>
      </c>
    </row>
    <row r="8">
      <c r="A8" s="105">
        <v>7.0</v>
      </c>
      <c r="B8" s="106">
        <v>46205.0</v>
      </c>
      <c r="C8" s="107">
        <v>0.39375</v>
      </c>
      <c r="D8" s="55" t="s">
        <v>211</v>
      </c>
      <c r="E8" s="55">
        <v>6.558915011E9</v>
      </c>
      <c r="F8" s="55" t="s">
        <v>210</v>
      </c>
      <c r="J8" s="98" t="s">
        <v>39</v>
      </c>
    </row>
    <row r="9">
      <c r="A9" s="105">
        <v>6.0</v>
      </c>
      <c r="B9" s="106">
        <v>46205.0</v>
      </c>
      <c r="C9" s="107">
        <v>0.39375</v>
      </c>
      <c r="D9" s="55" t="s">
        <v>211</v>
      </c>
      <c r="E9" s="55">
        <v>6.558915011E9</v>
      </c>
      <c r="F9" s="55" t="s">
        <v>204</v>
      </c>
      <c r="J9" s="98" t="s">
        <v>39</v>
      </c>
    </row>
    <row r="10">
      <c r="A10" s="105">
        <v>5.0</v>
      </c>
      <c r="B10" s="106">
        <v>46205.0</v>
      </c>
      <c r="C10" s="107">
        <v>0.39305555555555555</v>
      </c>
      <c r="D10" s="55" t="s">
        <v>211</v>
      </c>
      <c r="E10" s="55">
        <v>6.558915011E9</v>
      </c>
      <c r="F10" s="55" t="s">
        <v>213</v>
      </c>
      <c r="J10" s="98" t="s">
        <v>39</v>
      </c>
    </row>
    <row r="11">
      <c r="A11" s="105">
        <v>4.0</v>
      </c>
      <c r="B11" s="106">
        <v>46205.0</v>
      </c>
      <c r="C11" s="107">
        <v>0.3923611111111111</v>
      </c>
      <c r="D11" s="55" t="s">
        <v>211</v>
      </c>
      <c r="E11" s="55">
        <v>6.558915011E9</v>
      </c>
      <c r="F11" s="55" t="s">
        <v>208</v>
      </c>
      <c r="J11" s="98" t="s">
        <v>214</v>
      </c>
    </row>
    <row r="12">
      <c r="A12" s="105">
        <v>3.0</v>
      </c>
      <c r="B12" s="106">
        <v>46204.0</v>
      </c>
      <c r="C12" s="107">
        <v>0.9145833333333333</v>
      </c>
      <c r="D12" s="55" t="s">
        <v>215</v>
      </c>
      <c r="E12" s="55">
        <v>6.85979068E9</v>
      </c>
      <c r="F12" s="55" t="s">
        <v>216</v>
      </c>
      <c r="J12" s="98" t="s">
        <v>214</v>
      </c>
    </row>
    <row r="13">
      <c r="A13" s="105">
        <v>2.0</v>
      </c>
      <c r="B13" s="106">
        <v>46204.0</v>
      </c>
      <c r="C13" s="107">
        <v>0.70625</v>
      </c>
      <c r="D13" s="55" t="s">
        <v>215</v>
      </c>
      <c r="E13" s="55">
        <v>6.85979068E9</v>
      </c>
      <c r="F13" s="55" t="s">
        <v>217</v>
      </c>
      <c r="J13" s="98" t="s">
        <v>214</v>
      </c>
    </row>
    <row r="14">
      <c r="A14" s="105">
        <v>1.0</v>
      </c>
      <c r="B14" s="106">
        <v>46204.0</v>
      </c>
      <c r="C14" s="107">
        <v>0.7048611111111112</v>
      </c>
      <c r="D14" s="55" t="s">
        <v>215</v>
      </c>
      <c r="E14" s="55">
        <v>6.85979068E9</v>
      </c>
      <c r="F14" s="55" t="s">
        <v>218</v>
      </c>
      <c r="J14" s="98" t="s">
        <v>214</v>
      </c>
    </row>
    <row r="15">
      <c r="B15" s="106"/>
      <c r="C15" s="106">
        <v>46204.0</v>
      </c>
      <c r="D15" s="107">
        <v>0.6194444444444445</v>
      </c>
      <c r="E15" s="55" t="s">
        <v>219</v>
      </c>
      <c r="F15" s="55">
        <v>9.999999999E9</v>
      </c>
      <c r="J15" s="98" t="s">
        <v>214</v>
      </c>
    </row>
    <row r="16">
      <c r="B16" s="106">
        <v>46204.0</v>
      </c>
      <c r="C16" s="107">
        <v>0.6576388888888889</v>
      </c>
      <c r="D16" s="55" t="s">
        <v>220</v>
      </c>
      <c r="E16" s="55">
        <v>9.999999999E9</v>
      </c>
      <c r="F16" s="55" t="s">
        <v>221</v>
      </c>
      <c r="J16" s="98" t="s">
        <v>214</v>
      </c>
    </row>
    <row r="17">
      <c r="B17" s="106">
        <v>46204.0</v>
      </c>
      <c r="C17" s="107">
        <v>0.6604166666666667</v>
      </c>
      <c r="D17" s="55" t="s">
        <v>222</v>
      </c>
      <c r="E17" s="55">
        <v>9.999999999E9</v>
      </c>
      <c r="F17" s="55" t="s">
        <v>221</v>
      </c>
      <c r="J17" s="98" t="s">
        <v>214</v>
      </c>
    </row>
    <row r="18">
      <c r="B18" s="106">
        <v>46204.0</v>
      </c>
      <c r="C18" s="107">
        <v>0.6659722222222222</v>
      </c>
      <c r="D18" s="55" t="s">
        <v>215</v>
      </c>
      <c r="E18" s="55">
        <v>6.85979068E9</v>
      </c>
      <c r="F18" s="55" t="s">
        <v>223</v>
      </c>
      <c r="J18" s="98" t="s">
        <v>214</v>
      </c>
    </row>
    <row r="19">
      <c r="B19" s="106">
        <v>46204.0</v>
      </c>
      <c r="C19" s="107">
        <v>0.6701388888888888</v>
      </c>
      <c r="D19" s="55" t="s">
        <v>215</v>
      </c>
      <c r="E19" s="55">
        <v>6.85979068E9</v>
      </c>
      <c r="F19" s="55" t="s">
        <v>224</v>
      </c>
      <c r="J19" s="98" t="s">
        <v>214</v>
      </c>
    </row>
    <row r="20">
      <c r="B20" s="106">
        <v>46204.0</v>
      </c>
      <c r="C20" s="107">
        <v>0.6715277777777777</v>
      </c>
      <c r="D20" s="55" t="s">
        <v>222</v>
      </c>
      <c r="E20" s="55">
        <v>9.999999999E9</v>
      </c>
      <c r="F20" s="55" t="s">
        <v>221</v>
      </c>
      <c r="J20" s="98" t="s">
        <v>214</v>
      </c>
    </row>
    <row r="21">
      <c r="B21" s="106">
        <v>46204.0</v>
      </c>
      <c r="C21" s="107">
        <v>0.6784722222222223</v>
      </c>
      <c r="D21" s="55" t="s">
        <v>215</v>
      </c>
      <c r="E21" s="55">
        <v>6.85979068E9</v>
      </c>
      <c r="F21" s="55" t="s">
        <v>225</v>
      </c>
      <c r="J21" s="98" t="s">
        <v>214</v>
      </c>
    </row>
    <row r="22">
      <c r="B22" s="106">
        <v>46204.0</v>
      </c>
      <c r="C22" s="107">
        <v>0.6819444444444445</v>
      </c>
      <c r="D22" s="55" t="s">
        <v>215</v>
      </c>
      <c r="E22" s="55">
        <v>6.85979068E9</v>
      </c>
      <c r="F22" s="55" t="s">
        <v>226</v>
      </c>
      <c r="J22" s="98" t="s">
        <v>214</v>
      </c>
    </row>
    <row r="23">
      <c r="B23" s="106">
        <v>46204.0</v>
      </c>
      <c r="C23" s="107">
        <v>0.6902777777777778</v>
      </c>
      <c r="D23" s="55" t="s">
        <v>215</v>
      </c>
      <c r="E23" s="55">
        <v>6.85979068E9</v>
      </c>
      <c r="F23" s="55" t="s">
        <v>225</v>
      </c>
      <c r="J23" s="98" t="s">
        <v>214</v>
      </c>
    </row>
    <row r="24">
      <c r="A24" s="108"/>
      <c r="B24" s="108"/>
      <c r="C24" s="108"/>
      <c r="D24" s="108"/>
      <c r="E24" s="109"/>
      <c r="F24" s="110"/>
      <c r="J24" s="98" t="s">
        <v>214</v>
      </c>
    </row>
    <row r="25">
      <c r="A25" s="108"/>
      <c r="B25" s="108"/>
      <c r="C25" s="108"/>
      <c r="D25" s="108"/>
      <c r="E25" s="109"/>
      <c r="F25" s="110"/>
      <c r="J25" s="98" t="s">
        <v>214</v>
      </c>
    </row>
    <row r="26">
      <c r="A26" s="108"/>
      <c r="B26" s="108"/>
      <c r="C26" s="108"/>
      <c r="D26" s="108"/>
      <c r="E26" s="109"/>
      <c r="F26" s="110"/>
      <c r="J26" s="98" t="s">
        <v>214</v>
      </c>
    </row>
    <row r="27">
      <c r="A27" s="108"/>
      <c r="B27" s="108"/>
      <c r="C27" s="108"/>
      <c r="D27" s="108"/>
      <c r="E27" s="109"/>
      <c r="F27" s="110"/>
      <c r="J27" s="98" t="s">
        <v>214</v>
      </c>
    </row>
    <row r="28">
      <c r="A28" s="108"/>
      <c r="B28" s="108"/>
      <c r="C28" s="108"/>
      <c r="D28" s="108"/>
      <c r="E28" s="109"/>
      <c r="F28" s="110"/>
      <c r="J28" s="98" t="s">
        <v>214</v>
      </c>
    </row>
    <row r="29">
      <c r="A29" s="108"/>
      <c r="B29" s="108"/>
      <c r="C29" s="108"/>
      <c r="D29" s="108"/>
      <c r="E29" s="109"/>
      <c r="F29" s="110"/>
      <c r="J29" s="98" t="s">
        <v>214</v>
      </c>
    </row>
    <row r="30">
      <c r="A30" s="108"/>
      <c r="B30" s="108"/>
      <c r="C30" s="108"/>
      <c r="D30" s="108"/>
      <c r="E30" s="109"/>
      <c r="F30" s="110"/>
      <c r="J30" s="98" t="s">
        <v>214</v>
      </c>
    </row>
    <row r="31">
      <c r="A31" s="108"/>
      <c r="B31" s="108"/>
      <c r="C31" s="108"/>
      <c r="D31" s="108"/>
      <c r="E31" s="109"/>
      <c r="F31" s="110"/>
      <c r="J31" s="98" t="s">
        <v>214</v>
      </c>
    </row>
    <row r="32">
      <c r="A32" s="108"/>
      <c r="B32" s="108"/>
      <c r="C32" s="108"/>
      <c r="D32" s="108"/>
      <c r="E32" s="109"/>
      <c r="F32" s="110"/>
      <c r="J32" s="98" t="s">
        <v>214</v>
      </c>
    </row>
    <row r="33">
      <c r="A33" s="108"/>
      <c r="B33" s="108"/>
      <c r="C33" s="108"/>
      <c r="D33" s="108"/>
      <c r="E33" s="109"/>
      <c r="F33" s="110"/>
      <c r="J33" s="98" t="s">
        <v>214</v>
      </c>
    </row>
    <row r="34">
      <c r="A34" s="108"/>
      <c r="B34" s="108"/>
      <c r="C34" s="108"/>
      <c r="D34" s="108"/>
      <c r="E34" s="109"/>
      <c r="F34" s="110"/>
      <c r="J34" s="98" t="s">
        <v>214</v>
      </c>
    </row>
    <row r="35">
      <c r="A35" s="108"/>
      <c r="B35" s="108"/>
      <c r="C35" s="108"/>
      <c r="D35" s="108"/>
      <c r="E35" s="109"/>
      <c r="F35" s="110"/>
      <c r="J35" s="98" t="s">
        <v>214</v>
      </c>
    </row>
    <row r="36">
      <c r="A36" s="108"/>
      <c r="B36" s="108"/>
      <c r="C36" s="108"/>
      <c r="D36" s="108"/>
      <c r="E36" s="109"/>
      <c r="F36" s="110"/>
      <c r="J36" s="98" t="s">
        <v>214</v>
      </c>
    </row>
    <row r="37">
      <c r="A37" s="108"/>
      <c r="B37" s="108"/>
      <c r="C37" s="108"/>
      <c r="D37" s="108"/>
      <c r="E37" s="109"/>
      <c r="F37" s="110"/>
      <c r="J37" s="98" t="s">
        <v>214</v>
      </c>
    </row>
    <row r="38">
      <c r="A38" s="108"/>
      <c r="B38" s="108"/>
      <c r="C38" s="108"/>
      <c r="D38" s="108"/>
      <c r="E38" s="109"/>
      <c r="F38" s="110"/>
      <c r="J38" s="98" t="s">
        <v>214</v>
      </c>
    </row>
    <row r="39">
      <c r="A39" s="108"/>
      <c r="B39" s="108"/>
      <c r="C39" s="108"/>
      <c r="D39" s="108"/>
      <c r="E39" s="109"/>
      <c r="F39" s="110"/>
      <c r="J39" s="98" t="s">
        <v>214</v>
      </c>
    </row>
    <row r="40">
      <c r="A40" s="108"/>
      <c r="B40" s="108"/>
      <c r="C40" s="108"/>
      <c r="D40" s="108"/>
      <c r="E40" s="109"/>
      <c r="F40" s="110"/>
      <c r="J40" s="98" t="s">
        <v>214</v>
      </c>
    </row>
    <row r="41">
      <c r="A41" s="108"/>
      <c r="B41" s="108"/>
      <c r="C41" s="108"/>
      <c r="D41" s="108"/>
      <c r="E41" s="109"/>
      <c r="F41" s="110"/>
      <c r="J41" s="98" t="s">
        <v>214</v>
      </c>
    </row>
    <row r="42">
      <c r="A42" s="108"/>
      <c r="B42" s="108"/>
      <c r="C42" s="108"/>
      <c r="D42" s="108"/>
      <c r="E42" s="109"/>
      <c r="F42" s="110"/>
      <c r="J42" s="98" t="s">
        <v>214</v>
      </c>
    </row>
    <row r="43">
      <c r="A43" s="108"/>
      <c r="B43" s="108"/>
      <c r="C43" s="108"/>
      <c r="D43" s="108"/>
      <c r="E43" s="109"/>
      <c r="F43" s="110"/>
      <c r="J43" s="98" t="s">
        <v>214</v>
      </c>
    </row>
    <row r="44">
      <c r="A44" s="108"/>
      <c r="B44" s="108"/>
      <c r="C44" s="108"/>
      <c r="D44" s="108"/>
      <c r="E44" s="109"/>
      <c r="F44" s="110"/>
      <c r="J44" s="98" t="s">
        <v>214</v>
      </c>
    </row>
    <row r="45">
      <c r="A45" s="108"/>
      <c r="B45" s="108"/>
      <c r="C45" s="108"/>
      <c r="D45" s="108"/>
      <c r="E45" s="109"/>
      <c r="F45" s="110"/>
      <c r="J45" s="98" t="s">
        <v>214</v>
      </c>
    </row>
    <row r="46">
      <c r="A46" s="108"/>
      <c r="B46" s="108"/>
      <c r="C46" s="108"/>
      <c r="D46" s="108"/>
      <c r="E46" s="109"/>
      <c r="F46" s="110"/>
      <c r="J46" s="98" t="s">
        <v>214</v>
      </c>
    </row>
    <row r="47">
      <c r="A47" s="108"/>
      <c r="B47" s="108"/>
      <c r="C47" s="108"/>
      <c r="D47" s="108"/>
      <c r="E47" s="109"/>
      <c r="F47" s="110"/>
      <c r="J47" s="98" t="s">
        <v>214</v>
      </c>
    </row>
    <row r="48">
      <c r="A48" s="108"/>
      <c r="B48" s="108"/>
      <c r="C48" s="108"/>
      <c r="D48" s="108"/>
      <c r="E48" s="109"/>
      <c r="F48" s="110"/>
      <c r="J48" s="98" t="s">
        <v>214</v>
      </c>
    </row>
    <row r="49">
      <c r="A49" s="108"/>
      <c r="B49" s="108"/>
      <c r="C49" s="108"/>
      <c r="D49" s="108"/>
      <c r="E49" s="109"/>
      <c r="F49" s="110"/>
      <c r="J49" s="98" t="s">
        <v>214</v>
      </c>
    </row>
    <row r="50">
      <c r="A50" s="108"/>
      <c r="B50" s="108"/>
      <c r="C50" s="108"/>
      <c r="D50" s="108"/>
      <c r="E50" s="109"/>
      <c r="F50" s="110"/>
      <c r="J50" s="98" t="s">
        <v>214</v>
      </c>
    </row>
    <row r="51">
      <c r="A51" s="108"/>
      <c r="B51" s="108"/>
      <c r="C51" s="108"/>
      <c r="D51" s="108"/>
      <c r="E51" s="109"/>
      <c r="F51" s="110"/>
      <c r="J51" s="98" t="s">
        <v>214</v>
      </c>
    </row>
    <row r="52">
      <c r="A52" s="108"/>
      <c r="B52" s="108"/>
      <c r="C52" s="108"/>
      <c r="D52" s="108"/>
      <c r="E52" s="109"/>
      <c r="F52" s="110"/>
      <c r="J52" s="98" t="s">
        <v>214</v>
      </c>
    </row>
    <row r="53">
      <c r="A53" s="108"/>
      <c r="B53" s="108"/>
      <c r="C53" s="108"/>
      <c r="D53" s="108"/>
      <c r="E53" s="109"/>
      <c r="F53" s="110"/>
      <c r="J53" s="98" t="s">
        <v>214</v>
      </c>
    </row>
    <row r="54">
      <c r="A54" s="108"/>
      <c r="B54" s="108"/>
      <c r="C54" s="108"/>
      <c r="D54" s="108"/>
      <c r="E54" s="109"/>
      <c r="F54" s="110"/>
      <c r="J54" s="98" t="s">
        <v>214</v>
      </c>
    </row>
    <row r="55">
      <c r="A55" s="108"/>
      <c r="B55" s="108"/>
      <c r="C55" s="108"/>
      <c r="D55" s="108"/>
      <c r="E55" s="109"/>
      <c r="F55" s="110"/>
      <c r="J55" s="98" t="s">
        <v>214</v>
      </c>
    </row>
    <row r="56">
      <c r="A56" s="108"/>
      <c r="B56" s="108"/>
      <c r="C56" s="108"/>
      <c r="D56" s="108"/>
      <c r="E56" s="109"/>
      <c r="F56" s="110"/>
      <c r="J56" s="98" t="s">
        <v>214</v>
      </c>
    </row>
    <row r="57">
      <c r="A57" s="108"/>
      <c r="B57" s="108"/>
      <c r="C57" s="108"/>
      <c r="D57" s="108"/>
      <c r="E57" s="109"/>
      <c r="F57" s="110"/>
      <c r="J57" s="98" t="s">
        <v>214</v>
      </c>
    </row>
    <row r="58">
      <c r="A58" s="108"/>
      <c r="B58" s="108"/>
      <c r="C58" s="108"/>
      <c r="D58" s="108"/>
      <c r="E58" s="109"/>
      <c r="F58" s="110"/>
      <c r="J58" s="98" t="s">
        <v>214</v>
      </c>
    </row>
    <row r="59">
      <c r="A59" s="108"/>
      <c r="B59" s="108"/>
      <c r="C59" s="108"/>
      <c r="D59" s="108"/>
      <c r="E59" s="109"/>
      <c r="F59" s="110"/>
      <c r="J59" s="98" t="s">
        <v>214</v>
      </c>
    </row>
    <row r="60">
      <c r="A60" s="108"/>
      <c r="B60" s="108"/>
      <c r="C60" s="108"/>
      <c r="D60" s="108"/>
      <c r="E60" s="109"/>
      <c r="F60" s="110"/>
      <c r="J60" s="98" t="s">
        <v>214</v>
      </c>
    </row>
    <row r="61">
      <c r="A61" s="108"/>
      <c r="B61" s="108"/>
      <c r="C61" s="108"/>
      <c r="D61" s="108"/>
      <c r="E61" s="109"/>
      <c r="F61" s="110"/>
      <c r="J61" s="98" t="s">
        <v>214</v>
      </c>
    </row>
    <row r="62">
      <c r="A62" s="108"/>
      <c r="B62" s="108"/>
      <c r="C62" s="108"/>
      <c r="D62" s="108"/>
      <c r="E62" s="109"/>
      <c r="F62" s="110"/>
      <c r="J62" s="98" t="s">
        <v>214</v>
      </c>
    </row>
    <row r="63">
      <c r="A63" s="108"/>
      <c r="B63" s="108"/>
      <c r="C63" s="108"/>
      <c r="D63" s="108"/>
      <c r="E63" s="109"/>
      <c r="F63" s="110"/>
      <c r="J63" s="98" t="s">
        <v>214</v>
      </c>
    </row>
    <row r="64">
      <c r="A64" s="108"/>
      <c r="B64" s="108"/>
      <c r="C64" s="108"/>
      <c r="D64" s="108"/>
      <c r="E64" s="109"/>
      <c r="F64" s="110"/>
      <c r="J64" s="98" t="s">
        <v>214</v>
      </c>
    </row>
    <row r="65">
      <c r="A65" s="108"/>
      <c r="B65" s="108"/>
      <c r="C65" s="108"/>
      <c r="D65" s="108"/>
      <c r="E65" s="109"/>
      <c r="F65" s="110"/>
      <c r="J65" s="98" t="s">
        <v>214</v>
      </c>
    </row>
    <row r="66">
      <c r="A66" s="108"/>
      <c r="B66" s="108"/>
      <c r="C66" s="108"/>
      <c r="D66" s="108"/>
      <c r="E66" s="109"/>
      <c r="F66" s="110"/>
      <c r="J66" s="98" t="s">
        <v>214</v>
      </c>
    </row>
    <row r="67">
      <c r="A67" s="108"/>
      <c r="B67" s="108"/>
      <c r="C67" s="108"/>
      <c r="D67" s="108"/>
      <c r="E67" s="109"/>
      <c r="F67" s="110"/>
      <c r="J67" s="98" t="s">
        <v>214</v>
      </c>
    </row>
    <row r="68">
      <c r="A68" s="108"/>
      <c r="B68" s="108"/>
      <c r="C68" s="108"/>
      <c r="D68" s="108"/>
      <c r="E68" s="109"/>
      <c r="F68" s="110"/>
      <c r="J68" s="98" t="s">
        <v>214</v>
      </c>
    </row>
    <row r="69">
      <c r="A69" s="108"/>
      <c r="B69" s="108"/>
      <c r="C69" s="108"/>
      <c r="D69" s="108"/>
      <c r="E69" s="109"/>
      <c r="F69" s="110"/>
      <c r="J69" s="98" t="s">
        <v>214</v>
      </c>
    </row>
    <row r="70">
      <c r="A70" s="108"/>
      <c r="B70" s="108"/>
      <c r="C70" s="108"/>
      <c r="D70" s="108"/>
      <c r="E70" s="109"/>
      <c r="F70" s="110"/>
      <c r="J70" s="98" t="s">
        <v>214</v>
      </c>
    </row>
    <row r="71">
      <c r="A71" s="108"/>
      <c r="B71" s="108"/>
      <c r="C71" s="108"/>
      <c r="D71" s="108"/>
      <c r="E71" s="109"/>
      <c r="F71" s="110"/>
      <c r="J71" s="98" t="s">
        <v>214</v>
      </c>
    </row>
    <row r="72">
      <c r="A72" s="108"/>
      <c r="B72" s="108"/>
      <c r="C72" s="108"/>
      <c r="D72" s="108"/>
      <c r="E72" s="109"/>
      <c r="F72" s="110"/>
      <c r="J72" s="98" t="s">
        <v>214</v>
      </c>
    </row>
    <row r="73">
      <c r="A73" s="108"/>
      <c r="B73" s="108"/>
      <c r="C73" s="108"/>
      <c r="D73" s="108"/>
      <c r="E73" s="109"/>
      <c r="F73" s="110"/>
      <c r="J73" s="98" t="s">
        <v>214</v>
      </c>
    </row>
    <row r="74">
      <c r="A74" s="108"/>
      <c r="B74" s="108"/>
      <c r="C74" s="108"/>
      <c r="D74" s="108"/>
      <c r="E74" s="109"/>
      <c r="F74" s="110"/>
      <c r="J74" s="98" t="s">
        <v>214</v>
      </c>
    </row>
    <row r="75">
      <c r="A75" s="108"/>
      <c r="B75" s="108"/>
      <c r="C75" s="108"/>
      <c r="D75" s="108"/>
      <c r="E75" s="109"/>
      <c r="F75" s="110"/>
      <c r="J75" s="98" t="s">
        <v>214</v>
      </c>
    </row>
    <row r="76">
      <c r="A76" s="108"/>
      <c r="B76" s="108"/>
      <c r="C76" s="108"/>
      <c r="D76" s="108"/>
      <c r="E76" s="109"/>
      <c r="F76" s="110"/>
      <c r="J76" s="98" t="s">
        <v>214</v>
      </c>
    </row>
    <row r="77">
      <c r="A77" s="108"/>
      <c r="B77" s="108"/>
      <c r="C77" s="108"/>
      <c r="D77" s="108"/>
      <c r="E77" s="109"/>
      <c r="F77" s="110"/>
      <c r="J77" s="98" t="s">
        <v>214</v>
      </c>
    </row>
    <row r="78">
      <c r="A78" s="108"/>
      <c r="B78" s="108"/>
      <c r="C78" s="108"/>
      <c r="D78" s="108"/>
      <c r="E78" s="109"/>
      <c r="F78" s="110"/>
      <c r="J78" s="98" t="s">
        <v>214</v>
      </c>
    </row>
    <row r="79">
      <c r="A79" s="108"/>
      <c r="B79" s="108"/>
      <c r="C79" s="108"/>
      <c r="D79" s="108"/>
      <c r="E79" s="109"/>
      <c r="F79" s="110"/>
      <c r="J79" s="98" t="s">
        <v>214</v>
      </c>
    </row>
    <row r="80">
      <c r="A80" s="108"/>
      <c r="B80" s="108"/>
      <c r="C80" s="108"/>
      <c r="D80" s="108"/>
      <c r="E80" s="109"/>
      <c r="F80" s="110"/>
      <c r="J80" s="98" t="s">
        <v>214</v>
      </c>
    </row>
    <row r="81">
      <c r="A81" s="108"/>
      <c r="B81" s="108"/>
      <c r="C81" s="108"/>
      <c r="D81" s="108"/>
      <c r="E81" s="109"/>
      <c r="F81" s="110"/>
      <c r="J81" s="98" t="s">
        <v>214</v>
      </c>
    </row>
    <row r="82">
      <c r="A82" s="108"/>
      <c r="B82" s="108"/>
      <c r="C82" s="108"/>
      <c r="D82" s="108"/>
      <c r="E82" s="109"/>
      <c r="F82" s="110"/>
      <c r="J82" s="98" t="s">
        <v>214</v>
      </c>
    </row>
    <row r="83">
      <c r="A83" s="108"/>
      <c r="B83" s="108"/>
      <c r="C83" s="108"/>
      <c r="D83" s="108"/>
      <c r="E83" s="109"/>
      <c r="F83" s="110"/>
      <c r="J83" s="98" t="s">
        <v>214</v>
      </c>
    </row>
    <row r="84">
      <c r="A84" s="108"/>
      <c r="B84" s="108"/>
      <c r="C84" s="108"/>
      <c r="D84" s="108"/>
      <c r="E84" s="109"/>
      <c r="F84" s="110"/>
      <c r="J84" s="98" t="s">
        <v>214</v>
      </c>
    </row>
    <row r="85">
      <c r="A85" s="108"/>
      <c r="B85" s="108"/>
      <c r="C85" s="108"/>
      <c r="D85" s="108"/>
      <c r="E85" s="109"/>
      <c r="F85" s="110"/>
      <c r="J85" s="98" t="s">
        <v>214</v>
      </c>
    </row>
    <row r="86">
      <c r="A86" s="108"/>
      <c r="B86" s="108"/>
      <c r="C86" s="108"/>
      <c r="D86" s="108"/>
      <c r="E86" s="109"/>
      <c r="F86" s="110"/>
      <c r="J86" s="98" t="s">
        <v>214</v>
      </c>
    </row>
    <row r="87">
      <c r="A87" s="108"/>
      <c r="B87" s="108"/>
      <c r="C87" s="108"/>
      <c r="D87" s="108"/>
      <c r="E87" s="109"/>
      <c r="F87" s="110"/>
      <c r="J87" s="98" t="s">
        <v>214</v>
      </c>
    </row>
    <row r="88">
      <c r="A88" s="108"/>
      <c r="B88" s="108"/>
      <c r="C88" s="108"/>
      <c r="D88" s="108"/>
      <c r="E88" s="109"/>
      <c r="F88" s="110"/>
      <c r="J88" s="98" t="s">
        <v>214</v>
      </c>
    </row>
    <row r="89">
      <c r="A89" s="108"/>
      <c r="B89" s="108"/>
      <c r="C89" s="108"/>
      <c r="D89" s="108"/>
      <c r="E89" s="109"/>
      <c r="F89" s="110"/>
      <c r="J89" s="98" t="s">
        <v>214</v>
      </c>
    </row>
    <row r="90">
      <c r="A90" s="108"/>
      <c r="B90" s="108"/>
      <c r="C90" s="108"/>
      <c r="D90" s="108"/>
      <c r="E90" s="109"/>
      <c r="F90" s="110"/>
      <c r="J90" s="98" t="s">
        <v>214</v>
      </c>
    </row>
    <row r="91">
      <c r="A91" s="108"/>
      <c r="B91" s="108"/>
      <c r="C91" s="108"/>
      <c r="D91" s="108"/>
      <c r="E91" s="109"/>
      <c r="F91" s="110"/>
      <c r="J91" s="98" t="s">
        <v>214</v>
      </c>
    </row>
    <row r="92">
      <c r="A92" s="108"/>
      <c r="B92" s="108"/>
      <c r="C92" s="108"/>
      <c r="D92" s="108"/>
      <c r="E92" s="109"/>
      <c r="F92" s="110"/>
      <c r="J92" s="98" t="s">
        <v>214</v>
      </c>
    </row>
    <row r="93">
      <c r="A93" s="108"/>
      <c r="B93" s="108"/>
      <c r="C93" s="108"/>
      <c r="D93" s="108"/>
      <c r="E93" s="109"/>
      <c r="F93" s="110"/>
      <c r="J93" s="98" t="s">
        <v>214</v>
      </c>
    </row>
    <row r="94">
      <c r="A94" s="108"/>
      <c r="B94" s="108"/>
      <c r="C94" s="108"/>
      <c r="D94" s="108"/>
      <c r="E94" s="109"/>
      <c r="F94" s="110"/>
      <c r="J94" s="98" t="s">
        <v>214</v>
      </c>
    </row>
    <row r="95">
      <c r="A95" s="108"/>
      <c r="B95" s="108"/>
      <c r="C95" s="108"/>
      <c r="D95" s="108"/>
      <c r="E95" s="109"/>
      <c r="F95" s="110"/>
      <c r="J95" s="98" t="s">
        <v>214</v>
      </c>
    </row>
    <row r="96">
      <c r="A96" s="108"/>
      <c r="B96" s="108"/>
      <c r="C96" s="108"/>
      <c r="D96" s="108"/>
      <c r="E96" s="109"/>
      <c r="F96" s="110"/>
      <c r="J96" s="98" t="s">
        <v>214</v>
      </c>
    </row>
    <row r="97">
      <c r="A97" s="108"/>
      <c r="B97" s="108"/>
      <c r="C97" s="108"/>
      <c r="D97" s="108"/>
      <c r="E97" s="109"/>
      <c r="F97" s="110"/>
      <c r="J97" s="98" t="s">
        <v>214</v>
      </c>
    </row>
    <row r="98">
      <c r="A98" s="108"/>
      <c r="B98" s="108"/>
      <c r="C98" s="108"/>
      <c r="D98" s="108"/>
      <c r="E98" s="109"/>
      <c r="F98" s="110"/>
      <c r="J98" s="98" t="s">
        <v>214</v>
      </c>
    </row>
    <row r="99">
      <c r="A99" s="108"/>
      <c r="B99" s="108"/>
      <c r="C99" s="108"/>
      <c r="D99" s="108"/>
      <c r="E99" s="109"/>
      <c r="F99" s="110"/>
      <c r="J99" s="98" t="s">
        <v>214</v>
      </c>
    </row>
    <row r="100">
      <c r="A100" s="108"/>
      <c r="B100" s="108"/>
      <c r="C100" s="108"/>
      <c r="D100" s="108"/>
      <c r="E100" s="109"/>
      <c r="F100" s="110"/>
      <c r="J100" s="98" t="s">
        <v>214</v>
      </c>
    </row>
    <row r="101">
      <c r="A101" s="108"/>
      <c r="B101" s="108"/>
      <c r="C101" s="108"/>
      <c r="D101" s="108"/>
      <c r="E101" s="109"/>
      <c r="F101" s="110"/>
      <c r="J101" s="98" t="s">
        <v>214</v>
      </c>
    </row>
    <row r="102">
      <c r="A102" s="108"/>
      <c r="B102" s="108"/>
      <c r="C102" s="108"/>
      <c r="D102" s="108"/>
      <c r="E102" s="109"/>
      <c r="F102" s="110"/>
      <c r="J102" s="98" t="s">
        <v>214</v>
      </c>
    </row>
    <row r="103">
      <c r="A103" s="108"/>
      <c r="B103" s="108"/>
      <c r="C103" s="108"/>
      <c r="D103" s="108"/>
      <c r="E103" s="109"/>
      <c r="F103" s="110"/>
      <c r="J103" s="98" t="s">
        <v>214</v>
      </c>
    </row>
    <row r="104">
      <c r="A104" s="108"/>
      <c r="B104" s="108"/>
      <c r="C104" s="108"/>
      <c r="D104" s="108"/>
      <c r="E104" s="109"/>
      <c r="F104" s="110"/>
      <c r="J104" s="98" t="s">
        <v>214</v>
      </c>
    </row>
    <row r="105">
      <c r="A105" s="108"/>
      <c r="B105" s="108"/>
      <c r="C105" s="108"/>
      <c r="D105" s="108"/>
      <c r="E105" s="109"/>
      <c r="F105" s="110"/>
      <c r="J105" s="98" t="s">
        <v>214</v>
      </c>
    </row>
    <row r="106">
      <c r="A106" s="108"/>
      <c r="B106" s="108"/>
      <c r="C106" s="108"/>
      <c r="D106" s="108"/>
      <c r="E106" s="109"/>
      <c r="F106" s="110"/>
      <c r="J106" s="98" t="s">
        <v>214</v>
      </c>
    </row>
    <row r="107">
      <c r="A107" s="108"/>
      <c r="B107" s="108"/>
      <c r="C107" s="108"/>
      <c r="D107" s="108"/>
      <c r="E107" s="109"/>
      <c r="F107" s="110"/>
      <c r="J107" s="98" t="s">
        <v>214</v>
      </c>
    </row>
    <row r="108">
      <c r="A108" s="108"/>
      <c r="B108" s="108"/>
      <c r="C108" s="108"/>
      <c r="D108" s="108"/>
      <c r="E108" s="109"/>
      <c r="F108" s="110"/>
      <c r="J108" s="98" t="s">
        <v>214</v>
      </c>
    </row>
    <row r="109">
      <c r="A109" s="108"/>
      <c r="B109" s="108"/>
      <c r="C109" s="108"/>
      <c r="D109" s="108"/>
      <c r="E109" s="109"/>
      <c r="F109" s="110"/>
      <c r="J109" s="98" t="s">
        <v>214</v>
      </c>
    </row>
    <row r="110">
      <c r="A110" s="108"/>
      <c r="B110" s="108"/>
      <c r="C110" s="108"/>
      <c r="D110" s="108"/>
      <c r="E110" s="109"/>
      <c r="F110" s="110"/>
      <c r="J110" s="98" t="s">
        <v>214</v>
      </c>
    </row>
    <row r="111">
      <c r="A111" s="108"/>
      <c r="B111" s="108"/>
      <c r="C111" s="108"/>
      <c r="D111" s="108"/>
      <c r="E111" s="109"/>
      <c r="F111" s="110"/>
      <c r="J111" s="98" t="s">
        <v>214</v>
      </c>
    </row>
    <row r="112">
      <c r="A112" s="108"/>
      <c r="B112" s="108"/>
      <c r="C112" s="108"/>
      <c r="D112" s="108"/>
      <c r="E112" s="109"/>
      <c r="F112" s="110"/>
      <c r="J112" s="98" t="s">
        <v>214</v>
      </c>
    </row>
    <row r="113">
      <c r="A113" s="108"/>
      <c r="B113" s="108"/>
      <c r="C113" s="108"/>
      <c r="D113" s="108"/>
      <c r="E113" s="109"/>
      <c r="F113" s="110"/>
      <c r="J113" s="98" t="s">
        <v>214</v>
      </c>
    </row>
    <row r="114">
      <c r="A114" s="108"/>
      <c r="B114" s="108"/>
      <c r="C114" s="108"/>
      <c r="D114" s="108"/>
      <c r="E114" s="109"/>
      <c r="F114" s="110"/>
      <c r="J114" s="98" t="s">
        <v>214</v>
      </c>
    </row>
    <row r="115">
      <c r="A115" s="108"/>
      <c r="B115" s="108"/>
      <c r="C115" s="108"/>
      <c r="D115" s="108"/>
      <c r="E115" s="109"/>
      <c r="F115" s="110"/>
      <c r="J115" s="98" t="s">
        <v>214</v>
      </c>
    </row>
    <row r="116">
      <c r="A116" s="108"/>
      <c r="B116" s="108"/>
      <c r="C116" s="108"/>
      <c r="D116" s="108"/>
      <c r="E116" s="109"/>
      <c r="F116" s="110"/>
      <c r="J116" s="98" t="s">
        <v>214</v>
      </c>
    </row>
    <row r="117">
      <c r="A117" s="108"/>
      <c r="B117" s="108"/>
      <c r="C117" s="108"/>
      <c r="D117" s="108"/>
      <c r="E117" s="109"/>
      <c r="F117" s="110"/>
      <c r="J117" s="98" t="s">
        <v>214</v>
      </c>
    </row>
    <row r="118">
      <c r="A118" s="108"/>
      <c r="B118" s="108"/>
      <c r="C118" s="108"/>
      <c r="D118" s="108"/>
      <c r="E118" s="109"/>
      <c r="F118" s="110"/>
      <c r="J118" s="98" t="s">
        <v>214</v>
      </c>
    </row>
    <row r="119">
      <c r="A119" s="108"/>
      <c r="B119" s="108"/>
      <c r="C119" s="108"/>
      <c r="D119" s="108"/>
      <c r="E119" s="109"/>
      <c r="F119" s="110"/>
      <c r="J119" s="98" t="s">
        <v>214</v>
      </c>
    </row>
    <row r="120">
      <c r="A120" s="108"/>
      <c r="B120" s="108"/>
      <c r="C120" s="108"/>
      <c r="D120" s="108"/>
      <c r="E120" s="109"/>
      <c r="F120" s="110"/>
      <c r="J120" s="98" t="s">
        <v>214</v>
      </c>
    </row>
    <row r="121">
      <c r="A121" s="108"/>
      <c r="B121" s="108"/>
      <c r="C121" s="108"/>
      <c r="D121" s="108"/>
      <c r="E121" s="109"/>
      <c r="F121" s="110"/>
      <c r="J121" s="98" t="s">
        <v>214</v>
      </c>
    </row>
    <row r="122">
      <c r="A122" s="108"/>
      <c r="B122" s="108"/>
      <c r="C122" s="108"/>
      <c r="D122" s="108"/>
      <c r="E122" s="109"/>
      <c r="F122" s="110"/>
      <c r="J122" s="98" t="s">
        <v>214</v>
      </c>
    </row>
    <row r="123">
      <c r="A123" s="108"/>
      <c r="B123" s="108"/>
      <c r="C123" s="108"/>
      <c r="D123" s="108"/>
      <c r="E123" s="109"/>
      <c r="F123" s="110"/>
      <c r="J123" s="98" t="s">
        <v>214</v>
      </c>
    </row>
    <row r="124">
      <c r="A124" s="108"/>
      <c r="B124" s="108"/>
      <c r="C124" s="108"/>
      <c r="D124" s="108"/>
      <c r="E124" s="109"/>
      <c r="F124" s="110"/>
      <c r="J124" s="98" t="s">
        <v>214</v>
      </c>
    </row>
    <row r="125">
      <c r="A125" s="108"/>
      <c r="B125" s="108"/>
      <c r="C125" s="108"/>
      <c r="D125" s="108"/>
      <c r="E125" s="109"/>
      <c r="F125" s="110"/>
      <c r="J125" s="98" t="s">
        <v>214</v>
      </c>
    </row>
    <row r="126">
      <c r="A126" s="108"/>
      <c r="B126" s="108"/>
      <c r="C126" s="108"/>
      <c r="D126" s="108"/>
      <c r="E126" s="109"/>
      <c r="F126" s="110"/>
      <c r="J126" s="98" t="s">
        <v>214</v>
      </c>
    </row>
    <row r="127">
      <c r="A127" s="108"/>
      <c r="B127" s="108"/>
      <c r="C127" s="108"/>
      <c r="D127" s="108"/>
      <c r="E127" s="109"/>
      <c r="F127" s="110"/>
      <c r="J127" s="98" t="s">
        <v>214</v>
      </c>
    </row>
    <row r="128">
      <c r="A128" s="108"/>
      <c r="B128" s="108"/>
      <c r="C128" s="108"/>
      <c r="D128" s="108"/>
      <c r="E128" s="109"/>
      <c r="F128" s="110"/>
      <c r="J128" s="98" t="s">
        <v>214</v>
      </c>
    </row>
    <row r="129">
      <c r="A129" s="108"/>
      <c r="B129" s="108"/>
      <c r="C129" s="108"/>
      <c r="D129" s="108"/>
      <c r="E129" s="109"/>
      <c r="F129" s="110"/>
      <c r="J129" s="98" t="s">
        <v>214</v>
      </c>
    </row>
    <row r="130">
      <c r="A130" s="108"/>
      <c r="B130" s="108"/>
      <c r="C130" s="108"/>
      <c r="D130" s="108"/>
      <c r="E130" s="109"/>
      <c r="F130" s="110"/>
      <c r="J130" s="98" t="s">
        <v>214</v>
      </c>
    </row>
    <row r="131">
      <c r="A131" s="108"/>
      <c r="B131" s="108"/>
      <c r="C131" s="108"/>
      <c r="D131" s="108"/>
      <c r="E131" s="109"/>
      <c r="F131" s="110"/>
      <c r="J131" s="98" t="s">
        <v>214</v>
      </c>
    </row>
    <row r="132">
      <c r="A132" s="108"/>
      <c r="B132" s="108"/>
      <c r="C132" s="108"/>
      <c r="D132" s="108"/>
      <c r="E132" s="109"/>
      <c r="F132" s="110"/>
      <c r="J132" s="98" t="s">
        <v>214</v>
      </c>
    </row>
    <row r="133">
      <c r="A133" s="108"/>
      <c r="B133" s="108"/>
      <c r="C133" s="108"/>
      <c r="D133" s="108"/>
      <c r="E133" s="109"/>
      <c r="F133" s="110"/>
      <c r="J133" s="98" t="s">
        <v>214</v>
      </c>
    </row>
    <row r="134">
      <c r="A134" s="108"/>
      <c r="B134" s="108"/>
      <c r="C134" s="108"/>
      <c r="D134" s="108"/>
      <c r="E134" s="109"/>
      <c r="F134" s="110"/>
      <c r="J134" s="98" t="s">
        <v>214</v>
      </c>
    </row>
    <row r="135">
      <c r="A135" s="108"/>
      <c r="B135" s="108"/>
      <c r="C135" s="108"/>
      <c r="D135" s="108"/>
      <c r="E135" s="109"/>
      <c r="F135" s="110"/>
      <c r="J135" s="98" t="s">
        <v>214</v>
      </c>
    </row>
    <row r="136">
      <c r="A136" s="108"/>
      <c r="B136" s="108"/>
      <c r="C136" s="108"/>
      <c r="D136" s="108"/>
      <c r="E136" s="109"/>
      <c r="F136" s="110"/>
      <c r="J136" s="98" t="s">
        <v>214</v>
      </c>
    </row>
    <row r="137">
      <c r="A137" s="108"/>
      <c r="B137" s="108"/>
      <c r="C137" s="108"/>
      <c r="D137" s="108"/>
      <c r="E137" s="109"/>
      <c r="F137" s="110"/>
      <c r="J137" s="98" t="s">
        <v>214</v>
      </c>
    </row>
    <row r="138">
      <c r="A138" s="108"/>
      <c r="B138" s="108"/>
      <c r="C138" s="108"/>
      <c r="D138" s="108"/>
      <c r="E138" s="109"/>
      <c r="F138" s="110"/>
      <c r="J138" s="98" t="s">
        <v>214</v>
      </c>
    </row>
    <row r="139">
      <c r="A139" s="108"/>
      <c r="B139" s="108"/>
      <c r="C139" s="108"/>
      <c r="D139" s="108"/>
      <c r="E139" s="109"/>
      <c r="F139" s="110"/>
      <c r="J139" s="98" t="s">
        <v>214</v>
      </c>
    </row>
    <row r="140">
      <c r="A140" s="108"/>
      <c r="B140" s="108"/>
      <c r="C140" s="108"/>
      <c r="D140" s="108"/>
      <c r="E140" s="109"/>
      <c r="F140" s="110"/>
      <c r="J140" s="98" t="s">
        <v>214</v>
      </c>
    </row>
    <row r="141">
      <c r="A141" s="108"/>
      <c r="B141" s="108"/>
      <c r="C141" s="108"/>
      <c r="D141" s="108"/>
      <c r="E141" s="109"/>
      <c r="F141" s="110"/>
      <c r="J141" s="98" t="s">
        <v>214</v>
      </c>
    </row>
    <row r="142">
      <c r="A142" s="108"/>
      <c r="B142" s="108"/>
      <c r="C142" s="108"/>
      <c r="D142" s="108"/>
      <c r="E142" s="109"/>
      <c r="F142" s="110"/>
      <c r="J142" s="98" t="s">
        <v>214</v>
      </c>
    </row>
    <row r="143">
      <c r="A143" s="108"/>
      <c r="B143" s="108"/>
      <c r="C143" s="108"/>
      <c r="D143" s="108"/>
      <c r="E143" s="109"/>
      <c r="F143" s="110"/>
      <c r="J143" s="98" t="s">
        <v>214</v>
      </c>
    </row>
    <row r="144">
      <c r="A144" s="108"/>
      <c r="B144" s="108"/>
      <c r="C144" s="108"/>
      <c r="D144" s="108"/>
      <c r="E144" s="109"/>
      <c r="F144" s="110"/>
      <c r="J144" s="98" t="s">
        <v>214</v>
      </c>
    </row>
    <row r="145">
      <c r="A145" s="108"/>
      <c r="B145" s="108"/>
      <c r="C145" s="108"/>
      <c r="D145" s="108"/>
      <c r="E145" s="109"/>
      <c r="F145" s="110"/>
      <c r="J145" s="98" t="s">
        <v>214</v>
      </c>
    </row>
    <row r="146">
      <c r="A146" s="108"/>
      <c r="B146" s="108"/>
      <c r="C146" s="108"/>
      <c r="D146" s="108"/>
      <c r="E146" s="109"/>
      <c r="F146" s="110"/>
      <c r="J146" s="98" t="s">
        <v>214</v>
      </c>
    </row>
    <row r="147">
      <c r="A147" s="108"/>
      <c r="B147" s="108"/>
      <c r="C147" s="108"/>
      <c r="D147" s="108"/>
      <c r="E147" s="109"/>
      <c r="F147" s="110"/>
      <c r="J147" s="98" t="s">
        <v>214</v>
      </c>
    </row>
    <row r="148">
      <c r="A148" s="108"/>
      <c r="B148" s="108"/>
      <c r="C148" s="108"/>
      <c r="D148" s="108"/>
      <c r="E148" s="109"/>
      <c r="F148" s="110"/>
      <c r="J148" s="98" t="s">
        <v>214</v>
      </c>
    </row>
    <row r="149">
      <c r="A149" s="108"/>
      <c r="B149" s="108"/>
      <c r="C149" s="108"/>
      <c r="D149" s="108"/>
      <c r="E149" s="109"/>
      <c r="F149" s="110"/>
      <c r="J149" s="98" t="s">
        <v>214</v>
      </c>
    </row>
    <row r="150">
      <c r="A150" s="108"/>
      <c r="B150" s="108"/>
      <c r="C150" s="108"/>
      <c r="D150" s="108"/>
      <c r="E150" s="109"/>
      <c r="F150" s="110"/>
      <c r="J150" s="98" t="s">
        <v>214</v>
      </c>
    </row>
    <row r="151">
      <c r="A151" s="108"/>
      <c r="B151" s="108"/>
      <c r="C151" s="108"/>
      <c r="D151" s="108"/>
      <c r="E151" s="109"/>
      <c r="F151" s="110"/>
      <c r="J151" s="98" t="s">
        <v>214</v>
      </c>
    </row>
    <row r="152">
      <c r="A152" s="108"/>
      <c r="B152" s="108"/>
      <c r="C152" s="108"/>
      <c r="D152" s="108"/>
      <c r="E152" s="109"/>
      <c r="F152" s="110"/>
      <c r="J152" s="98" t="s">
        <v>214</v>
      </c>
    </row>
    <row r="153">
      <c r="A153" s="108"/>
      <c r="B153" s="108"/>
      <c r="C153" s="108"/>
      <c r="D153" s="108"/>
      <c r="E153" s="109"/>
      <c r="F153" s="110"/>
      <c r="J153" s="98" t="s">
        <v>214</v>
      </c>
    </row>
    <row r="154">
      <c r="A154" s="108"/>
      <c r="B154" s="108"/>
      <c r="C154" s="108"/>
      <c r="D154" s="108"/>
      <c r="E154" s="109"/>
      <c r="F154" s="110"/>
      <c r="J154" s="98" t="s">
        <v>214</v>
      </c>
    </row>
    <row r="155">
      <c r="A155" s="108"/>
      <c r="B155" s="108"/>
      <c r="C155" s="108"/>
      <c r="D155" s="108"/>
      <c r="E155" s="109"/>
      <c r="F155" s="110"/>
      <c r="J155" s="98" t="s">
        <v>214</v>
      </c>
    </row>
    <row r="156">
      <c r="A156" s="108"/>
      <c r="B156" s="108"/>
      <c r="C156" s="108"/>
      <c r="D156" s="108"/>
      <c r="E156" s="109"/>
      <c r="F156" s="110"/>
      <c r="J156" s="98" t="s">
        <v>214</v>
      </c>
    </row>
    <row r="157">
      <c r="A157" s="108"/>
      <c r="B157" s="108"/>
      <c r="C157" s="108"/>
      <c r="D157" s="108"/>
      <c r="E157" s="109"/>
      <c r="F157" s="110"/>
      <c r="J157" s="98" t="s">
        <v>214</v>
      </c>
    </row>
    <row r="158">
      <c r="A158" s="108"/>
      <c r="B158" s="108"/>
      <c r="C158" s="108"/>
      <c r="D158" s="108"/>
      <c r="E158" s="109"/>
      <c r="F158" s="110"/>
      <c r="J158" s="98" t="s">
        <v>214</v>
      </c>
    </row>
    <row r="159">
      <c r="A159" s="108"/>
      <c r="B159" s="108"/>
      <c r="C159" s="108"/>
      <c r="D159" s="108"/>
      <c r="E159" s="109"/>
      <c r="F159" s="110"/>
      <c r="J159" s="98" t="s">
        <v>214</v>
      </c>
    </row>
    <row r="160">
      <c r="A160" s="108"/>
      <c r="B160" s="108"/>
      <c r="C160" s="108"/>
      <c r="D160" s="108"/>
      <c r="E160" s="109"/>
      <c r="F160" s="110"/>
      <c r="J160" s="98" t="s">
        <v>214</v>
      </c>
    </row>
    <row r="161">
      <c r="A161" s="108"/>
      <c r="B161" s="108"/>
      <c r="C161" s="108"/>
      <c r="D161" s="108"/>
      <c r="E161" s="109"/>
      <c r="F161" s="110"/>
      <c r="J161" s="98" t="s">
        <v>214</v>
      </c>
    </row>
    <row r="162">
      <c r="A162" s="108"/>
      <c r="B162" s="108"/>
      <c r="C162" s="108"/>
      <c r="D162" s="108"/>
      <c r="E162" s="109"/>
      <c r="F162" s="110"/>
      <c r="J162" s="98" t="s">
        <v>214</v>
      </c>
    </row>
    <row r="163">
      <c r="A163" s="108"/>
      <c r="B163" s="108"/>
      <c r="C163" s="108"/>
      <c r="D163" s="108"/>
      <c r="E163" s="109"/>
      <c r="F163" s="110"/>
      <c r="J163" s="98" t="s">
        <v>214</v>
      </c>
    </row>
    <row r="164">
      <c r="A164" s="108"/>
      <c r="B164" s="108"/>
      <c r="C164" s="108"/>
      <c r="D164" s="108"/>
      <c r="E164" s="109"/>
      <c r="F164" s="110"/>
      <c r="J164" s="98" t="s">
        <v>214</v>
      </c>
    </row>
    <row r="165">
      <c r="A165" s="108"/>
      <c r="B165" s="108"/>
      <c r="C165" s="108"/>
      <c r="D165" s="108"/>
      <c r="E165" s="109"/>
      <c r="F165" s="110"/>
      <c r="J165" s="98" t="s">
        <v>214</v>
      </c>
    </row>
    <row r="166">
      <c r="A166" s="108"/>
      <c r="B166" s="108"/>
      <c r="C166" s="108"/>
      <c r="D166" s="108"/>
      <c r="E166" s="109"/>
      <c r="F166" s="110"/>
      <c r="J166" s="98" t="s">
        <v>214</v>
      </c>
    </row>
    <row r="167">
      <c r="A167" s="108"/>
      <c r="B167" s="108"/>
      <c r="C167" s="108"/>
      <c r="D167" s="108"/>
      <c r="E167" s="109"/>
      <c r="F167" s="110"/>
      <c r="J167" s="98" t="s">
        <v>214</v>
      </c>
    </row>
    <row r="168">
      <c r="A168" s="108"/>
      <c r="B168" s="108"/>
      <c r="C168" s="108"/>
      <c r="D168" s="108"/>
      <c r="E168" s="109"/>
      <c r="F168" s="110"/>
      <c r="J168" s="98" t="s">
        <v>214</v>
      </c>
    </row>
    <row r="169">
      <c r="A169" s="108"/>
      <c r="B169" s="108"/>
      <c r="C169" s="108"/>
      <c r="D169" s="108"/>
      <c r="E169" s="109"/>
      <c r="F169" s="110"/>
      <c r="J169" s="98" t="s">
        <v>214</v>
      </c>
    </row>
    <row r="170">
      <c r="A170" s="108"/>
      <c r="B170" s="108"/>
      <c r="C170" s="108"/>
      <c r="D170" s="108"/>
      <c r="E170" s="109"/>
      <c r="F170" s="110"/>
      <c r="J170" s="98" t="s">
        <v>214</v>
      </c>
    </row>
    <row r="171">
      <c r="A171" s="108"/>
      <c r="B171" s="108"/>
      <c r="C171" s="108"/>
      <c r="D171" s="108"/>
      <c r="E171" s="109"/>
      <c r="F171" s="110"/>
      <c r="J171" s="98" t="s">
        <v>214</v>
      </c>
    </row>
    <row r="172">
      <c r="A172" s="108"/>
      <c r="B172" s="108"/>
      <c r="C172" s="108"/>
      <c r="D172" s="108"/>
      <c r="E172" s="109"/>
      <c r="F172" s="110"/>
      <c r="J172" s="98" t="s">
        <v>214</v>
      </c>
    </row>
    <row r="173">
      <c r="A173" s="108"/>
      <c r="B173" s="108"/>
      <c r="C173" s="108"/>
      <c r="D173" s="108"/>
      <c r="E173" s="109"/>
      <c r="F173" s="110"/>
      <c r="J173" s="98" t="s">
        <v>214</v>
      </c>
    </row>
    <row r="174">
      <c r="A174" s="108"/>
      <c r="B174" s="108"/>
      <c r="C174" s="108"/>
      <c r="D174" s="108"/>
      <c r="E174" s="109"/>
      <c r="F174" s="110"/>
      <c r="J174" s="98" t="s">
        <v>214</v>
      </c>
    </row>
    <row r="175">
      <c r="A175" s="108"/>
      <c r="B175" s="108"/>
      <c r="C175" s="108"/>
      <c r="D175" s="108"/>
      <c r="E175" s="109"/>
      <c r="F175" s="110"/>
      <c r="J175" s="98" t="s">
        <v>214</v>
      </c>
    </row>
    <row r="176">
      <c r="A176" s="108"/>
      <c r="B176" s="108"/>
      <c r="C176" s="108"/>
      <c r="D176" s="108"/>
      <c r="E176" s="109"/>
      <c r="F176" s="110"/>
      <c r="J176" s="98" t="s">
        <v>214</v>
      </c>
    </row>
    <row r="177">
      <c r="A177" s="108"/>
      <c r="B177" s="108"/>
      <c r="C177" s="108"/>
      <c r="D177" s="108"/>
      <c r="E177" s="109"/>
      <c r="F177" s="110"/>
      <c r="J177" s="98" t="s">
        <v>214</v>
      </c>
    </row>
    <row r="178">
      <c r="A178" s="108"/>
      <c r="B178" s="108"/>
      <c r="C178" s="108"/>
      <c r="D178" s="108"/>
      <c r="E178" s="109"/>
      <c r="F178" s="110"/>
      <c r="J178" s="98" t="s">
        <v>214</v>
      </c>
    </row>
    <row r="179">
      <c r="A179" s="108"/>
      <c r="B179" s="108"/>
      <c r="C179" s="108"/>
      <c r="D179" s="108"/>
      <c r="E179" s="109"/>
      <c r="F179" s="110"/>
      <c r="J179" s="98" t="s">
        <v>214</v>
      </c>
    </row>
    <row r="180">
      <c r="A180" s="108"/>
      <c r="B180" s="108"/>
      <c r="C180" s="108"/>
      <c r="D180" s="108"/>
      <c r="E180" s="109"/>
      <c r="F180" s="110"/>
      <c r="J180" s="98" t="s">
        <v>214</v>
      </c>
    </row>
    <row r="181">
      <c r="A181" s="108"/>
      <c r="B181" s="108"/>
      <c r="C181" s="108"/>
      <c r="D181" s="108"/>
      <c r="E181" s="109"/>
      <c r="F181" s="110"/>
      <c r="J181" s="98" t="s">
        <v>214</v>
      </c>
    </row>
    <row r="182">
      <c r="A182" s="108"/>
      <c r="B182" s="108"/>
      <c r="C182" s="108"/>
      <c r="D182" s="108"/>
      <c r="E182" s="109"/>
      <c r="F182" s="110"/>
      <c r="J182" s="98" t="s">
        <v>214</v>
      </c>
    </row>
    <row r="183">
      <c r="A183" s="108"/>
      <c r="B183" s="108"/>
      <c r="C183" s="108"/>
      <c r="D183" s="108"/>
      <c r="E183" s="109"/>
      <c r="F183" s="110"/>
      <c r="J183" s="98" t="s">
        <v>214</v>
      </c>
    </row>
    <row r="184">
      <c r="A184" s="108"/>
      <c r="B184" s="108"/>
      <c r="C184" s="108"/>
      <c r="D184" s="108"/>
      <c r="E184" s="109"/>
      <c r="F184" s="110"/>
      <c r="J184" s="98" t="s">
        <v>214</v>
      </c>
    </row>
    <row r="185">
      <c r="A185" s="108"/>
      <c r="B185" s="108"/>
      <c r="C185" s="108"/>
      <c r="D185" s="108"/>
      <c r="E185" s="109"/>
      <c r="F185" s="110"/>
      <c r="J185" s="98" t="s">
        <v>214</v>
      </c>
    </row>
    <row r="186">
      <c r="A186" s="108"/>
      <c r="B186" s="108"/>
      <c r="C186" s="108"/>
      <c r="D186" s="108"/>
      <c r="E186" s="109"/>
      <c r="F186" s="110"/>
      <c r="J186" s="98" t="s">
        <v>214</v>
      </c>
    </row>
    <row r="187">
      <c r="A187" s="108"/>
      <c r="B187" s="108"/>
      <c r="C187" s="108"/>
      <c r="D187" s="108"/>
      <c r="E187" s="109"/>
      <c r="F187" s="110"/>
      <c r="J187" s="98" t="s">
        <v>214</v>
      </c>
    </row>
    <row r="188">
      <c r="A188" s="108"/>
      <c r="B188" s="108"/>
      <c r="C188" s="108"/>
      <c r="D188" s="108"/>
      <c r="E188" s="109"/>
      <c r="F188" s="110"/>
      <c r="J188" s="98" t="s">
        <v>214</v>
      </c>
    </row>
    <row r="189">
      <c r="A189" s="108"/>
      <c r="B189" s="108"/>
      <c r="C189" s="108"/>
      <c r="D189" s="108"/>
      <c r="E189" s="109"/>
      <c r="F189" s="110"/>
      <c r="J189" s="98" t="s">
        <v>214</v>
      </c>
    </row>
    <row r="190">
      <c r="A190" s="108"/>
      <c r="B190" s="108"/>
      <c r="C190" s="108"/>
      <c r="D190" s="108"/>
      <c r="E190" s="109"/>
      <c r="F190" s="110"/>
      <c r="J190" s="98" t="s">
        <v>214</v>
      </c>
    </row>
    <row r="191">
      <c r="A191" s="108"/>
      <c r="B191" s="108"/>
      <c r="C191" s="108"/>
      <c r="D191" s="108"/>
      <c r="E191" s="109"/>
      <c r="F191" s="110"/>
      <c r="J191" s="98" t="s">
        <v>214</v>
      </c>
    </row>
    <row r="192">
      <c r="A192" s="108"/>
      <c r="B192" s="108"/>
      <c r="C192" s="108"/>
      <c r="D192" s="108"/>
      <c r="E192" s="109"/>
      <c r="F192" s="110"/>
      <c r="J192" s="98" t="s">
        <v>214</v>
      </c>
    </row>
    <row r="193">
      <c r="A193" s="108"/>
      <c r="B193" s="108"/>
      <c r="C193" s="108"/>
      <c r="D193" s="108"/>
      <c r="E193" s="109"/>
      <c r="F193" s="110"/>
      <c r="J193" s="98" t="s">
        <v>214</v>
      </c>
    </row>
    <row r="194">
      <c r="A194" s="108"/>
      <c r="B194" s="108"/>
      <c r="C194" s="108"/>
      <c r="D194" s="108"/>
      <c r="E194" s="109"/>
      <c r="F194" s="110"/>
      <c r="J194" s="98" t="s">
        <v>214</v>
      </c>
    </row>
    <row r="195">
      <c r="A195" s="108"/>
      <c r="B195" s="108"/>
      <c r="C195" s="108"/>
      <c r="D195" s="108"/>
      <c r="E195" s="109"/>
      <c r="F195" s="110"/>
      <c r="J195" s="98" t="s">
        <v>214</v>
      </c>
    </row>
    <row r="196">
      <c r="A196" s="108"/>
      <c r="B196" s="108"/>
      <c r="C196" s="108"/>
      <c r="D196" s="108"/>
      <c r="E196" s="109"/>
      <c r="F196" s="110"/>
      <c r="J196" s="98" t="s">
        <v>214</v>
      </c>
    </row>
    <row r="197">
      <c r="A197" s="108"/>
      <c r="B197" s="108"/>
      <c r="C197" s="108"/>
      <c r="D197" s="108"/>
      <c r="E197" s="109"/>
      <c r="F197" s="110"/>
      <c r="J197" s="98" t="s">
        <v>214</v>
      </c>
    </row>
    <row r="198">
      <c r="A198" s="108"/>
      <c r="B198" s="108"/>
      <c r="C198" s="108"/>
      <c r="D198" s="108"/>
      <c r="E198" s="109"/>
      <c r="F198" s="110"/>
      <c r="J198" s="98" t="s">
        <v>214</v>
      </c>
    </row>
    <row r="199">
      <c r="A199" s="108"/>
      <c r="B199" s="108"/>
      <c r="C199" s="108"/>
      <c r="D199" s="108"/>
      <c r="E199" s="109"/>
      <c r="F199" s="110"/>
      <c r="J199" s="98" t="s">
        <v>214</v>
      </c>
    </row>
    <row r="200">
      <c r="A200" s="108"/>
      <c r="B200" s="108"/>
      <c r="C200" s="108"/>
      <c r="D200" s="108"/>
      <c r="E200" s="109"/>
      <c r="F200" s="110"/>
      <c r="J200" s="98" t="s">
        <v>214</v>
      </c>
    </row>
    <row r="201">
      <c r="A201" s="108"/>
      <c r="B201" s="108"/>
      <c r="C201" s="108"/>
      <c r="D201" s="108"/>
      <c r="E201" s="109"/>
      <c r="F201" s="110"/>
      <c r="J201" s="98" t="s">
        <v>214</v>
      </c>
    </row>
    <row r="202">
      <c r="A202" s="108"/>
      <c r="B202" s="108"/>
      <c r="C202" s="108"/>
      <c r="D202" s="108"/>
      <c r="E202" s="109"/>
      <c r="F202" s="110"/>
      <c r="J202" s="98" t="s">
        <v>214</v>
      </c>
    </row>
    <row r="203">
      <c r="A203" s="108"/>
      <c r="B203" s="108"/>
      <c r="C203" s="108"/>
      <c r="D203" s="108"/>
      <c r="E203" s="109"/>
      <c r="F203" s="110"/>
      <c r="J203" s="98" t="s">
        <v>214</v>
      </c>
    </row>
    <row r="204">
      <c r="A204" s="108"/>
      <c r="B204" s="108"/>
      <c r="C204" s="108"/>
      <c r="D204" s="108"/>
      <c r="E204" s="109"/>
      <c r="F204" s="110"/>
      <c r="J204" s="98" t="s">
        <v>214</v>
      </c>
    </row>
    <row r="205">
      <c r="A205" s="108"/>
      <c r="B205" s="108"/>
      <c r="C205" s="108"/>
      <c r="D205" s="108"/>
      <c r="E205" s="109"/>
      <c r="F205" s="110"/>
      <c r="J205" s="98" t="s">
        <v>214</v>
      </c>
    </row>
    <row r="206">
      <c r="A206" s="108"/>
      <c r="B206" s="108"/>
      <c r="C206" s="108"/>
      <c r="D206" s="108"/>
      <c r="E206" s="109"/>
      <c r="F206" s="110"/>
      <c r="J206" s="98" t="s">
        <v>214</v>
      </c>
    </row>
    <row r="207">
      <c r="A207" s="108"/>
      <c r="B207" s="108"/>
      <c r="C207" s="108"/>
      <c r="D207" s="108"/>
      <c r="E207" s="109"/>
      <c r="F207" s="110"/>
      <c r="J207" s="98" t="s">
        <v>214</v>
      </c>
    </row>
    <row r="208">
      <c r="A208" s="108"/>
      <c r="B208" s="108"/>
      <c r="C208" s="108"/>
      <c r="D208" s="108"/>
      <c r="E208" s="109"/>
      <c r="F208" s="110"/>
      <c r="J208" s="98" t="s">
        <v>214</v>
      </c>
    </row>
    <row r="209">
      <c r="A209" s="108"/>
      <c r="B209" s="108"/>
      <c r="C209" s="108"/>
      <c r="D209" s="108"/>
      <c r="E209" s="109"/>
      <c r="F209" s="110"/>
      <c r="J209" s="98" t="s">
        <v>214</v>
      </c>
    </row>
    <row r="210">
      <c r="A210" s="108"/>
      <c r="B210" s="108"/>
      <c r="C210" s="108"/>
      <c r="D210" s="108"/>
      <c r="E210" s="109"/>
      <c r="F210" s="110"/>
      <c r="J210" s="98" t="s">
        <v>214</v>
      </c>
    </row>
    <row r="211">
      <c r="A211" s="108"/>
      <c r="B211" s="108"/>
      <c r="C211" s="108"/>
      <c r="D211" s="108"/>
      <c r="E211" s="109"/>
      <c r="F211" s="110"/>
      <c r="J211" s="98" t="s">
        <v>214</v>
      </c>
    </row>
    <row r="212">
      <c r="A212" s="108"/>
      <c r="B212" s="108"/>
      <c r="C212" s="108"/>
      <c r="D212" s="108"/>
      <c r="E212" s="109"/>
      <c r="F212" s="110"/>
      <c r="J212" s="98" t="s">
        <v>214</v>
      </c>
    </row>
    <row r="213">
      <c r="A213" s="108"/>
      <c r="B213" s="108"/>
      <c r="C213" s="108"/>
      <c r="D213" s="108"/>
      <c r="E213" s="109"/>
      <c r="F213" s="110"/>
      <c r="J213" s="98" t="s">
        <v>214</v>
      </c>
    </row>
    <row r="214">
      <c r="A214" s="108"/>
      <c r="B214" s="108"/>
      <c r="C214" s="108"/>
      <c r="D214" s="108"/>
      <c r="E214" s="109"/>
      <c r="F214" s="110"/>
      <c r="J214" s="98" t="s">
        <v>214</v>
      </c>
    </row>
    <row r="215">
      <c r="A215" s="108"/>
      <c r="B215" s="108"/>
      <c r="C215" s="108"/>
      <c r="D215" s="108"/>
      <c r="E215" s="109"/>
      <c r="F215" s="110"/>
      <c r="J215" s="98" t="s">
        <v>214</v>
      </c>
    </row>
    <row r="216">
      <c r="A216" s="108"/>
      <c r="B216" s="108"/>
      <c r="C216" s="108"/>
      <c r="D216" s="108"/>
      <c r="E216" s="109"/>
      <c r="F216" s="110"/>
      <c r="J216" s="98" t="s">
        <v>214</v>
      </c>
    </row>
    <row r="217">
      <c r="A217" s="108"/>
      <c r="B217" s="108"/>
      <c r="C217" s="108"/>
      <c r="D217" s="108"/>
      <c r="E217" s="109"/>
      <c r="F217" s="110"/>
      <c r="J217" s="98" t="s">
        <v>214</v>
      </c>
    </row>
    <row r="218">
      <c r="A218" s="108"/>
      <c r="B218" s="108"/>
      <c r="C218" s="108"/>
      <c r="D218" s="108"/>
      <c r="E218" s="109"/>
      <c r="F218" s="110"/>
      <c r="J218" s="98" t="s">
        <v>214</v>
      </c>
    </row>
    <row r="219">
      <c r="A219" s="108"/>
      <c r="B219" s="108"/>
      <c r="C219" s="108"/>
      <c r="D219" s="108"/>
      <c r="E219" s="109"/>
      <c r="F219" s="110"/>
      <c r="J219" s="98" t="s">
        <v>214</v>
      </c>
    </row>
    <row r="220">
      <c r="A220" s="108"/>
      <c r="B220" s="108"/>
      <c r="C220" s="108"/>
      <c r="D220" s="108"/>
      <c r="E220" s="109"/>
      <c r="F220" s="110"/>
      <c r="J220" s="98" t="s">
        <v>214</v>
      </c>
    </row>
    <row r="221">
      <c r="A221" s="108"/>
      <c r="B221" s="108"/>
      <c r="C221" s="108"/>
      <c r="D221" s="108"/>
      <c r="E221" s="109"/>
      <c r="F221" s="110"/>
      <c r="J221" s="98" t="s">
        <v>214</v>
      </c>
    </row>
    <row r="222">
      <c r="A222" s="108"/>
      <c r="B222" s="108"/>
      <c r="C222" s="108"/>
      <c r="D222" s="108"/>
      <c r="E222" s="109"/>
      <c r="F222" s="110"/>
      <c r="J222" s="98" t="s">
        <v>214</v>
      </c>
    </row>
    <row r="223">
      <c r="A223" s="108"/>
      <c r="B223" s="108"/>
      <c r="C223" s="108"/>
      <c r="D223" s="108"/>
      <c r="E223" s="109"/>
      <c r="F223" s="110"/>
      <c r="J223" s="98" t="s">
        <v>214</v>
      </c>
    </row>
    <row r="224">
      <c r="A224" s="108"/>
      <c r="B224" s="108"/>
      <c r="C224" s="108"/>
      <c r="D224" s="108"/>
      <c r="E224" s="109"/>
      <c r="F224" s="110"/>
      <c r="J224" s="98" t="s">
        <v>214</v>
      </c>
    </row>
    <row r="225">
      <c r="A225" s="108"/>
      <c r="B225" s="108"/>
      <c r="C225" s="108"/>
      <c r="D225" s="108"/>
      <c r="E225" s="109"/>
      <c r="F225" s="110"/>
      <c r="J225" s="98" t="s">
        <v>214</v>
      </c>
    </row>
    <row r="226">
      <c r="A226" s="108"/>
      <c r="B226" s="108"/>
      <c r="C226" s="108"/>
      <c r="D226" s="108"/>
      <c r="E226" s="109"/>
      <c r="F226" s="110"/>
      <c r="J226" s="98" t="s">
        <v>214</v>
      </c>
    </row>
    <row r="227">
      <c r="A227" s="108"/>
      <c r="B227" s="108"/>
      <c r="C227" s="108"/>
      <c r="D227" s="108"/>
      <c r="E227" s="109"/>
      <c r="F227" s="110"/>
      <c r="J227" s="98" t="s">
        <v>214</v>
      </c>
    </row>
    <row r="228">
      <c r="A228" s="108"/>
      <c r="B228" s="108"/>
      <c r="C228" s="108"/>
      <c r="D228" s="108"/>
      <c r="E228" s="109"/>
      <c r="F228" s="110"/>
      <c r="J228" s="98" t="s">
        <v>214</v>
      </c>
    </row>
    <row r="229">
      <c r="A229" s="108"/>
      <c r="B229" s="108"/>
      <c r="C229" s="108"/>
      <c r="D229" s="108"/>
      <c r="E229" s="109"/>
      <c r="F229" s="110"/>
      <c r="J229" s="98" t="s">
        <v>214</v>
      </c>
    </row>
    <row r="230">
      <c r="A230" s="108"/>
      <c r="B230" s="108"/>
      <c r="C230" s="108"/>
      <c r="D230" s="108"/>
      <c r="E230" s="109"/>
      <c r="F230" s="110"/>
      <c r="J230" s="98" t="s">
        <v>214</v>
      </c>
    </row>
    <row r="231">
      <c r="A231" s="108"/>
      <c r="B231" s="108"/>
      <c r="C231" s="108"/>
      <c r="D231" s="108"/>
      <c r="E231" s="109"/>
      <c r="F231" s="110"/>
      <c r="J231" s="98" t="s">
        <v>214</v>
      </c>
    </row>
    <row r="232">
      <c r="A232" s="108"/>
      <c r="B232" s="108"/>
      <c r="C232" s="108"/>
      <c r="D232" s="108"/>
      <c r="E232" s="109"/>
      <c r="F232" s="110"/>
      <c r="J232" s="98" t="s">
        <v>214</v>
      </c>
    </row>
    <row r="233">
      <c r="A233" s="108"/>
      <c r="B233" s="108"/>
      <c r="C233" s="108"/>
      <c r="D233" s="108"/>
      <c r="E233" s="109"/>
      <c r="F233" s="110"/>
      <c r="J233" s="98" t="s">
        <v>214</v>
      </c>
    </row>
    <row r="234">
      <c r="A234" s="108"/>
      <c r="B234" s="108"/>
      <c r="C234" s="108"/>
      <c r="D234" s="108"/>
      <c r="E234" s="109"/>
      <c r="F234" s="110"/>
      <c r="J234" s="98" t="s">
        <v>214</v>
      </c>
    </row>
    <row r="235">
      <c r="A235" s="108"/>
      <c r="B235" s="108"/>
      <c r="C235" s="108"/>
      <c r="D235" s="108"/>
      <c r="E235" s="109"/>
      <c r="F235" s="110"/>
      <c r="J235" s="98" t="s">
        <v>214</v>
      </c>
    </row>
    <row r="236">
      <c r="A236" s="108"/>
      <c r="B236" s="108"/>
      <c r="C236" s="108"/>
      <c r="D236" s="108"/>
      <c r="E236" s="109"/>
      <c r="F236" s="110"/>
      <c r="J236" s="98" t="s">
        <v>214</v>
      </c>
    </row>
    <row r="237">
      <c r="A237" s="108"/>
      <c r="B237" s="108"/>
      <c r="C237" s="108"/>
      <c r="D237" s="108"/>
      <c r="E237" s="109"/>
      <c r="F237" s="110"/>
      <c r="J237" s="98" t="s">
        <v>214</v>
      </c>
    </row>
    <row r="238">
      <c r="A238" s="108"/>
      <c r="B238" s="108"/>
      <c r="C238" s="108"/>
      <c r="D238" s="108"/>
      <c r="E238" s="109"/>
      <c r="F238" s="110"/>
      <c r="J238" s="98" t="s">
        <v>214</v>
      </c>
    </row>
    <row r="239">
      <c r="A239" s="108"/>
      <c r="B239" s="108"/>
      <c r="C239" s="108"/>
      <c r="D239" s="108"/>
      <c r="E239" s="109"/>
      <c r="F239" s="110"/>
      <c r="J239" s="98" t="s">
        <v>214</v>
      </c>
    </row>
    <row r="240">
      <c r="A240" s="108"/>
      <c r="B240" s="108"/>
      <c r="C240" s="108"/>
      <c r="D240" s="108"/>
      <c r="E240" s="109"/>
      <c r="F240" s="110"/>
      <c r="J240" s="98" t="s">
        <v>214</v>
      </c>
    </row>
    <row r="241">
      <c r="A241" s="108"/>
      <c r="B241" s="108"/>
      <c r="C241" s="108"/>
      <c r="D241" s="108"/>
      <c r="E241" s="109"/>
      <c r="F241" s="110"/>
      <c r="J241" s="98" t="s">
        <v>214</v>
      </c>
    </row>
    <row r="242">
      <c r="A242" s="108"/>
      <c r="B242" s="108"/>
      <c r="C242" s="108"/>
      <c r="D242" s="108"/>
      <c r="E242" s="109"/>
      <c r="F242" s="110"/>
      <c r="J242" s="98" t="s">
        <v>214</v>
      </c>
    </row>
    <row r="243">
      <c r="A243" s="108"/>
      <c r="B243" s="108"/>
      <c r="C243" s="108"/>
      <c r="D243" s="108"/>
      <c r="E243" s="109"/>
      <c r="F243" s="110"/>
      <c r="J243" s="98" t="s">
        <v>214</v>
      </c>
    </row>
    <row r="244">
      <c r="A244" s="108"/>
      <c r="B244" s="108"/>
      <c r="C244" s="108"/>
      <c r="D244" s="108"/>
      <c r="E244" s="109"/>
      <c r="F244" s="110"/>
      <c r="J244" s="98" t="s">
        <v>214</v>
      </c>
    </row>
    <row r="245">
      <c r="A245" s="108"/>
      <c r="B245" s="108"/>
      <c r="C245" s="108"/>
      <c r="D245" s="108"/>
      <c r="E245" s="109"/>
      <c r="F245" s="110"/>
      <c r="J245" s="98" t="s">
        <v>214</v>
      </c>
    </row>
    <row r="246">
      <c r="A246" s="108"/>
      <c r="B246" s="108"/>
      <c r="C246" s="108"/>
      <c r="D246" s="108"/>
      <c r="E246" s="109"/>
      <c r="F246" s="110"/>
      <c r="J246" s="98" t="s">
        <v>214</v>
      </c>
    </row>
    <row r="247">
      <c r="A247" s="108"/>
      <c r="B247" s="108"/>
      <c r="C247" s="108"/>
      <c r="D247" s="108"/>
      <c r="E247" s="109"/>
      <c r="F247" s="110"/>
      <c r="J247" s="98" t="s">
        <v>214</v>
      </c>
    </row>
    <row r="248">
      <c r="A248" s="108"/>
      <c r="B248" s="108"/>
      <c r="C248" s="108"/>
      <c r="D248" s="108"/>
      <c r="E248" s="109"/>
      <c r="F248" s="110"/>
      <c r="J248" s="98" t="s">
        <v>214</v>
      </c>
    </row>
    <row r="249">
      <c r="A249" s="108"/>
      <c r="B249" s="108"/>
      <c r="C249" s="108"/>
      <c r="D249" s="108"/>
      <c r="E249" s="109"/>
      <c r="F249" s="110"/>
      <c r="J249" s="98" t="s">
        <v>214</v>
      </c>
    </row>
    <row r="250">
      <c r="A250" s="108"/>
      <c r="B250" s="108"/>
      <c r="C250" s="108"/>
      <c r="D250" s="108"/>
      <c r="E250" s="109"/>
      <c r="F250" s="110"/>
      <c r="J250" s="98" t="s">
        <v>214</v>
      </c>
    </row>
    <row r="251">
      <c r="A251" s="108"/>
      <c r="B251" s="108"/>
      <c r="C251" s="108"/>
      <c r="D251" s="108"/>
      <c r="E251" s="109"/>
      <c r="F251" s="110"/>
      <c r="J251" s="98" t="s">
        <v>214</v>
      </c>
    </row>
    <row r="252">
      <c r="A252" s="108"/>
      <c r="B252" s="108"/>
      <c r="C252" s="108"/>
      <c r="D252" s="108"/>
      <c r="E252" s="109"/>
      <c r="F252" s="110"/>
      <c r="J252" s="98" t="s">
        <v>214</v>
      </c>
    </row>
    <row r="253">
      <c r="A253" s="108"/>
      <c r="B253" s="108"/>
      <c r="C253" s="108"/>
      <c r="D253" s="108"/>
      <c r="E253" s="109"/>
      <c r="F253" s="110"/>
      <c r="J253" s="98" t="s">
        <v>214</v>
      </c>
    </row>
    <row r="254">
      <c r="A254" s="108"/>
      <c r="B254" s="108"/>
      <c r="C254" s="108"/>
      <c r="D254" s="108"/>
      <c r="E254" s="109"/>
      <c r="F254" s="110"/>
      <c r="J254" s="98" t="s">
        <v>214</v>
      </c>
    </row>
    <row r="255">
      <c r="A255" s="108"/>
      <c r="B255" s="108"/>
      <c r="C255" s="108"/>
      <c r="D255" s="108"/>
      <c r="E255" s="109"/>
      <c r="F255" s="110"/>
      <c r="J255" s="98" t="s">
        <v>214</v>
      </c>
    </row>
    <row r="256">
      <c r="A256" s="108"/>
      <c r="B256" s="108"/>
      <c r="C256" s="108"/>
      <c r="D256" s="108"/>
      <c r="E256" s="109"/>
      <c r="F256" s="110"/>
      <c r="J256" s="98" t="s">
        <v>214</v>
      </c>
    </row>
    <row r="257">
      <c r="A257" s="108"/>
      <c r="B257" s="108"/>
      <c r="C257" s="108"/>
      <c r="D257" s="108"/>
      <c r="E257" s="109"/>
      <c r="F257" s="110"/>
      <c r="J257" s="98" t="s">
        <v>214</v>
      </c>
    </row>
    <row r="258">
      <c r="A258" s="108"/>
      <c r="B258" s="108"/>
      <c r="C258" s="108"/>
      <c r="D258" s="108"/>
      <c r="E258" s="109"/>
      <c r="F258" s="110"/>
      <c r="J258" s="98" t="s">
        <v>214</v>
      </c>
    </row>
    <row r="259">
      <c r="A259" s="108"/>
      <c r="B259" s="108"/>
      <c r="C259" s="108"/>
      <c r="D259" s="108"/>
      <c r="E259" s="109"/>
      <c r="F259" s="110"/>
      <c r="J259" s="98" t="s">
        <v>214</v>
      </c>
    </row>
    <row r="260">
      <c r="A260" s="108"/>
      <c r="B260" s="108"/>
      <c r="C260" s="108"/>
      <c r="D260" s="108"/>
      <c r="E260" s="109"/>
      <c r="F260" s="110"/>
      <c r="J260" s="98" t="s">
        <v>214</v>
      </c>
    </row>
    <row r="261">
      <c r="A261" s="108"/>
      <c r="B261" s="108"/>
      <c r="C261" s="108"/>
      <c r="D261" s="108"/>
      <c r="E261" s="109"/>
      <c r="F261" s="110"/>
      <c r="J261" s="98" t="s">
        <v>214</v>
      </c>
    </row>
    <row r="262">
      <c r="A262" s="108"/>
      <c r="B262" s="108"/>
      <c r="C262" s="108"/>
      <c r="D262" s="108"/>
      <c r="E262" s="109"/>
      <c r="F262" s="110"/>
      <c r="J262" s="98" t="s">
        <v>214</v>
      </c>
    </row>
    <row r="263">
      <c r="A263" s="108"/>
      <c r="B263" s="108"/>
      <c r="C263" s="108"/>
      <c r="D263" s="108"/>
      <c r="E263" s="109"/>
      <c r="F263" s="110"/>
      <c r="J263" s="98" t="s">
        <v>214</v>
      </c>
    </row>
    <row r="264">
      <c r="A264" s="108"/>
      <c r="B264" s="108"/>
      <c r="C264" s="108"/>
      <c r="D264" s="108"/>
      <c r="E264" s="109"/>
      <c r="F264" s="110"/>
      <c r="J264" s="98" t="s">
        <v>214</v>
      </c>
    </row>
    <row r="265">
      <c r="A265" s="108"/>
      <c r="B265" s="108"/>
      <c r="C265" s="108"/>
      <c r="D265" s="108"/>
      <c r="E265" s="109"/>
      <c r="F265" s="110"/>
      <c r="J265" s="98" t="s">
        <v>214</v>
      </c>
    </row>
    <row r="266">
      <c r="A266" s="108"/>
      <c r="B266" s="108"/>
      <c r="C266" s="108"/>
      <c r="D266" s="108"/>
      <c r="E266" s="109"/>
      <c r="F266" s="110"/>
      <c r="J266" s="98" t="s">
        <v>214</v>
      </c>
    </row>
    <row r="267">
      <c r="A267" s="108"/>
      <c r="B267" s="108"/>
      <c r="C267" s="108"/>
      <c r="D267" s="108"/>
      <c r="E267" s="109"/>
      <c r="F267" s="110"/>
      <c r="J267" s="98" t="s">
        <v>214</v>
      </c>
    </row>
    <row r="268">
      <c r="A268" s="108"/>
      <c r="B268" s="108"/>
      <c r="C268" s="108"/>
      <c r="D268" s="108"/>
      <c r="E268" s="109"/>
      <c r="F268" s="110"/>
      <c r="J268" s="98" t="s">
        <v>214</v>
      </c>
    </row>
    <row r="269">
      <c r="A269" s="108"/>
      <c r="B269" s="108"/>
      <c r="C269" s="108"/>
      <c r="D269" s="108"/>
      <c r="E269" s="109"/>
      <c r="F269" s="110"/>
      <c r="J269" s="98" t="s">
        <v>214</v>
      </c>
    </row>
    <row r="270">
      <c r="A270" s="108"/>
      <c r="B270" s="108"/>
      <c r="C270" s="108"/>
      <c r="D270" s="108"/>
      <c r="E270" s="109"/>
      <c r="F270" s="110"/>
      <c r="J270" s="98" t="s">
        <v>214</v>
      </c>
    </row>
    <row r="271">
      <c r="A271" s="108"/>
      <c r="B271" s="108"/>
      <c r="C271" s="108"/>
      <c r="D271" s="108"/>
      <c r="E271" s="109"/>
      <c r="F271" s="110"/>
      <c r="J271" s="98" t="s">
        <v>214</v>
      </c>
    </row>
    <row r="272">
      <c r="A272" s="108"/>
      <c r="B272" s="108"/>
      <c r="C272" s="108"/>
      <c r="D272" s="108"/>
      <c r="E272" s="109"/>
      <c r="F272" s="110"/>
      <c r="J272" s="98" t="s">
        <v>214</v>
      </c>
    </row>
    <row r="273">
      <c r="A273" s="108"/>
      <c r="B273" s="108"/>
      <c r="C273" s="108"/>
      <c r="D273" s="108"/>
      <c r="E273" s="109"/>
      <c r="F273" s="110"/>
      <c r="J273" s="98" t="s">
        <v>214</v>
      </c>
    </row>
    <row r="274">
      <c r="A274" s="108"/>
      <c r="B274" s="108"/>
      <c r="C274" s="108"/>
      <c r="D274" s="108"/>
      <c r="E274" s="109"/>
      <c r="F274" s="110"/>
      <c r="J274" s="98" t="s">
        <v>214</v>
      </c>
    </row>
    <row r="275">
      <c r="A275" s="108"/>
      <c r="B275" s="108"/>
      <c r="C275" s="108"/>
      <c r="D275" s="108"/>
      <c r="E275" s="109"/>
      <c r="F275" s="110"/>
      <c r="J275" s="98" t="s">
        <v>214</v>
      </c>
    </row>
    <row r="276">
      <c r="A276" s="108"/>
      <c r="B276" s="108"/>
      <c r="C276" s="108"/>
      <c r="D276" s="108"/>
      <c r="E276" s="109"/>
      <c r="F276" s="110"/>
      <c r="J276" s="98" t="s">
        <v>214</v>
      </c>
    </row>
    <row r="277">
      <c r="A277" s="108"/>
      <c r="B277" s="108"/>
      <c r="C277" s="108"/>
      <c r="D277" s="108"/>
      <c r="E277" s="109"/>
      <c r="F277" s="110"/>
      <c r="J277" s="98" t="s">
        <v>214</v>
      </c>
    </row>
    <row r="278">
      <c r="A278" s="108"/>
      <c r="B278" s="108"/>
      <c r="C278" s="108"/>
      <c r="D278" s="108"/>
      <c r="E278" s="109"/>
      <c r="F278" s="110"/>
      <c r="J278" s="98" t="s">
        <v>214</v>
      </c>
    </row>
    <row r="279">
      <c r="A279" s="108"/>
      <c r="B279" s="108"/>
      <c r="C279" s="108"/>
      <c r="D279" s="108"/>
      <c r="E279" s="109"/>
      <c r="F279" s="110"/>
      <c r="J279" s="98" t="s">
        <v>214</v>
      </c>
    </row>
    <row r="280">
      <c r="A280" s="108"/>
      <c r="B280" s="108"/>
      <c r="C280" s="108"/>
      <c r="D280" s="108"/>
      <c r="E280" s="109"/>
      <c r="F280" s="110"/>
      <c r="J280" s="98" t="s">
        <v>214</v>
      </c>
    </row>
    <row r="281">
      <c r="A281" s="108"/>
      <c r="B281" s="108"/>
      <c r="C281" s="108"/>
      <c r="D281" s="108"/>
      <c r="E281" s="109"/>
      <c r="F281" s="110"/>
      <c r="J281" s="98" t="s">
        <v>214</v>
      </c>
    </row>
    <row r="282">
      <c r="A282" s="108"/>
      <c r="B282" s="108"/>
      <c r="C282" s="108"/>
      <c r="D282" s="108"/>
      <c r="E282" s="109"/>
      <c r="F282" s="110"/>
      <c r="J282" s="98" t="s">
        <v>214</v>
      </c>
    </row>
    <row r="283">
      <c r="A283" s="108"/>
      <c r="B283" s="108"/>
      <c r="C283" s="108"/>
      <c r="D283" s="108"/>
      <c r="E283" s="109"/>
      <c r="F283" s="110"/>
      <c r="J283" s="98" t="s">
        <v>214</v>
      </c>
    </row>
    <row r="284">
      <c r="A284" s="108"/>
      <c r="B284" s="108"/>
      <c r="C284" s="108"/>
      <c r="D284" s="108"/>
      <c r="E284" s="109"/>
      <c r="F284" s="110"/>
      <c r="J284" s="98" t="s">
        <v>214</v>
      </c>
    </row>
    <row r="285">
      <c r="A285" s="108"/>
      <c r="B285" s="108"/>
      <c r="C285" s="108"/>
      <c r="D285" s="108"/>
      <c r="E285" s="109"/>
      <c r="F285" s="110"/>
      <c r="J285" s="98" t="s">
        <v>214</v>
      </c>
    </row>
    <row r="286">
      <c r="A286" s="108"/>
      <c r="B286" s="108"/>
      <c r="C286" s="108"/>
      <c r="D286" s="108"/>
      <c r="E286" s="109"/>
      <c r="F286" s="110"/>
      <c r="J286" s="98" t="s">
        <v>214</v>
      </c>
    </row>
    <row r="287">
      <c r="A287" s="108"/>
      <c r="B287" s="108"/>
      <c r="C287" s="108"/>
      <c r="D287" s="108"/>
      <c r="E287" s="109"/>
      <c r="F287" s="110"/>
      <c r="J287" s="98" t="s">
        <v>214</v>
      </c>
    </row>
    <row r="288">
      <c r="A288" s="108"/>
      <c r="B288" s="108"/>
      <c r="C288" s="108"/>
      <c r="D288" s="108"/>
      <c r="E288" s="109"/>
      <c r="F288" s="110"/>
      <c r="J288" s="98" t="s">
        <v>214</v>
      </c>
    </row>
    <row r="289">
      <c r="A289" s="108"/>
      <c r="B289" s="108"/>
      <c r="C289" s="108"/>
      <c r="D289" s="108"/>
      <c r="E289" s="109"/>
      <c r="F289" s="110"/>
      <c r="J289" s="98" t="s">
        <v>214</v>
      </c>
    </row>
    <row r="290">
      <c r="A290" s="108"/>
      <c r="B290" s="108"/>
      <c r="C290" s="108"/>
      <c r="D290" s="108"/>
      <c r="E290" s="109"/>
      <c r="F290" s="110"/>
      <c r="J290" s="98" t="s">
        <v>214</v>
      </c>
    </row>
    <row r="291">
      <c r="A291" s="108"/>
      <c r="B291" s="108"/>
      <c r="C291" s="108"/>
      <c r="D291" s="108"/>
      <c r="E291" s="109"/>
      <c r="F291" s="110"/>
      <c r="J291" s="98" t="s">
        <v>214</v>
      </c>
    </row>
    <row r="292">
      <c r="A292" s="108"/>
      <c r="B292" s="108"/>
      <c r="C292" s="108"/>
      <c r="D292" s="108"/>
      <c r="E292" s="109"/>
      <c r="F292" s="110"/>
      <c r="J292" s="98" t="s">
        <v>214</v>
      </c>
    </row>
    <row r="293">
      <c r="A293" s="108"/>
      <c r="B293" s="108"/>
      <c r="C293" s="108"/>
      <c r="D293" s="108"/>
      <c r="E293" s="109"/>
      <c r="F293" s="110"/>
      <c r="J293" s="98" t="s">
        <v>214</v>
      </c>
    </row>
    <row r="294">
      <c r="A294" s="108"/>
      <c r="B294" s="108"/>
      <c r="C294" s="108"/>
      <c r="D294" s="108"/>
      <c r="E294" s="109"/>
      <c r="F294" s="110"/>
      <c r="J294" s="98" t="s">
        <v>214</v>
      </c>
    </row>
    <row r="295">
      <c r="A295" s="108"/>
      <c r="B295" s="108"/>
      <c r="C295" s="108"/>
      <c r="D295" s="108"/>
      <c r="E295" s="109"/>
      <c r="F295" s="110"/>
      <c r="J295" s="98" t="s">
        <v>214</v>
      </c>
    </row>
    <row r="296">
      <c r="A296" s="108"/>
      <c r="B296" s="108"/>
      <c r="C296" s="108"/>
      <c r="D296" s="108"/>
      <c r="E296" s="109"/>
      <c r="F296" s="110"/>
      <c r="J296" s="98" t="s">
        <v>214</v>
      </c>
    </row>
    <row r="297">
      <c r="A297" s="108"/>
      <c r="B297" s="108"/>
      <c r="C297" s="108"/>
      <c r="D297" s="108"/>
      <c r="E297" s="109"/>
      <c r="F297" s="110"/>
      <c r="J297" s="98" t="s">
        <v>214</v>
      </c>
    </row>
    <row r="298">
      <c r="A298" s="108"/>
      <c r="B298" s="108"/>
      <c r="C298" s="108"/>
      <c r="D298" s="108"/>
      <c r="E298" s="109"/>
      <c r="F298" s="110"/>
      <c r="J298" s="98" t="s">
        <v>214</v>
      </c>
    </row>
    <row r="299">
      <c r="A299" s="108"/>
      <c r="B299" s="108"/>
      <c r="C299" s="108"/>
      <c r="D299" s="108"/>
      <c r="E299" s="109"/>
      <c r="F299" s="110"/>
      <c r="J299" s="98" t="s">
        <v>214</v>
      </c>
    </row>
    <row r="300">
      <c r="A300" s="108"/>
      <c r="B300" s="108"/>
      <c r="C300" s="108"/>
      <c r="D300" s="108"/>
      <c r="E300" s="109"/>
      <c r="F300" s="110"/>
      <c r="J300" s="98" t="s">
        <v>214</v>
      </c>
    </row>
    <row r="301">
      <c r="A301" s="108"/>
      <c r="B301" s="108"/>
      <c r="C301" s="108"/>
      <c r="D301" s="108"/>
      <c r="E301" s="109"/>
      <c r="F301" s="110"/>
      <c r="J301" s="98" t="s">
        <v>214</v>
      </c>
    </row>
    <row r="302">
      <c r="A302" s="108"/>
      <c r="B302" s="108"/>
      <c r="C302" s="108"/>
      <c r="D302" s="108"/>
      <c r="E302" s="109"/>
      <c r="F302" s="110"/>
      <c r="J302" s="98" t="s">
        <v>214</v>
      </c>
    </row>
    <row r="303">
      <c r="A303" s="108"/>
      <c r="B303" s="108"/>
      <c r="C303" s="108"/>
      <c r="D303" s="108"/>
      <c r="E303" s="109"/>
      <c r="F303" s="110"/>
      <c r="J303" s="98" t="s">
        <v>214</v>
      </c>
    </row>
    <row r="304">
      <c r="A304" s="108"/>
      <c r="B304" s="108"/>
      <c r="C304" s="108"/>
      <c r="D304" s="108"/>
      <c r="E304" s="109"/>
      <c r="F304" s="110"/>
      <c r="J304" s="98" t="s">
        <v>214</v>
      </c>
    </row>
    <row r="305">
      <c r="A305" s="108"/>
      <c r="B305" s="108"/>
      <c r="C305" s="108"/>
      <c r="D305" s="108"/>
      <c r="E305" s="109"/>
      <c r="F305" s="110"/>
      <c r="J305" s="98" t="s">
        <v>214</v>
      </c>
    </row>
    <row r="306">
      <c r="A306" s="108"/>
      <c r="B306" s="108"/>
      <c r="C306" s="108"/>
      <c r="D306" s="108"/>
      <c r="E306" s="109"/>
      <c r="F306" s="110"/>
      <c r="J306" s="98" t="s">
        <v>214</v>
      </c>
    </row>
    <row r="307">
      <c r="A307" s="108"/>
      <c r="B307" s="108"/>
      <c r="C307" s="108"/>
      <c r="D307" s="108"/>
      <c r="E307" s="109"/>
      <c r="F307" s="110"/>
      <c r="J307" s="98" t="s">
        <v>214</v>
      </c>
    </row>
    <row r="308">
      <c r="A308" s="108"/>
      <c r="B308" s="108"/>
      <c r="C308" s="108"/>
      <c r="D308" s="108"/>
      <c r="E308" s="109"/>
      <c r="F308" s="110"/>
      <c r="J308" s="98" t="s">
        <v>214</v>
      </c>
    </row>
    <row r="309">
      <c r="A309" s="108"/>
      <c r="B309" s="108"/>
      <c r="C309" s="108"/>
      <c r="D309" s="108"/>
      <c r="E309" s="109"/>
      <c r="F309" s="110"/>
      <c r="J309" s="98" t="s">
        <v>214</v>
      </c>
    </row>
    <row r="310">
      <c r="A310" s="108"/>
      <c r="B310" s="108"/>
      <c r="C310" s="108"/>
      <c r="D310" s="108"/>
      <c r="E310" s="109"/>
      <c r="F310" s="110"/>
      <c r="J310" s="98" t="s">
        <v>214</v>
      </c>
    </row>
    <row r="311">
      <c r="A311" s="108"/>
      <c r="B311" s="108"/>
      <c r="C311" s="108"/>
      <c r="D311" s="108"/>
      <c r="E311" s="109"/>
      <c r="F311" s="110"/>
      <c r="J311" s="98" t="s">
        <v>214</v>
      </c>
    </row>
    <row r="312">
      <c r="A312" s="108"/>
      <c r="B312" s="108"/>
      <c r="C312" s="108"/>
      <c r="D312" s="108"/>
      <c r="E312" s="109"/>
      <c r="F312" s="110"/>
      <c r="J312" s="98" t="s">
        <v>214</v>
      </c>
    </row>
    <row r="313">
      <c r="A313" s="108"/>
      <c r="B313" s="108"/>
      <c r="C313" s="108"/>
      <c r="D313" s="108"/>
      <c r="E313" s="109"/>
      <c r="F313" s="110"/>
      <c r="J313" s="98" t="s">
        <v>214</v>
      </c>
    </row>
    <row r="314">
      <c r="A314" s="108"/>
      <c r="B314" s="108"/>
      <c r="C314" s="108"/>
      <c r="D314" s="108"/>
      <c r="E314" s="109"/>
      <c r="F314" s="110"/>
      <c r="J314" s="98" t="s">
        <v>214</v>
      </c>
    </row>
    <row r="315">
      <c r="A315" s="108"/>
      <c r="B315" s="108"/>
      <c r="C315" s="108"/>
      <c r="D315" s="108"/>
      <c r="E315" s="109"/>
      <c r="F315" s="110"/>
      <c r="J315" s="98" t="s">
        <v>214</v>
      </c>
    </row>
    <row r="316">
      <c r="A316" s="108"/>
      <c r="B316" s="108"/>
      <c r="C316" s="108"/>
      <c r="D316" s="108"/>
      <c r="E316" s="109"/>
      <c r="F316" s="110"/>
      <c r="J316" s="98" t="s">
        <v>214</v>
      </c>
    </row>
    <row r="317">
      <c r="A317" s="108"/>
      <c r="B317" s="108"/>
      <c r="C317" s="108"/>
      <c r="D317" s="108"/>
      <c r="E317" s="109"/>
      <c r="F317" s="110"/>
      <c r="J317" s="98" t="s">
        <v>214</v>
      </c>
    </row>
    <row r="318">
      <c r="A318" s="108"/>
      <c r="B318" s="108"/>
      <c r="C318" s="108"/>
      <c r="D318" s="108"/>
      <c r="E318" s="109"/>
      <c r="F318" s="110"/>
      <c r="J318" s="98" t="s">
        <v>214</v>
      </c>
    </row>
    <row r="319">
      <c r="A319" s="108"/>
      <c r="B319" s="108"/>
      <c r="C319" s="108"/>
      <c r="D319" s="108"/>
      <c r="E319" s="109"/>
      <c r="F319" s="110"/>
      <c r="J319" s="98" t="s">
        <v>214</v>
      </c>
    </row>
    <row r="320">
      <c r="A320" s="108"/>
      <c r="B320" s="108"/>
      <c r="C320" s="108"/>
      <c r="D320" s="108"/>
      <c r="E320" s="109"/>
      <c r="F320" s="110"/>
      <c r="J320" s="98" t="s">
        <v>214</v>
      </c>
    </row>
    <row r="321">
      <c r="A321" s="108"/>
      <c r="B321" s="108"/>
      <c r="C321" s="108"/>
      <c r="D321" s="108"/>
      <c r="E321" s="109"/>
      <c r="F321" s="110"/>
      <c r="J321" s="98" t="s">
        <v>214</v>
      </c>
    </row>
    <row r="322">
      <c r="A322" s="108"/>
      <c r="B322" s="108"/>
      <c r="C322" s="108"/>
      <c r="D322" s="108"/>
      <c r="E322" s="109"/>
      <c r="F322" s="110"/>
      <c r="J322" s="98" t="s">
        <v>214</v>
      </c>
    </row>
    <row r="323">
      <c r="A323" s="108"/>
      <c r="B323" s="108"/>
      <c r="C323" s="108"/>
      <c r="D323" s="108"/>
      <c r="E323" s="109"/>
      <c r="F323" s="110"/>
      <c r="J323" s="98" t="s">
        <v>214</v>
      </c>
    </row>
    <row r="324">
      <c r="A324" s="108"/>
      <c r="B324" s="108"/>
      <c r="C324" s="108"/>
      <c r="D324" s="108"/>
      <c r="E324" s="109"/>
      <c r="F324" s="110"/>
      <c r="J324" s="98" t="s">
        <v>214</v>
      </c>
    </row>
    <row r="325">
      <c r="A325" s="108"/>
      <c r="B325" s="108"/>
      <c r="C325" s="108"/>
      <c r="D325" s="108"/>
      <c r="E325" s="109"/>
      <c r="F325" s="110"/>
      <c r="J325" s="98" t="s">
        <v>214</v>
      </c>
    </row>
    <row r="326">
      <c r="A326" s="108"/>
      <c r="B326" s="108"/>
      <c r="C326" s="108"/>
      <c r="D326" s="108"/>
      <c r="E326" s="109"/>
      <c r="F326" s="110"/>
      <c r="J326" s="98" t="s">
        <v>214</v>
      </c>
    </row>
    <row r="327">
      <c r="A327" s="108"/>
      <c r="B327" s="108"/>
      <c r="C327" s="108"/>
      <c r="D327" s="108"/>
      <c r="E327" s="109"/>
      <c r="F327" s="110"/>
      <c r="J327" s="98" t="s">
        <v>214</v>
      </c>
    </row>
    <row r="328">
      <c r="A328" s="108"/>
      <c r="B328" s="108"/>
      <c r="C328" s="108"/>
      <c r="D328" s="108"/>
      <c r="E328" s="109"/>
      <c r="F328" s="110"/>
      <c r="J328" s="98" t="s">
        <v>214</v>
      </c>
    </row>
    <row r="329">
      <c r="A329" s="108"/>
      <c r="B329" s="108"/>
      <c r="C329" s="108"/>
      <c r="D329" s="108"/>
      <c r="E329" s="109"/>
      <c r="F329" s="110"/>
      <c r="J329" s="98" t="s">
        <v>214</v>
      </c>
    </row>
    <row r="330">
      <c r="A330" s="108"/>
      <c r="B330" s="108"/>
      <c r="C330" s="108"/>
      <c r="D330" s="108"/>
      <c r="E330" s="109"/>
      <c r="F330" s="110"/>
      <c r="J330" s="98" t="s">
        <v>214</v>
      </c>
    </row>
    <row r="331">
      <c r="A331" s="108"/>
      <c r="B331" s="108"/>
      <c r="C331" s="108"/>
      <c r="D331" s="108"/>
      <c r="E331" s="109"/>
      <c r="F331" s="110"/>
      <c r="J331" s="98" t="s">
        <v>214</v>
      </c>
    </row>
    <row r="332">
      <c r="A332" s="108"/>
      <c r="B332" s="108"/>
      <c r="C332" s="108"/>
      <c r="D332" s="108"/>
      <c r="E332" s="109"/>
      <c r="F332" s="110"/>
      <c r="J332" s="98" t="s">
        <v>214</v>
      </c>
    </row>
    <row r="333">
      <c r="A333" s="108"/>
      <c r="B333" s="108"/>
      <c r="C333" s="108"/>
      <c r="D333" s="108"/>
      <c r="E333" s="109"/>
      <c r="F333" s="110"/>
      <c r="J333" s="98" t="s">
        <v>214</v>
      </c>
    </row>
    <row r="334">
      <c r="A334" s="108"/>
      <c r="B334" s="108"/>
      <c r="C334" s="108"/>
      <c r="D334" s="108"/>
      <c r="E334" s="109"/>
      <c r="F334" s="110"/>
      <c r="J334" s="98" t="s">
        <v>214</v>
      </c>
    </row>
    <row r="335">
      <c r="A335" s="108"/>
      <c r="B335" s="108"/>
      <c r="C335" s="108"/>
      <c r="D335" s="108"/>
      <c r="E335" s="109"/>
      <c r="F335" s="110"/>
      <c r="J335" s="98" t="s">
        <v>214</v>
      </c>
    </row>
    <row r="336">
      <c r="A336" s="108"/>
      <c r="B336" s="108"/>
      <c r="C336" s="108"/>
      <c r="D336" s="108"/>
      <c r="E336" s="109"/>
      <c r="F336" s="110"/>
      <c r="J336" s="98" t="s">
        <v>214</v>
      </c>
    </row>
    <row r="337">
      <c r="A337" s="108"/>
      <c r="B337" s="108"/>
      <c r="C337" s="108"/>
      <c r="D337" s="108"/>
      <c r="E337" s="109"/>
      <c r="F337" s="110"/>
      <c r="J337" s="98" t="s">
        <v>214</v>
      </c>
    </row>
    <row r="338">
      <c r="A338" s="108"/>
      <c r="B338" s="108"/>
      <c r="C338" s="108"/>
      <c r="D338" s="108"/>
      <c r="E338" s="109"/>
      <c r="F338" s="110"/>
      <c r="J338" s="98" t="s">
        <v>214</v>
      </c>
    </row>
    <row r="339">
      <c r="A339" s="108"/>
      <c r="B339" s="108"/>
      <c r="C339" s="108"/>
      <c r="D339" s="108"/>
      <c r="E339" s="109"/>
      <c r="F339" s="110"/>
      <c r="J339" s="98" t="s">
        <v>214</v>
      </c>
    </row>
    <row r="340">
      <c r="A340" s="108"/>
      <c r="B340" s="108"/>
      <c r="C340" s="108"/>
      <c r="D340" s="108"/>
      <c r="E340" s="109"/>
      <c r="F340" s="110"/>
      <c r="J340" s="98" t="s">
        <v>214</v>
      </c>
    </row>
    <row r="341">
      <c r="A341" s="108"/>
      <c r="B341" s="108"/>
      <c r="C341" s="108"/>
      <c r="D341" s="108"/>
      <c r="E341" s="109"/>
      <c r="F341" s="110"/>
      <c r="J341" s="98" t="s">
        <v>214</v>
      </c>
    </row>
    <row r="342">
      <c r="A342" s="108"/>
      <c r="B342" s="108"/>
      <c r="C342" s="108"/>
      <c r="D342" s="108"/>
      <c r="E342" s="109"/>
      <c r="F342" s="110"/>
      <c r="J342" s="98" t="s">
        <v>214</v>
      </c>
    </row>
    <row r="343">
      <c r="A343" s="108"/>
      <c r="B343" s="108"/>
      <c r="C343" s="108"/>
      <c r="D343" s="108"/>
      <c r="E343" s="109"/>
      <c r="F343" s="110"/>
      <c r="J343" s="98" t="s">
        <v>214</v>
      </c>
    </row>
    <row r="344">
      <c r="A344" s="108"/>
      <c r="B344" s="108"/>
      <c r="C344" s="108"/>
      <c r="D344" s="108"/>
      <c r="E344" s="109"/>
      <c r="F344" s="110"/>
      <c r="J344" s="98" t="s">
        <v>214</v>
      </c>
    </row>
    <row r="345">
      <c r="A345" s="108"/>
      <c r="B345" s="108"/>
      <c r="C345" s="108"/>
      <c r="D345" s="108"/>
      <c r="E345" s="109"/>
      <c r="F345" s="110"/>
      <c r="J345" s="98" t="s">
        <v>214</v>
      </c>
    </row>
    <row r="346">
      <c r="A346" s="108"/>
      <c r="B346" s="108"/>
      <c r="C346" s="108"/>
      <c r="D346" s="108"/>
      <c r="E346" s="109"/>
      <c r="F346" s="110"/>
      <c r="J346" s="98" t="s">
        <v>214</v>
      </c>
    </row>
    <row r="347">
      <c r="A347" s="108"/>
      <c r="B347" s="108"/>
      <c r="C347" s="108"/>
      <c r="D347" s="108"/>
      <c r="E347" s="109"/>
      <c r="F347" s="110"/>
      <c r="J347" s="98" t="s">
        <v>214</v>
      </c>
    </row>
    <row r="348">
      <c r="A348" s="108"/>
      <c r="B348" s="108"/>
      <c r="C348" s="108"/>
      <c r="D348" s="108"/>
      <c r="E348" s="109"/>
      <c r="F348" s="110"/>
      <c r="J348" s="98" t="s">
        <v>214</v>
      </c>
    </row>
    <row r="349">
      <c r="A349" s="108"/>
      <c r="B349" s="108"/>
      <c r="C349" s="108"/>
      <c r="D349" s="108"/>
      <c r="E349" s="109"/>
      <c r="F349" s="110"/>
      <c r="J349" s="98" t="s">
        <v>214</v>
      </c>
    </row>
    <row r="350">
      <c r="A350" s="108"/>
      <c r="B350" s="108"/>
      <c r="C350" s="108"/>
      <c r="D350" s="108"/>
      <c r="E350" s="109"/>
      <c r="F350" s="110"/>
      <c r="J350" s="98" t="s">
        <v>214</v>
      </c>
    </row>
    <row r="351">
      <c r="A351" s="108"/>
      <c r="B351" s="108"/>
      <c r="C351" s="108"/>
      <c r="D351" s="108"/>
      <c r="E351" s="109"/>
      <c r="F351" s="110"/>
      <c r="J351" s="98" t="s">
        <v>214</v>
      </c>
    </row>
    <row r="352">
      <c r="A352" s="108"/>
      <c r="B352" s="108"/>
      <c r="C352" s="108"/>
      <c r="D352" s="108"/>
      <c r="E352" s="109"/>
      <c r="F352" s="110"/>
      <c r="J352" s="98" t="s">
        <v>214</v>
      </c>
    </row>
    <row r="353">
      <c r="A353" s="108"/>
      <c r="B353" s="108"/>
      <c r="C353" s="108"/>
      <c r="D353" s="108"/>
      <c r="E353" s="109"/>
      <c r="F353" s="110"/>
      <c r="J353" s="98" t="s">
        <v>214</v>
      </c>
    </row>
    <row r="354">
      <c r="A354" s="108"/>
      <c r="B354" s="108"/>
      <c r="C354" s="108"/>
      <c r="D354" s="108"/>
      <c r="E354" s="109"/>
      <c r="F354" s="110"/>
      <c r="J354" s="98" t="s">
        <v>214</v>
      </c>
    </row>
    <row r="355">
      <c r="A355" s="108"/>
      <c r="B355" s="108"/>
      <c r="C355" s="108"/>
      <c r="D355" s="108"/>
      <c r="E355" s="109"/>
      <c r="F355" s="110"/>
      <c r="J355" s="98" t="s">
        <v>214</v>
      </c>
    </row>
    <row r="356">
      <c r="A356" s="108"/>
      <c r="B356" s="108"/>
      <c r="C356" s="108"/>
      <c r="D356" s="108"/>
      <c r="E356" s="109"/>
      <c r="F356" s="110"/>
      <c r="J356" s="98" t="s">
        <v>214</v>
      </c>
    </row>
    <row r="357">
      <c r="A357" s="108"/>
      <c r="B357" s="108"/>
      <c r="C357" s="108"/>
      <c r="D357" s="108"/>
      <c r="E357" s="109"/>
      <c r="F357" s="110"/>
      <c r="J357" s="98" t="s">
        <v>214</v>
      </c>
    </row>
    <row r="358">
      <c r="A358" s="108"/>
      <c r="B358" s="108"/>
      <c r="C358" s="108"/>
      <c r="D358" s="108"/>
      <c r="E358" s="109"/>
      <c r="F358" s="110"/>
      <c r="J358" s="98" t="s">
        <v>214</v>
      </c>
    </row>
    <row r="359">
      <c r="A359" s="108"/>
      <c r="B359" s="108"/>
      <c r="C359" s="108"/>
      <c r="D359" s="108"/>
      <c r="E359" s="109"/>
      <c r="F359" s="110"/>
      <c r="J359" s="98" t="s">
        <v>214</v>
      </c>
    </row>
    <row r="360">
      <c r="A360" s="108"/>
      <c r="B360" s="108"/>
      <c r="C360" s="108"/>
      <c r="D360" s="108"/>
      <c r="E360" s="109"/>
      <c r="F360" s="110"/>
      <c r="J360" s="98" t="s">
        <v>214</v>
      </c>
    </row>
    <row r="361">
      <c r="A361" s="108"/>
      <c r="B361" s="108"/>
      <c r="C361" s="108"/>
      <c r="D361" s="108"/>
      <c r="E361" s="109"/>
      <c r="F361" s="110"/>
      <c r="J361" s="98" t="s">
        <v>214</v>
      </c>
    </row>
    <row r="362">
      <c r="A362" s="108"/>
      <c r="B362" s="108"/>
      <c r="C362" s="108"/>
      <c r="D362" s="108"/>
      <c r="E362" s="109"/>
      <c r="F362" s="110"/>
      <c r="J362" s="98" t="s">
        <v>214</v>
      </c>
    </row>
    <row r="363">
      <c r="A363" s="108"/>
      <c r="B363" s="108"/>
      <c r="C363" s="108"/>
      <c r="D363" s="108"/>
      <c r="E363" s="109"/>
      <c r="F363" s="110"/>
      <c r="J363" s="98" t="s">
        <v>214</v>
      </c>
    </row>
    <row r="364">
      <c r="A364" s="108"/>
      <c r="B364" s="108"/>
      <c r="C364" s="108"/>
      <c r="D364" s="108"/>
      <c r="E364" s="109"/>
      <c r="F364" s="110"/>
      <c r="J364" s="98" t="s">
        <v>214</v>
      </c>
    </row>
    <row r="365">
      <c r="A365" s="108"/>
      <c r="B365" s="108"/>
      <c r="C365" s="108"/>
      <c r="D365" s="108"/>
      <c r="E365" s="109"/>
      <c r="F365" s="110"/>
      <c r="J365" s="98" t="s">
        <v>214</v>
      </c>
    </row>
    <row r="366">
      <c r="A366" s="108"/>
      <c r="B366" s="108"/>
      <c r="C366" s="108"/>
      <c r="D366" s="108"/>
      <c r="E366" s="109"/>
      <c r="F366" s="110"/>
      <c r="J366" s="98" t="s">
        <v>214</v>
      </c>
    </row>
    <row r="367">
      <c r="A367" s="108"/>
      <c r="B367" s="108"/>
      <c r="C367" s="108"/>
      <c r="D367" s="108"/>
      <c r="E367" s="109"/>
      <c r="F367" s="110"/>
      <c r="J367" s="98" t="s">
        <v>214</v>
      </c>
    </row>
    <row r="368">
      <c r="A368" s="108"/>
      <c r="B368" s="108"/>
      <c r="C368" s="108"/>
      <c r="D368" s="108"/>
      <c r="E368" s="109"/>
      <c r="F368" s="110"/>
      <c r="J368" s="98" t="s">
        <v>214</v>
      </c>
    </row>
    <row r="369">
      <c r="A369" s="108"/>
      <c r="B369" s="108"/>
      <c r="C369" s="108"/>
      <c r="D369" s="108"/>
      <c r="E369" s="109"/>
      <c r="F369" s="110"/>
      <c r="J369" s="98" t="s">
        <v>214</v>
      </c>
    </row>
    <row r="370">
      <c r="A370" s="108"/>
      <c r="B370" s="108"/>
      <c r="C370" s="108"/>
      <c r="D370" s="108"/>
      <c r="E370" s="109"/>
      <c r="F370" s="110"/>
      <c r="J370" s="98" t="s">
        <v>214</v>
      </c>
    </row>
    <row r="371">
      <c r="A371" s="108"/>
      <c r="B371" s="108"/>
      <c r="C371" s="108"/>
      <c r="D371" s="108"/>
      <c r="E371" s="109"/>
      <c r="F371" s="110"/>
      <c r="J371" s="98" t="s">
        <v>214</v>
      </c>
    </row>
    <row r="372">
      <c r="A372" s="108"/>
      <c r="B372" s="108"/>
      <c r="C372" s="108"/>
      <c r="D372" s="108"/>
      <c r="E372" s="109"/>
      <c r="F372" s="110"/>
      <c r="J372" s="98" t="s">
        <v>214</v>
      </c>
    </row>
    <row r="373">
      <c r="A373" s="108"/>
      <c r="B373" s="108"/>
      <c r="C373" s="108"/>
      <c r="D373" s="108"/>
      <c r="E373" s="109"/>
      <c r="F373" s="110"/>
      <c r="J373" s="98" t="s">
        <v>214</v>
      </c>
    </row>
    <row r="374">
      <c r="A374" s="108"/>
      <c r="B374" s="108"/>
      <c r="C374" s="108"/>
      <c r="D374" s="108"/>
      <c r="E374" s="109"/>
      <c r="F374" s="110"/>
      <c r="J374" s="98" t="s">
        <v>214</v>
      </c>
    </row>
    <row r="375">
      <c r="A375" s="108"/>
      <c r="B375" s="108"/>
      <c r="C375" s="108"/>
      <c r="D375" s="108"/>
      <c r="E375" s="109"/>
      <c r="F375" s="110"/>
      <c r="J375" s="98" t="s">
        <v>214</v>
      </c>
    </row>
    <row r="376">
      <c r="A376" s="108"/>
      <c r="B376" s="108"/>
      <c r="C376" s="108"/>
      <c r="D376" s="108"/>
      <c r="E376" s="109"/>
      <c r="F376" s="110"/>
      <c r="J376" s="98" t="s">
        <v>214</v>
      </c>
    </row>
    <row r="377">
      <c r="A377" s="108"/>
      <c r="B377" s="108"/>
      <c r="C377" s="108"/>
      <c r="D377" s="108"/>
      <c r="E377" s="109"/>
      <c r="F377" s="110"/>
      <c r="J377" s="98" t="s">
        <v>214</v>
      </c>
    </row>
    <row r="378">
      <c r="A378" s="108"/>
      <c r="B378" s="108"/>
      <c r="C378" s="108"/>
      <c r="D378" s="108"/>
      <c r="E378" s="109"/>
      <c r="F378" s="110"/>
      <c r="J378" s="98" t="s">
        <v>214</v>
      </c>
    </row>
    <row r="379">
      <c r="A379" s="108"/>
      <c r="B379" s="108"/>
      <c r="C379" s="108"/>
      <c r="D379" s="108"/>
      <c r="E379" s="109"/>
      <c r="F379" s="110"/>
      <c r="J379" s="98" t="s">
        <v>214</v>
      </c>
    </row>
    <row r="380">
      <c r="A380" s="108"/>
      <c r="B380" s="108"/>
      <c r="C380" s="108"/>
      <c r="D380" s="108"/>
      <c r="E380" s="109"/>
      <c r="F380" s="110"/>
      <c r="J380" s="98" t="s">
        <v>214</v>
      </c>
    </row>
    <row r="381">
      <c r="A381" s="108"/>
      <c r="B381" s="108"/>
      <c r="C381" s="108"/>
      <c r="D381" s="108"/>
      <c r="E381" s="109"/>
      <c r="F381" s="110"/>
      <c r="J381" s="98" t="s">
        <v>214</v>
      </c>
    </row>
    <row r="382">
      <c r="A382" s="108"/>
      <c r="B382" s="108"/>
      <c r="C382" s="108"/>
      <c r="D382" s="108"/>
      <c r="E382" s="109"/>
      <c r="F382" s="110"/>
      <c r="J382" s="98" t="s">
        <v>214</v>
      </c>
    </row>
    <row r="383">
      <c r="A383" s="108"/>
      <c r="B383" s="108"/>
      <c r="C383" s="108"/>
      <c r="D383" s="108"/>
      <c r="E383" s="109"/>
      <c r="F383" s="110"/>
      <c r="J383" s="98" t="s">
        <v>214</v>
      </c>
    </row>
    <row r="384">
      <c r="A384" s="108"/>
      <c r="B384" s="108"/>
      <c r="C384" s="108"/>
      <c r="D384" s="108"/>
      <c r="E384" s="109"/>
      <c r="F384" s="110"/>
      <c r="J384" s="98" t="s">
        <v>214</v>
      </c>
    </row>
    <row r="385">
      <c r="A385" s="108"/>
      <c r="B385" s="108"/>
      <c r="C385" s="108"/>
      <c r="D385" s="108"/>
      <c r="E385" s="109"/>
      <c r="F385" s="110"/>
      <c r="J385" s="98" t="s">
        <v>214</v>
      </c>
    </row>
    <row r="386">
      <c r="A386" s="108"/>
      <c r="B386" s="108"/>
      <c r="C386" s="108"/>
      <c r="D386" s="108"/>
      <c r="E386" s="109"/>
      <c r="F386" s="110"/>
      <c r="J386" s="98" t="s">
        <v>214</v>
      </c>
    </row>
    <row r="387">
      <c r="A387" s="108"/>
      <c r="B387" s="108"/>
      <c r="C387" s="108"/>
      <c r="D387" s="108"/>
      <c r="E387" s="109"/>
      <c r="F387" s="110"/>
      <c r="J387" s="98" t="s">
        <v>214</v>
      </c>
    </row>
    <row r="388">
      <c r="A388" s="108"/>
      <c r="B388" s="108"/>
      <c r="C388" s="108"/>
      <c r="D388" s="108"/>
      <c r="E388" s="109"/>
      <c r="F388" s="110"/>
      <c r="J388" s="98" t="s">
        <v>214</v>
      </c>
    </row>
    <row r="389">
      <c r="A389" s="108"/>
      <c r="B389" s="108"/>
      <c r="C389" s="108"/>
      <c r="D389" s="108"/>
      <c r="E389" s="109"/>
      <c r="F389" s="110"/>
      <c r="J389" s="98" t="s">
        <v>214</v>
      </c>
    </row>
    <row r="390">
      <c r="A390" s="108"/>
      <c r="B390" s="108"/>
      <c r="C390" s="108"/>
      <c r="D390" s="108"/>
      <c r="E390" s="109"/>
      <c r="F390" s="110"/>
      <c r="J390" s="98" t="s">
        <v>214</v>
      </c>
    </row>
    <row r="391">
      <c r="A391" s="108"/>
      <c r="B391" s="108"/>
      <c r="C391" s="108"/>
      <c r="D391" s="108"/>
      <c r="E391" s="109"/>
      <c r="F391" s="110"/>
      <c r="J391" s="98" t="s">
        <v>214</v>
      </c>
    </row>
    <row r="392">
      <c r="A392" s="108"/>
      <c r="B392" s="108"/>
      <c r="C392" s="108"/>
      <c r="D392" s="108"/>
      <c r="E392" s="109"/>
      <c r="F392" s="110"/>
      <c r="J392" s="98" t="s">
        <v>214</v>
      </c>
    </row>
    <row r="393">
      <c r="A393" s="108"/>
      <c r="B393" s="108"/>
      <c r="C393" s="108"/>
      <c r="D393" s="108"/>
      <c r="E393" s="109"/>
      <c r="F393" s="110"/>
      <c r="J393" s="98" t="s">
        <v>214</v>
      </c>
    </row>
    <row r="394">
      <c r="A394" s="108"/>
      <c r="B394" s="108"/>
      <c r="C394" s="108"/>
      <c r="D394" s="108"/>
      <c r="E394" s="109"/>
      <c r="F394" s="110"/>
      <c r="J394" s="98" t="s">
        <v>214</v>
      </c>
    </row>
    <row r="395">
      <c r="A395" s="108"/>
      <c r="B395" s="108"/>
      <c r="C395" s="108"/>
      <c r="D395" s="108"/>
      <c r="E395" s="109"/>
      <c r="F395" s="110"/>
      <c r="J395" s="98" t="s">
        <v>214</v>
      </c>
    </row>
    <row r="396">
      <c r="A396" s="108"/>
      <c r="B396" s="108"/>
      <c r="C396" s="108"/>
      <c r="D396" s="108"/>
      <c r="E396" s="109"/>
      <c r="F396" s="110"/>
      <c r="J396" s="98" t="s">
        <v>214</v>
      </c>
    </row>
    <row r="397">
      <c r="A397" s="108"/>
      <c r="B397" s="108"/>
      <c r="C397" s="108"/>
      <c r="D397" s="108"/>
      <c r="E397" s="109"/>
      <c r="F397" s="110"/>
      <c r="J397" s="98" t="s">
        <v>214</v>
      </c>
    </row>
    <row r="398">
      <c r="A398" s="108"/>
      <c r="B398" s="108"/>
      <c r="C398" s="108"/>
      <c r="D398" s="108"/>
      <c r="E398" s="109"/>
      <c r="F398" s="110"/>
      <c r="J398" s="98" t="s">
        <v>214</v>
      </c>
    </row>
    <row r="399">
      <c r="A399" s="108"/>
      <c r="B399" s="108"/>
      <c r="C399" s="108"/>
      <c r="D399" s="108"/>
      <c r="E399" s="109"/>
      <c r="F399" s="110"/>
      <c r="J399" s="98" t="s">
        <v>214</v>
      </c>
    </row>
    <row r="400">
      <c r="A400" s="108"/>
      <c r="B400" s="108"/>
      <c r="C400" s="108"/>
      <c r="D400" s="108"/>
      <c r="E400" s="109"/>
      <c r="F400" s="110"/>
      <c r="J400" s="98" t="s">
        <v>214</v>
      </c>
    </row>
    <row r="401">
      <c r="A401" s="108"/>
      <c r="B401" s="108"/>
      <c r="C401" s="108"/>
      <c r="D401" s="108"/>
      <c r="E401" s="109"/>
      <c r="F401" s="110"/>
      <c r="J401" s="98" t="s">
        <v>214</v>
      </c>
    </row>
    <row r="402">
      <c r="A402" s="108"/>
      <c r="B402" s="108"/>
      <c r="C402" s="108"/>
      <c r="D402" s="108"/>
      <c r="E402" s="109"/>
      <c r="F402" s="110"/>
      <c r="J402" s="98" t="s">
        <v>214</v>
      </c>
    </row>
    <row r="403">
      <c r="A403" s="108"/>
      <c r="B403" s="108"/>
      <c r="C403" s="108"/>
      <c r="D403" s="108"/>
      <c r="E403" s="109"/>
      <c r="F403" s="110"/>
      <c r="J403" s="98" t="s">
        <v>214</v>
      </c>
    </row>
    <row r="404">
      <c r="A404" s="108"/>
      <c r="B404" s="108"/>
      <c r="C404" s="108"/>
      <c r="D404" s="108"/>
      <c r="E404" s="109"/>
      <c r="F404" s="110"/>
      <c r="J404" s="98" t="s">
        <v>214</v>
      </c>
    </row>
    <row r="405">
      <c r="A405" s="108"/>
      <c r="B405" s="108"/>
      <c r="C405" s="108"/>
      <c r="D405" s="108"/>
      <c r="E405" s="109"/>
      <c r="F405" s="110"/>
      <c r="J405" s="98" t="s">
        <v>214</v>
      </c>
    </row>
    <row r="406">
      <c r="A406" s="108"/>
      <c r="B406" s="108"/>
      <c r="C406" s="108"/>
      <c r="D406" s="108"/>
      <c r="E406" s="109"/>
      <c r="F406" s="110"/>
      <c r="J406" s="98" t="s">
        <v>214</v>
      </c>
    </row>
    <row r="407">
      <c r="A407" s="108"/>
      <c r="B407" s="108"/>
      <c r="C407" s="108"/>
      <c r="D407" s="108"/>
      <c r="E407" s="109"/>
      <c r="F407" s="110"/>
      <c r="J407" s="98" t="s">
        <v>214</v>
      </c>
    </row>
    <row r="408">
      <c r="A408" s="108"/>
      <c r="B408" s="108"/>
      <c r="C408" s="108"/>
      <c r="D408" s="108"/>
      <c r="E408" s="109"/>
      <c r="F408" s="110"/>
      <c r="J408" s="98" t="s">
        <v>214</v>
      </c>
    </row>
    <row r="409">
      <c r="A409" s="108"/>
      <c r="B409" s="108"/>
      <c r="C409" s="108"/>
      <c r="D409" s="108"/>
      <c r="E409" s="109"/>
      <c r="F409" s="110"/>
      <c r="J409" s="98" t="s">
        <v>214</v>
      </c>
    </row>
    <row r="410">
      <c r="A410" s="108"/>
      <c r="B410" s="108"/>
      <c r="C410" s="108"/>
      <c r="D410" s="108"/>
      <c r="E410" s="109"/>
      <c r="F410" s="110"/>
      <c r="J410" s="98" t="s">
        <v>214</v>
      </c>
    </row>
    <row r="411">
      <c r="A411" s="108"/>
      <c r="B411" s="108"/>
      <c r="C411" s="108"/>
      <c r="D411" s="108"/>
      <c r="E411" s="109"/>
      <c r="F411" s="110"/>
      <c r="J411" s="98" t="s">
        <v>214</v>
      </c>
    </row>
    <row r="412">
      <c r="A412" s="108"/>
      <c r="B412" s="108"/>
      <c r="C412" s="108"/>
      <c r="D412" s="108"/>
      <c r="E412" s="109"/>
      <c r="F412" s="110"/>
      <c r="J412" s="98" t="s">
        <v>214</v>
      </c>
    </row>
    <row r="413">
      <c r="A413" s="108"/>
      <c r="B413" s="108"/>
      <c r="C413" s="108"/>
      <c r="D413" s="108"/>
      <c r="E413" s="109"/>
      <c r="F413" s="110"/>
      <c r="J413" s="98" t="s">
        <v>214</v>
      </c>
    </row>
    <row r="414">
      <c r="A414" s="108"/>
      <c r="B414" s="108"/>
      <c r="C414" s="108"/>
      <c r="D414" s="108"/>
      <c r="E414" s="109"/>
      <c r="F414" s="110"/>
      <c r="J414" s="98" t="s">
        <v>214</v>
      </c>
    </row>
    <row r="415">
      <c r="A415" s="108"/>
      <c r="B415" s="108"/>
      <c r="C415" s="108"/>
      <c r="D415" s="108"/>
      <c r="E415" s="109"/>
      <c r="F415" s="110"/>
      <c r="J415" s="98" t="s">
        <v>214</v>
      </c>
    </row>
    <row r="416">
      <c r="A416" s="108"/>
      <c r="B416" s="108"/>
      <c r="C416" s="108"/>
      <c r="D416" s="108"/>
      <c r="E416" s="109"/>
      <c r="F416" s="110"/>
      <c r="J416" s="98" t="s">
        <v>214</v>
      </c>
    </row>
    <row r="417">
      <c r="A417" s="108"/>
      <c r="B417" s="108"/>
      <c r="C417" s="108"/>
      <c r="D417" s="108"/>
      <c r="E417" s="109"/>
      <c r="F417" s="110"/>
      <c r="J417" s="98" t="s">
        <v>214</v>
      </c>
    </row>
    <row r="418">
      <c r="A418" s="108"/>
      <c r="B418" s="108"/>
      <c r="C418" s="108"/>
      <c r="D418" s="108"/>
      <c r="E418" s="109"/>
      <c r="F418" s="110"/>
      <c r="J418" s="98" t="s">
        <v>214</v>
      </c>
    </row>
    <row r="419">
      <c r="A419" s="108"/>
      <c r="B419" s="108"/>
      <c r="C419" s="108"/>
      <c r="D419" s="108"/>
      <c r="E419" s="109"/>
      <c r="F419" s="110"/>
      <c r="J419" s="98" t="s">
        <v>214</v>
      </c>
    </row>
    <row r="420">
      <c r="A420" s="108"/>
      <c r="B420" s="108"/>
      <c r="C420" s="108"/>
      <c r="D420" s="108"/>
      <c r="E420" s="109"/>
      <c r="F420" s="110"/>
      <c r="J420" s="98" t="s">
        <v>214</v>
      </c>
    </row>
    <row r="421">
      <c r="A421" s="108"/>
      <c r="B421" s="108"/>
      <c r="C421" s="108"/>
      <c r="D421" s="108"/>
      <c r="E421" s="109"/>
      <c r="F421" s="110"/>
      <c r="J421" s="98" t="s">
        <v>214</v>
      </c>
    </row>
    <row r="422">
      <c r="A422" s="108"/>
      <c r="B422" s="108"/>
      <c r="C422" s="108"/>
      <c r="D422" s="108"/>
      <c r="E422" s="109"/>
      <c r="F422" s="110"/>
      <c r="J422" s="98" t="s">
        <v>214</v>
      </c>
    </row>
    <row r="423">
      <c r="A423" s="108"/>
      <c r="B423" s="108"/>
      <c r="C423" s="108"/>
      <c r="D423" s="108"/>
      <c r="E423" s="109"/>
      <c r="F423" s="110"/>
      <c r="J423" s="98" t="s">
        <v>214</v>
      </c>
    </row>
    <row r="424">
      <c r="A424" s="108"/>
      <c r="B424" s="108"/>
      <c r="C424" s="108"/>
      <c r="D424" s="108"/>
      <c r="E424" s="109"/>
      <c r="F424" s="110"/>
      <c r="J424" s="98" t="s">
        <v>214</v>
      </c>
    </row>
    <row r="425">
      <c r="A425" s="108"/>
      <c r="B425" s="108"/>
      <c r="C425" s="108"/>
      <c r="D425" s="108"/>
      <c r="E425" s="109"/>
      <c r="F425" s="110"/>
      <c r="J425" s="98" t="s">
        <v>214</v>
      </c>
    </row>
    <row r="426">
      <c r="A426" s="108"/>
      <c r="B426" s="108"/>
      <c r="C426" s="108"/>
      <c r="D426" s="108"/>
      <c r="E426" s="109"/>
      <c r="F426" s="110"/>
      <c r="J426" s="98" t="s">
        <v>214</v>
      </c>
    </row>
    <row r="427">
      <c r="A427" s="108"/>
      <c r="B427" s="108"/>
      <c r="C427" s="108"/>
      <c r="D427" s="108"/>
      <c r="E427" s="109"/>
      <c r="F427" s="110"/>
      <c r="J427" s="98" t="s">
        <v>214</v>
      </c>
    </row>
    <row r="428">
      <c r="A428" s="108"/>
      <c r="B428" s="108"/>
      <c r="C428" s="108"/>
      <c r="D428" s="108"/>
      <c r="E428" s="109"/>
      <c r="F428" s="110"/>
      <c r="J428" s="98" t="s">
        <v>214</v>
      </c>
    </row>
    <row r="429">
      <c r="A429" s="108"/>
      <c r="B429" s="108"/>
      <c r="C429" s="108"/>
      <c r="D429" s="108"/>
      <c r="E429" s="109"/>
      <c r="F429" s="110"/>
      <c r="J429" s="98" t="s">
        <v>214</v>
      </c>
    </row>
    <row r="430">
      <c r="A430" s="108"/>
      <c r="B430" s="108"/>
      <c r="C430" s="108"/>
      <c r="D430" s="108"/>
      <c r="E430" s="109"/>
      <c r="F430" s="110"/>
      <c r="J430" s="98" t="s">
        <v>214</v>
      </c>
    </row>
    <row r="431">
      <c r="A431" s="108"/>
      <c r="B431" s="108"/>
      <c r="C431" s="108"/>
      <c r="D431" s="108"/>
      <c r="E431" s="109"/>
      <c r="F431" s="110"/>
      <c r="J431" s="98" t="s">
        <v>214</v>
      </c>
    </row>
    <row r="432">
      <c r="A432" s="108"/>
      <c r="B432" s="108"/>
      <c r="C432" s="108"/>
      <c r="D432" s="108"/>
      <c r="E432" s="109"/>
      <c r="F432" s="110"/>
      <c r="J432" s="98" t="s">
        <v>214</v>
      </c>
    </row>
    <row r="433">
      <c r="A433" s="108"/>
      <c r="B433" s="108"/>
      <c r="C433" s="108"/>
      <c r="D433" s="108"/>
      <c r="E433" s="109"/>
      <c r="F433" s="110"/>
      <c r="J433" s="98" t="s">
        <v>214</v>
      </c>
    </row>
    <row r="434">
      <c r="A434" s="108"/>
      <c r="B434" s="108"/>
      <c r="C434" s="108"/>
      <c r="D434" s="108"/>
      <c r="E434" s="109"/>
      <c r="F434" s="110"/>
      <c r="J434" s="98" t="s">
        <v>214</v>
      </c>
    </row>
    <row r="435">
      <c r="A435" s="108"/>
      <c r="B435" s="108"/>
      <c r="C435" s="108"/>
      <c r="D435" s="108"/>
      <c r="E435" s="109"/>
      <c r="F435" s="110"/>
      <c r="J435" s="98" t="s">
        <v>214</v>
      </c>
    </row>
    <row r="436">
      <c r="A436" s="108"/>
      <c r="B436" s="108"/>
      <c r="C436" s="108"/>
      <c r="D436" s="108"/>
      <c r="E436" s="109"/>
      <c r="F436" s="110"/>
      <c r="J436" s="98" t="s">
        <v>214</v>
      </c>
    </row>
    <row r="437">
      <c r="A437" s="108"/>
      <c r="B437" s="108"/>
      <c r="C437" s="108"/>
      <c r="D437" s="108"/>
      <c r="E437" s="109"/>
      <c r="F437" s="110"/>
      <c r="J437" s="98" t="s">
        <v>214</v>
      </c>
    </row>
    <row r="438">
      <c r="A438" s="108"/>
      <c r="B438" s="108"/>
      <c r="C438" s="108"/>
      <c r="D438" s="108"/>
      <c r="E438" s="109"/>
      <c r="F438" s="110"/>
      <c r="J438" s="98" t="s">
        <v>214</v>
      </c>
    </row>
    <row r="439">
      <c r="A439" s="108"/>
      <c r="B439" s="108"/>
      <c r="C439" s="108"/>
      <c r="D439" s="108"/>
      <c r="E439" s="109"/>
      <c r="F439" s="110"/>
      <c r="J439" s="98" t="s">
        <v>214</v>
      </c>
    </row>
    <row r="440">
      <c r="A440" s="108"/>
      <c r="B440" s="108"/>
      <c r="C440" s="108"/>
      <c r="D440" s="108"/>
      <c r="E440" s="109"/>
      <c r="F440" s="110"/>
      <c r="J440" s="98" t="s">
        <v>214</v>
      </c>
    </row>
    <row r="441">
      <c r="A441" s="108"/>
      <c r="B441" s="108"/>
      <c r="C441" s="108"/>
      <c r="D441" s="108"/>
      <c r="E441" s="109"/>
      <c r="F441" s="110"/>
      <c r="J441" s="98" t="s">
        <v>214</v>
      </c>
    </row>
    <row r="442">
      <c r="A442" s="108"/>
      <c r="B442" s="108"/>
      <c r="C442" s="108"/>
      <c r="D442" s="108"/>
      <c r="E442" s="109"/>
      <c r="F442" s="110"/>
      <c r="J442" s="98" t="s">
        <v>214</v>
      </c>
    </row>
    <row r="443">
      <c r="A443" s="108"/>
      <c r="B443" s="108"/>
      <c r="C443" s="108"/>
      <c r="D443" s="108"/>
      <c r="E443" s="109"/>
      <c r="F443" s="110"/>
      <c r="J443" s="98" t="s">
        <v>214</v>
      </c>
    </row>
    <row r="444">
      <c r="A444" s="108"/>
      <c r="B444" s="108"/>
      <c r="C444" s="108"/>
      <c r="D444" s="108"/>
      <c r="E444" s="109"/>
      <c r="F444" s="110"/>
      <c r="J444" s="98" t="s">
        <v>214</v>
      </c>
    </row>
    <row r="445">
      <c r="A445" s="108"/>
      <c r="B445" s="108"/>
      <c r="C445" s="108"/>
      <c r="D445" s="108"/>
      <c r="E445" s="109"/>
      <c r="F445" s="110"/>
      <c r="J445" s="98" t="s">
        <v>214</v>
      </c>
    </row>
    <row r="446">
      <c r="A446" s="108"/>
      <c r="B446" s="108"/>
      <c r="C446" s="108"/>
      <c r="D446" s="108"/>
      <c r="E446" s="109"/>
      <c r="F446" s="110"/>
      <c r="J446" s="98" t="s">
        <v>214</v>
      </c>
    </row>
    <row r="447">
      <c r="A447" s="108"/>
      <c r="B447" s="108"/>
      <c r="C447" s="108"/>
      <c r="D447" s="108"/>
      <c r="E447" s="109"/>
      <c r="F447" s="110"/>
      <c r="J447" s="98" t="s">
        <v>214</v>
      </c>
    </row>
    <row r="448">
      <c r="A448" s="108"/>
      <c r="B448" s="108"/>
      <c r="C448" s="108"/>
      <c r="D448" s="108"/>
      <c r="E448" s="109"/>
      <c r="F448" s="110"/>
      <c r="J448" s="98" t="s">
        <v>214</v>
      </c>
    </row>
    <row r="449">
      <c r="A449" s="108"/>
      <c r="B449" s="108"/>
      <c r="C449" s="108"/>
      <c r="D449" s="108"/>
      <c r="E449" s="109"/>
      <c r="F449" s="110"/>
      <c r="J449" s="98" t="s">
        <v>214</v>
      </c>
    </row>
    <row r="450">
      <c r="A450" s="108"/>
      <c r="B450" s="108"/>
      <c r="C450" s="108"/>
      <c r="D450" s="108"/>
      <c r="E450" s="109"/>
      <c r="F450" s="110"/>
      <c r="J450" s="98" t="s">
        <v>214</v>
      </c>
    </row>
    <row r="451">
      <c r="A451" s="108"/>
      <c r="B451" s="108"/>
      <c r="C451" s="108"/>
      <c r="D451" s="108"/>
      <c r="E451" s="109"/>
      <c r="F451" s="110"/>
      <c r="J451" s="98" t="s">
        <v>214</v>
      </c>
    </row>
    <row r="452">
      <c r="A452" s="108"/>
      <c r="B452" s="108"/>
      <c r="C452" s="108"/>
      <c r="D452" s="108"/>
      <c r="E452" s="109"/>
      <c r="F452" s="110"/>
      <c r="J452" s="98" t="s">
        <v>214</v>
      </c>
    </row>
    <row r="453">
      <c r="A453" s="108"/>
      <c r="B453" s="108"/>
      <c r="C453" s="108"/>
      <c r="D453" s="108"/>
      <c r="E453" s="109"/>
      <c r="F453" s="110"/>
      <c r="J453" s="98" t="s">
        <v>214</v>
      </c>
    </row>
    <row r="454">
      <c r="A454" s="108"/>
      <c r="B454" s="108"/>
      <c r="C454" s="108"/>
      <c r="D454" s="108"/>
      <c r="E454" s="109"/>
      <c r="F454" s="110"/>
      <c r="J454" s="98" t="s">
        <v>214</v>
      </c>
    </row>
    <row r="455">
      <c r="A455" s="108"/>
      <c r="B455" s="108"/>
      <c r="C455" s="108"/>
      <c r="D455" s="108"/>
      <c r="E455" s="109"/>
      <c r="F455" s="110"/>
      <c r="J455" s="98" t="s">
        <v>214</v>
      </c>
    </row>
    <row r="456">
      <c r="A456" s="108"/>
      <c r="B456" s="108"/>
      <c r="C456" s="108"/>
      <c r="D456" s="108"/>
      <c r="E456" s="109"/>
      <c r="F456" s="110"/>
      <c r="J456" s="98" t="s">
        <v>214</v>
      </c>
    </row>
    <row r="457">
      <c r="A457" s="108"/>
      <c r="B457" s="108"/>
      <c r="C457" s="108"/>
      <c r="D457" s="108"/>
      <c r="E457" s="109"/>
      <c r="F457" s="110"/>
      <c r="J457" s="98" t="s">
        <v>214</v>
      </c>
    </row>
    <row r="458">
      <c r="A458" s="108"/>
      <c r="B458" s="108"/>
      <c r="C458" s="108"/>
      <c r="D458" s="108"/>
      <c r="E458" s="109"/>
      <c r="F458" s="110"/>
      <c r="J458" s="98" t="s">
        <v>214</v>
      </c>
    </row>
    <row r="459">
      <c r="A459" s="108"/>
      <c r="B459" s="108"/>
      <c r="C459" s="108"/>
      <c r="D459" s="108"/>
      <c r="E459" s="109"/>
      <c r="F459" s="110"/>
      <c r="J459" s="98" t="s">
        <v>214</v>
      </c>
    </row>
    <row r="460">
      <c r="A460" s="108"/>
      <c r="B460" s="108"/>
      <c r="C460" s="108"/>
      <c r="D460" s="108"/>
      <c r="E460" s="109"/>
      <c r="F460" s="110"/>
      <c r="J460" s="98" t="s">
        <v>214</v>
      </c>
    </row>
    <row r="461">
      <c r="A461" s="108"/>
      <c r="B461" s="108"/>
      <c r="C461" s="108"/>
      <c r="D461" s="108"/>
      <c r="E461" s="109"/>
      <c r="F461" s="110"/>
      <c r="J461" s="98" t="s">
        <v>214</v>
      </c>
    </row>
    <row r="462">
      <c r="A462" s="108"/>
      <c r="B462" s="108"/>
      <c r="C462" s="108"/>
      <c r="D462" s="108"/>
      <c r="E462" s="109"/>
      <c r="F462" s="110"/>
      <c r="J462" s="98" t="s">
        <v>214</v>
      </c>
    </row>
    <row r="463">
      <c r="A463" s="108"/>
      <c r="B463" s="108"/>
      <c r="C463" s="108"/>
      <c r="D463" s="108"/>
      <c r="E463" s="109"/>
      <c r="F463" s="110"/>
      <c r="J463" s="98" t="s">
        <v>214</v>
      </c>
    </row>
    <row r="464">
      <c r="A464" s="108"/>
      <c r="B464" s="108"/>
      <c r="C464" s="108"/>
      <c r="D464" s="108"/>
      <c r="E464" s="109"/>
      <c r="F464" s="110"/>
      <c r="J464" s="98" t="s">
        <v>214</v>
      </c>
    </row>
    <row r="465">
      <c r="A465" s="108"/>
      <c r="B465" s="108"/>
      <c r="C465" s="108"/>
      <c r="D465" s="108"/>
      <c r="E465" s="109"/>
      <c r="F465" s="110"/>
      <c r="J465" s="98" t="s">
        <v>214</v>
      </c>
    </row>
    <row r="466">
      <c r="A466" s="108"/>
      <c r="B466" s="108"/>
      <c r="C466" s="108"/>
      <c r="D466" s="108"/>
      <c r="E466" s="109"/>
      <c r="F466" s="110"/>
      <c r="J466" s="98" t="s">
        <v>214</v>
      </c>
    </row>
    <row r="467">
      <c r="A467" s="108"/>
      <c r="B467" s="108"/>
      <c r="C467" s="108"/>
      <c r="D467" s="108"/>
      <c r="E467" s="109"/>
      <c r="F467" s="110"/>
      <c r="J467" s="98" t="s">
        <v>214</v>
      </c>
    </row>
    <row r="468">
      <c r="A468" s="108"/>
      <c r="B468" s="108"/>
      <c r="C468" s="108"/>
      <c r="D468" s="108"/>
      <c r="E468" s="109"/>
      <c r="F468" s="110"/>
      <c r="J468" s="98" t="s">
        <v>214</v>
      </c>
    </row>
    <row r="469">
      <c r="A469" s="108"/>
      <c r="B469" s="108"/>
      <c r="C469" s="108"/>
      <c r="D469" s="108"/>
      <c r="E469" s="109"/>
      <c r="F469" s="110"/>
      <c r="J469" s="98" t="s">
        <v>214</v>
      </c>
    </row>
    <row r="470">
      <c r="A470" s="108"/>
      <c r="B470" s="108"/>
      <c r="C470" s="108"/>
      <c r="D470" s="108"/>
      <c r="E470" s="109"/>
      <c r="F470" s="110"/>
      <c r="J470" s="98" t="s">
        <v>214</v>
      </c>
    </row>
    <row r="471">
      <c r="A471" s="108"/>
      <c r="B471" s="108"/>
      <c r="C471" s="108"/>
      <c r="D471" s="108"/>
      <c r="E471" s="109"/>
      <c r="F471" s="110"/>
      <c r="J471" s="98" t="s">
        <v>214</v>
      </c>
    </row>
    <row r="472">
      <c r="A472" s="108"/>
      <c r="B472" s="108"/>
      <c r="C472" s="108"/>
      <c r="D472" s="108"/>
      <c r="E472" s="109"/>
      <c r="F472" s="110"/>
      <c r="J472" s="98" t="s">
        <v>214</v>
      </c>
    </row>
    <row r="473">
      <c r="A473" s="108"/>
      <c r="B473" s="108"/>
      <c r="C473" s="108"/>
      <c r="D473" s="108"/>
      <c r="E473" s="109"/>
      <c r="F473" s="110"/>
      <c r="J473" s="98" t="s">
        <v>214</v>
      </c>
    </row>
    <row r="474">
      <c r="A474" s="108"/>
      <c r="B474" s="108"/>
      <c r="C474" s="108"/>
      <c r="D474" s="108"/>
      <c r="E474" s="109"/>
      <c r="F474" s="110"/>
      <c r="J474" s="98" t="s">
        <v>214</v>
      </c>
    </row>
    <row r="475">
      <c r="A475" s="108"/>
      <c r="B475" s="108"/>
      <c r="C475" s="108"/>
      <c r="D475" s="108"/>
      <c r="E475" s="109"/>
      <c r="F475" s="110"/>
      <c r="J475" s="98" t="s">
        <v>214</v>
      </c>
    </row>
    <row r="476">
      <c r="A476" s="108"/>
      <c r="B476" s="108"/>
      <c r="C476" s="108"/>
      <c r="D476" s="108"/>
      <c r="E476" s="109"/>
      <c r="F476" s="110"/>
      <c r="J476" s="98" t="s">
        <v>214</v>
      </c>
    </row>
    <row r="477">
      <c r="A477" s="108"/>
      <c r="B477" s="108"/>
      <c r="C477" s="108"/>
      <c r="D477" s="108"/>
      <c r="E477" s="109"/>
      <c r="F477" s="110"/>
      <c r="J477" s="98" t="s">
        <v>214</v>
      </c>
    </row>
    <row r="478">
      <c r="A478" s="108"/>
      <c r="B478" s="108"/>
      <c r="C478" s="108"/>
      <c r="D478" s="108"/>
      <c r="E478" s="109"/>
      <c r="F478" s="110"/>
      <c r="J478" s="98" t="s">
        <v>214</v>
      </c>
    </row>
    <row r="479">
      <c r="A479" s="108"/>
      <c r="B479" s="108"/>
      <c r="C479" s="108"/>
      <c r="D479" s="108"/>
      <c r="E479" s="109"/>
      <c r="F479" s="110"/>
      <c r="J479" s="98" t="s">
        <v>214</v>
      </c>
    </row>
    <row r="480">
      <c r="A480" s="108"/>
      <c r="B480" s="108"/>
      <c r="C480" s="108"/>
      <c r="D480" s="108"/>
      <c r="E480" s="109"/>
      <c r="F480" s="110"/>
      <c r="J480" s="98" t="s">
        <v>214</v>
      </c>
    </row>
    <row r="481">
      <c r="A481" s="108"/>
      <c r="B481" s="108"/>
      <c r="C481" s="108"/>
      <c r="D481" s="108"/>
      <c r="E481" s="109"/>
      <c r="F481" s="110"/>
      <c r="J481" s="98" t="s">
        <v>214</v>
      </c>
    </row>
    <row r="482">
      <c r="A482" s="108"/>
      <c r="B482" s="108"/>
      <c r="C482" s="108"/>
      <c r="D482" s="108"/>
      <c r="E482" s="109"/>
      <c r="F482" s="110"/>
      <c r="J482" s="98" t="s">
        <v>214</v>
      </c>
    </row>
    <row r="483">
      <c r="A483" s="108"/>
      <c r="B483" s="108"/>
      <c r="C483" s="108"/>
      <c r="D483" s="108"/>
      <c r="E483" s="109"/>
      <c r="F483" s="110"/>
      <c r="J483" s="98" t="s">
        <v>214</v>
      </c>
    </row>
    <row r="484">
      <c r="A484" s="108"/>
      <c r="B484" s="108"/>
      <c r="C484" s="108"/>
      <c r="D484" s="108"/>
      <c r="E484" s="109"/>
      <c r="F484" s="110"/>
      <c r="J484" s="98" t="s">
        <v>214</v>
      </c>
    </row>
    <row r="485">
      <c r="A485" s="108"/>
      <c r="B485" s="108"/>
      <c r="C485" s="108"/>
      <c r="D485" s="108"/>
      <c r="E485" s="109"/>
      <c r="F485" s="110"/>
      <c r="J485" s="98" t="s">
        <v>214</v>
      </c>
    </row>
    <row r="486">
      <c r="A486" s="108"/>
      <c r="B486" s="108"/>
      <c r="C486" s="108"/>
      <c r="D486" s="108"/>
      <c r="E486" s="109"/>
      <c r="F486" s="110"/>
      <c r="J486" s="98" t="s">
        <v>214</v>
      </c>
    </row>
    <row r="487">
      <c r="A487" s="108"/>
      <c r="B487" s="108"/>
      <c r="C487" s="108"/>
      <c r="D487" s="108"/>
      <c r="E487" s="109"/>
      <c r="F487" s="110"/>
      <c r="J487" s="98" t="s">
        <v>214</v>
      </c>
    </row>
    <row r="488">
      <c r="A488" s="108"/>
      <c r="B488" s="108"/>
      <c r="C488" s="108"/>
      <c r="D488" s="108"/>
      <c r="E488" s="109"/>
      <c r="F488" s="110"/>
      <c r="J488" s="98" t="s">
        <v>214</v>
      </c>
    </row>
    <row r="489">
      <c r="A489" s="108"/>
      <c r="B489" s="108"/>
      <c r="C489" s="108"/>
      <c r="D489" s="108"/>
      <c r="E489" s="109"/>
      <c r="F489" s="110"/>
      <c r="J489" s="98" t="s">
        <v>214</v>
      </c>
    </row>
    <row r="490">
      <c r="A490" s="108"/>
      <c r="B490" s="108"/>
      <c r="C490" s="108"/>
      <c r="D490" s="108"/>
      <c r="E490" s="109"/>
      <c r="F490" s="110"/>
      <c r="J490" s="98" t="s">
        <v>214</v>
      </c>
    </row>
    <row r="491">
      <c r="A491" s="108"/>
      <c r="B491" s="108"/>
      <c r="C491" s="108"/>
      <c r="D491" s="108"/>
      <c r="E491" s="109"/>
      <c r="F491" s="110"/>
      <c r="J491" s="98" t="s">
        <v>214</v>
      </c>
    </row>
    <row r="492">
      <c r="A492" s="108"/>
      <c r="B492" s="108"/>
      <c r="C492" s="108"/>
      <c r="D492" s="108"/>
      <c r="E492" s="109"/>
      <c r="F492" s="110"/>
      <c r="J492" s="98" t="s">
        <v>214</v>
      </c>
    </row>
    <row r="493">
      <c r="A493" s="108"/>
      <c r="B493" s="108"/>
      <c r="C493" s="108"/>
      <c r="D493" s="108"/>
      <c r="E493" s="109"/>
      <c r="F493" s="110"/>
      <c r="J493" s="98" t="s">
        <v>214</v>
      </c>
    </row>
    <row r="494">
      <c r="A494" s="108"/>
      <c r="B494" s="108"/>
      <c r="C494" s="108"/>
      <c r="D494" s="108"/>
      <c r="E494" s="109"/>
      <c r="F494" s="110"/>
      <c r="J494" s="98" t="s">
        <v>214</v>
      </c>
    </row>
    <row r="495">
      <c r="A495" s="108"/>
      <c r="B495" s="108"/>
      <c r="C495" s="108"/>
      <c r="D495" s="108"/>
      <c r="E495" s="109"/>
      <c r="F495" s="110"/>
      <c r="J495" s="98" t="s">
        <v>214</v>
      </c>
    </row>
    <row r="496">
      <c r="A496" s="108"/>
      <c r="B496" s="108"/>
      <c r="C496" s="108"/>
      <c r="D496" s="108"/>
      <c r="E496" s="109"/>
      <c r="F496" s="110"/>
      <c r="J496" s="98" t="s">
        <v>214</v>
      </c>
    </row>
    <row r="497">
      <c r="A497" s="108"/>
      <c r="B497" s="108"/>
      <c r="C497" s="108"/>
      <c r="D497" s="108"/>
      <c r="E497" s="109"/>
      <c r="F497" s="110"/>
      <c r="J497" s="98" t="s">
        <v>214</v>
      </c>
    </row>
    <row r="498">
      <c r="A498" s="108"/>
      <c r="B498" s="108"/>
      <c r="C498" s="108"/>
      <c r="D498" s="108"/>
      <c r="E498" s="109"/>
      <c r="F498" s="110"/>
      <c r="J498" s="98" t="s">
        <v>214</v>
      </c>
    </row>
    <row r="499">
      <c r="A499" s="108"/>
      <c r="B499" s="108"/>
      <c r="C499" s="108"/>
      <c r="D499" s="108"/>
      <c r="E499" s="109"/>
      <c r="F499" s="110"/>
      <c r="J499" s="98" t="s">
        <v>214</v>
      </c>
    </row>
    <row r="500">
      <c r="A500" s="108"/>
      <c r="B500" s="108"/>
      <c r="C500" s="108"/>
      <c r="D500" s="108"/>
      <c r="E500" s="109"/>
      <c r="F500" s="110"/>
      <c r="J500" s="98" t="s">
        <v>214</v>
      </c>
    </row>
    <row r="501">
      <c r="A501" s="108"/>
      <c r="B501" s="108"/>
      <c r="C501" s="108"/>
      <c r="D501" s="108"/>
      <c r="E501" s="109"/>
      <c r="F501" s="110"/>
      <c r="J501" s="98" t="s">
        <v>214</v>
      </c>
    </row>
    <row r="502">
      <c r="A502" s="108"/>
      <c r="B502" s="108"/>
      <c r="C502" s="108"/>
      <c r="D502" s="108"/>
      <c r="E502" s="109"/>
      <c r="F502" s="110"/>
      <c r="J502" s="98" t="s">
        <v>214</v>
      </c>
    </row>
    <row r="503">
      <c r="A503" s="108"/>
      <c r="B503" s="108"/>
      <c r="C503" s="108"/>
      <c r="D503" s="108"/>
      <c r="E503" s="109"/>
      <c r="F503" s="110"/>
      <c r="J503" s="98" t="s">
        <v>214</v>
      </c>
    </row>
    <row r="504">
      <c r="A504" s="108"/>
      <c r="B504" s="108"/>
      <c r="C504" s="108"/>
      <c r="D504" s="108"/>
      <c r="E504" s="109"/>
      <c r="F504" s="110"/>
      <c r="J504" s="98" t="s">
        <v>214</v>
      </c>
    </row>
    <row r="505">
      <c r="A505" s="108"/>
      <c r="B505" s="108"/>
      <c r="C505" s="108"/>
      <c r="D505" s="108"/>
      <c r="E505" s="109"/>
      <c r="F505" s="110"/>
      <c r="J505" s="98" t="s">
        <v>214</v>
      </c>
    </row>
    <row r="506">
      <c r="A506" s="108"/>
      <c r="B506" s="108"/>
      <c r="C506" s="108"/>
      <c r="D506" s="108"/>
      <c r="E506" s="109"/>
      <c r="F506" s="110"/>
      <c r="J506" s="98" t="s">
        <v>214</v>
      </c>
    </row>
    <row r="507">
      <c r="A507" s="108"/>
      <c r="B507" s="108"/>
      <c r="C507" s="108"/>
      <c r="D507" s="108"/>
      <c r="E507" s="109"/>
      <c r="F507" s="110"/>
      <c r="J507" s="98" t="s">
        <v>214</v>
      </c>
    </row>
    <row r="508">
      <c r="A508" s="108"/>
      <c r="B508" s="108"/>
      <c r="C508" s="108"/>
      <c r="D508" s="108"/>
      <c r="E508" s="109"/>
      <c r="F508" s="110"/>
      <c r="J508" s="98" t="s">
        <v>214</v>
      </c>
    </row>
    <row r="509">
      <c r="A509" s="108"/>
      <c r="B509" s="108"/>
      <c r="C509" s="108"/>
      <c r="D509" s="108"/>
      <c r="E509" s="109"/>
      <c r="F509" s="110"/>
      <c r="J509" s="98" t="s">
        <v>214</v>
      </c>
    </row>
    <row r="510">
      <c r="A510" s="108"/>
      <c r="B510" s="108"/>
      <c r="C510" s="108"/>
      <c r="D510" s="108"/>
      <c r="E510" s="109"/>
      <c r="F510" s="110"/>
      <c r="J510" s="98" t="s">
        <v>214</v>
      </c>
    </row>
    <row r="511">
      <c r="A511" s="108"/>
      <c r="B511" s="108"/>
      <c r="C511" s="108"/>
      <c r="D511" s="108"/>
      <c r="E511" s="109"/>
      <c r="F511" s="110"/>
      <c r="J511" s="98" t="s">
        <v>214</v>
      </c>
    </row>
    <row r="512">
      <c r="A512" s="108"/>
      <c r="B512" s="108"/>
      <c r="C512" s="108"/>
      <c r="D512" s="108"/>
      <c r="E512" s="109"/>
      <c r="F512" s="110"/>
      <c r="J512" s="98" t="s">
        <v>214</v>
      </c>
    </row>
    <row r="513">
      <c r="A513" s="108"/>
      <c r="B513" s="108"/>
      <c r="C513" s="108"/>
      <c r="D513" s="108"/>
      <c r="E513" s="109"/>
      <c r="F513" s="110"/>
      <c r="J513" s="98" t="s">
        <v>214</v>
      </c>
    </row>
    <row r="514">
      <c r="A514" s="108"/>
      <c r="B514" s="108"/>
      <c r="C514" s="108"/>
      <c r="D514" s="108"/>
      <c r="E514" s="109"/>
      <c r="F514" s="110"/>
      <c r="J514" s="98" t="s">
        <v>214</v>
      </c>
    </row>
    <row r="515">
      <c r="A515" s="108"/>
      <c r="B515" s="108"/>
      <c r="C515" s="108"/>
      <c r="D515" s="108"/>
      <c r="E515" s="109"/>
      <c r="F515" s="110"/>
      <c r="J515" s="98" t="s">
        <v>214</v>
      </c>
    </row>
    <row r="516">
      <c r="A516" s="108"/>
      <c r="B516" s="108"/>
      <c r="C516" s="108"/>
      <c r="D516" s="108"/>
      <c r="E516" s="109"/>
      <c r="F516" s="110"/>
      <c r="J516" s="98" t="s">
        <v>214</v>
      </c>
    </row>
    <row r="517">
      <c r="A517" s="108"/>
      <c r="B517" s="108"/>
      <c r="C517" s="108"/>
      <c r="D517" s="108"/>
      <c r="E517" s="109"/>
      <c r="F517" s="110"/>
      <c r="J517" s="98" t="s">
        <v>214</v>
      </c>
    </row>
    <row r="518">
      <c r="A518" s="108"/>
      <c r="B518" s="108"/>
      <c r="C518" s="108"/>
      <c r="D518" s="108"/>
      <c r="E518" s="109"/>
      <c r="F518" s="110"/>
      <c r="J518" s="98" t="s">
        <v>214</v>
      </c>
    </row>
    <row r="519">
      <c r="A519" s="108"/>
      <c r="B519" s="108"/>
      <c r="C519" s="108"/>
      <c r="D519" s="108"/>
      <c r="E519" s="109"/>
      <c r="F519" s="110"/>
      <c r="J519" s="98" t="s">
        <v>214</v>
      </c>
    </row>
    <row r="520">
      <c r="A520" s="108"/>
      <c r="B520" s="108"/>
      <c r="C520" s="108"/>
      <c r="D520" s="108"/>
      <c r="E520" s="109"/>
      <c r="F520" s="110"/>
      <c r="J520" s="98" t="s">
        <v>214</v>
      </c>
    </row>
    <row r="521">
      <c r="A521" s="108"/>
      <c r="B521" s="108"/>
      <c r="C521" s="108"/>
      <c r="D521" s="108"/>
      <c r="E521" s="109"/>
      <c r="F521" s="110"/>
      <c r="J521" s="98" t="s">
        <v>214</v>
      </c>
    </row>
    <row r="522">
      <c r="A522" s="108"/>
      <c r="B522" s="108"/>
      <c r="C522" s="108"/>
      <c r="D522" s="108"/>
      <c r="E522" s="109"/>
      <c r="F522" s="110"/>
      <c r="J522" s="98" t="s">
        <v>214</v>
      </c>
    </row>
    <row r="523">
      <c r="A523" s="108"/>
      <c r="B523" s="108"/>
      <c r="C523" s="108"/>
      <c r="D523" s="108"/>
      <c r="E523" s="109"/>
      <c r="F523" s="110"/>
      <c r="J523" s="98" t="s">
        <v>214</v>
      </c>
    </row>
    <row r="524">
      <c r="A524" s="108"/>
      <c r="B524" s="108"/>
      <c r="C524" s="108"/>
      <c r="D524" s="108"/>
      <c r="E524" s="109"/>
      <c r="F524" s="110"/>
      <c r="J524" s="98" t="s">
        <v>214</v>
      </c>
    </row>
    <row r="525">
      <c r="A525" s="108"/>
      <c r="B525" s="108"/>
      <c r="C525" s="108"/>
      <c r="D525" s="108"/>
      <c r="E525" s="109"/>
      <c r="F525" s="110"/>
      <c r="J525" s="98" t="s">
        <v>214</v>
      </c>
    </row>
    <row r="526">
      <c r="A526" s="108"/>
      <c r="B526" s="108"/>
      <c r="C526" s="108"/>
      <c r="D526" s="108"/>
      <c r="E526" s="109"/>
      <c r="F526" s="110"/>
      <c r="J526" s="98" t="s">
        <v>214</v>
      </c>
    </row>
    <row r="527">
      <c r="A527" s="108"/>
      <c r="B527" s="108"/>
      <c r="C527" s="108"/>
      <c r="D527" s="108"/>
      <c r="E527" s="109"/>
      <c r="F527" s="110"/>
      <c r="J527" s="98" t="s">
        <v>214</v>
      </c>
    </row>
    <row r="528">
      <c r="A528" s="108"/>
      <c r="B528" s="108"/>
      <c r="C528" s="108"/>
      <c r="D528" s="108"/>
      <c r="E528" s="109"/>
      <c r="F528" s="110"/>
      <c r="J528" s="98" t="s">
        <v>214</v>
      </c>
    </row>
    <row r="529">
      <c r="A529" s="108"/>
      <c r="B529" s="108"/>
      <c r="C529" s="108"/>
      <c r="D529" s="108"/>
      <c r="E529" s="109"/>
      <c r="F529" s="110"/>
      <c r="J529" s="98" t="s">
        <v>214</v>
      </c>
    </row>
    <row r="530">
      <c r="A530" s="108"/>
      <c r="B530" s="108"/>
      <c r="C530" s="108"/>
      <c r="D530" s="108"/>
      <c r="E530" s="109"/>
      <c r="F530" s="110"/>
      <c r="J530" s="98" t="s">
        <v>214</v>
      </c>
    </row>
    <row r="531">
      <c r="A531" s="108"/>
      <c r="B531" s="108"/>
      <c r="C531" s="108"/>
      <c r="D531" s="108"/>
      <c r="E531" s="109"/>
      <c r="F531" s="110"/>
      <c r="J531" s="98" t="s">
        <v>214</v>
      </c>
    </row>
    <row r="532">
      <c r="A532" s="108"/>
      <c r="B532" s="108"/>
      <c r="C532" s="108"/>
      <c r="D532" s="108"/>
      <c r="E532" s="109"/>
      <c r="F532" s="110"/>
      <c r="J532" s="98" t="s">
        <v>214</v>
      </c>
    </row>
    <row r="533">
      <c r="A533" s="108"/>
      <c r="B533" s="108"/>
      <c r="C533" s="108"/>
      <c r="D533" s="108"/>
      <c r="E533" s="109"/>
      <c r="F533" s="110"/>
      <c r="J533" s="98" t="s">
        <v>214</v>
      </c>
    </row>
    <row r="534">
      <c r="A534" s="108"/>
      <c r="B534" s="108"/>
      <c r="C534" s="108"/>
      <c r="D534" s="108"/>
      <c r="E534" s="109"/>
      <c r="F534" s="110"/>
      <c r="J534" s="98" t="s">
        <v>214</v>
      </c>
    </row>
    <row r="535">
      <c r="A535" s="108"/>
      <c r="B535" s="108"/>
      <c r="C535" s="108"/>
      <c r="D535" s="108"/>
      <c r="E535" s="109"/>
      <c r="F535" s="110"/>
      <c r="J535" s="98" t="s">
        <v>214</v>
      </c>
    </row>
    <row r="536">
      <c r="A536" s="108"/>
      <c r="B536" s="108"/>
      <c r="C536" s="108"/>
      <c r="D536" s="108"/>
      <c r="E536" s="109"/>
      <c r="F536" s="110"/>
      <c r="J536" s="98" t="s">
        <v>214</v>
      </c>
    </row>
    <row r="537">
      <c r="A537" s="108"/>
      <c r="B537" s="108"/>
      <c r="C537" s="108"/>
      <c r="D537" s="108"/>
      <c r="E537" s="109"/>
      <c r="F537" s="110"/>
      <c r="J537" s="98" t="s">
        <v>214</v>
      </c>
    </row>
    <row r="538">
      <c r="A538" s="108"/>
      <c r="B538" s="108"/>
      <c r="C538" s="108"/>
      <c r="D538" s="108"/>
      <c r="E538" s="109"/>
      <c r="F538" s="110"/>
      <c r="J538" s="98" t="s">
        <v>214</v>
      </c>
    </row>
    <row r="539">
      <c r="A539" s="108"/>
      <c r="B539" s="108"/>
      <c r="C539" s="108"/>
      <c r="D539" s="108"/>
      <c r="E539" s="109"/>
      <c r="F539" s="110"/>
      <c r="J539" s="98" t="s">
        <v>214</v>
      </c>
    </row>
    <row r="540">
      <c r="A540" s="108"/>
      <c r="B540" s="108"/>
      <c r="C540" s="108"/>
      <c r="D540" s="108"/>
      <c r="E540" s="109"/>
      <c r="F540" s="110"/>
      <c r="J540" s="98" t="s">
        <v>214</v>
      </c>
    </row>
    <row r="541">
      <c r="A541" s="108"/>
      <c r="B541" s="108"/>
      <c r="C541" s="108"/>
      <c r="D541" s="108"/>
      <c r="E541" s="109"/>
      <c r="F541" s="110"/>
      <c r="J541" s="98" t="s">
        <v>214</v>
      </c>
    </row>
    <row r="542">
      <c r="A542" s="108"/>
      <c r="B542" s="108"/>
      <c r="C542" s="108"/>
      <c r="D542" s="108"/>
      <c r="E542" s="109"/>
      <c r="F542" s="110"/>
      <c r="J542" s="98" t="s">
        <v>214</v>
      </c>
    </row>
    <row r="543">
      <c r="A543" s="108"/>
      <c r="B543" s="108"/>
      <c r="C543" s="108"/>
      <c r="D543" s="108"/>
      <c r="E543" s="109"/>
      <c r="F543" s="110"/>
      <c r="J543" s="98" t="s">
        <v>214</v>
      </c>
    </row>
    <row r="544">
      <c r="A544" s="108"/>
      <c r="B544" s="108"/>
      <c r="C544" s="108"/>
      <c r="D544" s="108"/>
      <c r="E544" s="109"/>
      <c r="F544" s="110"/>
      <c r="J544" s="98" t="s">
        <v>214</v>
      </c>
    </row>
    <row r="545">
      <c r="A545" s="108"/>
      <c r="B545" s="108"/>
      <c r="C545" s="108"/>
      <c r="D545" s="108"/>
      <c r="E545" s="109"/>
      <c r="F545" s="110"/>
      <c r="J545" s="98" t="s">
        <v>214</v>
      </c>
    </row>
    <row r="546">
      <c r="A546" s="108"/>
      <c r="B546" s="108"/>
      <c r="C546" s="108"/>
      <c r="D546" s="108"/>
      <c r="E546" s="109"/>
      <c r="F546" s="110"/>
      <c r="J546" s="98" t="s">
        <v>214</v>
      </c>
    </row>
    <row r="547">
      <c r="A547" s="108"/>
      <c r="B547" s="108"/>
      <c r="C547" s="108"/>
      <c r="D547" s="108"/>
      <c r="E547" s="109"/>
      <c r="F547" s="110"/>
      <c r="J547" s="98" t="s">
        <v>214</v>
      </c>
    </row>
    <row r="548">
      <c r="A548" s="108"/>
      <c r="B548" s="108"/>
      <c r="C548" s="108"/>
      <c r="D548" s="108"/>
      <c r="E548" s="109"/>
      <c r="F548" s="110"/>
      <c r="J548" s="98" t="s">
        <v>214</v>
      </c>
    </row>
    <row r="549">
      <c r="A549" s="108"/>
      <c r="B549" s="108"/>
      <c r="C549" s="108"/>
      <c r="D549" s="108"/>
      <c r="E549" s="109"/>
      <c r="F549" s="110"/>
      <c r="J549" s="98" t="s">
        <v>214</v>
      </c>
    </row>
    <row r="550">
      <c r="A550" s="108"/>
      <c r="B550" s="108"/>
      <c r="C550" s="108"/>
      <c r="D550" s="108"/>
      <c r="E550" s="109"/>
      <c r="F550" s="110"/>
      <c r="J550" s="98" t="s">
        <v>214</v>
      </c>
    </row>
    <row r="551">
      <c r="A551" s="108"/>
      <c r="B551" s="108"/>
      <c r="C551" s="108"/>
      <c r="D551" s="108"/>
      <c r="E551" s="109"/>
      <c r="F551" s="110"/>
      <c r="J551" s="98" t="s">
        <v>214</v>
      </c>
    </row>
    <row r="552">
      <c r="A552" s="108"/>
      <c r="B552" s="108"/>
      <c r="C552" s="108"/>
      <c r="D552" s="108"/>
      <c r="E552" s="109"/>
      <c r="F552" s="110"/>
      <c r="J552" s="98" t="s">
        <v>214</v>
      </c>
    </row>
    <row r="553">
      <c r="A553" s="108"/>
      <c r="B553" s="108"/>
      <c r="C553" s="108"/>
      <c r="D553" s="108"/>
      <c r="E553" s="109"/>
      <c r="F553" s="110"/>
      <c r="J553" s="98" t="s">
        <v>214</v>
      </c>
    </row>
    <row r="554">
      <c r="A554" s="108"/>
      <c r="B554" s="108"/>
      <c r="C554" s="108"/>
      <c r="D554" s="108"/>
      <c r="E554" s="109"/>
      <c r="F554" s="110"/>
      <c r="J554" s="98" t="s">
        <v>214</v>
      </c>
    </row>
    <row r="555">
      <c r="A555" s="108"/>
      <c r="B555" s="108"/>
      <c r="C555" s="108"/>
      <c r="D555" s="108"/>
      <c r="E555" s="109"/>
      <c r="F555" s="110"/>
      <c r="J555" s="98" t="s">
        <v>214</v>
      </c>
    </row>
    <row r="556">
      <c r="A556" s="108"/>
      <c r="B556" s="108"/>
      <c r="C556" s="108"/>
      <c r="D556" s="108"/>
      <c r="E556" s="109"/>
      <c r="F556" s="110"/>
      <c r="J556" s="98" t="s">
        <v>214</v>
      </c>
    </row>
    <row r="557">
      <c r="A557" s="108"/>
      <c r="B557" s="108"/>
      <c r="C557" s="108"/>
      <c r="D557" s="108"/>
      <c r="E557" s="109"/>
      <c r="F557" s="110"/>
      <c r="J557" s="98" t="s">
        <v>214</v>
      </c>
    </row>
    <row r="558">
      <c r="A558" s="108"/>
      <c r="B558" s="108"/>
      <c r="C558" s="108"/>
      <c r="D558" s="108"/>
      <c r="E558" s="109"/>
      <c r="F558" s="110"/>
      <c r="J558" s="98" t="s">
        <v>214</v>
      </c>
    </row>
    <row r="559">
      <c r="A559" s="108"/>
      <c r="B559" s="108"/>
      <c r="C559" s="108"/>
      <c r="D559" s="108"/>
      <c r="E559" s="109"/>
      <c r="F559" s="110"/>
      <c r="J559" s="98" t="s">
        <v>214</v>
      </c>
    </row>
    <row r="560">
      <c r="A560" s="108"/>
      <c r="B560" s="108"/>
      <c r="C560" s="108"/>
      <c r="D560" s="108"/>
      <c r="E560" s="109"/>
      <c r="F560" s="110"/>
      <c r="J560" s="98" t="s">
        <v>214</v>
      </c>
    </row>
    <row r="561">
      <c r="A561" s="108"/>
      <c r="B561" s="108"/>
      <c r="C561" s="108"/>
      <c r="D561" s="108"/>
      <c r="E561" s="109"/>
      <c r="F561" s="110"/>
      <c r="J561" s="98" t="s">
        <v>214</v>
      </c>
    </row>
    <row r="562">
      <c r="A562" s="108"/>
      <c r="B562" s="108"/>
      <c r="C562" s="108"/>
      <c r="D562" s="108"/>
      <c r="E562" s="109"/>
      <c r="F562" s="110"/>
      <c r="J562" s="98" t="s">
        <v>214</v>
      </c>
    </row>
    <row r="563">
      <c r="A563" s="108"/>
      <c r="B563" s="108"/>
      <c r="C563" s="108"/>
      <c r="D563" s="108"/>
      <c r="E563" s="109"/>
      <c r="F563" s="110"/>
      <c r="J563" s="98" t="s">
        <v>214</v>
      </c>
    </row>
    <row r="564">
      <c r="A564" s="108"/>
      <c r="B564" s="108"/>
      <c r="C564" s="108"/>
      <c r="D564" s="108"/>
      <c r="E564" s="109"/>
      <c r="F564" s="110"/>
      <c r="J564" s="98" t="s">
        <v>214</v>
      </c>
    </row>
    <row r="565">
      <c r="A565" s="108"/>
      <c r="B565" s="108"/>
      <c r="C565" s="108"/>
      <c r="D565" s="108"/>
      <c r="E565" s="109"/>
      <c r="F565" s="110"/>
      <c r="J565" s="98" t="s">
        <v>214</v>
      </c>
    </row>
    <row r="566">
      <c r="A566" s="108"/>
      <c r="B566" s="108"/>
      <c r="C566" s="108"/>
      <c r="D566" s="108"/>
      <c r="E566" s="109"/>
      <c r="F566" s="110"/>
      <c r="J566" s="98" t="s">
        <v>214</v>
      </c>
    </row>
    <row r="567">
      <c r="A567" s="108"/>
      <c r="B567" s="108"/>
      <c r="C567" s="108"/>
      <c r="D567" s="108"/>
      <c r="E567" s="109"/>
      <c r="F567" s="110"/>
      <c r="J567" s="98" t="s">
        <v>214</v>
      </c>
    </row>
    <row r="568">
      <c r="A568" s="108"/>
      <c r="B568" s="108"/>
      <c r="C568" s="108"/>
      <c r="D568" s="108"/>
      <c r="E568" s="109"/>
      <c r="F568" s="110"/>
      <c r="J568" s="98" t="s">
        <v>214</v>
      </c>
    </row>
    <row r="569">
      <c r="A569" s="108"/>
      <c r="B569" s="108"/>
      <c r="C569" s="108"/>
      <c r="D569" s="108"/>
      <c r="E569" s="109"/>
      <c r="F569" s="110"/>
      <c r="J569" s="98" t="s">
        <v>214</v>
      </c>
    </row>
    <row r="570">
      <c r="A570" s="108"/>
      <c r="B570" s="108"/>
      <c r="C570" s="108"/>
      <c r="D570" s="108"/>
      <c r="E570" s="109"/>
      <c r="F570" s="110"/>
      <c r="J570" s="98" t="s">
        <v>214</v>
      </c>
    </row>
    <row r="571">
      <c r="A571" s="108"/>
      <c r="B571" s="108"/>
      <c r="C571" s="108"/>
      <c r="D571" s="108"/>
      <c r="E571" s="109"/>
      <c r="F571" s="110"/>
      <c r="J571" s="98" t="s">
        <v>214</v>
      </c>
    </row>
    <row r="572">
      <c r="A572" s="108"/>
      <c r="B572" s="108"/>
      <c r="C572" s="108"/>
      <c r="D572" s="108"/>
      <c r="E572" s="109"/>
      <c r="F572" s="110"/>
      <c r="J572" s="98" t="s">
        <v>214</v>
      </c>
    </row>
    <row r="573">
      <c r="A573" s="108"/>
      <c r="B573" s="108"/>
      <c r="C573" s="108"/>
      <c r="D573" s="108"/>
      <c r="E573" s="109"/>
      <c r="F573" s="110"/>
      <c r="J573" s="98" t="s">
        <v>214</v>
      </c>
    </row>
    <row r="574">
      <c r="A574" s="108"/>
      <c r="B574" s="108"/>
      <c r="C574" s="108"/>
      <c r="D574" s="108"/>
      <c r="E574" s="109"/>
      <c r="F574" s="110"/>
      <c r="J574" s="98" t="s">
        <v>214</v>
      </c>
    </row>
    <row r="575">
      <c r="A575" s="108"/>
      <c r="B575" s="108"/>
      <c r="C575" s="108"/>
      <c r="D575" s="108"/>
      <c r="E575" s="109"/>
      <c r="F575" s="110"/>
      <c r="J575" s="98" t="s">
        <v>214</v>
      </c>
    </row>
    <row r="576">
      <c r="A576" s="108"/>
      <c r="B576" s="108"/>
      <c r="C576" s="108"/>
      <c r="D576" s="108"/>
      <c r="E576" s="109"/>
      <c r="F576" s="110"/>
      <c r="J576" s="98" t="s">
        <v>214</v>
      </c>
    </row>
    <row r="577">
      <c r="A577" s="108"/>
      <c r="B577" s="108"/>
      <c r="C577" s="108"/>
      <c r="D577" s="108"/>
      <c r="E577" s="109"/>
      <c r="F577" s="110"/>
      <c r="J577" s="98" t="s">
        <v>214</v>
      </c>
    </row>
    <row r="578">
      <c r="A578" s="108"/>
      <c r="B578" s="108"/>
      <c r="C578" s="108"/>
      <c r="D578" s="108"/>
      <c r="E578" s="109"/>
      <c r="F578" s="110"/>
      <c r="J578" s="98" t="s">
        <v>214</v>
      </c>
    </row>
    <row r="579">
      <c r="A579" s="108"/>
      <c r="B579" s="108"/>
      <c r="C579" s="108"/>
      <c r="D579" s="108"/>
      <c r="E579" s="109"/>
      <c r="F579" s="110"/>
      <c r="J579" s="98" t="s">
        <v>214</v>
      </c>
    </row>
    <row r="580">
      <c r="A580" s="108"/>
      <c r="B580" s="108"/>
      <c r="C580" s="108"/>
      <c r="D580" s="108"/>
      <c r="E580" s="109"/>
      <c r="F580" s="110"/>
      <c r="J580" s="98" t="s">
        <v>214</v>
      </c>
    </row>
    <row r="581">
      <c r="A581" s="108"/>
      <c r="B581" s="108"/>
      <c r="C581" s="108"/>
      <c r="D581" s="108"/>
      <c r="E581" s="109"/>
      <c r="F581" s="110"/>
      <c r="J581" s="98" t="s">
        <v>214</v>
      </c>
    </row>
    <row r="582">
      <c r="A582" s="108"/>
      <c r="B582" s="108"/>
      <c r="C582" s="108"/>
      <c r="D582" s="108"/>
      <c r="E582" s="109"/>
      <c r="F582" s="110"/>
      <c r="J582" s="98" t="s">
        <v>214</v>
      </c>
    </row>
    <row r="583">
      <c r="A583" s="108"/>
      <c r="B583" s="108"/>
      <c r="C583" s="108"/>
      <c r="D583" s="108"/>
      <c r="E583" s="109"/>
      <c r="F583" s="110"/>
      <c r="J583" s="98" t="s">
        <v>214</v>
      </c>
    </row>
    <row r="584">
      <c r="A584" s="108"/>
      <c r="B584" s="108"/>
      <c r="C584" s="108"/>
      <c r="D584" s="108"/>
      <c r="E584" s="109"/>
      <c r="F584" s="110"/>
      <c r="J584" s="98" t="s">
        <v>214</v>
      </c>
    </row>
    <row r="585">
      <c r="A585" s="108"/>
      <c r="B585" s="108"/>
      <c r="C585" s="108"/>
      <c r="D585" s="108"/>
      <c r="E585" s="109"/>
      <c r="F585" s="110"/>
      <c r="J585" s="98" t="s">
        <v>214</v>
      </c>
    </row>
    <row r="586">
      <c r="A586" s="108"/>
      <c r="B586" s="108"/>
      <c r="C586" s="108"/>
      <c r="D586" s="108"/>
      <c r="E586" s="109"/>
      <c r="F586" s="110"/>
      <c r="J586" s="98" t="s">
        <v>214</v>
      </c>
    </row>
    <row r="587">
      <c r="A587" s="108"/>
      <c r="B587" s="108"/>
      <c r="C587" s="108"/>
      <c r="D587" s="108"/>
      <c r="E587" s="109"/>
      <c r="F587" s="110"/>
      <c r="J587" s="98" t="s">
        <v>214</v>
      </c>
    </row>
    <row r="588">
      <c r="A588" s="108"/>
      <c r="B588" s="108"/>
      <c r="C588" s="108"/>
      <c r="D588" s="108"/>
      <c r="E588" s="109"/>
      <c r="F588" s="110"/>
      <c r="J588" s="98" t="s">
        <v>214</v>
      </c>
    </row>
    <row r="589">
      <c r="A589" s="108"/>
      <c r="B589" s="108"/>
      <c r="C589" s="108"/>
      <c r="D589" s="108"/>
      <c r="E589" s="109"/>
      <c r="F589" s="110"/>
      <c r="J589" s="98" t="s">
        <v>214</v>
      </c>
    </row>
    <row r="590">
      <c r="A590" s="108"/>
      <c r="B590" s="108"/>
      <c r="C590" s="108"/>
      <c r="D590" s="108"/>
      <c r="E590" s="109"/>
      <c r="F590" s="110"/>
      <c r="J590" s="98" t="s">
        <v>214</v>
      </c>
    </row>
    <row r="591">
      <c r="A591" s="108"/>
      <c r="B591" s="108"/>
      <c r="C591" s="108"/>
      <c r="D591" s="108"/>
      <c r="E591" s="109"/>
      <c r="F591" s="110"/>
      <c r="J591" s="98" t="s">
        <v>214</v>
      </c>
    </row>
    <row r="592">
      <c r="A592" s="108"/>
      <c r="B592" s="108"/>
      <c r="C592" s="108"/>
      <c r="D592" s="108"/>
      <c r="E592" s="109"/>
      <c r="F592" s="110"/>
      <c r="J592" s="98" t="s">
        <v>214</v>
      </c>
    </row>
    <row r="593">
      <c r="A593" s="108"/>
      <c r="B593" s="108"/>
      <c r="C593" s="108"/>
      <c r="D593" s="108"/>
      <c r="E593" s="109"/>
      <c r="F593" s="110"/>
      <c r="J593" s="98" t="s">
        <v>214</v>
      </c>
    </row>
    <row r="594">
      <c r="A594" s="108"/>
      <c r="B594" s="108"/>
      <c r="C594" s="108"/>
      <c r="D594" s="108"/>
      <c r="E594" s="109"/>
      <c r="F594" s="110"/>
      <c r="J594" s="98" t="s">
        <v>214</v>
      </c>
    </row>
    <row r="595">
      <c r="A595" s="108"/>
      <c r="B595" s="108"/>
      <c r="C595" s="108"/>
      <c r="D595" s="108"/>
      <c r="E595" s="109"/>
      <c r="F595" s="110"/>
      <c r="J595" s="98" t="s">
        <v>214</v>
      </c>
    </row>
    <row r="596">
      <c r="A596" s="108"/>
      <c r="B596" s="108"/>
      <c r="C596" s="108"/>
      <c r="D596" s="108"/>
      <c r="E596" s="109"/>
      <c r="F596" s="110"/>
      <c r="J596" s="98" t="s">
        <v>214</v>
      </c>
    </row>
    <row r="597">
      <c r="A597" s="108"/>
      <c r="B597" s="108"/>
      <c r="C597" s="108"/>
      <c r="D597" s="108"/>
      <c r="E597" s="109"/>
      <c r="F597" s="110"/>
      <c r="J597" s="98" t="s">
        <v>214</v>
      </c>
    </row>
    <row r="598">
      <c r="A598" s="108"/>
      <c r="B598" s="108"/>
      <c r="C598" s="108"/>
      <c r="D598" s="108"/>
      <c r="E598" s="109"/>
      <c r="F598" s="110"/>
      <c r="J598" s="98" t="s">
        <v>214</v>
      </c>
    </row>
    <row r="599">
      <c r="A599" s="108"/>
      <c r="B599" s="108"/>
      <c r="C599" s="108"/>
      <c r="D599" s="108"/>
      <c r="E599" s="109"/>
      <c r="F599" s="110"/>
      <c r="J599" s="98" t="s">
        <v>214</v>
      </c>
    </row>
    <row r="600">
      <c r="A600" s="108"/>
      <c r="B600" s="108"/>
      <c r="C600" s="108"/>
      <c r="D600" s="108"/>
      <c r="E600" s="109"/>
      <c r="F600" s="110"/>
      <c r="J600" s="98" t="s">
        <v>214</v>
      </c>
    </row>
    <row r="601">
      <c r="A601" s="108"/>
      <c r="B601" s="108"/>
      <c r="C601" s="108"/>
      <c r="D601" s="108"/>
      <c r="E601" s="109"/>
      <c r="F601" s="110"/>
      <c r="J601" s="98" t="s">
        <v>214</v>
      </c>
    </row>
    <row r="602">
      <c r="A602" s="108"/>
      <c r="B602" s="108"/>
      <c r="C602" s="108"/>
      <c r="D602" s="108"/>
      <c r="E602" s="109"/>
      <c r="F602" s="110"/>
      <c r="J602" s="98" t="s">
        <v>214</v>
      </c>
    </row>
    <row r="603">
      <c r="A603" s="108"/>
      <c r="B603" s="108"/>
      <c r="C603" s="108"/>
      <c r="D603" s="108"/>
      <c r="E603" s="109"/>
      <c r="F603" s="110"/>
      <c r="J603" s="98" t="s">
        <v>214</v>
      </c>
    </row>
    <row r="604">
      <c r="A604" s="108"/>
      <c r="B604" s="108"/>
      <c r="C604" s="108"/>
      <c r="D604" s="108"/>
      <c r="E604" s="109"/>
      <c r="F604" s="110"/>
      <c r="J604" s="98" t="s">
        <v>214</v>
      </c>
    </row>
    <row r="605">
      <c r="A605" s="108"/>
      <c r="B605" s="108"/>
      <c r="C605" s="108"/>
      <c r="D605" s="108"/>
      <c r="E605" s="109"/>
      <c r="F605" s="110"/>
      <c r="J605" s="98" t="s">
        <v>214</v>
      </c>
    </row>
    <row r="606">
      <c r="A606" s="108"/>
      <c r="B606" s="108"/>
      <c r="C606" s="108"/>
      <c r="D606" s="108"/>
      <c r="E606" s="109"/>
      <c r="F606" s="110"/>
      <c r="J606" s="98" t="s">
        <v>214</v>
      </c>
    </row>
    <row r="607">
      <c r="A607" s="108"/>
      <c r="B607" s="108"/>
      <c r="C607" s="108"/>
      <c r="D607" s="108"/>
      <c r="E607" s="109"/>
      <c r="F607" s="110"/>
      <c r="J607" s="98" t="s">
        <v>214</v>
      </c>
    </row>
    <row r="608">
      <c r="A608" s="108"/>
      <c r="B608" s="108"/>
      <c r="C608" s="108"/>
      <c r="D608" s="108"/>
      <c r="E608" s="109"/>
      <c r="F608" s="110"/>
      <c r="J608" s="98" t="s">
        <v>214</v>
      </c>
    </row>
    <row r="609">
      <c r="A609" s="108"/>
      <c r="B609" s="108"/>
      <c r="C609" s="108"/>
      <c r="D609" s="108"/>
      <c r="E609" s="109"/>
      <c r="F609" s="110"/>
      <c r="J609" s="98" t="s">
        <v>214</v>
      </c>
    </row>
    <row r="610">
      <c r="A610" s="108"/>
      <c r="B610" s="108"/>
      <c r="C610" s="108"/>
      <c r="D610" s="108"/>
      <c r="E610" s="109"/>
      <c r="F610" s="110"/>
      <c r="J610" s="98" t="s">
        <v>214</v>
      </c>
    </row>
    <row r="611">
      <c r="A611" s="108"/>
      <c r="B611" s="108"/>
      <c r="C611" s="108"/>
      <c r="D611" s="108"/>
      <c r="E611" s="109"/>
      <c r="F611" s="110"/>
      <c r="J611" s="98" t="s">
        <v>214</v>
      </c>
    </row>
    <row r="612">
      <c r="A612" s="108"/>
      <c r="B612" s="108"/>
      <c r="C612" s="108"/>
      <c r="D612" s="108"/>
      <c r="E612" s="109"/>
      <c r="F612" s="110"/>
      <c r="J612" s="98" t="s">
        <v>214</v>
      </c>
    </row>
    <row r="613">
      <c r="A613" s="108"/>
      <c r="B613" s="108"/>
      <c r="C613" s="108"/>
      <c r="D613" s="108"/>
      <c r="E613" s="109"/>
      <c r="F613" s="110"/>
      <c r="J613" s="98" t="s">
        <v>214</v>
      </c>
    </row>
    <row r="614">
      <c r="A614" s="108"/>
      <c r="B614" s="108"/>
      <c r="C614" s="108"/>
      <c r="D614" s="108"/>
      <c r="E614" s="109"/>
      <c r="F614" s="110"/>
      <c r="J614" s="98" t="s">
        <v>214</v>
      </c>
    </row>
    <row r="615">
      <c r="A615" s="108"/>
      <c r="B615" s="108"/>
      <c r="C615" s="108"/>
      <c r="D615" s="108"/>
      <c r="E615" s="109"/>
      <c r="F615" s="110"/>
      <c r="J615" s="98" t="s">
        <v>214</v>
      </c>
    </row>
    <row r="616">
      <c r="A616" s="108"/>
      <c r="B616" s="108"/>
      <c r="C616" s="108"/>
      <c r="D616" s="108"/>
      <c r="E616" s="109"/>
      <c r="F616" s="110"/>
      <c r="J616" s="98" t="s">
        <v>214</v>
      </c>
    </row>
    <row r="617">
      <c r="A617" s="108"/>
      <c r="B617" s="108"/>
      <c r="C617" s="108"/>
      <c r="D617" s="108"/>
      <c r="E617" s="109"/>
      <c r="F617" s="110"/>
      <c r="J617" s="98" t="s">
        <v>214</v>
      </c>
    </row>
    <row r="618">
      <c r="A618" s="108"/>
      <c r="B618" s="108"/>
      <c r="C618" s="108"/>
      <c r="D618" s="108"/>
      <c r="E618" s="109"/>
      <c r="F618" s="110"/>
      <c r="J618" s="98" t="s">
        <v>214</v>
      </c>
    </row>
    <row r="619">
      <c r="A619" s="108"/>
      <c r="B619" s="108"/>
      <c r="C619" s="108"/>
      <c r="D619" s="108"/>
      <c r="E619" s="109"/>
      <c r="F619" s="110"/>
      <c r="J619" s="98" t="s">
        <v>214</v>
      </c>
    </row>
    <row r="620">
      <c r="A620" s="108"/>
      <c r="B620" s="108"/>
      <c r="C620" s="108"/>
      <c r="D620" s="108"/>
      <c r="E620" s="109"/>
      <c r="F620" s="110"/>
      <c r="J620" s="98" t="s">
        <v>214</v>
      </c>
    </row>
    <row r="621">
      <c r="A621" s="108"/>
      <c r="B621" s="108"/>
      <c r="C621" s="108"/>
      <c r="D621" s="108"/>
      <c r="E621" s="109"/>
      <c r="F621" s="110"/>
      <c r="J621" s="98" t="s">
        <v>214</v>
      </c>
    </row>
    <row r="622">
      <c r="A622" s="108"/>
      <c r="B622" s="108"/>
      <c r="C622" s="108"/>
      <c r="D622" s="108"/>
      <c r="E622" s="109"/>
      <c r="F622" s="110"/>
      <c r="J622" s="98" t="s">
        <v>214</v>
      </c>
    </row>
    <row r="623">
      <c r="A623" s="108"/>
      <c r="B623" s="108"/>
      <c r="C623" s="108"/>
      <c r="D623" s="108"/>
      <c r="E623" s="109"/>
      <c r="F623" s="110"/>
      <c r="J623" s="98" t="s">
        <v>214</v>
      </c>
    </row>
    <row r="624">
      <c r="A624" s="108"/>
      <c r="B624" s="108"/>
      <c r="C624" s="108"/>
      <c r="D624" s="108"/>
      <c r="E624" s="109"/>
      <c r="F624" s="110"/>
      <c r="J624" s="98" t="s">
        <v>214</v>
      </c>
    </row>
    <row r="625">
      <c r="A625" s="108"/>
      <c r="B625" s="108"/>
      <c r="C625" s="108"/>
      <c r="D625" s="108"/>
      <c r="E625" s="109"/>
      <c r="F625" s="110"/>
      <c r="J625" s="98" t="s">
        <v>214</v>
      </c>
    </row>
    <row r="626">
      <c r="A626" s="108"/>
      <c r="B626" s="108"/>
      <c r="C626" s="108"/>
      <c r="D626" s="108"/>
      <c r="E626" s="109"/>
      <c r="F626" s="110"/>
      <c r="J626" s="98" t="s">
        <v>214</v>
      </c>
    </row>
    <row r="627">
      <c r="A627" s="108"/>
      <c r="B627" s="108"/>
      <c r="C627" s="108"/>
      <c r="D627" s="108"/>
      <c r="E627" s="109"/>
      <c r="F627" s="110"/>
      <c r="J627" s="98" t="s">
        <v>214</v>
      </c>
    </row>
    <row r="628">
      <c r="A628" s="108"/>
      <c r="B628" s="108"/>
      <c r="C628" s="108"/>
      <c r="D628" s="108"/>
      <c r="E628" s="109"/>
      <c r="F628" s="110"/>
      <c r="J628" s="98" t="s">
        <v>214</v>
      </c>
    </row>
    <row r="629">
      <c r="A629" s="108"/>
      <c r="B629" s="108"/>
      <c r="C629" s="108"/>
      <c r="D629" s="108"/>
      <c r="E629" s="109"/>
      <c r="F629" s="110"/>
      <c r="J629" s="98" t="s">
        <v>214</v>
      </c>
    </row>
    <row r="630">
      <c r="A630" s="108"/>
      <c r="B630" s="108"/>
      <c r="C630" s="108"/>
      <c r="D630" s="108"/>
      <c r="E630" s="109"/>
      <c r="F630" s="110"/>
      <c r="J630" s="98" t="s">
        <v>214</v>
      </c>
    </row>
    <row r="631">
      <c r="A631" s="108"/>
      <c r="B631" s="108"/>
      <c r="C631" s="108"/>
      <c r="D631" s="108"/>
      <c r="E631" s="109"/>
      <c r="F631" s="110"/>
      <c r="J631" s="98" t="s">
        <v>214</v>
      </c>
    </row>
    <row r="632">
      <c r="A632" s="108"/>
      <c r="B632" s="108"/>
      <c r="C632" s="108"/>
      <c r="D632" s="108"/>
      <c r="E632" s="109"/>
      <c r="F632" s="110"/>
      <c r="J632" s="98" t="s">
        <v>214</v>
      </c>
    </row>
    <row r="633">
      <c r="A633" s="108"/>
      <c r="B633" s="108"/>
      <c r="C633" s="108"/>
      <c r="D633" s="108"/>
      <c r="E633" s="109"/>
      <c r="F633" s="110"/>
      <c r="J633" s="98" t="s">
        <v>214</v>
      </c>
    </row>
    <row r="634">
      <c r="A634" s="108"/>
      <c r="B634" s="108"/>
      <c r="C634" s="108"/>
      <c r="D634" s="108"/>
      <c r="E634" s="109"/>
      <c r="F634" s="110"/>
      <c r="J634" s="98" t="s">
        <v>214</v>
      </c>
    </row>
    <row r="635">
      <c r="A635" s="108"/>
      <c r="B635" s="108"/>
      <c r="C635" s="108"/>
      <c r="D635" s="108"/>
      <c r="E635" s="109"/>
      <c r="F635" s="110"/>
      <c r="J635" s="98" t="s">
        <v>214</v>
      </c>
    </row>
    <row r="636">
      <c r="A636" s="108"/>
      <c r="B636" s="108"/>
      <c r="C636" s="108"/>
      <c r="D636" s="108"/>
      <c r="E636" s="109"/>
      <c r="F636" s="110"/>
      <c r="J636" s="98" t="s">
        <v>214</v>
      </c>
    </row>
    <row r="637">
      <c r="A637" s="108"/>
      <c r="B637" s="108"/>
      <c r="C637" s="108"/>
      <c r="D637" s="108"/>
      <c r="E637" s="109"/>
      <c r="F637" s="110"/>
      <c r="J637" s="98" t="s">
        <v>214</v>
      </c>
    </row>
    <row r="638">
      <c r="A638" s="108"/>
      <c r="B638" s="108"/>
      <c r="C638" s="108"/>
      <c r="D638" s="108"/>
      <c r="E638" s="109"/>
      <c r="F638" s="110"/>
      <c r="J638" s="98" t="s">
        <v>214</v>
      </c>
    </row>
    <row r="639">
      <c r="A639" s="108"/>
      <c r="B639" s="108"/>
      <c r="C639" s="108"/>
      <c r="D639" s="108"/>
      <c r="E639" s="109"/>
      <c r="F639" s="110"/>
      <c r="J639" s="98" t="s">
        <v>214</v>
      </c>
    </row>
    <row r="640">
      <c r="A640" s="108"/>
      <c r="B640" s="108"/>
      <c r="C640" s="108"/>
      <c r="D640" s="108"/>
      <c r="E640" s="109"/>
      <c r="F640" s="110"/>
      <c r="J640" s="98" t="s">
        <v>214</v>
      </c>
    </row>
    <row r="641">
      <c r="A641" s="108"/>
      <c r="B641" s="108"/>
      <c r="C641" s="108"/>
      <c r="D641" s="108"/>
      <c r="E641" s="109"/>
      <c r="F641" s="110"/>
      <c r="J641" s="98" t="s">
        <v>214</v>
      </c>
    </row>
    <row r="642">
      <c r="A642" s="108"/>
      <c r="B642" s="108"/>
      <c r="C642" s="108"/>
      <c r="D642" s="108"/>
      <c r="E642" s="109"/>
      <c r="F642" s="110"/>
      <c r="J642" s="98" t="s">
        <v>214</v>
      </c>
    </row>
    <row r="643">
      <c r="A643" s="108"/>
      <c r="B643" s="108"/>
      <c r="C643" s="108"/>
      <c r="D643" s="108"/>
      <c r="E643" s="109"/>
      <c r="F643" s="110"/>
      <c r="J643" s="98" t="s">
        <v>214</v>
      </c>
    </row>
    <row r="644">
      <c r="A644" s="108"/>
      <c r="B644" s="108"/>
      <c r="C644" s="108"/>
      <c r="D644" s="108"/>
      <c r="E644" s="109"/>
      <c r="F644" s="110"/>
      <c r="J644" s="98" t="s">
        <v>214</v>
      </c>
    </row>
    <row r="645">
      <c r="A645" s="108"/>
      <c r="B645" s="108"/>
      <c r="C645" s="108"/>
      <c r="D645" s="108"/>
      <c r="E645" s="109"/>
      <c r="F645" s="110"/>
      <c r="J645" s="98" t="s">
        <v>214</v>
      </c>
    </row>
    <row r="646">
      <c r="A646" s="108"/>
      <c r="B646" s="108"/>
      <c r="C646" s="108"/>
      <c r="D646" s="108"/>
      <c r="E646" s="109"/>
      <c r="F646" s="110"/>
      <c r="J646" s="98" t="s">
        <v>214</v>
      </c>
    </row>
    <row r="647">
      <c r="A647" s="108"/>
      <c r="B647" s="108"/>
      <c r="C647" s="108"/>
      <c r="D647" s="108"/>
      <c r="E647" s="109"/>
      <c r="F647" s="110"/>
      <c r="J647" s="98" t="s">
        <v>214</v>
      </c>
    </row>
    <row r="648">
      <c r="A648" s="108"/>
      <c r="B648" s="108"/>
      <c r="C648" s="108"/>
      <c r="D648" s="108"/>
      <c r="E648" s="109"/>
      <c r="F648" s="110"/>
      <c r="J648" s="98" t="s">
        <v>214</v>
      </c>
    </row>
    <row r="649">
      <c r="A649" s="108"/>
      <c r="B649" s="108"/>
      <c r="C649" s="108"/>
      <c r="D649" s="108"/>
      <c r="E649" s="109"/>
      <c r="F649" s="110"/>
      <c r="J649" s="98" t="s">
        <v>214</v>
      </c>
    </row>
    <row r="650">
      <c r="A650" s="108"/>
      <c r="B650" s="108"/>
      <c r="C650" s="108"/>
      <c r="D650" s="108"/>
      <c r="E650" s="109"/>
      <c r="F650" s="110"/>
      <c r="J650" s="98" t="s">
        <v>214</v>
      </c>
    </row>
    <row r="651">
      <c r="A651" s="108"/>
      <c r="B651" s="108"/>
      <c r="C651" s="108"/>
      <c r="D651" s="108"/>
      <c r="E651" s="109"/>
      <c r="F651" s="110"/>
      <c r="J651" s="98" t="s">
        <v>214</v>
      </c>
    </row>
    <row r="652">
      <c r="A652" s="108"/>
      <c r="B652" s="108"/>
      <c r="C652" s="108"/>
      <c r="D652" s="108"/>
      <c r="E652" s="109"/>
      <c r="F652" s="110"/>
      <c r="J652" s="98" t="s">
        <v>214</v>
      </c>
    </row>
    <row r="653">
      <c r="A653" s="108"/>
      <c r="B653" s="108"/>
      <c r="C653" s="108"/>
      <c r="D653" s="108"/>
      <c r="E653" s="109"/>
      <c r="F653" s="110"/>
      <c r="J653" s="98" t="s">
        <v>214</v>
      </c>
    </row>
    <row r="654">
      <c r="A654" s="108"/>
      <c r="B654" s="108"/>
      <c r="C654" s="108"/>
      <c r="D654" s="108"/>
      <c r="E654" s="109"/>
      <c r="F654" s="110"/>
      <c r="J654" s="98" t="s">
        <v>214</v>
      </c>
    </row>
    <row r="655">
      <c r="A655" s="108"/>
      <c r="B655" s="108"/>
      <c r="C655" s="108"/>
      <c r="D655" s="108"/>
      <c r="E655" s="109"/>
      <c r="F655" s="110"/>
      <c r="J655" s="98" t="s">
        <v>214</v>
      </c>
    </row>
    <row r="656">
      <c r="A656" s="108"/>
      <c r="B656" s="108"/>
      <c r="C656" s="108"/>
      <c r="D656" s="108"/>
      <c r="E656" s="109"/>
      <c r="F656" s="110"/>
      <c r="J656" s="98" t="s">
        <v>214</v>
      </c>
    </row>
    <row r="657">
      <c r="A657" s="108"/>
      <c r="B657" s="108"/>
      <c r="C657" s="108"/>
      <c r="D657" s="108"/>
      <c r="E657" s="109"/>
      <c r="F657" s="110"/>
      <c r="J657" s="98" t="s">
        <v>214</v>
      </c>
    </row>
    <row r="658">
      <c r="A658" s="108"/>
      <c r="B658" s="108"/>
      <c r="C658" s="108"/>
      <c r="D658" s="108"/>
      <c r="E658" s="109"/>
      <c r="F658" s="110"/>
      <c r="J658" s="98" t="s">
        <v>214</v>
      </c>
    </row>
    <row r="659">
      <c r="A659" s="108"/>
      <c r="B659" s="108"/>
      <c r="C659" s="108"/>
      <c r="D659" s="108"/>
      <c r="E659" s="109"/>
      <c r="F659" s="110"/>
      <c r="J659" s="98" t="s">
        <v>214</v>
      </c>
    </row>
    <row r="660">
      <c r="A660" s="108"/>
      <c r="B660" s="108"/>
      <c r="C660" s="108"/>
      <c r="D660" s="108"/>
      <c r="E660" s="109"/>
      <c r="F660" s="110"/>
      <c r="J660" s="98" t="s">
        <v>214</v>
      </c>
    </row>
    <row r="661">
      <c r="A661" s="108"/>
      <c r="B661" s="108"/>
      <c r="C661" s="108"/>
      <c r="D661" s="108"/>
      <c r="E661" s="109"/>
      <c r="F661" s="110"/>
      <c r="J661" s="98" t="s">
        <v>214</v>
      </c>
    </row>
    <row r="662">
      <c r="A662" s="108"/>
      <c r="B662" s="108"/>
      <c r="C662" s="108"/>
      <c r="D662" s="108"/>
      <c r="E662" s="109"/>
      <c r="F662" s="110"/>
      <c r="J662" s="98" t="s">
        <v>214</v>
      </c>
    </row>
    <row r="663">
      <c r="A663" s="108"/>
      <c r="B663" s="108"/>
      <c r="C663" s="108"/>
      <c r="D663" s="108"/>
      <c r="E663" s="109"/>
      <c r="F663" s="110"/>
      <c r="J663" s="98" t="s">
        <v>214</v>
      </c>
    </row>
    <row r="664">
      <c r="A664" s="108"/>
      <c r="B664" s="108"/>
      <c r="C664" s="108"/>
      <c r="D664" s="108"/>
      <c r="E664" s="109"/>
      <c r="F664" s="110"/>
      <c r="J664" s="98" t="s">
        <v>214</v>
      </c>
    </row>
    <row r="665">
      <c r="A665" s="108"/>
      <c r="B665" s="108"/>
      <c r="C665" s="108"/>
      <c r="D665" s="108"/>
      <c r="E665" s="109"/>
      <c r="F665" s="110"/>
      <c r="J665" s="98" t="s">
        <v>214</v>
      </c>
    </row>
    <row r="666">
      <c r="A666" s="108"/>
      <c r="B666" s="108"/>
      <c r="C666" s="108"/>
      <c r="D666" s="108"/>
      <c r="E666" s="109"/>
      <c r="F666" s="110"/>
      <c r="J666" s="98" t="s">
        <v>214</v>
      </c>
    </row>
    <row r="667">
      <c r="A667" s="108"/>
      <c r="B667" s="108"/>
      <c r="C667" s="108"/>
      <c r="D667" s="108"/>
      <c r="E667" s="109"/>
      <c r="F667" s="110"/>
      <c r="J667" s="98" t="s">
        <v>214</v>
      </c>
    </row>
    <row r="668">
      <c r="A668" s="108"/>
      <c r="B668" s="108"/>
      <c r="C668" s="108"/>
      <c r="D668" s="108"/>
      <c r="E668" s="109"/>
      <c r="F668" s="110"/>
      <c r="J668" s="98" t="s">
        <v>214</v>
      </c>
    </row>
    <row r="669">
      <c r="A669" s="108"/>
      <c r="B669" s="108"/>
      <c r="C669" s="108"/>
      <c r="D669" s="108"/>
      <c r="E669" s="109"/>
      <c r="F669" s="110"/>
      <c r="J669" s="98" t="s">
        <v>214</v>
      </c>
    </row>
    <row r="670">
      <c r="A670" s="108"/>
      <c r="B670" s="108"/>
      <c r="C670" s="108"/>
      <c r="D670" s="108"/>
      <c r="E670" s="109"/>
      <c r="F670" s="110"/>
      <c r="J670" s="98" t="s">
        <v>214</v>
      </c>
    </row>
    <row r="671">
      <c r="A671" s="108"/>
      <c r="B671" s="108"/>
      <c r="C671" s="108"/>
      <c r="D671" s="108"/>
      <c r="E671" s="109"/>
      <c r="F671" s="110"/>
      <c r="J671" s="98" t="s">
        <v>214</v>
      </c>
    </row>
    <row r="672">
      <c r="A672" s="108"/>
      <c r="B672" s="108"/>
      <c r="C672" s="108"/>
      <c r="D672" s="108"/>
      <c r="E672" s="109"/>
      <c r="F672" s="110"/>
      <c r="J672" s="98" t="s">
        <v>214</v>
      </c>
    </row>
    <row r="673">
      <c r="A673" s="108"/>
      <c r="B673" s="108"/>
      <c r="C673" s="108"/>
      <c r="D673" s="108"/>
      <c r="E673" s="109"/>
      <c r="F673" s="110"/>
      <c r="J673" s="98" t="s">
        <v>214</v>
      </c>
    </row>
    <row r="674">
      <c r="A674" s="108"/>
      <c r="B674" s="108"/>
      <c r="C674" s="108"/>
      <c r="D674" s="108"/>
      <c r="E674" s="109"/>
      <c r="F674" s="110"/>
      <c r="J674" s="98" t="s">
        <v>214</v>
      </c>
    </row>
    <row r="675">
      <c r="A675" s="108"/>
      <c r="B675" s="108"/>
      <c r="C675" s="108"/>
      <c r="D675" s="108"/>
      <c r="E675" s="109"/>
      <c r="F675" s="110"/>
      <c r="J675" s="98" t="s">
        <v>214</v>
      </c>
    </row>
    <row r="676">
      <c r="A676" s="108"/>
      <c r="B676" s="108"/>
      <c r="C676" s="108"/>
      <c r="D676" s="108"/>
      <c r="E676" s="109"/>
      <c r="F676" s="110"/>
      <c r="J676" s="98" t="s">
        <v>214</v>
      </c>
    </row>
    <row r="677">
      <c r="A677" s="108"/>
      <c r="B677" s="108"/>
      <c r="C677" s="108"/>
      <c r="D677" s="108"/>
      <c r="E677" s="109"/>
      <c r="F677" s="110"/>
      <c r="J677" s="98" t="s">
        <v>214</v>
      </c>
    </row>
    <row r="678">
      <c r="A678" s="108"/>
      <c r="B678" s="108"/>
      <c r="C678" s="108"/>
      <c r="D678" s="108"/>
      <c r="E678" s="109"/>
      <c r="F678" s="110"/>
      <c r="J678" s="98" t="s">
        <v>214</v>
      </c>
    </row>
    <row r="679">
      <c r="A679" s="108"/>
      <c r="B679" s="108"/>
      <c r="C679" s="108"/>
      <c r="D679" s="108"/>
      <c r="E679" s="109"/>
      <c r="F679" s="110"/>
      <c r="J679" s="98" t="s">
        <v>214</v>
      </c>
    </row>
    <row r="680">
      <c r="A680" s="108"/>
      <c r="B680" s="108"/>
      <c r="C680" s="108"/>
      <c r="D680" s="108"/>
      <c r="E680" s="109"/>
      <c r="F680" s="110"/>
      <c r="J680" s="98" t="s">
        <v>214</v>
      </c>
    </row>
    <row r="681">
      <c r="A681" s="108"/>
      <c r="B681" s="108"/>
      <c r="C681" s="108"/>
      <c r="D681" s="108"/>
      <c r="E681" s="109"/>
      <c r="F681" s="110"/>
      <c r="J681" s="98" t="s">
        <v>214</v>
      </c>
    </row>
    <row r="682">
      <c r="A682" s="108"/>
      <c r="B682" s="108"/>
      <c r="C682" s="108"/>
      <c r="D682" s="108"/>
      <c r="E682" s="109"/>
      <c r="F682" s="110"/>
      <c r="J682" s="98" t="s">
        <v>214</v>
      </c>
    </row>
    <row r="683">
      <c r="A683" s="108"/>
      <c r="B683" s="108"/>
      <c r="C683" s="108"/>
      <c r="D683" s="108"/>
      <c r="E683" s="109"/>
      <c r="F683" s="110"/>
      <c r="J683" s="98" t="s">
        <v>214</v>
      </c>
    </row>
    <row r="684">
      <c r="A684" s="108"/>
      <c r="B684" s="108"/>
      <c r="C684" s="108"/>
      <c r="D684" s="108"/>
      <c r="E684" s="109"/>
      <c r="F684" s="110"/>
      <c r="J684" s="98" t="s">
        <v>214</v>
      </c>
    </row>
    <row r="685">
      <c r="A685" s="108"/>
      <c r="B685" s="108"/>
      <c r="C685" s="108"/>
      <c r="D685" s="108"/>
      <c r="E685" s="109"/>
      <c r="F685" s="110"/>
      <c r="J685" s="98" t="s">
        <v>214</v>
      </c>
    </row>
    <row r="686">
      <c r="A686" s="108"/>
      <c r="B686" s="108"/>
      <c r="C686" s="108"/>
      <c r="D686" s="108"/>
      <c r="E686" s="109"/>
      <c r="F686" s="110"/>
      <c r="J686" s="98" t="s">
        <v>214</v>
      </c>
    </row>
    <row r="687">
      <c r="A687" s="108"/>
      <c r="B687" s="108"/>
      <c r="C687" s="108"/>
      <c r="D687" s="108"/>
      <c r="E687" s="109"/>
      <c r="F687" s="110"/>
      <c r="J687" s="98" t="s">
        <v>214</v>
      </c>
    </row>
    <row r="688">
      <c r="A688" s="108"/>
      <c r="B688" s="108"/>
      <c r="C688" s="108"/>
      <c r="D688" s="108"/>
      <c r="E688" s="109"/>
      <c r="F688" s="110"/>
      <c r="J688" s="98" t="s">
        <v>214</v>
      </c>
    </row>
    <row r="689">
      <c r="A689" s="108"/>
      <c r="B689" s="108"/>
      <c r="C689" s="108"/>
      <c r="D689" s="108"/>
      <c r="E689" s="109"/>
      <c r="F689" s="110"/>
      <c r="J689" s="98" t="s">
        <v>214</v>
      </c>
    </row>
    <row r="690">
      <c r="A690" s="108"/>
      <c r="B690" s="108"/>
      <c r="C690" s="108"/>
      <c r="D690" s="108"/>
      <c r="E690" s="109"/>
      <c r="F690" s="110"/>
      <c r="J690" s="98" t="s">
        <v>214</v>
      </c>
    </row>
    <row r="691">
      <c r="A691" s="108"/>
      <c r="B691" s="108"/>
      <c r="C691" s="108"/>
      <c r="D691" s="108"/>
      <c r="E691" s="109"/>
      <c r="F691" s="110"/>
      <c r="J691" s="98" t="s">
        <v>214</v>
      </c>
    </row>
    <row r="692">
      <c r="A692" s="108"/>
      <c r="B692" s="108"/>
      <c r="C692" s="108"/>
      <c r="D692" s="108"/>
      <c r="E692" s="109"/>
      <c r="F692" s="110"/>
      <c r="J692" s="98" t="s">
        <v>214</v>
      </c>
    </row>
    <row r="693">
      <c r="A693" s="108"/>
      <c r="B693" s="108"/>
      <c r="C693" s="108"/>
      <c r="D693" s="108"/>
      <c r="E693" s="109"/>
      <c r="F693" s="110"/>
      <c r="J693" s="98" t="s">
        <v>214</v>
      </c>
    </row>
    <row r="694">
      <c r="A694" s="108"/>
      <c r="B694" s="108"/>
      <c r="C694" s="108"/>
      <c r="D694" s="108"/>
      <c r="E694" s="109"/>
      <c r="F694" s="110"/>
      <c r="J694" s="98" t="s">
        <v>214</v>
      </c>
    </row>
    <row r="695">
      <c r="A695" s="108"/>
      <c r="B695" s="108"/>
      <c r="C695" s="108"/>
      <c r="D695" s="108"/>
      <c r="E695" s="109"/>
      <c r="F695" s="110"/>
      <c r="J695" s="98" t="s">
        <v>214</v>
      </c>
    </row>
    <row r="696">
      <c r="A696" s="108"/>
      <c r="B696" s="108"/>
      <c r="C696" s="108"/>
      <c r="D696" s="108"/>
      <c r="E696" s="109"/>
      <c r="F696" s="110"/>
      <c r="J696" s="98" t="s">
        <v>214</v>
      </c>
    </row>
    <row r="697">
      <c r="A697" s="108"/>
      <c r="B697" s="108"/>
      <c r="C697" s="108"/>
      <c r="D697" s="108"/>
      <c r="E697" s="109"/>
      <c r="F697" s="110"/>
      <c r="J697" s="98" t="s">
        <v>214</v>
      </c>
    </row>
    <row r="698">
      <c r="A698" s="108"/>
      <c r="B698" s="108"/>
      <c r="C698" s="108"/>
      <c r="D698" s="108"/>
      <c r="E698" s="109"/>
      <c r="F698" s="110"/>
      <c r="J698" s="98" t="s">
        <v>214</v>
      </c>
    </row>
    <row r="699">
      <c r="A699" s="108"/>
      <c r="B699" s="108"/>
      <c r="C699" s="108"/>
      <c r="D699" s="108"/>
      <c r="E699" s="109"/>
      <c r="F699" s="110"/>
      <c r="J699" s="98" t="s">
        <v>214</v>
      </c>
    </row>
    <row r="700">
      <c r="A700" s="108"/>
      <c r="B700" s="108"/>
      <c r="C700" s="108"/>
      <c r="D700" s="108"/>
      <c r="E700" s="109"/>
      <c r="F700" s="110"/>
      <c r="J700" s="98" t="s">
        <v>214</v>
      </c>
    </row>
    <row r="701">
      <c r="A701" s="108"/>
      <c r="B701" s="108"/>
      <c r="C701" s="108"/>
      <c r="D701" s="108"/>
      <c r="E701" s="109"/>
      <c r="F701" s="110"/>
      <c r="J701" s="98" t="s">
        <v>214</v>
      </c>
    </row>
    <row r="702">
      <c r="A702" s="108"/>
      <c r="B702" s="108"/>
      <c r="C702" s="108"/>
      <c r="D702" s="108"/>
      <c r="E702" s="109"/>
      <c r="F702" s="110"/>
      <c r="J702" s="98" t="s">
        <v>214</v>
      </c>
    </row>
    <row r="703">
      <c r="A703" s="108"/>
      <c r="B703" s="108"/>
      <c r="C703" s="108"/>
      <c r="D703" s="108"/>
      <c r="E703" s="109"/>
      <c r="F703" s="110"/>
      <c r="J703" s="98" t="s">
        <v>214</v>
      </c>
    </row>
    <row r="704">
      <c r="A704" s="108"/>
      <c r="B704" s="108"/>
      <c r="C704" s="108"/>
      <c r="D704" s="108"/>
      <c r="E704" s="109"/>
      <c r="F704" s="110"/>
      <c r="J704" s="98" t="s">
        <v>214</v>
      </c>
    </row>
    <row r="705">
      <c r="A705" s="108"/>
      <c r="B705" s="108"/>
      <c r="C705" s="108"/>
      <c r="D705" s="108"/>
      <c r="E705" s="109"/>
      <c r="F705" s="110"/>
      <c r="J705" s="98" t="s">
        <v>214</v>
      </c>
    </row>
    <row r="706">
      <c r="A706" s="108"/>
      <c r="B706" s="108"/>
      <c r="C706" s="108"/>
      <c r="D706" s="108"/>
      <c r="E706" s="109"/>
      <c r="F706" s="110"/>
      <c r="J706" s="98" t="s">
        <v>214</v>
      </c>
    </row>
    <row r="707">
      <c r="A707" s="108"/>
      <c r="B707" s="108"/>
      <c r="C707" s="108"/>
      <c r="D707" s="108"/>
      <c r="E707" s="109"/>
      <c r="F707" s="110"/>
      <c r="J707" s="98" t="s">
        <v>214</v>
      </c>
    </row>
    <row r="708">
      <c r="A708" s="108"/>
      <c r="B708" s="108"/>
      <c r="C708" s="108"/>
      <c r="D708" s="108"/>
      <c r="E708" s="109"/>
      <c r="F708" s="110"/>
      <c r="J708" s="98" t="s">
        <v>214</v>
      </c>
    </row>
    <row r="709">
      <c r="A709" s="108"/>
      <c r="B709" s="108"/>
      <c r="C709" s="108"/>
      <c r="D709" s="108"/>
      <c r="E709" s="109"/>
      <c r="F709" s="110"/>
      <c r="J709" s="98" t="s">
        <v>214</v>
      </c>
    </row>
    <row r="710">
      <c r="A710" s="108"/>
      <c r="B710" s="108"/>
      <c r="C710" s="108"/>
      <c r="D710" s="108"/>
      <c r="E710" s="109"/>
      <c r="F710" s="110"/>
      <c r="J710" s="98" t="s">
        <v>214</v>
      </c>
    </row>
    <row r="711">
      <c r="A711" s="108"/>
      <c r="B711" s="108"/>
      <c r="C711" s="108"/>
      <c r="D711" s="108"/>
      <c r="E711" s="109"/>
      <c r="F711" s="110"/>
      <c r="J711" s="98" t="s">
        <v>214</v>
      </c>
    </row>
    <row r="712">
      <c r="A712" s="108"/>
      <c r="B712" s="108"/>
      <c r="C712" s="108"/>
      <c r="D712" s="108"/>
      <c r="E712" s="109"/>
      <c r="F712" s="110"/>
      <c r="J712" s="98" t="s">
        <v>214</v>
      </c>
    </row>
    <row r="713">
      <c r="A713" s="108"/>
      <c r="B713" s="108"/>
      <c r="C713" s="108"/>
      <c r="D713" s="108"/>
      <c r="E713" s="109"/>
      <c r="F713" s="110"/>
      <c r="J713" s="98" t="s">
        <v>214</v>
      </c>
    </row>
    <row r="714">
      <c r="A714" s="108"/>
      <c r="B714" s="108"/>
      <c r="C714" s="108"/>
      <c r="D714" s="108"/>
      <c r="E714" s="109"/>
      <c r="F714" s="110"/>
      <c r="J714" s="98" t="s">
        <v>214</v>
      </c>
    </row>
    <row r="715">
      <c r="A715" s="108"/>
      <c r="B715" s="108"/>
      <c r="C715" s="108"/>
      <c r="D715" s="108"/>
      <c r="E715" s="109"/>
      <c r="F715" s="110"/>
      <c r="J715" s="98" t="s">
        <v>214</v>
      </c>
    </row>
    <row r="716">
      <c r="A716" s="108"/>
      <c r="B716" s="108"/>
      <c r="C716" s="108"/>
      <c r="D716" s="108"/>
      <c r="E716" s="109"/>
      <c r="F716" s="110"/>
      <c r="J716" s="98" t="s">
        <v>214</v>
      </c>
    </row>
    <row r="717">
      <c r="A717" s="108"/>
      <c r="B717" s="108"/>
      <c r="C717" s="108"/>
      <c r="D717" s="108"/>
      <c r="E717" s="109"/>
      <c r="F717" s="110"/>
      <c r="J717" s="98" t="s">
        <v>214</v>
      </c>
    </row>
    <row r="718">
      <c r="A718" s="108"/>
      <c r="B718" s="108"/>
      <c r="C718" s="108"/>
      <c r="D718" s="108"/>
      <c r="E718" s="109"/>
      <c r="F718" s="110"/>
      <c r="J718" s="98" t="s">
        <v>214</v>
      </c>
    </row>
    <row r="719">
      <c r="A719" s="108"/>
      <c r="B719" s="108"/>
      <c r="C719" s="108"/>
      <c r="D719" s="108"/>
      <c r="E719" s="109"/>
      <c r="F719" s="110"/>
      <c r="J719" s="98" t="s">
        <v>214</v>
      </c>
    </row>
    <row r="720">
      <c r="A720" s="108"/>
      <c r="B720" s="108"/>
      <c r="C720" s="108"/>
      <c r="D720" s="108"/>
      <c r="E720" s="109"/>
      <c r="F720" s="110"/>
      <c r="J720" s="98" t="s">
        <v>214</v>
      </c>
    </row>
    <row r="721">
      <c r="A721" s="108"/>
      <c r="B721" s="108"/>
      <c r="C721" s="108"/>
      <c r="D721" s="108"/>
      <c r="E721" s="109"/>
      <c r="F721" s="110"/>
      <c r="J721" s="98" t="s">
        <v>214</v>
      </c>
    </row>
    <row r="722">
      <c r="A722" s="108"/>
      <c r="B722" s="108"/>
      <c r="C722" s="108"/>
      <c r="D722" s="108"/>
      <c r="E722" s="109"/>
      <c r="F722" s="110"/>
      <c r="J722" s="98" t="s">
        <v>214</v>
      </c>
    </row>
    <row r="723">
      <c r="A723" s="108"/>
      <c r="B723" s="108"/>
      <c r="C723" s="108"/>
      <c r="D723" s="108"/>
      <c r="E723" s="109"/>
      <c r="F723" s="110"/>
      <c r="J723" s="98" t="s">
        <v>214</v>
      </c>
    </row>
    <row r="724">
      <c r="A724" s="108"/>
      <c r="B724" s="108"/>
      <c r="C724" s="108"/>
      <c r="D724" s="108"/>
      <c r="E724" s="109"/>
      <c r="F724" s="110"/>
      <c r="J724" s="98" t="s">
        <v>214</v>
      </c>
    </row>
    <row r="725">
      <c r="A725" s="108"/>
      <c r="B725" s="108"/>
      <c r="C725" s="108"/>
      <c r="D725" s="108"/>
      <c r="E725" s="109"/>
      <c r="F725" s="110"/>
      <c r="J725" s="98" t="s">
        <v>214</v>
      </c>
    </row>
    <row r="726">
      <c r="A726" s="108"/>
      <c r="B726" s="108"/>
      <c r="C726" s="108"/>
      <c r="D726" s="108"/>
      <c r="E726" s="109"/>
      <c r="F726" s="110"/>
      <c r="J726" s="98" t="s">
        <v>214</v>
      </c>
    </row>
    <row r="727">
      <c r="A727" s="108"/>
      <c r="B727" s="108"/>
      <c r="C727" s="108"/>
      <c r="D727" s="108"/>
      <c r="E727" s="109"/>
      <c r="F727" s="110"/>
      <c r="J727" s="98" t="s">
        <v>214</v>
      </c>
    </row>
    <row r="728">
      <c r="A728" s="108"/>
      <c r="B728" s="108"/>
      <c r="C728" s="108"/>
      <c r="D728" s="108"/>
      <c r="E728" s="109"/>
      <c r="F728" s="110"/>
      <c r="J728" s="98" t="s">
        <v>214</v>
      </c>
    </row>
    <row r="729">
      <c r="A729" s="108"/>
      <c r="B729" s="108"/>
      <c r="C729" s="108"/>
      <c r="D729" s="108"/>
      <c r="E729" s="109"/>
      <c r="F729" s="110"/>
      <c r="J729" s="98" t="s">
        <v>214</v>
      </c>
    </row>
    <row r="730">
      <c r="A730" s="108"/>
      <c r="B730" s="108"/>
      <c r="C730" s="108"/>
      <c r="D730" s="108"/>
      <c r="E730" s="109"/>
      <c r="F730" s="110"/>
      <c r="J730" s="98" t="s">
        <v>214</v>
      </c>
    </row>
    <row r="731">
      <c r="A731" s="108"/>
      <c r="B731" s="108"/>
      <c r="C731" s="108"/>
      <c r="D731" s="108"/>
      <c r="E731" s="109"/>
      <c r="F731" s="11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7" width="36.25"/>
    <col customWidth="1" min="13" max="13" width="49.38"/>
    <col customWidth="1" min="14" max="14" width="62.88"/>
    <col customWidth="1" min="15" max="15" width="23.88"/>
    <col customWidth="1" min="16" max="16" width="44.63"/>
    <col customWidth="1" min="20" max="20" width="21.75"/>
    <col customWidth="1" min="67" max="67" width="22.5"/>
    <col customWidth="1" min="80" max="80" width="36.88"/>
  </cols>
  <sheetData>
    <row r="1">
      <c r="A1" s="111"/>
      <c r="B1" s="111"/>
      <c r="C1" s="111"/>
      <c r="D1" s="112"/>
      <c r="E1" s="113"/>
      <c r="F1" s="111"/>
      <c r="G1" s="111"/>
      <c r="H1" s="111"/>
      <c r="K1" s="114" t="str">
        <f>IFERROR(__xludf.DUMMYFUNCTION("IMPORTRANGE(""https://docs.google.com/spreadsheets/d/12WDd8SiHXclnbWAgihi2xr62MfHFVlw3Gao8DOPN-jo/edit?gid=0#gid=0"",""Dep Assign!Bi3:BN200"")"),"")</f>
        <v/>
      </c>
      <c r="M1" s="115" t="str">
        <f>IFERROR(__xludf.DUMMYFUNCTION("""COMPUTED_VALUE"""),"Team 01")</f>
        <v>Team 01</v>
      </c>
      <c r="N1" s="116" t="str">
        <f>IFERROR(__xludf.DUMMYFUNCTION("""COMPUTED_VALUE"""),"Team 02")</f>
        <v>Team 02</v>
      </c>
      <c r="O1" s="115" t="str">
        <f>IFERROR(__xludf.DUMMYFUNCTION("""COMPUTED_VALUE"""),"Team 03")</f>
        <v>Team 03</v>
      </c>
      <c r="P1" s="115" t="str">
        <f>IFERROR(__xludf.DUMMYFUNCTION("""COMPUTED_VALUE"""),"Team 04")</f>
        <v>Team 04</v>
      </c>
      <c r="S1" s="98" t="str">
        <f>IFERROR(__xludf.DUMMYFUNCTION("IMPORTRANGE(""https://docs.google.com/spreadsheets/d/1EmECb3aPXMRxSyUzhV6wKU2oDq_32Ga-lwpwmkcHdh0/edit?gid=614842830#gid=614842830"",""General!U12:CL50"")"),"")</f>
        <v/>
      </c>
      <c r="T1" s="98"/>
      <c r="U1" s="98"/>
      <c r="V1" s="98"/>
      <c r="W1" s="98"/>
      <c r="X1" s="98"/>
      <c r="Y1" s="98"/>
      <c r="Z1" s="98"/>
      <c r="AA1" s="98"/>
      <c r="AB1" s="98"/>
      <c r="AC1" s="98"/>
      <c r="AD1" s="98"/>
      <c r="AE1" s="98"/>
      <c r="AF1" s="98"/>
      <c r="AG1" s="98"/>
      <c r="AH1" s="98"/>
      <c r="AI1" s="98"/>
      <c r="AJ1" s="98"/>
      <c r="AK1" s="98"/>
      <c r="AL1" s="98"/>
      <c r="AM1" s="98"/>
      <c r="AN1" s="98"/>
      <c r="AO1" s="98"/>
      <c r="AP1" s="98"/>
      <c r="AQ1" s="98"/>
      <c r="AR1" s="98"/>
      <c r="AS1" s="98"/>
      <c r="AT1" s="98"/>
      <c r="AU1" s="98"/>
      <c r="AV1" s="98"/>
      <c r="AW1" s="98"/>
      <c r="AX1" s="98"/>
      <c r="AY1" s="98"/>
      <c r="AZ1" s="98"/>
      <c r="BA1" s="98"/>
      <c r="BB1" s="98"/>
      <c r="BC1" s="98"/>
      <c r="BD1" s="98"/>
      <c r="BE1" s="98"/>
      <c r="BF1" s="98"/>
      <c r="BG1" s="98"/>
      <c r="BH1" s="98"/>
      <c r="BI1" s="98"/>
      <c r="BJ1" s="98"/>
      <c r="BK1" s="98"/>
      <c r="BL1" s="98"/>
      <c r="BM1" s="98"/>
      <c r="BN1" s="98"/>
      <c r="BO1" s="98"/>
      <c r="BP1" s="98"/>
      <c r="BQ1" s="98"/>
      <c r="BR1" s="98"/>
      <c r="BS1" s="98"/>
      <c r="BT1" s="98"/>
      <c r="BU1" s="98"/>
      <c r="BV1" s="98"/>
      <c r="BW1" s="98"/>
      <c r="BX1" s="98"/>
      <c r="BY1" s="98"/>
      <c r="BZ1" s="98"/>
      <c r="CA1" s="98"/>
      <c r="CB1" s="98"/>
      <c r="CC1" s="98"/>
      <c r="CD1" s="98"/>
      <c r="CE1" s="98"/>
      <c r="CF1" s="98"/>
      <c r="CG1" s="98"/>
      <c r="CH1" s="98"/>
      <c r="CI1" s="98"/>
      <c r="CJ1" s="98"/>
    </row>
    <row r="2">
      <c r="A2" s="117" t="str">
        <f>IFERROR(__xludf.DUMMYFUNCTION("IMPORTRANGE(""https://docs.google.com/spreadsheets/d/1Nzs-aazweM7FII83T5z0Sz18QX-iEFZD-F811MYQF1g/edit?gid=154907932#gid=154907932"",""Sum DG + Power Solar + Clean!AL244:AS271"")"),"Total Site")</f>
        <v>Total Site</v>
      </c>
      <c r="B2" s="117" t="str">
        <f>IFERROR(__xludf.DUMMYFUNCTION("""COMPUTED_VALUE"""),"No")</f>
        <v>No</v>
      </c>
      <c r="C2" s="117" t="str">
        <f>IFERROR(__xludf.DUMMYFUNCTION("""COMPUTED_VALUE"""),"Export time: 02/07/2026 16:57:20")</f>
        <v>Export time: 02/07/2026 16:57:20</v>
      </c>
      <c r="D2" s="118" t="str">
        <f>IFERROR(__xludf.DUMMYFUNCTION("""COMPUTED_VALUE"""),"T1")</f>
        <v>T1</v>
      </c>
      <c r="E2" s="118" t="str">
        <f>IFERROR(__xludf.DUMMYFUNCTION("""COMPUTED_VALUE"""),"T2")</f>
        <v>T2</v>
      </c>
      <c r="F2" s="118" t="str">
        <f>IFERROR(__xludf.DUMMYFUNCTION("""COMPUTED_VALUE"""),"T3")</f>
        <v>T3</v>
      </c>
      <c r="G2" s="118" t="str">
        <f>IFERROR(__xludf.DUMMYFUNCTION("""COMPUTED_VALUE"""),"T4")</f>
        <v>T4</v>
      </c>
      <c r="H2" s="118" t="str">
        <f>IFERROR(__xludf.DUMMYFUNCTION("""COMPUTED_VALUE"""),"T5")</f>
        <v>T5</v>
      </c>
      <c r="K2" s="119"/>
      <c r="L2" s="120" t="str">
        <f>IFERROR(__xludf.DUMMYFUNCTION("""COMPUTED_VALUE"""),"Group assign")</f>
        <v>Group assign</v>
      </c>
      <c r="M2" s="119"/>
      <c r="N2" s="119"/>
      <c r="O2" s="119"/>
      <c r="P2" s="119"/>
      <c r="S2" s="121"/>
      <c r="T2" s="121"/>
      <c r="U2" s="121"/>
      <c r="V2" s="121"/>
      <c r="W2" s="121"/>
      <c r="X2" s="121"/>
      <c r="Y2" s="121"/>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22"/>
      <c r="AZ2" s="122"/>
      <c r="BA2" s="122"/>
      <c r="BB2" s="122"/>
      <c r="BC2" s="122"/>
      <c r="BD2" s="122"/>
      <c r="BE2" s="122"/>
      <c r="BF2" s="122"/>
      <c r="BG2" s="122"/>
      <c r="BH2" s="122"/>
      <c r="BI2" s="122"/>
      <c r="BJ2" s="122"/>
      <c r="BK2" s="122"/>
      <c r="BL2" s="123" t="str">
        <f>IFERROR(__xludf.DUMMYFUNCTION("""COMPUTED_VALUE"""),"Day")</f>
        <v>Day</v>
      </c>
      <c r="BM2" s="124">
        <f>IFERROR(__xludf.DUMMYFUNCTION("""COMPUTED_VALUE"""),46059.56025462963)</f>
        <v>46059.56025</v>
      </c>
      <c r="BN2" s="125"/>
      <c r="BO2" s="123" t="str">
        <f>IFERROR(__xludf.DUMMYFUNCTION("""COMPUTED_VALUE"""),"Team")</f>
        <v>Team</v>
      </c>
      <c r="BP2" s="123" t="str">
        <f>IFERROR(__xludf.DUMMYFUNCTION("""COMPUTED_VALUE"""),"Sum need (L)")</f>
        <v>Sum need (L)</v>
      </c>
      <c r="BQ2" s="123" t="str">
        <f>IFERROR(__xludf.DUMMYFUNCTION("""COMPUTED_VALUE"""),"Have at Team")</f>
        <v>Have at Team</v>
      </c>
      <c r="BR2" s="123" t="str">
        <f>IFERROR(__xludf.DUMMYFUNCTION("""COMPUTED_VALUE"""),"Diffirent")</f>
        <v>Diffirent</v>
      </c>
      <c r="BS2" s="126" t="str">
        <f>IFERROR(__xludf.DUMMYFUNCTION("""COMPUTED_VALUE"""),"PLAN NEED Change Oil")</f>
        <v>PLAN NEED Change Oil</v>
      </c>
      <c r="BT2" s="127"/>
      <c r="BU2" s="127"/>
      <c r="BV2" s="127"/>
      <c r="BW2" s="128"/>
      <c r="BX2" s="122"/>
      <c r="BY2" s="129" t="str">
        <f>IFERROR(__xludf.DUMMYFUNCTION("""COMPUTED_VALUE"""),"Day")</f>
        <v>Day</v>
      </c>
      <c r="BZ2" s="130">
        <f>IFERROR(__xludf.DUMMYFUNCTION("""COMPUTED_VALUE"""),46059.56025462963)</f>
        <v>46059.56025</v>
      </c>
      <c r="CA2" s="131"/>
      <c r="CB2" s="129" t="str">
        <f>IFERROR(__xludf.DUMMYFUNCTION("""COMPUTED_VALUE"""),"Team")</f>
        <v>Team</v>
      </c>
      <c r="CC2" s="129" t="str">
        <f>IFERROR(__xludf.DUMMYFUNCTION("""COMPUTED_VALUE"""),"Sum need (L)")</f>
        <v>Sum need (L)</v>
      </c>
      <c r="CD2" s="129" t="str">
        <f>IFERROR(__xludf.DUMMYFUNCTION("""COMPUTED_VALUE"""),"Have at Team")</f>
        <v>Have at Team</v>
      </c>
      <c r="CE2" s="129" t="str">
        <f>IFERROR(__xludf.DUMMYFUNCTION("""COMPUTED_VALUE"""),"Diffirent")</f>
        <v>Diffirent</v>
      </c>
      <c r="CF2" s="132" t="str">
        <f>IFERROR(__xludf.DUMMYFUNCTION("""COMPUTED_VALUE"""),"PLAN NEED Changed water Coolant")</f>
        <v>PLAN NEED Changed water Coolant</v>
      </c>
      <c r="CG2" s="127"/>
      <c r="CH2" s="127"/>
      <c r="CI2" s="127"/>
      <c r="CJ2" s="128"/>
    </row>
    <row r="3">
      <c r="A3" s="133">
        <f>IFERROR(__xludf.DUMMYFUNCTION("""COMPUTED_VALUE"""),307.0)</f>
        <v>307</v>
      </c>
      <c r="B3" s="134"/>
      <c r="C3" s="134"/>
      <c r="D3" s="135">
        <f>IFERROR(__xludf.DUMMYFUNCTION("""COMPUTED_VALUE"""),0.0)</f>
        <v>0</v>
      </c>
      <c r="E3" s="135">
        <f>IFERROR(__xludf.DUMMYFUNCTION("""COMPUTED_VALUE"""),0.0)</f>
        <v>0</v>
      </c>
      <c r="F3" s="135">
        <f>IFERROR(__xludf.DUMMYFUNCTION("""COMPUTED_VALUE"""),0.0)</f>
        <v>0</v>
      </c>
      <c r="G3" s="135">
        <f>IFERROR(__xludf.DUMMYFUNCTION("""COMPUTED_VALUE"""),0.0)</f>
        <v>0</v>
      </c>
      <c r="H3" s="135">
        <f>IFERROR(__xludf.DUMMYFUNCTION("""COMPUTED_VALUE"""),0.0)</f>
        <v>0</v>
      </c>
      <c r="K3" s="136"/>
      <c r="L3" s="137">
        <f>IFERROR(__xludf.DUMMYFUNCTION("""COMPUTED_VALUE"""),46205.0)</f>
        <v>46205</v>
      </c>
      <c r="M3" s="138"/>
      <c r="N3" s="136"/>
      <c r="O3" s="136"/>
      <c r="P3" s="138"/>
      <c r="S3" s="139" t="str">
        <f>IFERROR(__xludf.DUMMYFUNCTION("""COMPUTED_VALUE"""),"Day")</f>
        <v>Day</v>
      </c>
      <c r="T3" s="140">
        <f>IFERROR(__xludf.DUMMYFUNCTION("""COMPUTED_VALUE"""),46059.56025462963)</f>
        <v>46059.56025</v>
      </c>
      <c r="U3" s="141" t="str">
        <f>IFERROR(__xludf.DUMMYFUNCTION("""COMPUTED_VALUE"""),"Generator_Changed_Oil_Filter")</f>
        <v>Generator_Changed_Oil_Filter</v>
      </c>
      <c r="V3" s="127"/>
      <c r="W3" s="127"/>
      <c r="X3" s="127"/>
      <c r="Y3" s="128"/>
      <c r="Z3" s="142"/>
      <c r="AA3" s="143" t="str">
        <f>IFERROR(__xludf.DUMMYFUNCTION("""COMPUTED_VALUE"""),"NOT YET DO change Oil Filter")</f>
        <v>NOT YET DO change Oil Filter</v>
      </c>
      <c r="AB3" s="127"/>
      <c r="AC3" s="127"/>
      <c r="AD3" s="127"/>
      <c r="AE3" s="128"/>
      <c r="AF3" s="122"/>
      <c r="AG3" s="122"/>
      <c r="AH3" s="144" t="str">
        <f>IFERROR(__xludf.DUMMYFUNCTION("""COMPUTED_VALUE"""),"Day")</f>
        <v>Day</v>
      </c>
      <c r="AI3" s="145">
        <f>IFERROR(__xludf.DUMMYFUNCTION("""COMPUTED_VALUE"""),46059.56025462963)</f>
        <v>46059.56025</v>
      </c>
      <c r="AJ3" s="146" t="str">
        <f>IFERROR(__xludf.DUMMYFUNCTION("""COMPUTED_VALUE"""),"Generator_Changed_Fuel_Filter")</f>
        <v>Generator_Changed_Fuel_Filter</v>
      </c>
      <c r="AK3" s="127"/>
      <c r="AL3" s="127"/>
      <c r="AM3" s="127"/>
      <c r="AN3" s="128"/>
      <c r="AO3" s="147"/>
      <c r="AP3" s="148" t="str">
        <f>IFERROR(__xludf.DUMMYFUNCTION("""COMPUTED_VALUE"""),"NOT YET DO change Fuel Filter")</f>
        <v>NOT YET DO change Fuel Filter</v>
      </c>
      <c r="AQ3" s="127"/>
      <c r="AR3" s="127"/>
      <c r="AS3" s="127"/>
      <c r="AT3" s="128"/>
      <c r="AU3" s="122"/>
      <c r="AV3" s="122"/>
      <c r="AW3" s="144" t="str">
        <f>IFERROR(__xludf.DUMMYFUNCTION("""COMPUTED_VALUE"""),"Day")</f>
        <v>Day</v>
      </c>
      <c r="AX3" s="145">
        <f>IFERROR(__xludf.DUMMYFUNCTION("""COMPUTED_VALUE"""),46059.56025462963)</f>
        <v>46059.56025</v>
      </c>
      <c r="AY3" s="149" t="str">
        <f>IFERROR(__xludf.DUMMYFUNCTION("""COMPUTED_VALUE"""),"Generator_Changed_Air_Filter")</f>
        <v>Generator_Changed_Air_Filter</v>
      </c>
      <c r="AZ3" s="127"/>
      <c r="BA3" s="127"/>
      <c r="BB3" s="127"/>
      <c r="BC3" s="128"/>
      <c r="BD3" s="150"/>
      <c r="BE3" s="151" t="str">
        <f>IFERROR(__xludf.DUMMYFUNCTION("""COMPUTED_VALUE"""),"NOT YET DO change Airl Filter")</f>
        <v>NOT YET DO change Airl Filter</v>
      </c>
      <c r="BF3" s="127"/>
      <c r="BG3" s="127"/>
      <c r="BH3" s="127"/>
      <c r="BI3" s="128"/>
      <c r="BJ3" s="122"/>
      <c r="BK3" s="122"/>
      <c r="BL3" s="152">
        <f>IFERROR(__xludf.DUMMYFUNCTION("""COMPUTED_VALUE"""),145.43974537037138)</f>
        <v>145.4397454</v>
      </c>
      <c r="BM3" s="124">
        <f>IFERROR(__xludf.DUMMYFUNCTION("""COMPUTED_VALUE"""),46205.0)</f>
        <v>46205</v>
      </c>
      <c r="BN3" s="125"/>
      <c r="BO3" s="125"/>
      <c r="BP3" s="125"/>
      <c r="BQ3" s="125"/>
      <c r="BR3" s="125"/>
      <c r="BS3" s="153">
        <f>IFERROR(__xludf.DUMMYFUNCTION("""COMPUTED_VALUE"""),6.0)</f>
        <v>6</v>
      </c>
      <c r="BT3" s="153">
        <f>IFERROR(__xludf.DUMMYFUNCTION("""COMPUTED_VALUE"""),7.6)</f>
        <v>7.6</v>
      </c>
      <c r="BU3" s="153">
        <f>IFERROR(__xludf.DUMMYFUNCTION("""COMPUTED_VALUE"""),10.2)</f>
        <v>10.2</v>
      </c>
      <c r="BV3" s="153">
        <f>IFERROR(__xludf.DUMMYFUNCTION("""COMPUTED_VALUE"""),7.0)</f>
        <v>7</v>
      </c>
      <c r="BW3" s="153">
        <f>IFERROR(__xludf.DUMMYFUNCTION("""COMPUTED_VALUE"""),0.0)</f>
        <v>0</v>
      </c>
      <c r="BX3" s="154"/>
      <c r="BY3" s="131"/>
      <c r="BZ3" s="131"/>
      <c r="CA3" s="131"/>
      <c r="CB3" s="131"/>
      <c r="CC3" s="131"/>
      <c r="CD3" s="131"/>
      <c r="CE3" s="131"/>
      <c r="CF3" s="155">
        <f>IFERROR(__xludf.DUMMYFUNCTION("""COMPUTED_VALUE"""),0.5)</f>
        <v>0.5</v>
      </c>
      <c r="CG3" s="155">
        <f>IFERROR(__xludf.DUMMYFUNCTION("""COMPUTED_VALUE"""),0.8)</f>
        <v>0.8</v>
      </c>
      <c r="CH3" s="155">
        <f>IFERROR(__xludf.DUMMYFUNCTION("""COMPUTED_VALUE"""),1.0)</f>
        <v>1</v>
      </c>
      <c r="CI3" s="155">
        <f>IFERROR(__xludf.DUMMYFUNCTION("""COMPUTED_VALUE"""),0.8)</f>
        <v>0.8</v>
      </c>
      <c r="CJ3" s="155">
        <f>IFERROR(__xludf.DUMMYFUNCTION("""COMPUTED_VALUE"""),0.0)</f>
        <v>0</v>
      </c>
    </row>
    <row r="4">
      <c r="A4" s="156">
        <f>IFERROR(__xludf.DUMMYFUNCTION("""COMPUTED_VALUE"""),10.0)</f>
        <v>10</v>
      </c>
      <c r="B4" s="157">
        <f>IFERROR(__xludf.DUMMYFUNCTION("""COMPUTED_VALUE"""),1.0)</f>
        <v>1</v>
      </c>
      <c r="C4" s="158" t="str">
        <f>IFERROR(__xludf.DUMMYFUNCTION("""COMPUTED_VALUE"""),"Cable Patrol for (BB)")</f>
        <v>Cable Patrol for (BB)</v>
      </c>
      <c r="D4" s="156" t="str">
        <f>IFERROR(__xludf.DUMMYFUNCTION("""COMPUTED_VALUE"""),"Total: 2 | TNI0013, TNI0006")</f>
        <v>Total: 2 | TNI0013, TNI0006</v>
      </c>
      <c r="E4" s="156" t="str">
        <f>IFERROR(__xludf.DUMMYFUNCTION("""COMPUTED_VALUE"""),"Total: 5 | TNI0003, TNI0001, TNI0075, TNI0159, TNI0005")</f>
        <v>Total: 5 | TNI0003, TNI0001, TNI0075, TNI0159, TNI0005</v>
      </c>
      <c r="F4" s="156" t="str">
        <f>IFERROR(__xludf.DUMMYFUNCTION("""COMPUTED_VALUE"""),"-")</f>
        <v>-</v>
      </c>
      <c r="G4" s="156" t="str">
        <f>IFERROR(__xludf.DUMMYFUNCTION("""COMPUTED_VALUE"""),"Total: 3 | TNI0015, TNI0012, TNI0011")</f>
        <v>Total: 3 | TNI0015, TNI0012, TNI0011</v>
      </c>
      <c r="H4" s="156" t="str">
        <f>IFERROR(__xludf.DUMMYFUNCTION("""COMPUTED_VALUE"""),"-")</f>
        <v>-</v>
      </c>
      <c r="K4" s="120" t="str">
        <f>IFERROR(__xludf.DUMMYFUNCTION("""COMPUTED_VALUE"""),"Admin")</f>
        <v>Admin</v>
      </c>
      <c r="L4" s="120" t="str">
        <f>IFERROR(__xludf.DUMMYFUNCTION("""COMPUTED_VALUE"""),"repair CCTV")</f>
        <v>repair CCTV</v>
      </c>
      <c r="M4" s="159" t="str">
        <f>IFERROR(__xludf.DUMMYFUNCTION("""COMPUTED_VALUE"""),"TNI0006")</f>
        <v>TNI0006</v>
      </c>
      <c r="N4" s="159" t="str">
        <f>IFERROR(__xludf.DUMMYFUNCTION("""COMPUTED_VALUE"""),"Main Team ")</f>
        <v>Main Team </v>
      </c>
      <c r="O4" s="119" t="str">
        <f>IFERROR(__xludf.DUMMYFUNCTION("""COMPUTED_VALUE"""),"-")</f>
        <v>-</v>
      </c>
      <c r="P4" s="119" t="str">
        <f>IFERROR(__xludf.DUMMYFUNCTION("""COMPUTED_VALUE"""),"-")</f>
        <v>-</v>
      </c>
      <c r="S4" s="160">
        <f>IFERROR(__xludf.DUMMYFUNCTION("""COMPUTED_VALUE"""),145.43974537037138)</f>
        <v>145.4397454</v>
      </c>
      <c r="T4" s="161">
        <f>IFERROR(__xludf.DUMMYFUNCTION("""COMPUTED_VALUE"""),46205.0)</f>
        <v>46205</v>
      </c>
      <c r="U4" s="162">
        <f>IFERROR(__xludf.DUMMYFUNCTION("""COMPUTED_VALUE"""),8.0)</f>
        <v>8</v>
      </c>
      <c r="V4" s="162">
        <f>IFERROR(__xludf.DUMMYFUNCTION("""COMPUTED_VALUE"""),12.0)</f>
        <v>12</v>
      </c>
      <c r="W4" s="162">
        <f>IFERROR(__xludf.DUMMYFUNCTION("""COMPUTED_VALUE"""),30.0)</f>
        <v>30</v>
      </c>
      <c r="X4" s="162" t="str">
        <f>IFERROR(__xludf.DUMMYFUNCTION("""COMPUTED_VALUE"""),"12D")</f>
        <v>12D</v>
      </c>
      <c r="Y4" s="162"/>
      <c r="Z4" s="163" t="str">
        <f>IFERROR(__xludf.DUMMYFUNCTION("""COMPUTED_VALUE"""),"Sum DG KVA Need change Oil Filter")</f>
        <v>Sum DG KVA Need change Oil Filter</v>
      </c>
      <c r="AA4" s="164">
        <f>IFERROR(__xludf.DUMMYFUNCTION("""COMPUTED_VALUE"""),8.0)</f>
        <v>8</v>
      </c>
      <c r="AB4" s="164">
        <f>IFERROR(__xludf.DUMMYFUNCTION("""COMPUTED_VALUE"""),12.0)</f>
        <v>12</v>
      </c>
      <c r="AC4" s="164">
        <f>IFERROR(__xludf.DUMMYFUNCTION("""COMPUTED_VALUE"""),30.0)</f>
        <v>30</v>
      </c>
      <c r="AD4" s="164" t="str">
        <f>IFERROR(__xludf.DUMMYFUNCTION("""COMPUTED_VALUE"""),"12D")</f>
        <v>12D</v>
      </c>
      <c r="AE4" s="164"/>
      <c r="AF4" s="122"/>
      <c r="AG4" s="122"/>
      <c r="AH4" s="165">
        <f>IFERROR(__xludf.DUMMYFUNCTION("""COMPUTED_VALUE"""),145.43974537037138)</f>
        <v>145.4397454</v>
      </c>
      <c r="AI4" s="166">
        <f>IFERROR(__xludf.DUMMYFUNCTION("""COMPUTED_VALUE"""),46205.0)</f>
        <v>46205</v>
      </c>
      <c r="AJ4" s="167">
        <f>IFERROR(__xludf.DUMMYFUNCTION("""COMPUTED_VALUE"""),8.0)</f>
        <v>8</v>
      </c>
      <c r="AK4" s="167">
        <f>IFERROR(__xludf.DUMMYFUNCTION("""COMPUTED_VALUE"""),12.0)</f>
        <v>12</v>
      </c>
      <c r="AL4" s="167">
        <f>IFERROR(__xludf.DUMMYFUNCTION("""COMPUTED_VALUE"""),30.0)</f>
        <v>30</v>
      </c>
      <c r="AM4" s="167" t="str">
        <f>IFERROR(__xludf.DUMMYFUNCTION("""COMPUTED_VALUE"""),"12D")</f>
        <v>12D</v>
      </c>
      <c r="AN4" s="167"/>
      <c r="AO4" s="168" t="str">
        <f>IFERROR(__xludf.DUMMYFUNCTION("""COMPUTED_VALUE"""),"Sum DG KVA Need change Oil Filter")</f>
        <v>Sum DG KVA Need change Oil Filter</v>
      </c>
      <c r="AP4" s="164">
        <f>IFERROR(__xludf.DUMMYFUNCTION("""COMPUTED_VALUE"""),8.0)</f>
        <v>8</v>
      </c>
      <c r="AQ4" s="164">
        <f>IFERROR(__xludf.DUMMYFUNCTION("""COMPUTED_VALUE"""),12.0)</f>
        <v>12</v>
      </c>
      <c r="AR4" s="164">
        <f>IFERROR(__xludf.DUMMYFUNCTION("""COMPUTED_VALUE"""),30.0)</f>
        <v>30</v>
      </c>
      <c r="AS4" s="164" t="str">
        <f>IFERROR(__xludf.DUMMYFUNCTION("""COMPUTED_VALUE"""),"12D")</f>
        <v>12D</v>
      </c>
      <c r="AT4" s="164"/>
      <c r="AU4" s="122"/>
      <c r="AV4" s="122"/>
      <c r="AW4" s="165">
        <f>IFERROR(__xludf.DUMMYFUNCTION("""COMPUTED_VALUE"""),145.43974537037138)</f>
        <v>145.4397454</v>
      </c>
      <c r="AX4" s="166">
        <f>IFERROR(__xludf.DUMMYFUNCTION("""COMPUTED_VALUE"""),46205.0)</f>
        <v>46205</v>
      </c>
      <c r="AY4" s="169">
        <f>IFERROR(__xludf.DUMMYFUNCTION("""COMPUTED_VALUE"""),8.0)</f>
        <v>8</v>
      </c>
      <c r="AZ4" s="169">
        <f>IFERROR(__xludf.DUMMYFUNCTION("""COMPUTED_VALUE"""),12.0)</f>
        <v>12</v>
      </c>
      <c r="BA4" s="169">
        <f>IFERROR(__xludf.DUMMYFUNCTION("""COMPUTED_VALUE"""),30.0)</f>
        <v>30</v>
      </c>
      <c r="BB4" s="169" t="str">
        <f>IFERROR(__xludf.DUMMYFUNCTION("""COMPUTED_VALUE"""),"12D")</f>
        <v>12D</v>
      </c>
      <c r="BC4" s="169"/>
      <c r="BD4" s="170" t="str">
        <f>IFERROR(__xludf.DUMMYFUNCTION("""COMPUTED_VALUE"""),"Sum DG KVA Need change Oil Filter")</f>
        <v>Sum DG KVA Need change Oil Filter</v>
      </c>
      <c r="BE4" s="164">
        <f>IFERROR(__xludf.DUMMYFUNCTION("""COMPUTED_VALUE"""),8.0)</f>
        <v>8</v>
      </c>
      <c r="BF4" s="164">
        <f>IFERROR(__xludf.DUMMYFUNCTION("""COMPUTED_VALUE"""),12.0)</f>
        <v>12</v>
      </c>
      <c r="BG4" s="164">
        <f>IFERROR(__xludf.DUMMYFUNCTION("""COMPUTED_VALUE"""),30.0)</f>
        <v>30</v>
      </c>
      <c r="BH4" s="164" t="str">
        <f>IFERROR(__xludf.DUMMYFUNCTION("""COMPUTED_VALUE"""),"12D")</f>
        <v>12D</v>
      </c>
      <c r="BI4" s="164"/>
      <c r="BJ4" s="122"/>
      <c r="BK4" s="122"/>
      <c r="BL4" s="171"/>
      <c r="BM4" s="171"/>
      <c r="BN4" s="125"/>
      <c r="BO4" s="123" t="str">
        <f>IFERROR(__xludf.DUMMYFUNCTION("""COMPUTED_VALUE"""),"Sum DG KVA Need change Oil ")</f>
        <v>Sum DG KVA Need change Oil </v>
      </c>
      <c r="BP4" s="125"/>
      <c r="BQ4" s="125"/>
      <c r="BR4" s="125"/>
      <c r="BS4" s="123">
        <f>IFERROR(__xludf.DUMMYFUNCTION("""COMPUTED_VALUE"""),8.0)</f>
        <v>8</v>
      </c>
      <c r="BT4" s="123">
        <f>IFERROR(__xludf.DUMMYFUNCTION("""COMPUTED_VALUE"""),12.0)</f>
        <v>12</v>
      </c>
      <c r="BU4" s="123">
        <f>IFERROR(__xludf.DUMMYFUNCTION("""COMPUTED_VALUE"""),30.0)</f>
        <v>30</v>
      </c>
      <c r="BV4" s="123" t="str">
        <f>IFERROR(__xludf.DUMMYFUNCTION("""COMPUTED_VALUE"""),"12D")</f>
        <v>12D</v>
      </c>
      <c r="BW4" s="126"/>
      <c r="BX4" s="154"/>
      <c r="BY4" s="172">
        <f>IFERROR(__xludf.DUMMYFUNCTION("""COMPUTED_VALUE"""),145.43974537037138)</f>
        <v>145.4397454</v>
      </c>
      <c r="BZ4" s="130">
        <f>IFERROR(__xludf.DUMMYFUNCTION("""COMPUTED_VALUE"""),46205.0)</f>
        <v>46205</v>
      </c>
      <c r="CA4" s="131"/>
      <c r="CB4" s="129" t="str">
        <f>IFERROR(__xludf.DUMMYFUNCTION("""COMPUTED_VALUE"""),"Sum DG KVA Need change water Coolant")</f>
        <v>Sum DG KVA Need change water Coolant</v>
      </c>
      <c r="CC4" s="131"/>
      <c r="CD4" s="131"/>
      <c r="CE4" s="131"/>
      <c r="CF4" s="129">
        <f>IFERROR(__xludf.DUMMYFUNCTION("""COMPUTED_VALUE"""),8.0)</f>
        <v>8</v>
      </c>
      <c r="CG4" s="129">
        <f>IFERROR(__xludf.DUMMYFUNCTION("""COMPUTED_VALUE"""),12.0)</f>
        <v>12</v>
      </c>
      <c r="CH4" s="129">
        <f>IFERROR(__xludf.DUMMYFUNCTION("""COMPUTED_VALUE"""),30.0)</f>
        <v>30</v>
      </c>
      <c r="CI4" s="129" t="str">
        <f>IFERROR(__xludf.DUMMYFUNCTION("""COMPUTED_VALUE"""),"12D")</f>
        <v>12D</v>
      </c>
      <c r="CJ4" s="132"/>
    </row>
    <row r="5">
      <c r="A5" s="173">
        <f>IFERROR(__xludf.DUMMYFUNCTION("""COMPUTED_VALUE"""),59.0)</f>
        <v>59</v>
      </c>
      <c r="B5" s="173">
        <f>IFERROR(__xludf.DUMMYFUNCTION("""COMPUTED_VALUE"""),2.0)</f>
        <v>2</v>
      </c>
      <c r="C5" s="174" t="str">
        <f>IFERROR(__xludf.DUMMYFUNCTION("""COMPUTED_VALUE"""),"Cable Patrol for (AC)")</f>
        <v>Cable Patrol for (AC)</v>
      </c>
      <c r="D5" s="173" t="str">
        <f>IFERROR(__xludf.DUMMYFUNCTION("""COMPUTED_VALUE"""),"Total: 30 | TNI0115, TNI0040, TNI0208, TNI0189, TNI0197, TNI0326, TNI0201, TNI0390, TNI0309, TNI0006, TNI0314, TNI0312, TNI0273, TNI0198, TNI0288, TNI0046, TNI0194, TNI0019, TNI0331, TNI0424, TNI0078, TNI0129, TNI0210, TNI0322, TNI0213, TNI0357, TNI0319, "&amp;"TNI0185, TNI0147, TNI0146")</f>
        <v>Total: 30 | TNI0115, TNI0040, TNI0208, TNI0189, TNI0197, TNI0326, TNI0201, TNI0390, TNI0309, TNI0006, TNI0314, TNI0312, TNI0273, TNI0198, TNI0288, TNI0046, TNI0194, TNI0019, TNI0331, TNI0424, TNI0078, TNI0129, TNI0210, TNI0322, TNI0213, TNI0357, TNI0319, TNI0185, TNI0147, TNI0146</v>
      </c>
      <c r="E5" s="173" t="str">
        <f>IFERROR(__xludf.DUMMYFUNCTION("""COMPUTED_VALUE"""),"Total: 15 | TNI0280, TNI0349, TNI0339, TNI0036, TNI0277, TNI0108, TNI0075, TNI0323, TNI0324, TNI0291, TNI0122, TNI0127, TNI0336, TNI0281, TNI0164")</f>
        <v>Total: 15 | TNI0280, TNI0349, TNI0339, TNI0036, TNI0277, TNI0108, TNI0075, TNI0323, TNI0324, TNI0291, TNI0122, TNI0127, TNI0336, TNI0281, TNI0164</v>
      </c>
      <c r="F5" s="173" t="str">
        <f>IFERROR(__xludf.DUMMYFUNCTION("""COMPUTED_VALUE"""),"Total: 6 | TNI0348, TNI0345, TNI0136, TNI0105, TNI0292, TNI0341")</f>
        <v>Total: 6 | TNI0348, TNI0345, TNI0136, TNI0105, TNI0292, TNI0341</v>
      </c>
      <c r="G5" s="173" t="str">
        <f>IFERROR(__xludf.DUMMYFUNCTION("""COMPUTED_VALUE"""),"Total: 8 | TNI0064, TNI0017, TNI0012, TNI0350, TNI0154, TNI0282, TNI0123, TNI0063")</f>
        <v>Total: 8 | TNI0064, TNI0017, TNI0012, TNI0350, TNI0154, TNI0282, TNI0123, TNI0063</v>
      </c>
      <c r="H5" s="173" t="str">
        <f>IFERROR(__xludf.DUMMYFUNCTION("""COMPUTED_VALUE"""),"-")</f>
        <v>-</v>
      </c>
      <c r="K5" s="175" t="str">
        <f>IFERROR(__xludf.DUMMYFUNCTION("""COMPUTED_VALUE"""),"Asset")</f>
        <v>Asset</v>
      </c>
      <c r="L5" s="175" t="str">
        <f>IFERROR(__xludf.DUMMYFUNCTION("""COMPUTED_VALUE"""),"Inventory Site")</f>
        <v>Inventory Site</v>
      </c>
      <c r="M5" s="115" t="str">
        <f>IFERROR(__xludf.DUMMYFUNCTION("""COMPUTED_VALUE"""),"Team 1 Plan Site need finish week 48 =&gt; : 42, Cable Plan need finish week 48 =&gt; : 49, MW Plan need finish week 48 =&gt; : 7 + Support Team 1 must complete the inventory count before the weekly deadline. + Team 1 must work together to conduct an inventory of "&amp;"the warehouse.")</f>
        <v>Team 1 Plan Site need finish week 48 =&gt; : 42, Cable Plan need finish week 48 =&gt; : 49, MW Plan need finish week 48 =&gt; : 7 + Support Team 1 must complete the inventory count before the weekly deadline. + Team 1 must work together to conduct an inventory of the warehouse.</v>
      </c>
      <c r="N5" s="115" t="str">
        <f>IFERROR(__xludf.DUMMYFUNCTION("""COMPUTED_VALUE"""),"Team 2 Plan Site need finish week 48 =&gt; : 49,Cable Plan need finish week 48 =&gt; : 49,MW Plan need finish week 48 =&gt; : 28 + Team 2 plan need inentory week 51= Site: 49&amp;=&amp; Cable: 84&amp;=&amp; MW: 49 + Team 2's supervisor must complete the inventory count before the"&amp;" weekly deadline. + Team 2 plan need inentory week 51= Site: 49&amp;=&amp; Cable: 84&amp;=&amp; MW: 49")</f>
        <v>Team 2 Plan Site need finish week 48 =&gt; : 49,Cable Plan need finish week 48 =&gt; : 49,MW Plan need finish week 48 =&gt; : 28 + Team 2 plan need inentory week 51= Site: 49&amp;=&amp; Cable: 84&amp;=&amp; MW: 49 + Team 2's supervisor must complete the inventory count before the weekly deadline. + Team 2 plan need inentory week 51= Site: 49&amp;=&amp; Cable: 84&amp;=&amp; MW: 49</v>
      </c>
      <c r="O5" s="115" t="str">
        <f>IFERROR(__xludf.DUMMYFUNCTION("""COMPUTED_VALUE"""),"Team 3 Plan Site need finish week 48 =&gt; : 14,Cable Plan need finish week 48 =&gt; : 21,MW Plan need finish week 48 =&gt; : 0 + Team 3 plan need inentory week 48= Site: 14&amp;=&amp; Cable: 21&amp;=&amp; MW: 7")</f>
        <v>Team 3 Plan Site need finish week 48 =&gt; : 14,Cable Plan need finish week 48 =&gt; : 21,MW Plan need finish week 48 =&gt; : 0 + Team 3 plan need inentory week 48= Site: 14&amp;=&amp; Cable: 21&amp;=&amp; MW: 7</v>
      </c>
      <c r="P5" s="115" t="str">
        <f>IFERROR(__xludf.DUMMYFUNCTION("""COMPUTED_VALUE"""),"Team 4 Plan Site need finish week 48 =&gt; : 14,Cable Plan need finish week 48 =&gt; : 21,MW Plan need finish week 48 =&gt; : 0 + Team 4 plan need inentory week 48= Site: 14&amp;=&amp; Cable: 28&amp;=&amp; MW: 7")</f>
        <v>Team 4 Plan Site need finish week 48 =&gt; : 14,Cable Plan need finish week 48 =&gt; : 21,MW Plan need finish week 48 =&gt; : 0 + Team 4 plan need inentory week 48= Site: 14&amp;=&amp; Cable: 28&amp;=&amp; MW: 7</v>
      </c>
      <c r="S5" s="176"/>
      <c r="T5" s="177" t="str">
        <f>IFERROR(__xludf.DUMMYFUNCTION("""COMPUTED_VALUE"""),"02/07/2026: Have new data input: 1")</f>
        <v>02/07/2026: Have new data input: 1</v>
      </c>
      <c r="U5" s="178">
        <f>IFERROR(__xludf.DUMMYFUNCTION("""COMPUTED_VALUE"""),32.0)</f>
        <v>32</v>
      </c>
      <c r="V5" s="178">
        <f>IFERROR(__xludf.DUMMYFUNCTION("""COMPUTED_VALUE"""),21.0)</f>
        <v>21</v>
      </c>
      <c r="W5" s="178">
        <f>IFERROR(__xludf.DUMMYFUNCTION("""COMPUTED_VALUE"""),6.0)</f>
        <v>6</v>
      </c>
      <c r="X5" s="178">
        <f>IFERROR(__xludf.DUMMYFUNCTION("""COMPUTED_VALUE"""),13.0)</f>
        <v>13</v>
      </c>
      <c r="Y5" s="178">
        <f>IFERROR(__xludf.DUMMYFUNCTION("""COMPUTED_VALUE"""),0.0)</f>
        <v>0</v>
      </c>
      <c r="Z5" s="179"/>
      <c r="AA5" s="180">
        <f>IFERROR(__xludf.DUMMYFUNCTION("""COMPUTED_VALUE"""),6.0)</f>
        <v>6</v>
      </c>
      <c r="AB5" s="180">
        <f>IFERROR(__xludf.DUMMYFUNCTION("""COMPUTED_VALUE"""),6.0)</f>
        <v>6</v>
      </c>
      <c r="AC5" s="180">
        <f>IFERROR(__xludf.DUMMYFUNCTION("""COMPUTED_VALUE"""),4.0)</f>
        <v>4</v>
      </c>
      <c r="AD5" s="180">
        <f>IFERROR(__xludf.DUMMYFUNCTION("""COMPUTED_VALUE"""),4.0)</f>
        <v>4</v>
      </c>
      <c r="AE5" s="180">
        <f>IFERROR(__xludf.DUMMYFUNCTION("""COMPUTED_VALUE"""),0.0)</f>
        <v>0</v>
      </c>
      <c r="AF5" s="121"/>
      <c r="AG5" s="121"/>
      <c r="AH5" s="181"/>
      <c r="AI5" s="182" t="str">
        <f>IFERROR(__xludf.DUMMYFUNCTION("""COMPUTED_VALUE"""),"02/07/2026: Have new data input: 1")</f>
        <v>02/07/2026: Have new data input: 1</v>
      </c>
      <c r="AJ5" s="183">
        <f>IFERROR(__xludf.DUMMYFUNCTION("""COMPUTED_VALUE"""),32.0)</f>
        <v>32</v>
      </c>
      <c r="AK5" s="183">
        <f>IFERROR(__xludf.DUMMYFUNCTION("""COMPUTED_VALUE"""),21.0)</f>
        <v>21</v>
      </c>
      <c r="AL5" s="183">
        <f>IFERROR(__xludf.DUMMYFUNCTION("""COMPUTED_VALUE"""),4.0)</f>
        <v>4</v>
      </c>
      <c r="AM5" s="183">
        <f>IFERROR(__xludf.DUMMYFUNCTION("""COMPUTED_VALUE"""),13.0)</f>
        <v>13</v>
      </c>
      <c r="AN5" s="183">
        <f>IFERROR(__xludf.DUMMYFUNCTION("""COMPUTED_VALUE"""),0.0)</f>
        <v>0</v>
      </c>
      <c r="AO5" s="184"/>
      <c r="AP5" s="185">
        <f>IFERROR(__xludf.DUMMYFUNCTION("""COMPUTED_VALUE"""),6.0)</f>
        <v>6</v>
      </c>
      <c r="AQ5" s="185">
        <f>IFERROR(__xludf.DUMMYFUNCTION("""COMPUTED_VALUE"""),7.0)</f>
        <v>7</v>
      </c>
      <c r="AR5" s="185">
        <f>IFERROR(__xludf.DUMMYFUNCTION("""COMPUTED_VALUE"""),4.0)</f>
        <v>4</v>
      </c>
      <c r="AS5" s="185">
        <f>IFERROR(__xludf.DUMMYFUNCTION("""COMPUTED_VALUE"""),4.0)</f>
        <v>4</v>
      </c>
      <c r="AT5" s="185">
        <f>IFERROR(__xludf.DUMMYFUNCTION("""COMPUTED_VALUE"""),0.0)</f>
        <v>0</v>
      </c>
      <c r="AU5" s="122"/>
      <c r="AV5" s="122"/>
      <c r="AW5" s="181"/>
      <c r="AX5" s="182" t="str">
        <f>IFERROR(__xludf.DUMMYFUNCTION("""COMPUTED_VALUE"""),"02/07/2026: Have new data input: 1")</f>
        <v>02/07/2026: Have new data input: 1</v>
      </c>
      <c r="AY5" s="186">
        <f>IFERROR(__xludf.DUMMYFUNCTION("""COMPUTED_VALUE"""),18.0)</f>
        <v>18</v>
      </c>
      <c r="AZ5" s="186">
        <f>IFERROR(__xludf.DUMMYFUNCTION("""COMPUTED_VALUE"""),11.0)</f>
        <v>11</v>
      </c>
      <c r="BA5" s="186">
        <f>IFERROR(__xludf.DUMMYFUNCTION("""COMPUTED_VALUE"""),3.0)</f>
        <v>3</v>
      </c>
      <c r="BB5" s="186">
        <f>IFERROR(__xludf.DUMMYFUNCTION("""COMPUTED_VALUE"""),6.0)</f>
        <v>6</v>
      </c>
      <c r="BC5" s="186">
        <f>IFERROR(__xludf.DUMMYFUNCTION("""COMPUTED_VALUE"""),0.0)</f>
        <v>0</v>
      </c>
      <c r="BD5" s="187"/>
      <c r="BE5" s="185">
        <f>IFERROR(__xludf.DUMMYFUNCTION("""COMPUTED_VALUE"""),6.0)</f>
        <v>6</v>
      </c>
      <c r="BF5" s="185">
        <f>IFERROR(__xludf.DUMMYFUNCTION("""COMPUTED_VALUE"""),2.0)</f>
        <v>2</v>
      </c>
      <c r="BG5" s="185">
        <f>IFERROR(__xludf.DUMMYFUNCTION("""COMPUTED_VALUE"""),4.0)</f>
        <v>4</v>
      </c>
      <c r="BH5" s="185">
        <f>IFERROR(__xludf.DUMMYFUNCTION("""COMPUTED_VALUE"""),2.0)</f>
        <v>2</v>
      </c>
      <c r="BI5" s="185">
        <f>IFERROR(__xludf.DUMMYFUNCTION("""COMPUTED_VALUE"""),0.0)</f>
        <v>0</v>
      </c>
      <c r="BJ5" s="122"/>
      <c r="BK5" s="122"/>
      <c r="BL5" s="125"/>
      <c r="BM5" s="188" t="str">
        <f>IFERROR(__xludf.DUMMYFUNCTION("""COMPUTED_VALUE"""),"02/07/2026: Have new data input: 1")</f>
        <v>02/07/2026: Have new data input: 1</v>
      </c>
      <c r="BN5" s="125"/>
      <c r="BO5" s="125"/>
      <c r="BP5" s="125"/>
      <c r="BQ5" s="125"/>
      <c r="BR5" s="125"/>
      <c r="BS5" s="189">
        <f>IFERROR(__xludf.DUMMYFUNCTION("""COMPUTED_VALUE"""),12.0)</f>
        <v>12</v>
      </c>
      <c r="BT5" s="189">
        <f>IFERROR(__xludf.DUMMYFUNCTION("""COMPUTED_VALUE"""),9.0)</f>
        <v>9</v>
      </c>
      <c r="BU5" s="189">
        <f>IFERROR(__xludf.DUMMYFUNCTION("""COMPUTED_VALUE"""),4.0)</f>
        <v>4</v>
      </c>
      <c r="BV5" s="189">
        <f>IFERROR(__xludf.DUMMYFUNCTION("""COMPUTED_VALUE"""),6.0)</f>
        <v>6</v>
      </c>
      <c r="BW5" s="190">
        <f>IFERROR(__xludf.DUMMYFUNCTION("""COMPUTED_VALUE"""),0.0)</f>
        <v>0</v>
      </c>
      <c r="BX5" s="154"/>
      <c r="BY5" s="131"/>
      <c r="BZ5" s="191" t="str">
        <f>IFERROR(__xludf.DUMMYFUNCTION("""COMPUTED_VALUE"""),"02/07/2026: Have new data input: 1")</f>
        <v>02/07/2026: Have new data input: 1</v>
      </c>
      <c r="CA5" s="131"/>
      <c r="CB5" s="131"/>
      <c r="CC5" s="131"/>
      <c r="CD5" s="131"/>
      <c r="CE5" s="131"/>
      <c r="CF5" s="192">
        <f>IFERROR(__xludf.DUMMYFUNCTION("""COMPUTED_VALUE"""),1.0)</f>
        <v>1</v>
      </c>
      <c r="CG5" s="192">
        <f>IFERROR(__xludf.DUMMYFUNCTION("""COMPUTED_VALUE"""),0.0)</f>
        <v>0</v>
      </c>
      <c r="CH5" s="192">
        <f>IFERROR(__xludf.DUMMYFUNCTION("""COMPUTED_VALUE"""),0.0)</f>
        <v>0</v>
      </c>
      <c r="CI5" s="192">
        <f>IFERROR(__xludf.DUMMYFUNCTION("""COMPUTED_VALUE"""),1.0)</f>
        <v>1</v>
      </c>
      <c r="CJ5" s="193">
        <f>IFERROR(__xludf.DUMMYFUNCTION("""COMPUTED_VALUE"""),0.0)</f>
        <v>0</v>
      </c>
    </row>
    <row r="6">
      <c r="A6" s="156">
        <f>IFERROR(__xludf.DUMMYFUNCTION("""COMPUTED_VALUE"""),41.0)</f>
        <v>41</v>
      </c>
      <c r="B6" s="156">
        <f>IFERROR(__xludf.DUMMYFUNCTION("""COMPUTED_VALUE"""),3.0)</f>
        <v>3</v>
      </c>
      <c r="C6" s="194" t="str">
        <f>IFERROR(__xludf.DUMMYFUNCTION("""COMPUTED_VALUE"""),"Cable routes measure-AC")</f>
        <v>Cable routes measure-AC</v>
      </c>
      <c r="D6" s="156" t="str">
        <f>IFERROR(__xludf.DUMMYFUNCTION("""COMPUTED_VALUE"""),"Total: 17 | TNI0273, TNI0046, TNI0198, TNI0424, TNI0019, TNI0319, TNI0147, TNI0357, TNI0150, TNI0206, TNI0322, TNI0146, TNI0148, TNI0115, TNI0213, TNI0185, TNI0210")</f>
        <v>Total: 17 | TNI0273, TNI0046, TNI0198, TNI0424, TNI0019, TNI0319, TNI0147, TNI0357, TNI0150, TNI0206, TNI0322, TNI0146, TNI0148, TNI0115, TNI0213, TNI0185, TNI0210</v>
      </c>
      <c r="E6" s="156" t="str">
        <f>IFERROR(__xludf.DUMMYFUNCTION("""COMPUTED_VALUE"""),"Total: 11 | TNI0002, TNI0279, TNI0029, TNI0280, TNI0003, TNI0028, TNI0091, TNI0290, TNI0001, TNI0044, TNI0239")</f>
        <v>Total: 11 | TNI0002, TNI0279, TNI0029, TNI0280, TNI0003, TNI0028, TNI0091, TNI0290, TNI0001, TNI0044, TNI0239</v>
      </c>
      <c r="F6" s="195" t="str">
        <f>IFERROR(__xludf.DUMMYFUNCTION("""COMPUTED_VALUE"""),"Total: 4 | TNI0103, TNI0179, TNI0079, TNI0212")</f>
        <v>Total: 4 | TNI0103, TNI0179, TNI0079, TNI0212</v>
      </c>
      <c r="G6" s="156" t="str">
        <f>IFERROR(__xludf.DUMMYFUNCTION("""COMPUTED_VALUE"""),"Total: 9 | TNI0120, TNI0350, TNI0355, TNI0037, TNI0123, TNI0057, TNI0295, TNI0202, TNI0011")</f>
        <v>Total: 9 | TNI0120, TNI0350, TNI0355, TNI0037, TNI0123, TNI0057, TNI0295, TNI0202, TNI0011</v>
      </c>
      <c r="H6" s="156" t="str">
        <f>IFERROR(__xludf.DUMMYFUNCTION("""COMPUTED_VALUE"""),"-")</f>
        <v>-</v>
      </c>
      <c r="K6" s="120" t="str">
        <f>IFERROR(__xludf.DUMMYFUNCTION("""COMPUTED_VALUE"""),"Asset")</f>
        <v>Asset</v>
      </c>
      <c r="L6" s="120" t="str">
        <f>IFERROR(__xludf.DUMMYFUNCTION("""COMPUTED_VALUE"""),"Inventory Team")</f>
        <v>Inventory Team</v>
      </c>
      <c r="M6" s="159" t="str">
        <f>IFERROR(__xludf.DUMMYFUNCTION("""COMPUTED_VALUE"""),"Inventory NOC-ROT-TOOL VCM-MYTEL Team 1 + Organize the Branch warehouse and Team 1 warehouse according to 5S guidelines.")</f>
        <v>Inventory NOC-ROT-TOOL VCM-MYTEL Team 1 + Organize the Branch warehouse and Team 1 warehouse according to 5S guidelines.</v>
      </c>
      <c r="N6" s="159" t="str">
        <f>IFERROR(__xludf.DUMMYFUNCTION("""COMPUTED_VALUE"""),"Inventory NOC-ROT-TOOL VCM-MYTEL Team 2 + Team 2 must work together to conduct an inventory of the warehouse.")</f>
        <v>Inventory NOC-ROT-TOOL VCM-MYTEL Team 2 + Team 2 must work together to conduct an inventory of the warehouse.</v>
      </c>
      <c r="O6" s="159" t="str">
        <f>IFERROR(__xludf.DUMMYFUNCTION("""COMPUTED_VALUE"""),"Inventory NOC-ROT-TOOL VCM-MYTEL Team 3")</f>
        <v>Inventory NOC-ROT-TOOL VCM-MYTEL Team 3</v>
      </c>
      <c r="P6" s="119" t="str">
        <f>IFERROR(__xludf.DUMMYFUNCTION("""COMPUTED_VALUE"""),"-")</f>
        <v>-</v>
      </c>
      <c r="S6" s="196" t="str">
        <f>IFERROR(__xludf.DUMMYFUNCTION("""COMPUTED_VALUE"""),"T2")</f>
        <v>T2</v>
      </c>
      <c r="T6" s="197" t="str">
        <f>IFERROR(__xludf.DUMMYFUNCTION("""COMPUTED_VALUE"""),"myt_maung.maung11")</f>
        <v>myt_maung.maung11</v>
      </c>
      <c r="U6" s="198">
        <f>IFERROR(__xludf.DUMMYFUNCTION("""COMPUTED_VALUE"""),0.0)</f>
        <v>0</v>
      </c>
      <c r="V6" s="198">
        <f>IFERROR(__xludf.DUMMYFUNCTION("""COMPUTED_VALUE"""),1.0)</f>
        <v>1</v>
      </c>
      <c r="W6" s="198">
        <f>IFERROR(__xludf.DUMMYFUNCTION("""COMPUTED_VALUE"""),2.0)</f>
        <v>2</v>
      </c>
      <c r="X6" s="199">
        <f>IFERROR(__xludf.DUMMYFUNCTION("""COMPUTED_VALUE"""),1.0)</f>
        <v>1</v>
      </c>
      <c r="Y6" s="199">
        <f>IFERROR(__xludf.DUMMYFUNCTION("""COMPUTED_VALUE"""),0.0)</f>
        <v>0</v>
      </c>
      <c r="Z6" s="200" t="str">
        <f>IFERROR(__xludf.DUMMYFUNCTION("""COMPUTED_VALUE"""),"8KVA: 1 &lt;+&gt; 12KVA: 2 &lt;+&gt; 30KVA: 1 &lt;+&gt; 12DKVA: 1")</f>
        <v>8KVA: 1 &lt;+&gt; 12KVA: 2 &lt;+&gt; 30KVA: 1 &lt;+&gt; 12DKVA: 1</v>
      </c>
      <c r="AA6" s="201">
        <f>IFERROR(__xludf.DUMMYFUNCTION("""COMPUTED_VALUE"""),0.0)</f>
        <v>0</v>
      </c>
      <c r="AB6" s="201">
        <f>IFERROR(__xludf.DUMMYFUNCTION("""COMPUTED_VALUE"""),0.0)</f>
        <v>0</v>
      </c>
      <c r="AC6" s="201">
        <f>IFERROR(__xludf.DUMMYFUNCTION("""COMPUTED_VALUE"""),1.0)</f>
        <v>1</v>
      </c>
      <c r="AD6" s="201">
        <f>IFERROR(__xludf.DUMMYFUNCTION("""COMPUTED_VALUE"""),1.0)</f>
        <v>1</v>
      </c>
      <c r="AE6" s="201">
        <f>IFERROR(__xludf.DUMMYFUNCTION("""COMPUTED_VALUE"""),0.0)</f>
        <v>0</v>
      </c>
      <c r="AF6" s="122"/>
      <c r="AG6" s="122"/>
      <c r="AH6" s="196" t="str">
        <f>IFERROR(__xludf.DUMMYFUNCTION("""COMPUTED_VALUE"""),"T2")</f>
        <v>T2</v>
      </c>
      <c r="AI6" s="197" t="str">
        <f>IFERROR(__xludf.DUMMYFUNCTION("""COMPUTED_VALUE"""),"myt_maung.maung11")</f>
        <v>myt_maung.maung11</v>
      </c>
      <c r="AJ6" s="198">
        <f>IFERROR(__xludf.DUMMYFUNCTION("""COMPUTED_VALUE"""),0.0)</f>
        <v>0</v>
      </c>
      <c r="AK6" s="198">
        <f>IFERROR(__xludf.DUMMYFUNCTION("""COMPUTED_VALUE"""),1.0)</f>
        <v>1</v>
      </c>
      <c r="AL6" s="198">
        <f>IFERROR(__xludf.DUMMYFUNCTION("""COMPUTED_VALUE"""),1.0)</f>
        <v>1</v>
      </c>
      <c r="AM6" s="199">
        <f>IFERROR(__xludf.DUMMYFUNCTION("""COMPUTED_VALUE"""),1.0)</f>
        <v>1</v>
      </c>
      <c r="AN6" s="199">
        <f>IFERROR(__xludf.DUMMYFUNCTION("""COMPUTED_VALUE"""),0.0)</f>
        <v>0</v>
      </c>
      <c r="AO6" s="200" t="str">
        <f>IFERROR(__xludf.DUMMYFUNCTION("""COMPUTED_VALUE"""),"8KVA: 0 &lt;+&gt; 12KVA: 2 &lt;+&gt; 30KVA: 1 &lt;+&gt; 12DKVA: 1")</f>
        <v>8KVA: 0 &lt;+&gt; 12KVA: 2 &lt;+&gt; 30KVA: 1 &lt;+&gt; 12DKVA: 1</v>
      </c>
      <c r="AP6" s="164">
        <f>IFERROR(__xludf.DUMMYFUNCTION("""COMPUTED_VALUE"""),0.0)</f>
        <v>0</v>
      </c>
      <c r="AQ6" s="164">
        <f>IFERROR(__xludf.DUMMYFUNCTION("""COMPUTED_VALUE"""),0.0)</f>
        <v>0</v>
      </c>
      <c r="AR6" s="164">
        <f>IFERROR(__xludf.DUMMYFUNCTION("""COMPUTED_VALUE"""),1.0)</f>
        <v>1</v>
      </c>
      <c r="AS6" s="164">
        <f>IFERROR(__xludf.DUMMYFUNCTION("""COMPUTED_VALUE"""),1.0)</f>
        <v>1</v>
      </c>
      <c r="AT6" s="164">
        <f>IFERROR(__xludf.DUMMYFUNCTION("""COMPUTED_VALUE"""),0.0)</f>
        <v>0</v>
      </c>
      <c r="AU6" s="122"/>
      <c r="AV6" s="122"/>
      <c r="AW6" s="196" t="str">
        <f>IFERROR(__xludf.DUMMYFUNCTION("""COMPUTED_VALUE"""),"T2")</f>
        <v>T2</v>
      </c>
      <c r="AX6" s="197" t="str">
        <f>IFERROR(__xludf.DUMMYFUNCTION("""COMPUTED_VALUE"""),"myt_maung.maung11")</f>
        <v>myt_maung.maung11</v>
      </c>
      <c r="AY6" s="198">
        <f>IFERROR(__xludf.DUMMYFUNCTION("""COMPUTED_VALUE"""),0.0)</f>
        <v>0</v>
      </c>
      <c r="AZ6" s="198">
        <f>IFERROR(__xludf.DUMMYFUNCTION("""COMPUTED_VALUE"""),0.0)</f>
        <v>0</v>
      </c>
      <c r="BA6" s="198">
        <f>IFERROR(__xludf.DUMMYFUNCTION("""COMPUTED_VALUE"""),1.0)</f>
        <v>1</v>
      </c>
      <c r="BB6" s="199">
        <f>IFERROR(__xludf.DUMMYFUNCTION("""COMPUTED_VALUE"""),1.0)</f>
        <v>1</v>
      </c>
      <c r="BC6" s="199">
        <f>IFERROR(__xludf.DUMMYFUNCTION("""COMPUTED_VALUE"""),0.0)</f>
        <v>0</v>
      </c>
      <c r="BD6" s="200" t="str">
        <f>IFERROR(__xludf.DUMMYFUNCTION("""COMPUTED_VALUE"""),"8KVA: 0 &lt;+&gt; 12KVA: 0 &lt;+&gt; 30KVA: 1 &lt;+&gt; 12DKVA: 0")</f>
        <v>8KVA: 0 &lt;+&gt; 12KVA: 0 &lt;+&gt; 30KVA: 1 &lt;+&gt; 12DKVA: 0</v>
      </c>
      <c r="BE6" s="201">
        <f>IFERROR(__xludf.DUMMYFUNCTION("""COMPUTED_VALUE"""),0.0)</f>
        <v>0</v>
      </c>
      <c r="BF6" s="201">
        <f>IFERROR(__xludf.DUMMYFUNCTION("""COMPUTED_VALUE"""),0.0)</f>
        <v>0</v>
      </c>
      <c r="BG6" s="201">
        <f>IFERROR(__xludf.DUMMYFUNCTION("""COMPUTED_VALUE"""),1.0)</f>
        <v>1</v>
      </c>
      <c r="BH6" s="201">
        <f>IFERROR(__xludf.DUMMYFUNCTION("""COMPUTED_VALUE"""),0.0)</f>
        <v>0</v>
      </c>
      <c r="BI6" s="201">
        <f>IFERROR(__xludf.DUMMYFUNCTION("""COMPUTED_VALUE"""),0.0)</f>
        <v>0</v>
      </c>
      <c r="BJ6" s="122"/>
      <c r="BK6" s="122"/>
      <c r="BL6" s="202" t="str">
        <f>IFERROR(__xludf.DUMMYFUNCTION("""COMPUTED_VALUE"""),"T2")</f>
        <v>T2</v>
      </c>
      <c r="BM6" s="203" t="str">
        <f>IFERROR(__xludf.DUMMYFUNCTION("""COMPUTED_VALUE"""),"myt_maung.maung11")</f>
        <v>myt_maung.maung11</v>
      </c>
      <c r="BN6" s="204" t="str">
        <f>IFERROR(__xludf.DUMMYFUNCTION("""COMPUTED_VALUE"""),"")</f>
        <v/>
      </c>
      <c r="BO6" s="205" t="str">
        <f>IFERROR(__xludf.DUMMYFUNCTION("""COMPUTED_VALUE"""),"8KVA: 1 &lt;+&gt; 12KVA: 2 &lt;+&gt; 30KVA: 1 &lt;+&gt; 12DKVA: 3")</f>
        <v>8KVA: 1 &lt;+&gt; 12KVA: 2 &lt;+&gt; 30KVA: 1 &lt;+&gt; 12DKVA: 3</v>
      </c>
      <c r="BP6" s="205">
        <f>IFERROR(__xludf.DUMMYFUNCTION("""COMPUTED_VALUE"""),52.4)</f>
        <v>52.4</v>
      </c>
      <c r="BQ6" s="205">
        <f>IFERROR(__xludf.DUMMYFUNCTION("""COMPUTED_VALUE"""),3.400000000000034)</f>
        <v>3.4</v>
      </c>
      <c r="BR6" s="205">
        <f>IFERROR(__xludf.DUMMYFUNCTION("""COMPUTED_VALUE"""),-48.999999999999964)</f>
        <v>-49</v>
      </c>
      <c r="BS6" s="206">
        <f>IFERROR(__xludf.DUMMYFUNCTION("""COMPUTED_VALUE"""),0.0)</f>
        <v>0</v>
      </c>
      <c r="BT6" s="206">
        <f>IFERROR(__xludf.DUMMYFUNCTION("""COMPUTED_VALUE"""),0.0)</f>
        <v>0</v>
      </c>
      <c r="BU6" s="206">
        <f>IFERROR(__xludf.DUMMYFUNCTION("""COMPUTED_VALUE"""),1.0)</f>
        <v>1</v>
      </c>
      <c r="BV6" s="206">
        <f>IFERROR(__xludf.DUMMYFUNCTION("""COMPUTED_VALUE"""),1.0)</f>
        <v>1</v>
      </c>
      <c r="BW6" s="206">
        <f>IFERROR(__xludf.DUMMYFUNCTION("""COMPUTED_VALUE"""),0.0)</f>
        <v>0</v>
      </c>
      <c r="BX6" s="154"/>
      <c r="BY6" s="207" t="str">
        <f>IFERROR(__xludf.DUMMYFUNCTION("""COMPUTED_VALUE"""),"T2")</f>
        <v>T2</v>
      </c>
      <c r="BZ6" s="208" t="str">
        <f>IFERROR(__xludf.DUMMYFUNCTION("""COMPUTED_VALUE"""),"myt_maung.maung11")</f>
        <v>myt_maung.maung11</v>
      </c>
      <c r="CA6" s="209" t="str">
        <f>IFERROR(__xludf.DUMMYFUNCTION("""COMPUTED_VALUE"""),"")</f>
        <v/>
      </c>
      <c r="CB6" s="210" t="str">
        <f>IFERROR(__xludf.DUMMYFUNCTION("""COMPUTED_VALUE"""),"8KVA: 0 &lt;+&gt; 12KVA: 0 &lt;+&gt; 30KVA: 0 &lt;+&gt; 12DKVA: 0")</f>
        <v>8KVA: 0 &lt;+&gt; 12KVA: 0 &lt;+&gt; 30KVA: 0 &lt;+&gt; 12DKVA: 0</v>
      </c>
      <c r="CC6" s="205">
        <f>IFERROR(__xludf.DUMMYFUNCTION("""COMPUTED_VALUE"""),0.0)</f>
        <v>0</v>
      </c>
      <c r="CD6" s="205">
        <f>IFERROR(__xludf.DUMMYFUNCTION("""COMPUTED_VALUE"""),50.0)</f>
        <v>50</v>
      </c>
      <c r="CE6" s="210">
        <f>IFERROR(__xludf.DUMMYFUNCTION("""COMPUTED_VALUE"""),50.0)</f>
        <v>50</v>
      </c>
      <c r="CF6" s="206">
        <f>IFERROR(__xludf.DUMMYFUNCTION("""COMPUTED_VALUE"""),0.0)</f>
        <v>0</v>
      </c>
      <c r="CG6" s="206">
        <f>IFERROR(__xludf.DUMMYFUNCTION("""COMPUTED_VALUE"""),0.0)</f>
        <v>0</v>
      </c>
      <c r="CH6" s="206">
        <f>IFERROR(__xludf.DUMMYFUNCTION("""COMPUTED_VALUE"""),0.0)</f>
        <v>0</v>
      </c>
      <c r="CI6" s="206">
        <f>IFERROR(__xludf.DUMMYFUNCTION("""COMPUTED_VALUE"""),0.0)</f>
        <v>0</v>
      </c>
      <c r="CJ6" s="206">
        <f>IFERROR(__xludf.DUMMYFUNCTION("""COMPUTED_VALUE"""),0.0)</f>
        <v>0</v>
      </c>
    </row>
    <row r="7">
      <c r="A7" s="173">
        <f>IFERROR(__xludf.DUMMYFUNCTION("""COMPUTED_VALUE"""),8.0)</f>
        <v>8</v>
      </c>
      <c r="B7" s="173">
        <f>IFERROR(__xludf.DUMMYFUNCTION("""COMPUTED_VALUE"""),4.0)</f>
        <v>4</v>
      </c>
      <c r="C7" s="174" t="str">
        <f>IFERROR(__xludf.DUMMYFUNCTION("""COMPUTED_VALUE"""),"Cable routes measure-BB")</f>
        <v>Cable routes measure-BB</v>
      </c>
      <c r="D7" s="173" t="str">
        <f>IFERROR(__xludf.DUMMYFUNCTION("""COMPUTED_VALUE"""),"Total: 2 | TNI0006, TNI0013")</f>
        <v>Total: 2 | TNI0006, TNI0013</v>
      </c>
      <c r="E7" s="173" t="str">
        <f>IFERROR(__xludf.DUMMYFUNCTION("""COMPUTED_VALUE"""),"Total: 2 | TNI0001, TNI0003")</f>
        <v>Total: 2 | TNI0001, TNI0003</v>
      </c>
      <c r="F7" s="173" t="str">
        <f>IFERROR(__xludf.DUMMYFUNCTION("""COMPUTED_VALUE"""),"Total: 2 | TNI0015, TNI0009")</f>
        <v>Total: 2 | TNI0015, TNI0009</v>
      </c>
      <c r="G7" s="173" t="str">
        <f>IFERROR(__xludf.DUMMYFUNCTION("""COMPUTED_VALUE"""),"Total: 2 | TNI0012, TNI0015")</f>
        <v>Total: 2 | TNI0012, TNI0015</v>
      </c>
      <c r="H7" s="173" t="str">
        <f>IFERROR(__xludf.DUMMYFUNCTION("""COMPUTED_VALUE"""),"-")</f>
        <v>-</v>
      </c>
      <c r="K7" s="175" t="str">
        <f>IFERROR(__xludf.DUMMYFUNCTION("""COMPUTED_VALUE"""),"Asset")</f>
        <v>Asset</v>
      </c>
      <c r="L7" s="175" t="str">
        <f>IFERROR(__xludf.DUMMYFUNCTION("""COMPUTED_VALUE"""),"Materials use in station &amp; WO close ")</f>
        <v>Materials use in station &amp; WO close </v>
      </c>
      <c r="M7" s="115" t="str">
        <f>IFERROR(__xludf.DUMMYFUNCTION("""COMPUTED_VALUE"""),"WO_WFM-OTHERS_20260503_123172952 + WO_WFM-OTHERS_20260503_123172946 + WO_WFM-OTHERS_20260503_123172938 + WO_WFM-OTHERS_20260503_123173150 + WO_WFM-OTHERS_20260503_123173144 + WO_WFM-OTHERS_20260503_123172914 + WO_WFM-OTHERS_20260503_123173129 + WO_WFM-OTH"&amp;"ERS_20260503_123173121 + WO_WFM-OTHERS_20260503_123173082 + WO_WFM-OTHERS_20260503_123173077 + WO_WFM-OTHERS_20260503_123172873 + WO_WFM-OTHERS_20260503_123172864 + WO_WFM-OTHERS_20260503_123172860 + WO_WFM-OTHERS_20260503_123173051 + WO_WFM-OTHERS_202605"&amp;"03_123172841 + WO_WFM-OTHERS_20260503_123173044 + WO_WFM-OTHERS_20260503_123173036 + WO_WFM-OTHERS_20260503_123172505 + WO_WFM-OTHERS_20260503_123172491 + WO_WFM-OTHERS_20260503_123172482")</f>
        <v>WO_WFM-OTHERS_20260503_123172952 + WO_WFM-OTHERS_20260503_123172946 + WO_WFM-OTHERS_20260503_123172938 + WO_WFM-OTHERS_20260503_123173150 + WO_WFM-OTHERS_20260503_123173144 + WO_WFM-OTHERS_20260503_123172914 + WO_WFM-OTHERS_20260503_123173129 + WO_WFM-OTHERS_20260503_123173121 + WO_WFM-OTHERS_20260503_123173082 + WO_WFM-OTHERS_20260503_123173077 + WO_WFM-OTHERS_20260503_123172873 + WO_WFM-OTHERS_20260503_123172864 + WO_WFM-OTHERS_20260503_123172860 + WO_WFM-OTHERS_20260503_123173051 + WO_WFM-OTHERS_20260503_123172841 + WO_WFM-OTHERS_20260503_123173044 + WO_WFM-OTHERS_20260503_123173036 + WO_WFM-OTHERS_20260503_123172505 + WO_WFM-OTHERS_20260503_123172491 + WO_WFM-OTHERS_20260503_123172482</v>
      </c>
      <c r="N7" s="136" t="str">
        <f>IFERROR(__xludf.DUMMYFUNCTION("""COMPUTED_VALUE"""),"-")</f>
        <v>-</v>
      </c>
      <c r="O7" s="115" t="str">
        <f>IFERROR(__xludf.DUMMYFUNCTION("""COMPUTED_VALUE"""),"WO_WFM-OTHERS_20260503_123175308")</f>
        <v>WO_WFM-OTHERS_20260503_123175308</v>
      </c>
      <c r="P7" s="115" t="str">
        <f>IFERROR(__xludf.DUMMYFUNCTION("""COMPUTED_VALUE"""),"WO_WFM-OTHERS_20260503_123175461 + WO_WFM-OTHERS_20260503_123175301 + WO_WFM-OTHERS_20260503_123175450 + WO_WFM-OTHERS_20260503_123175443 + WO_WFM-OTHERS_20260503_123175431 + WO_WFM-OTHERS_20260503_123175276 + WO_WFM-OTHERS_20260503_123173528 + WO_WFM-OTH"&amp;"ERS_20260503_123173517 + WO_WFM-OTHERS_20260503_123173305 + WO_WFM-OTHERS_20260503_123173295 + WO_WFM-OTHERS_20260503_123173488 + WO_WFM-OTHERS_20260503_123173488")</f>
        <v>WO_WFM-OTHERS_20260503_123175461 + WO_WFM-OTHERS_20260503_123175301 + WO_WFM-OTHERS_20260503_123175450 + WO_WFM-OTHERS_20260503_123175443 + WO_WFM-OTHERS_20260503_123175431 + WO_WFM-OTHERS_20260503_123175276 + WO_WFM-OTHERS_20260503_123173528 + WO_WFM-OTHERS_20260503_123173517 + WO_WFM-OTHERS_20260503_123173305 + WO_WFM-OTHERS_20260503_123173295 + WO_WFM-OTHERS_20260503_123173488 + WO_WFM-OTHERS_20260503_123173488</v>
      </c>
      <c r="S7" s="211" t="str">
        <f>IFERROR(__xludf.DUMMYFUNCTION("""COMPUTED_VALUE"""),"T1")</f>
        <v>T1</v>
      </c>
      <c r="T7" s="212" t="str">
        <f>IFERROR(__xludf.DUMMYFUNCTION("""COMPUTED_VALUE"""),"myt_bhonehtet.aung")</f>
        <v>myt_bhonehtet.aung</v>
      </c>
      <c r="U7" s="199">
        <f>IFERROR(__xludf.DUMMYFUNCTION("""COMPUTED_VALUE"""),1.0)</f>
        <v>1</v>
      </c>
      <c r="V7" s="199">
        <f>IFERROR(__xludf.DUMMYFUNCTION("""COMPUTED_VALUE"""),0.0)</f>
        <v>0</v>
      </c>
      <c r="W7" s="199">
        <f>IFERROR(__xludf.DUMMYFUNCTION("""COMPUTED_VALUE"""),0.0)</f>
        <v>0</v>
      </c>
      <c r="X7" s="199">
        <f>IFERROR(__xludf.DUMMYFUNCTION("""COMPUTED_VALUE"""),0.0)</f>
        <v>0</v>
      </c>
      <c r="Y7" s="199">
        <f>IFERROR(__xludf.DUMMYFUNCTION("""COMPUTED_VALUE"""),0.0)</f>
        <v>0</v>
      </c>
      <c r="Z7" s="213" t="str">
        <f>IFERROR(__xludf.DUMMYFUNCTION("""COMPUTED_VALUE"""),"8KVA: 3 &lt;+&gt; 12KVA: 0 &lt;+&gt; 30KVA: 3 &lt;+&gt; 12DKVA: 1")</f>
        <v>8KVA: 3 &lt;+&gt; 12KVA: 0 &lt;+&gt; 30KVA: 3 &lt;+&gt; 12DKVA: 1</v>
      </c>
      <c r="AA7" s="201">
        <f>IFERROR(__xludf.DUMMYFUNCTION("""COMPUTED_VALUE"""),0.0)</f>
        <v>0</v>
      </c>
      <c r="AB7" s="214">
        <f>IFERROR(__xludf.DUMMYFUNCTION("""COMPUTED_VALUE"""),0.0)</f>
        <v>0</v>
      </c>
      <c r="AC7" s="214">
        <f>IFERROR(__xludf.DUMMYFUNCTION("""COMPUTED_VALUE"""),0.0)</f>
        <v>0</v>
      </c>
      <c r="AD7" s="214">
        <f>IFERROR(__xludf.DUMMYFUNCTION("""COMPUTED_VALUE"""),0.0)</f>
        <v>0</v>
      </c>
      <c r="AE7" s="201">
        <f>IFERROR(__xludf.DUMMYFUNCTION("""COMPUTED_VALUE"""),0.0)</f>
        <v>0</v>
      </c>
      <c r="AF7" s="122"/>
      <c r="AG7" s="122"/>
      <c r="AH7" s="211" t="str">
        <f>IFERROR(__xludf.DUMMYFUNCTION("""COMPUTED_VALUE"""),"T1")</f>
        <v>T1</v>
      </c>
      <c r="AI7" s="212" t="str">
        <f>IFERROR(__xludf.DUMMYFUNCTION("""COMPUTED_VALUE"""),"myt_bhonehtet.aung")</f>
        <v>myt_bhonehtet.aung</v>
      </c>
      <c r="AJ7" s="199">
        <f>IFERROR(__xludf.DUMMYFUNCTION("""COMPUTED_VALUE"""),1.0)</f>
        <v>1</v>
      </c>
      <c r="AK7" s="199">
        <f>IFERROR(__xludf.DUMMYFUNCTION("""COMPUTED_VALUE"""),0.0)</f>
        <v>0</v>
      </c>
      <c r="AL7" s="199">
        <f>IFERROR(__xludf.DUMMYFUNCTION("""COMPUTED_VALUE"""),0.0)</f>
        <v>0</v>
      </c>
      <c r="AM7" s="199">
        <f>IFERROR(__xludf.DUMMYFUNCTION("""COMPUTED_VALUE"""),0.0)</f>
        <v>0</v>
      </c>
      <c r="AN7" s="199">
        <f>IFERROR(__xludf.DUMMYFUNCTION("""COMPUTED_VALUE"""),0.0)</f>
        <v>0</v>
      </c>
      <c r="AO7" s="213" t="str">
        <f>IFERROR(__xludf.DUMMYFUNCTION("""COMPUTED_VALUE"""),"8KVA: 4 &lt;+&gt; 12KVA: 0 &lt;+&gt; 30KVA: 3 &lt;+&gt; 12DKVA: 1")</f>
        <v>8KVA: 4 &lt;+&gt; 12KVA: 0 &lt;+&gt; 30KVA: 3 &lt;+&gt; 12DKVA: 1</v>
      </c>
      <c r="AP7" s="164">
        <f>IFERROR(__xludf.DUMMYFUNCTION("""COMPUTED_VALUE"""),0.0)</f>
        <v>0</v>
      </c>
      <c r="AQ7" s="215">
        <f>IFERROR(__xludf.DUMMYFUNCTION("""COMPUTED_VALUE"""),0.0)</f>
        <v>0</v>
      </c>
      <c r="AR7" s="215">
        <f>IFERROR(__xludf.DUMMYFUNCTION("""COMPUTED_VALUE"""),0.0)</f>
        <v>0</v>
      </c>
      <c r="AS7" s="215">
        <f>IFERROR(__xludf.DUMMYFUNCTION("""COMPUTED_VALUE"""),0.0)</f>
        <v>0</v>
      </c>
      <c r="AT7" s="164">
        <f>IFERROR(__xludf.DUMMYFUNCTION("""COMPUTED_VALUE"""),0.0)</f>
        <v>0</v>
      </c>
      <c r="AU7" s="122"/>
      <c r="AV7" s="122"/>
      <c r="AW7" s="211" t="str">
        <f>IFERROR(__xludf.DUMMYFUNCTION("""COMPUTED_VALUE"""),"T1")</f>
        <v>T1</v>
      </c>
      <c r="AX7" s="212" t="str">
        <f>IFERROR(__xludf.DUMMYFUNCTION("""COMPUTED_VALUE"""),"myt_bhonehtet.aung")</f>
        <v>myt_bhonehtet.aung</v>
      </c>
      <c r="AY7" s="199">
        <f>IFERROR(__xludf.DUMMYFUNCTION("""COMPUTED_VALUE"""),1.0)</f>
        <v>1</v>
      </c>
      <c r="AZ7" s="199">
        <f>IFERROR(__xludf.DUMMYFUNCTION("""COMPUTED_VALUE"""),0.0)</f>
        <v>0</v>
      </c>
      <c r="BA7" s="199">
        <f>IFERROR(__xludf.DUMMYFUNCTION("""COMPUTED_VALUE"""),0.0)</f>
        <v>0</v>
      </c>
      <c r="BB7" s="199">
        <f>IFERROR(__xludf.DUMMYFUNCTION("""COMPUTED_VALUE"""),0.0)</f>
        <v>0</v>
      </c>
      <c r="BC7" s="199">
        <f>IFERROR(__xludf.DUMMYFUNCTION("""COMPUTED_VALUE"""),0.0)</f>
        <v>0</v>
      </c>
      <c r="BD7" s="213" t="str">
        <f>IFERROR(__xludf.DUMMYFUNCTION("""COMPUTED_VALUE"""),"8KVA: 4 &lt;+&gt; 12KVA: 0 &lt;+&gt; 30KVA: 3 &lt;+&gt; 12DKVA: 1")</f>
        <v>8KVA: 4 &lt;+&gt; 12KVA: 0 &lt;+&gt; 30KVA: 3 &lt;+&gt; 12DKVA: 1</v>
      </c>
      <c r="BE7" s="201">
        <f>IFERROR(__xludf.DUMMYFUNCTION("""COMPUTED_VALUE"""),0.0)</f>
        <v>0</v>
      </c>
      <c r="BF7" s="216">
        <f>IFERROR(__xludf.DUMMYFUNCTION("""COMPUTED_VALUE"""),0.0)</f>
        <v>0</v>
      </c>
      <c r="BG7" s="216">
        <f>IFERROR(__xludf.DUMMYFUNCTION("""COMPUTED_VALUE"""),0.0)</f>
        <v>0</v>
      </c>
      <c r="BH7" s="216">
        <f>IFERROR(__xludf.DUMMYFUNCTION("""COMPUTED_VALUE"""),0.0)</f>
        <v>0</v>
      </c>
      <c r="BI7" s="201">
        <f>IFERROR(__xludf.DUMMYFUNCTION("""COMPUTED_VALUE"""),0.0)</f>
        <v>0</v>
      </c>
      <c r="BJ7" s="122"/>
      <c r="BK7" s="122"/>
      <c r="BL7" s="202" t="str">
        <f>IFERROR(__xludf.DUMMYFUNCTION("""COMPUTED_VALUE"""),"T1")</f>
        <v>T1</v>
      </c>
      <c r="BM7" s="203" t="str">
        <f>IFERROR(__xludf.DUMMYFUNCTION("""COMPUTED_VALUE"""),"myt_bhonehtet.aung")</f>
        <v>myt_bhonehtet.aung</v>
      </c>
      <c r="BN7" s="202" t="str">
        <f>IFERROR(__xludf.DUMMYFUNCTION("""COMPUTED_VALUE"""),"")</f>
        <v/>
      </c>
      <c r="BO7" s="184" t="str">
        <f>IFERROR(__xludf.DUMMYFUNCTION("""COMPUTED_VALUE"""),"8KVA: 9 &lt;+&gt; 12KVA: 3 &lt;+&gt; 30KVA: 3 &lt;+&gt; 12DKVA: 1")</f>
        <v>8KVA: 9 &lt;+&gt; 12KVA: 3 &lt;+&gt; 30KVA: 3 &lt;+&gt; 12DKVA: 1</v>
      </c>
      <c r="BP7" s="184">
        <f>IFERROR(__xludf.DUMMYFUNCTION("""COMPUTED_VALUE"""),114.39999999999999)</f>
        <v>114.4</v>
      </c>
      <c r="BQ7" s="184">
        <f>IFERROR(__xludf.DUMMYFUNCTION("""COMPUTED_VALUE"""),-17.799999999999997)</f>
        <v>-17.8</v>
      </c>
      <c r="BR7" s="184">
        <f>IFERROR(__xludf.DUMMYFUNCTION("""COMPUTED_VALUE"""),-132.2)</f>
        <v>-132.2</v>
      </c>
      <c r="BS7" s="206">
        <f>IFERROR(__xludf.DUMMYFUNCTION("""COMPUTED_VALUE"""),0.0)</f>
        <v>0</v>
      </c>
      <c r="BT7" s="206">
        <f>IFERROR(__xludf.DUMMYFUNCTION("""COMPUTED_VALUE"""),0.0)</f>
        <v>0</v>
      </c>
      <c r="BU7" s="217">
        <f>IFERROR(__xludf.DUMMYFUNCTION("""COMPUTED_VALUE"""),0.0)</f>
        <v>0</v>
      </c>
      <c r="BV7" s="217">
        <f>IFERROR(__xludf.DUMMYFUNCTION("""COMPUTED_VALUE"""),0.0)</f>
        <v>0</v>
      </c>
      <c r="BW7" s="206">
        <f>IFERROR(__xludf.DUMMYFUNCTION("""COMPUTED_VALUE"""),0.0)</f>
        <v>0</v>
      </c>
      <c r="BX7" s="154"/>
      <c r="BY7" s="207" t="str">
        <f>IFERROR(__xludf.DUMMYFUNCTION("""COMPUTED_VALUE"""),"T1")</f>
        <v>T1</v>
      </c>
      <c r="BZ7" s="208" t="str">
        <f>IFERROR(__xludf.DUMMYFUNCTION("""COMPUTED_VALUE"""),"myt_bhonehtet.aung")</f>
        <v>myt_bhonehtet.aung</v>
      </c>
      <c r="CA7" s="209" t="str">
        <f>IFERROR(__xludf.DUMMYFUNCTION("""COMPUTED_VALUE"""),"")</f>
        <v/>
      </c>
      <c r="CB7" s="209" t="str">
        <f>IFERROR(__xludf.DUMMYFUNCTION("""COMPUTED_VALUE"""),"8KVA: 1 &lt;+&gt; 12KVA: 0 &lt;+&gt; 30KVA: 0 &lt;+&gt; 12DKVA: 1")</f>
        <v>8KVA: 1 &lt;+&gt; 12KVA: 0 &lt;+&gt; 30KVA: 0 &lt;+&gt; 12DKVA: 1</v>
      </c>
      <c r="CC7" s="184">
        <f>IFERROR(__xludf.DUMMYFUNCTION("""COMPUTED_VALUE"""),1.3)</f>
        <v>1.3</v>
      </c>
      <c r="CD7" s="184">
        <f>IFERROR(__xludf.DUMMYFUNCTION("""COMPUTED_VALUE"""),100.0)</f>
        <v>100</v>
      </c>
      <c r="CE7" s="209">
        <f>IFERROR(__xludf.DUMMYFUNCTION("""COMPUTED_VALUE"""),98.7)</f>
        <v>98.7</v>
      </c>
      <c r="CF7" s="206">
        <f>IFERROR(__xludf.DUMMYFUNCTION("""COMPUTED_VALUE"""),0.0)</f>
        <v>0</v>
      </c>
      <c r="CG7" s="206">
        <f>IFERROR(__xludf.DUMMYFUNCTION("""COMPUTED_VALUE"""),0.0)</f>
        <v>0</v>
      </c>
      <c r="CH7" s="206">
        <f>IFERROR(__xludf.DUMMYFUNCTION("""COMPUTED_VALUE"""),0.0)</f>
        <v>0</v>
      </c>
      <c r="CI7" s="206">
        <f>IFERROR(__xludf.DUMMYFUNCTION("""COMPUTED_VALUE"""),0.0)</f>
        <v>0</v>
      </c>
      <c r="CJ7" s="206">
        <f>IFERROR(__xludf.DUMMYFUNCTION("""COMPUTED_VALUE"""),0.0)</f>
        <v>0</v>
      </c>
    </row>
    <row r="8">
      <c r="A8" s="218">
        <f>IFERROR(__xludf.DUMMYFUNCTION("""COMPUTED_VALUE"""),9.0)</f>
        <v>9</v>
      </c>
      <c r="B8" s="218">
        <f>IFERROR(__xludf.DUMMYFUNCTION("""COMPUTED_VALUE"""),5.0)</f>
        <v>5</v>
      </c>
      <c r="C8" s="219" t="str">
        <f>IFERROR(__xludf.DUMMYFUNCTION("""COMPUTED_VALUE"""),"Maintenance_Main_Station")</f>
        <v>Maintenance_Main_Station</v>
      </c>
      <c r="D8" s="218" t="str">
        <f>IFERROR(__xludf.DUMMYFUNCTION("""COMPUTED_VALUE"""),"Total: 4 | TNI0011, TNI0012, TNI0006, TNI0013")</f>
        <v>Total: 4 | TNI0011, TNI0012, TNI0006, TNI0013</v>
      </c>
      <c r="E8" s="218" t="str">
        <f>IFERROR(__xludf.DUMMYFUNCTION("""COMPUTED_VALUE"""),"-")</f>
        <v>-</v>
      </c>
      <c r="F8" s="218" t="str">
        <f>IFERROR(__xludf.DUMMYFUNCTION("""COMPUTED_VALUE"""),"Total: 3 | TNI0004, TNI0008, TNI0009")</f>
        <v>Total: 3 | TNI0004, TNI0008, TNI0009</v>
      </c>
      <c r="G8" s="218" t="str">
        <f>IFERROR(__xludf.DUMMYFUNCTION("""COMPUTED_VALUE"""),"-")</f>
        <v>-</v>
      </c>
      <c r="H8" s="218" t="str">
        <f>IFERROR(__xludf.DUMMYFUNCTION("""COMPUTED_VALUE"""),"Total: 2 | TNI0007, TNI0005")</f>
        <v>Total: 2 | TNI0007, TNI0005</v>
      </c>
      <c r="K8" s="120" t="str">
        <f>IFERROR(__xludf.DUMMYFUNCTION("""COMPUTED_VALUE"""),"Asset")</f>
        <v>Asset</v>
      </c>
      <c r="L8" s="120" t="str">
        <f>IFERROR(__xludf.DUMMYFUNCTION("""COMPUTED_VALUE"""),"Recall to Mytel ")</f>
        <v>Recall to Mytel </v>
      </c>
      <c r="M8" s="159" t="str">
        <f>IFERROR(__xludf.DUMMYFUNCTION("""COMPUTED_VALUE"""),"Team 1 Recall materials to mytel 10/2025")</f>
        <v>Team 1 Recall materials to mytel 10/2025</v>
      </c>
      <c r="N8" s="159" t="str">
        <f>IFERROR(__xludf.DUMMYFUNCTION("""COMPUTED_VALUE"""),"Team 2 Recall materials to mytel 10/2025")</f>
        <v>Team 2 Recall materials to mytel 10/2025</v>
      </c>
      <c r="O8" s="159" t="str">
        <f>IFERROR(__xludf.DUMMYFUNCTION("""COMPUTED_VALUE"""),"Team 3 Recall materials to mytel 10/2025")</f>
        <v>Team 3 Recall materials to mytel 10/2025</v>
      </c>
      <c r="P8" s="119" t="str">
        <f>IFERROR(__xludf.DUMMYFUNCTION("""COMPUTED_VALUE"""),"-")</f>
        <v>-</v>
      </c>
      <c r="S8" s="211" t="str">
        <f>IFERROR(__xludf.DUMMYFUNCTION("""COMPUTED_VALUE"""),"T4")</f>
        <v>T4</v>
      </c>
      <c r="T8" s="212" t="str">
        <f>IFERROR(__xludf.DUMMYFUNCTION("""COMPUTED_VALUE"""),"myt_tinmaung.win")</f>
        <v>myt_tinmaung.win</v>
      </c>
      <c r="U8" s="198">
        <f>IFERROR(__xludf.DUMMYFUNCTION("""COMPUTED_VALUE"""),6.0)</f>
        <v>6</v>
      </c>
      <c r="V8" s="199">
        <f>IFERROR(__xludf.DUMMYFUNCTION("""COMPUTED_VALUE"""),5.0)</f>
        <v>5</v>
      </c>
      <c r="W8" s="199">
        <f>IFERROR(__xludf.DUMMYFUNCTION("""COMPUTED_VALUE"""),0.0)</f>
        <v>0</v>
      </c>
      <c r="X8" s="199">
        <f>IFERROR(__xludf.DUMMYFUNCTION("""COMPUTED_VALUE"""),1.0)</f>
        <v>1</v>
      </c>
      <c r="Y8" s="199">
        <f>IFERROR(__xludf.DUMMYFUNCTION("""COMPUTED_VALUE"""),0.0)</f>
        <v>0</v>
      </c>
      <c r="Z8" s="213" t="str">
        <f>IFERROR(__xludf.DUMMYFUNCTION("""COMPUTED_VALUE"""),"8KVA: 0 &lt;+&gt; 12KVA: 1 &lt;+&gt; 30KVA: 0 &lt;+&gt; 12DKVA: 1")</f>
        <v>8KVA: 0 &lt;+&gt; 12KVA: 1 &lt;+&gt; 30KVA: 0 &lt;+&gt; 12DKVA: 1</v>
      </c>
      <c r="AA8" s="201">
        <f>IFERROR(__xludf.DUMMYFUNCTION("""COMPUTED_VALUE"""),0.0)</f>
        <v>0</v>
      </c>
      <c r="AB8" s="201">
        <f>IFERROR(__xludf.DUMMYFUNCTION("""COMPUTED_VALUE"""),1.0)</f>
        <v>1</v>
      </c>
      <c r="AC8" s="201">
        <f>IFERROR(__xludf.DUMMYFUNCTION("""COMPUTED_VALUE"""),0.0)</f>
        <v>0</v>
      </c>
      <c r="AD8" s="201">
        <f>IFERROR(__xludf.DUMMYFUNCTION("""COMPUTED_VALUE"""),1.0)</f>
        <v>1</v>
      </c>
      <c r="AE8" s="201">
        <f>IFERROR(__xludf.DUMMYFUNCTION("""COMPUTED_VALUE"""),0.0)</f>
        <v>0</v>
      </c>
      <c r="AF8" s="122"/>
      <c r="AG8" s="122"/>
      <c r="AH8" s="211" t="str">
        <f>IFERROR(__xludf.DUMMYFUNCTION("""COMPUTED_VALUE"""),"T4")</f>
        <v>T4</v>
      </c>
      <c r="AI8" s="212" t="str">
        <f>IFERROR(__xludf.DUMMYFUNCTION("""COMPUTED_VALUE"""),"myt_tinmaung.win")</f>
        <v>myt_tinmaung.win</v>
      </c>
      <c r="AJ8" s="198">
        <f>IFERROR(__xludf.DUMMYFUNCTION("""COMPUTED_VALUE"""),6.0)</f>
        <v>6</v>
      </c>
      <c r="AK8" s="199">
        <f>IFERROR(__xludf.DUMMYFUNCTION("""COMPUTED_VALUE"""),5.0)</f>
        <v>5</v>
      </c>
      <c r="AL8" s="199">
        <f>IFERROR(__xludf.DUMMYFUNCTION("""COMPUTED_VALUE"""),0.0)</f>
        <v>0</v>
      </c>
      <c r="AM8" s="199">
        <f>IFERROR(__xludf.DUMMYFUNCTION("""COMPUTED_VALUE"""),1.0)</f>
        <v>1</v>
      </c>
      <c r="AN8" s="199">
        <f>IFERROR(__xludf.DUMMYFUNCTION("""COMPUTED_VALUE"""),0.0)</f>
        <v>0</v>
      </c>
      <c r="AO8" s="213" t="str">
        <f>IFERROR(__xludf.DUMMYFUNCTION("""COMPUTED_VALUE"""),"8KVA: 0 &lt;+&gt; 12KVA: 2 &lt;+&gt; 30KVA: 0 &lt;+&gt; 12DKVA: 1")</f>
        <v>8KVA: 0 &lt;+&gt; 12KVA: 2 &lt;+&gt; 30KVA: 0 &lt;+&gt; 12DKVA: 1</v>
      </c>
      <c r="AP8" s="164">
        <f>IFERROR(__xludf.DUMMYFUNCTION("""COMPUTED_VALUE"""),0.0)</f>
        <v>0</v>
      </c>
      <c r="AQ8" s="164">
        <f>IFERROR(__xludf.DUMMYFUNCTION("""COMPUTED_VALUE"""),1.0)</f>
        <v>1</v>
      </c>
      <c r="AR8" s="164">
        <f>IFERROR(__xludf.DUMMYFUNCTION("""COMPUTED_VALUE"""),0.0)</f>
        <v>0</v>
      </c>
      <c r="AS8" s="164">
        <f>IFERROR(__xludf.DUMMYFUNCTION("""COMPUTED_VALUE"""),1.0)</f>
        <v>1</v>
      </c>
      <c r="AT8" s="164">
        <f>IFERROR(__xludf.DUMMYFUNCTION("""COMPUTED_VALUE"""),0.0)</f>
        <v>0</v>
      </c>
      <c r="AU8" s="122"/>
      <c r="AV8" s="122"/>
      <c r="AW8" s="211" t="str">
        <f>IFERROR(__xludf.DUMMYFUNCTION("""COMPUTED_VALUE"""),"T4")</f>
        <v>T4</v>
      </c>
      <c r="AX8" s="212" t="str">
        <f>IFERROR(__xludf.DUMMYFUNCTION("""COMPUTED_VALUE"""),"myt_tinmaung.win")</f>
        <v>myt_tinmaung.win</v>
      </c>
      <c r="AY8" s="198">
        <f>IFERROR(__xludf.DUMMYFUNCTION("""COMPUTED_VALUE"""),3.0)</f>
        <v>3</v>
      </c>
      <c r="AZ8" s="199">
        <f>IFERROR(__xludf.DUMMYFUNCTION("""COMPUTED_VALUE"""),3.0)</f>
        <v>3</v>
      </c>
      <c r="BA8" s="199">
        <f>IFERROR(__xludf.DUMMYFUNCTION("""COMPUTED_VALUE"""),0.0)</f>
        <v>0</v>
      </c>
      <c r="BB8" s="199">
        <f>IFERROR(__xludf.DUMMYFUNCTION("""COMPUTED_VALUE"""),0.0)</f>
        <v>0</v>
      </c>
      <c r="BC8" s="199">
        <f>IFERROR(__xludf.DUMMYFUNCTION("""COMPUTED_VALUE"""),0.0)</f>
        <v>0</v>
      </c>
      <c r="BD8" s="213" t="str">
        <f>IFERROR(__xludf.DUMMYFUNCTION("""COMPUTED_VALUE"""),"8KVA: 0 &lt;+&gt; 12KVA: 1 &lt;+&gt; 30KVA: 0 &lt;+&gt; 12DKVA: 0")</f>
        <v>8KVA: 0 &lt;+&gt; 12KVA: 1 &lt;+&gt; 30KVA: 0 &lt;+&gt; 12DKVA: 0</v>
      </c>
      <c r="BE8" s="201">
        <f>IFERROR(__xludf.DUMMYFUNCTION("""COMPUTED_VALUE"""),0.0)</f>
        <v>0</v>
      </c>
      <c r="BF8" s="201">
        <f>IFERROR(__xludf.DUMMYFUNCTION("""COMPUTED_VALUE"""),0.0)</f>
        <v>0</v>
      </c>
      <c r="BG8" s="201">
        <f>IFERROR(__xludf.DUMMYFUNCTION("""COMPUTED_VALUE"""),0.0)</f>
        <v>0</v>
      </c>
      <c r="BH8" s="201">
        <f>IFERROR(__xludf.DUMMYFUNCTION("""COMPUTED_VALUE"""),0.0)</f>
        <v>0</v>
      </c>
      <c r="BI8" s="201">
        <f>IFERROR(__xludf.DUMMYFUNCTION("""COMPUTED_VALUE"""),0.0)</f>
        <v>0</v>
      </c>
      <c r="BJ8" s="122"/>
      <c r="BK8" s="122"/>
      <c r="BL8" s="202" t="str">
        <f>IFERROR(__xludf.DUMMYFUNCTION("""COMPUTED_VALUE"""),"T4")</f>
        <v>T4</v>
      </c>
      <c r="BM8" s="203" t="str">
        <f>IFERROR(__xludf.DUMMYFUNCTION("""COMPUTED_VALUE"""),"myt_tinmaung.win")</f>
        <v>myt_tinmaung.win</v>
      </c>
      <c r="BN8" s="204" t="str">
        <f>IFERROR(__xludf.DUMMYFUNCTION("""COMPUTED_VALUE"""),"")</f>
        <v/>
      </c>
      <c r="BO8" s="184" t="str">
        <f>IFERROR(__xludf.DUMMYFUNCTION("""COMPUTED_VALUE"""),"8KVA: 0 &lt;+&gt; 12KVA: 2 &lt;+&gt; 30KVA: 0 &lt;+&gt; 12DKVA: 1")</f>
        <v>8KVA: 0 &lt;+&gt; 12KVA: 2 &lt;+&gt; 30KVA: 0 &lt;+&gt; 12DKVA: 1</v>
      </c>
      <c r="BP8" s="184">
        <f>IFERROR(__xludf.DUMMYFUNCTION("""COMPUTED_VALUE"""),22.2)</f>
        <v>22.2</v>
      </c>
      <c r="BQ8" s="184">
        <f>IFERROR(__xludf.DUMMYFUNCTION("""COMPUTED_VALUE"""),46.8)</f>
        <v>46.8</v>
      </c>
      <c r="BR8" s="184">
        <f>IFERROR(__xludf.DUMMYFUNCTION("""COMPUTED_VALUE"""),24.599999999999998)</f>
        <v>24.6</v>
      </c>
      <c r="BS8" s="206">
        <f>IFERROR(__xludf.DUMMYFUNCTION("""COMPUTED_VALUE"""),0.0)</f>
        <v>0</v>
      </c>
      <c r="BT8" s="206">
        <f>IFERROR(__xludf.DUMMYFUNCTION("""COMPUTED_VALUE"""),1.0)</f>
        <v>1</v>
      </c>
      <c r="BU8" s="206">
        <f>IFERROR(__xludf.DUMMYFUNCTION("""COMPUTED_VALUE"""),0.0)</f>
        <v>0</v>
      </c>
      <c r="BV8" s="206">
        <f>IFERROR(__xludf.DUMMYFUNCTION("""COMPUTED_VALUE"""),1.0)</f>
        <v>1</v>
      </c>
      <c r="BW8" s="206">
        <f>IFERROR(__xludf.DUMMYFUNCTION("""COMPUTED_VALUE"""),0.0)</f>
        <v>0</v>
      </c>
      <c r="BX8" s="154"/>
      <c r="BY8" s="207" t="str">
        <f>IFERROR(__xludf.DUMMYFUNCTION("""COMPUTED_VALUE"""),"T4")</f>
        <v>T4</v>
      </c>
      <c r="BZ8" s="208" t="str">
        <f>IFERROR(__xludf.DUMMYFUNCTION("""COMPUTED_VALUE"""),"myt_tinmaung.win")</f>
        <v>myt_tinmaung.win</v>
      </c>
      <c r="CA8" s="209" t="str">
        <f>IFERROR(__xludf.DUMMYFUNCTION("""COMPUTED_VALUE"""),"")</f>
        <v/>
      </c>
      <c r="CB8" s="209" t="str">
        <f>IFERROR(__xludf.DUMMYFUNCTION("""COMPUTED_VALUE"""),"8KVA: 0 &lt;+&gt; 12KVA: 0 &lt;+&gt; 30KVA: 0 &lt;+&gt; 12DKVA: 0")</f>
        <v>8KVA: 0 &lt;+&gt; 12KVA: 0 &lt;+&gt; 30KVA: 0 &lt;+&gt; 12DKVA: 0</v>
      </c>
      <c r="CC8" s="184">
        <f>IFERROR(__xludf.DUMMYFUNCTION("""COMPUTED_VALUE"""),0.0)</f>
        <v>0</v>
      </c>
      <c r="CD8" s="184">
        <f>IFERROR(__xludf.DUMMYFUNCTION("""COMPUTED_VALUE"""),25.0)</f>
        <v>25</v>
      </c>
      <c r="CE8" s="209">
        <f>IFERROR(__xludf.DUMMYFUNCTION("""COMPUTED_VALUE"""),25.0)</f>
        <v>25</v>
      </c>
      <c r="CF8" s="206">
        <f>IFERROR(__xludf.DUMMYFUNCTION("""COMPUTED_VALUE"""),0.0)</f>
        <v>0</v>
      </c>
      <c r="CG8" s="206">
        <f>IFERROR(__xludf.DUMMYFUNCTION("""COMPUTED_VALUE"""),0.0)</f>
        <v>0</v>
      </c>
      <c r="CH8" s="206">
        <f>IFERROR(__xludf.DUMMYFUNCTION("""COMPUTED_VALUE"""),0.0)</f>
        <v>0</v>
      </c>
      <c r="CI8" s="206">
        <f>IFERROR(__xludf.DUMMYFUNCTION("""COMPUTED_VALUE"""),0.0)</f>
        <v>0</v>
      </c>
      <c r="CJ8" s="206">
        <f>IFERROR(__xludf.DUMMYFUNCTION("""COMPUTED_VALUE"""),0.0)</f>
        <v>0</v>
      </c>
    </row>
    <row r="9">
      <c r="A9" s="220">
        <f>IFERROR(__xludf.DUMMYFUNCTION("""COMPUTED_VALUE"""),46.0)</f>
        <v>46</v>
      </c>
      <c r="B9" s="220">
        <f>IFERROR(__xludf.DUMMYFUNCTION("""COMPUTED_VALUE"""),6.0)</f>
        <v>6</v>
      </c>
      <c r="C9" s="221" t="str">
        <f>IFERROR(__xludf.DUMMYFUNCTION("""COMPUTED_VALUE"""),"Maintenance_Mytel_Station")</f>
        <v>Maintenance_Mytel_Station</v>
      </c>
      <c r="D9" s="220" t="str">
        <f>IFERROR(__xludf.DUMMYFUNCTION("""COMPUTED_VALUE"""),"Total: 33 | TNI0069, TNI0115, TNI0066, TNI0072, TNI0154, TNI0214, TNI0256, TNI0264, TNI0272, TNI0265, TNI0321, TNI0305, TNI0394, TNI0257, TNI0251, TNI0207, TNI0201, TNI0206, TNI0153, TNI0089, TNI0071, TNI0070, TNI0073, TNI0068, TNI0058, TNI0050, TNI0053, "&amp;"TNI0046, TNI0040, TNI0019, TNI0049, TNI0038, TNI0220")</f>
        <v>Total: 33 | TNI0069, TNI0115, TNI0066, TNI0072, TNI0154, TNI0214, TNI0256, TNI0264, TNI0272, TNI0265, TNI0321, TNI0305, TNI0394, TNI0257, TNI0251, TNI0207, TNI0201, TNI0206, TNI0153, TNI0089, TNI0071, TNI0070, TNI0073, TNI0068, TNI0058, TNI0050, TNI0053, TNI0046, TNI0040, TNI0019, TNI0049, TNI0038, TNI0220</v>
      </c>
      <c r="E9" s="220" t="str">
        <f>IFERROR(__xludf.DUMMYFUNCTION("""COMPUTED_VALUE"""),"Total: 9 | TNI0252, TNI0248, TNI0241, TNI0258, TNI0261, TNI0294, TNI0413, TNI0519, TNI0122")</f>
        <v>Total: 9 | TNI0252, TNI0248, TNI0241, TNI0258, TNI0261, TNI0294, TNI0413, TNI0519, TNI0122</v>
      </c>
      <c r="F9" s="220" t="str">
        <f>IFERROR(__xludf.DUMMYFUNCTION("""COMPUTED_VALUE"""),"Total: 2 | TNI0209, TNI0118")</f>
        <v>Total: 2 | TNI0209, TNI0118</v>
      </c>
      <c r="G9" s="220" t="str">
        <f>IFERROR(__xludf.DUMMYFUNCTION("""COMPUTED_VALUE"""),"-")</f>
        <v>-</v>
      </c>
      <c r="H9" s="220" t="str">
        <f>IFERROR(__xludf.DUMMYFUNCTION("""COMPUTED_VALUE"""),"Total: 2 | TNI0521, TNI0122")</f>
        <v>Total: 2 | TNI0521, TNI0122</v>
      </c>
      <c r="K9" s="175" t="str">
        <f>IFERROR(__xludf.DUMMYFUNCTION("""COMPUTED_VALUE"""),"Asset")</f>
        <v>Asset</v>
      </c>
      <c r="L9" s="175" t="str">
        <f>IFERROR(__xludf.DUMMYFUNCTION("""COMPUTED_VALUE"""),"Request export")</f>
        <v>Request export</v>
      </c>
      <c r="M9" s="115" t="str">
        <f>IFERROR(__xludf.DUMMYFUNCTION("""COMPUTED_VALUE"""),"The export and return of goods must be carried out after Team 1 completes the inventory count.")</f>
        <v>The export and return of goods must be carried out after Team 1 completes the inventory count.</v>
      </c>
      <c r="N9" s="115" t="str">
        <f>IFERROR(__xludf.DUMMYFUNCTION("""COMPUTED_VALUE"""),"TNI0166 + The export and return of goods must be carried out after Team 2 completes the inventory count.")</f>
        <v>TNI0166 + The export and return of goods must be carried out after Team 2 completes the inventory count.</v>
      </c>
      <c r="O9" s="136" t="str">
        <f>IFERROR(__xludf.DUMMYFUNCTION("""COMPUTED_VALUE"""),"-")</f>
        <v>-</v>
      </c>
      <c r="P9" s="115" t="str">
        <f>IFERROR(__xludf.DUMMYFUNCTION("""COMPUTED_VALUE"""),"F8 24 Closure _20pcs to VCM BBranch office in system ")</f>
        <v>F8 24 Closure _20pcs to VCM BBranch office in system </v>
      </c>
      <c r="S9" s="211" t="str">
        <f>IFERROR(__xludf.DUMMYFUNCTION("""COMPUTED_VALUE"""),"T1")</f>
        <v>T1</v>
      </c>
      <c r="T9" s="212" t="str">
        <f>IFERROR(__xludf.DUMMYFUNCTION("""COMPUTED_VALUE"""),"myt_bonemyat.naing1")</f>
        <v>myt_bonemyat.naing1</v>
      </c>
      <c r="U9" s="198">
        <f>IFERROR(__xludf.DUMMYFUNCTION("""COMPUTED_VALUE"""),4.0)</f>
        <v>4</v>
      </c>
      <c r="V9" s="198">
        <f>IFERROR(__xludf.DUMMYFUNCTION("""COMPUTED_VALUE"""),1.0)</f>
        <v>1</v>
      </c>
      <c r="W9" s="199">
        <f>IFERROR(__xludf.DUMMYFUNCTION("""COMPUTED_VALUE"""),0.0)</f>
        <v>0</v>
      </c>
      <c r="X9" s="198">
        <f>IFERROR(__xludf.DUMMYFUNCTION("""COMPUTED_VALUE"""),3.0)</f>
        <v>3</v>
      </c>
      <c r="Y9" s="199">
        <f>IFERROR(__xludf.DUMMYFUNCTION("""COMPUTED_VALUE"""),0.0)</f>
        <v>0</v>
      </c>
      <c r="Z9" s="213" t="str">
        <f>IFERROR(__xludf.DUMMYFUNCTION("""COMPUTED_VALUE"""),"")</f>
        <v/>
      </c>
      <c r="AA9" s="214">
        <f>IFERROR(__xludf.DUMMYFUNCTION("""COMPUTED_VALUE"""),1.0)</f>
        <v>1</v>
      </c>
      <c r="AB9" s="201">
        <f>IFERROR(__xludf.DUMMYFUNCTION("""COMPUTED_VALUE"""),0.0)</f>
        <v>0</v>
      </c>
      <c r="AC9" s="214">
        <f>IFERROR(__xludf.DUMMYFUNCTION("""COMPUTED_VALUE"""),1.0)</f>
        <v>1</v>
      </c>
      <c r="AD9" s="201">
        <f>IFERROR(__xludf.DUMMYFUNCTION("""COMPUTED_VALUE"""),0.0)</f>
        <v>0</v>
      </c>
      <c r="AE9" s="201">
        <f>IFERROR(__xludf.DUMMYFUNCTION("""COMPUTED_VALUE"""),0.0)</f>
        <v>0</v>
      </c>
      <c r="AF9" s="122"/>
      <c r="AG9" s="122"/>
      <c r="AH9" s="211" t="str">
        <f>IFERROR(__xludf.DUMMYFUNCTION("""COMPUTED_VALUE"""),"T1")</f>
        <v>T1</v>
      </c>
      <c r="AI9" s="212" t="str">
        <f>IFERROR(__xludf.DUMMYFUNCTION("""COMPUTED_VALUE"""),"myt_bonemyat.naing1")</f>
        <v>myt_bonemyat.naing1</v>
      </c>
      <c r="AJ9" s="198">
        <f>IFERROR(__xludf.DUMMYFUNCTION("""COMPUTED_VALUE"""),4.0)</f>
        <v>4</v>
      </c>
      <c r="AK9" s="198">
        <f>IFERROR(__xludf.DUMMYFUNCTION("""COMPUTED_VALUE"""),1.0)</f>
        <v>1</v>
      </c>
      <c r="AL9" s="199">
        <f>IFERROR(__xludf.DUMMYFUNCTION("""COMPUTED_VALUE"""),0.0)</f>
        <v>0</v>
      </c>
      <c r="AM9" s="198">
        <f>IFERROR(__xludf.DUMMYFUNCTION("""COMPUTED_VALUE"""),3.0)</f>
        <v>3</v>
      </c>
      <c r="AN9" s="199">
        <f>IFERROR(__xludf.DUMMYFUNCTION("""COMPUTED_VALUE"""),0.0)</f>
        <v>0</v>
      </c>
      <c r="AO9" s="213" t="str">
        <f>IFERROR(__xludf.DUMMYFUNCTION("""COMPUTED_VALUE"""),"")</f>
        <v/>
      </c>
      <c r="AP9" s="215">
        <f>IFERROR(__xludf.DUMMYFUNCTION("""COMPUTED_VALUE"""),1.0)</f>
        <v>1</v>
      </c>
      <c r="AQ9" s="164">
        <f>IFERROR(__xludf.DUMMYFUNCTION("""COMPUTED_VALUE"""),0.0)</f>
        <v>0</v>
      </c>
      <c r="AR9" s="215">
        <f>IFERROR(__xludf.DUMMYFUNCTION("""COMPUTED_VALUE"""),1.0)</f>
        <v>1</v>
      </c>
      <c r="AS9" s="164">
        <f>IFERROR(__xludf.DUMMYFUNCTION("""COMPUTED_VALUE"""),0.0)</f>
        <v>0</v>
      </c>
      <c r="AT9" s="164">
        <f>IFERROR(__xludf.DUMMYFUNCTION("""COMPUTED_VALUE"""),0.0)</f>
        <v>0</v>
      </c>
      <c r="AU9" s="122"/>
      <c r="AV9" s="122"/>
      <c r="AW9" s="211" t="str">
        <f>IFERROR(__xludf.DUMMYFUNCTION("""COMPUTED_VALUE"""),"T1")</f>
        <v>T1</v>
      </c>
      <c r="AX9" s="212" t="str">
        <f>IFERROR(__xludf.DUMMYFUNCTION("""COMPUTED_VALUE"""),"myt_bonemyat.naing1")</f>
        <v>myt_bonemyat.naing1</v>
      </c>
      <c r="AY9" s="198">
        <f>IFERROR(__xludf.DUMMYFUNCTION("""COMPUTED_VALUE"""),3.0)</f>
        <v>3</v>
      </c>
      <c r="AZ9" s="199">
        <f>IFERROR(__xludf.DUMMYFUNCTION("""COMPUTED_VALUE"""),0.0)</f>
        <v>0</v>
      </c>
      <c r="BA9" s="199">
        <f>IFERROR(__xludf.DUMMYFUNCTION("""COMPUTED_VALUE"""),0.0)</f>
        <v>0</v>
      </c>
      <c r="BB9" s="198">
        <f>IFERROR(__xludf.DUMMYFUNCTION("""COMPUTED_VALUE"""),1.0)</f>
        <v>1</v>
      </c>
      <c r="BC9" s="199">
        <f>IFERROR(__xludf.DUMMYFUNCTION("""COMPUTED_VALUE"""),0.0)</f>
        <v>0</v>
      </c>
      <c r="BD9" s="213" t="str">
        <f>IFERROR(__xludf.DUMMYFUNCTION("""COMPUTED_VALUE"""),"")</f>
        <v/>
      </c>
      <c r="BE9" s="216">
        <f>IFERROR(__xludf.DUMMYFUNCTION("""COMPUTED_VALUE"""),1.0)</f>
        <v>1</v>
      </c>
      <c r="BF9" s="201">
        <f>IFERROR(__xludf.DUMMYFUNCTION("""COMPUTED_VALUE"""),0.0)</f>
        <v>0</v>
      </c>
      <c r="BG9" s="216">
        <f>IFERROR(__xludf.DUMMYFUNCTION("""COMPUTED_VALUE"""),1.0)</f>
        <v>1</v>
      </c>
      <c r="BH9" s="201">
        <f>IFERROR(__xludf.DUMMYFUNCTION("""COMPUTED_VALUE"""),0.0)</f>
        <v>0</v>
      </c>
      <c r="BI9" s="201">
        <f>IFERROR(__xludf.DUMMYFUNCTION("""COMPUTED_VALUE"""),0.0)</f>
        <v>0</v>
      </c>
      <c r="BJ9" s="122"/>
      <c r="BK9" s="122"/>
      <c r="BL9" s="202" t="str">
        <f>IFERROR(__xludf.DUMMYFUNCTION("""COMPUTED_VALUE"""),"T1")</f>
        <v>T1</v>
      </c>
      <c r="BM9" s="203" t="str">
        <f>IFERROR(__xludf.DUMMYFUNCTION("""COMPUTED_VALUE"""),"myt_bonemyat.naing1")</f>
        <v>myt_bonemyat.naing1</v>
      </c>
      <c r="BN9" s="202" t="str">
        <f>IFERROR(__xludf.DUMMYFUNCTION("""COMPUTED_VALUE"""),"")</f>
        <v/>
      </c>
      <c r="BO9" s="184" t="str">
        <f>IFERROR(__xludf.DUMMYFUNCTION("""COMPUTED_VALUE"""),"")</f>
        <v/>
      </c>
      <c r="BP9" s="184" t="str">
        <f>IFERROR(__xludf.DUMMYFUNCTION("""COMPUTED_VALUE"""),"")</f>
        <v/>
      </c>
      <c r="BQ9" s="184" t="str">
        <f>IFERROR(__xludf.DUMMYFUNCTION("""COMPUTED_VALUE"""),"")</f>
        <v/>
      </c>
      <c r="BR9" s="184" t="str">
        <f>IFERROR(__xludf.DUMMYFUNCTION("""COMPUTED_VALUE"""),"")</f>
        <v/>
      </c>
      <c r="BS9" s="217">
        <f>IFERROR(__xludf.DUMMYFUNCTION("""COMPUTED_VALUE"""),5.0)</f>
        <v>5</v>
      </c>
      <c r="BT9" s="206">
        <f>IFERROR(__xludf.DUMMYFUNCTION("""COMPUTED_VALUE"""),0.0)</f>
        <v>0</v>
      </c>
      <c r="BU9" s="217">
        <f>IFERROR(__xludf.DUMMYFUNCTION("""COMPUTED_VALUE"""),1.0)</f>
        <v>1</v>
      </c>
      <c r="BV9" s="206">
        <f>IFERROR(__xludf.DUMMYFUNCTION("""COMPUTED_VALUE"""),0.0)</f>
        <v>0</v>
      </c>
      <c r="BW9" s="206">
        <f>IFERROR(__xludf.DUMMYFUNCTION("""COMPUTED_VALUE"""),0.0)</f>
        <v>0</v>
      </c>
      <c r="BX9" s="154"/>
      <c r="BY9" s="207" t="str">
        <f>IFERROR(__xludf.DUMMYFUNCTION("""COMPUTED_VALUE"""),"T1")</f>
        <v>T1</v>
      </c>
      <c r="BZ9" s="208" t="str">
        <f>IFERROR(__xludf.DUMMYFUNCTION("""COMPUTED_VALUE"""),"myt_bonemyat.naing1")</f>
        <v>myt_bonemyat.naing1</v>
      </c>
      <c r="CA9" s="207" t="str">
        <f>IFERROR(__xludf.DUMMYFUNCTION("""COMPUTED_VALUE"""),"")</f>
        <v/>
      </c>
      <c r="CB9" s="209" t="str">
        <f>IFERROR(__xludf.DUMMYFUNCTION("""COMPUTED_VALUE"""),"")</f>
        <v/>
      </c>
      <c r="CC9" s="184" t="str">
        <f>IFERROR(__xludf.DUMMYFUNCTION("""COMPUTED_VALUE"""),"")</f>
        <v/>
      </c>
      <c r="CD9" s="184" t="str">
        <f>IFERROR(__xludf.DUMMYFUNCTION("""COMPUTED_VALUE"""),"")</f>
        <v/>
      </c>
      <c r="CE9" s="209" t="str">
        <f>IFERROR(__xludf.DUMMYFUNCTION("""COMPUTED_VALUE"""),"")</f>
        <v/>
      </c>
      <c r="CF9" s="217">
        <f>IFERROR(__xludf.DUMMYFUNCTION("""COMPUTED_VALUE"""),1.0)</f>
        <v>1</v>
      </c>
      <c r="CG9" s="206">
        <f>IFERROR(__xludf.DUMMYFUNCTION("""COMPUTED_VALUE"""),0.0)</f>
        <v>0</v>
      </c>
      <c r="CH9" s="206">
        <f>IFERROR(__xludf.DUMMYFUNCTION("""COMPUTED_VALUE"""),0.0)</f>
        <v>0</v>
      </c>
      <c r="CI9" s="206">
        <f>IFERROR(__xludf.DUMMYFUNCTION("""COMPUTED_VALUE"""),0.0)</f>
        <v>0</v>
      </c>
      <c r="CJ9" s="206">
        <f>IFERROR(__xludf.DUMMYFUNCTION("""COMPUTED_VALUE"""),0.0)</f>
        <v>0</v>
      </c>
    </row>
    <row r="10">
      <c r="A10" s="218">
        <f>IFERROR(__xludf.DUMMYFUNCTION("""COMPUTED_VALUE"""),35.0)</f>
        <v>35</v>
      </c>
      <c r="B10" s="218">
        <f>IFERROR(__xludf.DUMMYFUNCTION("""COMPUTED_VALUE"""),7.0)</f>
        <v>7</v>
      </c>
      <c r="C10" s="219" t="str">
        <f>IFERROR(__xludf.DUMMYFUNCTION("""COMPUTED_VALUE"""),"Maintenance_Towerco_Station")</f>
        <v>Maintenance_Towerco_Station</v>
      </c>
      <c r="D10" s="218" t="str">
        <f>IFERROR(__xludf.DUMMYFUNCTION("""COMPUTED_VALUE"""),"Total: 24 | TNI0018, TNI0019, TNI0053, TNI0049, TNI0061, TNI0207, TNI0129, TNI0170, TNI0198, TNI0220, TNI0392, TNI0426, TNI0312, TNI0197, TNI0351, TNI0153, TNI0208, TNI0283, TNI0278, TNI0078, TNI0213, TNI0035, TNI0498, TNI0264")</f>
        <v>Total: 24 | TNI0018, TNI0019, TNI0053, TNI0049, TNI0061, TNI0207, TNI0129, TNI0170, TNI0198, TNI0220, TNI0392, TNI0426, TNI0312, TNI0197, TNI0351, TNI0153, TNI0208, TNI0283, TNI0278, TNI0078, TNI0213, TNI0035, TNI0498, TNI0264</v>
      </c>
      <c r="E10" s="218" t="str">
        <f>IFERROR(__xludf.DUMMYFUNCTION("""COMPUTED_VALUE"""),"Total: 7 | TNI0520, TNI0020, TNI0042, TNI0415, TNI0515, TNI0370, TNI0075")</f>
        <v>Total: 7 | TNI0520, TNI0020, TNI0042, TNI0415, TNI0515, TNI0370, TNI0075</v>
      </c>
      <c r="F10" s="218" t="str">
        <f>IFERROR(__xludf.DUMMYFUNCTION("""COMPUTED_VALUE"""),"Total: 2 | TNI0103, TNI0105")</f>
        <v>Total: 2 | TNI0103, TNI0105</v>
      </c>
      <c r="G10" s="218" t="str">
        <f>IFERROR(__xludf.DUMMYFUNCTION("""COMPUTED_VALUE"""),"Total: 2 | TNI0063, TNI0320")</f>
        <v>Total: 2 | TNI0063, TNI0320</v>
      </c>
      <c r="H10" s="218" t="str">
        <f>IFERROR(__xludf.DUMMYFUNCTION("""COMPUTED_VALUE"""),"-")</f>
        <v>-</v>
      </c>
      <c r="K10" s="120" t="str">
        <f>IFERROR(__xludf.DUMMYFUNCTION("""COMPUTED_VALUE"""),"Asset")</f>
        <v>Asset</v>
      </c>
      <c r="L10" s="120" t="str">
        <f>IFERROR(__xludf.DUMMYFUNCTION("""COMPUTED_VALUE"""),"Return to send Branch Office")</f>
        <v>Return to send Branch Office</v>
      </c>
      <c r="M10" s="159" t="str">
        <f>IFERROR(__xludf.DUMMYFUNCTION("""COMPUTED_VALUE"""),"TNI0006 + TNI0038 + TNI0049 + TNI0065 + TNI0068 + TNI0070 + TNI0129 + TNI0201 + TNI0206 + TNI0250 + TNI0272 + TNI0312")</f>
        <v>TNI0006 + TNI0038 + TNI0049 + TNI0065 + TNI0068 + TNI0070 + TNI0129 + TNI0201 + TNI0206 + TNI0250 + TNI0272 + TNI0312</v>
      </c>
      <c r="N10" s="159" t="str">
        <f>IFERROR(__xludf.DUMMYFUNCTION("""COMPUTED_VALUE"""),"TNI0001 + TNI0003 + TNI0005 + TNI0007 + TNI0270")</f>
        <v>TNI0001 + TNI0003 + TNI0005 + TNI0007 + TNI0270</v>
      </c>
      <c r="O10" s="159" t="str">
        <f>IFERROR(__xludf.DUMMYFUNCTION("""COMPUTED_VALUE"""),"TNI0004 + TNI0008 + TNI0015 + TNI0118 + TNI0105")</f>
        <v>TNI0004 + TNI0008 + TNI0015 + TNI0118 + TNI0105</v>
      </c>
      <c r="P10" s="159" t="str">
        <f>IFERROR(__xludf.DUMMYFUNCTION("""COMPUTED_VALUE"""),"TNI0392 + TNI_ROT")</f>
        <v>TNI0392 + TNI_ROT</v>
      </c>
      <c r="S10" s="211" t="str">
        <f>IFERROR(__xludf.DUMMYFUNCTION("""COMPUTED_VALUE"""),"T3")</f>
        <v>T3</v>
      </c>
      <c r="T10" s="212" t="str">
        <f>IFERROR(__xludf.DUMMYFUNCTION("""COMPUTED_VALUE"""),"myt_sithu.htun")</f>
        <v>myt_sithu.htun</v>
      </c>
      <c r="U10" s="199">
        <f>IFERROR(__xludf.DUMMYFUNCTION("""COMPUTED_VALUE"""),1.0)</f>
        <v>1</v>
      </c>
      <c r="V10" s="199">
        <f>IFERROR(__xludf.DUMMYFUNCTION("""COMPUTED_VALUE"""),3.0)</f>
        <v>3</v>
      </c>
      <c r="W10" s="199">
        <f>IFERROR(__xludf.DUMMYFUNCTION("""COMPUTED_VALUE"""),0.0)</f>
        <v>0</v>
      </c>
      <c r="X10" s="199">
        <f>IFERROR(__xludf.DUMMYFUNCTION("""COMPUTED_VALUE"""),2.0)</f>
        <v>2</v>
      </c>
      <c r="Y10" s="199">
        <f>IFERROR(__xludf.DUMMYFUNCTION("""COMPUTED_VALUE"""),0.0)</f>
        <v>0</v>
      </c>
      <c r="Z10" s="213" t="str">
        <f>IFERROR(__xludf.DUMMYFUNCTION("""COMPUTED_VALUE"""),"8KVA: 0 &lt;+&gt; 12KVA: 0 &lt;+&gt; 30KVA: 0 &lt;+&gt; 12DKVA: 0")</f>
        <v>8KVA: 0 &lt;+&gt; 12KVA: 0 &lt;+&gt; 30KVA: 0 &lt;+&gt; 12DKVA: 0</v>
      </c>
      <c r="AA10" s="214">
        <f>IFERROR(__xludf.DUMMYFUNCTION("""COMPUTED_VALUE"""),0.0)</f>
        <v>0</v>
      </c>
      <c r="AB10" s="201">
        <f>IFERROR(__xludf.DUMMYFUNCTION("""COMPUTED_VALUE"""),0.0)</f>
        <v>0</v>
      </c>
      <c r="AC10" s="201">
        <f>IFERROR(__xludf.DUMMYFUNCTION("""COMPUTED_VALUE"""),0.0)</f>
        <v>0</v>
      </c>
      <c r="AD10" s="201">
        <f>IFERROR(__xludf.DUMMYFUNCTION("""COMPUTED_VALUE"""),0.0)</f>
        <v>0</v>
      </c>
      <c r="AE10" s="201">
        <f>IFERROR(__xludf.DUMMYFUNCTION("""COMPUTED_VALUE"""),0.0)</f>
        <v>0</v>
      </c>
      <c r="AF10" s="122"/>
      <c r="AG10" s="122"/>
      <c r="AH10" s="211" t="str">
        <f>IFERROR(__xludf.DUMMYFUNCTION("""COMPUTED_VALUE"""),"T3")</f>
        <v>T3</v>
      </c>
      <c r="AI10" s="212" t="str">
        <f>IFERROR(__xludf.DUMMYFUNCTION("""COMPUTED_VALUE"""),"myt_sithu.htun")</f>
        <v>myt_sithu.htun</v>
      </c>
      <c r="AJ10" s="199">
        <f>IFERROR(__xludf.DUMMYFUNCTION("""COMPUTED_VALUE"""),1.0)</f>
        <v>1</v>
      </c>
      <c r="AK10" s="199">
        <f>IFERROR(__xludf.DUMMYFUNCTION("""COMPUTED_VALUE"""),3.0)</f>
        <v>3</v>
      </c>
      <c r="AL10" s="199">
        <f>IFERROR(__xludf.DUMMYFUNCTION("""COMPUTED_VALUE"""),0.0)</f>
        <v>0</v>
      </c>
      <c r="AM10" s="199">
        <f>IFERROR(__xludf.DUMMYFUNCTION("""COMPUTED_VALUE"""),2.0)</f>
        <v>2</v>
      </c>
      <c r="AN10" s="199">
        <f>IFERROR(__xludf.DUMMYFUNCTION("""COMPUTED_VALUE"""),0.0)</f>
        <v>0</v>
      </c>
      <c r="AO10" s="213" t="str">
        <f>IFERROR(__xludf.DUMMYFUNCTION("""COMPUTED_VALUE"""),"8KVA: 0 &lt;+&gt; 12KVA: 0 &lt;+&gt; 30KVA: 0 &lt;+&gt; 12DKVA: 0")</f>
        <v>8KVA: 0 &lt;+&gt; 12KVA: 0 &lt;+&gt; 30KVA: 0 &lt;+&gt; 12DKVA: 0</v>
      </c>
      <c r="AP10" s="215">
        <f>IFERROR(__xludf.DUMMYFUNCTION("""COMPUTED_VALUE"""),0.0)</f>
        <v>0</v>
      </c>
      <c r="AQ10" s="164">
        <f>IFERROR(__xludf.DUMMYFUNCTION("""COMPUTED_VALUE"""),0.0)</f>
        <v>0</v>
      </c>
      <c r="AR10" s="164">
        <f>IFERROR(__xludf.DUMMYFUNCTION("""COMPUTED_VALUE"""),0.0)</f>
        <v>0</v>
      </c>
      <c r="AS10" s="164">
        <f>IFERROR(__xludf.DUMMYFUNCTION("""COMPUTED_VALUE"""),0.0)</f>
        <v>0</v>
      </c>
      <c r="AT10" s="164">
        <f>IFERROR(__xludf.DUMMYFUNCTION("""COMPUTED_VALUE"""),0.0)</f>
        <v>0</v>
      </c>
      <c r="AU10" s="122"/>
      <c r="AV10" s="122"/>
      <c r="AW10" s="211" t="str">
        <f>IFERROR(__xludf.DUMMYFUNCTION("""COMPUTED_VALUE"""),"T3")</f>
        <v>T3</v>
      </c>
      <c r="AX10" s="212" t="str">
        <f>IFERROR(__xludf.DUMMYFUNCTION("""COMPUTED_VALUE"""),"myt_sithu.htun")</f>
        <v>myt_sithu.htun</v>
      </c>
      <c r="AY10" s="199">
        <f>IFERROR(__xludf.DUMMYFUNCTION("""COMPUTED_VALUE"""),0.0)</f>
        <v>0</v>
      </c>
      <c r="AZ10" s="199">
        <f>IFERROR(__xludf.DUMMYFUNCTION("""COMPUTED_VALUE"""),2.0)</f>
        <v>2</v>
      </c>
      <c r="BA10" s="199">
        <f>IFERROR(__xludf.DUMMYFUNCTION("""COMPUTED_VALUE"""),0.0)</f>
        <v>0</v>
      </c>
      <c r="BB10" s="199">
        <f>IFERROR(__xludf.DUMMYFUNCTION("""COMPUTED_VALUE"""),1.0)</f>
        <v>1</v>
      </c>
      <c r="BC10" s="199">
        <f>IFERROR(__xludf.DUMMYFUNCTION("""COMPUTED_VALUE"""),0.0)</f>
        <v>0</v>
      </c>
      <c r="BD10" s="213" t="str">
        <f>IFERROR(__xludf.DUMMYFUNCTION("""COMPUTED_VALUE"""),"8KVA: 0 &lt;+&gt; 12KVA: 0 &lt;+&gt; 30KVA: 0 &lt;+&gt; 12DKVA: 0")</f>
        <v>8KVA: 0 &lt;+&gt; 12KVA: 0 &lt;+&gt; 30KVA: 0 &lt;+&gt; 12DKVA: 0</v>
      </c>
      <c r="BE10" s="216">
        <f>IFERROR(__xludf.DUMMYFUNCTION("""COMPUTED_VALUE"""),0.0)</f>
        <v>0</v>
      </c>
      <c r="BF10" s="201">
        <f>IFERROR(__xludf.DUMMYFUNCTION("""COMPUTED_VALUE"""),0.0)</f>
        <v>0</v>
      </c>
      <c r="BG10" s="201">
        <f>IFERROR(__xludf.DUMMYFUNCTION("""COMPUTED_VALUE"""),0.0)</f>
        <v>0</v>
      </c>
      <c r="BH10" s="201">
        <f>IFERROR(__xludf.DUMMYFUNCTION("""COMPUTED_VALUE"""),0.0)</f>
        <v>0</v>
      </c>
      <c r="BI10" s="201">
        <f>IFERROR(__xludf.DUMMYFUNCTION("""COMPUTED_VALUE"""),0.0)</f>
        <v>0</v>
      </c>
      <c r="BJ10" s="122"/>
      <c r="BK10" s="122"/>
      <c r="BL10" s="202" t="str">
        <f>IFERROR(__xludf.DUMMYFUNCTION("""COMPUTED_VALUE"""),"T3")</f>
        <v>T3</v>
      </c>
      <c r="BM10" s="203" t="str">
        <f>IFERROR(__xludf.DUMMYFUNCTION("""COMPUTED_VALUE"""),"myt_sithu.htun")</f>
        <v>myt_sithu.htun</v>
      </c>
      <c r="BN10" s="202" t="str">
        <f>IFERROR(__xludf.DUMMYFUNCTION("""COMPUTED_VALUE"""),"")</f>
        <v/>
      </c>
      <c r="BO10" s="184" t="str">
        <f>IFERROR(__xludf.DUMMYFUNCTION("""COMPUTED_VALUE"""),"8KVA: 0 &lt;+&gt; 12KVA: 0 &lt;+&gt; 30KVA: 0 &lt;+&gt; 12DKVA: 0")</f>
        <v>8KVA: 0 &lt;+&gt; 12KVA: 0 &lt;+&gt; 30KVA: 0 &lt;+&gt; 12DKVA: 0</v>
      </c>
      <c r="BP10" s="184">
        <f>IFERROR(__xludf.DUMMYFUNCTION("""COMPUTED_VALUE"""),0.0)</f>
        <v>0</v>
      </c>
      <c r="BQ10" s="184">
        <f>IFERROR(__xludf.DUMMYFUNCTION("""COMPUTED_VALUE"""),15.200000000000003)</f>
        <v>15.2</v>
      </c>
      <c r="BR10" s="184">
        <f>IFERROR(__xludf.DUMMYFUNCTION("""COMPUTED_VALUE"""),15.200000000000003)</f>
        <v>15.2</v>
      </c>
      <c r="BS10" s="217">
        <f>IFERROR(__xludf.DUMMYFUNCTION("""COMPUTED_VALUE"""),0.0)</f>
        <v>0</v>
      </c>
      <c r="BT10" s="217">
        <f>IFERROR(__xludf.DUMMYFUNCTION("""COMPUTED_VALUE"""),0.0)</f>
        <v>0</v>
      </c>
      <c r="BU10" s="206">
        <f>IFERROR(__xludf.DUMMYFUNCTION("""COMPUTED_VALUE"""),0.0)</f>
        <v>0</v>
      </c>
      <c r="BV10" s="206">
        <f>IFERROR(__xludf.DUMMYFUNCTION("""COMPUTED_VALUE"""),0.0)</f>
        <v>0</v>
      </c>
      <c r="BW10" s="206">
        <f>IFERROR(__xludf.DUMMYFUNCTION("""COMPUTED_VALUE"""),0.0)</f>
        <v>0</v>
      </c>
      <c r="BX10" s="154"/>
      <c r="BY10" s="207" t="str">
        <f>IFERROR(__xludf.DUMMYFUNCTION("""COMPUTED_VALUE"""),"T3")</f>
        <v>T3</v>
      </c>
      <c r="BZ10" s="208" t="str">
        <f>IFERROR(__xludf.DUMMYFUNCTION("""COMPUTED_VALUE"""),"myt_sithu.htun")</f>
        <v>myt_sithu.htun</v>
      </c>
      <c r="CA10" s="209" t="str">
        <f>IFERROR(__xludf.DUMMYFUNCTION("""COMPUTED_VALUE"""),"")</f>
        <v/>
      </c>
      <c r="CB10" s="209" t="str">
        <f>IFERROR(__xludf.DUMMYFUNCTION("""COMPUTED_VALUE"""),"8KVA: 0 &lt;+&gt; 12KVA: 0 &lt;+&gt; 30KVA: 0 &lt;+&gt; 12DKVA: 0")</f>
        <v>8KVA: 0 &lt;+&gt; 12KVA: 0 &lt;+&gt; 30KVA: 0 &lt;+&gt; 12DKVA: 0</v>
      </c>
      <c r="CC10" s="184">
        <f>IFERROR(__xludf.DUMMYFUNCTION("""COMPUTED_VALUE"""),0.0)</f>
        <v>0</v>
      </c>
      <c r="CD10" s="184">
        <f>IFERROR(__xludf.DUMMYFUNCTION("""COMPUTED_VALUE"""),25.0)</f>
        <v>25</v>
      </c>
      <c r="CE10" s="209">
        <f>IFERROR(__xludf.DUMMYFUNCTION("""COMPUTED_VALUE"""),25.0)</f>
        <v>25</v>
      </c>
      <c r="CF10" s="206">
        <f>IFERROR(__xludf.DUMMYFUNCTION("""COMPUTED_VALUE"""),0.0)</f>
        <v>0</v>
      </c>
      <c r="CG10" s="206">
        <f>IFERROR(__xludf.DUMMYFUNCTION("""COMPUTED_VALUE"""),0.0)</f>
        <v>0</v>
      </c>
      <c r="CH10" s="206">
        <f>IFERROR(__xludf.DUMMYFUNCTION("""COMPUTED_VALUE"""),0.0)</f>
        <v>0</v>
      </c>
      <c r="CI10" s="206">
        <f>IFERROR(__xludf.DUMMYFUNCTION("""COMPUTED_VALUE"""),0.0)</f>
        <v>0</v>
      </c>
      <c r="CJ10" s="206">
        <f>IFERROR(__xludf.DUMMYFUNCTION("""COMPUTED_VALUE"""),0.0)</f>
        <v>0</v>
      </c>
    </row>
    <row r="11">
      <c r="A11" s="173">
        <f>IFERROR(__xludf.DUMMYFUNCTION("""COMPUTED_VALUE"""),2.0)</f>
        <v>2</v>
      </c>
      <c r="B11" s="173">
        <f>IFERROR(__xludf.DUMMYFUNCTION("""COMPUTED_VALUE"""),9.0)</f>
        <v>9</v>
      </c>
      <c r="C11" s="174" t="str">
        <f>IFERROR(__xludf.DUMMYFUNCTION("""COMPUTED_VALUE"""),"Bảo dưỡng hạ tầng nh")</f>
        <v>Bảo dưỡng hạ tầng nh</v>
      </c>
      <c r="D11" s="173" t="str">
        <f>IFERROR(__xludf.DUMMYFUNCTION("""COMPUTED_VALUE"""),"Total: 2 | TNI0013, TNI0150")</f>
        <v>Total: 2 | TNI0013, TNI0150</v>
      </c>
      <c r="E11" s="173" t="str">
        <f>IFERROR(__xludf.DUMMYFUNCTION("""COMPUTED_VALUE"""),"-")</f>
        <v>-</v>
      </c>
      <c r="F11" s="173" t="str">
        <f>IFERROR(__xludf.DUMMYFUNCTION("""COMPUTED_VALUE"""),"-")</f>
        <v>-</v>
      </c>
      <c r="G11" s="173" t="str">
        <f>IFERROR(__xludf.DUMMYFUNCTION("""COMPUTED_VALUE"""),"-")</f>
        <v>-</v>
      </c>
      <c r="H11" s="173" t="str">
        <f>IFERROR(__xludf.DUMMYFUNCTION("""COMPUTED_VALUE"""),"-")</f>
        <v>-</v>
      </c>
      <c r="K11" s="175" t="str">
        <f>IFERROR(__xludf.DUMMYFUNCTION("""COMPUTED_VALUE"""),"Asset")</f>
        <v>Asset</v>
      </c>
      <c r="L11" s="175" t="str">
        <f>IFERROR(__xludf.DUMMYFUNCTION("""COMPUTED_VALUE"""),"Recall from site broken materials ")</f>
        <v>Recall from site broken materials </v>
      </c>
      <c r="M11" s="136" t="str">
        <f>IFERROR(__xludf.DUMMYFUNCTION("""COMPUTED_VALUE"""),"-")</f>
        <v>-</v>
      </c>
      <c r="N11" s="136" t="str">
        <f>IFERROR(__xludf.DUMMYFUNCTION("""COMPUTED_VALUE"""),"-")</f>
        <v>-</v>
      </c>
      <c r="O11" s="115" t="str">
        <f>IFERROR(__xludf.DUMMYFUNCTION("""COMPUTED_VALUE"""),"TNI0105")</f>
        <v>TNI0105</v>
      </c>
      <c r="P11" s="136" t="str">
        <f>IFERROR(__xludf.DUMMYFUNCTION("""COMPUTED_VALUE"""),"-")</f>
        <v>-</v>
      </c>
      <c r="S11" s="196" t="str">
        <f>IFERROR(__xludf.DUMMYFUNCTION("""COMPUTED_VALUE"""),"T2")</f>
        <v>T2</v>
      </c>
      <c r="T11" s="197" t="str">
        <f>IFERROR(__xludf.DUMMYFUNCTION("""COMPUTED_VALUE"""),"myt_zinmin.shein")</f>
        <v>myt_zinmin.shein</v>
      </c>
      <c r="U11" s="199">
        <f>IFERROR(__xludf.DUMMYFUNCTION("""COMPUTED_VALUE"""),4.0)</f>
        <v>4</v>
      </c>
      <c r="V11" s="199">
        <f>IFERROR(__xludf.DUMMYFUNCTION("""COMPUTED_VALUE"""),2.0)</f>
        <v>2</v>
      </c>
      <c r="W11" s="199">
        <f>IFERROR(__xludf.DUMMYFUNCTION("""COMPUTED_VALUE"""),1.0)</f>
        <v>1</v>
      </c>
      <c r="X11" s="199">
        <f>IFERROR(__xludf.DUMMYFUNCTION("""COMPUTED_VALUE"""),2.0)</f>
        <v>2</v>
      </c>
      <c r="Y11" s="199">
        <f>IFERROR(__xludf.DUMMYFUNCTION("""COMPUTED_VALUE"""),0.0)</f>
        <v>0</v>
      </c>
      <c r="Z11" s="213" t="str">
        <f>IFERROR(__xludf.DUMMYFUNCTION("""COMPUTED_VALUE"""),"")</f>
        <v/>
      </c>
      <c r="AA11" s="214">
        <f>IFERROR(__xludf.DUMMYFUNCTION("""COMPUTED_VALUE"""),0.0)</f>
        <v>0</v>
      </c>
      <c r="AB11" s="201">
        <f>IFERROR(__xludf.DUMMYFUNCTION("""COMPUTED_VALUE"""),0.0)</f>
        <v>0</v>
      </c>
      <c r="AC11" s="214">
        <f>IFERROR(__xludf.DUMMYFUNCTION("""COMPUTED_VALUE"""),0.0)</f>
        <v>0</v>
      </c>
      <c r="AD11" s="214">
        <f>IFERROR(__xludf.DUMMYFUNCTION("""COMPUTED_VALUE"""),0.0)</f>
        <v>0</v>
      </c>
      <c r="AE11" s="201">
        <f>IFERROR(__xludf.DUMMYFUNCTION("""COMPUTED_VALUE"""),0.0)</f>
        <v>0</v>
      </c>
      <c r="AF11" s="122"/>
      <c r="AG11" s="122"/>
      <c r="AH11" s="196" t="str">
        <f>IFERROR(__xludf.DUMMYFUNCTION("""COMPUTED_VALUE"""),"T2")</f>
        <v>T2</v>
      </c>
      <c r="AI11" s="197" t="str">
        <f>IFERROR(__xludf.DUMMYFUNCTION("""COMPUTED_VALUE"""),"myt_zinmin.shein")</f>
        <v>myt_zinmin.shein</v>
      </c>
      <c r="AJ11" s="199">
        <f>IFERROR(__xludf.DUMMYFUNCTION("""COMPUTED_VALUE"""),4.0)</f>
        <v>4</v>
      </c>
      <c r="AK11" s="199">
        <f>IFERROR(__xludf.DUMMYFUNCTION("""COMPUTED_VALUE"""),2.0)</f>
        <v>2</v>
      </c>
      <c r="AL11" s="199">
        <f>IFERROR(__xludf.DUMMYFUNCTION("""COMPUTED_VALUE"""),0.0)</f>
        <v>0</v>
      </c>
      <c r="AM11" s="199">
        <f>IFERROR(__xludf.DUMMYFUNCTION("""COMPUTED_VALUE"""),2.0)</f>
        <v>2</v>
      </c>
      <c r="AN11" s="199">
        <f>IFERROR(__xludf.DUMMYFUNCTION("""COMPUTED_VALUE"""),0.0)</f>
        <v>0</v>
      </c>
      <c r="AO11" s="213" t="str">
        <f>IFERROR(__xludf.DUMMYFUNCTION("""COMPUTED_VALUE"""),"")</f>
        <v/>
      </c>
      <c r="AP11" s="215">
        <f>IFERROR(__xludf.DUMMYFUNCTION("""COMPUTED_VALUE"""),0.0)</f>
        <v>0</v>
      </c>
      <c r="AQ11" s="164">
        <f>IFERROR(__xludf.DUMMYFUNCTION("""COMPUTED_VALUE"""),0.0)</f>
        <v>0</v>
      </c>
      <c r="AR11" s="215">
        <f>IFERROR(__xludf.DUMMYFUNCTION("""COMPUTED_VALUE"""),0.0)</f>
        <v>0</v>
      </c>
      <c r="AS11" s="215">
        <f>IFERROR(__xludf.DUMMYFUNCTION("""COMPUTED_VALUE"""),0.0)</f>
        <v>0</v>
      </c>
      <c r="AT11" s="164">
        <f>IFERROR(__xludf.DUMMYFUNCTION("""COMPUTED_VALUE"""),0.0)</f>
        <v>0</v>
      </c>
      <c r="AU11" s="122"/>
      <c r="AV11" s="122"/>
      <c r="AW11" s="196" t="str">
        <f>IFERROR(__xludf.DUMMYFUNCTION("""COMPUTED_VALUE"""),"T2")</f>
        <v>T2</v>
      </c>
      <c r="AX11" s="197" t="str">
        <f>IFERROR(__xludf.DUMMYFUNCTION("""COMPUTED_VALUE"""),"myt_zinmin.shein")</f>
        <v>myt_zinmin.shein</v>
      </c>
      <c r="AY11" s="199">
        <f>IFERROR(__xludf.DUMMYFUNCTION("""COMPUTED_VALUE"""),3.0)</f>
        <v>3</v>
      </c>
      <c r="AZ11" s="199">
        <f>IFERROR(__xludf.DUMMYFUNCTION("""COMPUTED_VALUE"""),1.0)</f>
        <v>1</v>
      </c>
      <c r="BA11" s="199">
        <f>IFERROR(__xludf.DUMMYFUNCTION("""COMPUTED_VALUE"""),0.0)</f>
        <v>0</v>
      </c>
      <c r="BB11" s="199">
        <f>IFERROR(__xludf.DUMMYFUNCTION("""COMPUTED_VALUE"""),0.0)</f>
        <v>0</v>
      </c>
      <c r="BC11" s="199">
        <f>IFERROR(__xludf.DUMMYFUNCTION("""COMPUTED_VALUE"""),0.0)</f>
        <v>0</v>
      </c>
      <c r="BD11" s="213" t="str">
        <f>IFERROR(__xludf.DUMMYFUNCTION("""COMPUTED_VALUE"""),"")</f>
        <v/>
      </c>
      <c r="BE11" s="216">
        <f>IFERROR(__xludf.DUMMYFUNCTION("""COMPUTED_VALUE"""),0.0)</f>
        <v>0</v>
      </c>
      <c r="BF11" s="201">
        <f>IFERROR(__xludf.DUMMYFUNCTION("""COMPUTED_VALUE"""),0.0)</f>
        <v>0</v>
      </c>
      <c r="BG11" s="216">
        <f>IFERROR(__xludf.DUMMYFUNCTION("""COMPUTED_VALUE"""),0.0)</f>
        <v>0</v>
      </c>
      <c r="BH11" s="216">
        <f>IFERROR(__xludf.DUMMYFUNCTION("""COMPUTED_VALUE"""),0.0)</f>
        <v>0</v>
      </c>
      <c r="BI11" s="201">
        <f>IFERROR(__xludf.DUMMYFUNCTION("""COMPUTED_VALUE"""),0.0)</f>
        <v>0</v>
      </c>
      <c r="BJ11" s="122"/>
      <c r="BK11" s="122"/>
      <c r="BL11" s="202" t="str">
        <f>IFERROR(__xludf.DUMMYFUNCTION("""COMPUTED_VALUE"""),"T2")</f>
        <v>T2</v>
      </c>
      <c r="BM11" s="203" t="str">
        <f>IFERROR(__xludf.DUMMYFUNCTION("""COMPUTED_VALUE"""),"myt_zinmin.shein")</f>
        <v>myt_zinmin.shein</v>
      </c>
      <c r="BN11" s="202" t="str">
        <f>IFERROR(__xludf.DUMMYFUNCTION("""COMPUTED_VALUE"""),"")</f>
        <v/>
      </c>
      <c r="BO11" s="184" t="str">
        <f>IFERROR(__xludf.DUMMYFUNCTION("""COMPUTED_VALUE"""),"")</f>
        <v/>
      </c>
      <c r="BP11" s="184" t="str">
        <f>IFERROR(__xludf.DUMMYFUNCTION("""COMPUTED_VALUE"""),"")</f>
        <v/>
      </c>
      <c r="BQ11" s="184" t="str">
        <f>IFERROR(__xludf.DUMMYFUNCTION("""COMPUTED_VALUE"""),"")</f>
        <v/>
      </c>
      <c r="BR11" s="184" t="str">
        <f>IFERROR(__xludf.DUMMYFUNCTION("""COMPUTED_VALUE"""),"")</f>
        <v/>
      </c>
      <c r="BS11" s="217">
        <f>IFERROR(__xludf.DUMMYFUNCTION("""COMPUTED_VALUE"""),0.0)</f>
        <v>0</v>
      </c>
      <c r="BT11" s="217">
        <f>IFERROR(__xludf.DUMMYFUNCTION("""COMPUTED_VALUE"""),0.0)</f>
        <v>0</v>
      </c>
      <c r="BU11" s="217">
        <f>IFERROR(__xludf.DUMMYFUNCTION("""COMPUTED_VALUE"""),0.0)</f>
        <v>0</v>
      </c>
      <c r="BV11" s="217">
        <f>IFERROR(__xludf.DUMMYFUNCTION("""COMPUTED_VALUE"""),0.0)</f>
        <v>0</v>
      </c>
      <c r="BW11" s="206">
        <f>IFERROR(__xludf.DUMMYFUNCTION("""COMPUTED_VALUE"""),0.0)</f>
        <v>0</v>
      </c>
      <c r="BX11" s="154"/>
      <c r="BY11" s="207" t="str">
        <f>IFERROR(__xludf.DUMMYFUNCTION("""COMPUTED_VALUE"""),"T2")</f>
        <v>T2</v>
      </c>
      <c r="BZ11" s="208" t="str">
        <f>IFERROR(__xludf.DUMMYFUNCTION("""COMPUTED_VALUE"""),"myt_zinmin.shein")</f>
        <v>myt_zinmin.shein</v>
      </c>
      <c r="CA11" s="207" t="str">
        <f>IFERROR(__xludf.DUMMYFUNCTION("""COMPUTED_VALUE"""),"")</f>
        <v/>
      </c>
      <c r="CB11" s="209" t="str">
        <f>IFERROR(__xludf.DUMMYFUNCTION("""COMPUTED_VALUE"""),"")</f>
        <v/>
      </c>
      <c r="CC11" s="184" t="str">
        <f>IFERROR(__xludf.DUMMYFUNCTION("""COMPUTED_VALUE"""),"")</f>
        <v/>
      </c>
      <c r="CD11" s="184" t="str">
        <f>IFERROR(__xludf.DUMMYFUNCTION("""COMPUTED_VALUE"""),"")</f>
        <v/>
      </c>
      <c r="CE11" s="209" t="str">
        <f>IFERROR(__xludf.DUMMYFUNCTION("""COMPUTED_VALUE"""),"")</f>
        <v/>
      </c>
      <c r="CF11" s="206">
        <f>IFERROR(__xludf.DUMMYFUNCTION("""COMPUTED_VALUE"""),0.0)</f>
        <v>0</v>
      </c>
      <c r="CG11" s="206">
        <f>IFERROR(__xludf.DUMMYFUNCTION("""COMPUTED_VALUE"""),0.0)</f>
        <v>0</v>
      </c>
      <c r="CH11" s="206">
        <f>IFERROR(__xludf.DUMMYFUNCTION("""COMPUTED_VALUE"""),0.0)</f>
        <v>0</v>
      </c>
      <c r="CI11" s="217">
        <f>IFERROR(__xludf.DUMMYFUNCTION("""COMPUTED_VALUE"""),0.0)</f>
        <v>0</v>
      </c>
      <c r="CJ11" s="206">
        <f>IFERROR(__xludf.DUMMYFUNCTION("""COMPUTED_VALUE"""),0.0)</f>
        <v>0</v>
      </c>
    </row>
    <row r="12">
      <c r="A12" s="156">
        <f>IFERROR(__xludf.DUMMYFUNCTION("""COMPUTED_VALUE"""),0.0)</f>
        <v>0</v>
      </c>
      <c r="B12" s="156">
        <f>IFERROR(__xludf.DUMMYFUNCTION("""COMPUTED_VALUE"""),10.0)</f>
        <v>10</v>
      </c>
      <c r="C12" s="194" t="str">
        <f>IFERROR(__xludf.DUMMYFUNCTION("""COMPUTED_VALUE"""),"Sửa chữa hạ tầng m")</f>
        <v>Sửa chữa hạ tầng m</v>
      </c>
      <c r="D12" s="156" t="str">
        <f>IFERROR(__xludf.DUMMYFUNCTION("""COMPUTED_VALUE"""),"-")</f>
        <v>-</v>
      </c>
      <c r="E12" s="156" t="str">
        <f>IFERROR(__xludf.DUMMYFUNCTION("""COMPUTED_VALUE"""),"-")</f>
        <v>-</v>
      </c>
      <c r="F12" s="156" t="str">
        <f>IFERROR(__xludf.DUMMYFUNCTION("""COMPUTED_VALUE"""),"-")</f>
        <v>-</v>
      </c>
      <c r="G12" s="156" t="str">
        <f>IFERROR(__xludf.DUMMYFUNCTION("""COMPUTED_VALUE"""),"-")</f>
        <v>-</v>
      </c>
      <c r="H12" s="156" t="str">
        <f>IFERROR(__xludf.DUMMYFUNCTION("""COMPUTED_VALUE"""),"-")</f>
        <v>-</v>
      </c>
      <c r="K12" s="120" t="str">
        <f>IFERROR(__xludf.DUMMYFUNCTION("""COMPUTED_VALUE"""),"Asset")</f>
        <v>Asset</v>
      </c>
      <c r="L12" s="120" t="str">
        <f>IFERROR(__xludf.DUMMYFUNCTION("""COMPUTED_VALUE"""),"Take photo Serial and asset")</f>
        <v>Take photo Serial and asset</v>
      </c>
      <c r="M12" s="119" t="str">
        <f>IFERROR(__xludf.DUMMYFUNCTION("""COMPUTED_VALUE"""),"-")</f>
        <v>-</v>
      </c>
      <c r="N12" s="119" t="str">
        <f>IFERROR(__xludf.DUMMYFUNCTION("""COMPUTED_VALUE"""),"-")</f>
        <v>-</v>
      </c>
      <c r="O12" s="159" t="str">
        <f>IFERROR(__xludf.DUMMYFUNCTION("""COMPUTED_VALUE"""),"TNI0105")</f>
        <v>TNI0105</v>
      </c>
      <c r="P12" s="119" t="str">
        <f>IFERROR(__xludf.DUMMYFUNCTION("""COMPUTED_VALUE"""),"-")</f>
        <v>-</v>
      </c>
      <c r="S12" s="196" t="str">
        <f>IFERROR(__xludf.DUMMYFUNCTION("""COMPUTED_VALUE"""),"T2")</f>
        <v>T2</v>
      </c>
      <c r="T12" s="222" t="str">
        <f>IFERROR(__xludf.DUMMYFUNCTION("""COMPUTED_VALUE"""),"myt_ye.lin22")</f>
        <v>myt_ye.lin22</v>
      </c>
      <c r="U12" s="199">
        <f>IFERROR(__xludf.DUMMYFUNCTION("""COMPUTED_VALUE"""),0.0)</f>
        <v>0</v>
      </c>
      <c r="V12" s="199">
        <f>IFERROR(__xludf.DUMMYFUNCTION("""COMPUTED_VALUE"""),0.0)</f>
        <v>0</v>
      </c>
      <c r="W12" s="199">
        <f>IFERROR(__xludf.DUMMYFUNCTION("""COMPUTED_VALUE"""),0.0)</f>
        <v>0</v>
      </c>
      <c r="X12" s="199">
        <f>IFERROR(__xludf.DUMMYFUNCTION("""COMPUTED_VALUE"""),1.0)</f>
        <v>1</v>
      </c>
      <c r="Y12" s="199">
        <f>IFERROR(__xludf.DUMMYFUNCTION("""COMPUTED_VALUE"""),0.0)</f>
        <v>0</v>
      </c>
      <c r="Z12" s="213" t="str">
        <f>IFERROR(__xludf.DUMMYFUNCTION("""COMPUTED_VALUE"""),"")</f>
        <v/>
      </c>
      <c r="AA12" s="201">
        <f>IFERROR(__xludf.DUMMYFUNCTION("""COMPUTED_VALUE"""),0.0)</f>
        <v>0</v>
      </c>
      <c r="AB12" s="201">
        <f>IFERROR(__xludf.DUMMYFUNCTION("""COMPUTED_VALUE"""),0.0)</f>
        <v>0</v>
      </c>
      <c r="AC12" s="201">
        <f>IFERROR(__xludf.DUMMYFUNCTION("""COMPUTED_VALUE"""),0.0)</f>
        <v>0</v>
      </c>
      <c r="AD12" s="201">
        <f>IFERROR(__xludf.DUMMYFUNCTION("""COMPUTED_VALUE"""),0.0)</f>
        <v>0</v>
      </c>
      <c r="AE12" s="201">
        <f>IFERROR(__xludf.DUMMYFUNCTION("""COMPUTED_VALUE"""),0.0)</f>
        <v>0</v>
      </c>
      <c r="AF12" s="122"/>
      <c r="AG12" s="122"/>
      <c r="AH12" s="196" t="str">
        <f>IFERROR(__xludf.DUMMYFUNCTION("""COMPUTED_VALUE"""),"T2")</f>
        <v>T2</v>
      </c>
      <c r="AI12" s="222" t="str">
        <f>IFERROR(__xludf.DUMMYFUNCTION("""COMPUTED_VALUE"""),"myt_ye.lin22")</f>
        <v>myt_ye.lin22</v>
      </c>
      <c r="AJ12" s="199">
        <f>IFERROR(__xludf.DUMMYFUNCTION("""COMPUTED_VALUE"""),0.0)</f>
        <v>0</v>
      </c>
      <c r="AK12" s="199">
        <f>IFERROR(__xludf.DUMMYFUNCTION("""COMPUTED_VALUE"""),0.0)</f>
        <v>0</v>
      </c>
      <c r="AL12" s="199">
        <f>IFERROR(__xludf.DUMMYFUNCTION("""COMPUTED_VALUE"""),0.0)</f>
        <v>0</v>
      </c>
      <c r="AM12" s="199">
        <f>IFERROR(__xludf.DUMMYFUNCTION("""COMPUTED_VALUE"""),1.0)</f>
        <v>1</v>
      </c>
      <c r="AN12" s="199">
        <f>IFERROR(__xludf.DUMMYFUNCTION("""COMPUTED_VALUE"""),0.0)</f>
        <v>0</v>
      </c>
      <c r="AO12" s="213" t="str">
        <f>IFERROR(__xludf.DUMMYFUNCTION("""COMPUTED_VALUE"""),"")</f>
        <v/>
      </c>
      <c r="AP12" s="164">
        <f>IFERROR(__xludf.DUMMYFUNCTION("""COMPUTED_VALUE"""),0.0)</f>
        <v>0</v>
      </c>
      <c r="AQ12" s="164">
        <f>IFERROR(__xludf.DUMMYFUNCTION("""COMPUTED_VALUE"""),0.0)</f>
        <v>0</v>
      </c>
      <c r="AR12" s="164">
        <f>IFERROR(__xludf.DUMMYFUNCTION("""COMPUTED_VALUE"""),0.0)</f>
        <v>0</v>
      </c>
      <c r="AS12" s="164">
        <f>IFERROR(__xludf.DUMMYFUNCTION("""COMPUTED_VALUE"""),0.0)</f>
        <v>0</v>
      </c>
      <c r="AT12" s="164">
        <f>IFERROR(__xludf.DUMMYFUNCTION("""COMPUTED_VALUE"""),0.0)</f>
        <v>0</v>
      </c>
      <c r="AU12" s="122"/>
      <c r="AV12" s="122"/>
      <c r="AW12" s="196" t="str">
        <f>IFERROR(__xludf.DUMMYFUNCTION("""COMPUTED_VALUE"""),"T2")</f>
        <v>T2</v>
      </c>
      <c r="AX12" s="222" t="str">
        <f>IFERROR(__xludf.DUMMYFUNCTION("""COMPUTED_VALUE"""),"myt_ye.lin22")</f>
        <v>myt_ye.lin22</v>
      </c>
      <c r="AY12" s="199">
        <f>IFERROR(__xludf.DUMMYFUNCTION("""COMPUTED_VALUE"""),0.0)</f>
        <v>0</v>
      </c>
      <c r="AZ12" s="199">
        <f>IFERROR(__xludf.DUMMYFUNCTION("""COMPUTED_VALUE"""),0.0)</f>
        <v>0</v>
      </c>
      <c r="BA12" s="199">
        <f>IFERROR(__xludf.DUMMYFUNCTION("""COMPUTED_VALUE"""),0.0)</f>
        <v>0</v>
      </c>
      <c r="BB12" s="199">
        <f>IFERROR(__xludf.DUMMYFUNCTION("""COMPUTED_VALUE"""),0.0)</f>
        <v>0</v>
      </c>
      <c r="BC12" s="199">
        <f>IFERROR(__xludf.DUMMYFUNCTION("""COMPUTED_VALUE"""),0.0)</f>
        <v>0</v>
      </c>
      <c r="BD12" s="213" t="str">
        <f>IFERROR(__xludf.DUMMYFUNCTION("""COMPUTED_VALUE"""),"")</f>
        <v/>
      </c>
      <c r="BE12" s="201">
        <f>IFERROR(__xludf.DUMMYFUNCTION("""COMPUTED_VALUE"""),0.0)</f>
        <v>0</v>
      </c>
      <c r="BF12" s="201">
        <f>IFERROR(__xludf.DUMMYFUNCTION("""COMPUTED_VALUE"""),0.0)</f>
        <v>0</v>
      </c>
      <c r="BG12" s="201">
        <f>IFERROR(__xludf.DUMMYFUNCTION("""COMPUTED_VALUE"""),0.0)</f>
        <v>0</v>
      </c>
      <c r="BH12" s="201">
        <f>IFERROR(__xludf.DUMMYFUNCTION("""COMPUTED_VALUE"""),0.0)</f>
        <v>0</v>
      </c>
      <c r="BI12" s="201">
        <f>IFERROR(__xludf.DUMMYFUNCTION("""COMPUTED_VALUE"""),0.0)</f>
        <v>0</v>
      </c>
      <c r="BJ12" s="122"/>
      <c r="BK12" s="122"/>
      <c r="BL12" s="202" t="str">
        <f>IFERROR(__xludf.DUMMYFUNCTION("""COMPUTED_VALUE"""),"T2")</f>
        <v>T2</v>
      </c>
      <c r="BM12" s="204" t="str">
        <f>IFERROR(__xludf.DUMMYFUNCTION("""COMPUTED_VALUE"""),"myt_ye.lin22")</f>
        <v>myt_ye.lin22</v>
      </c>
      <c r="BN12" s="204" t="str">
        <f>IFERROR(__xludf.DUMMYFUNCTION("""COMPUTED_VALUE"""),"")</f>
        <v/>
      </c>
      <c r="BO12" s="184" t="str">
        <f>IFERROR(__xludf.DUMMYFUNCTION("""COMPUTED_VALUE"""),"")</f>
        <v/>
      </c>
      <c r="BP12" s="184" t="str">
        <f>IFERROR(__xludf.DUMMYFUNCTION("""COMPUTED_VALUE"""),"")</f>
        <v/>
      </c>
      <c r="BQ12" s="184" t="str">
        <f>IFERROR(__xludf.DUMMYFUNCTION("""COMPUTED_VALUE"""),"")</f>
        <v/>
      </c>
      <c r="BR12" s="184" t="str">
        <f>IFERROR(__xludf.DUMMYFUNCTION("""COMPUTED_VALUE"""),"")</f>
        <v/>
      </c>
      <c r="BS12" s="206">
        <f>IFERROR(__xludf.DUMMYFUNCTION("""COMPUTED_VALUE"""),0.0)</f>
        <v>0</v>
      </c>
      <c r="BT12" s="206">
        <f>IFERROR(__xludf.DUMMYFUNCTION("""COMPUTED_VALUE"""),0.0)</f>
        <v>0</v>
      </c>
      <c r="BU12" s="206">
        <f>IFERROR(__xludf.DUMMYFUNCTION("""COMPUTED_VALUE"""),0.0)</f>
        <v>0</v>
      </c>
      <c r="BV12" s="206">
        <f>IFERROR(__xludf.DUMMYFUNCTION("""COMPUTED_VALUE"""),0.0)</f>
        <v>0</v>
      </c>
      <c r="BW12" s="206">
        <f>IFERROR(__xludf.DUMMYFUNCTION("""COMPUTED_VALUE"""),0.0)</f>
        <v>0</v>
      </c>
      <c r="BX12" s="154"/>
      <c r="BY12" s="207" t="str">
        <f>IFERROR(__xludf.DUMMYFUNCTION("""COMPUTED_VALUE"""),"T2")</f>
        <v>T2</v>
      </c>
      <c r="BZ12" s="209" t="str">
        <f>IFERROR(__xludf.DUMMYFUNCTION("""COMPUTED_VALUE"""),"myt_ye.lin22")</f>
        <v>myt_ye.lin22</v>
      </c>
      <c r="CA12" s="209" t="str">
        <f>IFERROR(__xludf.DUMMYFUNCTION("""COMPUTED_VALUE"""),"")</f>
        <v/>
      </c>
      <c r="CB12" s="209" t="str">
        <f>IFERROR(__xludf.DUMMYFUNCTION("""COMPUTED_VALUE"""),"")</f>
        <v/>
      </c>
      <c r="CC12" s="184" t="str">
        <f>IFERROR(__xludf.DUMMYFUNCTION("""COMPUTED_VALUE"""),"")</f>
        <v/>
      </c>
      <c r="CD12" s="184" t="str">
        <f>IFERROR(__xludf.DUMMYFUNCTION("""COMPUTED_VALUE"""),"")</f>
        <v/>
      </c>
      <c r="CE12" s="209" t="str">
        <f>IFERROR(__xludf.DUMMYFUNCTION("""COMPUTED_VALUE"""),"")</f>
        <v/>
      </c>
      <c r="CF12" s="206">
        <f>IFERROR(__xludf.DUMMYFUNCTION("""COMPUTED_VALUE"""),0.0)</f>
        <v>0</v>
      </c>
      <c r="CG12" s="206">
        <f>IFERROR(__xludf.DUMMYFUNCTION("""COMPUTED_VALUE"""),0.0)</f>
        <v>0</v>
      </c>
      <c r="CH12" s="206">
        <f>IFERROR(__xludf.DUMMYFUNCTION("""COMPUTED_VALUE"""),0.0)</f>
        <v>0</v>
      </c>
      <c r="CI12" s="206">
        <f>IFERROR(__xludf.DUMMYFUNCTION("""COMPUTED_VALUE"""),0.0)</f>
        <v>0</v>
      </c>
      <c r="CJ12" s="206">
        <f>IFERROR(__xludf.DUMMYFUNCTION("""COMPUTED_VALUE"""),0.0)</f>
        <v>0</v>
      </c>
    </row>
    <row r="13">
      <c r="A13" s="173">
        <f>IFERROR(__xludf.DUMMYFUNCTION("""COMPUTED_VALUE"""),16.0)</f>
        <v>16</v>
      </c>
      <c r="B13" s="173">
        <f>IFERROR(__xludf.DUMMYFUNCTION("""COMPUTED_VALUE"""),11.0)</f>
        <v>11</v>
      </c>
      <c r="C13" s="174" t="str">
        <f>IFERROR(__xludf.DUMMYFUNCTION("""COMPUTED_VALUE"""),"Repair infrastruct")</f>
        <v>Repair infrastruct</v>
      </c>
      <c r="D13" s="173" t="str">
        <f>IFERROR(__xludf.DUMMYFUNCTION("""COMPUTED_VALUE"""),"Total: 7 | TNI0220, TNI0049, TNI0264, TNI0006, TNI0073, TNI0247, TNI0046")</f>
        <v>Total: 7 | TNI0220, TNI0049, TNI0264, TNI0006, TNI0073, TNI0247, TNI0046</v>
      </c>
      <c r="E13" s="173" t="str">
        <f>IFERROR(__xludf.DUMMYFUNCTION("""COMPUTED_VALUE"""),"Total: 9 | TNI0381, TNI0371, TNI0516, TNI0324, TNI0261, TNI0252, TNI0200, TNI0258, TNI0077")</f>
        <v>Total: 9 | TNI0381, TNI0371, TNI0516, TNI0324, TNI0261, TNI0252, TNI0200, TNI0258, TNI0077</v>
      </c>
      <c r="F13" s="173" t="str">
        <f>IFERROR(__xludf.DUMMYFUNCTION("""COMPUTED_VALUE"""),"-")</f>
        <v>-</v>
      </c>
      <c r="G13" s="173" t="str">
        <f>IFERROR(__xludf.DUMMYFUNCTION("""COMPUTED_VALUE"""),"-")</f>
        <v>-</v>
      </c>
      <c r="H13" s="173" t="str">
        <f>IFERROR(__xludf.DUMMYFUNCTION("""COMPUTED_VALUE"""),"-")</f>
        <v>-</v>
      </c>
      <c r="K13" s="175" t="str">
        <f>IFERROR(__xludf.DUMMYFUNCTION("""COMPUTED_VALUE"""),"Asset")</f>
        <v>Asset</v>
      </c>
      <c r="L13" s="175" t="str">
        <f>IFERROR(__xludf.DUMMYFUNCTION("""COMPUTED_VALUE"""),"Take photo Serial,asset &amp;: received feedback ")</f>
        <v>Take photo Serial,asset &amp;: received feedback </v>
      </c>
      <c r="M13" s="136" t="str">
        <f>IFERROR(__xludf.DUMMYFUNCTION("""COMPUTED_VALUE"""),"-")</f>
        <v>-</v>
      </c>
      <c r="N13" s="136" t="str">
        <f>IFERROR(__xludf.DUMMYFUNCTION("""COMPUTED_VALUE"""),"-")</f>
        <v>-</v>
      </c>
      <c r="O13" s="115" t="str">
        <f>IFERROR(__xludf.DUMMYFUNCTION("""COMPUTED_VALUE"""),"Export new pu_2pcs from VCM BRANCH OFFICE, when u received ")</f>
        <v>Export new pu_2pcs from VCM BRANCH OFFICE, when u received </v>
      </c>
      <c r="P13" s="136" t="str">
        <f>IFERROR(__xludf.DUMMYFUNCTION("""COMPUTED_VALUE"""),"-")</f>
        <v>-</v>
      </c>
      <c r="S13" s="223" t="str">
        <f>IFERROR(__xludf.DUMMYFUNCTION("""COMPUTED_VALUE"""),"T1")</f>
        <v>T1</v>
      </c>
      <c r="T13" s="224" t="str">
        <f>IFERROR(__xludf.DUMMYFUNCTION("""COMPUTED_VALUE"""),"myt_aunglwin.phyo")</f>
        <v>myt_aunglwin.phyo</v>
      </c>
      <c r="U13" s="199">
        <f>IFERROR(__xludf.DUMMYFUNCTION("""COMPUTED_VALUE"""),4.0)</f>
        <v>4</v>
      </c>
      <c r="V13" s="225">
        <f>IFERROR(__xludf.DUMMYFUNCTION("""COMPUTED_VALUE"""),2.0)</f>
        <v>2</v>
      </c>
      <c r="W13" s="225">
        <f>IFERROR(__xludf.DUMMYFUNCTION("""COMPUTED_VALUE"""),1.0)</f>
        <v>1</v>
      </c>
      <c r="X13" s="225">
        <f>IFERROR(__xludf.DUMMYFUNCTION("""COMPUTED_VALUE"""),0.0)</f>
        <v>0</v>
      </c>
      <c r="Y13" s="199">
        <f>IFERROR(__xludf.DUMMYFUNCTION("""COMPUTED_VALUE"""),0.0)</f>
        <v>0</v>
      </c>
      <c r="Z13" s="226" t="str">
        <f>IFERROR(__xludf.DUMMYFUNCTION("""COMPUTED_VALUE"""),"")</f>
        <v/>
      </c>
      <c r="AA13" s="201">
        <f>IFERROR(__xludf.DUMMYFUNCTION("""COMPUTED_VALUE"""),0.0)</f>
        <v>0</v>
      </c>
      <c r="AB13" s="201">
        <f>IFERROR(__xludf.DUMMYFUNCTION("""COMPUTED_VALUE"""),0.0)</f>
        <v>0</v>
      </c>
      <c r="AC13" s="214">
        <f>IFERROR(__xludf.DUMMYFUNCTION("""COMPUTED_VALUE"""),0.0)</f>
        <v>0</v>
      </c>
      <c r="AD13" s="201">
        <f>IFERROR(__xludf.DUMMYFUNCTION("""COMPUTED_VALUE"""),0.0)</f>
        <v>0</v>
      </c>
      <c r="AE13" s="201">
        <f>IFERROR(__xludf.DUMMYFUNCTION("""COMPUTED_VALUE"""),0.0)</f>
        <v>0</v>
      </c>
      <c r="AF13" s="122"/>
      <c r="AG13" s="122"/>
      <c r="AH13" s="223" t="str">
        <f>IFERROR(__xludf.DUMMYFUNCTION("""COMPUTED_VALUE"""),"T1")</f>
        <v>T1</v>
      </c>
      <c r="AI13" s="224" t="str">
        <f>IFERROR(__xludf.DUMMYFUNCTION("""COMPUTED_VALUE"""),"myt_aunglwin.phyo")</f>
        <v>myt_aunglwin.phyo</v>
      </c>
      <c r="AJ13" s="199">
        <f>IFERROR(__xludf.DUMMYFUNCTION("""COMPUTED_VALUE"""),4.0)</f>
        <v>4</v>
      </c>
      <c r="AK13" s="225">
        <f>IFERROR(__xludf.DUMMYFUNCTION("""COMPUTED_VALUE"""),2.0)</f>
        <v>2</v>
      </c>
      <c r="AL13" s="225">
        <f>IFERROR(__xludf.DUMMYFUNCTION("""COMPUTED_VALUE"""),1.0)</f>
        <v>1</v>
      </c>
      <c r="AM13" s="225">
        <f>IFERROR(__xludf.DUMMYFUNCTION("""COMPUTED_VALUE"""),0.0)</f>
        <v>0</v>
      </c>
      <c r="AN13" s="199">
        <f>IFERROR(__xludf.DUMMYFUNCTION("""COMPUTED_VALUE"""),0.0)</f>
        <v>0</v>
      </c>
      <c r="AO13" s="226" t="str">
        <f>IFERROR(__xludf.DUMMYFUNCTION("""COMPUTED_VALUE"""),"")</f>
        <v/>
      </c>
      <c r="AP13" s="164">
        <f>IFERROR(__xludf.DUMMYFUNCTION("""COMPUTED_VALUE"""),1.0)</f>
        <v>1</v>
      </c>
      <c r="AQ13" s="164">
        <f>IFERROR(__xludf.DUMMYFUNCTION("""COMPUTED_VALUE"""),0.0)</f>
        <v>0</v>
      </c>
      <c r="AR13" s="215">
        <f>IFERROR(__xludf.DUMMYFUNCTION("""COMPUTED_VALUE"""),0.0)</f>
        <v>0</v>
      </c>
      <c r="AS13" s="164">
        <f>IFERROR(__xludf.DUMMYFUNCTION("""COMPUTED_VALUE"""),0.0)</f>
        <v>0</v>
      </c>
      <c r="AT13" s="164">
        <f>IFERROR(__xludf.DUMMYFUNCTION("""COMPUTED_VALUE"""),0.0)</f>
        <v>0</v>
      </c>
      <c r="AU13" s="122"/>
      <c r="AV13" s="122"/>
      <c r="AW13" s="223" t="str">
        <f>IFERROR(__xludf.DUMMYFUNCTION("""COMPUTED_VALUE"""),"T1")</f>
        <v>T1</v>
      </c>
      <c r="AX13" s="224" t="str">
        <f>IFERROR(__xludf.DUMMYFUNCTION("""COMPUTED_VALUE"""),"myt_aunglwin.phyo")</f>
        <v>myt_aunglwin.phyo</v>
      </c>
      <c r="AY13" s="199">
        <f>IFERROR(__xludf.DUMMYFUNCTION("""COMPUTED_VALUE"""),3.0)</f>
        <v>3</v>
      </c>
      <c r="AZ13" s="199">
        <f>IFERROR(__xludf.DUMMYFUNCTION("""COMPUTED_VALUE"""),1.0)</f>
        <v>1</v>
      </c>
      <c r="BA13" s="225">
        <f>IFERROR(__xludf.DUMMYFUNCTION("""COMPUTED_VALUE"""),1.0)</f>
        <v>1</v>
      </c>
      <c r="BB13" s="225">
        <f>IFERROR(__xludf.DUMMYFUNCTION("""COMPUTED_VALUE"""),0.0)</f>
        <v>0</v>
      </c>
      <c r="BC13" s="199">
        <f>IFERROR(__xludf.DUMMYFUNCTION("""COMPUTED_VALUE"""),0.0)</f>
        <v>0</v>
      </c>
      <c r="BD13" s="226" t="str">
        <f>IFERROR(__xludf.DUMMYFUNCTION("""COMPUTED_VALUE"""),"")</f>
        <v/>
      </c>
      <c r="BE13" s="201">
        <f>IFERROR(__xludf.DUMMYFUNCTION("""COMPUTED_VALUE"""),1.0)</f>
        <v>1</v>
      </c>
      <c r="BF13" s="201">
        <f>IFERROR(__xludf.DUMMYFUNCTION("""COMPUTED_VALUE"""),0.0)</f>
        <v>0</v>
      </c>
      <c r="BG13" s="216">
        <f>IFERROR(__xludf.DUMMYFUNCTION("""COMPUTED_VALUE"""),0.0)</f>
        <v>0</v>
      </c>
      <c r="BH13" s="201">
        <f>IFERROR(__xludf.DUMMYFUNCTION("""COMPUTED_VALUE"""),0.0)</f>
        <v>0</v>
      </c>
      <c r="BI13" s="201">
        <f>IFERROR(__xludf.DUMMYFUNCTION("""COMPUTED_VALUE"""),0.0)</f>
        <v>0</v>
      </c>
      <c r="BJ13" s="122"/>
      <c r="BK13" s="122"/>
      <c r="BL13" s="202" t="str">
        <f>IFERROR(__xludf.DUMMYFUNCTION("""COMPUTED_VALUE"""),"T1")</f>
        <v>T1</v>
      </c>
      <c r="BM13" s="203" t="str">
        <f>IFERROR(__xludf.DUMMYFUNCTION("""COMPUTED_VALUE"""),"myt_aunglwin.phyo")</f>
        <v>myt_aunglwin.phyo</v>
      </c>
      <c r="BN13" s="202" t="str">
        <f>IFERROR(__xludf.DUMMYFUNCTION("""COMPUTED_VALUE"""),"")</f>
        <v/>
      </c>
      <c r="BO13" s="205" t="str">
        <f>IFERROR(__xludf.DUMMYFUNCTION("""COMPUTED_VALUE"""),"")</f>
        <v/>
      </c>
      <c r="BP13" s="205" t="str">
        <f>IFERROR(__xludf.DUMMYFUNCTION("""COMPUTED_VALUE"""),"")</f>
        <v/>
      </c>
      <c r="BQ13" s="205" t="str">
        <f>IFERROR(__xludf.DUMMYFUNCTION("""COMPUTED_VALUE"""),"")</f>
        <v/>
      </c>
      <c r="BR13" s="205" t="str">
        <f>IFERROR(__xludf.DUMMYFUNCTION("""COMPUTED_VALUE"""),"")</f>
        <v/>
      </c>
      <c r="BS13" s="206">
        <f>IFERROR(__xludf.DUMMYFUNCTION("""COMPUTED_VALUE"""),1.0)</f>
        <v>1</v>
      </c>
      <c r="BT13" s="206">
        <f>IFERROR(__xludf.DUMMYFUNCTION("""COMPUTED_VALUE"""),0.0)</f>
        <v>0</v>
      </c>
      <c r="BU13" s="217">
        <f>IFERROR(__xludf.DUMMYFUNCTION("""COMPUTED_VALUE"""),0.0)</f>
        <v>0</v>
      </c>
      <c r="BV13" s="206">
        <f>IFERROR(__xludf.DUMMYFUNCTION("""COMPUTED_VALUE"""),0.0)</f>
        <v>0</v>
      </c>
      <c r="BW13" s="206">
        <f>IFERROR(__xludf.DUMMYFUNCTION("""COMPUTED_VALUE"""),0.0)</f>
        <v>0</v>
      </c>
      <c r="BX13" s="154"/>
      <c r="BY13" s="207" t="str">
        <f>IFERROR(__xludf.DUMMYFUNCTION("""COMPUTED_VALUE"""),"T1")</f>
        <v>T1</v>
      </c>
      <c r="BZ13" s="208" t="str">
        <f>IFERROR(__xludf.DUMMYFUNCTION("""COMPUTED_VALUE"""),"myt_aunglwin.phyo")</f>
        <v>myt_aunglwin.phyo</v>
      </c>
      <c r="CA13" s="209" t="str">
        <f>IFERROR(__xludf.DUMMYFUNCTION("""COMPUTED_VALUE"""),"")</f>
        <v/>
      </c>
      <c r="CB13" s="210" t="str">
        <f>IFERROR(__xludf.DUMMYFUNCTION("""COMPUTED_VALUE"""),"")</f>
        <v/>
      </c>
      <c r="CC13" s="205" t="str">
        <f>IFERROR(__xludf.DUMMYFUNCTION("""COMPUTED_VALUE"""),"")</f>
        <v/>
      </c>
      <c r="CD13" s="205" t="str">
        <f>IFERROR(__xludf.DUMMYFUNCTION("""COMPUTED_VALUE"""),"")</f>
        <v/>
      </c>
      <c r="CE13" s="210" t="str">
        <f>IFERROR(__xludf.DUMMYFUNCTION("""COMPUTED_VALUE"""),"")</f>
        <v/>
      </c>
      <c r="CF13" s="206">
        <f>IFERROR(__xludf.DUMMYFUNCTION("""COMPUTED_VALUE"""),0.0)</f>
        <v>0</v>
      </c>
      <c r="CG13" s="206">
        <f>IFERROR(__xludf.DUMMYFUNCTION("""COMPUTED_VALUE"""),0.0)</f>
        <v>0</v>
      </c>
      <c r="CH13" s="206">
        <f>IFERROR(__xludf.DUMMYFUNCTION("""COMPUTED_VALUE"""),0.0)</f>
        <v>0</v>
      </c>
      <c r="CI13" s="206">
        <f>IFERROR(__xludf.DUMMYFUNCTION("""COMPUTED_VALUE"""),0.0)</f>
        <v>0</v>
      </c>
      <c r="CJ13" s="206">
        <f>IFERROR(__xludf.DUMMYFUNCTION("""COMPUTED_VALUE"""),0.0)</f>
        <v>0</v>
      </c>
    </row>
    <row r="14">
      <c r="A14" s="156">
        <f>IFERROR(__xludf.DUMMYFUNCTION("""COMPUTED_VALUE"""),4.0)</f>
        <v>4</v>
      </c>
      <c r="B14" s="156">
        <f>IFERROR(__xludf.DUMMYFUNCTION("""COMPUTED_VALUE"""),14.0)</f>
        <v>14</v>
      </c>
      <c r="C14" s="194" t="str">
        <f>IFERROR(__xludf.DUMMYFUNCTION("""COMPUTED_VALUE"""),"5s ")</f>
        <v>5s </v>
      </c>
      <c r="D14" s="156" t="str">
        <f>IFERROR(__xludf.DUMMYFUNCTION("""COMPUTED_VALUE"""),"Total: 2 | TNI_ te, TNI_tea")</f>
        <v>Total: 2 | TNI_ te, TNI_tea</v>
      </c>
      <c r="E14" s="156" t="str">
        <f>IFERROR(__xludf.DUMMYFUNCTION("""COMPUTED_VALUE"""),"Total: 2 | TNI_ te, TNI_tea")</f>
        <v>Total: 2 | TNI_ te, TNI_tea</v>
      </c>
      <c r="F14" s="156" t="str">
        <f>IFERROR(__xludf.DUMMYFUNCTION("""COMPUTED_VALUE"""),"-")</f>
        <v>-</v>
      </c>
      <c r="G14" s="156" t="str">
        <f>IFERROR(__xludf.DUMMYFUNCTION("""COMPUTED_VALUE"""),"-")</f>
        <v>-</v>
      </c>
      <c r="H14" s="156" t="str">
        <f>IFERROR(__xludf.DUMMYFUNCTION("""COMPUTED_VALUE"""),"-")</f>
        <v>-</v>
      </c>
      <c r="K14" s="120" t="str">
        <f>IFERROR(__xludf.DUMMYFUNCTION("""COMPUTED_VALUE"""),"CM")</f>
        <v>CM</v>
      </c>
      <c r="L14" s="120" t="str">
        <f>IFERROR(__xludf.DUMMYFUNCTION("""COMPUTED_VALUE"""),"Request Export material")</f>
        <v>Request Export material</v>
      </c>
      <c r="M14" s="159" t="str">
        <f>IFERROR(__xludf.DUMMYFUNCTION("""COMPUTED_VALUE"""),"TNI0049 + TNI0038 + TNI0049 + TNI0213 + TNI0146 + TNI0038 + TNI0333 + TNI0314 + TNI0331 + TNI0206 + TNI0273 + TNI0041 + TNI0206 + TNI0188 + TNI0213 + TNI0312 + TNI0306 + TNI0306 + TNI0206 + TNI0206 + TNI0306 + TNI0095 + TNI0188 + TNI0306 + TNI0331 + TNI00"&amp;"06 + TNI0006 + TNI0031")</f>
        <v>TNI0049 + TNI0038 + TNI0049 + TNI0213 + TNI0146 + TNI0038 + TNI0333 + TNI0314 + TNI0331 + TNI0206 + TNI0273 + TNI0041 + TNI0206 + TNI0188 + TNI0213 + TNI0312 + TNI0306 + TNI0306 + TNI0206 + TNI0206 + TNI0306 + TNI0095 + TNI0188 + TNI0306 + TNI0331 + TNI0006 + TNI0006 + TNI0031</v>
      </c>
      <c r="N14" s="159" t="str">
        <f>IFERROR(__xludf.DUMMYFUNCTION("""COMPUTED_VALUE"""),"TNI0280 + TNI0007 + TNI0159 + TNI0005 + TNI0290 + TNI0290 + TNI0291 + TNI0290 + TNI0007 + TNI0237 + TNI0122 + TNI0164 + TNI0007 + TNI0003")</f>
        <v>TNI0280 + TNI0007 + TNI0159 + TNI0005 + TNI0290 + TNI0290 + TNI0291 + TNI0290 + TNI0007 + TNI0237 + TNI0122 + TNI0164 + TNI0007 + TNI0003</v>
      </c>
      <c r="O14" s="159" t="str">
        <f>IFERROR(__xludf.DUMMYFUNCTION("""COMPUTED_VALUE"""),"TNI0212 + TNI0292 + TNI0212 + TNI0008 + TNI0507 + TNI0212 + TNI0004 + TNI0507 + TNI0212 + TNI0004 + TNI0009 + TNI0507 + TNI0009 + TNI0004")</f>
        <v>TNI0212 + TNI0292 + TNI0212 + TNI0008 + TNI0507 + TNI0212 + TNI0004 + TNI0507 + TNI0212 + TNI0004 + TNI0009 + TNI0507 + TNI0009 + TNI0004</v>
      </c>
      <c r="P14" s="159" t="str">
        <f>IFERROR(__xludf.DUMMYFUNCTION("""COMPUTED_VALUE"""),"TNI0229 + TNI0015 + TNI0012 + TNI0057 + TNI0311")</f>
        <v>TNI0229 + TNI0015 + TNI0012 + TNI0057 + TNI0311</v>
      </c>
      <c r="S14" s="223" t="str">
        <f>IFERROR(__xludf.DUMMYFUNCTION("""COMPUTED_VALUE"""),"T3 S1")</f>
        <v>T3 S1</v>
      </c>
      <c r="T14" s="224" t="str">
        <f>IFERROR(__xludf.DUMMYFUNCTION("""COMPUTED_VALUE"""),"myt_tinnaing.lin11")</f>
        <v>myt_tinnaing.lin11</v>
      </c>
      <c r="U14" s="199">
        <f>IFERROR(__xludf.DUMMYFUNCTION("""COMPUTED_VALUE"""),5.0)</f>
        <v>5</v>
      </c>
      <c r="V14" s="199">
        <f>IFERROR(__xludf.DUMMYFUNCTION("""COMPUTED_VALUE"""),2.0)</f>
        <v>2</v>
      </c>
      <c r="W14" s="199">
        <f>IFERROR(__xludf.DUMMYFUNCTION("""COMPUTED_VALUE"""),0.0)</f>
        <v>0</v>
      </c>
      <c r="X14" s="225">
        <f>IFERROR(__xludf.DUMMYFUNCTION("""COMPUTED_VALUE"""),0.0)</f>
        <v>0</v>
      </c>
      <c r="Y14" s="199">
        <f>IFERROR(__xludf.DUMMYFUNCTION("""COMPUTED_VALUE"""),0.0)</f>
        <v>0</v>
      </c>
      <c r="Z14" s="147" t="str">
        <f>IFERROR(__xludf.DUMMYFUNCTION("""COMPUTED_VALUE"""),"8KVA: 2 &lt;+&gt; 12KVA: 2 &lt;+&gt; 30KVA: 0 &lt;+&gt; 12DKVA: 0")</f>
        <v>8KVA: 2 &lt;+&gt; 12KVA: 2 &lt;+&gt; 30KVA: 0 &lt;+&gt; 12DKVA: 0</v>
      </c>
      <c r="AA14" s="201">
        <f>IFERROR(__xludf.DUMMYFUNCTION("""COMPUTED_VALUE"""),2.0)</f>
        <v>2</v>
      </c>
      <c r="AB14" s="201">
        <f>IFERROR(__xludf.DUMMYFUNCTION("""COMPUTED_VALUE"""),1.0)</f>
        <v>1</v>
      </c>
      <c r="AC14" s="201">
        <f>IFERROR(__xludf.DUMMYFUNCTION("""COMPUTED_VALUE"""),0.0)</f>
        <v>0</v>
      </c>
      <c r="AD14" s="201">
        <f>IFERROR(__xludf.DUMMYFUNCTION("""COMPUTED_VALUE"""),0.0)</f>
        <v>0</v>
      </c>
      <c r="AE14" s="201">
        <f>IFERROR(__xludf.DUMMYFUNCTION("""COMPUTED_VALUE"""),0.0)</f>
        <v>0</v>
      </c>
      <c r="AF14" s="122"/>
      <c r="AG14" s="122"/>
      <c r="AH14" s="223" t="str">
        <f>IFERROR(__xludf.DUMMYFUNCTION("""COMPUTED_VALUE"""),"T3 S1")</f>
        <v>T3 S1</v>
      </c>
      <c r="AI14" s="224" t="str">
        <f>IFERROR(__xludf.DUMMYFUNCTION("""COMPUTED_VALUE"""),"myt_tinnaing.lin11")</f>
        <v>myt_tinnaing.lin11</v>
      </c>
      <c r="AJ14" s="199">
        <f>IFERROR(__xludf.DUMMYFUNCTION("""COMPUTED_VALUE"""),5.0)</f>
        <v>5</v>
      </c>
      <c r="AK14" s="199">
        <f>IFERROR(__xludf.DUMMYFUNCTION("""COMPUTED_VALUE"""),2.0)</f>
        <v>2</v>
      </c>
      <c r="AL14" s="199">
        <f>IFERROR(__xludf.DUMMYFUNCTION("""COMPUTED_VALUE"""),0.0)</f>
        <v>0</v>
      </c>
      <c r="AM14" s="225">
        <f>IFERROR(__xludf.DUMMYFUNCTION("""COMPUTED_VALUE"""),0.0)</f>
        <v>0</v>
      </c>
      <c r="AN14" s="199">
        <f>IFERROR(__xludf.DUMMYFUNCTION("""COMPUTED_VALUE"""),0.0)</f>
        <v>0</v>
      </c>
      <c r="AO14" s="147" t="str">
        <f>IFERROR(__xludf.DUMMYFUNCTION("""COMPUTED_VALUE"""),"8KVA: 2 &lt;+&gt; 12KVA: 2 &lt;+&gt; 30KVA: 0 &lt;+&gt; 12DKVA: 0")</f>
        <v>8KVA: 2 &lt;+&gt; 12KVA: 2 &lt;+&gt; 30KVA: 0 &lt;+&gt; 12DKVA: 0</v>
      </c>
      <c r="AP14" s="164">
        <f>IFERROR(__xludf.DUMMYFUNCTION("""COMPUTED_VALUE"""),2.0)</f>
        <v>2</v>
      </c>
      <c r="AQ14" s="164">
        <f>IFERROR(__xludf.DUMMYFUNCTION("""COMPUTED_VALUE"""),1.0)</f>
        <v>1</v>
      </c>
      <c r="AR14" s="164">
        <f>IFERROR(__xludf.DUMMYFUNCTION("""COMPUTED_VALUE"""),0.0)</f>
        <v>0</v>
      </c>
      <c r="AS14" s="164">
        <f>IFERROR(__xludf.DUMMYFUNCTION("""COMPUTED_VALUE"""),0.0)</f>
        <v>0</v>
      </c>
      <c r="AT14" s="164">
        <f>IFERROR(__xludf.DUMMYFUNCTION("""COMPUTED_VALUE"""),0.0)</f>
        <v>0</v>
      </c>
      <c r="AU14" s="122"/>
      <c r="AV14" s="122"/>
      <c r="AW14" s="223" t="str">
        <f>IFERROR(__xludf.DUMMYFUNCTION("""COMPUTED_VALUE"""),"T3 S1")</f>
        <v>T3 S1</v>
      </c>
      <c r="AX14" s="224" t="str">
        <f>IFERROR(__xludf.DUMMYFUNCTION("""COMPUTED_VALUE"""),"myt_tinnaing.lin11")</f>
        <v>myt_tinnaing.lin11</v>
      </c>
      <c r="AY14" s="199">
        <f>IFERROR(__xludf.DUMMYFUNCTION("""COMPUTED_VALUE"""),2.0)</f>
        <v>2</v>
      </c>
      <c r="AZ14" s="199">
        <f>IFERROR(__xludf.DUMMYFUNCTION("""COMPUTED_VALUE"""),2.0)</f>
        <v>2</v>
      </c>
      <c r="BA14" s="199">
        <f>IFERROR(__xludf.DUMMYFUNCTION("""COMPUTED_VALUE"""),0.0)</f>
        <v>0</v>
      </c>
      <c r="BB14" s="225">
        <f>IFERROR(__xludf.DUMMYFUNCTION("""COMPUTED_VALUE"""),0.0)</f>
        <v>0</v>
      </c>
      <c r="BC14" s="199">
        <f>IFERROR(__xludf.DUMMYFUNCTION("""COMPUTED_VALUE"""),0.0)</f>
        <v>0</v>
      </c>
      <c r="BD14" s="147" t="str">
        <f>IFERROR(__xludf.DUMMYFUNCTION("""COMPUTED_VALUE"""),"8KVA: 2 &lt;+&gt; 12KVA: 0 &lt;+&gt; 30KVA: 0 &lt;+&gt; 12DKVA: 0")</f>
        <v>8KVA: 2 &lt;+&gt; 12KVA: 0 &lt;+&gt; 30KVA: 0 &lt;+&gt; 12DKVA: 0</v>
      </c>
      <c r="BE14" s="201">
        <f>IFERROR(__xludf.DUMMYFUNCTION("""COMPUTED_VALUE"""),2.0)</f>
        <v>2</v>
      </c>
      <c r="BF14" s="201">
        <f>IFERROR(__xludf.DUMMYFUNCTION("""COMPUTED_VALUE"""),0.0)</f>
        <v>0</v>
      </c>
      <c r="BG14" s="201">
        <f>IFERROR(__xludf.DUMMYFUNCTION("""COMPUTED_VALUE"""),0.0)</f>
        <v>0</v>
      </c>
      <c r="BH14" s="201">
        <f>IFERROR(__xludf.DUMMYFUNCTION("""COMPUTED_VALUE"""),0.0)</f>
        <v>0</v>
      </c>
      <c r="BI14" s="201">
        <f>IFERROR(__xludf.DUMMYFUNCTION("""COMPUTED_VALUE"""),0.0)</f>
        <v>0</v>
      </c>
      <c r="BJ14" s="122"/>
      <c r="BK14" s="122"/>
      <c r="BL14" s="202" t="str">
        <f>IFERROR(__xludf.DUMMYFUNCTION("""COMPUTED_VALUE"""),"T3 S1")</f>
        <v>T3 S1</v>
      </c>
      <c r="BM14" s="203" t="str">
        <f>IFERROR(__xludf.DUMMYFUNCTION("""COMPUTED_VALUE"""),"myt_tinnaing.lin11")</f>
        <v>myt_tinnaing.lin11</v>
      </c>
      <c r="BN14" s="202" t="str">
        <f>IFERROR(__xludf.DUMMYFUNCTION("""COMPUTED_VALUE"""),"")</f>
        <v/>
      </c>
      <c r="BO14" s="184" t="str">
        <f>IFERROR(__xludf.DUMMYFUNCTION("""COMPUTED_VALUE"""),"8KVA: 2 &lt;+&gt; 12KVA: 2 &lt;+&gt; 30KVA: 0 &lt;+&gt; 12DKVA: 0")</f>
        <v>8KVA: 2 &lt;+&gt; 12KVA: 2 &lt;+&gt; 30KVA: 0 &lt;+&gt; 12DKVA: 0</v>
      </c>
      <c r="BP14" s="184">
        <f>IFERROR(__xludf.DUMMYFUNCTION("""COMPUTED_VALUE"""),27.2)</f>
        <v>27.2</v>
      </c>
      <c r="BQ14" s="184">
        <f>IFERROR(__xludf.DUMMYFUNCTION("""COMPUTED_VALUE"""),44.0)</f>
        <v>44</v>
      </c>
      <c r="BR14" s="184">
        <f>IFERROR(__xludf.DUMMYFUNCTION("""COMPUTED_VALUE"""),16.8)</f>
        <v>16.8</v>
      </c>
      <c r="BS14" s="206">
        <f>IFERROR(__xludf.DUMMYFUNCTION("""COMPUTED_VALUE"""),2.0)</f>
        <v>2</v>
      </c>
      <c r="BT14" s="206">
        <f>IFERROR(__xludf.DUMMYFUNCTION("""COMPUTED_VALUE"""),1.0)</f>
        <v>1</v>
      </c>
      <c r="BU14" s="206">
        <f>IFERROR(__xludf.DUMMYFUNCTION("""COMPUTED_VALUE"""),0.0)</f>
        <v>0</v>
      </c>
      <c r="BV14" s="217">
        <f>IFERROR(__xludf.DUMMYFUNCTION("""COMPUTED_VALUE"""),0.0)</f>
        <v>0</v>
      </c>
      <c r="BW14" s="206">
        <f>IFERROR(__xludf.DUMMYFUNCTION("""COMPUTED_VALUE"""),0.0)</f>
        <v>0</v>
      </c>
      <c r="BX14" s="154"/>
      <c r="BY14" s="207" t="str">
        <f>IFERROR(__xludf.DUMMYFUNCTION("""COMPUTED_VALUE"""),"T3 S1")</f>
        <v>T3 S1</v>
      </c>
      <c r="BZ14" s="208" t="str">
        <f>IFERROR(__xludf.DUMMYFUNCTION("""COMPUTED_VALUE"""),"myt_tinnaing.lin11")</f>
        <v>myt_tinnaing.lin11</v>
      </c>
      <c r="CA14" s="209" t="str">
        <f>IFERROR(__xludf.DUMMYFUNCTION("""COMPUTED_VALUE"""),"")</f>
        <v/>
      </c>
      <c r="CB14" s="209" t="str">
        <f>IFERROR(__xludf.DUMMYFUNCTION("""COMPUTED_VALUE"""),"8KVA: 0 &lt;+&gt; 12KVA: 0 &lt;+&gt; 30KVA: 0 &lt;+&gt; 12DKVA: 0")</f>
        <v>8KVA: 0 &lt;+&gt; 12KVA: 0 &lt;+&gt; 30KVA: 0 &lt;+&gt; 12DKVA: 0</v>
      </c>
      <c r="CC14" s="184">
        <f>IFERROR(__xludf.DUMMYFUNCTION("""COMPUTED_VALUE"""),0.0)</f>
        <v>0</v>
      </c>
      <c r="CD14" s="184">
        <f>IFERROR(__xludf.DUMMYFUNCTION("""COMPUTED_VALUE"""),25.0)</f>
        <v>25</v>
      </c>
      <c r="CE14" s="209">
        <f>IFERROR(__xludf.DUMMYFUNCTION("""COMPUTED_VALUE"""),25.0)</f>
        <v>25</v>
      </c>
      <c r="CF14" s="206">
        <f>IFERROR(__xludf.DUMMYFUNCTION("""COMPUTED_VALUE"""),0.0)</f>
        <v>0</v>
      </c>
      <c r="CG14" s="206">
        <f>IFERROR(__xludf.DUMMYFUNCTION("""COMPUTED_VALUE"""),0.0)</f>
        <v>0</v>
      </c>
      <c r="CH14" s="206">
        <f>IFERROR(__xludf.DUMMYFUNCTION("""COMPUTED_VALUE"""),0.0)</f>
        <v>0</v>
      </c>
      <c r="CI14" s="206">
        <f>IFERROR(__xludf.DUMMYFUNCTION("""COMPUTED_VALUE"""),0.0)</f>
        <v>0</v>
      </c>
      <c r="CJ14" s="206">
        <f>IFERROR(__xludf.DUMMYFUNCTION("""COMPUTED_VALUE"""),0.0)</f>
        <v>0</v>
      </c>
    </row>
    <row r="15">
      <c r="A15" s="173">
        <f>IFERROR(__xludf.DUMMYFUNCTION("""COMPUTED_VALUE"""),3.0)</f>
        <v>3</v>
      </c>
      <c r="B15" s="173">
        <f>IFERROR(__xludf.DUMMYFUNCTION("""COMPUTED_VALUE"""),16.0)</f>
        <v>16</v>
      </c>
      <c r="C15" s="174" t="str">
        <f>IFERROR(__xludf.DUMMYFUNCTION("""COMPUTED_VALUE"""),"FTTH")</f>
        <v>FTTH</v>
      </c>
      <c r="D15" s="173" t="str">
        <f>IFERROR(__xludf.DUMMYFUNCTION("""COMPUTED_VALUE"""),"Total: 3 | TNI0275, TNI0251, TNI0231")</f>
        <v>Total: 3 | TNI0275, TNI0251, TNI0231</v>
      </c>
      <c r="E15" s="173" t="str">
        <f>IFERROR(__xludf.DUMMYFUNCTION("""COMPUTED_VALUE"""),"-")</f>
        <v>-</v>
      </c>
      <c r="F15" s="173" t="str">
        <f>IFERROR(__xludf.DUMMYFUNCTION("""COMPUTED_VALUE"""),"-")</f>
        <v>-</v>
      </c>
      <c r="G15" s="173" t="str">
        <f>IFERROR(__xludf.DUMMYFUNCTION("""COMPUTED_VALUE"""),"-")</f>
        <v>-</v>
      </c>
      <c r="H15" s="173" t="str">
        <f>IFERROR(__xludf.DUMMYFUNCTION("""COMPUTED_VALUE"""),"-")</f>
        <v>-</v>
      </c>
      <c r="K15" s="175" t="str">
        <f>IFERROR(__xludf.DUMMYFUNCTION("""COMPUTED_VALUE"""),"Construction Projects")</f>
        <v>Construction Projects</v>
      </c>
      <c r="L15" s="175" t="str">
        <f>IFERROR(__xludf.DUMMYFUNCTION("""COMPUTED_VALUE"""),"Solar mytel")</f>
        <v>Solar mytel</v>
      </c>
      <c r="M15" s="136" t="str">
        <f>IFERROR(__xludf.DUMMYFUNCTION("""COMPUTED_VALUE"""),"-")</f>
        <v>-</v>
      </c>
      <c r="N15" s="136" t="str">
        <f>IFERROR(__xludf.DUMMYFUNCTION("""COMPUTED_VALUE"""),"-")</f>
        <v>-</v>
      </c>
      <c r="O15" s="115" t="str">
        <f>IFERROR(__xludf.DUMMYFUNCTION("""COMPUTED_VALUE"""),"TNI0345")</f>
        <v>TNI0345</v>
      </c>
      <c r="P15" s="136" t="str">
        <f>IFERROR(__xludf.DUMMYFUNCTION("""COMPUTED_VALUE"""),"-")</f>
        <v>-</v>
      </c>
      <c r="S15" s="223" t="str">
        <f>IFERROR(__xludf.DUMMYFUNCTION("""COMPUTED_VALUE"""),"T3 S1")</f>
        <v>T3 S1</v>
      </c>
      <c r="T15" s="224" t="str">
        <f>IFERROR(__xludf.DUMMYFUNCTION("""COMPUTED_VALUE"""),"myt_myintkoko.aung")</f>
        <v>myt_myintkoko.aung</v>
      </c>
      <c r="U15" s="225">
        <f>IFERROR(__xludf.DUMMYFUNCTION("""COMPUTED_VALUE"""),2.0)</f>
        <v>2</v>
      </c>
      <c r="V15" s="225">
        <f>IFERROR(__xludf.DUMMYFUNCTION("""COMPUTED_VALUE"""),0.0)</f>
        <v>0</v>
      </c>
      <c r="W15" s="225">
        <f>IFERROR(__xludf.DUMMYFUNCTION("""COMPUTED_VALUE"""),1.0)</f>
        <v>1</v>
      </c>
      <c r="X15" s="225">
        <f>IFERROR(__xludf.DUMMYFUNCTION("""COMPUTED_VALUE"""),0.0)</f>
        <v>0</v>
      </c>
      <c r="Y15" s="225">
        <f>IFERROR(__xludf.DUMMYFUNCTION("""COMPUTED_VALUE"""),0.0)</f>
        <v>0</v>
      </c>
      <c r="Z15" s="147" t="str">
        <f>IFERROR(__xludf.DUMMYFUNCTION("""COMPUTED_VALUE"""),"")</f>
        <v/>
      </c>
      <c r="AA15" s="201">
        <f>IFERROR(__xludf.DUMMYFUNCTION("""COMPUTED_VALUE"""),0.0)</f>
        <v>0</v>
      </c>
      <c r="AB15" s="201">
        <f>IFERROR(__xludf.DUMMYFUNCTION("""COMPUTED_VALUE"""),1.0)</f>
        <v>1</v>
      </c>
      <c r="AC15" s="201">
        <f>IFERROR(__xludf.DUMMYFUNCTION("""COMPUTED_VALUE"""),0.0)</f>
        <v>0</v>
      </c>
      <c r="AD15" s="201">
        <f>IFERROR(__xludf.DUMMYFUNCTION("""COMPUTED_VALUE"""),0.0)</f>
        <v>0</v>
      </c>
      <c r="AE15" s="201">
        <f>IFERROR(__xludf.DUMMYFUNCTION("""COMPUTED_VALUE"""),0.0)</f>
        <v>0</v>
      </c>
      <c r="AF15" s="122"/>
      <c r="AG15" s="122"/>
      <c r="AH15" s="223" t="str">
        <f>IFERROR(__xludf.DUMMYFUNCTION("""COMPUTED_VALUE"""),"T3 S1")</f>
        <v>T3 S1</v>
      </c>
      <c r="AI15" s="224" t="str">
        <f>IFERROR(__xludf.DUMMYFUNCTION("""COMPUTED_VALUE"""),"myt_myintkoko.aung")</f>
        <v>myt_myintkoko.aung</v>
      </c>
      <c r="AJ15" s="225">
        <f>IFERROR(__xludf.DUMMYFUNCTION("""COMPUTED_VALUE"""),2.0)</f>
        <v>2</v>
      </c>
      <c r="AK15" s="225">
        <f>IFERROR(__xludf.DUMMYFUNCTION("""COMPUTED_VALUE"""),0.0)</f>
        <v>0</v>
      </c>
      <c r="AL15" s="225">
        <f>IFERROR(__xludf.DUMMYFUNCTION("""COMPUTED_VALUE"""),1.0)</f>
        <v>1</v>
      </c>
      <c r="AM15" s="225">
        <f>IFERROR(__xludf.DUMMYFUNCTION("""COMPUTED_VALUE"""),0.0)</f>
        <v>0</v>
      </c>
      <c r="AN15" s="225">
        <f>IFERROR(__xludf.DUMMYFUNCTION("""COMPUTED_VALUE"""),0.0)</f>
        <v>0</v>
      </c>
      <c r="AO15" s="147" t="str">
        <f>IFERROR(__xludf.DUMMYFUNCTION("""COMPUTED_VALUE"""),"")</f>
        <v/>
      </c>
      <c r="AP15" s="164">
        <f>IFERROR(__xludf.DUMMYFUNCTION("""COMPUTED_VALUE"""),0.0)</f>
        <v>0</v>
      </c>
      <c r="AQ15" s="164">
        <f>IFERROR(__xludf.DUMMYFUNCTION("""COMPUTED_VALUE"""),1.0)</f>
        <v>1</v>
      </c>
      <c r="AR15" s="164">
        <f>IFERROR(__xludf.DUMMYFUNCTION("""COMPUTED_VALUE"""),0.0)</f>
        <v>0</v>
      </c>
      <c r="AS15" s="164">
        <f>IFERROR(__xludf.DUMMYFUNCTION("""COMPUTED_VALUE"""),0.0)</f>
        <v>0</v>
      </c>
      <c r="AT15" s="164">
        <f>IFERROR(__xludf.DUMMYFUNCTION("""COMPUTED_VALUE"""),0.0)</f>
        <v>0</v>
      </c>
      <c r="AU15" s="122"/>
      <c r="AV15" s="122"/>
      <c r="AW15" s="223" t="str">
        <f>IFERROR(__xludf.DUMMYFUNCTION("""COMPUTED_VALUE"""),"T3 S1")</f>
        <v>T3 S1</v>
      </c>
      <c r="AX15" s="224" t="str">
        <f>IFERROR(__xludf.DUMMYFUNCTION("""COMPUTED_VALUE"""),"myt_myintkoko.aung")</f>
        <v>myt_myintkoko.aung</v>
      </c>
      <c r="AY15" s="225">
        <f>IFERROR(__xludf.DUMMYFUNCTION("""COMPUTED_VALUE"""),0.0)</f>
        <v>0</v>
      </c>
      <c r="AZ15" s="225">
        <f>IFERROR(__xludf.DUMMYFUNCTION("""COMPUTED_VALUE"""),0.0)</f>
        <v>0</v>
      </c>
      <c r="BA15" s="199">
        <f>IFERROR(__xludf.DUMMYFUNCTION("""COMPUTED_VALUE"""),1.0)</f>
        <v>1</v>
      </c>
      <c r="BB15" s="225">
        <f>IFERROR(__xludf.DUMMYFUNCTION("""COMPUTED_VALUE"""),0.0)</f>
        <v>0</v>
      </c>
      <c r="BC15" s="225">
        <f>IFERROR(__xludf.DUMMYFUNCTION("""COMPUTED_VALUE"""),0.0)</f>
        <v>0</v>
      </c>
      <c r="BD15" s="147" t="str">
        <f>IFERROR(__xludf.DUMMYFUNCTION("""COMPUTED_VALUE"""),"")</f>
        <v/>
      </c>
      <c r="BE15" s="201">
        <f>IFERROR(__xludf.DUMMYFUNCTION("""COMPUTED_VALUE"""),0.0)</f>
        <v>0</v>
      </c>
      <c r="BF15" s="201">
        <f>IFERROR(__xludf.DUMMYFUNCTION("""COMPUTED_VALUE"""),0.0)</f>
        <v>0</v>
      </c>
      <c r="BG15" s="201">
        <f>IFERROR(__xludf.DUMMYFUNCTION("""COMPUTED_VALUE"""),0.0)</f>
        <v>0</v>
      </c>
      <c r="BH15" s="201">
        <f>IFERROR(__xludf.DUMMYFUNCTION("""COMPUTED_VALUE"""),0.0)</f>
        <v>0</v>
      </c>
      <c r="BI15" s="201">
        <f>IFERROR(__xludf.DUMMYFUNCTION("""COMPUTED_VALUE"""),0.0)</f>
        <v>0</v>
      </c>
      <c r="BJ15" s="122"/>
      <c r="BK15" s="122"/>
      <c r="BL15" s="202" t="str">
        <f>IFERROR(__xludf.DUMMYFUNCTION("""COMPUTED_VALUE"""),"T3 S1")</f>
        <v>T3 S1</v>
      </c>
      <c r="BM15" s="203" t="str">
        <f>IFERROR(__xludf.DUMMYFUNCTION("""COMPUTED_VALUE"""),"myt_myintkoko.aung")</f>
        <v>myt_myintkoko.aung</v>
      </c>
      <c r="BN15" s="202" t="str">
        <f>IFERROR(__xludf.DUMMYFUNCTION("""COMPUTED_VALUE"""),"")</f>
        <v/>
      </c>
      <c r="BO15" s="184" t="str">
        <f>IFERROR(__xludf.DUMMYFUNCTION("""COMPUTED_VALUE"""),"")</f>
        <v/>
      </c>
      <c r="BP15" s="184" t="str">
        <f>IFERROR(__xludf.DUMMYFUNCTION("""COMPUTED_VALUE"""),"")</f>
        <v/>
      </c>
      <c r="BQ15" s="184" t="str">
        <f>IFERROR(__xludf.DUMMYFUNCTION("""COMPUTED_VALUE"""),"")</f>
        <v/>
      </c>
      <c r="BR15" s="184" t="str">
        <f>IFERROR(__xludf.DUMMYFUNCTION("""COMPUTED_VALUE"""),"")</f>
        <v/>
      </c>
      <c r="BS15" s="206">
        <f>IFERROR(__xludf.DUMMYFUNCTION("""COMPUTED_VALUE"""),0.0)</f>
        <v>0</v>
      </c>
      <c r="BT15" s="206">
        <f>IFERROR(__xludf.DUMMYFUNCTION("""COMPUTED_VALUE"""),1.0)</f>
        <v>1</v>
      </c>
      <c r="BU15" s="206">
        <f>IFERROR(__xludf.DUMMYFUNCTION("""COMPUTED_VALUE"""),0.0)</f>
        <v>0</v>
      </c>
      <c r="BV15" s="217">
        <f>IFERROR(__xludf.DUMMYFUNCTION("""COMPUTED_VALUE"""),0.0)</f>
        <v>0</v>
      </c>
      <c r="BW15" s="206">
        <f>IFERROR(__xludf.DUMMYFUNCTION("""COMPUTED_VALUE"""),0.0)</f>
        <v>0</v>
      </c>
      <c r="BX15" s="154"/>
      <c r="BY15" s="207" t="str">
        <f>IFERROR(__xludf.DUMMYFUNCTION("""COMPUTED_VALUE"""),"T3 S1")</f>
        <v>T3 S1</v>
      </c>
      <c r="BZ15" s="208" t="str">
        <f>IFERROR(__xludf.DUMMYFUNCTION("""COMPUTED_VALUE"""),"myt_myintkoko.aung")</f>
        <v>myt_myintkoko.aung</v>
      </c>
      <c r="CA15" s="209" t="str">
        <f>IFERROR(__xludf.DUMMYFUNCTION("""COMPUTED_VALUE"""),"")</f>
        <v/>
      </c>
      <c r="CB15" s="209" t="str">
        <f>IFERROR(__xludf.DUMMYFUNCTION("""COMPUTED_VALUE"""),"")</f>
        <v/>
      </c>
      <c r="CC15" s="184" t="str">
        <f>IFERROR(__xludf.DUMMYFUNCTION("""COMPUTED_VALUE"""),"")</f>
        <v/>
      </c>
      <c r="CD15" s="184" t="str">
        <f>IFERROR(__xludf.DUMMYFUNCTION("""COMPUTED_VALUE"""),"")</f>
        <v/>
      </c>
      <c r="CE15" s="209" t="str">
        <f>IFERROR(__xludf.DUMMYFUNCTION("""COMPUTED_VALUE"""),"")</f>
        <v/>
      </c>
      <c r="CF15" s="206">
        <f>IFERROR(__xludf.DUMMYFUNCTION("""COMPUTED_VALUE"""),0.0)</f>
        <v>0</v>
      </c>
      <c r="CG15" s="206">
        <f>IFERROR(__xludf.DUMMYFUNCTION("""COMPUTED_VALUE"""),0.0)</f>
        <v>0</v>
      </c>
      <c r="CH15" s="206">
        <f>IFERROR(__xludf.DUMMYFUNCTION("""COMPUTED_VALUE"""),0.0)</f>
        <v>0</v>
      </c>
      <c r="CI15" s="206">
        <f>IFERROR(__xludf.DUMMYFUNCTION("""COMPUTED_VALUE"""),0.0)</f>
        <v>0</v>
      </c>
      <c r="CJ15" s="206">
        <f>IFERROR(__xludf.DUMMYFUNCTION("""COMPUTED_VALUE"""),0.0)</f>
        <v>0</v>
      </c>
    </row>
    <row r="16">
      <c r="A16" s="156">
        <f>IFERROR(__xludf.DUMMYFUNCTION("""COMPUTED_VALUE"""),27.0)</f>
        <v>27</v>
      </c>
      <c r="B16" s="156">
        <f>IFERROR(__xludf.DUMMYFUNCTION("""COMPUTED_VALUE"""),18.0)</f>
        <v>18</v>
      </c>
      <c r="C16" s="194" t="str">
        <f>IFERROR(__xludf.DUMMYFUNCTION("""COMPUTED_VALUE"""),"IP")</f>
        <v>IP</v>
      </c>
      <c r="D16" s="156" t="str">
        <f>IFERROR(__xludf.DUMMYFUNCTION("""COMPUTED_VALUE"""),"Total: 17 | TNI0213, TNI0188, TNI0207, TNI0250, TNI0046, TNI0198, TNI0006, TNI0146, TNI0089, TNI0189, 0, TNI0206, TNI0019, TNI0005, TNI0013, TNI0129, TNI0031")</f>
        <v>Total: 17 | TNI0213, TNI0188, TNI0207, TNI0250, TNI0046, TNI0198, TNI0006, TNI0146, TNI0089, TNI0189, 0, TNI0206, TNI0019, TNI0005, TNI0013, TNI0129, TNI0031</v>
      </c>
      <c r="E16" s="156" t="str">
        <f>IFERROR(__xludf.DUMMYFUNCTION("""COMPUTED_VALUE"""),"Total: 4 | TNI0013, TNI0003, TNI0001, TNI0277")</f>
        <v>Total: 4 | TNI0013, TNI0003, TNI0001, TNI0277</v>
      </c>
      <c r="F16" s="156" t="str">
        <f>IFERROR(__xludf.DUMMYFUNCTION("""COMPUTED_VALUE"""),"-")</f>
        <v>-</v>
      </c>
      <c r="G16" s="156" t="str">
        <f>IFERROR(__xludf.DUMMYFUNCTION("""COMPUTED_VALUE"""),"Total: 2 | TNI0012, TNI0146")</f>
        <v>Total: 2 | TNI0012, TNI0146</v>
      </c>
      <c r="H16" s="156" t="str">
        <f>IFERROR(__xludf.DUMMYFUNCTION("""COMPUTED_VALUE"""),"Total: 4 | TNI0007, TNI0323, TNI0075, TNI0122")</f>
        <v>Total: 4 | TNI0007, TNI0323, TNI0075, TNI0122</v>
      </c>
      <c r="K16" s="120" t="str">
        <f>IFERROR(__xludf.DUMMYFUNCTION("""COMPUTED_VALUE"""),"Construction Projects")</f>
        <v>Construction Projects</v>
      </c>
      <c r="L16" s="120" t="str">
        <f>IFERROR(__xludf.DUMMYFUNCTION("""COMPUTED_VALUE"""),"New Route")</f>
        <v>New Route</v>
      </c>
      <c r="M16" s="119" t="str">
        <f>IFERROR(__xludf.DUMMYFUNCTION("""COMPUTED_VALUE"""),"-")</f>
        <v>-</v>
      </c>
      <c r="N16" s="119" t="str">
        <f>IFERROR(__xludf.DUMMYFUNCTION("""COMPUTED_VALUE"""),"-")</f>
        <v>-</v>
      </c>
      <c r="O16" s="119" t="str">
        <f>IFERROR(__xludf.DUMMYFUNCTION("""COMPUTED_VALUE"""),"-")</f>
        <v>-</v>
      </c>
      <c r="P16" s="159" t="str">
        <f>IFERROR(__xludf.DUMMYFUNCTION("""COMPUTED_VALUE"""),"TNI0243")</f>
        <v>TNI0243</v>
      </c>
      <c r="S16" s="223" t="str">
        <f>IFERROR(__xludf.DUMMYFUNCTION("""COMPUTED_VALUE"""),"T4")</f>
        <v>T4</v>
      </c>
      <c r="T16" s="224" t="str">
        <f>IFERROR(__xludf.DUMMYFUNCTION("""COMPUTED_VALUE"""),"myt_khantchaw.nyo")</f>
        <v>myt_khantchaw.nyo</v>
      </c>
      <c r="U16" s="199">
        <f>IFERROR(__xludf.DUMMYFUNCTION("""COMPUTED_VALUE"""),0.0)</f>
        <v>0</v>
      </c>
      <c r="V16" s="225">
        <f>IFERROR(__xludf.DUMMYFUNCTION("""COMPUTED_VALUE"""),1.0)</f>
        <v>1</v>
      </c>
      <c r="W16" s="199">
        <f>IFERROR(__xludf.DUMMYFUNCTION("""COMPUTED_VALUE"""),0.0)</f>
        <v>0</v>
      </c>
      <c r="X16" s="199">
        <f>IFERROR(__xludf.DUMMYFUNCTION("""COMPUTED_VALUE"""),0.0)</f>
        <v>0</v>
      </c>
      <c r="Y16" s="199">
        <f>IFERROR(__xludf.DUMMYFUNCTION("""COMPUTED_VALUE"""),0.0)</f>
        <v>0</v>
      </c>
      <c r="Z16" s="147" t="str">
        <f>IFERROR(__xludf.DUMMYFUNCTION("""COMPUTED_VALUE"""),"")</f>
        <v/>
      </c>
      <c r="AA16" s="201">
        <f>IFERROR(__xludf.DUMMYFUNCTION("""COMPUTED_VALUE"""),0.0)</f>
        <v>0</v>
      </c>
      <c r="AB16" s="214">
        <f>IFERROR(__xludf.DUMMYFUNCTION("""COMPUTED_VALUE"""),0.0)</f>
        <v>0</v>
      </c>
      <c r="AC16" s="201">
        <f>IFERROR(__xludf.DUMMYFUNCTION("""COMPUTED_VALUE"""),0.0)</f>
        <v>0</v>
      </c>
      <c r="AD16" s="201">
        <f>IFERROR(__xludf.DUMMYFUNCTION("""COMPUTED_VALUE"""),0.0)</f>
        <v>0</v>
      </c>
      <c r="AE16" s="201">
        <f>IFERROR(__xludf.DUMMYFUNCTION("""COMPUTED_VALUE"""),0.0)</f>
        <v>0</v>
      </c>
      <c r="AF16" s="122"/>
      <c r="AG16" s="122"/>
      <c r="AH16" s="223" t="str">
        <f>IFERROR(__xludf.DUMMYFUNCTION("""COMPUTED_VALUE"""),"T4")</f>
        <v>T4</v>
      </c>
      <c r="AI16" s="224" t="str">
        <f>IFERROR(__xludf.DUMMYFUNCTION("""COMPUTED_VALUE"""),"myt_khantchaw.nyo")</f>
        <v>myt_khantchaw.nyo</v>
      </c>
      <c r="AJ16" s="199">
        <f>IFERROR(__xludf.DUMMYFUNCTION("""COMPUTED_VALUE"""),0.0)</f>
        <v>0</v>
      </c>
      <c r="AK16" s="225">
        <f>IFERROR(__xludf.DUMMYFUNCTION("""COMPUTED_VALUE"""),1.0)</f>
        <v>1</v>
      </c>
      <c r="AL16" s="199">
        <f>IFERROR(__xludf.DUMMYFUNCTION("""COMPUTED_VALUE"""),0.0)</f>
        <v>0</v>
      </c>
      <c r="AM16" s="199">
        <f>IFERROR(__xludf.DUMMYFUNCTION("""COMPUTED_VALUE"""),0.0)</f>
        <v>0</v>
      </c>
      <c r="AN16" s="199">
        <f>IFERROR(__xludf.DUMMYFUNCTION("""COMPUTED_VALUE"""),0.0)</f>
        <v>0</v>
      </c>
      <c r="AO16" s="147" t="str">
        <f>IFERROR(__xludf.DUMMYFUNCTION("""COMPUTED_VALUE"""),"")</f>
        <v/>
      </c>
      <c r="AP16" s="164">
        <f>IFERROR(__xludf.DUMMYFUNCTION("""COMPUTED_VALUE"""),0.0)</f>
        <v>0</v>
      </c>
      <c r="AQ16" s="215">
        <f>IFERROR(__xludf.DUMMYFUNCTION("""COMPUTED_VALUE"""),1.0)</f>
        <v>1</v>
      </c>
      <c r="AR16" s="164">
        <f>IFERROR(__xludf.DUMMYFUNCTION("""COMPUTED_VALUE"""),0.0)</f>
        <v>0</v>
      </c>
      <c r="AS16" s="164">
        <f>IFERROR(__xludf.DUMMYFUNCTION("""COMPUTED_VALUE"""),0.0)</f>
        <v>0</v>
      </c>
      <c r="AT16" s="164">
        <f>IFERROR(__xludf.DUMMYFUNCTION("""COMPUTED_VALUE"""),0.0)</f>
        <v>0</v>
      </c>
      <c r="AU16" s="122"/>
      <c r="AV16" s="122"/>
      <c r="AW16" s="223" t="str">
        <f>IFERROR(__xludf.DUMMYFUNCTION("""COMPUTED_VALUE"""),"T4")</f>
        <v>T4</v>
      </c>
      <c r="AX16" s="224" t="str">
        <f>IFERROR(__xludf.DUMMYFUNCTION("""COMPUTED_VALUE"""),"myt_khantchaw.nyo")</f>
        <v>myt_khantchaw.nyo</v>
      </c>
      <c r="AY16" s="199">
        <f>IFERROR(__xludf.DUMMYFUNCTION("""COMPUTED_VALUE"""),0.0)</f>
        <v>0</v>
      </c>
      <c r="AZ16" s="225">
        <f>IFERROR(__xludf.DUMMYFUNCTION("""COMPUTED_VALUE"""),0.0)</f>
        <v>0</v>
      </c>
      <c r="BA16" s="199">
        <f>IFERROR(__xludf.DUMMYFUNCTION("""COMPUTED_VALUE"""),0.0)</f>
        <v>0</v>
      </c>
      <c r="BB16" s="199">
        <f>IFERROR(__xludf.DUMMYFUNCTION("""COMPUTED_VALUE"""),0.0)</f>
        <v>0</v>
      </c>
      <c r="BC16" s="199">
        <f>IFERROR(__xludf.DUMMYFUNCTION("""COMPUTED_VALUE"""),0.0)</f>
        <v>0</v>
      </c>
      <c r="BD16" s="147" t="str">
        <f>IFERROR(__xludf.DUMMYFUNCTION("""COMPUTED_VALUE"""),"")</f>
        <v/>
      </c>
      <c r="BE16" s="201">
        <f>IFERROR(__xludf.DUMMYFUNCTION("""COMPUTED_VALUE"""),0.0)</f>
        <v>0</v>
      </c>
      <c r="BF16" s="216">
        <f>IFERROR(__xludf.DUMMYFUNCTION("""COMPUTED_VALUE"""),1.0)</f>
        <v>1</v>
      </c>
      <c r="BG16" s="201">
        <f>IFERROR(__xludf.DUMMYFUNCTION("""COMPUTED_VALUE"""),0.0)</f>
        <v>0</v>
      </c>
      <c r="BH16" s="201">
        <f>IFERROR(__xludf.DUMMYFUNCTION("""COMPUTED_VALUE"""),0.0)</f>
        <v>0</v>
      </c>
      <c r="BI16" s="201">
        <f>IFERROR(__xludf.DUMMYFUNCTION("""COMPUTED_VALUE"""),0.0)</f>
        <v>0</v>
      </c>
      <c r="BJ16" s="122"/>
      <c r="BK16" s="122"/>
      <c r="BL16" s="202" t="str">
        <f>IFERROR(__xludf.DUMMYFUNCTION("""COMPUTED_VALUE"""),"T4")</f>
        <v>T4</v>
      </c>
      <c r="BM16" s="203" t="str">
        <f>IFERROR(__xludf.DUMMYFUNCTION("""COMPUTED_VALUE"""),"myt_khantchaw.nyo")</f>
        <v>myt_khantchaw.nyo</v>
      </c>
      <c r="BN16" s="202" t="str">
        <f>IFERROR(__xludf.DUMMYFUNCTION("""COMPUTED_VALUE"""),"")</f>
        <v/>
      </c>
      <c r="BO16" s="184" t="str">
        <f>IFERROR(__xludf.DUMMYFUNCTION("""COMPUTED_VALUE"""),"")</f>
        <v/>
      </c>
      <c r="BP16" s="184" t="str">
        <f>IFERROR(__xludf.DUMMYFUNCTION("""COMPUTED_VALUE"""),"")</f>
        <v/>
      </c>
      <c r="BQ16" s="184" t="str">
        <f>IFERROR(__xludf.DUMMYFUNCTION("""COMPUTED_VALUE"""),"")</f>
        <v/>
      </c>
      <c r="BR16" s="184" t="str">
        <f>IFERROR(__xludf.DUMMYFUNCTION("""COMPUTED_VALUE"""),"")</f>
        <v/>
      </c>
      <c r="BS16" s="206">
        <f>IFERROR(__xludf.DUMMYFUNCTION("""COMPUTED_VALUE"""),0.0)</f>
        <v>0</v>
      </c>
      <c r="BT16" s="217">
        <f>IFERROR(__xludf.DUMMYFUNCTION("""COMPUTED_VALUE"""),1.0)</f>
        <v>1</v>
      </c>
      <c r="BU16" s="206">
        <f>IFERROR(__xludf.DUMMYFUNCTION("""COMPUTED_VALUE"""),0.0)</f>
        <v>0</v>
      </c>
      <c r="BV16" s="206">
        <f>IFERROR(__xludf.DUMMYFUNCTION("""COMPUTED_VALUE"""),0.0)</f>
        <v>0</v>
      </c>
      <c r="BW16" s="206">
        <f>IFERROR(__xludf.DUMMYFUNCTION("""COMPUTED_VALUE"""),0.0)</f>
        <v>0</v>
      </c>
      <c r="BX16" s="154"/>
      <c r="BY16" s="207" t="str">
        <f>IFERROR(__xludf.DUMMYFUNCTION("""COMPUTED_VALUE"""),"T4")</f>
        <v>T4</v>
      </c>
      <c r="BZ16" s="208" t="str">
        <f>IFERROR(__xludf.DUMMYFUNCTION("""COMPUTED_VALUE"""),"myt_khantchaw.nyo")</f>
        <v>myt_khantchaw.nyo</v>
      </c>
      <c r="CA16" s="209" t="str">
        <f>IFERROR(__xludf.DUMMYFUNCTION("""COMPUTED_VALUE"""),"")</f>
        <v/>
      </c>
      <c r="CB16" s="209" t="str">
        <f>IFERROR(__xludf.DUMMYFUNCTION("""COMPUTED_VALUE"""),"")</f>
        <v/>
      </c>
      <c r="CC16" s="184" t="str">
        <f>IFERROR(__xludf.DUMMYFUNCTION("""COMPUTED_VALUE"""),"")</f>
        <v/>
      </c>
      <c r="CD16" s="184" t="str">
        <f>IFERROR(__xludf.DUMMYFUNCTION("""COMPUTED_VALUE"""),"")</f>
        <v/>
      </c>
      <c r="CE16" s="209" t="str">
        <f>IFERROR(__xludf.DUMMYFUNCTION("""COMPUTED_VALUE"""),"")</f>
        <v/>
      </c>
      <c r="CF16" s="206">
        <f>IFERROR(__xludf.DUMMYFUNCTION("""COMPUTED_VALUE"""),0.0)</f>
        <v>0</v>
      </c>
      <c r="CG16" s="206">
        <f>IFERROR(__xludf.DUMMYFUNCTION("""COMPUTED_VALUE"""),0.0)</f>
        <v>0</v>
      </c>
      <c r="CH16" s="206">
        <f>IFERROR(__xludf.DUMMYFUNCTION("""COMPUTED_VALUE"""),0.0)</f>
        <v>0</v>
      </c>
      <c r="CI16" s="206">
        <f>IFERROR(__xludf.DUMMYFUNCTION("""COMPUTED_VALUE"""),0.0)</f>
        <v>0</v>
      </c>
      <c r="CJ16" s="206">
        <f>IFERROR(__xludf.DUMMYFUNCTION("""COMPUTED_VALUE"""),0.0)</f>
        <v>0</v>
      </c>
    </row>
    <row r="17">
      <c r="A17" s="173">
        <f>IFERROR(__xludf.DUMMYFUNCTION("""COMPUTED_VALUE"""),6.0)</f>
        <v>6</v>
      </c>
      <c r="B17" s="173">
        <f>IFERROR(__xludf.DUMMYFUNCTION("""COMPUTED_VALUE"""),21.0)</f>
        <v>21</v>
      </c>
      <c r="C17" s="174" t="str">
        <f>IFERROR(__xludf.DUMMYFUNCTION("""COMPUTED_VALUE"""),"Maintenacne_Solar")</f>
        <v>Maintenacne_Solar</v>
      </c>
      <c r="D17" s="173" t="str">
        <f>IFERROR(__xludf.DUMMYFUNCTION("""COMPUTED_VALUE"""),"Total: 6 | TNI0153, TNI0040, TNI0185, TNI0089, TNI0231, TNI0043")</f>
        <v>Total: 6 | TNI0153, TNI0040, TNI0185, TNI0089, TNI0231, TNI0043</v>
      </c>
      <c r="E17" s="173" t="str">
        <f>IFERROR(__xludf.DUMMYFUNCTION("""COMPUTED_VALUE"""),"-")</f>
        <v>-</v>
      </c>
      <c r="F17" s="173" t="str">
        <f>IFERROR(__xludf.DUMMYFUNCTION("""COMPUTED_VALUE"""),"-")</f>
        <v>-</v>
      </c>
      <c r="G17" s="173" t="str">
        <f>IFERROR(__xludf.DUMMYFUNCTION("""COMPUTED_VALUE"""),"-")</f>
        <v>-</v>
      </c>
      <c r="H17" s="173" t="str">
        <f>IFERROR(__xludf.DUMMYFUNCTION("""COMPUTED_VALUE"""),"-")</f>
        <v>-</v>
      </c>
      <c r="K17" s="175" t="str">
        <f>IFERROR(__xludf.DUMMYFUNCTION("""COMPUTED_VALUE"""),"Finance")</f>
        <v>Finance</v>
      </c>
      <c r="L17" s="175" t="str">
        <f>IFERROR(__xludf.DUMMYFUNCTION("""COMPUTED_VALUE"""),"Car fuel payment")</f>
        <v>Car fuel payment</v>
      </c>
      <c r="M17" s="136" t="str">
        <f>IFERROR(__xludf.DUMMYFUNCTION("""COMPUTED_VALUE"""),"-")</f>
        <v>-</v>
      </c>
      <c r="N17" s="115" t="str">
        <f>IFERROR(__xludf.DUMMYFUNCTION("""COMPUTED_VALUE""")," Car Fuel Payment for Feb 2025")</f>
        <v> Car Fuel Payment for Feb 2025</v>
      </c>
      <c r="O17" s="115" t="str">
        <f>IFERROR(__xludf.DUMMYFUNCTION("""COMPUTED_VALUE""")," Car Fuel Payment for Feb 2025")</f>
        <v> Car Fuel Payment for Feb 2025</v>
      </c>
      <c r="P17" s="115" t="str">
        <f>IFERROR(__xludf.DUMMYFUNCTION("""COMPUTED_VALUE""")," Car Fuel Payment for Feb 2025")</f>
        <v> Car Fuel Payment for Feb 2025</v>
      </c>
      <c r="S17" s="223" t="str">
        <f>IFERROR(__xludf.DUMMYFUNCTION("""COMPUTED_VALUE"""),"T2")</f>
        <v>T2</v>
      </c>
      <c r="T17" s="224" t="str">
        <f>IFERROR(__xludf.DUMMYFUNCTION("""COMPUTED_VALUE"""),"myt_wanna.oo2")</f>
        <v>myt_wanna.oo2</v>
      </c>
      <c r="U17" s="199">
        <f>IFERROR(__xludf.DUMMYFUNCTION("""COMPUTED_VALUE"""),0.0)</f>
        <v>0</v>
      </c>
      <c r="V17" s="199">
        <f>IFERROR(__xludf.DUMMYFUNCTION("""COMPUTED_VALUE"""),1.0)</f>
        <v>1</v>
      </c>
      <c r="W17" s="199">
        <f>IFERROR(__xludf.DUMMYFUNCTION("""COMPUTED_VALUE"""),0.0)</f>
        <v>0</v>
      </c>
      <c r="X17" s="199">
        <f>IFERROR(__xludf.DUMMYFUNCTION("""COMPUTED_VALUE"""),0.0)</f>
        <v>0</v>
      </c>
      <c r="Y17" s="199">
        <f>IFERROR(__xludf.DUMMYFUNCTION("""COMPUTED_VALUE"""),0.0)</f>
        <v>0</v>
      </c>
      <c r="Z17" s="147" t="str">
        <f>IFERROR(__xludf.DUMMYFUNCTION("""COMPUTED_VALUE"""),"")</f>
        <v/>
      </c>
      <c r="AA17" s="201">
        <f>IFERROR(__xludf.DUMMYFUNCTION("""COMPUTED_VALUE"""),0.0)</f>
        <v>0</v>
      </c>
      <c r="AB17" s="201">
        <f>IFERROR(__xludf.DUMMYFUNCTION("""COMPUTED_VALUE"""),2.0)</f>
        <v>2</v>
      </c>
      <c r="AC17" s="201">
        <f>IFERROR(__xludf.DUMMYFUNCTION("""COMPUTED_VALUE"""),0.0)</f>
        <v>0</v>
      </c>
      <c r="AD17" s="201">
        <f>IFERROR(__xludf.DUMMYFUNCTION("""COMPUTED_VALUE"""),0.0)</f>
        <v>0</v>
      </c>
      <c r="AE17" s="201">
        <f>IFERROR(__xludf.DUMMYFUNCTION("""COMPUTED_VALUE"""),0.0)</f>
        <v>0</v>
      </c>
      <c r="AF17" s="122"/>
      <c r="AG17" s="122"/>
      <c r="AH17" s="223" t="str">
        <f>IFERROR(__xludf.DUMMYFUNCTION("""COMPUTED_VALUE"""),"T2")</f>
        <v>T2</v>
      </c>
      <c r="AI17" s="224" t="str">
        <f>IFERROR(__xludf.DUMMYFUNCTION("""COMPUTED_VALUE"""),"myt_wanna.oo2")</f>
        <v>myt_wanna.oo2</v>
      </c>
      <c r="AJ17" s="199">
        <f>IFERROR(__xludf.DUMMYFUNCTION("""COMPUTED_VALUE"""),0.0)</f>
        <v>0</v>
      </c>
      <c r="AK17" s="199">
        <f>IFERROR(__xludf.DUMMYFUNCTION("""COMPUTED_VALUE"""),1.0)</f>
        <v>1</v>
      </c>
      <c r="AL17" s="199">
        <f>IFERROR(__xludf.DUMMYFUNCTION("""COMPUTED_VALUE"""),0.0)</f>
        <v>0</v>
      </c>
      <c r="AM17" s="199">
        <f>IFERROR(__xludf.DUMMYFUNCTION("""COMPUTED_VALUE"""),0.0)</f>
        <v>0</v>
      </c>
      <c r="AN17" s="199">
        <f>IFERROR(__xludf.DUMMYFUNCTION("""COMPUTED_VALUE"""),0.0)</f>
        <v>0</v>
      </c>
      <c r="AO17" s="147" t="str">
        <f>IFERROR(__xludf.DUMMYFUNCTION("""COMPUTED_VALUE"""),"")</f>
        <v/>
      </c>
      <c r="AP17" s="164">
        <f>IFERROR(__xludf.DUMMYFUNCTION("""COMPUTED_VALUE"""),0.0)</f>
        <v>0</v>
      </c>
      <c r="AQ17" s="164">
        <f>IFERROR(__xludf.DUMMYFUNCTION("""COMPUTED_VALUE"""),2.0)</f>
        <v>2</v>
      </c>
      <c r="AR17" s="164">
        <f>IFERROR(__xludf.DUMMYFUNCTION("""COMPUTED_VALUE"""),0.0)</f>
        <v>0</v>
      </c>
      <c r="AS17" s="164">
        <f>IFERROR(__xludf.DUMMYFUNCTION("""COMPUTED_VALUE"""),0.0)</f>
        <v>0</v>
      </c>
      <c r="AT17" s="164">
        <f>IFERROR(__xludf.DUMMYFUNCTION("""COMPUTED_VALUE"""),0.0)</f>
        <v>0</v>
      </c>
      <c r="AU17" s="122"/>
      <c r="AV17" s="122"/>
      <c r="AW17" s="223" t="str">
        <f>IFERROR(__xludf.DUMMYFUNCTION("""COMPUTED_VALUE"""),"T2")</f>
        <v>T2</v>
      </c>
      <c r="AX17" s="224" t="str">
        <f>IFERROR(__xludf.DUMMYFUNCTION("""COMPUTED_VALUE"""),"myt_wanna.oo2")</f>
        <v>myt_wanna.oo2</v>
      </c>
      <c r="AY17" s="199">
        <f>IFERROR(__xludf.DUMMYFUNCTION("""COMPUTED_VALUE"""),0.0)</f>
        <v>0</v>
      </c>
      <c r="AZ17" s="199">
        <f>IFERROR(__xludf.DUMMYFUNCTION("""COMPUTED_VALUE"""),1.0)</f>
        <v>1</v>
      </c>
      <c r="BA17" s="199">
        <f>IFERROR(__xludf.DUMMYFUNCTION("""COMPUTED_VALUE"""),0.0)</f>
        <v>0</v>
      </c>
      <c r="BB17" s="199">
        <f>IFERROR(__xludf.DUMMYFUNCTION("""COMPUTED_VALUE"""),0.0)</f>
        <v>0</v>
      </c>
      <c r="BC17" s="199">
        <f>IFERROR(__xludf.DUMMYFUNCTION("""COMPUTED_VALUE"""),0.0)</f>
        <v>0</v>
      </c>
      <c r="BD17" s="147" t="str">
        <f>IFERROR(__xludf.DUMMYFUNCTION("""COMPUTED_VALUE"""),"")</f>
        <v/>
      </c>
      <c r="BE17" s="201">
        <f>IFERROR(__xludf.DUMMYFUNCTION("""COMPUTED_VALUE"""),0.0)</f>
        <v>0</v>
      </c>
      <c r="BF17" s="201">
        <f>IFERROR(__xludf.DUMMYFUNCTION("""COMPUTED_VALUE"""),0.0)</f>
        <v>0</v>
      </c>
      <c r="BG17" s="201">
        <f>IFERROR(__xludf.DUMMYFUNCTION("""COMPUTED_VALUE"""),0.0)</f>
        <v>0</v>
      </c>
      <c r="BH17" s="201">
        <f>IFERROR(__xludf.DUMMYFUNCTION("""COMPUTED_VALUE"""),0.0)</f>
        <v>0</v>
      </c>
      <c r="BI17" s="201">
        <f>IFERROR(__xludf.DUMMYFUNCTION("""COMPUTED_VALUE"""),0.0)</f>
        <v>0</v>
      </c>
      <c r="BJ17" s="122"/>
      <c r="BK17" s="122"/>
      <c r="BL17" s="202" t="str">
        <f>IFERROR(__xludf.DUMMYFUNCTION("""COMPUTED_VALUE"""),"T2")</f>
        <v>T2</v>
      </c>
      <c r="BM17" s="203" t="str">
        <f>IFERROR(__xludf.DUMMYFUNCTION("""COMPUTED_VALUE"""),"myt_wanna.oo2")</f>
        <v>myt_wanna.oo2</v>
      </c>
      <c r="BN17" s="204" t="str">
        <f>IFERROR(__xludf.DUMMYFUNCTION("""COMPUTED_VALUE"""),"")</f>
        <v/>
      </c>
      <c r="BO17" s="184" t="str">
        <f>IFERROR(__xludf.DUMMYFUNCTION("""COMPUTED_VALUE"""),"")</f>
        <v/>
      </c>
      <c r="BP17" s="184" t="str">
        <f>IFERROR(__xludf.DUMMYFUNCTION("""COMPUTED_VALUE"""),"")</f>
        <v/>
      </c>
      <c r="BQ17" s="184" t="str">
        <f>IFERROR(__xludf.DUMMYFUNCTION("""COMPUTED_VALUE"""),"")</f>
        <v/>
      </c>
      <c r="BR17" s="184" t="str">
        <f>IFERROR(__xludf.DUMMYFUNCTION("""COMPUTED_VALUE"""),"")</f>
        <v/>
      </c>
      <c r="BS17" s="206">
        <f>IFERROR(__xludf.DUMMYFUNCTION("""COMPUTED_VALUE"""),0.0)</f>
        <v>0</v>
      </c>
      <c r="BT17" s="206">
        <f>IFERROR(__xludf.DUMMYFUNCTION("""COMPUTED_VALUE"""),2.0)</f>
        <v>2</v>
      </c>
      <c r="BU17" s="206">
        <f>IFERROR(__xludf.DUMMYFUNCTION("""COMPUTED_VALUE"""),0.0)</f>
        <v>0</v>
      </c>
      <c r="BV17" s="206">
        <f>IFERROR(__xludf.DUMMYFUNCTION("""COMPUTED_VALUE"""),0.0)</f>
        <v>0</v>
      </c>
      <c r="BW17" s="206">
        <f>IFERROR(__xludf.DUMMYFUNCTION("""COMPUTED_VALUE"""),0.0)</f>
        <v>0</v>
      </c>
      <c r="BX17" s="154"/>
      <c r="BY17" s="207" t="str">
        <f>IFERROR(__xludf.DUMMYFUNCTION("""COMPUTED_VALUE"""),"T2")</f>
        <v>T2</v>
      </c>
      <c r="BZ17" s="208" t="str">
        <f>IFERROR(__xludf.DUMMYFUNCTION("""COMPUTED_VALUE"""),"myt_wanna.oo2")</f>
        <v>myt_wanna.oo2</v>
      </c>
      <c r="CA17" s="209" t="str">
        <f>IFERROR(__xludf.DUMMYFUNCTION("""COMPUTED_VALUE"""),"")</f>
        <v/>
      </c>
      <c r="CB17" s="209" t="str">
        <f>IFERROR(__xludf.DUMMYFUNCTION("""COMPUTED_VALUE"""),"")</f>
        <v/>
      </c>
      <c r="CC17" s="184" t="str">
        <f>IFERROR(__xludf.DUMMYFUNCTION("""COMPUTED_VALUE"""),"")</f>
        <v/>
      </c>
      <c r="CD17" s="184" t="str">
        <f>IFERROR(__xludf.DUMMYFUNCTION("""COMPUTED_VALUE"""),"")</f>
        <v/>
      </c>
      <c r="CE17" s="209" t="str">
        <f>IFERROR(__xludf.DUMMYFUNCTION("""COMPUTED_VALUE"""),"")</f>
        <v/>
      </c>
      <c r="CF17" s="206">
        <f>IFERROR(__xludf.DUMMYFUNCTION("""COMPUTED_VALUE"""),0.0)</f>
        <v>0</v>
      </c>
      <c r="CG17" s="206">
        <f>IFERROR(__xludf.DUMMYFUNCTION("""COMPUTED_VALUE"""),0.0)</f>
        <v>0</v>
      </c>
      <c r="CH17" s="206">
        <f>IFERROR(__xludf.DUMMYFUNCTION("""COMPUTED_VALUE"""),0.0)</f>
        <v>0</v>
      </c>
      <c r="CI17" s="206">
        <f>IFERROR(__xludf.DUMMYFUNCTION("""COMPUTED_VALUE"""),0.0)</f>
        <v>0</v>
      </c>
      <c r="CJ17" s="206">
        <f>IFERROR(__xludf.DUMMYFUNCTION("""COMPUTED_VALUE"""),0.0)</f>
        <v>0</v>
      </c>
    </row>
    <row r="18">
      <c r="A18" s="227">
        <f>IFERROR(__xludf.DUMMYFUNCTION("""COMPUTED_VALUE"""),8.0)</f>
        <v>8</v>
      </c>
      <c r="B18" s="227">
        <f>IFERROR(__xludf.DUMMYFUNCTION("""COMPUTED_VALUE"""),22.0)</f>
        <v>22</v>
      </c>
      <c r="C18" s="228" t="str">
        <f>IFERROR(__xludf.DUMMYFUNCTION("""COMPUTED_VALUE"""),"Solar Power System")</f>
        <v>Solar Power System</v>
      </c>
      <c r="D18" s="227" t="str">
        <f>IFERROR(__xludf.DUMMYFUNCTION("""COMPUTED_VALUE"""),"Total: 8 | TNI0006, TNI0272, TNI0231, TNI0201, TNI0129, TNI0153, TNI0069, TNI0040")</f>
        <v>Total: 8 | TNI0006, TNI0272, TNI0231, TNI0201, TNI0129, TNI0153, TNI0069, TNI0040</v>
      </c>
      <c r="E18" s="227" t="str">
        <f>IFERROR(__xludf.DUMMYFUNCTION("""COMPUTED_VALUE"""),"-")</f>
        <v>-</v>
      </c>
      <c r="F18" s="227" t="str">
        <f>IFERROR(__xludf.DUMMYFUNCTION("""COMPUTED_VALUE"""),"-")</f>
        <v>-</v>
      </c>
      <c r="G18" s="227" t="str">
        <f>IFERROR(__xludf.DUMMYFUNCTION("""COMPUTED_VALUE"""),"-")</f>
        <v>-</v>
      </c>
      <c r="H18" s="227" t="str">
        <f>IFERROR(__xludf.DUMMYFUNCTION("""COMPUTED_VALUE"""),"-")</f>
        <v>-</v>
      </c>
      <c r="K18" s="120" t="str">
        <f>IFERROR(__xludf.DUMMYFUNCTION("""COMPUTED_VALUE"""),"Finance")</f>
        <v>Finance</v>
      </c>
      <c r="L18" s="120" t="str">
        <f>IFERROR(__xludf.DUMMYFUNCTION("""COMPUTED_VALUE"""),"EPC Office photo update")</f>
        <v>EPC Office photo update</v>
      </c>
      <c r="M18" s="159" t="str">
        <f>IFERROR(__xludf.DUMMYFUNCTION("""COMPUTED_VALUE"""),"Team 1 Office meter box photo update ")</f>
        <v>Team 1 Office meter box photo update </v>
      </c>
      <c r="N18" s="159" t="str">
        <f>IFERROR(__xludf.DUMMYFUNCTION("""COMPUTED_VALUE""")," Office meter box photo update ")</f>
        <v> Office meter box photo update </v>
      </c>
      <c r="O18" s="159" t="str">
        <f>IFERROR(__xludf.DUMMYFUNCTION("""COMPUTED_VALUE""")," Office meter box photo update ")</f>
        <v> Office meter box photo update </v>
      </c>
      <c r="P18" s="159" t="str">
        <f>IFERROR(__xludf.DUMMYFUNCTION("""COMPUTED_VALUE"""),"Team 4 Office meter box photo update ")</f>
        <v>Team 4 Office meter box photo update </v>
      </c>
      <c r="S18" s="223" t="str">
        <f>IFERROR(__xludf.DUMMYFUNCTION("""COMPUTED_VALUE"""),"T3")</f>
        <v>T3</v>
      </c>
      <c r="T18" s="224" t="str">
        <f>IFERROR(__xludf.DUMMYFUNCTION("""COMPUTED_VALUE"""),"myt_pyaephyo.zaw")</f>
        <v>myt_pyaephyo.zaw</v>
      </c>
      <c r="U18" s="199">
        <f>IFERROR(__xludf.DUMMYFUNCTION("""COMPUTED_VALUE"""),0.0)</f>
        <v>0</v>
      </c>
      <c r="V18" s="199">
        <f>IFERROR(__xludf.DUMMYFUNCTION("""COMPUTED_VALUE"""),1.0)</f>
        <v>1</v>
      </c>
      <c r="W18" s="199">
        <f>IFERROR(__xludf.DUMMYFUNCTION("""COMPUTED_VALUE"""),0.0)</f>
        <v>0</v>
      </c>
      <c r="X18" s="225">
        <f>IFERROR(__xludf.DUMMYFUNCTION("""COMPUTED_VALUE"""),0.0)</f>
        <v>0</v>
      </c>
      <c r="Y18" s="199">
        <f>IFERROR(__xludf.DUMMYFUNCTION("""COMPUTED_VALUE"""),0.0)</f>
        <v>0</v>
      </c>
      <c r="Z18" s="147" t="str">
        <f>IFERROR(__xludf.DUMMYFUNCTION("""COMPUTED_VALUE"""),"")</f>
        <v/>
      </c>
      <c r="AA18" s="201">
        <f>IFERROR(__xludf.DUMMYFUNCTION("""COMPUTED_VALUE"""),0.0)</f>
        <v>0</v>
      </c>
      <c r="AB18" s="201">
        <f>IFERROR(__xludf.DUMMYFUNCTION("""COMPUTED_VALUE"""),0.0)</f>
        <v>0</v>
      </c>
      <c r="AC18" s="201">
        <f>IFERROR(__xludf.DUMMYFUNCTION("""COMPUTED_VALUE"""),0.0)</f>
        <v>0</v>
      </c>
      <c r="AD18" s="201">
        <f>IFERROR(__xludf.DUMMYFUNCTION("""COMPUTED_VALUE"""),0.0)</f>
        <v>0</v>
      </c>
      <c r="AE18" s="214">
        <f>IFERROR(__xludf.DUMMYFUNCTION("""COMPUTED_VALUE"""),0.0)</f>
        <v>0</v>
      </c>
      <c r="AF18" s="122"/>
      <c r="AG18" s="122"/>
      <c r="AH18" s="223" t="str">
        <f>IFERROR(__xludf.DUMMYFUNCTION("""COMPUTED_VALUE"""),"T3")</f>
        <v>T3</v>
      </c>
      <c r="AI18" s="224" t="str">
        <f>IFERROR(__xludf.DUMMYFUNCTION("""COMPUTED_VALUE"""),"myt_pyaephyo.zaw")</f>
        <v>myt_pyaephyo.zaw</v>
      </c>
      <c r="AJ18" s="199">
        <f>IFERROR(__xludf.DUMMYFUNCTION("""COMPUTED_VALUE"""),0.0)</f>
        <v>0</v>
      </c>
      <c r="AK18" s="199">
        <f>IFERROR(__xludf.DUMMYFUNCTION("""COMPUTED_VALUE"""),1.0)</f>
        <v>1</v>
      </c>
      <c r="AL18" s="199">
        <f>IFERROR(__xludf.DUMMYFUNCTION("""COMPUTED_VALUE"""),0.0)</f>
        <v>0</v>
      </c>
      <c r="AM18" s="225">
        <f>IFERROR(__xludf.DUMMYFUNCTION("""COMPUTED_VALUE"""),0.0)</f>
        <v>0</v>
      </c>
      <c r="AN18" s="199">
        <f>IFERROR(__xludf.DUMMYFUNCTION("""COMPUTED_VALUE"""),0.0)</f>
        <v>0</v>
      </c>
      <c r="AO18" s="147" t="str">
        <f>IFERROR(__xludf.DUMMYFUNCTION("""COMPUTED_VALUE"""),"")</f>
        <v/>
      </c>
      <c r="AP18" s="164">
        <f>IFERROR(__xludf.DUMMYFUNCTION("""COMPUTED_VALUE"""),0.0)</f>
        <v>0</v>
      </c>
      <c r="AQ18" s="164">
        <f>IFERROR(__xludf.DUMMYFUNCTION("""COMPUTED_VALUE"""),0.0)</f>
        <v>0</v>
      </c>
      <c r="AR18" s="164">
        <f>IFERROR(__xludf.DUMMYFUNCTION("""COMPUTED_VALUE"""),0.0)</f>
        <v>0</v>
      </c>
      <c r="AS18" s="164">
        <f>IFERROR(__xludf.DUMMYFUNCTION("""COMPUTED_VALUE"""),0.0)</f>
        <v>0</v>
      </c>
      <c r="AT18" s="215">
        <f>IFERROR(__xludf.DUMMYFUNCTION("""COMPUTED_VALUE"""),0.0)</f>
        <v>0</v>
      </c>
      <c r="AU18" s="122"/>
      <c r="AV18" s="122"/>
      <c r="AW18" s="223" t="str">
        <f>IFERROR(__xludf.DUMMYFUNCTION("""COMPUTED_VALUE"""),"T3")</f>
        <v>T3</v>
      </c>
      <c r="AX18" s="224" t="str">
        <f>IFERROR(__xludf.DUMMYFUNCTION("""COMPUTED_VALUE"""),"myt_pyaephyo.zaw")</f>
        <v>myt_pyaephyo.zaw</v>
      </c>
      <c r="AY18" s="199">
        <f>IFERROR(__xludf.DUMMYFUNCTION("""COMPUTED_VALUE"""),0.0)</f>
        <v>0</v>
      </c>
      <c r="AZ18" s="199">
        <f>IFERROR(__xludf.DUMMYFUNCTION("""COMPUTED_VALUE"""),0.0)</f>
        <v>0</v>
      </c>
      <c r="BA18" s="199">
        <f>IFERROR(__xludf.DUMMYFUNCTION("""COMPUTED_VALUE"""),0.0)</f>
        <v>0</v>
      </c>
      <c r="BB18" s="199">
        <f>IFERROR(__xludf.DUMMYFUNCTION("""COMPUTED_VALUE"""),0.0)</f>
        <v>0</v>
      </c>
      <c r="BC18" s="199">
        <f>IFERROR(__xludf.DUMMYFUNCTION("""COMPUTED_VALUE"""),0.0)</f>
        <v>0</v>
      </c>
      <c r="BD18" s="147" t="str">
        <f>IFERROR(__xludf.DUMMYFUNCTION("""COMPUTED_VALUE"""),"")</f>
        <v/>
      </c>
      <c r="BE18" s="201">
        <f>IFERROR(__xludf.DUMMYFUNCTION("""COMPUTED_VALUE"""),0.0)</f>
        <v>0</v>
      </c>
      <c r="BF18" s="201">
        <f>IFERROR(__xludf.DUMMYFUNCTION("""COMPUTED_VALUE"""),0.0)</f>
        <v>0</v>
      </c>
      <c r="BG18" s="201">
        <f>IFERROR(__xludf.DUMMYFUNCTION("""COMPUTED_VALUE"""),0.0)</f>
        <v>0</v>
      </c>
      <c r="BH18" s="201">
        <f>IFERROR(__xludf.DUMMYFUNCTION("""COMPUTED_VALUE"""),0.0)</f>
        <v>0</v>
      </c>
      <c r="BI18" s="216">
        <f>IFERROR(__xludf.DUMMYFUNCTION("""COMPUTED_VALUE"""),0.0)</f>
        <v>0</v>
      </c>
      <c r="BJ18" s="122"/>
      <c r="BK18" s="122"/>
      <c r="BL18" s="202" t="str">
        <f>IFERROR(__xludf.DUMMYFUNCTION("""COMPUTED_VALUE"""),"T3")</f>
        <v>T3</v>
      </c>
      <c r="BM18" s="203" t="str">
        <f>IFERROR(__xludf.DUMMYFUNCTION("""COMPUTED_VALUE"""),"myt_pyaephyo.zaw")</f>
        <v>myt_pyaephyo.zaw</v>
      </c>
      <c r="BN18" s="204" t="str">
        <f>IFERROR(__xludf.DUMMYFUNCTION("""COMPUTED_VALUE"""),"")</f>
        <v/>
      </c>
      <c r="BO18" s="184" t="str">
        <f>IFERROR(__xludf.DUMMYFUNCTION("""COMPUTED_VALUE"""),"")</f>
        <v/>
      </c>
      <c r="BP18" s="184" t="str">
        <f>IFERROR(__xludf.DUMMYFUNCTION("""COMPUTED_VALUE"""),"")</f>
        <v/>
      </c>
      <c r="BQ18" s="184" t="str">
        <f>IFERROR(__xludf.DUMMYFUNCTION("""COMPUTED_VALUE"""),"")</f>
        <v/>
      </c>
      <c r="BR18" s="184" t="str">
        <f>IFERROR(__xludf.DUMMYFUNCTION("""COMPUTED_VALUE"""),"")</f>
        <v/>
      </c>
      <c r="BS18" s="206">
        <f>IFERROR(__xludf.DUMMYFUNCTION("""COMPUTED_VALUE"""),0.0)</f>
        <v>0</v>
      </c>
      <c r="BT18" s="206">
        <f>IFERROR(__xludf.DUMMYFUNCTION("""COMPUTED_VALUE"""),0.0)</f>
        <v>0</v>
      </c>
      <c r="BU18" s="206">
        <f>IFERROR(__xludf.DUMMYFUNCTION("""COMPUTED_VALUE"""),0.0)</f>
        <v>0</v>
      </c>
      <c r="BV18" s="206">
        <f>IFERROR(__xludf.DUMMYFUNCTION("""COMPUTED_VALUE"""),0.0)</f>
        <v>0</v>
      </c>
      <c r="BW18" s="217">
        <f>IFERROR(__xludf.DUMMYFUNCTION("""COMPUTED_VALUE"""),0.0)</f>
        <v>0</v>
      </c>
      <c r="BX18" s="154"/>
      <c r="BY18" s="207" t="str">
        <f>IFERROR(__xludf.DUMMYFUNCTION("""COMPUTED_VALUE"""),"T3")</f>
        <v>T3</v>
      </c>
      <c r="BZ18" s="208" t="str">
        <f>IFERROR(__xludf.DUMMYFUNCTION("""COMPUTED_VALUE"""),"myt_pyaephyo.zaw")</f>
        <v>myt_pyaephyo.zaw</v>
      </c>
      <c r="CA18" s="209" t="str">
        <f>IFERROR(__xludf.DUMMYFUNCTION("""COMPUTED_VALUE"""),"")</f>
        <v/>
      </c>
      <c r="CB18" s="209" t="str">
        <f>IFERROR(__xludf.DUMMYFUNCTION("""COMPUTED_VALUE"""),"")</f>
        <v/>
      </c>
      <c r="CC18" s="184" t="str">
        <f>IFERROR(__xludf.DUMMYFUNCTION("""COMPUTED_VALUE"""),"")</f>
        <v/>
      </c>
      <c r="CD18" s="184" t="str">
        <f>IFERROR(__xludf.DUMMYFUNCTION("""COMPUTED_VALUE"""),"")</f>
        <v/>
      </c>
      <c r="CE18" s="209" t="str">
        <f>IFERROR(__xludf.DUMMYFUNCTION("""COMPUTED_VALUE"""),"")</f>
        <v/>
      </c>
      <c r="CF18" s="206">
        <f>IFERROR(__xludf.DUMMYFUNCTION("""COMPUTED_VALUE"""),0.0)</f>
        <v>0</v>
      </c>
      <c r="CG18" s="206">
        <f>IFERROR(__xludf.DUMMYFUNCTION("""COMPUTED_VALUE"""),0.0)</f>
        <v>0</v>
      </c>
      <c r="CH18" s="206">
        <f>IFERROR(__xludf.DUMMYFUNCTION("""COMPUTED_VALUE"""),0.0)</f>
        <v>0</v>
      </c>
      <c r="CI18" s="206">
        <f>IFERROR(__xludf.DUMMYFUNCTION("""COMPUTED_VALUE"""),0.0)</f>
        <v>0</v>
      </c>
      <c r="CJ18" s="217">
        <f>IFERROR(__xludf.DUMMYFUNCTION("""COMPUTED_VALUE"""),0.0)</f>
        <v>0</v>
      </c>
    </row>
    <row r="19">
      <c r="A19" s="227">
        <f>IFERROR(__xludf.DUMMYFUNCTION("""COMPUTED_VALUE"""),33.0)</f>
        <v>33</v>
      </c>
      <c r="B19" s="227">
        <f>IFERROR(__xludf.DUMMYFUNCTION("""COMPUTED_VALUE"""),24.0)</f>
        <v>24</v>
      </c>
      <c r="C19" s="228" t="str">
        <f>IFERROR(__xludf.DUMMYFUNCTION("""COMPUTED_VALUE"""),"Maintenance_Generator")</f>
        <v>Maintenance_Generator</v>
      </c>
      <c r="D19" s="227" t="str">
        <f>IFERROR(__xludf.DUMMYFUNCTION("""COMPUTED_VALUE"""),"Total: 18 | TNI0006: 30KVA, TNI0061: 8KVA, TNI0049: 8KVA, TNI0201: 8KVA, TNI0041: 8KVA, TNI0038: 8KVA, TNI0198: 8KVA, TNI0314: 30KVA, TNI0381: 8KVA, TNI0312: 12KVA, TNI0129: 8KVA, TNI0052: 8KVA, TNI0013: 30KVA, TNI0319: 12KVA, TNI0351: 12DKVA, TNI0019: 8K"&amp;"VA, TNI0306: 12DKVA, TNI0284: 12KVA")</f>
        <v>Total: 18 | TNI0006: 30KVA, TNI0061: 8KVA, TNI0049: 8KVA, TNI0201: 8KVA, TNI0041: 8KVA, TNI0038: 8KVA, TNI0198: 8KVA, TNI0314: 30KVA, TNI0381: 8KVA, TNI0312: 12KVA, TNI0129: 8KVA, TNI0052: 8KVA, TNI0013: 30KVA, TNI0319: 12KVA, TNI0351: 12DKVA, TNI0019: 8KVA, TNI0306: 12DKVA, TNI0284: 12KVA</v>
      </c>
      <c r="E19" s="227" t="str">
        <f>IFERROR(__xludf.DUMMYFUNCTION("""COMPUTED_VALUE"""),"Total: 8 | TNI0003: 30KVA, TNI0137: 12DKVA, TNI0228: 8KVA, TNI0413: 12DKVA, TNI0519: 12DKVA, TNI0381: 8KVA, TNI0200: 12KVA, TNI0122: 12KVA")</f>
        <v>Total: 8 | TNI0003: 30KVA, TNI0137: 12DKVA, TNI0228: 8KVA, TNI0413: 12DKVA, TNI0519: 12DKVA, TNI0381: 8KVA, TNI0200: 12KVA, TNI0122: 12KVA</v>
      </c>
      <c r="F19" s="227" t="str">
        <f>IFERROR(__xludf.DUMMYFUNCTION("""COMPUTED_VALUE"""),"Total: 4 | TNI0103: 8KVA, TNI0105: 8KVA, TNI0212: 12KVA, TNI0008: 12KVA")</f>
        <v>Total: 4 | TNI0103: 8KVA, TNI0105: 8KVA, TNI0212: 12KVA, TNI0008: 12KVA</v>
      </c>
      <c r="G19" s="227" t="str">
        <f>IFERROR(__xludf.DUMMYFUNCTION("""COMPUTED_VALUE"""),"Total: 3 | TNI0015: 12KVA, TNI0227: 12KVA, TNI0392: 12DKVA")</f>
        <v>Total: 3 | TNI0015: 12KVA, TNI0227: 12KVA, TNI0392: 12DKVA</v>
      </c>
      <c r="H19" s="227" t="str">
        <f>IFERROR(__xludf.DUMMYFUNCTION("""COMPUTED_VALUE"""),"-")</f>
        <v>-</v>
      </c>
      <c r="K19" s="175" t="str">
        <f>IFERROR(__xludf.DUMMYFUNCTION("""COMPUTED_VALUE"""),"Finance")</f>
        <v>Finance</v>
      </c>
      <c r="L19" s="175" t="str">
        <f>IFERROR(__xludf.DUMMYFUNCTION("""COMPUTED_VALUE"""),"EPC Advance")</f>
        <v>EPC Advance</v>
      </c>
      <c r="M19" s="136" t="str">
        <f>IFERROR(__xludf.DUMMYFUNCTION("""COMPUTED_VALUE"""),"-")</f>
        <v>-</v>
      </c>
      <c r="N19" s="136" t="str">
        <f>IFERROR(__xludf.DUMMYFUNCTION("""COMPUTED_VALUE"""),"-")</f>
        <v>-</v>
      </c>
      <c r="O19" s="136" t="str">
        <f>IFERROR(__xludf.DUMMYFUNCTION("""COMPUTED_VALUE"""),"-")</f>
        <v>-</v>
      </c>
      <c r="P19" s="115" t="str">
        <f>IFERROR(__xludf.DUMMYFUNCTION("""COMPUTED_VALUE"""),"Team 04 advance for EPC ")</f>
        <v>Team 04 advance for EPC </v>
      </c>
      <c r="S19" s="223" t="str">
        <f>IFERROR(__xludf.DUMMYFUNCTION("""COMPUTED_VALUE"""),"T2")</f>
        <v>T2</v>
      </c>
      <c r="T19" s="224" t="str">
        <f>IFERROR(__xludf.DUMMYFUNCTION("""COMPUTED_VALUE"""),"myt_pyikyaw.aung")</f>
        <v>myt_pyikyaw.aung</v>
      </c>
      <c r="U19" s="225">
        <f>IFERROR(__xludf.DUMMYFUNCTION("""COMPUTED_VALUE"""),5.0)</f>
        <v>5</v>
      </c>
      <c r="V19" s="225">
        <f>IFERROR(__xludf.DUMMYFUNCTION("""COMPUTED_VALUE"""),1.0)</f>
        <v>1</v>
      </c>
      <c r="W19" s="225">
        <f>IFERROR(__xludf.DUMMYFUNCTION("""COMPUTED_VALUE"""),1.0)</f>
        <v>1</v>
      </c>
      <c r="X19" s="225">
        <f>IFERROR(__xludf.DUMMYFUNCTION("""COMPUTED_VALUE"""),2.0)</f>
        <v>2</v>
      </c>
      <c r="Y19" s="225">
        <f>IFERROR(__xludf.DUMMYFUNCTION("""COMPUTED_VALUE"""),0.0)</f>
        <v>0</v>
      </c>
      <c r="Z19" s="147" t="str">
        <f>IFERROR(__xludf.DUMMYFUNCTION("""COMPUTED_VALUE"""),"")</f>
        <v/>
      </c>
      <c r="AA19" s="201">
        <f>IFERROR(__xludf.DUMMYFUNCTION("""COMPUTED_VALUE"""),1.0)</f>
        <v>1</v>
      </c>
      <c r="AB19" s="201">
        <f>IFERROR(__xludf.DUMMYFUNCTION("""COMPUTED_VALUE"""),0.0)</f>
        <v>0</v>
      </c>
      <c r="AC19" s="201">
        <f>IFERROR(__xludf.DUMMYFUNCTION("""COMPUTED_VALUE"""),0.0)</f>
        <v>0</v>
      </c>
      <c r="AD19" s="201">
        <f>IFERROR(__xludf.DUMMYFUNCTION("""COMPUTED_VALUE"""),0.0)</f>
        <v>0</v>
      </c>
      <c r="AE19" s="201">
        <f>IFERROR(__xludf.DUMMYFUNCTION("""COMPUTED_VALUE"""),0.0)</f>
        <v>0</v>
      </c>
      <c r="AF19" s="122"/>
      <c r="AG19" s="122"/>
      <c r="AH19" s="223" t="str">
        <f>IFERROR(__xludf.DUMMYFUNCTION("""COMPUTED_VALUE"""),"T2")</f>
        <v>T2</v>
      </c>
      <c r="AI19" s="224" t="str">
        <f>IFERROR(__xludf.DUMMYFUNCTION("""COMPUTED_VALUE"""),"myt_pyikyaw.aung")</f>
        <v>myt_pyikyaw.aung</v>
      </c>
      <c r="AJ19" s="225">
        <f>IFERROR(__xludf.DUMMYFUNCTION("""COMPUTED_VALUE"""),5.0)</f>
        <v>5</v>
      </c>
      <c r="AK19" s="225">
        <f>IFERROR(__xludf.DUMMYFUNCTION("""COMPUTED_VALUE"""),1.0)</f>
        <v>1</v>
      </c>
      <c r="AL19" s="199">
        <f>IFERROR(__xludf.DUMMYFUNCTION("""COMPUTED_VALUE"""),1.0)</f>
        <v>1</v>
      </c>
      <c r="AM19" s="225">
        <f>IFERROR(__xludf.DUMMYFUNCTION("""COMPUTED_VALUE"""),2.0)</f>
        <v>2</v>
      </c>
      <c r="AN19" s="225">
        <f>IFERROR(__xludf.DUMMYFUNCTION("""COMPUTED_VALUE"""),0.0)</f>
        <v>0</v>
      </c>
      <c r="AO19" s="147" t="str">
        <f>IFERROR(__xludf.DUMMYFUNCTION("""COMPUTED_VALUE"""),"")</f>
        <v/>
      </c>
      <c r="AP19" s="164">
        <f>IFERROR(__xludf.DUMMYFUNCTION("""COMPUTED_VALUE"""),0.0)</f>
        <v>0</v>
      </c>
      <c r="AQ19" s="164">
        <f>IFERROR(__xludf.DUMMYFUNCTION("""COMPUTED_VALUE"""),0.0)</f>
        <v>0</v>
      </c>
      <c r="AR19" s="164">
        <f>IFERROR(__xludf.DUMMYFUNCTION("""COMPUTED_VALUE"""),0.0)</f>
        <v>0</v>
      </c>
      <c r="AS19" s="164">
        <f>IFERROR(__xludf.DUMMYFUNCTION("""COMPUTED_VALUE"""),0.0)</f>
        <v>0</v>
      </c>
      <c r="AT19" s="164">
        <f>IFERROR(__xludf.DUMMYFUNCTION("""COMPUTED_VALUE"""),0.0)</f>
        <v>0</v>
      </c>
      <c r="AU19" s="122"/>
      <c r="AV19" s="122"/>
      <c r="AW19" s="223" t="str">
        <f>IFERROR(__xludf.DUMMYFUNCTION("""COMPUTED_VALUE"""),"T2")</f>
        <v>T2</v>
      </c>
      <c r="AX19" s="224" t="str">
        <f>IFERROR(__xludf.DUMMYFUNCTION("""COMPUTED_VALUE"""),"myt_pyikyaw.aung")</f>
        <v>myt_pyikyaw.aung</v>
      </c>
      <c r="AY19" s="225">
        <f>IFERROR(__xludf.DUMMYFUNCTION("""COMPUTED_VALUE"""),3.0)</f>
        <v>3</v>
      </c>
      <c r="AZ19" s="225">
        <f>IFERROR(__xludf.DUMMYFUNCTION("""COMPUTED_VALUE"""),1.0)</f>
        <v>1</v>
      </c>
      <c r="BA19" s="199">
        <f>IFERROR(__xludf.DUMMYFUNCTION("""COMPUTED_VALUE"""),0.0)</f>
        <v>0</v>
      </c>
      <c r="BB19" s="199">
        <f>IFERROR(__xludf.DUMMYFUNCTION("""COMPUTED_VALUE"""),2.0)</f>
        <v>2</v>
      </c>
      <c r="BC19" s="225">
        <f>IFERROR(__xludf.DUMMYFUNCTION("""COMPUTED_VALUE"""),0.0)</f>
        <v>0</v>
      </c>
      <c r="BD19" s="147" t="str">
        <f>IFERROR(__xludf.DUMMYFUNCTION("""COMPUTED_VALUE"""),"")</f>
        <v/>
      </c>
      <c r="BE19" s="201">
        <f>IFERROR(__xludf.DUMMYFUNCTION("""COMPUTED_VALUE"""),0.0)</f>
        <v>0</v>
      </c>
      <c r="BF19" s="201">
        <f>IFERROR(__xludf.DUMMYFUNCTION("""COMPUTED_VALUE"""),0.0)</f>
        <v>0</v>
      </c>
      <c r="BG19" s="201">
        <f>IFERROR(__xludf.DUMMYFUNCTION("""COMPUTED_VALUE"""),0.0)</f>
        <v>0</v>
      </c>
      <c r="BH19" s="201">
        <f>IFERROR(__xludf.DUMMYFUNCTION("""COMPUTED_VALUE"""),0.0)</f>
        <v>0</v>
      </c>
      <c r="BI19" s="201">
        <f>IFERROR(__xludf.DUMMYFUNCTION("""COMPUTED_VALUE"""),0.0)</f>
        <v>0</v>
      </c>
      <c r="BJ19" s="122"/>
      <c r="BK19" s="122"/>
      <c r="BL19" s="202" t="str">
        <f>IFERROR(__xludf.DUMMYFUNCTION("""COMPUTED_VALUE"""),"T2")</f>
        <v>T2</v>
      </c>
      <c r="BM19" s="203" t="str">
        <f>IFERROR(__xludf.DUMMYFUNCTION("""COMPUTED_VALUE"""),"myt_pyikyaw.aung")</f>
        <v>myt_pyikyaw.aung</v>
      </c>
      <c r="BN19" s="204" t="str">
        <f>IFERROR(__xludf.DUMMYFUNCTION("""COMPUTED_VALUE"""),"")</f>
        <v/>
      </c>
      <c r="BO19" s="184" t="str">
        <f>IFERROR(__xludf.DUMMYFUNCTION("""COMPUTED_VALUE"""),"")</f>
        <v/>
      </c>
      <c r="BP19" s="184" t="str">
        <f>IFERROR(__xludf.DUMMYFUNCTION("""COMPUTED_VALUE"""),"")</f>
        <v/>
      </c>
      <c r="BQ19" s="184" t="str">
        <f>IFERROR(__xludf.DUMMYFUNCTION("""COMPUTED_VALUE"""),"")</f>
        <v/>
      </c>
      <c r="BR19" s="184" t="str">
        <f>IFERROR(__xludf.DUMMYFUNCTION("""COMPUTED_VALUE"""),"")</f>
        <v/>
      </c>
      <c r="BS19" s="206">
        <f>IFERROR(__xludf.DUMMYFUNCTION("""COMPUTED_VALUE"""),1.0)</f>
        <v>1</v>
      </c>
      <c r="BT19" s="206">
        <f>IFERROR(__xludf.DUMMYFUNCTION("""COMPUTED_VALUE"""),0.0)</f>
        <v>0</v>
      </c>
      <c r="BU19" s="206">
        <f>IFERROR(__xludf.DUMMYFUNCTION("""COMPUTED_VALUE"""),0.0)</f>
        <v>0</v>
      </c>
      <c r="BV19" s="206">
        <f>IFERROR(__xludf.DUMMYFUNCTION("""COMPUTED_VALUE"""),1.0)</f>
        <v>1</v>
      </c>
      <c r="BW19" s="206">
        <f>IFERROR(__xludf.DUMMYFUNCTION("""COMPUTED_VALUE"""),0.0)</f>
        <v>0</v>
      </c>
      <c r="BX19" s="154"/>
      <c r="BY19" s="207" t="str">
        <f>IFERROR(__xludf.DUMMYFUNCTION("""COMPUTED_VALUE"""),"T2")</f>
        <v>T2</v>
      </c>
      <c r="BZ19" s="208" t="str">
        <f>IFERROR(__xludf.DUMMYFUNCTION("""COMPUTED_VALUE"""),"myt_pyikyaw.aung")</f>
        <v>myt_pyikyaw.aung</v>
      </c>
      <c r="CA19" s="209" t="str">
        <f>IFERROR(__xludf.DUMMYFUNCTION("""COMPUTED_VALUE"""),"")</f>
        <v/>
      </c>
      <c r="CB19" s="209" t="str">
        <f>IFERROR(__xludf.DUMMYFUNCTION("""COMPUTED_VALUE"""),"")</f>
        <v/>
      </c>
      <c r="CC19" s="184" t="str">
        <f>IFERROR(__xludf.DUMMYFUNCTION("""COMPUTED_VALUE"""),"")</f>
        <v/>
      </c>
      <c r="CD19" s="184" t="str">
        <f>IFERROR(__xludf.DUMMYFUNCTION("""COMPUTED_VALUE"""),"")</f>
        <v/>
      </c>
      <c r="CE19" s="209" t="str">
        <f>IFERROR(__xludf.DUMMYFUNCTION("""COMPUTED_VALUE"""),"")</f>
        <v/>
      </c>
      <c r="CF19" s="206">
        <f>IFERROR(__xludf.DUMMYFUNCTION("""COMPUTED_VALUE"""),0.0)</f>
        <v>0</v>
      </c>
      <c r="CG19" s="206">
        <f>IFERROR(__xludf.DUMMYFUNCTION("""COMPUTED_VALUE"""),0.0)</f>
        <v>0</v>
      </c>
      <c r="CH19" s="206">
        <f>IFERROR(__xludf.DUMMYFUNCTION("""COMPUTED_VALUE"""),0.0)</f>
        <v>0</v>
      </c>
      <c r="CI19" s="206">
        <f>IFERROR(__xludf.DUMMYFUNCTION("""COMPUTED_VALUE"""),0.0)</f>
        <v>0</v>
      </c>
      <c r="CJ19" s="206">
        <f>IFERROR(__xludf.DUMMYFUNCTION("""COMPUTED_VALUE"""),0.0)</f>
        <v>0</v>
      </c>
    </row>
    <row r="20">
      <c r="A20" s="229">
        <f>IFERROR(__xludf.DUMMYFUNCTION("""COMPUTED_VALUE"""),0.0)</f>
        <v>0</v>
      </c>
      <c r="B20" s="229">
        <f>IFERROR(__xludf.DUMMYFUNCTION("""COMPUTED_VALUE"""),25.0)</f>
        <v>25</v>
      </c>
      <c r="C20" s="230" t="str">
        <f>IFERROR(__xludf.DUMMYFUNCTION("""COMPUTED_VALUE"""),"Generator Fuel Monitoring")</f>
        <v>Generator Fuel Monitoring</v>
      </c>
      <c r="D20" s="229" t="str">
        <f>IFERROR(__xludf.DUMMYFUNCTION("""COMPUTED_VALUE"""),"-")</f>
        <v>-</v>
      </c>
      <c r="E20" s="229" t="str">
        <f>IFERROR(__xludf.DUMMYFUNCTION("""COMPUTED_VALUE"""),"-")</f>
        <v>-</v>
      </c>
      <c r="F20" s="229" t="str">
        <f>IFERROR(__xludf.DUMMYFUNCTION("""COMPUTED_VALUE"""),"-")</f>
        <v>-</v>
      </c>
      <c r="G20" s="229" t="str">
        <f>IFERROR(__xludf.DUMMYFUNCTION("""COMPUTED_VALUE"""),"-")</f>
        <v>-</v>
      </c>
      <c r="H20" s="229" t="str">
        <f>IFERROR(__xludf.DUMMYFUNCTION("""COMPUTED_VALUE"""),"-")</f>
        <v>-</v>
      </c>
      <c r="K20" s="120" t="str">
        <f>IFERROR(__xludf.DUMMYFUNCTION("""COMPUTED_VALUE"""),"Finance")</f>
        <v>Finance</v>
      </c>
      <c r="L20" s="120" t="str">
        <f>IFERROR(__xludf.DUMMYFUNCTION("""COMPUTED_VALUE"""),"EPC clear")</f>
        <v>EPC clear</v>
      </c>
      <c r="M20" s="159" t="str">
        <f>IFERROR(__xludf.DUMMYFUNCTION("""COMPUTED_VALUE""")," Clear for Jan")</f>
        <v> Clear for Jan</v>
      </c>
      <c r="N20" s="159" t="str">
        <f>IFERROR(__xludf.DUMMYFUNCTION("""COMPUTED_VALUE""")," Clear for Jan")</f>
        <v> Clear for Jan</v>
      </c>
      <c r="O20" s="159" t="str">
        <f>IFERROR(__xludf.DUMMYFUNCTION("""COMPUTED_VALUE""")," Clear for Jan")</f>
        <v> Clear for Jan</v>
      </c>
      <c r="P20" s="159" t="str">
        <f>IFERROR(__xludf.DUMMYFUNCTION("""COMPUTED_VALUE""")," Clear for Jan")</f>
        <v> Clear for Jan</v>
      </c>
      <c r="S20" s="231" t="str">
        <f>IFERROR(__xludf.DUMMYFUNCTION("""COMPUTED_VALUE"""),"T2")</f>
        <v>T2</v>
      </c>
      <c r="T20" s="232" t="str">
        <f>IFERROR(__xludf.DUMMYFUNCTION("""COMPUTED_VALUE"""),"myt_naythurain.oo")</f>
        <v>myt_naythurain.oo</v>
      </c>
      <c r="U20" s="199">
        <f>IFERROR(__xludf.DUMMYFUNCTION("""COMPUTED_VALUE"""),0.0)</f>
        <v>0</v>
      </c>
      <c r="V20" s="233">
        <f>IFERROR(__xludf.DUMMYFUNCTION("""COMPUTED_VALUE"""),0.0)</f>
        <v>0</v>
      </c>
      <c r="W20" s="199">
        <f>IFERROR(__xludf.DUMMYFUNCTION("""COMPUTED_VALUE"""),0.0)</f>
        <v>0</v>
      </c>
      <c r="X20" s="199">
        <f>IFERROR(__xludf.DUMMYFUNCTION("""COMPUTED_VALUE"""),1.0)</f>
        <v>1</v>
      </c>
      <c r="Y20" s="199">
        <f>IFERROR(__xludf.DUMMYFUNCTION("""COMPUTED_VALUE"""),0.0)</f>
        <v>0</v>
      </c>
      <c r="Z20" s="234" t="str">
        <f>IFERROR(__xludf.DUMMYFUNCTION("""COMPUTED_VALUE"""),"")</f>
        <v/>
      </c>
      <c r="AA20" s="201">
        <f>IFERROR(__xludf.DUMMYFUNCTION("""COMPUTED_VALUE"""),0.0)</f>
        <v>0</v>
      </c>
      <c r="AB20" s="201">
        <f>IFERROR(__xludf.DUMMYFUNCTION("""COMPUTED_VALUE"""),0.0)</f>
        <v>0</v>
      </c>
      <c r="AC20" s="201">
        <f>IFERROR(__xludf.DUMMYFUNCTION("""COMPUTED_VALUE"""),0.0)</f>
        <v>0</v>
      </c>
      <c r="AD20" s="201">
        <f>IFERROR(__xludf.DUMMYFUNCTION("""COMPUTED_VALUE"""),0.0)</f>
        <v>0</v>
      </c>
      <c r="AE20" s="201">
        <f>IFERROR(__xludf.DUMMYFUNCTION("""COMPUTED_VALUE"""),0.0)</f>
        <v>0</v>
      </c>
      <c r="AF20" s="122"/>
      <c r="AG20" s="122"/>
      <c r="AH20" s="231" t="str">
        <f>IFERROR(__xludf.DUMMYFUNCTION("""COMPUTED_VALUE"""),"T2")</f>
        <v>T2</v>
      </c>
      <c r="AI20" s="232" t="str">
        <f>IFERROR(__xludf.DUMMYFUNCTION("""COMPUTED_VALUE"""),"myt_naythurain.oo")</f>
        <v>myt_naythurain.oo</v>
      </c>
      <c r="AJ20" s="199">
        <f>IFERROR(__xludf.DUMMYFUNCTION("""COMPUTED_VALUE"""),0.0)</f>
        <v>0</v>
      </c>
      <c r="AK20" s="233">
        <f>IFERROR(__xludf.DUMMYFUNCTION("""COMPUTED_VALUE"""),0.0)</f>
        <v>0</v>
      </c>
      <c r="AL20" s="199">
        <f>IFERROR(__xludf.DUMMYFUNCTION("""COMPUTED_VALUE"""),0.0)</f>
        <v>0</v>
      </c>
      <c r="AM20" s="199">
        <f>IFERROR(__xludf.DUMMYFUNCTION("""COMPUTED_VALUE"""),1.0)</f>
        <v>1</v>
      </c>
      <c r="AN20" s="199">
        <f>IFERROR(__xludf.DUMMYFUNCTION("""COMPUTED_VALUE"""),0.0)</f>
        <v>0</v>
      </c>
      <c r="AO20" s="234" t="str">
        <f>IFERROR(__xludf.DUMMYFUNCTION("""COMPUTED_VALUE"""),"")</f>
        <v/>
      </c>
      <c r="AP20" s="164">
        <f>IFERROR(__xludf.DUMMYFUNCTION("""COMPUTED_VALUE"""),0.0)</f>
        <v>0</v>
      </c>
      <c r="AQ20" s="164">
        <f>IFERROR(__xludf.DUMMYFUNCTION("""COMPUTED_VALUE"""),0.0)</f>
        <v>0</v>
      </c>
      <c r="AR20" s="164">
        <f>IFERROR(__xludf.DUMMYFUNCTION("""COMPUTED_VALUE"""),0.0)</f>
        <v>0</v>
      </c>
      <c r="AS20" s="164">
        <f>IFERROR(__xludf.DUMMYFUNCTION("""COMPUTED_VALUE"""),0.0)</f>
        <v>0</v>
      </c>
      <c r="AT20" s="164">
        <f>IFERROR(__xludf.DUMMYFUNCTION("""COMPUTED_VALUE"""),0.0)</f>
        <v>0</v>
      </c>
      <c r="AU20" s="122"/>
      <c r="AV20" s="122"/>
      <c r="AW20" s="231" t="str">
        <f>IFERROR(__xludf.DUMMYFUNCTION("""COMPUTED_VALUE"""),"T2")</f>
        <v>T2</v>
      </c>
      <c r="AX20" s="232" t="str">
        <f>IFERROR(__xludf.DUMMYFUNCTION("""COMPUTED_VALUE"""),"myt_naythurain.oo")</f>
        <v>myt_naythurain.oo</v>
      </c>
      <c r="AY20" s="199">
        <f>IFERROR(__xludf.DUMMYFUNCTION("""COMPUTED_VALUE"""),0.0)</f>
        <v>0</v>
      </c>
      <c r="AZ20" s="199">
        <f>IFERROR(__xludf.DUMMYFUNCTION("""COMPUTED_VALUE"""),0.0)</f>
        <v>0</v>
      </c>
      <c r="BA20" s="199">
        <f>IFERROR(__xludf.DUMMYFUNCTION("""COMPUTED_VALUE"""),0.0)</f>
        <v>0</v>
      </c>
      <c r="BB20" s="199">
        <f>IFERROR(__xludf.DUMMYFUNCTION("""COMPUTED_VALUE"""),1.0)</f>
        <v>1</v>
      </c>
      <c r="BC20" s="199">
        <f>IFERROR(__xludf.DUMMYFUNCTION("""COMPUTED_VALUE"""),0.0)</f>
        <v>0</v>
      </c>
      <c r="BD20" s="234" t="str">
        <f>IFERROR(__xludf.DUMMYFUNCTION("""COMPUTED_VALUE"""),"")</f>
        <v/>
      </c>
      <c r="BE20" s="201">
        <f>IFERROR(__xludf.DUMMYFUNCTION("""COMPUTED_VALUE"""),0.0)</f>
        <v>0</v>
      </c>
      <c r="BF20" s="201">
        <f>IFERROR(__xludf.DUMMYFUNCTION("""COMPUTED_VALUE"""),0.0)</f>
        <v>0</v>
      </c>
      <c r="BG20" s="201">
        <f>IFERROR(__xludf.DUMMYFUNCTION("""COMPUTED_VALUE"""),0.0)</f>
        <v>0</v>
      </c>
      <c r="BH20" s="201">
        <f>IFERROR(__xludf.DUMMYFUNCTION("""COMPUTED_VALUE"""),0.0)</f>
        <v>0</v>
      </c>
      <c r="BI20" s="201">
        <f>IFERROR(__xludf.DUMMYFUNCTION("""COMPUTED_VALUE"""),0.0)</f>
        <v>0</v>
      </c>
      <c r="BJ20" s="122"/>
      <c r="BK20" s="122"/>
      <c r="BL20" s="202" t="str">
        <f>IFERROR(__xludf.DUMMYFUNCTION("""COMPUTED_VALUE"""),"T2")</f>
        <v>T2</v>
      </c>
      <c r="BM20" s="203" t="str">
        <f>IFERROR(__xludf.DUMMYFUNCTION("""COMPUTED_VALUE"""),"myt_naythurain.oo")</f>
        <v>myt_naythurain.oo</v>
      </c>
      <c r="BN20" s="204" t="str">
        <f>IFERROR(__xludf.DUMMYFUNCTION("""COMPUTED_VALUE"""),"")</f>
        <v/>
      </c>
      <c r="BO20" s="205" t="str">
        <f>IFERROR(__xludf.DUMMYFUNCTION("""COMPUTED_VALUE"""),"")</f>
        <v/>
      </c>
      <c r="BP20" s="205" t="str">
        <f>IFERROR(__xludf.DUMMYFUNCTION("""COMPUTED_VALUE"""),"")</f>
        <v/>
      </c>
      <c r="BQ20" s="205" t="str">
        <f>IFERROR(__xludf.DUMMYFUNCTION("""COMPUTED_VALUE"""),"")</f>
        <v/>
      </c>
      <c r="BR20" s="205" t="str">
        <f>IFERROR(__xludf.DUMMYFUNCTION("""COMPUTED_VALUE"""),"")</f>
        <v/>
      </c>
      <c r="BS20" s="206">
        <f>IFERROR(__xludf.DUMMYFUNCTION("""COMPUTED_VALUE"""),0.0)</f>
        <v>0</v>
      </c>
      <c r="BT20" s="206">
        <f>IFERROR(__xludf.DUMMYFUNCTION("""COMPUTED_VALUE"""),0.0)</f>
        <v>0</v>
      </c>
      <c r="BU20" s="206">
        <f>IFERROR(__xludf.DUMMYFUNCTION("""COMPUTED_VALUE"""),0.0)</f>
        <v>0</v>
      </c>
      <c r="BV20" s="206">
        <f>IFERROR(__xludf.DUMMYFUNCTION("""COMPUTED_VALUE"""),1.0)</f>
        <v>1</v>
      </c>
      <c r="BW20" s="206">
        <f>IFERROR(__xludf.DUMMYFUNCTION("""COMPUTED_VALUE"""),0.0)</f>
        <v>0</v>
      </c>
      <c r="BX20" s="154"/>
      <c r="BY20" s="207" t="str">
        <f>IFERROR(__xludf.DUMMYFUNCTION("""COMPUTED_VALUE"""),"T2")</f>
        <v>T2</v>
      </c>
      <c r="BZ20" s="208" t="str">
        <f>IFERROR(__xludf.DUMMYFUNCTION("""COMPUTED_VALUE"""),"myt_naythurain.oo")</f>
        <v>myt_naythurain.oo</v>
      </c>
      <c r="CA20" s="209" t="str">
        <f>IFERROR(__xludf.DUMMYFUNCTION("""COMPUTED_VALUE"""),"")</f>
        <v/>
      </c>
      <c r="CB20" s="210" t="str">
        <f>IFERROR(__xludf.DUMMYFUNCTION("""COMPUTED_VALUE"""),"")</f>
        <v/>
      </c>
      <c r="CC20" s="205" t="str">
        <f>IFERROR(__xludf.DUMMYFUNCTION("""COMPUTED_VALUE"""),"")</f>
        <v/>
      </c>
      <c r="CD20" s="205" t="str">
        <f>IFERROR(__xludf.DUMMYFUNCTION("""COMPUTED_VALUE"""),"")</f>
        <v/>
      </c>
      <c r="CE20" s="210" t="str">
        <f>IFERROR(__xludf.DUMMYFUNCTION("""COMPUTED_VALUE"""),"")</f>
        <v/>
      </c>
      <c r="CF20" s="206">
        <f>IFERROR(__xludf.DUMMYFUNCTION("""COMPUTED_VALUE"""),0.0)</f>
        <v>0</v>
      </c>
      <c r="CG20" s="206">
        <f>IFERROR(__xludf.DUMMYFUNCTION("""COMPUTED_VALUE"""),0.0)</f>
        <v>0</v>
      </c>
      <c r="CH20" s="206">
        <f>IFERROR(__xludf.DUMMYFUNCTION("""COMPUTED_VALUE"""),0.0)</f>
        <v>0</v>
      </c>
      <c r="CI20" s="206">
        <f>IFERROR(__xludf.DUMMYFUNCTION("""COMPUTED_VALUE"""),0.0)</f>
        <v>0</v>
      </c>
      <c r="CJ20" s="206">
        <f>IFERROR(__xludf.DUMMYFUNCTION("""COMPUTED_VALUE"""),0.0)</f>
        <v>0</v>
      </c>
    </row>
    <row r="21">
      <c r="A21" s="229">
        <f>IFERROR(__xludf.DUMMYFUNCTION("""COMPUTED_VALUE"""),0.0)</f>
        <v>0</v>
      </c>
      <c r="B21" s="229"/>
      <c r="C21" s="230"/>
      <c r="D21" s="229" t="str">
        <f>IFERROR(__xludf.DUMMYFUNCTION("""COMPUTED_VALUE"""),"-")</f>
        <v>-</v>
      </c>
      <c r="E21" s="229" t="str">
        <f>IFERROR(__xludf.DUMMYFUNCTION("""COMPUTED_VALUE"""),"-")</f>
        <v>-</v>
      </c>
      <c r="F21" s="229" t="str">
        <f>IFERROR(__xludf.DUMMYFUNCTION("""COMPUTED_VALUE"""),"-")</f>
        <v>-</v>
      </c>
      <c r="G21" s="229" t="str">
        <f>IFERROR(__xludf.DUMMYFUNCTION("""COMPUTED_VALUE"""),"-")</f>
        <v>-</v>
      </c>
      <c r="H21" s="229" t="str">
        <f>IFERROR(__xludf.DUMMYFUNCTION("""COMPUTED_VALUE"""),"-")</f>
        <v>-</v>
      </c>
      <c r="K21" s="175" t="str">
        <f>IFERROR(__xludf.DUMMYFUNCTION("""COMPUTED_VALUE"""),"Finance")</f>
        <v>Finance</v>
      </c>
      <c r="L21" s="175" t="str">
        <f>IFERROR(__xludf.DUMMYFUNCTION("""COMPUTED_VALUE"""),"MDG fuel invoice")</f>
        <v>MDG fuel invoice</v>
      </c>
      <c r="M21" s="136" t="str">
        <f>IFERROR(__xludf.DUMMYFUNCTION("""COMPUTED_VALUE"""),"-")</f>
        <v>-</v>
      </c>
      <c r="N21" s="136" t="str">
        <f>IFERROR(__xludf.DUMMYFUNCTION("""COMPUTED_VALUE"""),"-")</f>
        <v>-</v>
      </c>
      <c r="O21" s="136" t="str">
        <f>IFERROR(__xludf.DUMMYFUNCTION("""COMPUTED_VALUE"""),"-")</f>
        <v>-</v>
      </c>
      <c r="P21" s="136" t="str">
        <f>IFERROR(__xludf.DUMMYFUNCTION("""COMPUTED_VALUE"""),"-")</f>
        <v>-</v>
      </c>
      <c r="S21" s="235" t="str">
        <f>IFERROR(__xludf.DUMMYFUNCTION("""COMPUTED_VALUE"""),"T2")</f>
        <v>T2</v>
      </c>
      <c r="T21" s="236" t="str">
        <f>IFERROR(__xludf.DUMMYFUNCTION("""COMPUTED_VALUE"""),"myt_winhtet.aung11")</f>
        <v>myt_winhtet.aung11</v>
      </c>
      <c r="U21" s="237">
        <f>IFERROR(__xludf.DUMMYFUNCTION("""COMPUTED_VALUE"""),0.0)</f>
        <v>0</v>
      </c>
      <c r="V21" s="199">
        <f>IFERROR(__xludf.DUMMYFUNCTION("""COMPUTED_VALUE"""),0.0)</f>
        <v>0</v>
      </c>
      <c r="W21" s="237">
        <f>IFERROR(__xludf.DUMMYFUNCTION("""COMPUTED_VALUE"""),0.0)</f>
        <v>0</v>
      </c>
      <c r="X21" s="199">
        <f>IFERROR(__xludf.DUMMYFUNCTION("""COMPUTED_VALUE"""),0.0)</f>
        <v>0</v>
      </c>
      <c r="Y21" s="199">
        <f>IFERROR(__xludf.DUMMYFUNCTION("""COMPUTED_VALUE"""),0.0)</f>
        <v>0</v>
      </c>
      <c r="Z21" s="238" t="str">
        <f>IFERROR(__xludf.DUMMYFUNCTION("""COMPUTED_VALUE"""),"")</f>
        <v/>
      </c>
      <c r="AA21" s="201">
        <f>IFERROR(__xludf.DUMMYFUNCTION("""COMPUTED_VALUE"""),0.0)</f>
        <v>0</v>
      </c>
      <c r="AB21" s="214">
        <f>IFERROR(__xludf.DUMMYFUNCTION("""COMPUTED_VALUE"""),0.0)</f>
        <v>0</v>
      </c>
      <c r="AC21" s="201">
        <f>IFERROR(__xludf.DUMMYFUNCTION("""COMPUTED_VALUE"""),0.0)</f>
        <v>0</v>
      </c>
      <c r="AD21" s="201">
        <f>IFERROR(__xludf.DUMMYFUNCTION("""COMPUTED_VALUE"""),0.0)</f>
        <v>0</v>
      </c>
      <c r="AE21" s="201">
        <f>IFERROR(__xludf.DUMMYFUNCTION("""COMPUTED_VALUE"""),0.0)</f>
        <v>0</v>
      </c>
      <c r="AF21" s="122"/>
      <c r="AG21" s="122"/>
      <c r="AH21" s="235" t="str">
        <f>IFERROR(__xludf.DUMMYFUNCTION("""COMPUTED_VALUE"""),"T2")</f>
        <v>T2</v>
      </c>
      <c r="AI21" s="236" t="str">
        <f>IFERROR(__xludf.DUMMYFUNCTION("""COMPUTED_VALUE"""),"myt_winhtet.aung11")</f>
        <v>myt_winhtet.aung11</v>
      </c>
      <c r="AJ21" s="237">
        <f>IFERROR(__xludf.DUMMYFUNCTION("""COMPUTED_VALUE"""),0.0)</f>
        <v>0</v>
      </c>
      <c r="AK21" s="199">
        <f>IFERROR(__xludf.DUMMYFUNCTION("""COMPUTED_VALUE"""),0.0)</f>
        <v>0</v>
      </c>
      <c r="AL21" s="237">
        <f>IFERROR(__xludf.DUMMYFUNCTION("""COMPUTED_VALUE"""),0.0)</f>
        <v>0</v>
      </c>
      <c r="AM21" s="199">
        <f>IFERROR(__xludf.DUMMYFUNCTION("""COMPUTED_VALUE"""),0.0)</f>
        <v>0</v>
      </c>
      <c r="AN21" s="199">
        <f>IFERROR(__xludf.DUMMYFUNCTION("""COMPUTED_VALUE"""),0.0)</f>
        <v>0</v>
      </c>
      <c r="AO21" s="238" t="str">
        <f>IFERROR(__xludf.DUMMYFUNCTION("""COMPUTED_VALUE"""),"")</f>
        <v/>
      </c>
      <c r="AP21" s="164">
        <f>IFERROR(__xludf.DUMMYFUNCTION("""COMPUTED_VALUE"""),0.0)</f>
        <v>0</v>
      </c>
      <c r="AQ21" s="215">
        <f>IFERROR(__xludf.DUMMYFUNCTION("""COMPUTED_VALUE"""),0.0)</f>
        <v>0</v>
      </c>
      <c r="AR21" s="164">
        <f>IFERROR(__xludf.DUMMYFUNCTION("""COMPUTED_VALUE"""),0.0)</f>
        <v>0</v>
      </c>
      <c r="AS21" s="164">
        <f>IFERROR(__xludf.DUMMYFUNCTION("""COMPUTED_VALUE"""),0.0)</f>
        <v>0</v>
      </c>
      <c r="AT21" s="164">
        <f>IFERROR(__xludf.DUMMYFUNCTION("""COMPUTED_VALUE"""),0.0)</f>
        <v>0</v>
      </c>
      <c r="AU21" s="122"/>
      <c r="AV21" s="122"/>
      <c r="AW21" s="235" t="str">
        <f>IFERROR(__xludf.DUMMYFUNCTION("""COMPUTED_VALUE"""),"T2")</f>
        <v>T2</v>
      </c>
      <c r="AX21" s="236" t="str">
        <f>IFERROR(__xludf.DUMMYFUNCTION("""COMPUTED_VALUE"""),"myt_winhtet.aung11")</f>
        <v>myt_winhtet.aung11</v>
      </c>
      <c r="AY21" s="199">
        <f>IFERROR(__xludf.DUMMYFUNCTION("""COMPUTED_VALUE"""),0.0)</f>
        <v>0</v>
      </c>
      <c r="AZ21" s="199">
        <f>IFERROR(__xludf.DUMMYFUNCTION("""COMPUTED_VALUE"""),0.0)</f>
        <v>0</v>
      </c>
      <c r="BA21" s="237">
        <f>IFERROR(__xludf.DUMMYFUNCTION("""COMPUTED_VALUE"""),0.0)</f>
        <v>0</v>
      </c>
      <c r="BB21" s="199">
        <f>IFERROR(__xludf.DUMMYFUNCTION("""COMPUTED_VALUE"""),0.0)</f>
        <v>0</v>
      </c>
      <c r="BC21" s="199">
        <f>IFERROR(__xludf.DUMMYFUNCTION("""COMPUTED_VALUE"""),0.0)</f>
        <v>0</v>
      </c>
      <c r="BD21" s="238" t="str">
        <f>IFERROR(__xludf.DUMMYFUNCTION("""COMPUTED_VALUE"""),"")</f>
        <v/>
      </c>
      <c r="BE21" s="201">
        <f>IFERROR(__xludf.DUMMYFUNCTION("""COMPUTED_VALUE"""),0.0)</f>
        <v>0</v>
      </c>
      <c r="BF21" s="216">
        <f>IFERROR(__xludf.DUMMYFUNCTION("""COMPUTED_VALUE"""),0.0)</f>
        <v>0</v>
      </c>
      <c r="BG21" s="201">
        <f>IFERROR(__xludf.DUMMYFUNCTION("""COMPUTED_VALUE"""),0.0)</f>
        <v>0</v>
      </c>
      <c r="BH21" s="201">
        <f>IFERROR(__xludf.DUMMYFUNCTION("""COMPUTED_VALUE"""),0.0)</f>
        <v>0</v>
      </c>
      <c r="BI21" s="201">
        <f>IFERROR(__xludf.DUMMYFUNCTION("""COMPUTED_VALUE"""),0.0)</f>
        <v>0</v>
      </c>
      <c r="BJ21" s="122"/>
      <c r="BK21" s="122"/>
      <c r="BL21" s="202" t="str">
        <f>IFERROR(__xludf.DUMMYFUNCTION("""COMPUTED_VALUE"""),"T2")</f>
        <v>T2</v>
      </c>
      <c r="BM21" s="203" t="str">
        <f>IFERROR(__xludf.DUMMYFUNCTION("""COMPUTED_VALUE"""),"myt_winhtet.aung11")</f>
        <v>myt_winhtet.aung11</v>
      </c>
      <c r="BN21" s="202" t="str">
        <f>IFERROR(__xludf.DUMMYFUNCTION("""COMPUTED_VALUE"""),"")</f>
        <v/>
      </c>
      <c r="BO21" s="205" t="str">
        <f>IFERROR(__xludf.DUMMYFUNCTION("""COMPUTED_VALUE"""),"")</f>
        <v/>
      </c>
      <c r="BP21" s="205" t="str">
        <f>IFERROR(__xludf.DUMMYFUNCTION("""COMPUTED_VALUE"""),"")</f>
        <v/>
      </c>
      <c r="BQ21" s="205" t="str">
        <f>IFERROR(__xludf.DUMMYFUNCTION("""COMPUTED_VALUE"""),"")</f>
        <v/>
      </c>
      <c r="BR21" s="205" t="str">
        <f>IFERROR(__xludf.DUMMYFUNCTION("""COMPUTED_VALUE"""),"")</f>
        <v/>
      </c>
      <c r="BS21" s="206">
        <f>IFERROR(__xludf.DUMMYFUNCTION("""COMPUTED_VALUE"""),0.0)</f>
        <v>0</v>
      </c>
      <c r="BT21" s="217">
        <f>IFERROR(__xludf.DUMMYFUNCTION("""COMPUTED_VALUE"""),0.0)</f>
        <v>0</v>
      </c>
      <c r="BU21" s="206">
        <f>IFERROR(__xludf.DUMMYFUNCTION("""COMPUTED_VALUE"""),0.0)</f>
        <v>0</v>
      </c>
      <c r="BV21" s="206">
        <f>IFERROR(__xludf.DUMMYFUNCTION("""COMPUTED_VALUE"""),0.0)</f>
        <v>0</v>
      </c>
      <c r="BW21" s="206">
        <f>IFERROR(__xludf.DUMMYFUNCTION("""COMPUTED_VALUE"""),0.0)</f>
        <v>0</v>
      </c>
      <c r="BX21" s="154"/>
      <c r="BY21" s="207" t="str">
        <f>IFERROR(__xludf.DUMMYFUNCTION("""COMPUTED_VALUE"""),"T2")</f>
        <v>T2</v>
      </c>
      <c r="BZ21" s="208" t="str">
        <f>IFERROR(__xludf.DUMMYFUNCTION("""COMPUTED_VALUE"""),"myt_winhtet.aung11")</f>
        <v>myt_winhtet.aung11</v>
      </c>
      <c r="CA21" s="209" t="str">
        <f>IFERROR(__xludf.DUMMYFUNCTION("""COMPUTED_VALUE"""),"")</f>
        <v/>
      </c>
      <c r="CB21" s="210" t="str">
        <f>IFERROR(__xludf.DUMMYFUNCTION("""COMPUTED_VALUE"""),"")</f>
        <v/>
      </c>
      <c r="CC21" s="205" t="str">
        <f>IFERROR(__xludf.DUMMYFUNCTION("""COMPUTED_VALUE"""),"")</f>
        <v/>
      </c>
      <c r="CD21" s="205" t="str">
        <f>IFERROR(__xludf.DUMMYFUNCTION("""COMPUTED_VALUE"""),"")</f>
        <v/>
      </c>
      <c r="CE21" s="210" t="str">
        <f>IFERROR(__xludf.DUMMYFUNCTION("""COMPUTED_VALUE"""),"")</f>
        <v/>
      </c>
      <c r="CF21" s="206">
        <f>IFERROR(__xludf.DUMMYFUNCTION("""COMPUTED_VALUE"""),0.0)</f>
        <v>0</v>
      </c>
      <c r="CG21" s="206">
        <f>IFERROR(__xludf.DUMMYFUNCTION("""COMPUTED_VALUE"""),0.0)</f>
        <v>0</v>
      </c>
      <c r="CH21" s="206">
        <f>IFERROR(__xludf.DUMMYFUNCTION("""COMPUTED_VALUE"""),0.0)</f>
        <v>0</v>
      </c>
      <c r="CI21" s="206">
        <f>IFERROR(__xludf.DUMMYFUNCTION("""COMPUTED_VALUE"""),0.0)</f>
        <v>0</v>
      </c>
      <c r="CJ21" s="206">
        <f>IFERROR(__xludf.DUMMYFUNCTION("""COMPUTED_VALUE"""),0.0)</f>
        <v>0</v>
      </c>
    </row>
    <row r="22">
      <c r="A22" s="156">
        <f>IFERROR(__xludf.DUMMYFUNCTION("""COMPUTED_VALUE"""),0.0)</f>
        <v>0</v>
      </c>
      <c r="B22" s="239"/>
      <c r="C22" s="239"/>
      <c r="D22" s="156" t="str">
        <f>IFERROR(__xludf.DUMMYFUNCTION("""COMPUTED_VALUE"""),"-")</f>
        <v>-</v>
      </c>
      <c r="E22" s="156" t="str">
        <f>IFERROR(__xludf.DUMMYFUNCTION("""COMPUTED_VALUE"""),"-")</f>
        <v>-</v>
      </c>
      <c r="F22" s="156" t="str">
        <f>IFERROR(__xludf.DUMMYFUNCTION("""COMPUTED_VALUE"""),"-")</f>
        <v>-</v>
      </c>
      <c r="G22" s="156" t="str">
        <f>IFERROR(__xludf.DUMMYFUNCTION("""COMPUTED_VALUE"""),"-")</f>
        <v>-</v>
      </c>
      <c r="H22" s="156" t="str">
        <f>IFERROR(__xludf.DUMMYFUNCTION("""COMPUTED_VALUE"""),"-")</f>
        <v>-</v>
      </c>
      <c r="K22" s="120" t="str">
        <f>IFERROR(__xludf.DUMMYFUNCTION("""COMPUTED_VALUE"""),"Finance")</f>
        <v>Finance</v>
      </c>
      <c r="L22" s="120" t="str">
        <f>IFERROR(__xludf.DUMMYFUNCTION("""COMPUTED_VALUE"""),"Send Date Expense Doc ")</f>
        <v>Send Date Expense Doc </v>
      </c>
      <c r="M22" s="159" t="str">
        <f>IFERROR(__xludf.DUMMYFUNCTION("""COMPUTED_VALUE"""),"Expense Doc and File")</f>
        <v>Expense Doc and File</v>
      </c>
      <c r="N22" s="159" t="str">
        <f>IFERROR(__xludf.DUMMYFUNCTION("""COMPUTED_VALUE"""),"Expense Doc and File")</f>
        <v>Expense Doc and File</v>
      </c>
      <c r="O22" s="159" t="str">
        <f>IFERROR(__xludf.DUMMYFUNCTION("""COMPUTED_VALUE"""),"Expense Doc and File")</f>
        <v>Expense Doc and File</v>
      </c>
      <c r="P22" s="159" t="str">
        <f>IFERROR(__xludf.DUMMYFUNCTION("""COMPUTED_VALUE"""),"Expense Doc and File")</f>
        <v>Expense Doc and File</v>
      </c>
      <c r="S22" s="235" t="str">
        <f>IFERROR(__xludf.DUMMYFUNCTION("""COMPUTED_VALUE"""),"T2 S1")</f>
        <v>T2 S1</v>
      </c>
      <c r="T22" s="236" t="str">
        <f>IFERROR(__xludf.DUMMYFUNCTION("""COMPUTED_VALUE"""),"myt_minpaing.oo")</f>
        <v>myt_minpaing.oo</v>
      </c>
      <c r="U22" s="199">
        <f>IFERROR(__xludf.DUMMYFUNCTION("""COMPUTED_VALUE"""),0.0)</f>
        <v>0</v>
      </c>
      <c r="V22" s="237">
        <f>IFERROR(__xludf.DUMMYFUNCTION("""COMPUTED_VALUE"""),1.0)</f>
        <v>1</v>
      </c>
      <c r="W22" s="199">
        <f>IFERROR(__xludf.DUMMYFUNCTION("""COMPUTED_VALUE"""),0.0)</f>
        <v>0</v>
      </c>
      <c r="X22" s="199">
        <f>IFERROR(__xludf.DUMMYFUNCTION("""COMPUTED_VALUE"""),0.0)</f>
        <v>0</v>
      </c>
      <c r="Y22" s="199">
        <f>IFERROR(__xludf.DUMMYFUNCTION("""COMPUTED_VALUE"""),0.0)</f>
        <v>0</v>
      </c>
      <c r="Z22" s="240" t="str">
        <f>IFERROR(__xludf.DUMMYFUNCTION("""COMPUTED_VALUE"""),"8KVA: 0 &lt;+&gt; 12KVA: 0 &lt;+&gt; 30KVA: 0 &lt;+&gt; 12DKVA: 0")</f>
        <v>8KVA: 0 &lt;+&gt; 12KVA: 0 &lt;+&gt; 30KVA: 0 &lt;+&gt; 12DKVA: 0</v>
      </c>
      <c r="AA22" s="201">
        <f>IFERROR(__xludf.DUMMYFUNCTION("""COMPUTED_VALUE"""),0.0)</f>
        <v>0</v>
      </c>
      <c r="AB22" s="201">
        <f>IFERROR(__xludf.DUMMYFUNCTION("""COMPUTED_VALUE"""),0.0)</f>
        <v>0</v>
      </c>
      <c r="AC22" s="201">
        <f>IFERROR(__xludf.DUMMYFUNCTION("""COMPUTED_VALUE"""),0.0)</f>
        <v>0</v>
      </c>
      <c r="AD22" s="201">
        <f>IFERROR(__xludf.DUMMYFUNCTION("""COMPUTED_VALUE"""),0.0)</f>
        <v>0</v>
      </c>
      <c r="AE22" s="201">
        <f>IFERROR(__xludf.DUMMYFUNCTION("""COMPUTED_VALUE"""),0.0)</f>
        <v>0</v>
      </c>
      <c r="AF22" s="122"/>
      <c r="AG22" s="122"/>
      <c r="AH22" s="235" t="str">
        <f>IFERROR(__xludf.DUMMYFUNCTION("""COMPUTED_VALUE"""),"T2 S1")</f>
        <v>T2 S1</v>
      </c>
      <c r="AI22" s="236" t="str">
        <f>IFERROR(__xludf.DUMMYFUNCTION("""COMPUTED_VALUE"""),"myt_minpaing.oo")</f>
        <v>myt_minpaing.oo</v>
      </c>
      <c r="AJ22" s="199">
        <f>IFERROR(__xludf.DUMMYFUNCTION("""COMPUTED_VALUE"""),0.0)</f>
        <v>0</v>
      </c>
      <c r="AK22" s="237">
        <f>IFERROR(__xludf.DUMMYFUNCTION("""COMPUTED_VALUE"""),1.0)</f>
        <v>1</v>
      </c>
      <c r="AL22" s="199">
        <f>IFERROR(__xludf.DUMMYFUNCTION("""COMPUTED_VALUE"""),0.0)</f>
        <v>0</v>
      </c>
      <c r="AM22" s="199">
        <f>IFERROR(__xludf.DUMMYFUNCTION("""COMPUTED_VALUE"""),0.0)</f>
        <v>0</v>
      </c>
      <c r="AN22" s="199">
        <f>IFERROR(__xludf.DUMMYFUNCTION("""COMPUTED_VALUE"""),0.0)</f>
        <v>0</v>
      </c>
      <c r="AO22" s="240" t="str">
        <f>IFERROR(__xludf.DUMMYFUNCTION("""COMPUTED_VALUE"""),"8KVA: 0 &lt;+&gt; 12KVA: 0 &lt;+&gt; 30KVA: 0 &lt;+&gt; 12DKVA: 0")</f>
        <v>8KVA: 0 &lt;+&gt; 12KVA: 0 &lt;+&gt; 30KVA: 0 &lt;+&gt; 12DKVA: 0</v>
      </c>
      <c r="AP22" s="164">
        <f>IFERROR(__xludf.DUMMYFUNCTION("""COMPUTED_VALUE"""),0.0)</f>
        <v>0</v>
      </c>
      <c r="AQ22" s="164">
        <f>IFERROR(__xludf.DUMMYFUNCTION("""COMPUTED_VALUE"""),0.0)</f>
        <v>0</v>
      </c>
      <c r="AR22" s="164">
        <f>IFERROR(__xludf.DUMMYFUNCTION("""COMPUTED_VALUE"""),0.0)</f>
        <v>0</v>
      </c>
      <c r="AS22" s="164">
        <f>IFERROR(__xludf.DUMMYFUNCTION("""COMPUTED_VALUE"""),0.0)</f>
        <v>0</v>
      </c>
      <c r="AT22" s="164">
        <f>IFERROR(__xludf.DUMMYFUNCTION("""COMPUTED_VALUE"""),0.0)</f>
        <v>0</v>
      </c>
      <c r="AU22" s="122"/>
      <c r="AV22" s="122"/>
      <c r="AW22" s="235" t="str">
        <f>IFERROR(__xludf.DUMMYFUNCTION("""COMPUTED_VALUE"""),"T2 S1")</f>
        <v>T2 S1</v>
      </c>
      <c r="AX22" s="236" t="str">
        <f>IFERROR(__xludf.DUMMYFUNCTION("""COMPUTED_VALUE"""),"myt_minpaing.oo")</f>
        <v>myt_minpaing.oo</v>
      </c>
      <c r="AY22" s="199">
        <f>IFERROR(__xludf.DUMMYFUNCTION("""COMPUTED_VALUE"""),0.0)</f>
        <v>0</v>
      </c>
      <c r="AZ22" s="199">
        <f>IFERROR(__xludf.DUMMYFUNCTION("""COMPUTED_VALUE"""),0.0)</f>
        <v>0</v>
      </c>
      <c r="BA22" s="199">
        <f>IFERROR(__xludf.DUMMYFUNCTION("""COMPUTED_VALUE"""),0.0)</f>
        <v>0</v>
      </c>
      <c r="BB22" s="199">
        <f>IFERROR(__xludf.DUMMYFUNCTION("""COMPUTED_VALUE"""),0.0)</f>
        <v>0</v>
      </c>
      <c r="BC22" s="199">
        <f>IFERROR(__xludf.DUMMYFUNCTION("""COMPUTED_VALUE"""),0.0)</f>
        <v>0</v>
      </c>
      <c r="BD22" s="240" t="str">
        <f>IFERROR(__xludf.DUMMYFUNCTION("""COMPUTED_VALUE"""),"8KVA: 0 &lt;+&gt; 12KVA: 0 &lt;+&gt; 30KVA: 0 &lt;+&gt; 12DKVA: 0")</f>
        <v>8KVA: 0 &lt;+&gt; 12KVA: 0 &lt;+&gt; 30KVA: 0 &lt;+&gt; 12DKVA: 0</v>
      </c>
      <c r="BE22" s="201">
        <f>IFERROR(__xludf.DUMMYFUNCTION("""COMPUTED_VALUE"""),0.0)</f>
        <v>0</v>
      </c>
      <c r="BF22" s="201">
        <f>IFERROR(__xludf.DUMMYFUNCTION("""COMPUTED_VALUE"""),0.0)</f>
        <v>0</v>
      </c>
      <c r="BG22" s="201">
        <f>IFERROR(__xludf.DUMMYFUNCTION("""COMPUTED_VALUE"""),0.0)</f>
        <v>0</v>
      </c>
      <c r="BH22" s="201">
        <f>IFERROR(__xludf.DUMMYFUNCTION("""COMPUTED_VALUE"""),0.0)</f>
        <v>0</v>
      </c>
      <c r="BI22" s="201">
        <f>IFERROR(__xludf.DUMMYFUNCTION("""COMPUTED_VALUE"""),0.0)</f>
        <v>0</v>
      </c>
      <c r="BJ22" s="122"/>
      <c r="BK22" s="122"/>
      <c r="BL22" s="202" t="str">
        <f>IFERROR(__xludf.DUMMYFUNCTION("""COMPUTED_VALUE"""),"T2 S1")</f>
        <v>T2 S1</v>
      </c>
      <c r="BM22" s="203" t="str">
        <f>IFERROR(__xludf.DUMMYFUNCTION("""COMPUTED_VALUE"""),"myt_minpaing.oo")</f>
        <v>myt_minpaing.oo</v>
      </c>
      <c r="BN22" s="204" t="str">
        <f>IFERROR(__xludf.DUMMYFUNCTION("""COMPUTED_VALUE"""),"")</f>
        <v/>
      </c>
      <c r="BO22" s="184" t="str">
        <f>IFERROR(__xludf.DUMMYFUNCTION("""COMPUTED_VALUE"""),"8KVA: 0 &lt;+&gt; 12KVA: 0 &lt;+&gt; 30KVA: 0 &lt;+&gt; 12DKVA: 0")</f>
        <v>8KVA: 0 &lt;+&gt; 12KVA: 0 &lt;+&gt; 30KVA: 0 &lt;+&gt; 12DKVA: 0</v>
      </c>
      <c r="BP22" s="184">
        <f>IFERROR(__xludf.DUMMYFUNCTION("""COMPUTED_VALUE"""),0.0)</f>
        <v>0</v>
      </c>
      <c r="BQ22" s="184">
        <f>IFERROR(__xludf.DUMMYFUNCTION("""COMPUTED_VALUE"""),42.4)</f>
        <v>42.4</v>
      </c>
      <c r="BR22" s="184">
        <f>IFERROR(__xludf.DUMMYFUNCTION("""COMPUTED_VALUE"""),42.4)</f>
        <v>42.4</v>
      </c>
      <c r="BS22" s="206">
        <f>IFERROR(__xludf.DUMMYFUNCTION("""COMPUTED_VALUE"""),0.0)</f>
        <v>0</v>
      </c>
      <c r="BT22" s="206">
        <f>IFERROR(__xludf.DUMMYFUNCTION("""COMPUTED_VALUE"""),0.0)</f>
        <v>0</v>
      </c>
      <c r="BU22" s="206">
        <f>IFERROR(__xludf.DUMMYFUNCTION("""COMPUTED_VALUE"""),0.0)</f>
        <v>0</v>
      </c>
      <c r="BV22" s="206">
        <f>IFERROR(__xludf.DUMMYFUNCTION("""COMPUTED_VALUE"""),0.0)</f>
        <v>0</v>
      </c>
      <c r="BW22" s="206">
        <f>IFERROR(__xludf.DUMMYFUNCTION("""COMPUTED_VALUE"""),0.0)</f>
        <v>0</v>
      </c>
      <c r="BX22" s="154"/>
      <c r="BY22" s="207" t="str">
        <f>IFERROR(__xludf.DUMMYFUNCTION("""COMPUTED_VALUE"""),"T2 S1")</f>
        <v>T2 S1</v>
      </c>
      <c r="BZ22" s="208" t="str">
        <f>IFERROR(__xludf.DUMMYFUNCTION("""COMPUTED_VALUE"""),"myt_minpaing.oo")</f>
        <v>myt_minpaing.oo</v>
      </c>
      <c r="CA22" s="209" t="str">
        <f>IFERROR(__xludf.DUMMYFUNCTION("""COMPUTED_VALUE"""),"")</f>
        <v/>
      </c>
      <c r="CB22" s="209" t="str">
        <f>IFERROR(__xludf.DUMMYFUNCTION("""COMPUTED_VALUE"""),"8KVA: 0 &lt;+&gt; 12KVA: 0 &lt;+&gt; 30KVA: 0 &lt;+&gt; 12DKVA: 0")</f>
        <v>8KVA: 0 &lt;+&gt; 12KVA: 0 &lt;+&gt; 30KVA: 0 &lt;+&gt; 12DKVA: 0</v>
      </c>
      <c r="CC22" s="184">
        <f>IFERROR(__xludf.DUMMYFUNCTION("""COMPUTED_VALUE"""),0.0)</f>
        <v>0</v>
      </c>
      <c r="CD22" s="184">
        <f>IFERROR(__xludf.DUMMYFUNCTION("""COMPUTED_VALUE"""),0.0)</f>
        <v>0</v>
      </c>
      <c r="CE22" s="209">
        <f>IFERROR(__xludf.DUMMYFUNCTION("""COMPUTED_VALUE"""),0.0)</f>
        <v>0</v>
      </c>
      <c r="CF22" s="206">
        <f>IFERROR(__xludf.DUMMYFUNCTION("""COMPUTED_VALUE"""),0.0)</f>
        <v>0</v>
      </c>
      <c r="CG22" s="206">
        <f>IFERROR(__xludf.DUMMYFUNCTION("""COMPUTED_VALUE"""),0.0)</f>
        <v>0</v>
      </c>
      <c r="CH22" s="206">
        <f>IFERROR(__xludf.DUMMYFUNCTION("""COMPUTED_VALUE"""),0.0)</f>
        <v>0</v>
      </c>
      <c r="CI22" s="206">
        <f>IFERROR(__xludf.DUMMYFUNCTION("""COMPUTED_VALUE"""),0.0)</f>
        <v>0</v>
      </c>
      <c r="CJ22" s="206">
        <f>IFERROR(__xludf.DUMMYFUNCTION("""COMPUTED_VALUE"""),0.0)</f>
        <v>0</v>
      </c>
    </row>
    <row r="23">
      <c r="A23" s="241">
        <f>IFERROR(__xludf.DUMMYFUNCTION("""COMPUTED_VALUE"""),0.0)</f>
        <v>0</v>
      </c>
      <c r="B23" s="242"/>
      <c r="C23" s="242"/>
      <c r="D23" s="173" t="str">
        <f>IFERROR(__xludf.DUMMYFUNCTION("""COMPUTED_VALUE"""),"-")</f>
        <v>-</v>
      </c>
      <c r="E23" s="173" t="str">
        <f>IFERROR(__xludf.DUMMYFUNCTION("""COMPUTED_VALUE"""),"-")</f>
        <v>-</v>
      </c>
      <c r="F23" s="173" t="str">
        <f>IFERROR(__xludf.DUMMYFUNCTION("""COMPUTED_VALUE"""),"-")</f>
        <v>-</v>
      </c>
      <c r="G23" s="173" t="str">
        <f>IFERROR(__xludf.DUMMYFUNCTION("""COMPUTED_VALUE"""),"-")</f>
        <v>-</v>
      </c>
      <c r="H23" s="173" t="str">
        <f>IFERROR(__xludf.DUMMYFUNCTION("""COMPUTED_VALUE"""),"-")</f>
        <v>-</v>
      </c>
      <c r="K23" s="175" t="str">
        <f>IFERROR(__xludf.DUMMYFUNCTION("""COMPUTED_VALUE"""),"M&amp;E")</f>
        <v>M&amp;E</v>
      </c>
      <c r="L23" s="175" t="str">
        <f>IFERROR(__xludf.DUMMYFUNCTION("""COMPUTED_VALUE"""),"Check DG run long time")</f>
        <v>Check DG run long time</v>
      </c>
      <c r="M23" s="115" t="str">
        <f>IFERROR(__xludf.DUMMYFUNCTION("""COMPUTED_VALUE"""),"TNI0211 + TNI0031 + TNI0328 + TNI0185")</f>
        <v>TNI0211 + TNI0031 + TNI0328 + TNI0185</v>
      </c>
      <c r="N23" s="136" t="str">
        <f>IFERROR(__xludf.DUMMYFUNCTION("""COMPUTED_VALUE"""),"-")</f>
        <v>-</v>
      </c>
      <c r="O23" s="136" t="str">
        <f>IFERROR(__xludf.DUMMYFUNCTION("""COMPUTED_VALUE"""),"-")</f>
        <v>-</v>
      </c>
      <c r="P23" s="136" t="str">
        <f>IFERROR(__xludf.DUMMYFUNCTION("""COMPUTED_VALUE"""),"-")</f>
        <v>-</v>
      </c>
      <c r="S23" s="235" t="str">
        <f>IFERROR(__xludf.DUMMYFUNCTION("""COMPUTED_VALUE"""),"T1")</f>
        <v>T1</v>
      </c>
      <c r="T23" s="236" t="str">
        <f>IFERROR(__xludf.DUMMYFUNCTION("""COMPUTED_VALUE"""),"myt_tharhtoo.aung11")</f>
        <v>myt_tharhtoo.aung11</v>
      </c>
      <c r="U23" s="237">
        <f>IFERROR(__xludf.DUMMYFUNCTION("""COMPUTED_VALUE"""),0.0)</f>
        <v>0</v>
      </c>
      <c r="V23" s="237">
        <f>IFERROR(__xludf.DUMMYFUNCTION("""COMPUTED_VALUE"""),0.0)</f>
        <v>0</v>
      </c>
      <c r="W23" s="199">
        <f>IFERROR(__xludf.DUMMYFUNCTION("""COMPUTED_VALUE"""),0.0)</f>
        <v>0</v>
      </c>
      <c r="X23" s="237">
        <f>IFERROR(__xludf.DUMMYFUNCTION("""COMPUTED_VALUE"""),0.0)</f>
        <v>0</v>
      </c>
      <c r="Y23" s="199">
        <f>IFERROR(__xludf.DUMMYFUNCTION("""COMPUTED_VALUE"""),0.0)</f>
        <v>0</v>
      </c>
      <c r="Z23" s="240" t="str">
        <f>IFERROR(__xludf.DUMMYFUNCTION("""COMPUTED_VALUE"""),"")</f>
        <v/>
      </c>
      <c r="AA23" s="201">
        <f>IFERROR(__xludf.DUMMYFUNCTION("""COMPUTED_VALUE"""),1.0)</f>
        <v>1</v>
      </c>
      <c r="AB23" s="201">
        <f>IFERROR(__xludf.DUMMYFUNCTION("""COMPUTED_VALUE"""),0.0)</f>
        <v>0</v>
      </c>
      <c r="AC23" s="201">
        <f>IFERROR(__xludf.DUMMYFUNCTION("""COMPUTED_VALUE"""),2.0)</f>
        <v>2</v>
      </c>
      <c r="AD23" s="201">
        <f>IFERROR(__xludf.DUMMYFUNCTION("""COMPUTED_VALUE"""),1.0)</f>
        <v>1</v>
      </c>
      <c r="AE23" s="201">
        <f>IFERROR(__xludf.DUMMYFUNCTION("""COMPUTED_VALUE"""),0.0)</f>
        <v>0</v>
      </c>
      <c r="AF23" s="122"/>
      <c r="AG23" s="122"/>
      <c r="AH23" s="235" t="str">
        <f>IFERROR(__xludf.DUMMYFUNCTION("""COMPUTED_VALUE"""),"T1")</f>
        <v>T1</v>
      </c>
      <c r="AI23" s="236" t="str">
        <f>IFERROR(__xludf.DUMMYFUNCTION("""COMPUTED_VALUE"""),"myt_tharhtoo.aung11")</f>
        <v>myt_tharhtoo.aung11</v>
      </c>
      <c r="AJ23" s="237">
        <f>IFERROR(__xludf.DUMMYFUNCTION("""COMPUTED_VALUE"""),0.0)</f>
        <v>0</v>
      </c>
      <c r="AK23" s="237">
        <f>IFERROR(__xludf.DUMMYFUNCTION("""COMPUTED_VALUE"""),0.0)</f>
        <v>0</v>
      </c>
      <c r="AL23" s="199">
        <f>IFERROR(__xludf.DUMMYFUNCTION("""COMPUTED_VALUE"""),0.0)</f>
        <v>0</v>
      </c>
      <c r="AM23" s="237">
        <f>IFERROR(__xludf.DUMMYFUNCTION("""COMPUTED_VALUE"""),0.0)</f>
        <v>0</v>
      </c>
      <c r="AN23" s="199">
        <f>IFERROR(__xludf.DUMMYFUNCTION("""COMPUTED_VALUE"""),0.0)</f>
        <v>0</v>
      </c>
      <c r="AO23" s="240" t="str">
        <f>IFERROR(__xludf.DUMMYFUNCTION("""COMPUTED_VALUE"""),"")</f>
        <v/>
      </c>
      <c r="AP23" s="164">
        <f>IFERROR(__xludf.DUMMYFUNCTION("""COMPUTED_VALUE"""),1.0)</f>
        <v>1</v>
      </c>
      <c r="AQ23" s="164">
        <f>IFERROR(__xludf.DUMMYFUNCTION("""COMPUTED_VALUE"""),0.0)</f>
        <v>0</v>
      </c>
      <c r="AR23" s="164">
        <f>IFERROR(__xludf.DUMMYFUNCTION("""COMPUTED_VALUE"""),2.0)</f>
        <v>2</v>
      </c>
      <c r="AS23" s="164">
        <f>IFERROR(__xludf.DUMMYFUNCTION("""COMPUTED_VALUE"""),1.0)</f>
        <v>1</v>
      </c>
      <c r="AT23" s="164">
        <f>IFERROR(__xludf.DUMMYFUNCTION("""COMPUTED_VALUE"""),0.0)</f>
        <v>0</v>
      </c>
      <c r="AU23" s="122"/>
      <c r="AV23" s="122"/>
      <c r="AW23" s="235" t="str">
        <f>IFERROR(__xludf.DUMMYFUNCTION("""COMPUTED_VALUE"""),"T1")</f>
        <v>T1</v>
      </c>
      <c r="AX23" s="236" t="str">
        <f>IFERROR(__xludf.DUMMYFUNCTION("""COMPUTED_VALUE"""),"myt_tharhtoo.aung11")</f>
        <v>myt_tharhtoo.aung11</v>
      </c>
      <c r="AY23" s="199">
        <f>IFERROR(__xludf.DUMMYFUNCTION("""COMPUTED_VALUE"""),0.0)</f>
        <v>0</v>
      </c>
      <c r="AZ23" s="237">
        <f>IFERROR(__xludf.DUMMYFUNCTION("""COMPUTED_VALUE"""),0.0)</f>
        <v>0</v>
      </c>
      <c r="BA23" s="199">
        <f>IFERROR(__xludf.DUMMYFUNCTION("""COMPUTED_VALUE"""),0.0)</f>
        <v>0</v>
      </c>
      <c r="BB23" s="237">
        <f>IFERROR(__xludf.DUMMYFUNCTION("""COMPUTED_VALUE"""),0.0)</f>
        <v>0</v>
      </c>
      <c r="BC23" s="199">
        <f>IFERROR(__xludf.DUMMYFUNCTION("""COMPUTED_VALUE"""),0.0)</f>
        <v>0</v>
      </c>
      <c r="BD23" s="240" t="str">
        <f>IFERROR(__xludf.DUMMYFUNCTION("""COMPUTED_VALUE"""),"")</f>
        <v/>
      </c>
      <c r="BE23" s="201">
        <f>IFERROR(__xludf.DUMMYFUNCTION("""COMPUTED_VALUE"""),1.0)</f>
        <v>1</v>
      </c>
      <c r="BF23" s="201">
        <f>IFERROR(__xludf.DUMMYFUNCTION("""COMPUTED_VALUE"""),0.0)</f>
        <v>0</v>
      </c>
      <c r="BG23" s="201">
        <f>IFERROR(__xludf.DUMMYFUNCTION("""COMPUTED_VALUE"""),2.0)</f>
        <v>2</v>
      </c>
      <c r="BH23" s="201">
        <f>IFERROR(__xludf.DUMMYFUNCTION("""COMPUTED_VALUE"""),1.0)</f>
        <v>1</v>
      </c>
      <c r="BI23" s="201">
        <f>IFERROR(__xludf.DUMMYFUNCTION("""COMPUTED_VALUE"""),0.0)</f>
        <v>0</v>
      </c>
      <c r="BJ23" s="122"/>
      <c r="BK23" s="122"/>
      <c r="BL23" s="202" t="str">
        <f>IFERROR(__xludf.DUMMYFUNCTION("""COMPUTED_VALUE"""),"T1")</f>
        <v>T1</v>
      </c>
      <c r="BM23" s="203" t="str">
        <f>IFERROR(__xludf.DUMMYFUNCTION("""COMPUTED_VALUE"""),"myt_tharhtoo.aung11")</f>
        <v>myt_tharhtoo.aung11</v>
      </c>
      <c r="BN23" s="204" t="str">
        <f>IFERROR(__xludf.DUMMYFUNCTION("""COMPUTED_VALUE"""),"")</f>
        <v/>
      </c>
      <c r="BO23" s="184" t="str">
        <f>IFERROR(__xludf.DUMMYFUNCTION("""COMPUTED_VALUE"""),"")</f>
        <v/>
      </c>
      <c r="BP23" s="184" t="str">
        <f>IFERROR(__xludf.DUMMYFUNCTION("""COMPUTED_VALUE"""),"")</f>
        <v/>
      </c>
      <c r="BQ23" s="184" t="str">
        <f>IFERROR(__xludf.DUMMYFUNCTION("""COMPUTED_VALUE"""),"")</f>
        <v/>
      </c>
      <c r="BR23" s="184" t="str">
        <f>IFERROR(__xludf.DUMMYFUNCTION("""COMPUTED_VALUE"""),"")</f>
        <v/>
      </c>
      <c r="BS23" s="206">
        <f>IFERROR(__xludf.DUMMYFUNCTION("""COMPUTED_VALUE"""),1.0)</f>
        <v>1</v>
      </c>
      <c r="BT23" s="206">
        <f>IFERROR(__xludf.DUMMYFUNCTION("""COMPUTED_VALUE"""),1.0)</f>
        <v>1</v>
      </c>
      <c r="BU23" s="206">
        <f>IFERROR(__xludf.DUMMYFUNCTION("""COMPUTED_VALUE"""),2.0)</f>
        <v>2</v>
      </c>
      <c r="BV23" s="206">
        <f>IFERROR(__xludf.DUMMYFUNCTION("""COMPUTED_VALUE"""),1.0)</f>
        <v>1</v>
      </c>
      <c r="BW23" s="206">
        <f>IFERROR(__xludf.DUMMYFUNCTION("""COMPUTED_VALUE"""),0.0)</f>
        <v>0</v>
      </c>
      <c r="BX23" s="154"/>
      <c r="BY23" s="207" t="str">
        <f>IFERROR(__xludf.DUMMYFUNCTION("""COMPUTED_VALUE"""),"T1")</f>
        <v>T1</v>
      </c>
      <c r="BZ23" s="208" t="str">
        <f>IFERROR(__xludf.DUMMYFUNCTION("""COMPUTED_VALUE"""),"myt_tharhtoo.aung11")</f>
        <v>myt_tharhtoo.aung11</v>
      </c>
      <c r="CA23" s="209" t="str">
        <f>IFERROR(__xludf.DUMMYFUNCTION("""COMPUTED_VALUE"""),"")</f>
        <v/>
      </c>
      <c r="CB23" s="209" t="str">
        <f>IFERROR(__xludf.DUMMYFUNCTION("""COMPUTED_VALUE"""),"")</f>
        <v/>
      </c>
      <c r="CC23" s="184" t="str">
        <f>IFERROR(__xludf.DUMMYFUNCTION("""COMPUTED_VALUE"""),"")</f>
        <v/>
      </c>
      <c r="CD23" s="184" t="str">
        <f>IFERROR(__xludf.DUMMYFUNCTION("""COMPUTED_VALUE"""),"")</f>
        <v/>
      </c>
      <c r="CE23" s="209" t="str">
        <f>IFERROR(__xludf.DUMMYFUNCTION("""COMPUTED_VALUE"""),"")</f>
        <v/>
      </c>
      <c r="CF23" s="206">
        <f>IFERROR(__xludf.DUMMYFUNCTION("""COMPUTED_VALUE"""),0.0)</f>
        <v>0</v>
      </c>
      <c r="CG23" s="206">
        <f>IFERROR(__xludf.DUMMYFUNCTION("""COMPUTED_VALUE"""),0.0)</f>
        <v>0</v>
      </c>
      <c r="CH23" s="206">
        <f>IFERROR(__xludf.DUMMYFUNCTION("""COMPUTED_VALUE"""),0.0)</f>
        <v>0</v>
      </c>
      <c r="CI23" s="206">
        <f>IFERROR(__xludf.DUMMYFUNCTION("""COMPUTED_VALUE"""),1.0)</f>
        <v>1</v>
      </c>
      <c r="CJ23" s="206">
        <f>IFERROR(__xludf.DUMMYFUNCTION("""COMPUTED_VALUE"""),0.0)</f>
        <v>0</v>
      </c>
    </row>
    <row r="24">
      <c r="A24" s="243">
        <f>IFERROR(__xludf.DUMMYFUNCTION("""COMPUTED_VALUE"""),0.0)</f>
        <v>0</v>
      </c>
      <c r="B24" s="239"/>
      <c r="C24" s="239"/>
      <c r="D24" s="156" t="str">
        <f>IFERROR(__xludf.DUMMYFUNCTION("""COMPUTED_VALUE"""),"-")</f>
        <v>-</v>
      </c>
      <c r="E24" s="156" t="str">
        <f>IFERROR(__xludf.DUMMYFUNCTION("""COMPUTED_VALUE"""),"-")</f>
        <v>-</v>
      </c>
      <c r="F24" s="156" t="str">
        <f>IFERROR(__xludf.DUMMYFUNCTION("""COMPUTED_VALUE"""),"-")</f>
        <v>-</v>
      </c>
      <c r="G24" s="156" t="str">
        <f>IFERROR(__xludf.DUMMYFUNCTION("""COMPUTED_VALUE"""),"-")</f>
        <v>-</v>
      </c>
      <c r="H24" s="156" t="str">
        <f>IFERROR(__xludf.DUMMYFUNCTION("""COMPUTED_VALUE"""),"-")</f>
        <v>-</v>
      </c>
      <c r="K24" s="120" t="str">
        <f>IFERROR(__xludf.DUMMYFUNCTION("""COMPUTED_VALUE"""),"M&amp;E")</f>
        <v>M&amp;E</v>
      </c>
      <c r="L24" s="120" t="str">
        <f>IFERROR(__xludf.DUMMYFUNCTION("""COMPUTED_VALUE"""),"DG Starter Battery")</f>
        <v>DG Starter Battery</v>
      </c>
      <c r="M24" s="159" t="str">
        <f>IFERROR(__xludf.DUMMYFUNCTION("""COMPUTED_VALUE"""),"TNI0038 + TNI0052 + TNI0305 + TNI0333")</f>
        <v>TNI0038 + TNI0052 + TNI0305 + TNI0333</v>
      </c>
      <c r="N24" s="119" t="str">
        <f>IFERROR(__xludf.DUMMYFUNCTION("""COMPUTED_VALUE"""),"-")</f>
        <v>-</v>
      </c>
      <c r="O24" s="119" t="str">
        <f>IFERROR(__xludf.DUMMYFUNCTION("""COMPUTED_VALUE"""),"-")</f>
        <v>-</v>
      </c>
      <c r="P24" s="119" t="str">
        <f>IFERROR(__xludf.DUMMYFUNCTION("""COMPUTED_VALUE"""),"-")</f>
        <v>-</v>
      </c>
      <c r="S24" s="235" t="str">
        <f>IFERROR(__xludf.DUMMYFUNCTION("""COMPUTED_VALUE"""),"T1")</f>
        <v>T1</v>
      </c>
      <c r="T24" s="236" t="str">
        <f>IFERROR(__xludf.DUMMYFUNCTION("""COMPUTED_VALUE"""),"myt_phyoko.ko44")</f>
        <v>myt_phyoko.ko44</v>
      </c>
      <c r="U24" s="237">
        <f>IFERROR(__xludf.DUMMYFUNCTION("""COMPUTED_VALUE"""),0.0)</f>
        <v>0</v>
      </c>
      <c r="V24" s="237">
        <f>IFERROR(__xludf.DUMMYFUNCTION("""COMPUTED_VALUE"""),0.0)</f>
        <v>0</v>
      </c>
      <c r="W24" s="199">
        <f>IFERROR(__xludf.DUMMYFUNCTION("""COMPUTED_VALUE"""),0.0)</f>
        <v>0</v>
      </c>
      <c r="X24" s="199">
        <f>IFERROR(__xludf.DUMMYFUNCTION("""COMPUTED_VALUE"""),0.0)</f>
        <v>0</v>
      </c>
      <c r="Y24" s="199">
        <f>IFERROR(__xludf.DUMMYFUNCTION("""COMPUTED_VALUE"""),0.0)</f>
        <v>0</v>
      </c>
      <c r="Z24" s="240" t="str">
        <f>IFERROR(__xludf.DUMMYFUNCTION("""COMPUTED_VALUE"""),"")</f>
        <v/>
      </c>
      <c r="AA24" s="201">
        <f>IFERROR(__xludf.DUMMYFUNCTION("""COMPUTED_VALUE"""),1.0)</f>
        <v>1</v>
      </c>
      <c r="AB24" s="214">
        <f>IFERROR(__xludf.DUMMYFUNCTION("""COMPUTED_VALUE"""),0.0)</f>
        <v>0</v>
      </c>
      <c r="AC24" s="201">
        <f>IFERROR(__xludf.DUMMYFUNCTION("""COMPUTED_VALUE"""),0.0)</f>
        <v>0</v>
      </c>
      <c r="AD24" s="201">
        <f>IFERROR(__xludf.DUMMYFUNCTION("""COMPUTED_VALUE"""),0.0)</f>
        <v>0</v>
      </c>
      <c r="AE24" s="201">
        <f>IFERROR(__xludf.DUMMYFUNCTION("""COMPUTED_VALUE"""),0.0)</f>
        <v>0</v>
      </c>
      <c r="AF24" s="122"/>
      <c r="AG24" s="122"/>
      <c r="AH24" s="235" t="str">
        <f>IFERROR(__xludf.DUMMYFUNCTION("""COMPUTED_VALUE"""),"T1")</f>
        <v>T1</v>
      </c>
      <c r="AI24" s="236" t="str">
        <f>IFERROR(__xludf.DUMMYFUNCTION("""COMPUTED_VALUE"""),"myt_phyoko.ko44")</f>
        <v>myt_phyoko.ko44</v>
      </c>
      <c r="AJ24" s="237">
        <f>IFERROR(__xludf.DUMMYFUNCTION("""COMPUTED_VALUE"""),0.0)</f>
        <v>0</v>
      </c>
      <c r="AK24" s="237">
        <f>IFERROR(__xludf.DUMMYFUNCTION("""COMPUTED_VALUE"""),0.0)</f>
        <v>0</v>
      </c>
      <c r="AL24" s="199">
        <f>IFERROR(__xludf.DUMMYFUNCTION("""COMPUTED_VALUE"""),0.0)</f>
        <v>0</v>
      </c>
      <c r="AM24" s="199">
        <f>IFERROR(__xludf.DUMMYFUNCTION("""COMPUTED_VALUE"""),0.0)</f>
        <v>0</v>
      </c>
      <c r="AN24" s="199">
        <f>IFERROR(__xludf.DUMMYFUNCTION("""COMPUTED_VALUE"""),0.0)</f>
        <v>0</v>
      </c>
      <c r="AO24" s="240" t="str">
        <f>IFERROR(__xludf.DUMMYFUNCTION("""COMPUTED_VALUE"""),"")</f>
        <v/>
      </c>
      <c r="AP24" s="164">
        <f>IFERROR(__xludf.DUMMYFUNCTION("""COMPUTED_VALUE"""),1.0)</f>
        <v>1</v>
      </c>
      <c r="AQ24" s="215">
        <f>IFERROR(__xludf.DUMMYFUNCTION("""COMPUTED_VALUE"""),0.0)</f>
        <v>0</v>
      </c>
      <c r="AR24" s="164">
        <f>IFERROR(__xludf.DUMMYFUNCTION("""COMPUTED_VALUE"""),0.0)</f>
        <v>0</v>
      </c>
      <c r="AS24" s="164">
        <f>IFERROR(__xludf.DUMMYFUNCTION("""COMPUTED_VALUE"""),0.0)</f>
        <v>0</v>
      </c>
      <c r="AT24" s="164">
        <f>IFERROR(__xludf.DUMMYFUNCTION("""COMPUTED_VALUE"""),0.0)</f>
        <v>0</v>
      </c>
      <c r="AU24" s="122"/>
      <c r="AV24" s="122"/>
      <c r="AW24" s="235" t="str">
        <f>IFERROR(__xludf.DUMMYFUNCTION("""COMPUTED_VALUE"""),"T1")</f>
        <v>T1</v>
      </c>
      <c r="AX24" s="236" t="str">
        <f>IFERROR(__xludf.DUMMYFUNCTION("""COMPUTED_VALUE"""),"myt_phyoko.ko44")</f>
        <v>myt_phyoko.ko44</v>
      </c>
      <c r="AY24" s="237">
        <f>IFERROR(__xludf.DUMMYFUNCTION("""COMPUTED_VALUE"""),0.0)</f>
        <v>0</v>
      </c>
      <c r="AZ24" s="237">
        <f>IFERROR(__xludf.DUMMYFUNCTION("""COMPUTED_VALUE"""),0.0)</f>
        <v>0</v>
      </c>
      <c r="BA24" s="199">
        <f>IFERROR(__xludf.DUMMYFUNCTION("""COMPUTED_VALUE"""),0.0)</f>
        <v>0</v>
      </c>
      <c r="BB24" s="199">
        <f>IFERROR(__xludf.DUMMYFUNCTION("""COMPUTED_VALUE"""),0.0)</f>
        <v>0</v>
      </c>
      <c r="BC24" s="199">
        <f>IFERROR(__xludf.DUMMYFUNCTION("""COMPUTED_VALUE"""),0.0)</f>
        <v>0</v>
      </c>
      <c r="BD24" s="240" t="str">
        <f>IFERROR(__xludf.DUMMYFUNCTION("""COMPUTED_VALUE"""),"")</f>
        <v/>
      </c>
      <c r="BE24" s="201">
        <f>IFERROR(__xludf.DUMMYFUNCTION("""COMPUTED_VALUE"""),1.0)</f>
        <v>1</v>
      </c>
      <c r="BF24" s="216">
        <f>IFERROR(__xludf.DUMMYFUNCTION("""COMPUTED_VALUE"""),0.0)</f>
        <v>0</v>
      </c>
      <c r="BG24" s="201">
        <f>IFERROR(__xludf.DUMMYFUNCTION("""COMPUTED_VALUE"""),0.0)</f>
        <v>0</v>
      </c>
      <c r="BH24" s="201">
        <f>IFERROR(__xludf.DUMMYFUNCTION("""COMPUTED_VALUE"""),0.0)</f>
        <v>0</v>
      </c>
      <c r="BI24" s="201">
        <f>IFERROR(__xludf.DUMMYFUNCTION("""COMPUTED_VALUE"""),0.0)</f>
        <v>0</v>
      </c>
      <c r="BJ24" s="122"/>
      <c r="BK24" s="122"/>
      <c r="BL24" s="202" t="str">
        <f>IFERROR(__xludf.DUMMYFUNCTION("""COMPUTED_VALUE"""),"T1")</f>
        <v>T1</v>
      </c>
      <c r="BM24" s="203" t="str">
        <f>IFERROR(__xludf.DUMMYFUNCTION("""COMPUTED_VALUE"""),"myt_phyoko.ko44")</f>
        <v>myt_phyoko.ko44</v>
      </c>
      <c r="BN24" s="202" t="str">
        <f>IFERROR(__xludf.DUMMYFUNCTION("""COMPUTED_VALUE"""),"")</f>
        <v/>
      </c>
      <c r="BO24" s="184" t="str">
        <f>IFERROR(__xludf.DUMMYFUNCTION("""COMPUTED_VALUE"""),"")</f>
        <v/>
      </c>
      <c r="BP24" s="184" t="str">
        <f>IFERROR(__xludf.DUMMYFUNCTION("""COMPUTED_VALUE"""),"")</f>
        <v/>
      </c>
      <c r="BQ24" s="184" t="str">
        <f>IFERROR(__xludf.DUMMYFUNCTION("""COMPUTED_VALUE"""),"")</f>
        <v/>
      </c>
      <c r="BR24" s="184" t="str">
        <f>IFERROR(__xludf.DUMMYFUNCTION("""COMPUTED_VALUE"""),"")</f>
        <v/>
      </c>
      <c r="BS24" s="206">
        <f>IFERROR(__xludf.DUMMYFUNCTION("""COMPUTED_VALUE"""),2.0)</f>
        <v>2</v>
      </c>
      <c r="BT24" s="217">
        <f>IFERROR(__xludf.DUMMYFUNCTION("""COMPUTED_VALUE"""),2.0)</f>
        <v>2</v>
      </c>
      <c r="BU24" s="206">
        <f>IFERROR(__xludf.DUMMYFUNCTION("""COMPUTED_VALUE"""),0.0)</f>
        <v>0</v>
      </c>
      <c r="BV24" s="206">
        <f>IFERROR(__xludf.DUMMYFUNCTION("""COMPUTED_VALUE"""),0.0)</f>
        <v>0</v>
      </c>
      <c r="BW24" s="206">
        <f>IFERROR(__xludf.DUMMYFUNCTION("""COMPUTED_VALUE"""),0.0)</f>
        <v>0</v>
      </c>
      <c r="BX24" s="154"/>
      <c r="BY24" s="207" t="str">
        <f>IFERROR(__xludf.DUMMYFUNCTION("""COMPUTED_VALUE"""),"T1")</f>
        <v>T1</v>
      </c>
      <c r="BZ24" s="208" t="str">
        <f>IFERROR(__xludf.DUMMYFUNCTION("""COMPUTED_VALUE"""),"myt_phyoko.ko44")</f>
        <v>myt_phyoko.ko44</v>
      </c>
      <c r="CA24" s="209" t="str">
        <f>IFERROR(__xludf.DUMMYFUNCTION("""COMPUTED_VALUE"""),"")</f>
        <v/>
      </c>
      <c r="CB24" s="209" t="str">
        <f>IFERROR(__xludf.DUMMYFUNCTION("""COMPUTED_VALUE"""),"")</f>
        <v/>
      </c>
      <c r="CC24" s="184" t="str">
        <f>IFERROR(__xludf.DUMMYFUNCTION("""COMPUTED_VALUE"""),"")</f>
        <v/>
      </c>
      <c r="CD24" s="184" t="str">
        <f>IFERROR(__xludf.DUMMYFUNCTION("""COMPUTED_VALUE"""),"")</f>
        <v/>
      </c>
      <c r="CE24" s="209" t="str">
        <f>IFERROR(__xludf.DUMMYFUNCTION("""COMPUTED_VALUE"""),"")</f>
        <v/>
      </c>
      <c r="CF24" s="206">
        <f>IFERROR(__xludf.DUMMYFUNCTION("""COMPUTED_VALUE"""),0.0)</f>
        <v>0</v>
      </c>
      <c r="CG24" s="206">
        <f>IFERROR(__xludf.DUMMYFUNCTION("""COMPUTED_VALUE"""),0.0)</f>
        <v>0</v>
      </c>
      <c r="CH24" s="206">
        <f>IFERROR(__xludf.DUMMYFUNCTION("""COMPUTED_VALUE"""),0.0)</f>
        <v>0</v>
      </c>
      <c r="CI24" s="206">
        <f>IFERROR(__xludf.DUMMYFUNCTION("""COMPUTED_VALUE"""),0.0)</f>
        <v>0</v>
      </c>
      <c r="CJ24" s="206">
        <f>IFERROR(__xludf.DUMMYFUNCTION("""COMPUTED_VALUE"""),0.0)</f>
        <v>0</v>
      </c>
    </row>
    <row r="25">
      <c r="A25" s="241">
        <f>IFERROR(__xludf.DUMMYFUNCTION("""COMPUTED_VALUE"""),0.0)</f>
        <v>0</v>
      </c>
      <c r="B25" s="242"/>
      <c r="C25" s="242"/>
      <c r="D25" s="173" t="str">
        <f>IFERROR(__xludf.DUMMYFUNCTION("""COMPUTED_VALUE"""),"-")</f>
        <v>-</v>
      </c>
      <c r="E25" s="173" t="str">
        <f>IFERROR(__xludf.DUMMYFUNCTION("""COMPUTED_VALUE"""),"-")</f>
        <v>-</v>
      </c>
      <c r="F25" s="173" t="str">
        <f>IFERROR(__xludf.DUMMYFUNCTION("""COMPUTED_VALUE"""),"-")</f>
        <v>-</v>
      </c>
      <c r="G25" s="173" t="str">
        <f>IFERROR(__xludf.DUMMYFUNCTION("""COMPUTED_VALUE"""),"-")</f>
        <v>-</v>
      </c>
      <c r="H25" s="173" t="str">
        <f>IFERROR(__xludf.DUMMYFUNCTION("""COMPUTED_VALUE"""),"-")</f>
        <v>-</v>
      </c>
      <c r="K25" s="175" t="str">
        <f>IFERROR(__xludf.DUMMYFUNCTION("""COMPUTED_VALUE"""),"M&amp;E")</f>
        <v>M&amp;E</v>
      </c>
      <c r="L25" s="175" t="str">
        <f>IFERROR(__xludf.DUMMYFUNCTION("""COMPUTED_VALUE"""),"Diode Kid Installation")</f>
        <v>Diode Kid Installation</v>
      </c>
      <c r="M25" s="115" t="str">
        <f>IFERROR(__xludf.DUMMYFUNCTION("""COMPUTED_VALUE"""),"TNI0054 + TNI0213")</f>
        <v>TNI0054 + TNI0213</v>
      </c>
      <c r="N25" s="115" t="str">
        <f>IFERROR(__xludf.DUMMYFUNCTION("""COMPUTED_VALUE"""),"TNI0365 + TNI0277 + TNI0166 + TNI0279 + TNI0028 + TNI0236 + TNI0044 + TNI0269")</f>
        <v>TNI0365 + TNI0277 + TNI0166 + TNI0279 + TNI0028 + TNI0236 + TNI0044 + TNI0269</v>
      </c>
      <c r="O25" s="115" t="str">
        <f>IFERROR(__xludf.DUMMYFUNCTION("""COMPUTED_VALUE"""),"TNI0136 + TNI0345")</f>
        <v>TNI0136 + TNI0345</v>
      </c>
      <c r="P25" s="115" t="str">
        <f>IFERROR(__xludf.DUMMYFUNCTION("""COMPUTED_VALUE"""),"TNI0244 + TNI0509 + TNI0350")</f>
        <v>TNI0244 + TNI0509 + TNI0350</v>
      </c>
      <c r="S25" s="231" t="str">
        <f>IFERROR(__xludf.DUMMYFUNCTION("""COMPUTED_VALUE"""),"T1 S1")</f>
        <v>T1 S1</v>
      </c>
      <c r="T25" s="232" t="str">
        <f>IFERROR(__xludf.DUMMYFUNCTION("""COMPUTED_VALUE"""),"myt_aungthin.mya")</f>
        <v>myt_aungthin.mya</v>
      </c>
      <c r="U25" s="233">
        <f>IFERROR(__xludf.DUMMYFUNCTION("""COMPUTED_VALUE"""),0.0)</f>
        <v>0</v>
      </c>
      <c r="V25" s="199">
        <f>IFERROR(__xludf.DUMMYFUNCTION("""COMPUTED_VALUE"""),0.0)</f>
        <v>0</v>
      </c>
      <c r="W25" s="233">
        <f>IFERROR(__xludf.DUMMYFUNCTION("""COMPUTED_VALUE"""),0.0)</f>
        <v>0</v>
      </c>
      <c r="X25" s="199">
        <f>IFERROR(__xludf.DUMMYFUNCTION("""COMPUTED_VALUE"""),0.0)</f>
        <v>0</v>
      </c>
      <c r="Y25" s="199">
        <f>IFERROR(__xludf.DUMMYFUNCTION("""COMPUTED_VALUE"""),0.0)</f>
        <v>0</v>
      </c>
      <c r="Z25" s="234" t="str">
        <f>IFERROR(__xludf.DUMMYFUNCTION("""COMPUTED_VALUE"""),"8KVA: 0 &lt;+&gt; 12KVA: 1 &lt;+&gt; 30KVA: 0 &lt;+&gt; 12DKVA: 1")</f>
        <v>8KVA: 0 &lt;+&gt; 12KVA: 1 &lt;+&gt; 30KVA: 0 &lt;+&gt; 12DKVA: 1</v>
      </c>
      <c r="AA25" s="201">
        <f>IFERROR(__xludf.DUMMYFUNCTION("""COMPUTED_VALUE"""),0.0)</f>
        <v>0</v>
      </c>
      <c r="AB25" s="214">
        <f>IFERROR(__xludf.DUMMYFUNCTION("""COMPUTED_VALUE"""),1.0)</f>
        <v>1</v>
      </c>
      <c r="AC25" s="201">
        <f>IFERROR(__xludf.DUMMYFUNCTION("""COMPUTED_VALUE"""),0.0)</f>
        <v>0</v>
      </c>
      <c r="AD25" s="201">
        <f>IFERROR(__xludf.DUMMYFUNCTION("""COMPUTED_VALUE"""),1.0)</f>
        <v>1</v>
      </c>
      <c r="AE25" s="201">
        <f>IFERROR(__xludf.DUMMYFUNCTION("""COMPUTED_VALUE"""),0.0)</f>
        <v>0</v>
      </c>
      <c r="AF25" s="122"/>
      <c r="AG25" s="122"/>
      <c r="AH25" s="231" t="str">
        <f>IFERROR(__xludf.DUMMYFUNCTION("""COMPUTED_VALUE"""),"T1 S1")</f>
        <v>T1 S1</v>
      </c>
      <c r="AI25" s="232" t="str">
        <f>IFERROR(__xludf.DUMMYFUNCTION("""COMPUTED_VALUE"""),"myt_aungthin.mya")</f>
        <v>myt_aungthin.mya</v>
      </c>
      <c r="AJ25" s="233">
        <f>IFERROR(__xludf.DUMMYFUNCTION("""COMPUTED_VALUE"""),0.0)</f>
        <v>0</v>
      </c>
      <c r="AK25" s="199">
        <f>IFERROR(__xludf.DUMMYFUNCTION("""COMPUTED_VALUE"""),0.0)</f>
        <v>0</v>
      </c>
      <c r="AL25" s="233">
        <f>IFERROR(__xludf.DUMMYFUNCTION("""COMPUTED_VALUE"""),0.0)</f>
        <v>0</v>
      </c>
      <c r="AM25" s="199">
        <f>IFERROR(__xludf.DUMMYFUNCTION("""COMPUTED_VALUE"""),0.0)</f>
        <v>0</v>
      </c>
      <c r="AN25" s="199">
        <f>IFERROR(__xludf.DUMMYFUNCTION("""COMPUTED_VALUE"""),0.0)</f>
        <v>0</v>
      </c>
      <c r="AO25" s="234" t="str">
        <f>IFERROR(__xludf.DUMMYFUNCTION("""COMPUTED_VALUE"""),"8KVA: 0 &lt;+&gt; 12KVA: 1 &lt;+&gt; 30KVA: 0 &lt;+&gt; 12DKVA: 1")</f>
        <v>8KVA: 0 &lt;+&gt; 12KVA: 1 &lt;+&gt; 30KVA: 0 &lt;+&gt; 12DKVA: 1</v>
      </c>
      <c r="AP25" s="164">
        <f>IFERROR(__xludf.DUMMYFUNCTION("""COMPUTED_VALUE"""),0.0)</f>
        <v>0</v>
      </c>
      <c r="AQ25" s="215">
        <f>IFERROR(__xludf.DUMMYFUNCTION("""COMPUTED_VALUE"""),1.0)</f>
        <v>1</v>
      </c>
      <c r="AR25" s="164">
        <f>IFERROR(__xludf.DUMMYFUNCTION("""COMPUTED_VALUE"""),0.0)</f>
        <v>0</v>
      </c>
      <c r="AS25" s="164">
        <f>IFERROR(__xludf.DUMMYFUNCTION("""COMPUTED_VALUE"""),1.0)</f>
        <v>1</v>
      </c>
      <c r="AT25" s="164">
        <f>IFERROR(__xludf.DUMMYFUNCTION("""COMPUTED_VALUE"""),0.0)</f>
        <v>0</v>
      </c>
      <c r="AU25" s="122"/>
      <c r="AV25" s="122"/>
      <c r="AW25" s="231" t="str">
        <f>IFERROR(__xludf.DUMMYFUNCTION("""COMPUTED_VALUE"""),"T1 S1")</f>
        <v>T1 S1</v>
      </c>
      <c r="AX25" s="232" t="str">
        <f>IFERROR(__xludf.DUMMYFUNCTION("""COMPUTED_VALUE"""),"myt_aungthin.mya")</f>
        <v>myt_aungthin.mya</v>
      </c>
      <c r="AY25" s="199">
        <f>IFERROR(__xludf.DUMMYFUNCTION("""COMPUTED_VALUE"""),0.0)</f>
        <v>0</v>
      </c>
      <c r="AZ25" s="199">
        <f>IFERROR(__xludf.DUMMYFUNCTION("""COMPUTED_VALUE"""),0.0)</f>
        <v>0</v>
      </c>
      <c r="BA25" s="233">
        <f>IFERROR(__xludf.DUMMYFUNCTION("""COMPUTED_VALUE"""),0.0)</f>
        <v>0</v>
      </c>
      <c r="BB25" s="199">
        <f>IFERROR(__xludf.DUMMYFUNCTION("""COMPUTED_VALUE"""),0.0)</f>
        <v>0</v>
      </c>
      <c r="BC25" s="199">
        <f>IFERROR(__xludf.DUMMYFUNCTION("""COMPUTED_VALUE"""),0.0)</f>
        <v>0</v>
      </c>
      <c r="BD25" s="234" t="str">
        <f>IFERROR(__xludf.DUMMYFUNCTION("""COMPUTED_VALUE"""),"8KVA: 0 &lt;+&gt; 12KVA: 1 &lt;+&gt; 30KVA: 0 &lt;+&gt; 12DKVA: 1")</f>
        <v>8KVA: 0 &lt;+&gt; 12KVA: 1 &lt;+&gt; 30KVA: 0 &lt;+&gt; 12DKVA: 1</v>
      </c>
      <c r="BE25" s="201">
        <f>IFERROR(__xludf.DUMMYFUNCTION("""COMPUTED_VALUE"""),0.0)</f>
        <v>0</v>
      </c>
      <c r="BF25" s="216">
        <f>IFERROR(__xludf.DUMMYFUNCTION("""COMPUTED_VALUE"""),1.0)</f>
        <v>1</v>
      </c>
      <c r="BG25" s="201">
        <f>IFERROR(__xludf.DUMMYFUNCTION("""COMPUTED_VALUE"""),0.0)</f>
        <v>0</v>
      </c>
      <c r="BH25" s="201">
        <f>IFERROR(__xludf.DUMMYFUNCTION("""COMPUTED_VALUE"""),1.0)</f>
        <v>1</v>
      </c>
      <c r="BI25" s="201">
        <f>IFERROR(__xludf.DUMMYFUNCTION("""COMPUTED_VALUE"""),0.0)</f>
        <v>0</v>
      </c>
      <c r="BJ25" s="122"/>
      <c r="BK25" s="122"/>
      <c r="BL25" s="202" t="str">
        <f>IFERROR(__xludf.DUMMYFUNCTION("""COMPUTED_VALUE"""),"T1 S1")</f>
        <v>T1 S1</v>
      </c>
      <c r="BM25" s="203" t="str">
        <f>IFERROR(__xludf.DUMMYFUNCTION("""COMPUTED_VALUE"""),"myt_aungthin.mya")</f>
        <v>myt_aungthin.mya</v>
      </c>
      <c r="BN25" s="202" t="str">
        <f>IFERROR(__xludf.DUMMYFUNCTION("""COMPUTED_VALUE"""),"")</f>
        <v/>
      </c>
      <c r="BO25" s="205" t="str">
        <f>IFERROR(__xludf.DUMMYFUNCTION("""COMPUTED_VALUE"""),"8KVA: 0 &lt;+&gt; 12KVA: 0 &lt;+&gt; 30KVA: 0 &lt;+&gt; 12DKVA: 1")</f>
        <v>8KVA: 0 &lt;+&gt; 12KVA: 0 &lt;+&gt; 30KVA: 0 &lt;+&gt; 12DKVA: 1</v>
      </c>
      <c r="BP25" s="205">
        <f>IFERROR(__xludf.DUMMYFUNCTION("""COMPUTED_VALUE"""),7.0)</f>
        <v>7</v>
      </c>
      <c r="BQ25" s="205">
        <f>IFERROR(__xludf.DUMMYFUNCTION("""COMPUTED_VALUE"""),75.0)</f>
        <v>75</v>
      </c>
      <c r="BR25" s="205">
        <f>IFERROR(__xludf.DUMMYFUNCTION("""COMPUTED_VALUE"""),68.0)</f>
        <v>68</v>
      </c>
      <c r="BS25" s="206">
        <f>IFERROR(__xludf.DUMMYFUNCTION("""COMPUTED_VALUE"""),0.0)</f>
        <v>0</v>
      </c>
      <c r="BT25" s="217">
        <f>IFERROR(__xludf.DUMMYFUNCTION("""COMPUTED_VALUE"""),0.0)</f>
        <v>0</v>
      </c>
      <c r="BU25" s="206">
        <f>IFERROR(__xludf.DUMMYFUNCTION("""COMPUTED_VALUE"""),0.0)</f>
        <v>0</v>
      </c>
      <c r="BV25" s="206">
        <f>IFERROR(__xludf.DUMMYFUNCTION("""COMPUTED_VALUE"""),1.0)</f>
        <v>1</v>
      </c>
      <c r="BW25" s="206">
        <f>IFERROR(__xludf.DUMMYFUNCTION("""COMPUTED_VALUE"""),0.0)</f>
        <v>0</v>
      </c>
      <c r="BX25" s="154"/>
      <c r="BY25" s="207" t="str">
        <f>IFERROR(__xludf.DUMMYFUNCTION("""COMPUTED_VALUE"""),"T1 S1")</f>
        <v>T1 S1</v>
      </c>
      <c r="BZ25" s="208" t="str">
        <f>IFERROR(__xludf.DUMMYFUNCTION("""COMPUTED_VALUE"""),"myt_aungthin.mya")</f>
        <v>myt_aungthin.mya</v>
      </c>
      <c r="CA25" s="209" t="str">
        <f>IFERROR(__xludf.DUMMYFUNCTION("""COMPUTED_VALUE"""),"")</f>
        <v/>
      </c>
      <c r="CB25" s="210" t="str">
        <f>IFERROR(__xludf.DUMMYFUNCTION("""COMPUTED_VALUE"""),"8KVA: 0 &lt;+&gt; 12KVA: 0 &lt;+&gt; 30KVA: 0 &lt;+&gt; 12DKVA: 0")</f>
        <v>8KVA: 0 &lt;+&gt; 12KVA: 0 &lt;+&gt; 30KVA: 0 &lt;+&gt; 12DKVA: 0</v>
      </c>
      <c r="CC25" s="205">
        <f>IFERROR(__xludf.DUMMYFUNCTION("""COMPUTED_VALUE"""),0.0)</f>
        <v>0</v>
      </c>
      <c r="CD25" s="205">
        <f>IFERROR(__xludf.DUMMYFUNCTION("""COMPUTED_VALUE"""),0.0)</f>
        <v>0</v>
      </c>
      <c r="CE25" s="210">
        <f>IFERROR(__xludf.DUMMYFUNCTION("""COMPUTED_VALUE"""),0.0)</f>
        <v>0</v>
      </c>
      <c r="CF25" s="206">
        <f>IFERROR(__xludf.DUMMYFUNCTION("""COMPUTED_VALUE"""),0.0)</f>
        <v>0</v>
      </c>
      <c r="CG25" s="206">
        <f>IFERROR(__xludf.DUMMYFUNCTION("""COMPUTED_VALUE"""),0.0)</f>
        <v>0</v>
      </c>
      <c r="CH25" s="206">
        <f>IFERROR(__xludf.DUMMYFUNCTION("""COMPUTED_VALUE"""),0.0)</f>
        <v>0</v>
      </c>
      <c r="CI25" s="206">
        <f>IFERROR(__xludf.DUMMYFUNCTION("""COMPUTED_VALUE"""),0.0)</f>
        <v>0</v>
      </c>
      <c r="CJ25" s="206">
        <f>IFERROR(__xludf.DUMMYFUNCTION("""COMPUTED_VALUE"""),0.0)</f>
        <v>0</v>
      </c>
    </row>
    <row r="26">
      <c r="A26" s="243">
        <f>IFERROR(__xludf.DUMMYFUNCTION("""COMPUTED_VALUE"""),0.0)</f>
        <v>0</v>
      </c>
      <c r="B26" s="239"/>
      <c r="C26" s="239"/>
      <c r="D26" s="156" t="str">
        <f>IFERROR(__xludf.DUMMYFUNCTION("""COMPUTED_VALUE"""),"-")</f>
        <v>-</v>
      </c>
      <c r="E26" s="156" t="str">
        <f>IFERROR(__xludf.DUMMYFUNCTION("""COMPUTED_VALUE"""),"-")</f>
        <v>-</v>
      </c>
      <c r="F26" s="156" t="str">
        <f>IFERROR(__xludf.DUMMYFUNCTION("""COMPUTED_VALUE"""),"-")</f>
        <v>-</v>
      </c>
      <c r="G26" s="156" t="str">
        <f>IFERROR(__xludf.DUMMYFUNCTION("""COMPUTED_VALUE"""),"-")</f>
        <v>-</v>
      </c>
      <c r="H26" s="156" t="str">
        <f>IFERROR(__xludf.DUMMYFUNCTION("""COMPUTED_VALUE"""),"-")</f>
        <v>-</v>
      </c>
      <c r="K26" s="120" t="str">
        <f>IFERROR(__xludf.DUMMYFUNCTION("""COMPUTED_VALUE"""),"M&amp;E")</f>
        <v>M&amp;E</v>
      </c>
      <c r="L26" s="120" t="str">
        <f>IFERROR(__xludf.DUMMYFUNCTION("""COMPUTED_VALUE"""),"Fixing Fuel Level Monitoring")</f>
        <v>Fixing Fuel Level Monitoring</v>
      </c>
      <c r="M26" s="159" t="str">
        <f>IFERROR(__xludf.DUMMYFUNCTION("""COMPUTED_VALUE"""),"TNI0201 + TNI0206 + TNI0250 + TNI0006 + TNI0018 + TNI0019 + TNI0040 + TNI0053 + TNI0060 + TNI0066 + TNI0071 + TNI0072 + TNI0073 + TNI0153 + TNI0247 + TNI0251 + TNI0264 + TNI0272 + TNI0322 + TNI0052")</f>
        <v>TNI0201 + TNI0206 + TNI0250 + TNI0006 + TNI0018 + TNI0019 + TNI0040 + TNI0053 + TNI0060 + TNI0066 + TNI0071 + TNI0072 + TNI0073 + TNI0153 + TNI0247 + TNI0251 + TNI0264 + TNI0272 + TNI0322 + TNI0052</v>
      </c>
      <c r="N26" s="159" t="str">
        <f>IFERROR(__xludf.DUMMYFUNCTION("""COMPUTED_VALUE"""),"TNI0137 + TNI0284")</f>
        <v>TNI0137 + TNI0284</v>
      </c>
      <c r="O26" s="159" t="str">
        <f>IFERROR(__xludf.DUMMYFUNCTION("""COMPUTED_VALUE"""),"TNI0009 + TNI0310 + TNI0118")</f>
        <v>TNI0009 + TNI0310 + TNI0118</v>
      </c>
      <c r="P26" s="159" t="str">
        <f>IFERROR(__xludf.DUMMYFUNCTION("""COMPUTED_VALUE"""),"TNI0295 + TNI0012 + TNI0227")</f>
        <v>TNI0295 + TNI0012 + TNI0227</v>
      </c>
      <c r="S26" s="244"/>
      <c r="T26" s="245"/>
      <c r="U26" s="199">
        <f>IFERROR(__xludf.DUMMYFUNCTION("""COMPUTED_VALUE"""),0.0)</f>
        <v>0</v>
      </c>
      <c r="V26" s="246">
        <f>IFERROR(__xludf.DUMMYFUNCTION("""COMPUTED_VALUE"""),0.0)</f>
        <v>0</v>
      </c>
      <c r="W26" s="199">
        <f>IFERROR(__xludf.DUMMYFUNCTION("""COMPUTED_VALUE"""),0.0)</f>
        <v>0</v>
      </c>
      <c r="X26" s="199">
        <f>IFERROR(__xludf.DUMMYFUNCTION("""COMPUTED_VALUE"""),0.0)</f>
        <v>0</v>
      </c>
      <c r="Y26" s="199">
        <f>IFERROR(__xludf.DUMMYFUNCTION("""COMPUTED_VALUE"""),0.0)</f>
        <v>0</v>
      </c>
      <c r="Z26" s="247" t="str">
        <f>IFERROR(__xludf.DUMMYFUNCTION("""COMPUTED_VALUE"""),"")</f>
        <v/>
      </c>
      <c r="AA26" s="201">
        <f>IFERROR(__xludf.DUMMYFUNCTION("""COMPUTED_VALUE"""),0.0)</f>
        <v>0</v>
      </c>
      <c r="AB26" s="201">
        <f>IFERROR(__xludf.DUMMYFUNCTION("""COMPUTED_VALUE"""),0.0)</f>
        <v>0</v>
      </c>
      <c r="AC26" s="201">
        <f>IFERROR(__xludf.DUMMYFUNCTION("""COMPUTED_VALUE"""),0.0)</f>
        <v>0</v>
      </c>
      <c r="AD26" s="201">
        <f>IFERROR(__xludf.DUMMYFUNCTION("""COMPUTED_VALUE"""),0.0)</f>
        <v>0</v>
      </c>
      <c r="AE26" s="201">
        <f>IFERROR(__xludf.DUMMYFUNCTION("""COMPUTED_VALUE"""),0.0)</f>
        <v>0</v>
      </c>
      <c r="AF26" s="122"/>
      <c r="AG26" s="122"/>
      <c r="AH26" s="244"/>
      <c r="AI26" s="245"/>
      <c r="AJ26" s="199">
        <f>IFERROR(__xludf.DUMMYFUNCTION("""COMPUTED_VALUE"""),0.0)</f>
        <v>0</v>
      </c>
      <c r="AK26" s="246">
        <f>IFERROR(__xludf.DUMMYFUNCTION("""COMPUTED_VALUE"""),0.0)</f>
        <v>0</v>
      </c>
      <c r="AL26" s="199">
        <f>IFERROR(__xludf.DUMMYFUNCTION("""COMPUTED_VALUE"""),0.0)</f>
        <v>0</v>
      </c>
      <c r="AM26" s="199">
        <f>IFERROR(__xludf.DUMMYFUNCTION("""COMPUTED_VALUE"""),0.0)</f>
        <v>0</v>
      </c>
      <c r="AN26" s="199">
        <f>IFERROR(__xludf.DUMMYFUNCTION("""COMPUTED_VALUE"""),0.0)</f>
        <v>0</v>
      </c>
      <c r="AO26" s="247" t="str">
        <f>IFERROR(__xludf.DUMMYFUNCTION("""COMPUTED_VALUE"""),"")</f>
        <v/>
      </c>
      <c r="AP26" s="164">
        <f>IFERROR(__xludf.DUMMYFUNCTION("""COMPUTED_VALUE"""),0.0)</f>
        <v>0</v>
      </c>
      <c r="AQ26" s="164">
        <f>IFERROR(__xludf.DUMMYFUNCTION("""COMPUTED_VALUE"""),0.0)</f>
        <v>0</v>
      </c>
      <c r="AR26" s="164">
        <f>IFERROR(__xludf.DUMMYFUNCTION("""COMPUTED_VALUE"""),0.0)</f>
        <v>0</v>
      </c>
      <c r="AS26" s="164">
        <f>IFERROR(__xludf.DUMMYFUNCTION("""COMPUTED_VALUE"""),0.0)</f>
        <v>0</v>
      </c>
      <c r="AT26" s="164">
        <f>IFERROR(__xludf.DUMMYFUNCTION("""COMPUTED_VALUE"""),0.0)</f>
        <v>0</v>
      </c>
      <c r="AU26" s="122"/>
      <c r="AV26" s="122"/>
      <c r="AW26" s="244"/>
      <c r="AX26" s="245"/>
      <c r="AY26" s="199">
        <f>IFERROR(__xludf.DUMMYFUNCTION("""COMPUTED_VALUE"""),0.0)</f>
        <v>0</v>
      </c>
      <c r="AZ26" s="199">
        <f>IFERROR(__xludf.DUMMYFUNCTION("""COMPUTED_VALUE"""),0.0)</f>
        <v>0</v>
      </c>
      <c r="BA26" s="199">
        <f>IFERROR(__xludf.DUMMYFUNCTION("""COMPUTED_VALUE"""),0.0)</f>
        <v>0</v>
      </c>
      <c r="BB26" s="199">
        <f>IFERROR(__xludf.DUMMYFUNCTION("""COMPUTED_VALUE"""),0.0)</f>
        <v>0</v>
      </c>
      <c r="BC26" s="199">
        <f>IFERROR(__xludf.DUMMYFUNCTION("""COMPUTED_VALUE"""),0.0)</f>
        <v>0</v>
      </c>
      <c r="BD26" s="247" t="str">
        <f>IFERROR(__xludf.DUMMYFUNCTION("""COMPUTED_VALUE"""),"")</f>
        <v/>
      </c>
      <c r="BE26" s="201">
        <f>IFERROR(__xludf.DUMMYFUNCTION("""COMPUTED_VALUE"""),0.0)</f>
        <v>0</v>
      </c>
      <c r="BF26" s="201">
        <f>IFERROR(__xludf.DUMMYFUNCTION("""COMPUTED_VALUE"""),0.0)</f>
        <v>0</v>
      </c>
      <c r="BG26" s="201">
        <f>IFERROR(__xludf.DUMMYFUNCTION("""COMPUTED_VALUE"""),0.0)</f>
        <v>0</v>
      </c>
      <c r="BH26" s="201">
        <f>IFERROR(__xludf.DUMMYFUNCTION("""COMPUTED_VALUE"""),0.0)</f>
        <v>0</v>
      </c>
      <c r="BI26" s="201">
        <f>IFERROR(__xludf.DUMMYFUNCTION("""COMPUTED_VALUE"""),0.0)</f>
        <v>0</v>
      </c>
      <c r="BJ26" s="122"/>
      <c r="BK26" s="122"/>
      <c r="BL26" s="202"/>
      <c r="BM26" s="203"/>
      <c r="BN26" s="204" t="str">
        <f>IFERROR(__xludf.DUMMYFUNCTION("""COMPUTED_VALUE"""),"")</f>
        <v/>
      </c>
      <c r="BO26" s="205" t="str">
        <f>IFERROR(__xludf.DUMMYFUNCTION("""COMPUTED_VALUE"""),"")</f>
        <v/>
      </c>
      <c r="BP26" s="205" t="str">
        <f>IFERROR(__xludf.DUMMYFUNCTION("""COMPUTED_VALUE"""),"")</f>
        <v/>
      </c>
      <c r="BQ26" s="184"/>
      <c r="BR26" s="184"/>
      <c r="BS26" s="206">
        <f>IFERROR(__xludf.DUMMYFUNCTION("""COMPUTED_VALUE"""),0.0)</f>
        <v>0</v>
      </c>
      <c r="BT26" s="206">
        <f>IFERROR(__xludf.DUMMYFUNCTION("""COMPUTED_VALUE"""),0.0)</f>
        <v>0</v>
      </c>
      <c r="BU26" s="206">
        <f>IFERROR(__xludf.DUMMYFUNCTION("""COMPUTED_VALUE"""),0.0)</f>
        <v>0</v>
      </c>
      <c r="BV26" s="206">
        <f>IFERROR(__xludf.DUMMYFUNCTION("""COMPUTED_VALUE"""),0.0)</f>
        <v>0</v>
      </c>
      <c r="BW26" s="206">
        <f>IFERROR(__xludf.DUMMYFUNCTION("""COMPUTED_VALUE"""),0.0)</f>
        <v>0</v>
      </c>
      <c r="BX26" s="154"/>
      <c r="BY26" s="248"/>
      <c r="BZ26" s="249"/>
      <c r="CA26" s="209" t="str">
        <f>IFERROR(__xludf.DUMMYFUNCTION("""COMPUTED_VALUE"""),"")</f>
        <v/>
      </c>
      <c r="CB26" s="210" t="str">
        <f>IFERROR(__xludf.DUMMYFUNCTION("""COMPUTED_VALUE"""),"")</f>
        <v/>
      </c>
      <c r="CC26" s="205" t="str">
        <f>IFERROR(__xludf.DUMMYFUNCTION("""COMPUTED_VALUE"""),"")</f>
        <v/>
      </c>
      <c r="CD26" s="205" t="str">
        <f>IFERROR(__xludf.DUMMYFUNCTION("""COMPUTED_VALUE"""),"")</f>
        <v/>
      </c>
      <c r="CE26" s="210" t="str">
        <f>IFERROR(__xludf.DUMMYFUNCTION("""COMPUTED_VALUE"""),"")</f>
        <v/>
      </c>
      <c r="CF26" s="206">
        <f>IFERROR(__xludf.DUMMYFUNCTION("""COMPUTED_VALUE"""),0.0)</f>
        <v>0</v>
      </c>
      <c r="CG26" s="206">
        <f>IFERROR(__xludf.DUMMYFUNCTION("""COMPUTED_VALUE"""),0.0)</f>
        <v>0</v>
      </c>
      <c r="CH26" s="206">
        <f>IFERROR(__xludf.DUMMYFUNCTION("""COMPUTED_VALUE"""),0.0)</f>
        <v>0</v>
      </c>
      <c r="CI26" s="206">
        <f>IFERROR(__xludf.DUMMYFUNCTION("""COMPUTED_VALUE"""),0.0)</f>
        <v>0</v>
      </c>
      <c r="CJ26" s="206">
        <f>IFERROR(__xludf.DUMMYFUNCTION("""COMPUTED_VALUE"""),0.0)</f>
        <v>0</v>
      </c>
    </row>
    <row r="27">
      <c r="A27" s="241">
        <f>IFERROR(__xludf.DUMMYFUNCTION("""COMPUTED_VALUE"""),0.0)</f>
        <v>0</v>
      </c>
      <c r="B27" s="242"/>
      <c r="C27" s="242"/>
      <c r="D27" s="173" t="str">
        <f>IFERROR(__xludf.DUMMYFUNCTION("""COMPUTED_VALUE"""),"-")</f>
        <v>-</v>
      </c>
      <c r="E27" s="173" t="str">
        <f>IFERROR(__xludf.DUMMYFUNCTION("""COMPUTED_VALUE"""),"-")</f>
        <v>-</v>
      </c>
      <c r="F27" s="173" t="str">
        <f>IFERROR(__xludf.DUMMYFUNCTION("""COMPUTED_VALUE"""),"-")</f>
        <v>-</v>
      </c>
      <c r="G27" s="173" t="str">
        <f>IFERROR(__xludf.DUMMYFUNCTION("""COMPUTED_VALUE"""),"-")</f>
        <v>-</v>
      </c>
      <c r="H27" s="173" t="str">
        <f>IFERROR(__xludf.DUMMYFUNCTION("""COMPUTED_VALUE"""),"-")</f>
        <v>-</v>
      </c>
      <c r="K27" s="175" t="str">
        <f>IFERROR(__xludf.DUMMYFUNCTION("""COMPUTED_VALUE"""),"M&amp;E")</f>
        <v>M&amp;E</v>
      </c>
      <c r="L27" s="175" t="str">
        <f>IFERROR(__xludf.DUMMYFUNCTION("""COMPUTED_VALUE"""),"Need to Cut Tree")</f>
        <v>Need to Cut Tree</v>
      </c>
      <c r="M27" s="115" t="str">
        <f>IFERROR(__xludf.DUMMYFUNCTION("""COMPUTED_VALUE"""),"TNI0206")</f>
        <v>TNI0206</v>
      </c>
      <c r="N27" s="115" t="str">
        <f>IFERROR(__xludf.DUMMYFUNCTION("""COMPUTED_VALUE"""),"-")</f>
        <v>-</v>
      </c>
      <c r="O27" s="115" t="str">
        <f>IFERROR(__xludf.DUMMYFUNCTION("""COMPUTED_VALUE"""),"-")</f>
        <v>-</v>
      </c>
      <c r="P27" s="115" t="str">
        <f>IFERROR(__xludf.DUMMYFUNCTION("""COMPUTED_VALUE"""),"-")</f>
        <v>-</v>
      </c>
      <c r="S27" s="244"/>
      <c r="T27" s="245"/>
      <c r="U27" s="246">
        <f>IFERROR(__xludf.DUMMYFUNCTION("""COMPUTED_VALUE"""),0.0)</f>
        <v>0</v>
      </c>
      <c r="V27" s="246">
        <f>IFERROR(__xludf.DUMMYFUNCTION("""COMPUTED_VALUE"""),0.0)</f>
        <v>0</v>
      </c>
      <c r="W27" s="199">
        <f>IFERROR(__xludf.DUMMYFUNCTION("""COMPUTED_VALUE"""),0.0)</f>
        <v>0</v>
      </c>
      <c r="X27" s="246">
        <f>IFERROR(__xludf.DUMMYFUNCTION("""COMPUTED_VALUE"""),0.0)</f>
        <v>0</v>
      </c>
      <c r="Y27" s="199">
        <f>IFERROR(__xludf.DUMMYFUNCTION("""COMPUTED_VALUE"""),0.0)</f>
        <v>0</v>
      </c>
      <c r="Z27" s="250" t="str">
        <f>IFERROR(__xludf.DUMMYFUNCTION("""COMPUTED_VALUE"""),"")</f>
        <v/>
      </c>
      <c r="AA27" s="201">
        <f>IFERROR(__xludf.DUMMYFUNCTION("""COMPUTED_VALUE"""),0.0)</f>
        <v>0</v>
      </c>
      <c r="AB27" s="201">
        <f>IFERROR(__xludf.DUMMYFUNCTION("""COMPUTED_VALUE"""),0.0)</f>
        <v>0</v>
      </c>
      <c r="AC27" s="201">
        <f>IFERROR(__xludf.DUMMYFUNCTION("""COMPUTED_VALUE"""),0.0)</f>
        <v>0</v>
      </c>
      <c r="AD27" s="214">
        <f>IFERROR(__xludf.DUMMYFUNCTION("""COMPUTED_VALUE"""),0.0)</f>
        <v>0</v>
      </c>
      <c r="AE27" s="201">
        <f>IFERROR(__xludf.DUMMYFUNCTION("""COMPUTED_VALUE"""),0.0)</f>
        <v>0</v>
      </c>
      <c r="AF27" s="122"/>
      <c r="AG27" s="122"/>
      <c r="AH27" s="244"/>
      <c r="AI27" s="245"/>
      <c r="AJ27" s="246">
        <f>IFERROR(__xludf.DUMMYFUNCTION("""COMPUTED_VALUE"""),0.0)</f>
        <v>0</v>
      </c>
      <c r="AK27" s="246">
        <f>IFERROR(__xludf.DUMMYFUNCTION("""COMPUTED_VALUE"""),0.0)</f>
        <v>0</v>
      </c>
      <c r="AL27" s="199">
        <f>IFERROR(__xludf.DUMMYFUNCTION("""COMPUTED_VALUE"""),0.0)</f>
        <v>0</v>
      </c>
      <c r="AM27" s="246">
        <f>IFERROR(__xludf.DUMMYFUNCTION("""COMPUTED_VALUE"""),0.0)</f>
        <v>0</v>
      </c>
      <c r="AN27" s="199">
        <f>IFERROR(__xludf.DUMMYFUNCTION("""COMPUTED_VALUE"""),0.0)</f>
        <v>0</v>
      </c>
      <c r="AO27" s="250" t="str">
        <f>IFERROR(__xludf.DUMMYFUNCTION("""COMPUTED_VALUE"""),"")</f>
        <v/>
      </c>
      <c r="AP27" s="164">
        <f>IFERROR(__xludf.DUMMYFUNCTION("""COMPUTED_VALUE"""),0.0)</f>
        <v>0</v>
      </c>
      <c r="AQ27" s="164">
        <f>IFERROR(__xludf.DUMMYFUNCTION("""COMPUTED_VALUE"""),0.0)</f>
        <v>0</v>
      </c>
      <c r="AR27" s="164">
        <f>IFERROR(__xludf.DUMMYFUNCTION("""COMPUTED_VALUE"""),0.0)</f>
        <v>0</v>
      </c>
      <c r="AS27" s="215">
        <f>IFERROR(__xludf.DUMMYFUNCTION("""COMPUTED_VALUE"""),0.0)</f>
        <v>0</v>
      </c>
      <c r="AT27" s="164">
        <f>IFERROR(__xludf.DUMMYFUNCTION("""COMPUTED_VALUE"""),0.0)</f>
        <v>0</v>
      </c>
      <c r="AU27" s="122"/>
      <c r="AV27" s="122"/>
      <c r="AW27" s="244"/>
      <c r="AX27" s="245"/>
      <c r="AY27" s="246">
        <f>IFERROR(__xludf.DUMMYFUNCTION("""COMPUTED_VALUE"""),0.0)</f>
        <v>0</v>
      </c>
      <c r="AZ27" s="246">
        <f>IFERROR(__xludf.DUMMYFUNCTION("""COMPUTED_VALUE"""),0.0)</f>
        <v>0</v>
      </c>
      <c r="BA27" s="199">
        <f>IFERROR(__xludf.DUMMYFUNCTION("""COMPUTED_VALUE"""),0.0)</f>
        <v>0</v>
      </c>
      <c r="BB27" s="199">
        <f>IFERROR(__xludf.DUMMYFUNCTION("""COMPUTED_VALUE"""),0.0)</f>
        <v>0</v>
      </c>
      <c r="BC27" s="199">
        <f>IFERROR(__xludf.DUMMYFUNCTION("""COMPUTED_VALUE"""),0.0)</f>
        <v>0</v>
      </c>
      <c r="BD27" s="250" t="str">
        <f>IFERROR(__xludf.DUMMYFUNCTION("""COMPUTED_VALUE"""),"")</f>
        <v/>
      </c>
      <c r="BE27" s="201">
        <f>IFERROR(__xludf.DUMMYFUNCTION("""COMPUTED_VALUE"""),0.0)</f>
        <v>0</v>
      </c>
      <c r="BF27" s="201">
        <f>IFERROR(__xludf.DUMMYFUNCTION("""COMPUTED_VALUE"""),0.0)</f>
        <v>0</v>
      </c>
      <c r="BG27" s="201">
        <f>IFERROR(__xludf.DUMMYFUNCTION("""COMPUTED_VALUE"""),0.0)</f>
        <v>0</v>
      </c>
      <c r="BH27" s="216">
        <f>IFERROR(__xludf.DUMMYFUNCTION("""COMPUTED_VALUE"""),0.0)</f>
        <v>0</v>
      </c>
      <c r="BI27" s="201">
        <f>IFERROR(__xludf.DUMMYFUNCTION("""COMPUTED_VALUE"""),0.0)</f>
        <v>0</v>
      </c>
      <c r="BJ27" s="122"/>
      <c r="BK27" s="122"/>
      <c r="BL27" s="202"/>
      <c r="BM27" s="203"/>
      <c r="BN27" s="202" t="str">
        <f>IFERROR(__xludf.DUMMYFUNCTION("""COMPUTED_VALUE"""),"")</f>
        <v/>
      </c>
      <c r="BO27" s="184" t="str">
        <f>IFERROR(__xludf.DUMMYFUNCTION("""COMPUTED_VALUE"""),"")</f>
        <v/>
      </c>
      <c r="BP27" s="184" t="str">
        <f>IFERROR(__xludf.DUMMYFUNCTION("""COMPUTED_VALUE"""),"")</f>
        <v/>
      </c>
      <c r="BQ27" s="184"/>
      <c r="BR27" s="184"/>
      <c r="BS27" s="206">
        <f>IFERROR(__xludf.DUMMYFUNCTION("""COMPUTED_VALUE"""),0.0)</f>
        <v>0</v>
      </c>
      <c r="BT27" s="206">
        <f>IFERROR(__xludf.DUMMYFUNCTION("""COMPUTED_VALUE"""),0.0)</f>
        <v>0</v>
      </c>
      <c r="BU27" s="206">
        <f>IFERROR(__xludf.DUMMYFUNCTION("""COMPUTED_VALUE"""),0.0)</f>
        <v>0</v>
      </c>
      <c r="BV27" s="217">
        <f>IFERROR(__xludf.DUMMYFUNCTION("""COMPUTED_VALUE"""),0.0)</f>
        <v>0</v>
      </c>
      <c r="BW27" s="206">
        <f>IFERROR(__xludf.DUMMYFUNCTION("""COMPUTED_VALUE"""),0.0)</f>
        <v>0</v>
      </c>
      <c r="BX27" s="154"/>
      <c r="BY27" s="248"/>
      <c r="BZ27" s="249"/>
      <c r="CA27" s="209" t="str">
        <f>IFERROR(__xludf.DUMMYFUNCTION("""COMPUTED_VALUE"""),"")</f>
        <v/>
      </c>
      <c r="CB27" s="209" t="str">
        <f>IFERROR(__xludf.DUMMYFUNCTION("""COMPUTED_VALUE"""),"")</f>
        <v/>
      </c>
      <c r="CC27" s="184" t="str">
        <f>IFERROR(__xludf.DUMMYFUNCTION("""COMPUTED_VALUE"""),"")</f>
        <v/>
      </c>
      <c r="CD27" s="184" t="str">
        <f>IFERROR(__xludf.DUMMYFUNCTION("""COMPUTED_VALUE"""),"")</f>
        <v/>
      </c>
      <c r="CE27" s="209" t="str">
        <f>IFERROR(__xludf.DUMMYFUNCTION("""COMPUTED_VALUE"""),"")</f>
        <v/>
      </c>
      <c r="CF27" s="206">
        <f>IFERROR(__xludf.DUMMYFUNCTION("""COMPUTED_VALUE"""),0.0)</f>
        <v>0</v>
      </c>
      <c r="CG27" s="206">
        <f>IFERROR(__xludf.DUMMYFUNCTION("""COMPUTED_VALUE"""),0.0)</f>
        <v>0</v>
      </c>
      <c r="CH27" s="206">
        <f>IFERROR(__xludf.DUMMYFUNCTION("""COMPUTED_VALUE"""),0.0)</f>
        <v>0</v>
      </c>
      <c r="CI27" s="206">
        <f>IFERROR(__xludf.DUMMYFUNCTION("""COMPUTED_VALUE"""),0.0)</f>
        <v>0</v>
      </c>
      <c r="CJ27" s="206">
        <f>IFERROR(__xludf.DUMMYFUNCTION("""COMPUTED_VALUE"""),0.0)</f>
        <v>0</v>
      </c>
    </row>
    <row r="28">
      <c r="A28" s="243">
        <f>IFERROR(__xludf.DUMMYFUNCTION("""COMPUTED_VALUE"""),0.0)</f>
        <v>0</v>
      </c>
      <c r="B28" s="239"/>
      <c r="C28" s="239"/>
      <c r="D28" s="251" t="str">
        <f>IFERROR(__xludf.DUMMYFUNCTION("""COMPUTED_VALUE"""),"-")</f>
        <v>-</v>
      </c>
      <c r="E28" s="251" t="str">
        <f>IFERROR(__xludf.DUMMYFUNCTION("""COMPUTED_VALUE"""),"-")</f>
        <v>-</v>
      </c>
      <c r="F28" s="251" t="str">
        <f>IFERROR(__xludf.DUMMYFUNCTION("""COMPUTED_VALUE"""),"-")</f>
        <v>-</v>
      </c>
      <c r="G28" s="251" t="str">
        <f>IFERROR(__xludf.DUMMYFUNCTION("""COMPUTED_VALUE"""),"-")</f>
        <v>-</v>
      </c>
      <c r="H28" s="251" t="str">
        <f>IFERROR(__xludf.DUMMYFUNCTION("""COMPUTED_VALUE"""),"-")</f>
        <v>-</v>
      </c>
      <c r="K28" s="120" t="str">
        <f>IFERROR(__xludf.DUMMYFUNCTION("""COMPUTED_VALUE"""),"M&amp;E")</f>
        <v>M&amp;E</v>
      </c>
      <c r="L28" s="120" t="str">
        <f>IFERROR(__xludf.DUMMYFUNCTION("""COMPUTED_VALUE"""),"Smart CB")</f>
        <v>Smart CB</v>
      </c>
      <c r="M28" s="159" t="str">
        <f>IFERROR(__xludf.DUMMYFUNCTION("""COMPUTED_VALUE"""),"TNI0089 + TNI0206 + TNI0207 + TNI0129 + TNI0306 + TNI0334 + TNI0210 + TNI0198 + TNI0031 + TNI0214")</f>
        <v>TNI0089 + TNI0206 + TNI0207 + TNI0129 + TNI0306 + TNI0334 + TNI0210 + TNI0198 + TNI0031 + TNI0214</v>
      </c>
      <c r="N28" s="119" t="str">
        <f>IFERROR(__xludf.DUMMYFUNCTION("""COMPUTED_VALUE"""),"-")</f>
        <v>-</v>
      </c>
      <c r="O28" s="119" t="str">
        <f>IFERROR(__xludf.DUMMYFUNCTION("""COMPUTED_VALUE"""),"-")</f>
        <v>-</v>
      </c>
      <c r="P28" s="119" t="str">
        <f>IFERROR(__xludf.DUMMYFUNCTION("""COMPUTED_VALUE"""),"-")</f>
        <v>-</v>
      </c>
      <c r="S28" s="232"/>
      <c r="T28" s="232"/>
      <c r="U28" s="199">
        <f>IFERROR(__xludf.DUMMYFUNCTION("""COMPUTED_VALUE"""),0.0)</f>
        <v>0</v>
      </c>
      <c r="V28" s="199">
        <f>IFERROR(__xludf.DUMMYFUNCTION("""COMPUTED_VALUE"""),0.0)</f>
        <v>0</v>
      </c>
      <c r="W28" s="199">
        <f>IFERROR(__xludf.DUMMYFUNCTION("""COMPUTED_VALUE"""),0.0)</f>
        <v>0</v>
      </c>
      <c r="X28" s="199">
        <f>IFERROR(__xludf.DUMMYFUNCTION("""COMPUTED_VALUE"""),0.0)</f>
        <v>0</v>
      </c>
      <c r="Y28" s="199">
        <f>IFERROR(__xludf.DUMMYFUNCTION("""COMPUTED_VALUE"""),0.0)</f>
        <v>0</v>
      </c>
      <c r="Z28" s="252" t="str">
        <f>IFERROR(__xludf.DUMMYFUNCTION("""COMPUTED_VALUE"""),"")</f>
        <v/>
      </c>
      <c r="AA28" s="201">
        <f>IFERROR(__xludf.DUMMYFUNCTION("""COMPUTED_VALUE"""),0.0)</f>
        <v>0</v>
      </c>
      <c r="AB28" s="201">
        <f>IFERROR(__xludf.DUMMYFUNCTION("""COMPUTED_VALUE"""),0.0)</f>
        <v>0</v>
      </c>
      <c r="AC28" s="201">
        <f>IFERROR(__xludf.DUMMYFUNCTION("""COMPUTED_VALUE"""),0.0)</f>
        <v>0</v>
      </c>
      <c r="AD28" s="201">
        <f>IFERROR(__xludf.DUMMYFUNCTION("""COMPUTED_VALUE"""),0.0)</f>
        <v>0</v>
      </c>
      <c r="AE28" s="201">
        <f>IFERROR(__xludf.DUMMYFUNCTION("""COMPUTED_VALUE"""),0.0)</f>
        <v>0</v>
      </c>
      <c r="AF28" s="122"/>
      <c r="AG28" s="122"/>
      <c r="AH28" s="232"/>
      <c r="AI28" s="232"/>
      <c r="AJ28" s="199">
        <f>IFERROR(__xludf.DUMMYFUNCTION("""COMPUTED_VALUE"""),0.0)</f>
        <v>0</v>
      </c>
      <c r="AK28" s="199">
        <f>IFERROR(__xludf.DUMMYFUNCTION("""COMPUTED_VALUE"""),0.0)</f>
        <v>0</v>
      </c>
      <c r="AL28" s="199">
        <f>IFERROR(__xludf.DUMMYFUNCTION("""COMPUTED_VALUE"""),0.0)</f>
        <v>0</v>
      </c>
      <c r="AM28" s="199">
        <f>IFERROR(__xludf.DUMMYFUNCTION("""COMPUTED_VALUE"""),0.0)</f>
        <v>0</v>
      </c>
      <c r="AN28" s="199">
        <f>IFERROR(__xludf.DUMMYFUNCTION("""COMPUTED_VALUE"""),0.0)</f>
        <v>0</v>
      </c>
      <c r="AO28" s="252" t="str">
        <f>IFERROR(__xludf.DUMMYFUNCTION("""COMPUTED_VALUE"""),"")</f>
        <v/>
      </c>
      <c r="AP28" s="164">
        <f>IFERROR(__xludf.DUMMYFUNCTION("""COMPUTED_VALUE"""),0.0)</f>
        <v>0</v>
      </c>
      <c r="AQ28" s="164">
        <f>IFERROR(__xludf.DUMMYFUNCTION("""COMPUTED_VALUE"""),0.0)</f>
        <v>0</v>
      </c>
      <c r="AR28" s="164">
        <f>IFERROR(__xludf.DUMMYFUNCTION("""COMPUTED_VALUE"""),0.0)</f>
        <v>0</v>
      </c>
      <c r="AS28" s="164">
        <f>IFERROR(__xludf.DUMMYFUNCTION("""COMPUTED_VALUE"""),0.0)</f>
        <v>0</v>
      </c>
      <c r="AT28" s="164">
        <f>IFERROR(__xludf.DUMMYFUNCTION("""COMPUTED_VALUE"""),0.0)</f>
        <v>0</v>
      </c>
      <c r="AU28" s="122"/>
      <c r="AV28" s="122"/>
      <c r="AW28" s="232"/>
      <c r="AX28" s="232"/>
      <c r="AY28" s="199">
        <f>IFERROR(__xludf.DUMMYFUNCTION("""COMPUTED_VALUE"""),0.0)</f>
        <v>0</v>
      </c>
      <c r="AZ28" s="199">
        <f>IFERROR(__xludf.DUMMYFUNCTION("""COMPUTED_VALUE"""),0.0)</f>
        <v>0</v>
      </c>
      <c r="BA28" s="199">
        <f>IFERROR(__xludf.DUMMYFUNCTION("""COMPUTED_VALUE"""),0.0)</f>
        <v>0</v>
      </c>
      <c r="BB28" s="199">
        <f>IFERROR(__xludf.DUMMYFUNCTION("""COMPUTED_VALUE"""),0.0)</f>
        <v>0</v>
      </c>
      <c r="BC28" s="199">
        <f>IFERROR(__xludf.DUMMYFUNCTION("""COMPUTED_VALUE"""),0.0)</f>
        <v>0</v>
      </c>
      <c r="BD28" s="252" t="str">
        <f>IFERROR(__xludf.DUMMYFUNCTION("""COMPUTED_VALUE"""),"")</f>
        <v/>
      </c>
      <c r="BE28" s="201">
        <f>IFERROR(__xludf.DUMMYFUNCTION("""COMPUTED_VALUE"""),0.0)</f>
        <v>0</v>
      </c>
      <c r="BF28" s="201">
        <f>IFERROR(__xludf.DUMMYFUNCTION("""COMPUTED_VALUE"""),0.0)</f>
        <v>0</v>
      </c>
      <c r="BG28" s="201">
        <f>IFERROR(__xludf.DUMMYFUNCTION("""COMPUTED_VALUE"""),0.0)</f>
        <v>0</v>
      </c>
      <c r="BH28" s="201">
        <f>IFERROR(__xludf.DUMMYFUNCTION("""COMPUTED_VALUE"""),0.0)</f>
        <v>0</v>
      </c>
      <c r="BI28" s="201">
        <f>IFERROR(__xludf.DUMMYFUNCTION("""COMPUTED_VALUE"""),0.0)</f>
        <v>0</v>
      </c>
      <c r="BJ28" s="122"/>
      <c r="BK28" s="122"/>
      <c r="BL28" s="204"/>
      <c r="BM28" s="204"/>
      <c r="BN28" s="204" t="str">
        <f>IFERROR(__xludf.DUMMYFUNCTION("""COMPUTED_VALUE"""),"")</f>
        <v/>
      </c>
      <c r="BO28" s="184" t="str">
        <f>IFERROR(__xludf.DUMMYFUNCTION("""COMPUTED_VALUE"""),"")</f>
        <v/>
      </c>
      <c r="BP28" s="184" t="str">
        <f>IFERROR(__xludf.DUMMYFUNCTION("""COMPUTED_VALUE"""),"")</f>
        <v/>
      </c>
      <c r="BQ28" s="184"/>
      <c r="BR28" s="184"/>
      <c r="BS28" s="206">
        <f>IFERROR(__xludf.DUMMYFUNCTION("""COMPUTED_VALUE"""),0.0)</f>
        <v>0</v>
      </c>
      <c r="BT28" s="206">
        <f>IFERROR(__xludf.DUMMYFUNCTION("""COMPUTED_VALUE"""),0.0)</f>
        <v>0</v>
      </c>
      <c r="BU28" s="206">
        <f>IFERROR(__xludf.DUMMYFUNCTION("""COMPUTED_VALUE"""),0.0)</f>
        <v>0</v>
      </c>
      <c r="BV28" s="206">
        <f>IFERROR(__xludf.DUMMYFUNCTION("""COMPUTED_VALUE"""),0.0)</f>
        <v>0</v>
      </c>
      <c r="BW28" s="206">
        <f>IFERROR(__xludf.DUMMYFUNCTION("""COMPUTED_VALUE"""),0.0)</f>
        <v>0</v>
      </c>
      <c r="BX28" s="154"/>
      <c r="BY28" s="253"/>
      <c r="BZ28" s="209"/>
      <c r="CA28" s="209" t="str">
        <f>IFERROR(__xludf.DUMMYFUNCTION("""COMPUTED_VALUE"""),"")</f>
        <v/>
      </c>
      <c r="CB28" s="209" t="str">
        <f>IFERROR(__xludf.DUMMYFUNCTION("""COMPUTED_VALUE"""),"")</f>
        <v/>
      </c>
      <c r="CC28" s="184" t="str">
        <f>IFERROR(__xludf.DUMMYFUNCTION("""COMPUTED_VALUE"""),"")</f>
        <v/>
      </c>
      <c r="CD28" s="184" t="str">
        <f>IFERROR(__xludf.DUMMYFUNCTION("""COMPUTED_VALUE"""),"")</f>
        <v/>
      </c>
      <c r="CE28" s="209" t="str">
        <f>IFERROR(__xludf.DUMMYFUNCTION("""COMPUTED_VALUE"""),"")</f>
        <v/>
      </c>
      <c r="CF28" s="206">
        <f>IFERROR(__xludf.DUMMYFUNCTION("""COMPUTED_VALUE"""),0.0)</f>
        <v>0</v>
      </c>
      <c r="CG28" s="206">
        <f>IFERROR(__xludf.DUMMYFUNCTION("""COMPUTED_VALUE"""),0.0)</f>
        <v>0</v>
      </c>
      <c r="CH28" s="206">
        <f>IFERROR(__xludf.DUMMYFUNCTION("""COMPUTED_VALUE"""),0.0)</f>
        <v>0</v>
      </c>
      <c r="CI28" s="206">
        <f>IFERROR(__xludf.DUMMYFUNCTION("""COMPUTED_VALUE"""),0.0)</f>
        <v>0</v>
      </c>
      <c r="CJ28" s="206">
        <f>IFERROR(__xludf.DUMMYFUNCTION("""COMPUTED_VALUE"""),0.0)</f>
        <v>0</v>
      </c>
    </row>
    <row r="29">
      <c r="A29" s="241">
        <f>IFERROR(__xludf.DUMMYFUNCTION("""COMPUTED_VALUE"""),0.0)</f>
        <v>0</v>
      </c>
      <c r="B29" s="242"/>
      <c r="C29" s="242"/>
      <c r="D29" s="254" t="str">
        <f>IFERROR(__xludf.DUMMYFUNCTION("""COMPUTED_VALUE"""),"-")</f>
        <v>-</v>
      </c>
      <c r="E29" s="254" t="str">
        <f>IFERROR(__xludf.DUMMYFUNCTION("""COMPUTED_VALUE"""),"-")</f>
        <v>-</v>
      </c>
      <c r="F29" s="254" t="str">
        <f>IFERROR(__xludf.DUMMYFUNCTION("""COMPUTED_VALUE"""),"-")</f>
        <v>-</v>
      </c>
      <c r="G29" s="254" t="str">
        <f>IFERROR(__xludf.DUMMYFUNCTION("""COMPUTED_VALUE"""),"-")</f>
        <v>-</v>
      </c>
      <c r="H29" s="254" t="str">
        <f>IFERROR(__xludf.DUMMYFUNCTION("""COMPUTED_VALUE"""),"-")</f>
        <v>-</v>
      </c>
      <c r="K29" s="175" t="str">
        <f>IFERROR(__xludf.DUMMYFUNCTION("""COMPUTED_VALUE"""),"M&amp;E")</f>
        <v>M&amp;E</v>
      </c>
      <c r="L29" s="175" t="str">
        <f>IFERROR(__xludf.DUMMYFUNCTION("""COMPUTED_VALUE"""),"Solar power low ( &lt;1kW &amp; P&lt;50%)")</f>
        <v>Solar power low ( &lt;1kW &amp; P&lt;50%)</v>
      </c>
      <c r="M29" s="115" t="str">
        <f>IFERROR(__xludf.DUMMYFUNCTION("""COMPUTED_VALUE"""),"TNI0201 + TNI0233")</f>
        <v>TNI0201 + TNI0233</v>
      </c>
      <c r="N29" s="136" t="str">
        <f>IFERROR(__xludf.DUMMYFUNCTION("""COMPUTED_VALUE"""),"-")</f>
        <v>-</v>
      </c>
      <c r="O29" s="136" t="str">
        <f>IFERROR(__xludf.DUMMYFUNCTION("""COMPUTED_VALUE"""),"-")</f>
        <v>-</v>
      </c>
      <c r="P29" s="136" t="str">
        <f>IFERROR(__xludf.DUMMYFUNCTION("""COMPUTED_VALUE"""),"-")</f>
        <v>-</v>
      </c>
      <c r="S29" s="232"/>
      <c r="T29" s="232"/>
      <c r="U29" s="199">
        <f>IFERROR(__xludf.DUMMYFUNCTION("""COMPUTED_VALUE"""),0.0)</f>
        <v>0</v>
      </c>
      <c r="V29" s="199">
        <f>IFERROR(__xludf.DUMMYFUNCTION("""COMPUTED_VALUE"""),0.0)</f>
        <v>0</v>
      </c>
      <c r="W29" s="199">
        <f>IFERROR(__xludf.DUMMYFUNCTION("""COMPUTED_VALUE"""),0.0)</f>
        <v>0</v>
      </c>
      <c r="X29" s="199">
        <f>IFERROR(__xludf.DUMMYFUNCTION("""COMPUTED_VALUE"""),0.0)</f>
        <v>0</v>
      </c>
      <c r="Y29" s="199">
        <f>IFERROR(__xludf.DUMMYFUNCTION("""COMPUTED_VALUE"""),0.0)</f>
        <v>0</v>
      </c>
      <c r="Z29" s="252" t="str">
        <f>IFERROR(__xludf.DUMMYFUNCTION("""COMPUTED_VALUE"""),"")</f>
        <v/>
      </c>
      <c r="AA29" s="201">
        <f>IFERROR(__xludf.DUMMYFUNCTION("""COMPUTED_VALUE"""),0.0)</f>
        <v>0</v>
      </c>
      <c r="AB29" s="201">
        <f>IFERROR(__xludf.DUMMYFUNCTION("""COMPUTED_VALUE"""),0.0)</f>
        <v>0</v>
      </c>
      <c r="AC29" s="201">
        <f>IFERROR(__xludf.DUMMYFUNCTION("""COMPUTED_VALUE"""),0.0)</f>
        <v>0</v>
      </c>
      <c r="AD29" s="201">
        <f>IFERROR(__xludf.DUMMYFUNCTION("""COMPUTED_VALUE"""),0.0)</f>
        <v>0</v>
      </c>
      <c r="AE29" s="201">
        <f>IFERROR(__xludf.DUMMYFUNCTION("""COMPUTED_VALUE"""),0.0)</f>
        <v>0</v>
      </c>
      <c r="AF29" s="122"/>
      <c r="AG29" s="122"/>
      <c r="AH29" s="232"/>
      <c r="AI29" s="232"/>
      <c r="AJ29" s="199">
        <f>IFERROR(__xludf.DUMMYFUNCTION("""COMPUTED_VALUE"""),0.0)</f>
        <v>0</v>
      </c>
      <c r="AK29" s="199">
        <f>IFERROR(__xludf.DUMMYFUNCTION("""COMPUTED_VALUE"""),0.0)</f>
        <v>0</v>
      </c>
      <c r="AL29" s="199">
        <f>IFERROR(__xludf.DUMMYFUNCTION("""COMPUTED_VALUE"""),0.0)</f>
        <v>0</v>
      </c>
      <c r="AM29" s="199">
        <f>IFERROR(__xludf.DUMMYFUNCTION("""COMPUTED_VALUE"""),0.0)</f>
        <v>0</v>
      </c>
      <c r="AN29" s="199">
        <f>IFERROR(__xludf.DUMMYFUNCTION("""COMPUTED_VALUE"""),0.0)</f>
        <v>0</v>
      </c>
      <c r="AO29" s="252" t="str">
        <f>IFERROR(__xludf.DUMMYFUNCTION("""COMPUTED_VALUE"""),"")</f>
        <v/>
      </c>
      <c r="AP29" s="164">
        <f>IFERROR(__xludf.DUMMYFUNCTION("""COMPUTED_VALUE"""),0.0)</f>
        <v>0</v>
      </c>
      <c r="AQ29" s="164">
        <f>IFERROR(__xludf.DUMMYFUNCTION("""COMPUTED_VALUE"""),0.0)</f>
        <v>0</v>
      </c>
      <c r="AR29" s="164">
        <f>IFERROR(__xludf.DUMMYFUNCTION("""COMPUTED_VALUE"""),0.0)</f>
        <v>0</v>
      </c>
      <c r="AS29" s="164">
        <f>IFERROR(__xludf.DUMMYFUNCTION("""COMPUTED_VALUE"""),0.0)</f>
        <v>0</v>
      </c>
      <c r="AT29" s="164">
        <f>IFERROR(__xludf.DUMMYFUNCTION("""COMPUTED_VALUE"""),0.0)</f>
        <v>0</v>
      </c>
      <c r="AU29" s="122"/>
      <c r="AV29" s="122"/>
      <c r="AW29" s="232"/>
      <c r="AX29" s="232"/>
      <c r="AY29" s="199">
        <f>IFERROR(__xludf.DUMMYFUNCTION("""COMPUTED_VALUE"""),0.0)</f>
        <v>0</v>
      </c>
      <c r="AZ29" s="199">
        <f>IFERROR(__xludf.DUMMYFUNCTION("""COMPUTED_VALUE"""),0.0)</f>
        <v>0</v>
      </c>
      <c r="BA29" s="199">
        <f>IFERROR(__xludf.DUMMYFUNCTION("""COMPUTED_VALUE"""),0.0)</f>
        <v>0</v>
      </c>
      <c r="BB29" s="199">
        <f>IFERROR(__xludf.DUMMYFUNCTION("""COMPUTED_VALUE"""),0.0)</f>
        <v>0</v>
      </c>
      <c r="BC29" s="199">
        <f>IFERROR(__xludf.DUMMYFUNCTION("""COMPUTED_VALUE"""),0.0)</f>
        <v>0</v>
      </c>
      <c r="BD29" s="252" t="str">
        <f>IFERROR(__xludf.DUMMYFUNCTION("""COMPUTED_VALUE"""),"")</f>
        <v/>
      </c>
      <c r="BE29" s="201">
        <f>IFERROR(__xludf.DUMMYFUNCTION("""COMPUTED_VALUE"""),0.0)</f>
        <v>0</v>
      </c>
      <c r="BF29" s="201">
        <f>IFERROR(__xludf.DUMMYFUNCTION("""COMPUTED_VALUE"""),0.0)</f>
        <v>0</v>
      </c>
      <c r="BG29" s="201">
        <f>IFERROR(__xludf.DUMMYFUNCTION("""COMPUTED_VALUE"""),0.0)</f>
        <v>0</v>
      </c>
      <c r="BH29" s="201">
        <f>IFERROR(__xludf.DUMMYFUNCTION("""COMPUTED_VALUE"""),0.0)</f>
        <v>0</v>
      </c>
      <c r="BI29" s="201">
        <f>IFERROR(__xludf.DUMMYFUNCTION("""COMPUTED_VALUE"""),0.0)</f>
        <v>0</v>
      </c>
      <c r="BJ29" s="122"/>
      <c r="BK29" s="122"/>
      <c r="BL29" s="204"/>
      <c r="BM29" s="204"/>
      <c r="BN29" s="204" t="str">
        <f>IFERROR(__xludf.DUMMYFUNCTION("""COMPUTED_VALUE"""),"")</f>
        <v/>
      </c>
      <c r="BO29" s="184" t="str">
        <f>IFERROR(__xludf.DUMMYFUNCTION("""COMPUTED_VALUE"""),"")</f>
        <v/>
      </c>
      <c r="BP29" s="184" t="str">
        <f>IFERROR(__xludf.DUMMYFUNCTION("""COMPUTED_VALUE"""),"")</f>
        <v/>
      </c>
      <c r="BQ29" s="184"/>
      <c r="BR29" s="184"/>
      <c r="BS29" s="206">
        <f>IFERROR(__xludf.DUMMYFUNCTION("""COMPUTED_VALUE"""),0.0)</f>
        <v>0</v>
      </c>
      <c r="BT29" s="206">
        <f>IFERROR(__xludf.DUMMYFUNCTION("""COMPUTED_VALUE"""),0.0)</f>
        <v>0</v>
      </c>
      <c r="BU29" s="206">
        <f>IFERROR(__xludf.DUMMYFUNCTION("""COMPUTED_VALUE"""),0.0)</f>
        <v>0</v>
      </c>
      <c r="BV29" s="206">
        <f>IFERROR(__xludf.DUMMYFUNCTION("""COMPUTED_VALUE"""),0.0)</f>
        <v>0</v>
      </c>
      <c r="BW29" s="206">
        <f>IFERROR(__xludf.DUMMYFUNCTION("""COMPUTED_VALUE"""),0.0)</f>
        <v>0</v>
      </c>
      <c r="BX29" s="154"/>
      <c r="BY29" s="253"/>
      <c r="BZ29" s="209"/>
      <c r="CA29" s="209" t="str">
        <f>IFERROR(__xludf.DUMMYFUNCTION("""COMPUTED_VALUE"""),"")</f>
        <v/>
      </c>
      <c r="CB29" s="209" t="str">
        <f>IFERROR(__xludf.DUMMYFUNCTION("""COMPUTED_VALUE"""),"")</f>
        <v/>
      </c>
      <c r="CC29" s="184" t="str">
        <f>IFERROR(__xludf.DUMMYFUNCTION("""COMPUTED_VALUE"""),"")</f>
        <v/>
      </c>
      <c r="CD29" s="184" t="str">
        <f>IFERROR(__xludf.DUMMYFUNCTION("""COMPUTED_VALUE"""),"")</f>
        <v/>
      </c>
      <c r="CE29" s="209" t="str">
        <f>IFERROR(__xludf.DUMMYFUNCTION("""COMPUTED_VALUE"""),"")</f>
        <v/>
      </c>
      <c r="CF29" s="206">
        <f>IFERROR(__xludf.DUMMYFUNCTION("""COMPUTED_VALUE"""),0.0)</f>
        <v>0</v>
      </c>
      <c r="CG29" s="206">
        <f>IFERROR(__xludf.DUMMYFUNCTION("""COMPUTED_VALUE"""),0.0)</f>
        <v>0</v>
      </c>
      <c r="CH29" s="206">
        <f>IFERROR(__xludf.DUMMYFUNCTION("""COMPUTED_VALUE"""),0.0)</f>
        <v>0</v>
      </c>
      <c r="CI29" s="206">
        <f>IFERROR(__xludf.DUMMYFUNCTION("""COMPUTED_VALUE"""),0.0)</f>
        <v>0</v>
      </c>
      <c r="CJ29" s="206">
        <f>IFERROR(__xludf.DUMMYFUNCTION("""COMPUTED_VALUE"""),0.0)</f>
        <v>0</v>
      </c>
    </row>
    <row r="30">
      <c r="A30" s="111"/>
      <c r="B30" s="111"/>
      <c r="C30" s="111"/>
      <c r="D30" s="111"/>
      <c r="E30" s="111"/>
      <c r="F30" s="111"/>
      <c r="G30" s="111"/>
      <c r="H30" s="111"/>
      <c r="K30" s="120" t="str">
        <f>IFERROR(__xludf.DUMMYFUNCTION("""COMPUTED_VALUE"""),"M&amp;E")</f>
        <v>M&amp;E</v>
      </c>
      <c r="L30" s="120" t="str">
        <f>IFERROR(__xludf.DUMMYFUNCTION("""COMPUTED_VALUE"""),"Change MBB")</f>
        <v>Change MBB</v>
      </c>
      <c r="M30" s="159" t="str">
        <f>IFERROR(__xludf.DUMMYFUNCTION("""COMPUTED_VALUE"""),"-")</f>
        <v>-</v>
      </c>
      <c r="N30" s="119" t="str">
        <f>IFERROR(__xludf.DUMMYFUNCTION("""COMPUTED_VALUE"""),"-")</f>
        <v>-</v>
      </c>
      <c r="O30" s="119" t="str">
        <f>IFERROR(__xludf.DUMMYFUNCTION("""COMPUTED_VALUE"""),"TNI0345")</f>
        <v>TNI0345</v>
      </c>
      <c r="P30" s="119" t="str">
        <f>IFERROR(__xludf.DUMMYFUNCTION("""COMPUTED_VALUE"""),"TNI0015")</f>
        <v>TNI0015</v>
      </c>
      <c r="S30" s="232"/>
      <c r="T30" s="232"/>
      <c r="U30" s="199">
        <f>IFERROR(__xludf.DUMMYFUNCTION("""COMPUTED_VALUE"""),0.0)</f>
        <v>0</v>
      </c>
      <c r="V30" s="199">
        <f>IFERROR(__xludf.DUMMYFUNCTION("""COMPUTED_VALUE"""),0.0)</f>
        <v>0</v>
      </c>
      <c r="W30" s="199">
        <f>IFERROR(__xludf.DUMMYFUNCTION("""COMPUTED_VALUE"""),0.0)</f>
        <v>0</v>
      </c>
      <c r="X30" s="199">
        <f>IFERROR(__xludf.DUMMYFUNCTION("""COMPUTED_VALUE"""),0.0)</f>
        <v>0</v>
      </c>
      <c r="Y30" s="199">
        <f>IFERROR(__xludf.DUMMYFUNCTION("""COMPUTED_VALUE"""),0.0)</f>
        <v>0</v>
      </c>
      <c r="Z30" s="252" t="str">
        <f>IFERROR(__xludf.DUMMYFUNCTION("""COMPUTED_VALUE"""),"")</f>
        <v/>
      </c>
      <c r="AA30" s="201">
        <f>IFERROR(__xludf.DUMMYFUNCTION("""COMPUTED_VALUE"""),0.0)</f>
        <v>0</v>
      </c>
      <c r="AB30" s="201">
        <f>IFERROR(__xludf.DUMMYFUNCTION("""COMPUTED_VALUE"""),0.0)</f>
        <v>0</v>
      </c>
      <c r="AC30" s="201">
        <f>IFERROR(__xludf.DUMMYFUNCTION("""COMPUTED_VALUE"""),0.0)</f>
        <v>0</v>
      </c>
      <c r="AD30" s="201">
        <f>IFERROR(__xludf.DUMMYFUNCTION("""COMPUTED_VALUE"""),0.0)</f>
        <v>0</v>
      </c>
      <c r="AE30" s="201">
        <f>IFERROR(__xludf.DUMMYFUNCTION("""COMPUTED_VALUE"""),0.0)</f>
        <v>0</v>
      </c>
      <c r="AF30" s="122"/>
      <c r="AG30" s="122"/>
      <c r="AH30" s="232"/>
      <c r="AI30" s="232"/>
      <c r="AJ30" s="199">
        <f>IFERROR(__xludf.DUMMYFUNCTION("""COMPUTED_VALUE"""),0.0)</f>
        <v>0</v>
      </c>
      <c r="AK30" s="199">
        <f>IFERROR(__xludf.DUMMYFUNCTION("""COMPUTED_VALUE"""),0.0)</f>
        <v>0</v>
      </c>
      <c r="AL30" s="199">
        <f>IFERROR(__xludf.DUMMYFUNCTION("""COMPUTED_VALUE"""),0.0)</f>
        <v>0</v>
      </c>
      <c r="AM30" s="199">
        <f>IFERROR(__xludf.DUMMYFUNCTION("""COMPUTED_VALUE"""),0.0)</f>
        <v>0</v>
      </c>
      <c r="AN30" s="199">
        <f>IFERROR(__xludf.DUMMYFUNCTION("""COMPUTED_VALUE"""),0.0)</f>
        <v>0</v>
      </c>
      <c r="AO30" s="252" t="str">
        <f>IFERROR(__xludf.DUMMYFUNCTION("""COMPUTED_VALUE"""),"")</f>
        <v/>
      </c>
      <c r="AP30" s="164">
        <f>IFERROR(__xludf.DUMMYFUNCTION("""COMPUTED_VALUE"""),0.0)</f>
        <v>0</v>
      </c>
      <c r="AQ30" s="164">
        <f>IFERROR(__xludf.DUMMYFUNCTION("""COMPUTED_VALUE"""),0.0)</f>
        <v>0</v>
      </c>
      <c r="AR30" s="164">
        <f>IFERROR(__xludf.DUMMYFUNCTION("""COMPUTED_VALUE"""),0.0)</f>
        <v>0</v>
      </c>
      <c r="AS30" s="164">
        <f>IFERROR(__xludf.DUMMYFUNCTION("""COMPUTED_VALUE"""),0.0)</f>
        <v>0</v>
      </c>
      <c r="AT30" s="164">
        <f>IFERROR(__xludf.DUMMYFUNCTION("""COMPUTED_VALUE"""),0.0)</f>
        <v>0</v>
      </c>
      <c r="AU30" s="122"/>
      <c r="AV30" s="122"/>
      <c r="AW30" s="232"/>
      <c r="AX30" s="232"/>
      <c r="AY30" s="199">
        <f>IFERROR(__xludf.DUMMYFUNCTION("""COMPUTED_VALUE"""),0.0)</f>
        <v>0</v>
      </c>
      <c r="AZ30" s="199">
        <f>IFERROR(__xludf.DUMMYFUNCTION("""COMPUTED_VALUE"""),0.0)</f>
        <v>0</v>
      </c>
      <c r="BA30" s="199">
        <f>IFERROR(__xludf.DUMMYFUNCTION("""COMPUTED_VALUE"""),0.0)</f>
        <v>0</v>
      </c>
      <c r="BB30" s="199">
        <f>IFERROR(__xludf.DUMMYFUNCTION("""COMPUTED_VALUE"""),0.0)</f>
        <v>0</v>
      </c>
      <c r="BC30" s="199">
        <f>IFERROR(__xludf.DUMMYFUNCTION("""COMPUTED_VALUE"""),0.0)</f>
        <v>0</v>
      </c>
      <c r="BD30" s="252" t="str">
        <f>IFERROR(__xludf.DUMMYFUNCTION("""COMPUTED_VALUE"""),"")</f>
        <v/>
      </c>
      <c r="BE30" s="201">
        <f>IFERROR(__xludf.DUMMYFUNCTION("""COMPUTED_VALUE"""),0.0)</f>
        <v>0</v>
      </c>
      <c r="BF30" s="201">
        <f>IFERROR(__xludf.DUMMYFUNCTION("""COMPUTED_VALUE"""),0.0)</f>
        <v>0</v>
      </c>
      <c r="BG30" s="201">
        <f>IFERROR(__xludf.DUMMYFUNCTION("""COMPUTED_VALUE"""),0.0)</f>
        <v>0</v>
      </c>
      <c r="BH30" s="201">
        <f>IFERROR(__xludf.DUMMYFUNCTION("""COMPUTED_VALUE"""),0.0)</f>
        <v>0</v>
      </c>
      <c r="BI30" s="201">
        <f>IFERROR(__xludf.DUMMYFUNCTION("""COMPUTED_VALUE"""),0.0)</f>
        <v>0</v>
      </c>
      <c r="BJ30" s="122"/>
      <c r="BK30" s="122"/>
      <c r="BL30" s="204"/>
      <c r="BM30" s="204"/>
      <c r="BN30" s="204" t="str">
        <f>IFERROR(__xludf.DUMMYFUNCTION("""COMPUTED_VALUE"""),"")</f>
        <v/>
      </c>
      <c r="BO30" s="184" t="str">
        <f>IFERROR(__xludf.DUMMYFUNCTION("""COMPUTED_VALUE"""),"")</f>
        <v/>
      </c>
      <c r="BP30" s="184" t="str">
        <f>IFERROR(__xludf.DUMMYFUNCTION("""COMPUTED_VALUE"""),"")</f>
        <v/>
      </c>
      <c r="BQ30" s="184"/>
      <c r="BR30" s="184"/>
      <c r="BS30" s="206">
        <f>IFERROR(__xludf.DUMMYFUNCTION("""COMPUTED_VALUE"""),0.0)</f>
        <v>0</v>
      </c>
      <c r="BT30" s="206">
        <f>IFERROR(__xludf.DUMMYFUNCTION("""COMPUTED_VALUE"""),0.0)</f>
        <v>0</v>
      </c>
      <c r="BU30" s="206">
        <f>IFERROR(__xludf.DUMMYFUNCTION("""COMPUTED_VALUE"""),0.0)</f>
        <v>0</v>
      </c>
      <c r="BV30" s="206">
        <f>IFERROR(__xludf.DUMMYFUNCTION("""COMPUTED_VALUE"""),0.0)</f>
        <v>0</v>
      </c>
      <c r="BW30" s="206">
        <f>IFERROR(__xludf.DUMMYFUNCTION("""COMPUTED_VALUE"""),0.0)</f>
        <v>0</v>
      </c>
      <c r="BX30" s="154"/>
      <c r="BY30" s="253"/>
      <c r="BZ30" s="209"/>
      <c r="CA30" s="209" t="str">
        <f>IFERROR(__xludf.DUMMYFUNCTION("""COMPUTED_VALUE"""),"")</f>
        <v/>
      </c>
      <c r="CB30" s="209" t="str">
        <f>IFERROR(__xludf.DUMMYFUNCTION("""COMPUTED_VALUE"""),"")</f>
        <v/>
      </c>
      <c r="CC30" s="184" t="str">
        <f>IFERROR(__xludf.DUMMYFUNCTION("""COMPUTED_VALUE"""),"")</f>
        <v/>
      </c>
      <c r="CD30" s="184" t="str">
        <f>IFERROR(__xludf.DUMMYFUNCTION("""COMPUTED_VALUE"""),"")</f>
        <v/>
      </c>
      <c r="CE30" s="209" t="str">
        <f>IFERROR(__xludf.DUMMYFUNCTION("""COMPUTED_VALUE"""),"")</f>
        <v/>
      </c>
      <c r="CF30" s="206">
        <f>IFERROR(__xludf.DUMMYFUNCTION("""COMPUTED_VALUE"""),0.0)</f>
        <v>0</v>
      </c>
      <c r="CG30" s="206">
        <f>IFERROR(__xludf.DUMMYFUNCTION("""COMPUTED_VALUE"""),0.0)</f>
        <v>0</v>
      </c>
      <c r="CH30" s="206">
        <f>IFERROR(__xludf.DUMMYFUNCTION("""COMPUTED_VALUE"""),0.0)</f>
        <v>0</v>
      </c>
      <c r="CI30" s="206">
        <f>IFERROR(__xludf.DUMMYFUNCTION("""COMPUTED_VALUE"""),0.0)</f>
        <v>0</v>
      </c>
      <c r="CJ30" s="206">
        <f>IFERROR(__xludf.DUMMYFUNCTION("""COMPUTED_VALUE"""),0.0)</f>
        <v>0</v>
      </c>
    </row>
    <row r="31">
      <c r="A31" s="111"/>
      <c r="B31" s="111"/>
      <c r="C31" s="111"/>
      <c r="D31" s="111"/>
      <c r="E31" s="111"/>
      <c r="F31" s="111"/>
      <c r="G31" s="111"/>
      <c r="H31" s="111"/>
      <c r="K31" s="175" t="str">
        <f>IFERROR(__xludf.DUMMYFUNCTION("""COMPUTED_VALUE"""),"M&amp;E")</f>
        <v>M&amp;E</v>
      </c>
      <c r="L31" s="175" t="str">
        <f>IFERROR(__xludf.DUMMYFUNCTION("""COMPUTED_VALUE"""),"Aircon installation")</f>
        <v>Aircon installation</v>
      </c>
      <c r="M31" s="136" t="str">
        <f>IFERROR(__xludf.DUMMYFUNCTION("""COMPUTED_VALUE"""),"-")</f>
        <v>-</v>
      </c>
      <c r="N31" s="136" t="str">
        <f>IFERROR(__xludf.DUMMYFUNCTION("""COMPUTED_VALUE"""),"-")</f>
        <v>-</v>
      </c>
      <c r="O31" s="115" t="str">
        <f>IFERROR(__xludf.DUMMYFUNCTION("""COMPUTED_VALUE"""),"-")</f>
        <v>-</v>
      </c>
      <c r="P31" s="115" t="str">
        <f>IFERROR(__xludf.DUMMYFUNCTION("""COMPUTED_VALUE"""),"TNI0015")</f>
        <v>TNI0015</v>
      </c>
      <c r="S31" s="232"/>
      <c r="T31" s="232"/>
      <c r="U31" s="199">
        <f>IFERROR(__xludf.DUMMYFUNCTION("""COMPUTED_VALUE"""),0.0)</f>
        <v>0</v>
      </c>
      <c r="V31" s="199">
        <f>IFERROR(__xludf.DUMMYFUNCTION("""COMPUTED_VALUE"""),0.0)</f>
        <v>0</v>
      </c>
      <c r="W31" s="199">
        <f>IFERROR(__xludf.DUMMYFUNCTION("""COMPUTED_VALUE"""),0.0)</f>
        <v>0</v>
      </c>
      <c r="X31" s="199">
        <f>IFERROR(__xludf.DUMMYFUNCTION("""COMPUTED_VALUE"""),0.0)</f>
        <v>0</v>
      </c>
      <c r="Y31" s="199">
        <f>IFERROR(__xludf.DUMMYFUNCTION("""COMPUTED_VALUE"""),0.0)</f>
        <v>0</v>
      </c>
      <c r="Z31" s="252" t="str">
        <f>IFERROR(__xludf.DUMMYFUNCTION("""COMPUTED_VALUE"""),"")</f>
        <v/>
      </c>
      <c r="AA31" s="201">
        <f>IFERROR(__xludf.DUMMYFUNCTION("""COMPUTED_VALUE"""),0.0)</f>
        <v>0</v>
      </c>
      <c r="AB31" s="201">
        <f>IFERROR(__xludf.DUMMYFUNCTION("""COMPUTED_VALUE"""),0.0)</f>
        <v>0</v>
      </c>
      <c r="AC31" s="201">
        <f>IFERROR(__xludf.DUMMYFUNCTION("""COMPUTED_VALUE"""),0.0)</f>
        <v>0</v>
      </c>
      <c r="AD31" s="201">
        <f>IFERROR(__xludf.DUMMYFUNCTION("""COMPUTED_VALUE"""),0.0)</f>
        <v>0</v>
      </c>
      <c r="AE31" s="201">
        <f>IFERROR(__xludf.DUMMYFUNCTION("""COMPUTED_VALUE"""),0.0)</f>
        <v>0</v>
      </c>
      <c r="AF31" s="122"/>
      <c r="AG31" s="122"/>
      <c r="AH31" s="232"/>
      <c r="AI31" s="232"/>
      <c r="AJ31" s="199">
        <f>IFERROR(__xludf.DUMMYFUNCTION("""COMPUTED_VALUE"""),0.0)</f>
        <v>0</v>
      </c>
      <c r="AK31" s="199">
        <f>IFERROR(__xludf.DUMMYFUNCTION("""COMPUTED_VALUE"""),0.0)</f>
        <v>0</v>
      </c>
      <c r="AL31" s="199">
        <f>IFERROR(__xludf.DUMMYFUNCTION("""COMPUTED_VALUE"""),0.0)</f>
        <v>0</v>
      </c>
      <c r="AM31" s="199">
        <f>IFERROR(__xludf.DUMMYFUNCTION("""COMPUTED_VALUE"""),0.0)</f>
        <v>0</v>
      </c>
      <c r="AN31" s="199">
        <f>IFERROR(__xludf.DUMMYFUNCTION("""COMPUTED_VALUE"""),0.0)</f>
        <v>0</v>
      </c>
      <c r="AO31" s="252" t="str">
        <f>IFERROR(__xludf.DUMMYFUNCTION("""COMPUTED_VALUE"""),"")</f>
        <v/>
      </c>
      <c r="AP31" s="164">
        <f>IFERROR(__xludf.DUMMYFUNCTION("""COMPUTED_VALUE"""),0.0)</f>
        <v>0</v>
      </c>
      <c r="AQ31" s="164">
        <f>IFERROR(__xludf.DUMMYFUNCTION("""COMPUTED_VALUE"""),0.0)</f>
        <v>0</v>
      </c>
      <c r="AR31" s="164">
        <f>IFERROR(__xludf.DUMMYFUNCTION("""COMPUTED_VALUE"""),0.0)</f>
        <v>0</v>
      </c>
      <c r="AS31" s="164">
        <f>IFERROR(__xludf.DUMMYFUNCTION("""COMPUTED_VALUE"""),0.0)</f>
        <v>0</v>
      </c>
      <c r="AT31" s="164">
        <f>IFERROR(__xludf.DUMMYFUNCTION("""COMPUTED_VALUE"""),0.0)</f>
        <v>0</v>
      </c>
      <c r="AU31" s="122"/>
      <c r="AV31" s="122"/>
      <c r="AW31" s="232"/>
      <c r="AX31" s="232"/>
      <c r="AY31" s="199">
        <f>IFERROR(__xludf.DUMMYFUNCTION("""COMPUTED_VALUE"""),0.0)</f>
        <v>0</v>
      </c>
      <c r="AZ31" s="199">
        <f>IFERROR(__xludf.DUMMYFUNCTION("""COMPUTED_VALUE"""),0.0)</f>
        <v>0</v>
      </c>
      <c r="BA31" s="199">
        <f>IFERROR(__xludf.DUMMYFUNCTION("""COMPUTED_VALUE"""),0.0)</f>
        <v>0</v>
      </c>
      <c r="BB31" s="199">
        <f>IFERROR(__xludf.DUMMYFUNCTION("""COMPUTED_VALUE"""),0.0)</f>
        <v>0</v>
      </c>
      <c r="BC31" s="199">
        <f>IFERROR(__xludf.DUMMYFUNCTION("""COMPUTED_VALUE"""),0.0)</f>
        <v>0</v>
      </c>
      <c r="BD31" s="252" t="str">
        <f>IFERROR(__xludf.DUMMYFUNCTION("""COMPUTED_VALUE"""),"")</f>
        <v/>
      </c>
      <c r="BE31" s="201">
        <f>IFERROR(__xludf.DUMMYFUNCTION("""COMPUTED_VALUE"""),0.0)</f>
        <v>0</v>
      </c>
      <c r="BF31" s="201">
        <f>IFERROR(__xludf.DUMMYFUNCTION("""COMPUTED_VALUE"""),0.0)</f>
        <v>0</v>
      </c>
      <c r="BG31" s="201">
        <f>IFERROR(__xludf.DUMMYFUNCTION("""COMPUTED_VALUE"""),0.0)</f>
        <v>0</v>
      </c>
      <c r="BH31" s="201">
        <f>IFERROR(__xludf.DUMMYFUNCTION("""COMPUTED_VALUE"""),0.0)</f>
        <v>0</v>
      </c>
      <c r="BI31" s="201">
        <f>IFERROR(__xludf.DUMMYFUNCTION("""COMPUTED_VALUE"""),0.0)</f>
        <v>0</v>
      </c>
      <c r="BJ31" s="122"/>
      <c r="BK31" s="122"/>
      <c r="BL31" s="204"/>
      <c r="BM31" s="204"/>
      <c r="BN31" s="204" t="str">
        <f>IFERROR(__xludf.DUMMYFUNCTION("""COMPUTED_VALUE"""),"")</f>
        <v/>
      </c>
      <c r="BO31" s="184" t="str">
        <f>IFERROR(__xludf.DUMMYFUNCTION("""COMPUTED_VALUE"""),"")</f>
        <v/>
      </c>
      <c r="BP31" s="184" t="str">
        <f>IFERROR(__xludf.DUMMYFUNCTION("""COMPUTED_VALUE"""),"")</f>
        <v/>
      </c>
      <c r="BQ31" s="184"/>
      <c r="BR31" s="184"/>
      <c r="BS31" s="206">
        <f>IFERROR(__xludf.DUMMYFUNCTION("""COMPUTED_VALUE"""),0.0)</f>
        <v>0</v>
      </c>
      <c r="BT31" s="206">
        <f>IFERROR(__xludf.DUMMYFUNCTION("""COMPUTED_VALUE"""),0.0)</f>
        <v>0</v>
      </c>
      <c r="BU31" s="206">
        <f>IFERROR(__xludf.DUMMYFUNCTION("""COMPUTED_VALUE"""),0.0)</f>
        <v>0</v>
      </c>
      <c r="BV31" s="206">
        <f>IFERROR(__xludf.DUMMYFUNCTION("""COMPUTED_VALUE"""),0.0)</f>
        <v>0</v>
      </c>
      <c r="BW31" s="206">
        <f>IFERROR(__xludf.DUMMYFUNCTION("""COMPUTED_VALUE"""),0.0)</f>
        <v>0</v>
      </c>
      <c r="BX31" s="154"/>
      <c r="BY31" s="253"/>
      <c r="BZ31" s="209"/>
      <c r="CA31" s="209" t="str">
        <f>IFERROR(__xludf.DUMMYFUNCTION("""COMPUTED_VALUE"""),"")</f>
        <v/>
      </c>
      <c r="CB31" s="209" t="str">
        <f>IFERROR(__xludf.DUMMYFUNCTION("""COMPUTED_VALUE"""),"")</f>
        <v/>
      </c>
      <c r="CC31" s="184" t="str">
        <f>IFERROR(__xludf.DUMMYFUNCTION("""COMPUTED_VALUE"""),"")</f>
        <v/>
      </c>
      <c r="CD31" s="184" t="str">
        <f>IFERROR(__xludf.DUMMYFUNCTION("""COMPUTED_VALUE"""),"")</f>
        <v/>
      </c>
      <c r="CE31" s="209" t="str">
        <f>IFERROR(__xludf.DUMMYFUNCTION("""COMPUTED_VALUE"""),"")</f>
        <v/>
      </c>
      <c r="CF31" s="206">
        <f>IFERROR(__xludf.DUMMYFUNCTION("""COMPUTED_VALUE"""),0.0)</f>
        <v>0</v>
      </c>
      <c r="CG31" s="206">
        <f>IFERROR(__xludf.DUMMYFUNCTION("""COMPUTED_VALUE"""),0.0)</f>
        <v>0</v>
      </c>
      <c r="CH31" s="206">
        <f>IFERROR(__xludf.DUMMYFUNCTION("""COMPUTED_VALUE"""),0.0)</f>
        <v>0</v>
      </c>
      <c r="CI31" s="206">
        <f>IFERROR(__xludf.DUMMYFUNCTION("""COMPUTED_VALUE"""),0.0)</f>
        <v>0</v>
      </c>
      <c r="CJ31" s="206">
        <f>IFERROR(__xludf.DUMMYFUNCTION("""COMPUTED_VALUE"""),0.0)</f>
        <v>0</v>
      </c>
    </row>
    <row r="32">
      <c r="A32" s="111"/>
      <c r="B32" s="111"/>
      <c r="C32" s="111"/>
      <c r="D32" s="111"/>
      <c r="E32" s="111"/>
      <c r="F32" s="111"/>
      <c r="G32" s="111"/>
      <c r="H32" s="111"/>
      <c r="K32" s="120" t="str">
        <f>IFERROR(__xludf.DUMMYFUNCTION("""COMPUTED_VALUE"""),"M&amp;E")</f>
        <v>M&amp;E</v>
      </c>
      <c r="L32" s="120" t="str">
        <f>IFERROR(__xludf.DUMMYFUNCTION("""COMPUTED_VALUE"""),"Fix quantity PU Working Abnormal")</f>
        <v>Fix quantity PU Working Abnormal</v>
      </c>
      <c r="M32" s="119" t="str">
        <f>IFERROR(__xludf.DUMMYFUNCTION("""COMPUTED_VALUE"""),"-")</f>
        <v>-</v>
      </c>
      <c r="N32" s="119" t="str">
        <f>IFERROR(__xludf.DUMMYFUNCTION("""COMPUTED_VALUE"""),"-")</f>
        <v>-</v>
      </c>
      <c r="O32" s="119" t="str">
        <f>IFERROR(__xludf.DUMMYFUNCTION("""COMPUTED_VALUE"""),"-")</f>
        <v>-</v>
      </c>
      <c r="P32" s="159" t="str">
        <f>IFERROR(__xludf.DUMMYFUNCTION("""COMPUTED_VALUE"""),"-")</f>
        <v>-</v>
      </c>
      <c r="S32" s="232"/>
      <c r="T32" s="232"/>
      <c r="U32" s="199">
        <f>IFERROR(__xludf.DUMMYFUNCTION("""COMPUTED_VALUE"""),0.0)</f>
        <v>0</v>
      </c>
      <c r="V32" s="199">
        <f>IFERROR(__xludf.DUMMYFUNCTION("""COMPUTED_VALUE"""),0.0)</f>
        <v>0</v>
      </c>
      <c r="W32" s="199">
        <f>IFERROR(__xludf.DUMMYFUNCTION("""COMPUTED_VALUE"""),0.0)</f>
        <v>0</v>
      </c>
      <c r="X32" s="199">
        <f>IFERROR(__xludf.DUMMYFUNCTION("""COMPUTED_VALUE"""),0.0)</f>
        <v>0</v>
      </c>
      <c r="Y32" s="199">
        <f>IFERROR(__xludf.DUMMYFUNCTION("""COMPUTED_VALUE"""),0.0)</f>
        <v>0</v>
      </c>
      <c r="Z32" s="252" t="str">
        <f>IFERROR(__xludf.DUMMYFUNCTION("""COMPUTED_VALUE"""),"")</f>
        <v/>
      </c>
      <c r="AA32" s="201">
        <f>IFERROR(__xludf.DUMMYFUNCTION("""COMPUTED_VALUE"""),0.0)</f>
        <v>0</v>
      </c>
      <c r="AB32" s="201">
        <f>IFERROR(__xludf.DUMMYFUNCTION("""COMPUTED_VALUE"""),0.0)</f>
        <v>0</v>
      </c>
      <c r="AC32" s="201">
        <f>IFERROR(__xludf.DUMMYFUNCTION("""COMPUTED_VALUE"""),0.0)</f>
        <v>0</v>
      </c>
      <c r="AD32" s="201">
        <f>IFERROR(__xludf.DUMMYFUNCTION("""COMPUTED_VALUE"""),0.0)</f>
        <v>0</v>
      </c>
      <c r="AE32" s="201">
        <f>IFERROR(__xludf.DUMMYFUNCTION("""COMPUTED_VALUE"""),0.0)</f>
        <v>0</v>
      </c>
      <c r="AF32" s="122"/>
      <c r="AG32" s="122"/>
      <c r="AH32" s="232"/>
      <c r="AI32" s="232"/>
      <c r="AJ32" s="199">
        <f>IFERROR(__xludf.DUMMYFUNCTION("""COMPUTED_VALUE"""),0.0)</f>
        <v>0</v>
      </c>
      <c r="AK32" s="199">
        <f>IFERROR(__xludf.DUMMYFUNCTION("""COMPUTED_VALUE"""),0.0)</f>
        <v>0</v>
      </c>
      <c r="AL32" s="199">
        <f>IFERROR(__xludf.DUMMYFUNCTION("""COMPUTED_VALUE"""),0.0)</f>
        <v>0</v>
      </c>
      <c r="AM32" s="199">
        <f>IFERROR(__xludf.DUMMYFUNCTION("""COMPUTED_VALUE"""),0.0)</f>
        <v>0</v>
      </c>
      <c r="AN32" s="199">
        <f>IFERROR(__xludf.DUMMYFUNCTION("""COMPUTED_VALUE"""),0.0)</f>
        <v>0</v>
      </c>
      <c r="AO32" s="252" t="str">
        <f>IFERROR(__xludf.DUMMYFUNCTION("""COMPUTED_VALUE"""),"")</f>
        <v/>
      </c>
      <c r="AP32" s="164">
        <f>IFERROR(__xludf.DUMMYFUNCTION("""COMPUTED_VALUE"""),0.0)</f>
        <v>0</v>
      </c>
      <c r="AQ32" s="164">
        <f>IFERROR(__xludf.DUMMYFUNCTION("""COMPUTED_VALUE"""),0.0)</f>
        <v>0</v>
      </c>
      <c r="AR32" s="164">
        <f>IFERROR(__xludf.DUMMYFUNCTION("""COMPUTED_VALUE"""),0.0)</f>
        <v>0</v>
      </c>
      <c r="AS32" s="164">
        <f>IFERROR(__xludf.DUMMYFUNCTION("""COMPUTED_VALUE"""),0.0)</f>
        <v>0</v>
      </c>
      <c r="AT32" s="164">
        <f>IFERROR(__xludf.DUMMYFUNCTION("""COMPUTED_VALUE"""),0.0)</f>
        <v>0</v>
      </c>
      <c r="AU32" s="122"/>
      <c r="AV32" s="122"/>
      <c r="AW32" s="232"/>
      <c r="AX32" s="232"/>
      <c r="AY32" s="199">
        <f>IFERROR(__xludf.DUMMYFUNCTION("""COMPUTED_VALUE"""),0.0)</f>
        <v>0</v>
      </c>
      <c r="AZ32" s="199">
        <f>IFERROR(__xludf.DUMMYFUNCTION("""COMPUTED_VALUE"""),0.0)</f>
        <v>0</v>
      </c>
      <c r="BA32" s="199">
        <f>IFERROR(__xludf.DUMMYFUNCTION("""COMPUTED_VALUE"""),0.0)</f>
        <v>0</v>
      </c>
      <c r="BB32" s="199">
        <f>IFERROR(__xludf.DUMMYFUNCTION("""COMPUTED_VALUE"""),0.0)</f>
        <v>0</v>
      </c>
      <c r="BC32" s="199">
        <f>IFERROR(__xludf.DUMMYFUNCTION("""COMPUTED_VALUE"""),0.0)</f>
        <v>0</v>
      </c>
      <c r="BD32" s="252" t="str">
        <f>IFERROR(__xludf.DUMMYFUNCTION("""COMPUTED_VALUE"""),"")</f>
        <v/>
      </c>
      <c r="BE32" s="201">
        <f>IFERROR(__xludf.DUMMYFUNCTION("""COMPUTED_VALUE"""),0.0)</f>
        <v>0</v>
      </c>
      <c r="BF32" s="201">
        <f>IFERROR(__xludf.DUMMYFUNCTION("""COMPUTED_VALUE"""),0.0)</f>
        <v>0</v>
      </c>
      <c r="BG32" s="201">
        <f>IFERROR(__xludf.DUMMYFUNCTION("""COMPUTED_VALUE"""),0.0)</f>
        <v>0</v>
      </c>
      <c r="BH32" s="201">
        <f>IFERROR(__xludf.DUMMYFUNCTION("""COMPUTED_VALUE"""),0.0)</f>
        <v>0</v>
      </c>
      <c r="BI32" s="201">
        <f>IFERROR(__xludf.DUMMYFUNCTION("""COMPUTED_VALUE"""),0.0)</f>
        <v>0</v>
      </c>
      <c r="BJ32" s="122"/>
      <c r="BK32" s="122"/>
      <c r="BL32" s="204"/>
      <c r="BM32" s="204"/>
      <c r="BN32" s="204" t="str">
        <f>IFERROR(__xludf.DUMMYFUNCTION("""COMPUTED_VALUE"""),"")</f>
        <v/>
      </c>
      <c r="BO32" s="184" t="str">
        <f>IFERROR(__xludf.DUMMYFUNCTION("""COMPUTED_VALUE"""),"")</f>
        <v/>
      </c>
      <c r="BP32" s="184" t="str">
        <f>IFERROR(__xludf.DUMMYFUNCTION("""COMPUTED_VALUE"""),"")</f>
        <v/>
      </c>
      <c r="BQ32" s="184"/>
      <c r="BR32" s="184"/>
      <c r="BS32" s="206">
        <f>IFERROR(__xludf.DUMMYFUNCTION("""COMPUTED_VALUE"""),0.0)</f>
        <v>0</v>
      </c>
      <c r="BT32" s="206">
        <f>IFERROR(__xludf.DUMMYFUNCTION("""COMPUTED_VALUE"""),0.0)</f>
        <v>0</v>
      </c>
      <c r="BU32" s="206">
        <f>IFERROR(__xludf.DUMMYFUNCTION("""COMPUTED_VALUE"""),0.0)</f>
        <v>0</v>
      </c>
      <c r="BV32" s="206">
        <f>IFERROR(__xludf.DUMMYFUNCTION("""COMPUTED_VALUE"""),0.0)</f>
        <v>0</v>
      </c>
      <c r="BW32" s="206">
        <f>IFERROR(__xludf.DUMMYFUNCTION("""COMPUTED_VALUE"""),0.0)</f>
        <v>0</v>
      </c>
      <c r="BX32" s="154"/>
      <c r="BY32" s="253"/>
      <c r="BZ32" s="209"/>
      <c r="CA32" s="209" t="str">
        <f>IFERROR(__xludf.DUMMYFUNCTION("""COMPUTED_VALUE"""),"")</f>
        <v/>
      </c>
      <c r="CB32" s="209" t="str">
        <f>IFERROR(__xludf.DUMMYFUNCTION("""COMPUTED_VALUE"""),"")</f>
        <v/>
      </c>
      <c r="CC32" s="184" t="str">
        <f>IFERROR(__xludf.DUMMYFUNCTION("""COMPUTED_VALUE"""),"")</f>
        <v/>
      </c>
      <c r="CD32" s="184" t="str">
        <f>IFERROR(__xludf.DUMMYFUNCTION("""COMPUTED_VALUE"""),"")</f>
        <v/>
      </c>
      <c r="CE32" s="209" t="str">
        <f>IFERROR(__xludf.DUMMYFUNCTION("""COMPUTED_VALUE"""),"")</f>
        <v/>
      </c>
      <c r="CF32" s="206">
        <f>IFERROR(__xludf.DUMMYFUNCTION("""COMPUTED_VALUE"""),0.0)</f>
        <v>0</v>
      </c>
      <c r="CG32" s="206">
        <f>IFERROR(__xludf.DUMMYFUNCTION("""COMPUTED_VALUE"""),0.0)</f>
        <v>0</v>
      </c>
      <c r="CH32" s="206">
        <f>IFERROR(__xludf.DUMMYFUNCTION("""COMPUTED_VALUE"""),0.0)</f>
        <v>0</v>
      </c>
      <c r="CI32" s="206">
        <f>IFERROR(__xludf.DUMMYFUNCTION("""COMPUTED_VALUE"""),0.0)</f>
        <v>0</v>
      </c>
      <c r="CJ32" s="206">
        <f>IFERROR(__xludf.DUMMYFUNCTION("""COMPUTED_VALUE"""),0.0)</f>
        <v>0</v>
      </c>
    </row>
    <row r="33">
      <c r="A33" s="111"/>
      <c r="B33" s="111"/>
      <c r="C33" s="111"/>
      <c r="D33" s="111"/>
      <c r="E33" s="111"/>
      <c r="F33" s="111"/>
      <c r="G33" s="111"/>
      <c r="H33" s="111"/>
      <c r="K33" s="175" t="str">
        <f>IFERROR(__xludf.DUMMYFUNCTION("""COMPUTED_VALUE"""),"M&amp;E")</f>
        <v>M&amp;E</v>
      </c>
      <c r="L33" s="175" t="str">
        <f>IFERROR(__xludf.DUMMYFUNCTION("""COMPUTED_VALUE"""),"Fuel Lose")</f>
        <v>Fuel Lose</v>
      </c>
      <c r="M33" s="136" t="str">
        <f>IFERROR(__xludf.DUMMYFUNCTION("""COMPUTED_VALUE"""),"-")</f>
        <v>-</v>
      </c>
      <c r="N33" s="136" t="str">
        <f>IFERROR(__xludf.DUMMYFUNCTION("""COMPUTED_VALUE"""),"-")</f>
        <v>-</v>
      </c>
      <c r="O33" s="136" t="str">
        <f>IFERROR(__xludf.DUMMYFUNCTION("""COMPUTED_VALUE"""),"-")</f>
        <v>-</v>
      </c>
      <c r="P33" s="136" t="str">
        <f>IFERROR(__xludf.DUMMYFUNCTION("""COMPUTED_VALUE"""),"-")</f>
        <v>-</v>
      </c>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row>
    <row r="34">
      <c r="A34" s="111"/>
      <c r="B34" s="111"/>
      <c r="C34" s="111"/>
      <c r="D34" s="111"/>
      <c r="E34" s="111"/>
      <c r="F34" s="111"/>
      <c r="G34" s="111"/>
      <c r="H34" s="111"/>
      <c r="K34" s="120" t="str">
        <f>IFERROR(__xludf.DUMMYFUNCTION("""COMPUTED_VALUE"""),"Manager")</f>
        <v>Manager</v>
      </c>
      <c r="L34" s="120" t="str">
        <f>IFERROR(__xludf.DUMMYFUNCTION("""COMPUTED_VALUE"""),"CCTV")</f>
        <v>CCTV</v>
      </c>
      <c r="M34" s="119" t="str">
        <f>IFERROR(__xludf.DUMMYFUNCTION("""COMPUTED_VALUE"""),"TNI0013 + TNI0006 + TNI0250")</f>
        <v>TNI0013 + TNI0006 + TNI0250</v>
      </c>
      <c r="N34" s="119" t="str">
        <f>IFERROR(__xludf.DUMMYFUNCTION("""COMPUTED_VALUE"""),"-")</f>
        <v>-</v>
      </c>
      <c r="O34" s="119" t="str">
        <f>IFERROR(__xludf.DUMMYFUNCTION("""COMPUTED_VALUE"""),"-")</f>
        <v>-</v>
      </c>
      <c r="P34" s="119" t="str">
        <f>IFERROR(__xludf.DUMMYFUNCTION("""COMPUTED_VALUE"""),"-")</f>
        <v>-</v>
      </c>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row>
    <row r="35">
      <c r="A35" s="111"/>
      <c r="B35" s="111"/>
      <c r="C35" s="111"/>
      <c r="D35" s="111"/>
      <c r="E35" s="111"/>
      <c r="F35" s="111"/>
      <c r="G35" s="111"/>
      <c r="H35" s="111"/>
      <c r="K35" s="175" t="str">
        <f>IFERROR(__xludf.DUMMYFUNCTION("""COMPUTED_VALUE"""),"Manager")</f>
        <v>Manager</v>
      </c>
      <c r="L35" s="175" t="str">
        <f>IFERROR(__xludf.DUMMYFUNCTION("""COMPUTED_VALUE"""),"Check&amp;fixing Main Node Site")</f>
        <v>Check&amp;fixing Main Node Site</v>
      </c>
      <c r="M35" s="115" t="str">
        <f>IFERROR(__xludf.DUMMYFUNCTION("""COMPUTED_VALUE"""),"TNI0006 + TNI0013 + TNI0250")</f>
        <v>TNI0006 + TNI0013 + TNI0250</v>
      </c>
      <c r="N35" s="136" t="str">
        <f>IFERROR(__xludf.DUMMYFUNCTION("""COMPUTED_VALUE"""),"TNI0001 + TNI0003")</f>
        <v>TNI0001 + TNI0003</v>
      </c>
      <c r="O35" s="136" t="str">
        <f>IFERROR(__xludf.DUMMYFUNCTION("""COMPUTED_VALUE"""),"TNI0004 + TNI0008 + TNI0009")</f>
        <v>TNI0004 + TNI0008 + TNI0009</v>
      </c>
      <c r="P35" s="136" t="str">
        <f>IFERROR(__xludf.DUMMYFUNCTION("""COMPUTED_VALUE"""),"TNI0011 + TNI0012 + TNI0015")</f>
        <v>TNI0011 + TNI0012 + TNI0015</v>
      </c>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row>
    <row r="36">
      <c r="A36" s="111"/>
      <c r="B36" s="111"/>
      <c r="C36" s="111"/>
      <c r="D36" s="111"/>
      <c r="E36" s="111"/>
      <c r="F36" s="111"/>
      <c r="G36" s="111"/>
      <c r="H36" s="111"/>
      <c r="K36" s="120" t="str">
        <f>IFERROR(__xludf.DUMMYFUNCTION("""COMPUTED_VALUE"""),"Manager")</f>
        <v>Manager</v>
      </c>
      <c r="L36" s="120" t="str">
        <f>IFERROR(__xludf.DUMMYFUNCTION("""COMPUTED_VALUE"""),"MW link Error")</f>
        <v>MW link Error</v>
      </c>
      <c r="M36" s="159" t="str">
        <f>IFERROR(__xludf.DUMMYFUNCTION("""COMPUTED_VALUE"""),"TNI0309")</f>
        <v>TNI0309</v>
      </c>
      <c r="N36" s="159" t="str">
        <f>IFERROR(__xludf.DUMMYFUNCTION("""COMPUTED_VALUE"""),"TNI0423")</f>
        <v>TNI0423</v>
      </c>
      <c r="O36" s="159" t="str">
        <f>IFERROR(__xludf.DUMMYFUNCTION("""COMPUTED_VALUE"""),"-")</f>
        <v>-</v>
      </c>
      <c r="P36" s="159" t="str">
        <f>IFERROR(__xludf.DUMMYFUNCTION("""COMPUTED_VALUE"""),"-")</f>
        <v>-</v>
      </c>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row>
    <row r="37">
      <c r="A37" s="111"/>
      <c r="B37" s="111"/>
      <c r="C37" s="111"/>
      <c r="D37" s="111"/>
      <c r="E37" s="111"/>
      <c r="F37" s="111"/>
      <c r="G37" s="111"/>
      <c r="H37" s="111"/>
      <c r="K37" s="175" t="str">
        <f>IFERROR(__xludf.DUMMYFUNCTION("""COMPUTED_VALUE"""),"Manager")</f>
        <v>Manager</v>
      </c>
      <c r="L37" s="175" t="str">
        <f>IFERROR(__xludf.DUMMYFUNCTION("""COMPUTED_VALUE"""),"Rescue long time site/link down")</f>
        <v>Rescue long time site/link down</v>
      </c>
      <c r="M37" s="115" t="str">
        <f>IFERROR(__xludf.DUMMYFUNCTION("""COMPUTED_VALUE"""),"TNI0394 + TNI0148 + TNI0188 + TNI0095")</f>
        <v>TNI0394 + TNI0148 + TNI0188 + TNI0095</v>
      </c>
      <c r="N37" s="115" t="str">
        <f>IFERROR(__xludf.DUMMYFUNCTION("""COMPUTED_VALUE"""),"-")</f>
        <v>-</v>
      </c>
      <c r="O37" s="136" t="str">
        <f>IFERROR(__xludf.DUMMYFUNCTION("""COMPUTED_VALUE"""),"TNI0507")</f>
        <v>TNI0507</v>
      </c>
      <c r="P37" s="136" t="str">
        <f>IFERROR(__xludf.DUMMYFUNCTION("""COMPUTED_VALUE"""),"-")</f>
        <v>-</v>
      </c>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row>
    <row r="38">
      <c r="A38" s="111"/>
      <c r="B38" s="111"/>
      <c r="C38" s="111"/>
      <c r="D38" s="111"/>
      <c r="E38" s="111"/>
      <c r="F38" s="111"/>
      <c r="G38" s="111"/>
      <c r="H38" s="111"/>
      <c r="K38" s="120" t="str">
        <f>IFERROR(__xludf.DUMMYFUNCTION("""COMPUTED_VALUE"""),"Manager")</f>
        <v>Manager</v>
      </c>
      <c r="L38" s="120" t="str">
        <f>IFERROR(__xludf.DUMMYFUNCTION("""COMPUTED_VALUE"""),"Swap MDG ")</f>
        <v>Swap MDG </v>
      </c>
      <c r="M38" s="159" t="str">
        <f>IFERROR(__xludf.DUMMYFUNCTION("""COMPUTED_VALUE"""),"TNI0333 + TNI0334 + TNI0276")</f>
        <v>TNI0333 + TNI0334 + TNI0276</v>
      </c>
      <c r="N38" s="119" t="str">
        <f>IFERROR(__xludf.DUMMYFUNCTION("""COMPUTED_VALUE"""),"-")</f>
        <v>-</v>
      </c>
      <c r="O38" s="119" t="str">
        <f>IFERROR(__xludf.DUMMYFUNCTION("""COMPUTED_VALUE"""),"-")</f>
        <v>-</v>
      </c>
      <c r="P38" s="119" t="str">
        <f>IFERROR(__xludf.DUMMYFUNCTION("""COMPUTED_VALUE"""),"-")</f>
        <v>-</v>
      </c>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row>
    <row r="39">
      <c r="A39" s="111"/>
      <c r="B39" s="111"/>
      <c r="C39" s="111"/>
      <c r="D39" s="111"/>
      <c r="E39" s="111"/>
      <c r="F39" s="111"/>
      <c r="G39" s="111"/>
      <c r="H39" s="111"/>
      <c r="K39" s="175" t="str">
        <f>IFERROR(__xludf.DUMMYFUNCTION("""COMPUTED_VALUE"""),"Manager")</f>
        <v>Manager</v>
      </c>
      <c r="L39" s="175" t="str">
        <f>IFERROR(__xludf.DUMMYFUNCTION("""COMPUTED_VALUE"""),"Grid fail long time")</f>
        <v>Grid fail long time</v>
      </c>
      <c r="M39" s="136" t="str">
        <f>IFERROR(__xludf.DUMMYFUNCTION("""COMPUTED_VALUE"""),"-")</f>
        <v>-</v>
      </c>
      <c r="N39" s="115" t="str">
        <f>IFERROR(__xludf.DUMMYFUNCTION("""COMPUTED_VALUE"""),"TNI0267 + TNI0268")</f>
        <v>TNI0267 + TNI0268</v>
      </c>
      <c r="O39" s="136" t="str">
        <f>IFERROR(__xludf.DUMMYFUNCTION("""COMPUTED_VALUE"""),"-")</f>
        <v>-</v>
      </c>
      <c r="P39" s="136" t="str">
        <f>IFERROR(__xludf.DUMMYFUNCTION("""COMPUTED_VALUE"""),"-")</f>
        <v>-</v>
      </c>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row>
    <row r="40">
      <c r="A40" s="111"/>
      <c r="B40" s="111"/>
      <c r="C40" s="111"/>
      <c r="D40" s="111"/>
      <c r="E40" s="111"/>
      <c r="F40" s="111"/>
      <c r="G40" s="111"/>
      <c r="H40" s="111"/>
      <c r="K40" s="255" t="str">
        <f>IFERROR(__xludf.DUMMYFUNCTION("""COMPUTED_VALUE"""),"Manager")</f>
        <v>Manager</v>
      </c>
      <c r="L40" s="120" t="str">
        <f>IFERROR(__xludf.DUMMYFUNCTION("""COMPUTED_VALUE"""),"Cable BB high lost")</f>
        <v>Cable BB high lost</v>
      </c>
      <c r="M40" s="119" t="str">
        <f>IFERROR(__xludf.DUMMYFUNCTION("""COMPUTED_VALUE"""),"-")</f>
        <v>-</v>
      </c>
      <c r="N40" s="119" t="str">
        <f>IFERROR(__xludf.DUMMYFUNCTION("""COMPUTED_VALUE"""),"-")</f>
        <v>-</v>
      </c>
      <c r="O40" s="119" t="str">
        <f>IFERROR(__xludf.DUMMYFUNCTION("""COMPUTED_VALUE"""),"-")</f>
        <v>-</v>
      </c>
      <c r="P40" s="119" t="str">
        <f>IFERROR(__xludf.DUMMYFUNCTION("""COMPUTED_VALUE"""),"-")</f>
        <v>-</v>
      </c>
    </row>
    <row r="41">
      <c r="A41" s="111"/>
      <c r="B41" s="111"/>
      <c r="C41" s="111"/>
      <c r="D41" s="111"/>
      <c r="E41" s="111"/>
      <c r="F41" s="111"/>
      <c r="G41" s="111"/>
      <c r="H41" s="111"/>
      <c r="K41" s="175" t="str">
        <f>IFERROR(__xludf.DUMMYFUNCTION("""COMPUTED_VALUE"""),"Manager")</f>
        <v>Manager</v>
      </c>
      <c r="L41" s="175" t="str">
        <f>IFERROR(__xludf.DUMMYFUNCTION("""COMPUTED_VALUE"""),"Check DIA customer")</f>
        <v>Check DIA customer</v>
      </c>
      <c r="M41" s="136" t="str">
        <f>IFERROR(__xludf.DUMMYFUNCTION("""COMPUTED_VALUE"""),"-")</f>
        <v>-</v>
      </c>
      <c r="N41" s="136" t="str">
        <f>IFERROR(__xludf.DUMMYFUNCTION("""COMPUTED_VALUE"""),"-")</f>
        <v>-</v>
      </c>
      <c r="O41" s="136" t="str">
        <f>IFERROR(__xludf.DUMMYFUNCTION("""COMPUTED_VALUE"""),"-")</f>
        <v>-</v>
      </c>
      <c r="P41" s="115" t="str">
        <f>IFERROR(__xludf.DUMMYFUNCTION("""COMPUTED_VALUE"""),"check island DIA customers what’s materials you need to repair send PWZ to request to HO")</f>
        <v>check island DIA customers what’s materials you need to repair send PWZ to request to HO</v>
      </c>
    </row>
    <row r="42">
      <c r="A42" s="111"/>
      <c r="B42" s="111"/>
      <c r="C42" s="111"/>
      <c r="D42" s="111"/>
      <c r="E42" s="111"/>
      <c r="F42" s="111"/>
      <c r="G42" s="111"/>
      <c r="H42" s="111"/>
      <c r="K42" s="120" t="str">
        <f>IFERROR(__xludf.DUMMYFUNCTION("""COMPUTED_VALUE"""),"PM")</f>
        <v>PM</v>
      </c>
      <c r="L42" s="120" t="str">
        <f>IFERROR(__xludf.DUMMYFUNCTION("""COMPUTED_VALUE"""),"100 point plan")</f>
        <v>100 point plan</v>
      </c>
      <c r="M42" s="159" t="str">
        <f>IFERROR(__xludf.DUMMYFUNCTION("""COMPUTED_VALUE"""),"TNI0055 + TNI0078 + TNI0089 + TNI0129 + TNI0150 + TNI0153 + TNI0197 + TNI0198 + TNI0201 + TNI0206 + TNI0208 + TNI0213 + TNI0220 + TNI0231 + TNI0284 + TNI0153 + TNI0213 + TNI0394 + TNI0390")</f>
        <v>TNI0055 + TNI0078 + TNI0089 + TNI0129 + TNI0150 + TNI0153 + TNI0197 + TNI0198 + TNI0201 + TNI0206 + TNI0208 + TNI0213 + TNI0220 + TNI0231 + TNI0284 + TNI0153 + TNI0213 + TNI0394 + TNI0390</v>
      </c>
      <c r="N42" s="159" t="str">
        <f>IFERROR(__xludf.DUMMYFUNCTION("""COMPUTED_VALUE"""),"TNI0026 + TNI0075 + TNI0137 + TNI0159 + TNI0161 + TNI0166 + TNI0239 + TNI0258 + TNI0277 + TNI0279 + TNI0280 + TNI0281 + TNI0324 + TNI0346 + TNI0379 + TNI0381 + TNI0382 + TNI0384 + TNI0385 + TNI0423 + TNI0411 + TNI0399 + TNI0406 + TNI0398 + TNI0440 + TNI03"&amp;"88 + TNI0520")</f>
        <v>TNI0026 + TNI0075 + TNI0137 + TNI0159 + TNI0161 + TNI0166 + TNI0239 + TNI0258 + TNI0277 + TNI0279 + TNI0280 + TNI0281 + TNI0324 + TNI0346 + TNI0379 + TNI0381 + TNI0382 + TNI0384 + TNI0385 + TNI0423 + TNI0411 + TNI0399 + TNI0406 + TNI0398 + TNI0440 + TNI0388 + TNI0520</v>
      </c>
      <c r="O42" s="159" t="str">
        <f>IFERROR(__xludf.DUMMYFUNCTION("""COMPUTED_VALUE"""),"TNI0004 + TNI0008 + TNI0079 + TNI0103 + TNI0116 + TNI0118 + TNI0156 + TNI0173 + TNI0212 + TNI0341 + TNI0343 + TNI0383 + TNI0425 + TNI0417 + TNI0416 + TNI0507 + TNI0505 + TNI0418 + TNI0004")</f>
        <v>TNI0004 + TNI0008 + TNI0079 + TNI0103 + TNI0116 + TNI0118 + TNI0156 + TNI0173 + TNI0212 + TNI0341 + TNI0343 + TNI0383 + TNI0425 + TNI0417 + TNI0416 + TNI0507 + TNI0505 + TNI0418 + TNI0004</v>
      </c>
      <c r="P42" s="159" t="str">
        <f>IFERROR(__xludf.DUMMYFUNCTION("""COMPUTED_VALUE"""),"TNI0057 + TNI0243 + TNI0392 + TNI0434 + TNI0435")</f>
        <v>TNI0057 + TNI0243 + TNI0392 + TNI0434 + TNI0435</v>
      </c>
    </row>
    <row r="43">
      <c r="A43" s="111"/>
      <c r="B43" s="111"/>
      <c r="C43" s="111"/>
      <c r="D43" s="111"/>
      <c r="E43" s="111"/>
      <c r="F43" s="111"/>
      <c r="G43" s="111"/>
      <c r="H43" s="111"/>
      <c r="K43" s="175" t="str">
        <f>IFERROR(__xludf.DUMMYFUNCTION("""COMPUTED_VALUE"""),"PM")</f>
        <v>PM</v>
      </c>
      <c r="L43" s="175" t="str">
        <f>IFERROR(__xludf.DUMMYFUNCTION("""COMPUTED_VALUE"""),"PVC PLAN")</f>
        <v>PVC PLAN</v>
      </c>
      <c r="M43" s="115" t="str">
        <f>IFERROR(__xludf.DUMMYFUNCTION("""COMPUTED_VALUE"""),"TNI0394 + TNI0060 + TNI0066 + TNI0250 + TNI0257 + TNI0206 + TNI0153 + TNI0201 + TNI0053 + TNI0058 + TNI0272 + TNI0245 + TNI0251 + TNI0068 + TNI0050 + TNI0207 + TNI0264 + TNI0067 + TNI0247")</f>
        <v>TNI0394 + TNI0060 + TNI0066 + TNI0250 + TNI0257 + TNI0206 + TNI0153 + TNI0201 + TNI0053 + TNI0058 + TNI0272 + TNI0245 + TNI0251 + TNI0068 + TNI0050 + TNI0207 + TNI0264 + TNI0067 + TNI0247</v>
      </c>
      <c r="N43" s="115" t="str">
        <f>IFERROR(__xludf.DUMMYFUNCTION("""COMPUTED_VALUE"""),"TNI0519 + TNI0228 + TNI0413 + TNI0261 + TNI0240 + TNI0268 + TNI0294 + TNI0248 + TNI0200 + TNI0262 + TNI0267 + TNI0241 + TNI0252")</f>
        <v>TNI0519 + TNI0228 + TNI0413 + TNI0261 + TNI0240 + TNI0268 + TNI0294 + TNI0248 + TNI0200 + TNI0262 + TNI0267 + TNI0241 + TNI0252</v>
      </c>
      <c r="O43" s="115" t="str">
        <f>IFERROR(__xludf.DUMMYFUNCTION("""COMPUTED_VALUE"""),"TNI0310")</f>
        <v>TNI0310</v>
      </c>
      <c r="P43" s="115" t="str">
        <f>IFERROR(__xludf.DUMMYFUNCTION("""COMPUTED_VALUE"""),"TNI0011 + TNI0227 + TNI0355 + TNI0120 + TNI0392 + TNI0012 + TNI0404 + TNI0154 + TNI0202 + TNI0233 + TNI0064")</f>
        <v>TNI0011 + TNI0227 + TNI0355 + TNI0120 + TNI0392 + TNI0012 + TNI0404 + TNI0154 + TNI0202 + TNI0233 + TNI0064</v>
      </c>
    </row>
    <row r="44">
      <c r="A44" s="111"/>
      <c r="B44" s="111"/>
      <c r="C44" s="111"/>
      <c r="D44" s="111"/>
      <c r="E44" s="111"/>
      <c r="F44" s="111"/>
      <c r="G44" s="111"/>
      <c r="H44" s="111"/>
      <c r="K44" s="120" t="str">
        <f>IFERROR(__xludf.DUMMYFUNCTION("""COMPUTED_VALUE"""),"Transmission")</f>
        <v>Transmission</v>
      </c>
      <c r="L44" s="120" t="str">
        <f>IFERROR(__xludf.DUMMYFUNCTION("""COMPUTED_VALUE"""),"Deploy cable")</f>
        <v>Deploy cable</v>
      </c>
      <c r="M44" s="159" t="str">
        <f>IFERROR(__xludf.DUMMYFUNCTION("""COMPUTED_VALUE"""),"TNI0006 + TNI0013")</f>
        <v>TNI0006 + TNI0013</v>
      </c>
      <c r="N44" s="119" t="str">
        <f>IFERROR(__xludf.DUMMYFUNCTION("""COMPUTED_VALUE"""),"-")</f>
        <v>-</v>
      </c>
      <c r="O44" s="119" t="str">
        <f>IFERROR(__xludf.DUMMYFUNCTION("""COMPUTED_VALUE"""),"-")</f>
        <v>-</v>
      </c>
      <c r="P44" s="119" t="str">
        <f>IFERROR(__xludf.DUMMYFUNCTION("""COMPUTED_VALUE"""),"-")</f>
        <v>-</v>
      </c>
    </row>
    <row r="45">
      <c r="A45" s="111"/>
      <c r="B45" s="111"/>
      <c r="C45" s="111"/>
      <c r="D45" s="111"/>
      <c r="E45" s="111"/>
      <c r="F45" s="111"/>
      <c r="G45" s="111"/>
      <c r="H45" s="111"/>
      <c r="K45" s="175" t="str">
        <f>IFERROR(__xludf.DUMMYFUNCTION("""COMPUTED_VALUE"""),"Transmission")</f>
        <v>Transmission</v>
      </c>
      <c r="L45" s="175" t="str">
        <f>IFERROR(__xludf.DUMMYFUNCTION("""COMPUTED_VALUE"""),"Export Materials")</f>
        <v>Export Materials</v>
      </c>
      <c r="M45" s="115" t="str">
        <f>IFERROR(__xludf.DUMMYFUNCTION("""COMPUTED_VALUE"""),"TNI0129 + TNI0006 + TNI0046 + TNI0356 + TNI0146 + TNI0213 + TNI0188 + TNI0206 + TNI0031 + TNI0006 + TNI0146")</f>
        <v>TNI0129 + TNI0006 + TNI0046 + TNI0356 + TNI0146 + TNI0213 + TNI0188 + TNI0206 + TNI0031 + TNI0006 + TNI0146</v>
      </c>
      <c r="N45" s="115" t="str">
        <f>IFERROR(__xludf.DUMMYFUNCTION("""COMPUTED_VALUE"""),"TNI0323 + TNI0004")</f>
        <v>TNI0323 + TNI0004</v>
      </c>
      <c r="O45" s="115" t="str">
        <f>IFERROR(__xludf.DUMMYFUNCTION("""COMPUTED_VALUE"""),"TNI0009 + TNI0212 + TNI0009 + TNI0009 + TNI0212 + TNI0004 + TNI0507 + TNI0103 + TNI0401")</f>
        <v>TNI0009 + TNI0212 + TNI0009 + TNI0009 + TNI0212 + TNI0004 + TNI0507 + TNI0103 + TNI0401</v>
      </c>
      <c r="P45" s="115" t="str">
        <f>IFERROR(__xludf.DUMMYFUNCTION("""COMPUTED_VALUE"""),"TNI0401 + TNI0032")</f>
        <v>TNI0401 + TNI0032</v>
      </c>
    </row>
    <row r="46">
      <c r="A46" s="111"/>
      <c r="B46" s="111"/>
      <c r="C46" s="111"/>
      <c r="D46" s="111"/>
      <c r="E46" s="111"/>
      <c r="F46" s="111"/>
      <c r="G46" s="111"/>
      <c r="H46" s="111"/>
      <c r="K46" s="120" t="str">
        <f>IFERROR(__xludf.DUMMYFUNCTION("""COMPUTED_VALUE"""),"Transmission")</f>
        <v>Transmission</v>
      </c>
      <c r="L46" s="120" t="str">
        <f>IFERROR(__xludf.DUMMYFUNCTION("""COMPUTED_VALUE"""),"Surrvey Cable update form")</f>
        <v>Surrvey Cable update form</v>
      </c>
      <c r="M46" s="159" t="str">
        <f>IFERROR(__xludf.DUMMYFUNCTION("""COMPUTED_VALUE"""),"TNI0213")</f>
        <v>TNI0213</v>
      </c>
      <c r="N46" s="119" t="str">
        <f>IFERROR(__xludf.DUMMYFUNCTION("""COMPUTED_VALUE"""),"-")</f>
        <v>-</v>
      </c>
      <c r="O46" s="159" t="str">
        <f>IFERROR(__xludf.DUMMYFUNCTION("""COMPUTED_VALUE"""),"TNI0212 + TNI0009")</f>
        <v>TNI0212 + TNI0009</v>
      </c>
      <c r="P46" s="159" t="str">
        <f>IFERROR(__xludf.DUMMYFUNCTION("""COMPUTED_VALUE"""),"TNI0015")</f>
        <v>TNI0015</v>
      </c>
    </row>
    <row r="47">
      <c r="A47" s="111"/>
      <c r="B47" s="111"/>
      <c r="C47" s="111"/>
      <c r="D47" s="111"/>
      <c r="E47" s="111"/>
      <c r="F47" s="111"/>
      <c r="G47" s="111"/>
      <c r="H47" s="111"/>
      <c r="K47" s="175">
        <f>IFERROR(__xludf.DUMMYFUNCTION("""COMPUTED_VALUE"""),0.0)</f>
        <v>0</v>
      </c>
      <c r="L47" s="136"/>
      <c r="M47" s="136" t="str">
        <f>IFERROR(__xludf.DUMMYFUNCTION("""COMPUTED_VALUE"""),"-")</f>
        <v>-</v>
      </c>
      <c r="N47" s="136" t="str">
        <f>IFERROR(__xludf.DUMMYFUNCTION("""COMPUTED_VALUE"""),"-")</f>
        <v>-</v>
      </c>
      <c r="O47" s="136" t="str">
        <f>IFERROR(__xludf.DUMMYFUNCTION("""COMPUTED_VALUE"""),"-")</f>
        <v>-</v>
      </c>
      <c r="P47" s="136" t="str">
        <f>IFERROR(__xludf.DUMMYFUNCTION("""COMPUTED_VALUE"""),"-")</f>
        <v>-</v>
      </c>
    </row>
    <row r="48">
      <c r="A48" s="111"/>
      <c r="B48" s="111"/>
      <c r="C48" s="111"/>
      <c r="D48" s="111"/>
      <c r="E48" s="111"/>
      <c r="F48" s="111"/>
      <c r="G48" s="111"/>
      <c r="H48" s="111"/>
      <c r="K48" s="120">
        <f>IFERROR(__xludf.DUMMYFUNCTION("""COMPUTED_VALUE"""),0.0)</f>
        <v>0</v>
      </c>
      <c r="L48" s="119"/>
      <c r="M48" s="119" t="str">
        <f>IFERROR(__xludf.DUMMYFUNCTION("""COMPUTED_VALUE"""),"-")</f>
        <v>-</v>
      </c>
      <c r="N48" s="119" t="str">
        <f>IFERROR(__xludf.DUMMYFUNCTION("""COMPUTED_VALUE"""),"-")</f>
        <v>-</v>
      </c>
      <c r="O48" s="119" t="str">
        <f>IFERROR(__xludf.DUMMYFUNCTION("""COMPUTED_VALUE"""),"-")</f>
        <v>-</v>
      </c>
      <c r="P48" s="119" t="str">
        <f>IFERROR(__xludf.DUMMYFUNCTION("""COMPUTED_VALUE"""),"-")</f>
        <v>-</v>
      </c>
    </row>
    <row r="49">
      <c r="A49" s="111"/>
      <c r="B49" s="111"/>
      <c r="C49" s="111"/>
      <c r="D49" s="111"/>
      <c r="E49" s="111"/>
      <c r="F49" s="111"/>
      <c r="G49" s="111"/>
      <c r="H49" s="111"/>
      <c r="K49" s="175">
        <f>IFERROR(__xludf.DUMMYFUNCTION("""COMPUTED_VALUE"""),0.0)</f>
        <v>0</v>
      </c>
      <c r="L49" s="136"/>
      <c r="M49" s="136" t="str">
        <f>IFERROR(__xludf.DUMMYFUNCTION("""COMPUTED_VALUE"""),"-")</f>
        <v>-</v>
      </c>
      <c r="N49" s="136" t="str">
        <f>IFERROR(__xludf.DUMMYFUNCTION("""COMPUTED_VALUE"""),"-")</f>
        <v>-</v>
      </c>
      <c r="O49" s="136" t="str">
        <f>IFERROR(__xludf.DUMMYFUNCTION("""COMPUTED_VALUE"""),"-")</f>
        <v>-</v>
      </c>
      <c r="P49" s="136" t="str">
        <f>IFERROR(__xludf.DUMMYFUNCTION("""COMPUTED_VALUE"""),"-")</f>
        <v>-</v>
      </c>
    </row>
    <row r="50">
      <c r="A50" s="111"/>
      <c r="B50" s="111"/>
      <c r="C50" s="111"/>
      <c r="D50" s="111"/>
      <c r="E50" s="111"/>
      <c r="F50" s="111"/>
      <c r="G50" s="111"/>
      <c r="H50" s="111"/>
      <c r="K50" s="119"/>
      <c r="L50" s="119"/>
      <c r="M50" s="256" t="str">
        <f>IFERROR(__xludf.DUMMYFUNCTION("""COMPUTED_VALUE"""),"-")</f>
        <v>-</v>
      </c>
      <c r="N50" s="119" t="str">
        <f>IFERROR(__xludf.DUMMYFUNCTION("""COMPUTED_VALUE"""),"-")</f>
        <v>-</v>
      </c>
      <c r="O50" s="119" t="str">
        <f>IFERROR(__xludf.DUMMYFUNCTION("""COMPUTED_VALUE"""),"-")</f>
        <v>-</v>
      </c>
      <c r="P50" s="256" t="str">
        <f>IFERROR(__xludf.DUMMYFUNCTION("""COMPUTED_VALUE"""),"-")</f>
        <v>-</v>
      </c>
    </row>
    <row r="51">
      <c r="A51" s="111"/>
      <c r="B51" s="111"/>
      <c r="C51" s="111"/>
      <c r="D51" s="111"/>
      <c r="E51" s="111"/>
      <c r="F51" s="111"/>
      <c r="G51" s="111"/>
      <c r="H51" s="111"/>
      <c r="K51" s="136"/>
      <c r="L51" s="136"/>
      <c r="M51" s="138" t="str">
        <f>IFERROR(__xludf.DUMMYFUNCTION("""COMPUTED_VALUE"""),"-")</f>
        <v>-</v>
      </c>
      <c r="N51" s="136" t="str">
        <f>IFERROR(__xludf.DUMMYFUNCTION("""COMPUTED_VALUE"""),"-")</f>
        <v>-</v>
      </c>
      <c r="O51" s="136" t="str">
        <f>IFERROR(__xludf.DUMMYFUNCTION("""COMPUTED_VALUE"""),"-")</f>
        <v>-</v>
      </c>
      <c r="P51" s="138" t="str">
        <f>IFERROR(__xludf.DUMMYFUNCTION("""COMPUTED_VALUE"""),"-")</f>
        <v>-</v>
      </c>
    </row>
    <row r="52">
      <c r="A52" s="111"/>
      <c r="B52" s="111"/>
      <c r="C52" s="111"/>
      <c r="D52" s="111"/>
      <c r="E52" s="111"/>
      <c r="F52" s="111"/>
      <c r="G52" s="111"/>
      <c r="H52" s="111"/>
      <c r="K52" s="119"/>
      <c r="L52" s="119"/>
      <c r="M52" s="256" t="str">
        <f>IFERROR(__xludf.DUMMYFUNCTION("""COMPUTED_VALUE"""),"-")</f>
        <v>-</v>
      </c>
      <c r="N52" s="119" t="str">
        <f>IFERROR(__xludf.DUMMYFUNCTION("""COMPUTED_VALUE"""),"-")</f>
        <v>-</v>
      </c>
      <c r="O52" s="119" t="str">
        <f>IFERROR(__xludf.DUMMYFUNCTION("""COMPUTED_VALUE"""),"-")</f>
        <v>-</v>
      </c>
      <c r="P52" s="256" t="str">
        <f>IFERROR(__xludf.DUMMYFUNCTION("""COMPUTED_VALUE"""),"-")</f>
        <v>-</v>
      </c>
    </row>
    <row r="53">
      <c r="A53" s="111"/>
      <c r="B53" s="111"/>
      <c r="C53" s="111"/>
      <c r="D53" s="111"/>
      <c r="E53" s="111"/>
      <c r="F53" s="111"/>
      <c r="G53" s="111"/>
      <c r="H53" s="111"/>
      <c r="K53" s="136"/>
      <c r="L53" s="136"/>
      <c r="M53" s="138" t="str">
        <f>IFERROR(__xludf.DUMMYFUNCTION("""COMPUTED_VALUE"""),"-")</f>
        <v>-</v>
      </c>
      <c r="N53" s="136" t="str">
        <f>IFERROR(__xludf.DUMMYFUNCTION("""COMPUTED_VALUE"""),"-")</f>
        <v>-</v>
      </c>
      <c r="O53" s="136" t="str">
        <f>IFERROR(__xludf.DUMMYFUNCTION("""COMPUTED_VALUE"""),"-")</f>
        <v>-</v>
      </c>
      <c r="P53" s="138" t="str">
        <f>IFERROR(__xludf.DUMMYFUNCTION("""COMPUTED_VALUE"""),"-")</f>
        <v>-</v>
      </c>
    </row>
    <row r="54">
      <c r="A54" s="111"/>
      <c r="B54" s="111"/>
      <c r="C54" s="111"/>
      <c r="D54" s="111"/>
      <c r="E54" s="111"/>
      <c r="F54" s="111"/>
      <c r="G54" s="111"/>
      <c r="H54" s="111"/>
      <c r="K54" s="119"/>
      <c r="L54" s="119"/>
      <c r="M54" s="256" t="str">
        <f>IFERROR(__xludf.DUMMYFUNCTION("""COMPUTED_VALUE"""),"-")</f>
        <v>-</v>
      </c>
      <c r="N54" s="119" t="str">
        <f>IFERROR(__xludf.DUMMYFUNCTION("""COMPUTED_VALUE"""),"-")</f>
        <v>-</v>
      </c>
      <c r="O54" s="119" t="str">
        <f>IFERROR(__xludf.DUMMYFUNCTION("""COMPUTED_VALUE"""),"-")</f>
        <v>-</v>
      </c>
      <c r="P54" s="256" t="str">
        <f>IFERROR(__xludf.DUMMYFUNCTION("""COMPUTED_VALUE"""),"-")</f>
        <v>-</v>
      </c>
    </row>
    <row r="55">
      <c r="A55" s="111"/>
      <c r="B55" s="111"/>
      <c r="C55" s="111"/>
      <c r="D55" s="111"/>
      <c r="E55" s="111"/>
      <c r="F55" s="111"/>
      <c r="G55" s="111"/>
      <c r="H55" s="111"/>
      <c r="K55" s="136"/>
      <c r="L55" s="136"/>
      <c r="M55" s="138" t="str">
        <f>IFERROR(__xludf.DUMMYFUNCTION("""COMPUTED_VALUE"""),"-")</f>
        <v>-</v>
      </c>
      <c r="N55" s="136" t="str">
        <f>IFERROR(__xludf.DUMMYFUNCTION("""COMPUTED_VALUE"""),"-")</f>
        <v>-</v>
      </c>
      <c r="O55" s="136" t="str">
        <f>IFERROR(__xludf.DUMMYFUNCTION("""COMPUTED_VALUE"""),"-")</f>
        <v>-</v>
      </c>
      <c r="P55" s="138" t="str">
        <f>IFERROR(__xludf.DUMMYFUNCTION("""COMPUTED_VALUE"""),"-")</f>
        <v>-</v>
      </c>
    </row>
    <row r="56">
      <c r="A56" s="111"/>
      <c r="B56" s="111"/>
      <c r="C56" s="111"/>
      <c r="D56" s="111"/>
      <c r="E56" s="111"/>
      <c r="F56" s="111"/>
      <c r="G56" s="111"/>
      <c r="H56" s="111"/>
      <c r="K56" s="119"/>
      <c r="L56" s="119"/>
      <c r="M56" s="256" t="str">
        <f>IFERROR(__xludf.DUMMYFUNCTION("""COMPUTED_VALUE"""),"-")</f>
        <v>-</v>
      </c>
      <c r="N56" s="119" t="str">
        <f>IFERROR(__xludf.DUMMYFUNCTION("""COMPUTED_VALUE"""),"-")</f>
        <v>-</v>
      </c>
      <c r="O56" s="119" t="str">
        <f>IFERROR(__xludf.DUMMYFUNCTION("""COMPUTED_VALUE"""),"-")</f>
        <v>-</v>
      </c>
      <c r="P56" s="256" t="str">
        <f>IFERROR(__xludf.DUMMYFUNCTION("""COMPUTED_VALUE"""),"-")</f>
        <v>-</v>
      </c>
    </row>
    <row r="57">
      <c r="A57" s="111"/>
      <c r="B57" s="111"/>
      <c r="C57" s="111"/>
      <c r="D57" s="111"/>
      <c r="E57" s="111"/>
      <c r="F57" s="111"/>
      <c r="G57" s="111"/>
      <c r="H57" s="111"/>
      <c r="K57" s="136"/>
      <c r="L57" s="136"/>
      <c r="M57" s="138" t="str">
        <f>IFERROR(__xludf.DUMMYFUNCTION("""COMPUTED_VALUE"""),"-")</f>
        <v>-</v>
      </c>
      <c r="N57" s="136" t="str">
        <f>IFERROR(__xludf.DUMMYFUNCTION("""COMPUTED_VALUE"""),"-")</f>
        <v>-</v>
      </c>
      <c r="O57" s="136" t="str">
        <f>IFERROR(__xludf.DUMMYFUNCTION("""COMPUTED_VALUE"""),"-")</f>
        <v>-</v>
      </c>
      <c r="P57" s="138" t="str">
        <f>IFERROR(__xludf.DUMMYFUNCTION("""COMPUTED_VALUE"""),"-")</f>
        <v>-</v>
      </c>
    </row>
    <row r="58">
      <c r="A58" s="111"/>
      <c r="B58" s="111"/>
      <c r="C58" s="111"/>
      <c r="D58" s="111"/>
      <c r="E58" s="111"/>
      <c r="F58" s="111"/>
      <c r="G58" s="111"/>
      <c r="H58" s="111"/>
      <c r="K58" s="119"/>
      <c r="L58" s="119"/>
      <c r="M58" s="256" t="str">
        <f>IFERROR(__xludf.DUMMYFUNCTION("""COMPUTED_VALUE"""),"-")</f>
        <v>-</v>
      </c>
      <c r="N58" s="119" t="str">
        <f>IFERROR(__xludf.DUMMYFUNCTION("""COMPUTED_VALUE"""),"-")</f>
        <v>-</v>
      </c>
      <c r="O58" s="119" t="str">
        <f>IFERROR(__xludf.DUMMYFUNCTION("""COMPUTED_VALUE"""),"-")</f>
        <v>-</v>
      </c>
      <c r="P58" s="256" t="str">
        <f>IFERROR(__xludf.DUMMYFUNCTION("""COMPUTED_VALUE"""),"-")</f>
        <v>-</v>
      </c>
    </row>
    <row r="59">
      <c r="A59" s="111"/>
      <c r="B59" s="111"/>
      <c r="C59" s="111"/>
      <c r="D59" s="111"/>
      <c r="E59" s="111"/>
      <c r="F59" s="111"/>
      <c r="G59" s="111"/>
      <c r="H59" s="111"/>
      <c r="K59" s="114"/>
      <c r="L59" s="114"/>
      <c r="M59" s="114"/>
      <c r="N59" s="114"/>
      <c r="O59" s="114"/>
      <c r="P59" s="114"/>
    </row>
    <row r="60">
      <c r="A60" s="111"/>
      <c r="B60" s="111"/>
      <c r="C60" s="111"/>
      <c r="D60" s="111"/>
      <c r="E60" s="111"/>
      <c r="F60" s="111"/>
      <c r="G60" s="111"/>
      <c r="H60" s="111"/>
      <c r="K60" s="257"/>
      <c r="L60" s="257"/>
      <c r="M60" s="257"/>
      <c r="N60" s="257"/>
      <c r="O60" s="257"/>
      <c r="P60" s="257"/>
    </row>
    <row r="61">
      <c r="A61" s="111"/>
      <c r="B61" s="111"/>
      <c r="C61" s="111"/>
      <c r="D61" s="111"/>
      <c r="E61" s="111"/>
      <c r="F61" s="111"/>
      <c r="G61" s="111"/>
      <c r="H61" s="111"/>
      <c r="K61" s="114"/>
      <c r="L61" s="114"/>
      <c r="M61" s="114"/>
      <c r="N61" s="114"/>
      <c r="O61" s="114"/>
      <c r="P61" s="114"/>
    </row>
    <row r="62">
      <c r="A62" s="111"/>
      <c r="B62" s="111"/>
      <c r="C62" s="111"/>
      <c r="D62" s="111"/>
      <c r="E62" s="111"/>
      <c r="F62" s="111"/>
      <c r="G62" s="111"/>
      <c r="H62" s="111"/>
      <c r="K62" s="257"/>
      <c r="L62" s="257"/>
      <c r="M62" s="257"/>
      <c r="N62" s="257"/>
      <c r="O62" s="257"/>
      <c r="P62" s="257"/>
    </row>
    <row r="63">
      <c r="A63" s="111"/>
      <c r="B63" s="111"/>
      <c r="C63" s="111"/>
      <c r="D63" s="111"/>
      <c r="E63" s="111"/>
      <c r="F63" s="111"/>
      <c r="G63" s="111"/>
      <c r="H63" s="111"/>
      <c r="K63" s="114"/>
      <c r="L63" s="114"/>
      <c r="M63" s="114"/>
      <c r="N63" s="114"/>
      <c r="O63" s="114"/>
      <c r="P63" s="114"/>
    </row>
    <row r="64">
      <c r="A64" s="111"/>
      <c r="B64" s="111"/>
      <c r="C64" s="111"/>
      <c r="D64" s="111"/>
      <c r="E64" s="111"/>
      <c r="F64" s="111"/>
      <c r="G64" s="111"/>
      <c r="H64" s="111"/>
      <c r="K64" s="257"/>
      <c r="L64" s="257"/>
      <c r="M64" s="257"/>
      <c r="N64" s="257"/>
      <c r="O64" s="257"/>
      <c r="P64" s="257"/>
    </row>
    <row r="65">
      <c r="A65" s="111"/>
      <c r="B65" s="111"/>
      <c r="C65" s="111"/>
      <c r="D65" s="111"/>
      <c r="E65" s="111"/>
      <c r="F65" s="111"/>
      <c r="G65" s="111"/>
      <c r="H65" s="111"/>
      <c r="K65" s="114"/>
      <c r="L65" s="114"/>
      <c r="M65" s="114"/>
      <c r="N65" s="114"/>
      <c r="O65" s="114"/>
      <c r="P65" s="114"/>
    </row>
    <row r="66">
      <c r="A66" s="111"/>
      <c r="B66" s="111"/>
      <c r="C66" s="111"/>
      <c r="D66" s="111"/>
      <c r="E66" s="111"/>
      <c r="F66" s="111"/>
      <c r="G66" s="111"/>
      <c r="H66" s="111"/>
      <c r="K66" s="257"/>
      <c r="L66" s="257"/>
      <c r="M66" s="257"/>
      <c r="N66" s="257"/>
      <c r="O66" s="257"/>
      <c r="P66" s="257"/>
    </row>
    <row r="67">
      <c r="A67" s="111"/>
      <c r="B67" s="111"/>
      <c r="C67" s="111"/>
      <c r="D67" s="111"/>
      <c r="E67" s="111"/>
      <c r="F67" s="111"/>
      <c r="G67" s="111"/>
      <c r="H67" s="111"/>
      <c r="K67" s="114"/>
      <c r="L67" s="114"/>
      <c r="M67" s="114"/>
      <c r="N67" s="114"/>
      <c r="O67" s="114"/>
      <c r="P67" s="114"/>
    </row>
    <row r="68">
      <c r="A68" s="111"/>
      <c r="B68" s="111"/>
      <c r="C68" s="111"/>
      <c r="D68" s="111"/>
      <c r="E68" s="111"/>
      <c r="F68" s="111"/>
      <c r="G68" s="111"/>
      <c r="H68" s="111"/>
      <c r="K68" s="257"/>
      <c r="L68" s="257"/>
      <c r="M68" s="257"/>
      <c r="N68" s="257"/>
      <c r="O68" s="257"/>
      <c r="P68" s="257"/>
    </row>
    <row r="69">
      <c r="A69" s="111"/>
      <c r="B69" s="111"/>
      <c r="C69" s="111"/>
      <c r="D69" s="111"/>
      <c r="E69" s="111"/>
      <c r="F69" s="111"/>
      <c r="G69" s="111"/>
      <c r="H69" s="111"/>
      <c r="K69" s="114"/>
      <c r="L69" s="114"/>
      <c r="M69" s="114"/>
      <c r="N69" s="114"/>
      <c r="O69" s="114"/>
      <c r="P69" s="114"/>
    </row>
    <row r="70">
      <c r="A70" s="111"/>
      <c r="B70" s="111"/>
      <c r="C70" s="111"/>
      <c r="D70" s="111"/>
      <c r="E70" s="111"/>
      <c r="F70" s="111"/>
      <c r="G70" s="111"/>
      <c r="H70" s="111"/>
      <c r="K70" s="257"/>
      <c r="L70" s="257"/>
      <c r="M70" s="257"/>
      <c r="N70" s="257"/>
      <c r="O70" s="257"/>
      <c r="P70" s="257"/>
    </row>
    <row r="71">
      <c r="A71" s="111"/>
      <c r="B71" s="111"/>
      <c r="C71" s="111"/>
      <c r="D71" s="111"/>
      <c r="E71" s="111"/>
      <c r="F71" s="111"/>
      <c r="G71" s="111"/>
      <c r="H71" s="111"/>
      <c r="K71" s="114"/>
      <c r="L71" s="114"/>
      <c r="M71" s="114"/>
      <c r="N71" s="114"/>
      <c r="O71" s="114"/>
      <c r="P71" s="114"/>
    </row>
    <row r="72">
      <c r="A72" s="111"/>
      <c r="B72" s="111"/>
      <c r="C72" s="111"/>
      <c r="D72" s="111"/>
      <c r="E72" s="111"/>
      <c r="F72" s="111"/>
      <c r="G72" s="111"/>
      <c r="H72" s="111"/>
      <c r="K72" s="257"/>
      <c r="L72" s="257"/>
      <c r="M72" s="257"/>
      <c r="N72" s="257"/>
      <c r="O72" s="257"/>
      <c r="P72" s="257"/>
    </row>
    <row r="73">
      <c r="A73" s="111"/>
      <c r="B73" s="111"/>
      <c r="C73" s="111"/>
      <c r="D73" s="111"/>
      <c r="E73" s="111"/>
      <c r="F73" s="111"/>
      <c r="G73" s="111"/>
      <c r="H73" s="111"/>
      <c r="K73" s="114"/>
      <c r="L73" s="114"/>
      <c r="M73" s="114"/>
      <c r="N73" s="114"/>
      <c r="O73" s="114"/>
      <c r="P73" s="114"/>
    </row>
    <row r="74">
      <c r="A74" s="111"/>
      <c r="B74" s="111"/>
      <c r="C74" s="111"/>
      <c r="D74" s="111"/>
      <c r="E74" s="111"/>
      <c r="F74" s="111"/>
      <c r="G74" s="111"/>
      <c r="H74" s="111"/>
      <c r="K74" s="257"/>
      <c r="L74" s="257"/>
      <c r="M74" s="257"/>
      <c r="N74" s="257"/>
      <c r="O74" s="257"/>
      <c r="P74" s="257"/>
    </row>
    <row r="75">
      <c r="A75" s="111"/>
      <c r="B75" s="111"/>
      <c r="C75" s="111"/>
      <c r="D75" s="111"/>
      <c r="E75" s="111"/>
      <c r="F75" s="111"/>
      <c r="G75" s="111"/>
      <c r="H75" s="111"/>
      <c r="K75" s="114"/>
      <c r="L75" s="114"/>
      <c r="M75" s="114"/>
      <c r="N75" s="114"/>
      <c r="O75" s="114"/>
      <c r="P75" s="114"/>
    </row>
    <row r="76">
      <c r="A76" s="111"/>
      <c r="B76" s="111"/>
      <c r="C76" s="111"/>
      <c r="D76" s="111"/>
      <c r="E76" s="111"/>
      <c r="F76" s="111"/>
      <c r="G76" s="111"/>
      <c r="H76" s="111"/>
      <c r="K76" s="257"/>
      <c r="L76" s="257"/>
      <c r="M76" s="257"/>
      <c r="N76" s="257"/>
      <c r="O76" s="257"/>
      <c r="P76" s="257"/>
    </row>
    <row r="77">
      <c r="A77" s="111"/>
      <c r="B77" s="111"/>
      <c r="C77" s="111"/>
      <c r="D77" s="111"/>
      <c r="E77" s="111"/>
      <c r="F77" s="111"/>
      <c r="G77" s="111"/>
      <c r="H77" s="111"/>
      <c r="K77" s="114"/>
      <c r="L77" s="114"/>
      <c r="M77" s="114"/>
      <c r="N77" s="114"/>
      <c r="O77" s="114"/>
      <c r="P77" s="114"/>
    </row>
    <row r="78">
      <c r="A78" s="111"/>
      <c r="B78" s="111"/>
      <c r="C78" s="111"/>
      <c r="D78" s="111"/>
      <c r="E78" s="111"/>
      <c r="F78" s="111"/>
      <c r="G78" s="111"/>
      <c r="H78" s="111"/>
      <c r="K78" s="257"/>
      <c r="L78" s="257"/>
      <c r="M78" s="257"/>
      <c r="N78" s="257"/>
      <c r="O78" s="257"/>
      <c r="P78" s="257"/>
    </row>
    <row r="79">
      <c r="A79" s="111"/>
      <c r="B79" s="111"/>
      <c r="C79" s="111"/>
      <c r="D79" s="111"/>
      <c r="E79" s="111"/>
      <c r="F79" s="111"/>
      <c r="G79" s="111"/>
      <c r="H79" s="111"/>
      <c r="K79" s="114"/>
      <c r="L79" s="114"/>
      <c r="M79" s="114"/>
      <c r="N79" s="114"/>
      <c r="O79" s="114"/>
      <c r="P79" s="114"/>
    </row>
    <row r="80">
      <c r="A80" s="111"/>
      <c r="B80" s="111"/>
      <c r="C80" s="111"/>
      <c r="D80" s="111"/>
      <c r="E80" s="111"/>
      <c r="F80" s="111"/>
      <c r="G80" s="111"/>
      <c r="H80" s="111"/>
      <c r="K80" s="257"/>
      <c r="L80" s="257"/>
      <c r="M80" s="257"/>
      <c r="N80" s="257"/>
      <c r="O80" s="257"/>
      <c r="P80" s="257"/>
    </row>
    <row r="81">
      <c r="A81" s="111"/>
      <c r="B81" s="111"/>
      <c r="C81" s="111"/>
      <c r="D81" s="111"/>
      <c r="E81" s="111"/>
      <c r="F81" s="111"/>
      <c r="G81" s="111"/>
      <c r="H81" s="111"/>
      <c r="K81" s="114"/>
      <c r="L81" s="114"/>
      <c r="M81" s="114"/>
      <c r="N81" s="114"/>
      <c r="O81" s="114"/>
      <c r="P81" s="114"/>
    </row>
    <row r="82">
      <c r="A82" s="111"/>
      <c r="B82" s="111"/>
      <c r="C82" s="111"/>
      <c r="D82" s="111"/>
      <c r="E82" s="111"/>
      <c r="F82" s="111"/>
      <c r="G82" s="111"/>
      <c r="H82" s="111"/>
      <c r="K82" s="257"/>
      <c r="L82" s="257"/>
      <c r="M82" s="257"/>
      <c r="N82" s="257"/>
      <c r="O82" s="257"/>
      <c r="P82" s="257"/>
    </row>
    <row r="83">
      <c r="A83" s="111"/>
      <c r="B83" s="111"/>
      <c r="C83" s="111"/>
      <c r="D83" s="111"/>
      <c r="E83" s="111"/>
      <c r="F83" s="111"/>
      <c r="G83" s="111"/>
      <c r="H83" s="111"/>
      <c r="K83" s="114"/>
      <c r="L83" s="114"/>
      <c r="M83" s="114"/>
      <c r="N83" s="114"/>
      <c r="O83" s="114"/>
      <c r="P83" s="114"/>
    </row>
    <row r="84">
      <c r="A84" s="111"/>
      <c r="B84" s="111"/>
      <c r="C84" s="111"/>
      <c r="D84" s="111"/>
      <c r="E84" s="111"/>
      <c r="F84" s="111"/>
      <c r="G84" s="111"/>
      <c r="H84" s="111"/>
      <c r="K84" s="257"/>
      <c r="L84" s="257"/>
      <c r="M84" s="257"/>
      <c r="N84" s="257"/>
      <c r="O84" s="257"/>
      <c r="P84" s="257"/>
    </row>
    <row r="85">
      <c r="A85" s="111"/>
      <c r="B85" s="111"/>
      <c r="C85" s="111"/>
      <c r="D85" s="111"/>
      <c r="E85" s="111"/>
      <c r="F85" s="111"/>
      <c r="G85" s="111"/>
      <c r="H85" s="111"/>
      <c r="K85" s="114"/>
      <c r="L85" s="114"/>
      <c r="M85" s="114"/>
      <c r="N85" s="114"/>
      <c r="O85" s="114"/>
      <c r="P85" s="114"/>
    </row>
    <row r="86">
      <c r="A86" s="111"/>
      <c r="B86" s="111"/>
      <c r="C86" s="111"/>
      <c r="D86" s="111"/>
      <c r="E86" s="111"/>
      <c r="F86" s="111"/>
      <c r="G86" s="111"/>
      <c r="H86" s="111"/>
      <c r="K86" s="257"/>
      <c r="L86" s="257"/>
      <c r="M86" s="257"/>
      <c r="N86" s="257"/>
      <c r="O86" s="257"/>
      <c r="P86" s="257"/>
    </row>
    <row r="87">
      <c r="A87" s="111"/>
      <c r="B87" s="111"/>
      <c r="C87" s="111"/>
      <c r="D87" s="111"/>
      <c r="E87" s="111"/>
      <c r="F87" s="111"/>
      <c r="G87" s="111"/>
      <c r="H87" s="111"/>
      <c r="K87" s="114"/>
      <c r="L87" s="114"/>
      <c r="M87" s="114"/>
      <c r="N87" s="114"/>
      <c r="O87" s="114"/>
      <c r="P87" s="114"/>
    </row>
    <row r="88">
      <c r="A88" s="111"/>
      <c r="B88" s="111"/>
      <c r="C88" s="111"/>
      <c r="D88" s="111"/>
      <c r="E88" s="111"/>
      <c r="F88" s="111"/>
      <c r="G88" s="111"/>
      <c r="H88" s="111"/>
      <c r="K88" s="257"/>
      <c r="L88" s="257"/>
      <c r="M88" s="257"/>
      <c r="N88" s="257"/>
      <c r="O88" s="257"/>
      <c r="P88" s="257"/>
    </row>
    <row r="89">
      <c r="A89" s="111"/>
      <c r="B89" s="111"/>
      <c r="C89" s="111"/>
      <c r="D89" s="111"/>
      <c r="E89" s="111"/>
      <c r="F89" s="111"/>
      <c r="G89" s="111"/>
      <c r="H89" s="111"/>
      <c r="K89" s="114"/>
      <c r="L89" s="114"/>
      <c r="M89" s="114"/>
      <c r="N89" s="114"/>
      <c r="O89" s="114"/>
      <c r="P89" s="114"/>
    </row>
    <row r="90">
      <c r="A90" s="111"/>
      <c r="B90" s="111"/>
      <c r="C90" s="111"/>
      <c r="D90" s="111"/>
      <c r="E90" s="111"/>
      <c r="F90" s="111"/>
      <c r="G90" s="111"/>
      <c r="H90" s="111"/>
      <c r="K90" s="257"/>
      <c r="L90" s="257"/>
      <c r="M90" s="257"/>
      <c r="N90" s="257"/>
      <c r="O90" s="257"/>
      <c r="P90" s="257"/>
    </row>
    <row r="91">
      <c r="A91" s="111"/>
      <c r="B91" s="111"/>
      <c r="C91" s="111"/>
      <c r="D91" s="111"/>
      <c r="E91" s="111"/>
      <c r="F91" s="111"/>
      <c r="G91" s="111"/>
      <c r="H91" s="111"/>
      <c r="K91" s="114"/>
      <c r="L91" s="114"/>
      <c r="M91" s="114"/>
      <c r="N91" s="114"/>
      <c r="O91" s="114"/>
      <c r="P91" s="114"/>
    </row>
    <row r="92">
      <c r="A92" s="111"/>
      <c r="B92" s="111"/>
      <c r="C92" s="111"/>
      <c r="D92" s="111"/>
      <c r="E92" s="111"/>
      <c r="F92" s="111"/>
      <c r="G92" s="111"/>
      <c r="H92" s="111"/>
      <c r="K92" s="257"/>
      <c r="L92" s="257"/>
      <c r="M92" s="257"/>
      <c r="N92" s="257"/>
      <c r="O92" s="257"/>
      <c r="P92" s="257"/>
    </row>
    <row r="93">
      <c r="A93" s="111"/>
      <c r="B93" s="111"/>
      <c r="C93" s="111"/>
      <c r="D93" s="111"/>
      <c r="E93" s="111"/>
      <c r="F93" s="111"/>
      <c r="G93" s="111"/>
      <c r="H93" s="111"/>
      <c r="K93" s="114"/>
      <c r="L93" s="114"/>
      <c r="M93" s="114"/>
      <c r="N93" s="114"/>
      <c r="O93" s="114"/>
      <c r="P93" s="114"/>
    </row>
    <row r="94">
      <c r="A94" s="111"/>
      <c r="B94" s="111"/>
      <c r="C94" s="111"/>
      <c r="D94" s="111"/>
      <c r="E94" s="111"/>
      <c r="F94" s="111"/>
      <c r="G94" s="111"/>
      <c r="H94" s="111"/>
      <c r="K94" s="257"/>
      <c r="L94" s="257"/>
      <c r="M94" s="257"/>
      <c r="N94" s="257"/>
      <c r="O94" s="257"/>
      <c r="P94" s="257"/>
    </row>
    <row r="95">
      <c r="A95" s="111"/>
      <c r="B95" s="111"/>
      <c r="C95" s="111"/>
      <c r="D95" s="111"/>
      <c r="E95" s="111"/>
      <c r="F95" s="111"/>
      <c r="G95" s="111"/>
      <c r="H95" s="111"/>
      <c r="K95" s="114"/>
      <c r="L95" s="114"/>
      <c r="M95" s="114"/>
      <c r="N95" s="114"/>
      <c r="O95" s="114"/>
      <c r="P95" s="114"/>
    </row>
    <row r="96">
      <c r="A96" s="111"/>
      <c r="B96" s="111"/>
      <c r="C96" s="111"/>
      <c r="D96" s="111"/>
      <c r="E96" s="111"/>
      <c r="F96" s="111"/>
      <c r="G96" s="111"/>
      <c r="H96" s="111"/>
      <c r="K96" s="257"/>
      <c r="L96" s="257"/>
      <c r="M96" s="257"/>
      <c r="N96" s="257"/>
      <c r="O96" s="257"/>
      <c r="P96" s="257"/>
    </row>
    <row r="97">
      <c r="A97" s="111"/>
      <c r="B97" s="111"/>
      <c r="C97" s="111"/>
      <c r="D97" s="111"/>
      <c r="E97" s="111"/>
      <c r="F97" s="111"/>
      <c r="G97" s="111"/>
      <c r="H97" s="111"/>
      <c r="K97" s="114"/>
      <c r="L97" s="114"/>
      <c r="M97" s="114"/>
      <c r="N97" s="114"/>
      <c r="O97" s="114"/>
      <c r="P97" s="114"/>
    </row>
    <row r="98">
      <c r="A98" s="111"/>
      <c r="B98" s="111"/>
      <c r="C98" s="111"/>
      <c r="D98" s="111"/>
      <c r="E98" s="111"/>
      <c r="F98" s="111"/>
      <c r="G98" s="111"/>
      <c r="H98" s="111"/>
      <c r="K98" s="257"/>
      <c r="L98" s="257"/>
      <c r="M98" s="257"/>
      <c r="N98" s="257"/>
      <c r="O98" s="257"/>
      <c r="P98" s="257"/>
    </row>
    <row r="99">
      <c r="A99" s="111"/>
      <c r="B99" s="111"/>
      <c r="C99" s="111"/>
      <c r="D99" s="111"/>
      <c r="E99" s="111"/>
      <c r="F99" s="111"/>
      <c r="G99" s="111"/>
      <c r="H99" s="111"/>
      <c r="K99" s="114"/>
      <c r="L99" s="114"/>
      <c r="M99" s="114"/>
      <c r="N99" s="114"/>
      <c r="O99" s="114"/>
      <c r="P99" s="114"/>
    </row>
    <row r="100">
      <c r="A100" s="111"/>
      <c r="B100" s="111"/>
      <c r="C100" s="111"/>
      <c r="D100" s="111"/>
      <c r="E100" s="111"/>
      <c r="F100" s="111"/>
      <c r="G100" s="111"/>
      <c r="H100" s="111"/>
      <c r="K100" s="257"/>
      <c r="L100" s="257"/>
      <c r="M100" s="257"/>
      <c r="N100" s="257"/>
      <c r="O100" s="257"/>
      <c r="P100" s="257"/>
    </row>
    <row r="101">
      <c r="A101" s="111"/>
      <c r="B101" s="111"/>
      <c r="C101" s="111"/>
      <c r="D101" s="111"/>
      <c r="E101" s="111"/>
      <c r="F101" s="111"/>
      <c r="G101" s="111"/>
      <c r="H101" s="111"/>
      <c r="K101" s="114"/>
      <c r="L101" s="114"/>
      <c r="M101" s="114"/>
      <c r="N101" s="114"/>
      <c r="O101" s="114"/>
      <c r="P101" s="114"/>
    </row>
    <row r="102">
      <c r="A102" s="111"/>
      <c r="B102" s="111"/>
      <c r="C102" s="111"/>
      <c r="D102" s="111"/>
      <c r="E102" s="111"/>
      <c r="F102" s="111"/>
      <c r="G102" s="111"/>
      <c r="H102" s="111"/>
      <c r="K102" s="257"/>
      <c r="L102" s="257"/>
      <c r="M102" s="257"/>
      <c r="N102" s="257"/>
      <c r="O102" s="257"/>
      <c r="P102" s="257"/>
    </row>
    <row r="103">
      <c r="A103" s="111"/>
      <c r="B103" s="111"/>
      <c r="C103" s="111"/>
      <c r="D103" s="111"/>
      <c r="E103" s="111"/>
      <c r="F103" s="111"/>
      <c r="G103" s="111"/>
      <c r="H103" s="111"/>
      <c r="K103" s="114"/>
      <c r="L103" s="114"/>
      <c r="M103" s="114"/>
      <c r="N103" s="114"/>
      <c r="O103" s="114"/>
      <c r="P103" s="114"/>
    </row>
    <row r="104">
      <c r="A104" s="111"/>
      <c r="B104" s="111"/>
      <c r="C104" s="111"/>
      <c r="D104" s="111"/>
      <c r="E104" s="111"/>
      <c r="F104" s="111"/>
      <c r="G104" s="111"/>
      <c r="H104" s="111"/>
      <c r="K104" s="257"/>
      <c r="L104" s="257"/>
      <c r="M104" s="257"/>
      <c r="N104" s="257"/>
      <c r="O104" s="257"/>
      <c r="P104" s="257"/>
    </row>
    <row r="105">
      <c r="A105" s="111"/>
      <c r="B105" s="111"/>
      <c r="C105" s="111"/>
      <c r="D105" s="111"/>
      <c r="E105" s="111"/>
      <c r="F105" s="111"/>
      <c r="G105" s="111"/>
      <c r="H105" s="111"/>
      <c r="K105" s="114"/>
      <c r="L105" s="114"/>
      <c r="M105" s="114"/>
      <c r="N105" s="114"/>
      <c r="O105" s="114"/>
      <c r="P105" s="114"/>
    </row>
    <row r="106">
      <c r="A106" s="111"/>
      <c r="B106" s="111"/>
      <c r="C106" s="111"/>
      <c r="D106" s="111"/>
      <c r="E106" s="111"/>
      <c r="F106" s="111"/>
      <c r="G106" s="111"/>
      <c r="H106" s="111"/>
      <c r="K106" s="257"/>
      <c r="L106" s="257"/>
      <c r="M106" s="257"/>
      <c r="N106" s="257"/>
      <c r="O106" s="257"/>
      <c r="P106" s="257"/>
    </row>
    <row r="107">
      <c r="A107" s="111"/>
      <c r="B107" s="111"/>
      <c r="C107" s="111"/>
      <c r="D107" s="111"/>
      <c r="E107" s="111"/>
      <c r="F107" s="111"/>
      <c r="G107" s="111"/>
      <c r="H107" s="111"/>
      <c r="K107" s="114"/>
      <c r="L107" s="114"/>
      <c r="M107" s="114"/>
      <c r="N107" s="114"/>
      <c r="O107" s="114"/>
      <c r="P107" s="114"/>
    </row>
    <row r="108">
      <c r="A108" s="111"/>
      <c r="B108" s="111"/>
      <c r="C108" s="111"/>
      <c r="D108" s="111"/>
      <c r="E108" s="111"/>
      <c r="F108" s="111"/>
      <c r="G108" s="111"/>
      <c r="H108" s="111"/>
      <c r="K108" s="257"/>
      <c r="L108" s="257"/>
      <c r="M108" s="257"/>
      <c r="N108" s="257"/>
      <c r="O108" s="257"/>
      <c r="P108" s="257"/>
    </row>
    <row r="109">
      <c r="A109" s="111"/>
      <c r="B109" s="111"/>
      <c r="C109" s="111"/>
      <c r="D109" s="111"/>
      <c r="E109" s="111"/>
      <c r="F109" s="111"/>
      <c r="G109" s="111"/>
      <c r="H109" s="111"/>
      <c r="K109" s="114"/>
      <c r="L109" s="114"/>
      <c r="M109" s="114"/>
      <c r="N109" s="114"/>
      <c r="O109" s="114"/>
      <c r="P109" s="114"/>
    </row>
    <row r="110">
      <c r="A110" s="111"/>
      <c r="B110" s="111"/>
      <c r="C110" s="111"/>
      <c r="D110" s="111"/>
      <c r="E110" s="111"/>
      <c r="F110" s="111"/>
      <c r="G110" s="111"/>
      <c r="H110" s="111"/>
      <c r="K110" s="257"/>
      <c r="L110" s="257"/>
      <c r="M110" s="257"/>
      <c r="N110" s="257"/>
      <c r="O110" s="257"/>
      <c r="P110" s="257"/>
    </row>
    <row r="111">
      <c r="A111" s="111"/>
      <c r="B111" s="111"/>
      <c r="C111" s="111"/>
      <c r="D111" s="111"/>
      <c r="E111" s="111"/>
      <c r="F111" s="111"/>
      <c r="G111" s="111"/>
      <c r="H111" s="111"/>
      <c r="K111" s="114"/>
      <c r="L111" s="114"/>
      <c r="M111" s="114"/>
      <c r="N111" s="114"/>
      <c r="O111" s="114"/>
      <c r="P111" s="114"/>
    </row>
    <row r="112">
      <c r="A112" s="111"/>
      <c r="B112" s="111"/>
      <c r="C112" s="111"/>
      <c r="D112" s="111"/>
      <c r="E112" s="111"/>
      <c r="F112" s="111"/>
      <c r="G112" s="111"/>
      <c r="H112" s="111"/>
      <c r="K112" s="257"/>
      <c r="L112" s="257"/>
      <c r="M112" s="257"/>
      <c r="N112" s="257"/>
      <c r="O112" s="257"/>
      <c r="P112" s="257"/>
    </row>
    <row r="113">
      <c r="A113" s="111"/>
      <c r="B113" s="111"/>
      <c r="C113" s="111"/>
      <c r="D113" s="111"/>
      <c r="E113" s="111"/>
      <c r="F113" s="111"/>
      <c r="G113" s="111"/>
      <c r="H113" s="111"/>
      <c r="K113" s="114"/>
      <c r="L113" s="114"/>
      <c r="M113" s="114"/>
      <c r="N113" s="114"/>
      <c r="O113" s="114"/>
      <c r="P113" s="114"/>
    </row>
    <row r="114">
      <c r="A114" s="111"/>
      <c r="B114" s="111"/>
      <c r="C114" s="111"/>
      <c r="D114" s="111"/>
      <c r="E114" s="111"/>
      <c r="F114" s="111"/>
      <c r="G114" s="111"/>
      <c r="H114" s="111"/>
      <c r="K114" s="257"/>
      <c r="L114" s="257"/>
      <c r="M114" s="257"/>
      <c r="N114" s="257"/>
      <c r="O114" s="257"/>
      <c r="P114" s="257"/>
    </row>
    <row r="115">
      <c r="A115" s="111"/>
      <c r="B115" s="111"/>
      <c r="C115" s="111"/>
      <c r="D115" s="111"/>
      <c r="E115" s="111"/>
      <c r="F115" s="111"/>
      <c r="G115" s="111"/>
      <c r="H115" s="111"/>
      <c r="K115" s="114"/>
      <c r="L115" s="114"/>
      <c r="M115" s="114"/>
      <c r="N115" s="114"/>
      <c r="O115" s="114"/>
      <c r="P115" s="114"/>
    </row>
    <row r="116">
      <c r="A116" s="111"/>
      <c r="B116" s="111"/>
      <c r="C116" s="111"/>
      <c r="D116" s="111"/>
      <c r="E116" s="111"/>
      <c r="F116" s="111"/>
      <c r="G116" s="111"/>
      <c r="H116" s="111"/>
      <c r="K116" s="257"/>
      <c r="L116" s="257"/>
      <c r="M116" s="257"/>
      <c r="N116" s="257"/>
      <c r="O116" s="257"/>
      <c r="P116" s="257"/>
    </row>
    <row r="117">
      <c r="A117" s="111"/>
      <c r="B117" s="111"/>
      <c r="C117" s="111"/>
      <c r="D117" s="111"/>
      <c r="E117" s="111"/>
      <c r="F117" s="111"/>
      <c r="G117" s="111"/>
      <c r="H117" s="111"/>
      <c r="K117" s="114"/>
      <c r="L117" s="114"/>
      <c r="M117" s="114"/>
      <c r="N117" s="114"/>
      <c r="O117" s="114"/>
      <c r="P117" s="114"/>
    </row>
    <row r="118">
      <c r="A118" s="111"/>
      <c r="B118" s="111"/>
      <c r="C118" s="111"/>
      <c r="D118" s="111"/>
      <c r="E118" s="111"/>
      <c r="F118" s="111"/>
      <c r="G118" s="111"/>
      <c r="H118" s="111"/>
      <c r="K118" s="257"/>
      <c r="L118" s="257"/>
      <c r="M118" s="257"/>
      <c r="N118" s="257"/>
      <c r="O118" s="257"/>
      <c r="P118" s="257"/>
    </row>
    <row r="119">
      <c r="A119" s="111"/>
      <c r="B119" s="111"/>
      <c r="C119" s="111"/>
      <c r="D119" s="111"/>
      <c r="E119" s="111"/>
      <c r="F119" s="111"/>
      <c r="G119" s="111"/>
      <c r="H119" s="111"/>
      <c r="K119" s="114"/>
      <c r="L119" s="114"/>
      <c r="M119" s="114"/>
      <c r="N119" s="114"/>
      <c r="O119" s="114"/>
      <c r="P119" s="114"/>
    </row>
    <row r="120">
      <c r="A120" s="111"/>
      <c r="B120" s="111"/>
      <c r="C120" s="111"/>
      <c r="D120" s="111"/>
      <c r="E120" s="111"/>
      <c r="F120" s="111"/>
      <c r="G120" s="111"/>
      <c r="H120" s="111"/>
      <c r="K120" s="257"/>
      <c r="L120" s="257"/>
      <c r="M120" s="257"/>
      <c r="N120" s="257"/>
      <c r="O120" s="257"/>
      <c r="P120" s="257"/>
    </row>
    <row r="121">
      <c r="A121" s="111"/>
      <c r="B121" s="111"/>
      <c r="C121" s="111"/>
      <c r="D121" s="111"/>
      <c r="E121" s="111"/>
      <c r="F121" s="111"/>
      <c r="G121" s="111"/>
      <c r="H121" s="111"/>
      <c r="K121" s="114"/>
      <c r="L121" s="114"/>
      <c r="M121" s="114"/>
      <c r="N121" s="114"/>
      <c r="O121" s="114"/>
      <c r="P121" s="114"/>
    </row>
    <row r="122">
      <c r="A122" s="111"/>
      <c r="B122" s="111"/>
      <c r="C122" s="111"/>
      <c r="D122" s="111"/>
      <c r="E122" s="111"/>
      <c r="F122" s="111"/>
      <c r="G122" s="111"/>
      <c r="H122" s="111"/>
      <c r="K122" s="257"/>
      <c r="L122" s="257"/>
      <c r="M122" s="257"/>
      <c r="N122" s="257"/>
      <c r="O122" s="257"/>
      <c r="P122" s="257"/>
    </row>
    <row r="123">
      <c r="A123" s="111"/>
      <c r="B123" s="111"/>
      <c r="C123" s="111"/>
      <c r="D123" s="111"/>
      <c r="E123" s="111"/>
      <c r="F123" s="111"/>
      <c r="G123" s="111"/>
      <c r="H123" s="111"/>
      <c r="K123" s="114"/>
      <c r="L123" s="114"/>
      <c r="M123" s="114"/>
      <c r="N123" s="114"/>
      <c r="O123" s="114"/>
      <c r="P123" s="114"/>
    </row>
    <row r="124">
      <c r="A124" s="111"/>
      <c r="B124" s="111"/>
      <c r="C124" s="111"/>
      <c r="D124" s="111"/>
      <c r="E124" s="111"/>
      <c r="F124" s="111"/>
      <c r="G124" s="111"/>
      <c r="H124" s="111"/>
      <c r="K124" s="257"/>
      <c r="L124" s="257"/>
      <c r="M124" s="257"/>
      <c r="N124" s="257"/>
      <c r="O124" s="257"/>
      <c r="P124" s="257"/>
    </row>
    <row r="125">
      <c r="A125" s="111"/>
      <c r="B125" s="111"/>
      <c r="C125" s="111"/>
      <c r="D125" s="111"/>
      <c r="E125" s="111"/>
      <c r="F125" s="111"/>
      <c r="G125" s="111"/>
      <c r="H125" s="111"/>
      <c r="K125" s="114"/>
      <c r="L125" s="114"/>
      <c r="M125" s="114"/>
      <c r="N125" s="114"/>
      <c r="O125" s="114"/>
      <c r="P125" s="114"/>
    </row>
    <row r="126">
      <c r="A126" s="111"/>
      <c r="B126" s="111"/>
      <c r="C126" s="111"/>
      <c r="D126" s="111"/>
      <c r="E126" s="111"/>
      <c r="F126" s="111"/>
      <c r="G126" s="111"/>
      <c r="H126" s="111"/>
      <c r="K126" s="257"/>
      <c r="L126" s="257"/>
      <c r="M126" s="257"/>
      <c r="N126" s="257"/>
      <c r="O126" s="257"/>
      <c r="P126" s="257"/>
    </row>
    <row r="127">
      <c r="A127" s="111"/>
      <c r="B127" s="111"/>
      <c r="C127" s="111"/>
      <c r="D127" s="111"/>
      <c r="E127" s="111"/>
      <c r="F127" s="111"/>
      <c r="G127" s="111"/>
      <c r="H127" s="111"/>
      <c r="K127" s="114"/>
      <c r="L127" s="114"/>
      <c r="M127" s="114"/>
      <c r="N127" s="114"/>
      <c r="O127" s="114"/>
      <c r="P127" s="114"/>
    </row>
    <row r="128">
      <c r="A128" s="111"/>
      <c r="B128" s="111"/>
      <c r="C128" s="111"/>
      <c r="D128" s="111"/>
      <c r="E128" s="111"/>
      <c r="F128" s="111"/>
      <c r="G128" s="111"/>
      <c r="H128" s="111"/>
      <c r="K128" s="257"/>
      <c r="L128" s="257"/>
      <c r="M128" s="257"/>
      <c r="N128" s="257"/>
      <c r="O128" s="257"/>
      <c r="P128" s="257"/>
    </row>
    <row r="129">
      <c r="A129" s="111"/>
      <c r="B129" s="111"/>
      <c r="C129" s="111"/>
      <c r="D129" s="111"/>
      <c r="E129" s="111"/>
      <c r="F129" s="111"/>
      <c r="G129" s="111"/>
      <c r="H129" s="111"/>
      <c r="K129" s="114"/>
      <c r="L129" s="114"/>
      <c r="M129" s="114"/>
      <c r="N129" s="114"/>
      <c r="O129" s="114"/>
      <c r="P129" s="114"/>
    </row>
    <row r="130">
      <c r="A130" s="111"/>
      <c r="B130" s="111"/>
      <c r="C130" s="111"/>
      <c r="D130" s="111"/>
      <c r="E130" s="111"/>
      <c r="F130" s="111"/>
      <c r="G130" s="111"/>
      <c r="H130" s="111"/>
      <c r="K130" s="257"/>
      <c r="L130" s="257"/>
      <c r="M130" s="257"/>
      <c r="N130" s="257"/>
      <c r="O130" s="257"/>
      <c r="P130" s="257"/>
    </row>
    <row r="131">
      <c r="A131" s="111"/>
      <c r="B131" s="111"/>
      <c r="C131" s="111"/>
      <c r="D131" s="111"/>
      <c r="E131" s="111"/>
      <c r="F131" s="111"/>
      <c r="G131" s="111"/>
      <c r="H131" s="111"/>
      <c r="K131" s="114"/>
      <c r="L131" s="114"/>
      <c r="M131" s="114"/>
      <c r="N131" s="114"/>
      <c r="O131" s="114"/>
      <c r="P131" s="114"/>
    </row>
    <row r="132">
      <c r="A132" s="111"/>
      <c r="B132" s="111"/>
      <c r="C132" s="111"/>
      <c r="D132" s="111"/>
      <c r="E132" s="111"/>
      <c r="F132" s="111"/>
      <c r="G132" s="111"/>
      <c r="H132" s="111"/>
      <c r="K132" s="257"/>
      <c r="L132" s="257"/>
      <c r="M132" s="257"/>
      <c r="N132" s="257"/>
      <c r="O132" s="257"/>
      <c r="P132" s="257"/>
    </row>
    <row r="133">
      <c r="A133" s="111"/>
      <c r="B133" s="111"/>
      <c r="C133" s="111"/>
      <c r="D133" s="111"/>
      <c r="E133" s="111"/>
      <c r="F133" s="111"/>
      <c r="G133" s="111"/>
      <c r="H133" s="111"/>
      <c r="K133" s="114"/>
      <c r="L133" s="114"/>
      <c r="M133" s="114"/>
      <c r="N133" s="114"/>
      <c r="O133" s="114"/>
      <c r="P133" s="114"/>
    </row>
    <row r="134">
      <c r="A134" s="111"/>
      <c r="B134" s="111"/>
      <c r="C134" s="111"/>
      <c r="D134" s="111"/>
      <c r="E134" s="111"/>
      <c r="F134" s="111"/>
      <c r="G134" s="111"/>
      <c r="H134" s="111"/>
      <c r="K134" s="257"/>
      <c r="L134" s="257"/>
      <c r="M134" s="257"/>
      <c r="N134" s="257"/>
      <c r="O134" s="257"/>
      <c r="P134" s="257"/>
    </row>
    <row r="135">
      <c r="A135" s="111"/>
      <c r="B135" s="111"/>
      <c r="C135" s="111"/>
      <c r="D135" s="111"/>
      <c r="E135" s="111"/>
      <c r="F135" s="111"/>
      <c r="G135" s="111"/>
      <c r="H135" s="111"/>
      <c r="K135" s="114"/>
      <c r="L135" s="114"/>
      <c r="M135" s="114"/>
      <c r="N135" s="114"/>
      <c r="O135" s="114"/>
      <c r="P135" s="114"/>
    </row>
    <row r="136">
      <c r="A136" s="111"/>
      <c r="B136" s="111"/>
      <c r="C136" s="111"/>
      <c r="D136" s="111"/>
      <c r="E136" s="111"/>
      <c r="F136" s="111"/>
      <c r="G136" s="111"/>
      <c r="H136" s="111"/>
      <c r="K136" s="257"/>
      <c r="L136" s="257"/>
      <c r="M136" s="257"/>
      <c r="N136" s="257"/>
      <c r="O136" s="257"/>
      <c r="P136" s="257"/>
    </row>
    <row r="137">
      <c r="A137" s="111"/>
      <c r="B137" s="111"/>
      <c r="C137" s="111"/>
      <c r="D137" s="111"/>
      <c r="E137" s="111"/>
      <c r="F137" s="111"/>
      <c r="G137" s="111"/>
      <c r="H137" s="111"/>
      <c r="K137" s="114"/>
      <c r="L137" s="114"/>
      <c r="M137" s="114"/>
      <c r="N137" s="114"/>
      <c r="O137" s="114"/>
      <c r="P137" s="114"/>
    </row>
    <row r="138">
      <c r="A138" s="111"/>
      <c r="B138" s="111"/>
      <c r="C138" s="111"/>
      <c r="D138" s="111"/>
      <c r="E138" s="111"/>
      <c r="F138" s="111"/>
      <c r="G138" s="111"/>
      <c r="H138" s="111"/>
      <c r="K138" s="257"/>
      <c r="L138" s="257"/>
      <c r="M138" s="257"/>
      <c r="N138" s="257"/>
      <c r="O138" s="257"/>
      <c r="P138" s="257"/>
    </row>
    <row r="139">
      <c r="A139" s="111"/>
      <c r="B139" s="111"/>
      <c r="C139" s="111"/>
      <c r="D139" s="111"/>
      <c r="E139" s="111"/>
      <c r="F139" s="111"/>
      <c r="G139" s="111"/>
      <c r="H139" s="111"/>
      <c r="K139" s="114"/>
      <c r="L139" s="114"/>
      <c r="M139" s="114"/>
      <c r="N139" s="114"/>
      <c r="O139" s="114"/>
      <c r="P139" s="114"/>
    </row>
    <row r="140">
      <c r="A140" s="111"/>
      <c r="B140" s="111"/>
      <c r="C140" s="111"/>
      <c r="D140" s="111"/>
      <c r="E140" s="111"/>
      <c r="F140" s="111"/>
      <c r="G140" s="111"/>
      <c r="H140" s="111"/>
      <c r="K140" s="257"/>
      <c r="L140" s="257"/>
      <c r="M140" s="257"/>
      <c r="N140" s="257"/>
      <c r="O140" s="257"/>
      <c r="P140" s="257"/>
    </row>
    <row r="141">
      <c r="A141" s="111"/>
      <c r="B141" s="111"/>
      <c r="C141" s="111"/>
      <c r="D141" s="111"/>
      <c r="E141" s="111"/>
      <c r="F141" s="111"/>
      <c r="G141" s="111"/>
      <c r="H141" s="111"/>
      <c r="K141" s="114"/>
      <c r="L141" s="114"/>
      <c r="M141" s="114"/>
      <c r="N141" s="114"/>
      <c r="O141" s="114"/>
      <c r="P141" s="114"/>
    </row>
    <row r="142">
      <c r="A142" s="111"/>
      <c r="B142" s="111"/>
      <c r="C142" s="111"/>
      <c r="D142" s="111"/>
      <c r="E142" s="111"/>
      <c r="F142" s="111"/>
      <c r="G142" s="111"/>
      <c r="H142" s="111"/>
      <c r="K142" s="257"/>
      <c r="L142" s="257"/>
      <c r="M142" s="257"/>
      <c r="N142" s="257"/>
      <c r="O142" s="257"/>
      <c r="P142" s="257"/>
    </row>
    <row r="143">
      <c r="A143" s="111"/>
      <c r="B143" s="111"/>
      <c r="C143" s="111"/>
      <c r="D143" s="111"/>
      <c r="E143" s="111"/>
      <c r="F143" s="111"/>
      <c r="G143" s="111"/>
      <c r="H143" s="111"/>
      <c r="K143" s="114"/>
      <c r="L143" s="114"/>
      <c r="M143" s="114"/>
      <c r="N143" s="114"/>
      <c r="O143" s="114"/>
      <c r="P143" s="114"/>
    </row>
    <row r="144">
      <c r="A144" s="111"/>
      <c r="B144" s="111"/>
      <c r="C144" s="111"/>
      <c r="D144" s="111"/>
      <c r="E144" s="111"/>
      <c r="F144" s="111"/>
      <c r="G144" s="111"/>
      <c r="H144" s="111"/>
      <c r="K144" s="257"/>
      <c r="L144" s="257"/>
      <c r="M144" s="257"/>
      <c r="N144" s="257"/>
      <c r="O144" s="257"/>
      <c r="P144" s="257"/>
    </row>
    <row r="145">
      <c r="A145" s="111"/>
      <c r="B145" s="111"/>
      <c r="C145" s="111"/>
      <c r="D145" s="111"/>
      <c r="E145" s="111"/>
      <c r="F145" s="111"/>
      <c r="G145" s="111"/>
      <c r="H145" s="111"/>
      <c r="K145" s="114"/>
      <c r="L145" s="114"/>
      <c r="M145" s="114"/>
      <c r="N145" s="114"/>
      <c r="O145" s="114"/>
      <c r="P145" s="114"/>
    </row>
    <row r="146">
      <c r="A146" s="111"/>
      <c r="B146" s="111"/>
      <c r="C146" s="111"/>
      <c r="D146" s="111"/>
      <c r="E146" s="111"/>
      <c r="F146" s="111"/>
      <c r="G146" s="111"/>
      <c r="H146" s="111"/>
      <c r="K146" s="257"/>
      <c r="L146" s="257"/>
      <c r="M146" s="257"/>
      <c r="N146" s="257"/>
      <c r="O146" s="257"/>
      <c r="P146" s="257"/>
    </row>
    <row r="147">
      <c r="A147" s="111"/>
      <c r="B147" s="111"/>
      <c r="C147" s="111"/>
      <c r="D147" s="111"/>
      <c r="E147" s="111"/>
      <c r="F147" s="111"/>
      <c r="G147" s="111"/>
      <c r="H147" s="111"/>
      <c r="K147" s="114"/>
      <c r="L147" s="114"/>
      <c r="M147" s="114"/>
      <c r="N147" s="114"/>
      <c r="O147" s="114"/>
      <c r="P147" s="114"/>
    </row>
    <row r="148">
      <c r="A148" s="111"/>
      <c r="B148" s="111"/>
      <c r="C148" s="111"/>
      <c r="D148" s="111"/>
      <c r="E148" s="111"/>
      <c r="F148" s="111"/>
      <c r="G148" s="111"/>
      <c r="H148" s="111"/>
      <c r="K148" s="257"/>
      <c r="L148" s="257"/>
      <c r="M148" s="257"/>
      <c r="N148" s="257"/>
      <c r="O148" s="257"/>
      <c r="P148" s="257"/>
    </row>
    <row r="149">
      <c r="A149" s="111"/>
      <c r="B149" s="111"/>
      <c r="C149" s="111"/>
      <c r="D149" s="111"/>
      <c r="E149" s="111"/>
      <c r="F149" s="111"/>
      <c r="G149" s="111"/>
      <c r="H149" s="111"/>
      <c r="K149" s="114"/>
      <c r="L149" s="114"/>
      <c r="M149" s="114"/>
      <c r="N149" s="114"/>
      <c r="O149" s="114"/>
      <c r="P149" s="114"/>
    </row>
    <row r="150">
      <c r="A150" s="111"/>
      <c r="B150" s="111"/>
      <c r="C150" s="111"/>
      <c r="D150" s="111"/>
      <c r="E150" s="111"/>
      <c r="F150" s="111"/>
      <c r="G150" s="111"/>
      <c r="H150" s="111"/>
      <c r="K150" s="257"/>
      <c r="L150" s="257"/>
      <c r="M150" s="257"/>
      <c r="N150" s="257"/>
      <c r="O150" s="257"/>
      <c r="P150" s="257"/>
    </row>
    <row r="151">
      <c r="A151" s="111"/>
      <c r="B151" s="111"/>
      <c r="C151" s="111"/>
      <c r="D151" s="111"/>
      <c r="E151" s="111"/>
      <c r="F151" s="111"/>
      <c r="G151" s="111"/>
      <c r="H151" s="111"/>
      <c r="K151" s="114"/>
      <c r="L151" s="114"/>
      <c r="M151" s="114"/>
      <c r="N151" s="114"/>
      <c r="O151" s="114"/>
      <c r="P151" s="114"/>
    </row>
    <row r="152">
      <c r="A152" s="111"/>
      <c r="B152" s="111"/>
      <c r="C152" s="111"/>
      <c r="D152" s="111"/>
      <c r="E152" s="111"/>
      <c r="F152" s="111"/>
      <c r="G152" s="111"/>
      <c r="H152" s="111"/>
      <c r="K152" s="257"/>
      <c r="L152" s="257"/>
      <c r="M152" s="257"/>
      <c r="N152" s="257"/>
      <c r="O152" s="257"/>
      <c r="P152" s="257"/>
    </row>
    <row r="153">
      <c r="A153" s="111"/>
      <c r="B153" s="111"/>
      <c r="C153" s="111"/>
      <c r="D153" s="111"/>
      <c r="E153" s="111"/>
      <c r="F153" s="111"/>
      <c r="G153" s="111"/>
      <c r="H153" s="111"/>
      <c r="K153" s="114"/>
      <c r="L153" s="114"/>
      <c r="M153" s="114"/>
      <c r="N153" s="114"/>
      <c r="O153" s="114"/>
      <c r="P153" s="114"/>
    </row>
    <row r="154">
      <c r="A154" s="111"/>
      <c r="B154" s="111"/>
      <c r="C154" s="111"/>
      <c r="D154" s="111"/>
      <c r="E154" s="111"/>
      <c r="F154" s="111"/>
      <c r="G154" s="111"/>
      <c r="H154" s="111"/>
      <c r="K154" s="257"/>
      <c r="L154" s="257"/>
      <c r="M154" s="257"/>
      <c r="N154" s="257"/>
      <c r="O154" s="257"/>
      <c r="P154" s="257"/>
    </row>
    <row r="155">
      <c r="A155" s="111"/>
      <c r="B155" s="111"/>
      <c r="C155" s="111"/>
      <c r="D155" s="111"/>
      <c r="E155" s="111"/>
      <c r="F155" s="111"/>
      <c r="G155" s="111"/>
      <c r="H155" s="111"/>
      <c r="K155" s="114"/>
      <c r="L155" s="114"/>
      <c r="M155" s="114"/>
      <c r="N155" s="114"/>
      <c r="O155" s="114"/>
      <c r="P155" s="114"/>
    </row>
    <row r="156">
      <c r="A156" s="111"/>
      <c r="B156" s="111"/>
      <c r="C156" s="111"/>
      <c r="D156" s="111"/>
      <c r="E156" s="111"/>
      <c r="F156" s="111"/>
      <c r="G156" s="111"/>
      <c r="H156" s="111"/>
      <c r="K156" s="257"/>
      <c r="L156" s="257"/>
      <c r="M156" s="257"/>
      <c r="N156" s="257"/>
      <c r="O156" s="257"/>
      <c r="P156" s="257"/>
    </row>
    <row r="157">
      <c r="A157" s="111"/>
      <c r="B157" s="111"/>
      <c r="C157" s="111"/>
      <c r="D157" s="111"/>
      <c r="E157" s="111"/>
      <c r="F157" s="111"/>
      <c r="G157" s="111"/>
      <c r="H157" s="111"/>
      <c r="K157" s="114"/>
      <c r="L157" s="114"/>
      <c r="M157" s="114"/>
      <c r="N157" s="114"/>
      <c r="O157" s="114"/>
      <c r="P157" s="114"/>
    </row>
    <row r="158">
      <c r="A158" s="111"/>
      <c r="B158" s="111"/>
      <c r="C158" s="111"/>
      <c r="D158" s="111"/>
      <c r="E158" s="111"/>
      <c r="F158" s="111"/>
      <c r="G158" s="111"/>
      <c r="H158" s="111"/>
      <c r="K158" s="257"/>
      <c r="L158" s="257"/>
      <c r="M158" s="257"/>
      <c r="N158" s="257"/>
      <c r="O158" s="257"/>
      <c r="P158" s="257"/>
    </row>
    <row r="159">
      <c r="A159" s="111"/>
      <c r="B159" s="111"/>
      <c r="C159" s="111"/>
      <c r="D159" s="111"/>
      <c r="E159" s="111"/>
      <c r="F159" s="111"/>
      <c r="G159" s="111"/>
      <c r="H159" s="111"/>
      <c r="K159" s="114"/>
      <c r="L159" s="114"/>
      <c r="M159" s="114"/>
      <c r="N159" s="114"/>
      <c r="O159" s="114"/>
      <c r="P159" s="114"/>
    </row>
    <row r="160">
      <c r="A160" s="111"/>
      <c r="B160" s="111"/>
      <c r="C160" s="111"/>
      <c r="D160" s="111"/>
      <c r="E160" s="111"/>
      <c r="F160" s="111"/>
      <c r="G160" s="111"/>
      <c r="H160" s="111"/>
      <c r="K160" s="257"/>
      <c r="L160" s="257"/>
      <c r="M160" s="257"/>
      <c r="N160" s="257"/>
      <c r="O160" s="257"/>
      <c r="P160" s="257"/>
    </row>
    <row r="161">
      <c r="A161" s="111"/>
      <c r="B161" s="111"/>
      <c r="C161" s="111"/>
      <c r="D161" s="111"/>
      <c r="E161" s="111"/>
      <c r="F161" s="111"/>
      <c r="G161" s="111"/>
      <c r="H161" s="111"/>
      <c r="K161" s="114"/>
      <c r="L161" s="114"/>
      <c r="M161" s="114"/>
      <c r="N161" s="114"/>
      <c r="O161" s="114"/>
      <c r="P161" s="114"/>
    </row>
    <row r="162">
      <c r="A162" s="111"/>
      <c r="B162" s="111"/>
      <c r="C162" s="111"/>
      <c r="D162" s="111"/>
      <c r="E162" s="111"/>
      <c r="F162" s="111"/>
      <c r="G162" s="111"/>
      <c r="H162" s="111"/>
      <c r="K162" s="257"/>
      <c r="L162" s="257"/>
      <c r="M162" s="257"/>
      <c r="N162" s="257"/>
      <c r="O162" s="257"/>
      <c r="P162" s="257"/>
    </row>
    <row r="163">
      <c r="A163" s="111"/>
      <c r="B163" s="111"/>
      <c r="C163" s="111"/>
      <c r="D163" s="111"/>
      <c r="E163" s="111"/>
      <c r="F163" s="111"/>
      <c r="G163" s="111"/>
      <c r="H163" s="111"/>
      <c r="K163" s="114"/>
      <c r="L163" s="114"/>
      <c r="M163" s="114"/>
      <c r="N163" s="114"/>
      <c r="O163" s="114"/>
      <c r="P163" s="114"/>
    </row>
    <row r="164">
      <c r="A164" s="111"/>
      <c r="B164" s="111"/>
      <c r="C164" s="111"/>
      <c r="D164" s="111"/>
      <c r="E164" s="111"/>
      <c r="F164" s="111"/>
      <c r="G164" s="111"/>
      <c r="H164" s="111"/>
      <c r="K164" s="257"/>
      <c r="L164" s="257"/>
      <c r="M164" s="257"/>
      <c r="N164" s="257"/>
      <c r="O164" s="257"/>
      <c r="P164" s="257"/>
    </row>
    <row r="165">
      <c r="A165" s="111"/>
      <c r="B165" s="111"/>
      <c r="C165" s="111"/>
      <c r="D165" s="111"/>
      <c r="E165" s="111"/>
      <c r="F165" s="111"/>
      <c r="G165" s="111"/>
      <c r="H165" s="111"/>
      <c r="K165" s="114"/>
      <c r="L165" s="114"/>
      <c r="M165" s="114"/>
      <c r="N165" s="114"/>
      <c r="O165" s="114"/>
      <c r="P165" s="114"/>
    </row>
    <row r="166">
      <c r="A166" s="111"/>
      <c r="B166" s="111"/>
      <c r="C166" s="111"/>
      <c r="D166" s="111"/>
      <c r="E166" s="111"/>
      <c r="F166" s="111"/>
      <c r="G166" s="111"/>
      <c r="H166" s="111"/>
      <c r="K166" s="257"/>
      <c r="L166" s="257"/>
      <c r="M166" s="257"/>
      <c r="N166" s="257"/>
      <c r="O166" s="257"/>
      <c r="P166" s="257"/>
    </row>
    <row r="167">
      <c r="A167" s="111"/>
      <c r="B167" s="111"/>
      <c r="C167" s="111"/>
      <c r="D167" s="111"/>
      <c r="E167" s="111"/>
      <c r="F167" s="111"/>
      <c r="G167" s="111"/>
      <c r="H167" s="111"/>
      <c r="K167" s="114"/>
      <c r="L167" s="114"/>
      <c r="M167" s="114"/>
      <c r="N167" s="114"/>
      <c r="O167" s="114"/>
      <c r="P167" s="114"/>
    </row>
    <row r="168">
      <c r="A168" s="111"/>
      <c r="B168" s="111"/>
      <c r="C168" s="111"/>
      <c r="D168" s="111"/>
      <c r="E168" s="111"/>
      <c r="F168" s="111"/>
      <c r="G168" s="111"/>
      <c r="H168" s="111"/>
      <c r="K168" s="257"/>
      <c r="L168" s="257"/>
      <c r="M168" s="257"/>
      <c r="N168" s="257"/>
      <c r="O168" s="257"/>
      <c r="P168" s="257"/>
    </row>
    <row r="169">
      <c r="A169" s="111"/>
      <c r="B169" s="111"/>
      <c r="C169" s="111"/>
      <c r="D169" s="111"/>
      <c r="E169" s="111"/>
      <c r="F169" s="111"/>
      <c r="G169" s="111"/>
      <c r="H169" s="111"/>
      <c r="K169" s="114"/>
      <c r="L169" s="114"/>
      <c r="M169" s="114"/>
      <c r="N169" s="114"/>
      <c r="O169" s="114"/>
      <c r="P169" s="114"/>
    </row>
    <row r="170">
      <c r="A170" s="111"/>
      <c r="B170" s="111"/>
      <c r="C170" s="111"/>
      <c r="D170" s="111"/>
      <c r="E170" s="111"/>
      <c r="F170" s="111"/>
      <c r="G170" s="111"/>
      <c r="H170" s="111"/>
      <c r="K170" s="257"/>
      <c r="L170" s="257"/>
      <c r="M170" s="257"/>
      <c r="N170" s="257"/>
      <c r="O170" s="257"/>
      <c r="P170" s="257"/>
    </row>
    <row r="171">
      <c r="A171" s="111"/>
      <c r="B171" s="111"/>
      <c r="C171" s="111"/>
      <c r="D171" s="111"/>
      <c r="E171" s="111"/>
      <c r="F171" s="111"/>
      <c r="G171" s="111"/>
      <c r="H171" s="111"/>
      <c r="K171" s="114"/>
      <c r="L171" s="114"/>
      <c r="M171" s="114"/>
      <c r="N171" s="114"/>
      <c r="O171" s="114"/>
      <c r="P171" s="114"/>
    </row>
    <row r="172">
      <c r="A172" s="111"/>
      <c r="B172" s="111"/>
      <c r="C172" s="111"/>
      <c r="D172" s="111"/>
      <c r="E172" s="111"/>
      <c r="F172" s="111"/>
      <c r="G172" s="111"/>
      <c r="H172" s="111"/>
      <c r="K172" s="257"/>
      <c r="L172" s="257"/>
      <c r="M172" s="257"/>
      <c r="N172" s="257"/>
      <c r="O172" s="257"/>
      <c r="P172" s="257"/>
    </row>
    <row r="173">
      <c r="A173" s="111"/>
      <c r="B173" s="111"/>
      <c r="C173" s="111"/>
      <c r="D173" s="111"/>
      <c r="E173" s="111"/>
      <c r="F173" s="111"/>
      <c r="G173" s="111"/>
      <c r="H173" s="111"/>
      <c r="K173" s="114"/>
      <c r="L173" s="114"/>
      <c r="M173" s="114"/>
      <c r="N173" s="114"/>
      <c r="O173" s="114"/>
      <c r="P173" s="114"/>
    </row>
    <row r="174">
      <c r="A174" s="111"/>
      <c r="B174" s="111"/>
      <c r="C174" s="111"/>
      <c r="D174" s="111"/>
      <c r="E174" s="111"/>
      <c r="F174" s="111"/>
      <c r="G174" s="111"/>
      <c r="H174" s="111"/>
      <c r="K174" s="257"/>
      <c r="L174" s="257"/>
      <c r="M174" s="257"/>
      <c r="N174" s="257"/>
      <c r="O174" s="257"/>
      <c r="P174" s="257"/>
    </row>
    <row r="175">
      <c r="A175" s="111"/>
      <c r="B175" s="111"/>
      <c r="C175" s="111"/>
      <c r="D175" s="111"/>
      <c r="E175" s="111"/>
      <c r="F175" s="111"/>
      <c r="G175" s="111"/>
      <c r="H175" s="111"/>
      <c r="K175" s="114"/>
      <c r="L175" s="114"/>
      <c r="M175" s="114"/>
      <c r="N175" s="114"/>
      <c r="O175" s="114"/>
      <c r="P175" s="114"/>
    </row>
    <row r="176">
      <c r="A176" s="111"/>
      <c r="B176" s="111"/>
      <c r="C176" s="111"/>
      <c r="D176" s="111"/>
      <c r="E176" s="111"/>
      <c r="F176" s="111"/>
      <c r="G176" s="111"/>
      <c r="H176" s="111"/>
      <c r="K176" s="257"/>
      <c r="L176" s="257"/>
      <c r="M176" s="257"/>
      <c r="N176" s="257"/>
      <c r="O176" s="257"/>
      <c r="P176" s="257"/>
    </row>
    <row r="177">
      <c r="A177" s="111"/>
      <c r="B177" s="111"/>
      <c r="C177" s="111"/>
      <c r="D177" s="111"/>
      <c r="E177" s="111"/>
      <c r="F177" s="111"/>
      <c r="G177" s="111"/>
      <c r="H177" s="111"/>
      <c r="K177" s="114"/>
      <c r="L177" s="114"/>
      <c r="M177" s="114"/>
      <c r="N177" s="114"/>
      <c r="O177" s="114"/>
      <c r="P177" s="114"/>
    </row>
    <row r="178">
      <c r="A178" s="111"/>
      <c r="B178" s="111"/>
      <c r="C178" s="111"/>
      <c r="D178" s="111"/>
      <c r="E178" s="111"/>
      <c r="F178" s="111"/>
      <c r="G178" s="111"/>
      <c r="H178" s="111"/>
      <c r="K178" s="257"/>
      <c r="L178" s="257"/>
      <c r="M178" s="257"/>
      <c r="N178" s="257"/>
      <c r="O178" s="257"/>
      <c r="P178" s="257"/>
    </row>
    <row r="179">
      <c r="A179" s="111"/>
      <c r="B179" s="111"/>
      <c r="C179" s="111"/>
      <c r="D179" s="111"/>
      <c r="E179" s="111"/>
      <c r="F179" s="111"/>
      <c r="G179" s="111"/>
      <c r="H179" s="111"/>
      <c r="K179" s="114"/>
      <c r="L179" s="114"/>
      <c r="M179" s="114"/>
      <c r="N179" s="114"/>
      <c r="O179" s="114"/>
      <c r="P179" s="114"/>
    </row>
    <row r="180">
      <c r="A180" s="111"/>
      <c r="B180" s="111"/>
      <c r="C180" s="111"/>
      <c r="D180" s="111"/>
      <c r="E180" s="111"/>
      <c r="F180" s="111"/>
      <c r="G180" s="111"/>
      <c r="H180" s="111"/>
      <c r="K180" s="257"/>
      <c r="L180" s="257"/>
      <c r="M180" s="257"/>
      <c r="N180" s="257"/>
      <c r="O180" s="257"/>
      <c r="P180" s="257"/>
    </row>
    <row r="181">
      <c r="A181" s="111"/>
      <c r="B181" s="111"/>
      <c r="C181" s="111"/>
      <c r="D181" s="111"/>
      <c r="E181" s="111"/>
      <c r="F181" s="111"/>
      <c r="G181" s="111"/>
      <c r="H181" s="111"/>
      <c r="K181" s="114"/>
      <c r="L181" s="114"/>
      <c r="M181" s="114"/>
      <c r="N181" s="114"/>
      <c r="O181" s="114"/>
      <c r="P181" s="114"/>
    </row>
    <row r="182">
      <c r="A182" s="111"/>
      <c r="B182" s="111"/>
      <c r="C182" s="111"/>
      <c r="D182" s="111"/>
      <c r="E182" s="111"/>
      <c r="F182" s="111"/>
      <c r="G182" s="111"/>
      <c r="H182" s="111"/>
      <c r="K182" s="257"/>
      <c r="L182" s="257"/>
      <c r="M182" s="257"/>
      <c r="N182" s="257"/>
      <c r="O182" s="257"/>
      <c r="P182" s="257"/>
    </row>
    <row r="183">
      <c r="A183" s="111"/>
      <c r="B183" s="111"/>
      <c r="C183" s="111"/>
      <c r="D183" s="111"/>
      <c r="E183" s="111"/>
      <c r="F183" s="111"/>
      <c r="G183" s="111"/>
      <c r="H183" s="111"/>
      <c r="K183" s="258"/>
      <c r="L183" s="258"/>
      <c r="M183" s="258"/>
      <c r="N183" s="258"/>
      <c r="O183" s="258"/>
      <c r="P183" s="258"/>
    </row>
    <row r="184">
      <c r="A184" s="111"/>
      <c r="B184" s="111"/>
      <c r="C184" s="111"/>
      <c r="D184" s="111"/>
      <c r="E184" s="111"/>
      <c r="F184" s="111"/>
      <c r="G184" s="111"/>
      <c r="H184" s="111"/>
      <c r="K184" s="259"/>
      <c r="L184" s="259"/>
      <c r="M184" s="259"/>
      <c r="N184" s="259"/>
      <c r="O184" s="259"/>
      <c r="P184" s="259"/>
    </row>
    <row r="185">
      <c r="A185" s="111"/>
      <c r="B185" s="111"/>
      <c r="C185" s="111"/>
      <c r="D185" s="111"/>
      <c r="E185" s="111"/>
      <c r="F185" s="111"/>
      <c r="G185" s="111"/>
      <c r="H185" s="111"/>
      <c r="K185" s="258"/>
      <c r="L185" s="258"/>
      <c r="M185" s="258"/>
      <c r="N185" s="258"/>
      <c r="O185" s="258"/>
      <c r="P185" s="258"/>
    </row>
    <row r="186">
      <c r="A186" s="111"/>
      <c r="B186" s="111"/>
      <c r="C186" s="111"/>
      <c r="D186" s="111"/>
      <c r="E186" s="111"/>
      <c r="F186" s="111"/>
      <c r="G186" s="111"/>
      <c r="H186" s="111"/>
      <c r="K186" s="259"/>
      <c r="L186" s="259"/>
      <c r="M186" s="259"/>
      <c r="N186" s="259"/>
      <c r="O186" s="259"/>
      <c r="P186" s="259"/>
    </row>
    <row r="187">
      <c r="A187" s="111"/>
      <c r="B187" s="111"/>
      <c r="C187" s="111"/>
      <c r="D187" s="111"/>
      <c r="E187" s="111"/>
      <c r="F187" s="111"/>
      <c r="G187" s="111"/>
      <c r="H187" s="111"/>
      <c r="K187" s="258"/>
      <c r="L187" s="258"/>
      <c r="M187" s="258"/>
      <c r="N187" s="258"/>
      <c r="O187" s="258"/>
      <c r="P187" s="258"/>
    </row>
    <row r="188">
      <c r="A188" s="111"/>
      <c r="B188" s="111"/>
      <c r="C188" s="111"/>
      <c r="D188" s="111"/>
      <c r="E188" s="111"/>
      <c r="F188" s="111"/>
      <c r="G188" s="111"/>
      <c r="H188" s="111"/>
      <c r="K188" s="259"/>
      <c r="L188" s="259"/>
      <c r="M188" s="259"/>
      <c r="N188" s="259"/>
      <c r="O188" s="259"/>
      <c r="P188" s="259"/>
    </row>
    <row r="189">
      <c r="A189" s="111"/>
      <c r="B189" s="111"/>
      <c r="C189" s="111"/>
      <c r="D189" s="111"/>
      <c r="E189" s="111"/>
      <c r="F189" s="111"/>
      <c r="G189" s="111"/>
      <c r="H189" s="111"/>
      <c r="K189" s="258"/>
      <c r="L189" s="258"/>
      <c r="M189" s="258"/>
      <c r="N189" s="258"/>
      <c r="O189" s="258"/>
      <c r="P189" s="258"/>
    </row>
    <row r="190">
      <c r="A190" s="111"/>
      <c r="B190" s="111"/>
      <c r="C190" s="111"/>
      <c r="D190" s="111"/>
      <c r="E190" s="111"/>
      <c r="F190" s="111"/>
      <c r="G190" s="111"/>
      <c r="H190" s="111"/>
      <c r="K190" s="259"/>
      <c r="L190" s="259"/>
      <c r="M190" s="259"/>
      <c r="N190" s="259"/>
      <c r="O190" s="259"/>
      <c r="P190" s="259"/>
    </row>
    <row r="191">
      <c r="A191" s="111"/>
      <c r="B191" s="111"/>
      <c r="C191" s="111"/>
      <c r="D191" s="111"/>
      <c r="E191" s="111"/>
      <c r="F191" s="111"/>
      <c r="G191" s="111"/>
      <c r="H191" s="111"/>
      <c r="K191" s="258"/>
      <c r="L191" s="258"/>
      <c r="M191" s="258"/>
      <c r="N191" s="258"/>
      <c r="O191" s="258"/>
      <c r="P191" s="258"/>
    </row>
    <row r="192">
      <c r="A192" s="111"/>
      <c r="B192" s="111"/>
      <c r="C192" s="111"/>
      <c r="D192" s="111"/>
      <c r="E192" s="111"/>
      <c r="F192" s="111"/>
      <c r="G192" s="111"/>
      <c r="H192" s="111"/>
      <c r="K192" s="259"/>
      <c r="L192" s="259"/>
      <c r="M192" s="259"/>
      <c r="N192" s="259"/>
      <c r="O192" s="259"/>
      <c r="P192" s="259"/>
    </row>
    <row r="193">
      <c r="A193" s="111"/>
      <c r="B193" s="111"/>
      <c r="C193" s="111"/>
      <c r="D193" s="111"/>
      <c r="E193" s="111"/>
      <c r="F193" s="111"/>
      <c r="G193" s="111"/>
      <c r="H193" s="111"/>
      <c r="K193" s="258"/>
      <c r="L193" s="258"/>
      <c r="M193" s="258"/>
      <c r="N193" s="258"/>
      <c r="O193" s="258"/>
      <c r="P193" s="258"/>
    </row>
    <row r="194">
      <c r="A194" s="111"/>
      <c r="B194" s="111"/>
      <c r="C194" s="111"/>
      <c r="D194" s="111"/>
      <c r="E194" s="111"/>
      <c r="F194" s="111"/>
      <c r="G194" s="111"/>
      <c r="H194" s="111"/>
      <c r="K194" s="259"/>
      <c r="L194" s="259"/>
      <c r="M194" s="259"/>
      <c r="N194" s="259"/>
      <c r="O194" s="259"/>
      <c r="P194" s="259"/>
    </row>
    <row r="195">
      <c r="A195" s="111"/>
      <c r="B195" s="111"/>
      <c r="C195" s="111"/>
      <c r="D195" s="111"/>
      <c r="E195" s="111"/>
      <c r="F195" s="111"/>
      <c r="G195" s="111"/>
      <c r="H195" s="111"/>
      <c r="K195" s="258"/>
      <c r="L195" s="258"/>
      <c r="M195" s="258"/>
      <c r="N195" s="258"/>
      <c r="O195" s="258"/>
      <c r="P195" s="258"/>
    </row>
    <row r="196">
      <c r="A196" s="111"/>
      <c r="B196" s="111"/>
      <c r="C196" s="111"/>
      <c r="D196" s="111"/>
      <c r="E196" s="111"/>
      <c r="F196" s="111"/>
      <c r="G196" s="111"/>
      <c r="H196" s="111"/>
      <c r="K196" s="259"/>
      <c r="L196" s="259"/>
      <c r="M196" s="259"/>
      <c r="N196" s="259"/>
      <c r="O196" s="259"/>
      <c r="P196" s="259"/>
    </row>
    <row r="197">
      <c r="A197" s="111"/>
      <c r="B197" s="111"/>
      <c r="C197" s="111"/>
      <c r="D197" s="111"/>
      <c r="E197" s="111"/>
      <c r="F197" s="111"/>
      <c r="G197" s="111"/>
      <c r="H197" s="111"/>
      <c r="K197" s="258"/>
      <c r="L197" s="258"/>
      <c r="M197" s="258"/>
      <c r="N197" s="258"/>
      <c r="O197" s="258"/>
      <c r="P197" s="258"/>
    </row>
    <row r="198">
      <c r="A198" s="111"/>
      <c r="B198" s="111"/>
      <c r="C198" s="111"/>
      <c r="D198" s="111"/>
      <c r="E198" s="111"/>
      <c r="F198" s="111"/>
      <c r="G198" s="111"/>
      <c r="H198" s="111"/>
      <c r="K198" s="259"/>
      <c r="L198" s="259"/>
      <c r="M198" s="259"/>
      <c r="N198" s="259"/>
      <c r="O198" s="259"/>
      <c r="P198" s="259"/>
    </row>
    <row r="199">
      <c r="A199" s="111"/>
      <c r="B199" s="111"/>
      <c r="C199" s="111"/>
      <c r="D199" s="111"/>
      <c r="E199" s="111"/>
      <c r="F199" s="111"/>
      <c r="G199" s="111"/>
      <c r="H199" s="111"/>
    </row>
    <row r="200">
      <c r="A200" s="111"/>
      <c r="B200" s="111"/>
      <c r="C200" s="111"/>
      <c r="D200" s="111"/>
      <c r="E200" s="111"/>
      <c r="F200" s="111"/>
      <c r="G200" s="111"/>
      <c r="H200" s="111"/>
    </row>
    <row r="201">
      <c r="A201" s="260"/>
      <c r="B201" s="260"/>
      <c r="C201" s="260"/>
      <c r="D201" s="260"/>
      <c r="E201" s="260"/>
      <c r="F201" s="260"/>
      <c r="G201" s="260"/>
      <c r="H201" s="260"/>
    </row>
    <row r="202">
      <c r="A202" s="260"/>
      <c r="B202" s="260"/>
      <c r="C202" s="260"/>
      <c r="D202" s="260"/>
      <c r="E202" s="260"/>
      <c r="F202" s="260"/>
      <c r="G202" s="260"/>
      <c r="H202" s="260"/>
    </row>
    <row r="203">
      <c r="A203" s="260"/>
      <c r="B203" s="260"/>
      <c r="C203" s="260"/>
      <c r="D203" s="260"/>
      <c r="E203" s="260"/>
      <c r="F203" s="260"/>
      <c r="G203" s="260"/>
      <c r="H203" s="260"/>
    </row>
    <row r="204">
      <c r="A204" s="260"/>
      <c r="B204" s="260"/>
      <c r="C204" s="260"/>
      <c r="D204" s="260"/>
      <c r="E204" s="260"/>
      <c r="F204" s="260"/>
      <c r="G204" s="260"/>
      <c r="H204" s="260"/>
    </row>
    <row r="205">
      <c r="A205" s="260"/>
      <c r="B205" s="260"/>
      <c r="C205" s="260"/>
      <c r="D205" s="260"/>
      <c r="E205" s="260"/>
      <c r="F205" s="260"/>
      <c r="G205" s="260"/>
      <c r="H205" s="260"/>
    </row>
    <row r="206">
      <c r="A206" s="260"/>
      <c r="B206" s="260"/>
      <c r="C206" s="260"/>
      <c r="D206" s="260"/>
      <c r="E206" s="260"/>
      <c r="F206" s="260"/>
      <c r="G206" s="260"/>
      <c r="H206" s="260"/>
    </row>
    <row r="207">
      <c r="A207" s="260"/>
      <c r="B207" s="260"/>
      <c r="C207" s="260"/>
      <c r="D207" s="260"/>
      <c r="E207" s="260"/>
      <c r="F207" s="260"/>
      <c r="G207" s="260"/>
      <c r="H207" s="260"/>
    </row>
    <row r="208">
      <c r="A208" s="260"/>
      <c r="B208" s="260"/>
      <c r="C208" s="260"/>
      <c r="D208" s="260"/>
      <c r="E208" s="260"/>
      <c r="F208" s="260"/>
      <c r="G208" s="260"/>
      <c r="H208" s="260"/>
    </row>
    <row r="209">
      <c r="A209" s="260"/>
      <c r="B209" s="260"/>
      <c r="C209" s="260"/>
      <c r="D209" s="260"/>
      <c r="E209" s="260"/>
      <c r="F209" s="260"/>
      <c r="G209" s="260"/>
      <c r="H209" s="260"/>
    </row>
    <row r="210">
      <c r="A210" s="260"/>
      <c r="B210" s="260"/>
      <c r="C210" s="260"/>
      <c r="D210" s="260"/>
      <c r="E210" s="260"/>
      <c r="F210" s="260"/>
      <c r="G210" s="260"/>
      <c r="H210" s="260"/>
    </row>
    <row r="211">
      <c r="A211" s="260"/>
      <c r="B211" s="260"/>
      <c r="C211" s="260"/>
      <c r="D211" s="260"/>
      <c r="E211" s="260"/>
      <c r="F211" s="260"/>
      <c r="G211" s="260"/>
      <c r="H211" s="260"/>
    </row>
    <row r="212">
      <c r="A212" s="260"/>
      <c r="B212" s="260"/>
      <c r="C212" s="260"/>
      <c r="D212" s="260"/>
      <c r="E212" s="260"/>
      <c r="F212" s="260"/>
      <c r="G212" s="260"/>
      <c r="H212" s="260"/>
    </row>
    <row r="213">
      <c r="A213" s="260"/>
      <c r="B213" s="260"/>
      <c r="C213" s="260"/>
      <c r="D213" s="260"/>
      <c r="E213" s="260"/>
      <c r="F213" s="260"/>
      <c r="G213" s="260"/>
      <c r="H213" s="260"/>
    </row>
    <row r="214">
      <c r="A214" s="260"/>
      <c r="B214" s="260"/>
      <c r="C214" s="260"/>
      <c r="D214" s="260"/>
      <c r="E214" s="260"/>
      <c r="F214" s="260"/>
      <c r="G214" s="260"/>
      <c r="H214" s="260"/>
    </row>
    <row r="215">
      <c r="A215" s="260"/>
      <c r="B215" s="260"/>
      <c r="C215" s="260"/>
      <c r="D215" s="260"/>
      <c r="E215" s="260"/>
      <c r="F215" s="260"/>
      <c r="G215" s="260"/>
      <c r="H215" s="260"/>
    </row>
    <row r="216">
      <c r="A216" s="260"/>
      <c r="B216" s="260"/>
      <c r="C216" s="260"/>
      <c r="D216" s="260"/>
      <c r="E216" s="260"/>
      <c r="F216" s="260"/>
      <c r="G216" s="260"/>
      <c r="H216" s="260"/>
    </row>
    <row r="217">
      <c r="A217" s="260"/>
      <c r="B217" s="260"/>
      <c r="C217" s="260"/>
      <c r="D217" s="260"/>
      <c r="E217" s="260"/>
      <c r="F217" s="260"/>
      <c r="G217" s="260"/>
      <c r="H217" s="260"/>
    </row>
    <row r="218">
      <c r="A218" s="260"/>
      <c r="B218" s="260"/>
      <c r="C218" s="260"/>
      <c r="D218" s="260"/>
      <c r="E218" s="260"/>
      <c r="F218" s="260"/>
      <c r="G218" s="260"/>
      <c r="H218" s="260"/>
    </row>
    <row r="219">
      <c r="A219" s="260"/>
      <c r="B219" s="260"/>
      <c r="C219" s="260"/>
      <c r="D219" s="260"/>
      <c r="E219" s="260"/>
      <c r="F219" s="260"/>
      <c r="G219" s="260"/>
      <c r="H219" s="260"/>
    </row>
    <row r="220">
      <c r="A220" s="260"/>
      <c r="B220" s="260"/>
      <c r="C220" s="260"/>
      <c r="D220" s="260"/>
      <c r="E220" s="260"/>
      <c r="F220" s="260"/>
      <c r="G220" s="260"/>
      <c r="H220" s="260"/>
    </row>
    <row r="221">
      <c r="A221" s="260"/>
      <c r="B221" s="260"/>
      <c r="C221" s="260"/>
      <c r="D221" s="260"/>
      <c r="E221" s="260"/>
      <c r="F221" s="260"/>
      <c r="G221" s="260"/>
      <c r="H221" s="260"/>
    </row>
    <row r="222">
      <c r="A222" s="260"/>
      <c r="B222" s="260"/>
      <c r="C222" s="260"/>
      <c r="D222" s="260"/>
      <c r="E222" s="260"/>
      <c r="F222" s="260"/>
      <c r="G222" s="260"/>
      <c r="H222" s="260"/>
    </row>
    <row r="223">
      <c r="A223" s="260"/>
      <c r="B223" s="260"/>
      <c r="C223" s="260"/>
      <c r="D223" s="260"/>
      <c r="E223" s="260"/>
      <c r="F223" s="260"/>
      <c r="G223" s="260"/>
      <c r="H223" s="260"/>
    </row>
    <row r="224">
      <c r="A224" s="260"/>
      <c r="B224" s="260"/>
      <c r="C224" s="260"/>
      <c r="D224" s="260"/>
      <c r="E224" s="260"/>
      <c r="F224" s="260"/>
      <c r="G224" s="260"/>
      <c r="H224" s="260"/>
    </row>
    <row r="225">
      <c r="A225" s="260"/>
      <c r="B225" s="260"/>
      <c r="C225" s="260"/>
      <c r="D225" s="260"/>
      <c r="E225" s="260"/>
      <c r="F225" s="260"/>
      <c r="G225" s="260"/>
      <c r="H225" s="260"/>
    </row>
    <row r="226">
      <c r="A226" s="260"/>
      <c r="B226" s="260"/>
      <c r="C226" s="260"/>
      <c r="D226" s="260"/>
      <c r="E226" s="260"/>
      <c r="F226" s="260"/>
      <c r="G226" s="260"/>
      <c r="H226" s="260"/>
    </row>
    <row r="227">
      <c r="A227" s="260"/>
      <c r="B227" s="260"/>
      <c r="C227" s="260"/>
      <c r="D227" s="260"/>
      <c r="E227" s="260"/>
      <c r="F227" s="260"/>
      <c r="G227" s="260"/>
      <c r="H227" s="260"/>
      <c r="K227" s="114"/>
      <c r="L227" s="114"/>
      <c r="M227" s="114"/>
      <c r="N227" s="114"/>
      <c r="O227" s="114"/>
      <c r="P227" s="114"/>
    </row>
    <row r="228">
      <c r="A228" s="260"/>
      <c r="B228" s="260"/>
      <c r="C228" s="260"/>
      <c r="D228" s="260"/>
      <c r="E228" s="260"/>
      <c r="F228" s="260"/>
      <c r="G228" s="260"/>
      <c r="H228" s="260"/>
      <c r="K228" s="257"/>
      <c r="L228" s="257"/>
      <c r="M228" s="257"/>
      <c r="N228" s="257"/>
      <c r="O228" s="257"/>
      <c r="P228" s="257"/>
    </row>
    <row r="229">
      <c r="A229" s="260"/>
      <c r="B229" s="260"/>
      <c r="C229" s="260"/>
      <c r="D229" s="260"/>
      <c r="E229" s="260"/>
      <c r="F229" s="260"/>
      <c r="G229" s="260"/>
      <c r="H229" s="260"/>
      <c r="K229" s="114"/>
      <c r="L229" s="114"/>
      <c r="M229" s="114"/>
      <c r="N229" s="114"/>
      <c r="O229" s="114"/>
      <c r="P229" s="114"/>
    </row>
    <row r="230">
      <c r="A230" s="260"/>
      <c r="B230" s="260"/>
      <c r="C230" s="260"/>
      <c r="D230" s="260"/>
      <c r="E230" s="260"/>
      <c r="F230" s="260"/>
      <c r="G230" s="260"/>
      <c r="H230" s="260"/>
      <c r="K230" s="257"/>
      <c r="L230" s="257"/>
      <c r="M230" s="257"/>
      <c r="N230" s="257"/>
      <c r="O230" s="257"/>
      <c r="P230" s="257"/>
    </row>
    <row r="231">
      <c r="A231" s="260"/>
      <c r="B231" s="260"/>
      <c r="C231" s="260"/>
      <c r="D231" s="260"/>
      <c r="E231" s="260"/>
      <c r="F231" s="260"/>
      <c r="G231" s="260"/>
      <c r="H231" s="260"/>
      <c r="K231" s="114"/>
      <c r="L231" s="114"/>
      <c r="M231" s="114"/>
      <c r="N231" s="114"/>
      <c r="O231" s="114"/>
      <c r="P231" s="114"/>
    </row>
    <row r="232">
      <c r="A232" s="260"/>
      <c r="B232" s="260"/>
      <c r="C232" s="260"/>
      <c r="D232" s="260"/>
      <c r="E232" s="260"/>
      <c r="F232" s="260"/>
      <c r="G232" s="260"/>
      <c r="H232" s="260"/>
      <c r="K232" s="257"/>
      <c r="L232" s="257"/>
      <c r="M232" s="257"/>
      <c r="N232" s="257"/>
      <c r="O232" s="257"/>
      <c r="P232" s="257"/>
    </row>
    <row r="233">
      <c r="A233" s="260"/>
      <c r="B233" s="260"/>
      <c r="C233" s="260"/>
      <c r="D233" s="260"/>
      <c r="E233" s="260"/>
      <c r="F233" s="260"/>
      <c r="G233" s="260"/>
      <c r="H233" s="260"/>
      <c r="K233" s="114"/>
      <c r="L233" s="114"/>
      <c r="M233" s="114"/>
      <c r="N233" s="114"/>
      <c r="O233" s="114"/>
      <c r="P233" s="114"/>
    </row>
    <row r="234">
      <c r="A234" s="260"/>
      <c r="B234" s="260"/>
      <c r="C234" s="260"/>
      <c r="D234" s="260"/>
      <c r="E234" s="260"/>
      <c r="F234" s="260"/>
      <c r="G234" s="260"/>
      <c r="H234" s="260"/>
      <c r="K234" s="257"/>
      <c r="L234" s="257"/>
      <c r="M234" s="257"/>
      <c r="N234" s="257"/>
      <c r="O234" s="257"/>
      <c r="P234" s="257"/>
    </row>
    <row r="235">
      <c r="A235" s="260"/>
      <c r="B235" s="260"/>
      <c r="C235" s="260"/>
      <c r="D235" s="260"/>
      <c r="E235" s="260"/>
      <c r="F235" s="260"/>
      <c r="G235" s="260"/>
      <c r="H235" s="260"/>
      <c r="K235" s="114"/>
      <c r="L235" s="114"/>
      <c r="M235" s="114"/>
      <c r="N235" s="114"/>
      <c r="O235" s="114"/>
      <c r="P235" s="114"/>
    </row>
    <row r="236">
      <c r="A236" s="260"/>
      <c r="B236" s="260"/>
      <c r="C236" s="260"/>
      <c r="D236" s="260"/>
      <c r="E236" s="260"/>
      <c r="F236" s="260"/>
      <c r="G236" s="260"/>
      <c r="H236" s="260"/>
      <c r="K236" s="257"/>
      <c r="L236" s="257"/>
      <c r="M236" s="257"/>
      <c r="N236" s="257"/>
      <c r="O236" s="257"/>
      <c r="P236" s="257"/>
    </row>
    <row r="237">
      <c r="A237" s="260"/>
      <c r="B237" s="260"/>
      <c r="C237" s="260"/>
      <c r="D237" s="260"/>
      <c r="E237" s="260"/>
      <c r="F237" s="260"/>
      <c r="G237" s="260"/>
      <c r="H237" s="260"/>
      <c r="K237" s="114"/>
      <c r="L237" s="114"/>
      <c r="M237" s="114"/>
      <c r="N237" s="114"/>
      <c r="O237" s="114"/>
      <c r="P237" s="114"/>
    </row>
    <row r="238">
      <c r="A238" s="260"/>
      <c r="B238" s="260"/>
      <c r="C238" s="260"/>
      <c r="D238" s="260"/>
      <c r="E238" s="260"/>
      <c r="F238" s="260"/>
      <c r="G238" s="260"/>
      <c r="H238" s="260"/>
      <c r="K238" s="257"/>
      <c r="L238" s="257"/>
      <c r="M238" s="257"/>
      <c r="N238" s="257"/>
      <c r="O238" s="257"/>
      <c r="P238" s="257"/>
    </row>
    <row r="239">
      <c r="A239" s="260"/>
      <c r="B239" s="260"/>
      <c r="C239" s="260"/>
      <c r="D239" s="260"/>
      <c r="E239" s="260"/>
      <c r="F239" s="260"/>
      <c r="G239" s="260"/>
      <c r="H239" s="260"/>
      <c r="K239" s="114"/>
      <c r="L239" s="114"/>
      <c r="M239" s="114"/>
      <c r="N239" s="114"/>
      <c r="O239" s="114"/>
      <c r="P239" s="114"/>
    </row>
    <row r="240">
      <c r="A240" s="260"/>
      <c r="B240" s="260"/>
      <c r="C240" s="260"/>
      <c r="D240" s="260"/>
      <c r="E240" s="260"/>
      <c r="F240" s="260"/>
      <c r="G240" s="260"/>
      <c r="H240" s="260"/>
      <c r="K240" s="257"/>
      <c r="L240" s="257"/>
      <c r="M240" s="257"/>
      <c r="N240" s="257"/>
      <c r="O240" s="257"/>
      <c r="P240" s="257"/>
    </row>
    <row r="241">
      <c r="A241" s="260"/>
      <c r="B241" s="260"/>
      <c r="C241" s="260"/>
      <c r="D241" s="260"/>
      <c r="E241" s="260"/>
      <c r="F241" s="260"/>
      <c r="G241" s="260"/>
      <c r="H241" s="260"/>
      <c r="K241" s="114"/>
      <c r="L241" s="114"/>
      <c r="M241" s="114"/>
      <c r="N241" s="114"/>
      <c r="O241" s="114"/>
      <c r="P241" s="114"/>
    </row>
    <row r="242">
      <c r="A242" s="260"/>
      <c r="B242" s="260"/>
      <c r="C242" s="260"/>
      <c r="D242" s="260"/>
      <c r="E242" s="260"/>
      <c r="F242" s="260"/>
      <c r="G242" s="260"/>
      <c r="H242" s="260"/>
      <c r="K242" s="257"/>
      <c r="L242" s="257"/>
      <c r="M242" s="257"/>
      <c r="N242" s="257"/>
      <c r="O242" s="257"/>
      <c r="P242" s="257"/>
    </row>
    <row r="243">
      <c r="A243" s="260"/>
      <c r="B243" s="260"/>
      <c r="C243" s="260"/>
      <c r="D243" s="260"/>
      <c r="E243" s="260"/>
      <c r="F243" s="260"/>
      <c r="G243" s="260"/>
      <c r="H243" s="260"/>
      <c r="K243" s="114"/>
      <c r="L243" s="114"/>
      <c r="M243" s="114"/>
      <c r="N243" s="114"/>
      <c r="O243" s="114"/>
      <c r="P243" s="114"/>
    </row>
    <row r="244">
      <c r="A244" s="260"/>
      <c r="B244" s="260"/>
      <c r="C244" s="260"/>
      <c r="D244" s="260"/>
      <c r="E244" s="260"/>
      <c r="F244" s="260"/>
      <c r="G244" s="260"/>
      <c r="H244" s="260"/>
      <c r="K244" s="257"/>
      <c r="L244" s="257"/>
      <c r="M244" s="257"/>
      <c r="N244" s="257"/>
      <c r="O244" s="257"/>
      <c r="P244" s="257"/>
    </row>
    <row r="245">
      <c r="A245" s="260"/>
      <c r="B245" s="260"/>
      <c r="C245" s="260"/>
      <c r="D245" s="260"/>
      <c r="E245" s="260"/>
      <c r="F245" s="260"/>
      <c r="G245" s="260"/>
      <c r="H245" s="260"/>
      <c r="K245" s="114"/>
      <c r="L245" s="114"/>
      <c r="M245" s="114"/>
      <c r="N245" s="114"/>
      <c r="O245" s="114"/>
      <c r="P245" s="114"/>
    </row>
    <row r="246">
      <c r="A246" s="260"/>
      <c r="B246" s="260"/>
      <c r="C246" s="260"/>
      <c r="D246" s="260"/>
      <c r="E246" s="260"/>
      <c r="F246" s="260"/>
      <c r="G246" s="260"/>
      <c r="H246" s="260"/>
      <c r="K246" s="257"/>
      <c r="L246" s="257"/>
      <c r="M246" s="257"/>
      <c r="N246" s="257"/>
      <c r="O246" s="257"/>
      <c r="P246" s="257"/>
    </row>
    <row r="247">
      <c r="A247" s="260"/>
      <c r="B247" s="260"/>
      <c r="C247" s="260"/>
      <c r="D247" s="260"/>
      <c r="E247" s="260"/>
      <c r="F247" s="260"/>
      <c r="G247" s="260"/>
      <c r="H247" s="260"/>
      <c r="K247" s="114"/>
      <c r="L247" s="114"/>
      <c r="M247" s="114"/>
      <c r="N247" s="114"/>
      <c r="O247" s="114"/>
      <c r="P247" s="114"/>
    </row>
    <row r="248">
      <c r="A248" s="260"/>
      <c r="B248" s="260"/>
      <c r="C248" s="260"/>
      <c r="D248" s="260"/>
      <c r="E248" s="260"/>
      <c r="F248" s="260"/>
      <c r="G248" s="260"/>
      <c r="H248" s="260"/>
      <c r="K248" s="257"/>
      <c r="L248" s="257"/>
      <c r="M248" s="257"/>
      <c r="N248" s="257"/>
      <c r="O248" s="257"/>
      <c r="P248" s="257"/>
    </row>
    <row r="249">
      <c r="A249" s="260"/>
      <c r="B249" s="260"/>
      <c r="C249" s="260"/>
      <c r="D249" s="260"/>
      <c r="E249" s="260"/>
      <c r="F249" s="260"/>
      <c r="G249" s="260"/>
      <c r="H249" s="260"/>
      <c r="K249" s="114"/>
      <c r="L249" s="114"/>
      <c r="M249" s="114"/>
      <c r="N249" s="114"/>
      <c r="O249" s="114"/>
      <c r="P249" s="114"/>
    </row>
    <row r="250">
      <c r="A250" s="260"/>
      <c r="B250" s="260"/>
      <c r="C250" s="260"/>
      <c r="D250" s="260"/>
      <c r="E250" s="260"/>
      <c r="F250" s="260"/>
      <c r="G250" s="260"/>
      <c r="H250" s="260"/>
      <c r="K250" s="257"/>
      <c r="L250" s="257"/>
      <c r="M250" s="257"/>
      <c r="N250" s="257"/>
      <c r="O250" s="257"/>
      <c r="P250" s="257"/>
    </row>
    <row r="251">
      <c r="A251" s="260"/>
      <c r="B251" s="260"/>
      <c r="C251" s="260"/>
      <c r="D251" s="260"/>
      <c r="E251" s="260"/>
      <c r="F251" s="260"/>
      <c r="G251" s="260"/>
      <c r="H251" s="260"/>
      <c r="K251" s="114"/>
      <c r="L251" s="114"/>
      <c r="M251" s="114"/>
      <c r="N251" s="114"/>
      <c r="O251" s="114"/>
      <c r="P251" s="114"/>
    </row>
    <row r="252">
      <c r="A252" s="260"/>
      <c r="B252" s="260"/>
      <c r="C252" s="260"/>
      <c r="D252" s="260"/>
      <c r="E252" s="260"/>
      <c r="F252" s="260"/>
      <c r="G252" s="260"/>
      <c r="H252" s="260"/>
      <c r="K252" s="257"/>
      <c r="L252" s="257"/>
      <c r="M252" s="257"/>
      <c r="N252" s="257"/>
      <c r="O252" s="257"/>
      <c r="P252" s="257"/>
    </row>
    <row r="253">
      <c r="A253" s="260"/>
      <c r="B253" s="260"/>
      <c r="C253" s="260"/>
      <c r="D253" s="260"/>
      <c r="E253" s="260"/>
      <c r="F253" s="260"/>
      <c r="G253" s="260"/>
      <c r="H253" s="260"/>
      <c r="K253" s="114"/>
      <c r="L253" s="114"/>
      <c r="M253" s="114"/>
      <c r="N253" s="114"/>
      <c r="O253" s="114"/>
      <c r="P253" s="114"/>
    </row>
    <row r="254">
      <c r="A254" s="260"/>
      <c r="B254" s="260"/>
      <c r="C254" s="260"/>
      <c r="D254" s="260"/>
      <c r="E254" s="260"/>
      <c r="F254" s="260"/>
      <c r="G254" s="260"/>
      <c r="H254" s="260"/>
      <c r="K254" s="257"/>
      <c r="L254" s="257"/>
      <c r="M254" s="257"/>
      <c r="N254" s="257"/>
      <c r="O254" s="257"/>
      <c r="P254" s="257"/>
    </row>
    <row r="255">
      <c r="A255" s="260"/>
      <c r="B255" s="260"/>
      <c r="C255" s="260"/>
      <c r="D255" s="260"/>
      <c r="E255" s="260"/>
      <c r="F255" s="260"/>
      <c r="G255" s="260"/>
      <c r="H255" s="260"/>
      <c r="K255" s="114"/>
      <c r="L255" s="114"/>
      <c r="M255" s="114"/>
      <c r="N255" s="114"/>
      <c r="O255" s="114"/>
      <c r="P255" s="114"/>
    </row>
    <row r="256">
      <c r="A256" s="260"/>
      <c r="B256" s="260"/>
      <c r="C256" s="260"/>
      <c r="D256" s="260"/>
      <c r="E256" s="260"/>
      <c r="F256" s="260"/>
      <c r="G256" s="260"/>
      <c r="H256" s="260"/>
      <c r="K256" s="257"/>
      <c r="L256" s="257"/>
      <c r="M256" s="257"/>
      <c r="N256" s="257"/>
      <c r="O256" s="257"/>
      <c r="P256" s="257"/>
    </row>
    <row r="257">
      <c r="A257" s="260"/>
      <c r="B257" s="260"/>
      <c r="C257" s="260"/>
      <c r="D257" s="260"/>
      <c r="E257" s="260"/>
      <c r="F257" s="260"/>
      <c r="G257" s="260"/>
      <c r="H257" s="260"/>
      <c r="K257" s="114"/>
      <c r="L257" s="114"/>
      <c r="M257" s="114"/>
      <c r="N257" s="114"/>
      <c r="O257" s="114"/>
      <c r="P257" s="114"/>
    </row>
    <row r="258">
      <c r="A258" s="260"/>
      <c r="B258" s="260"/>
      <c r="C258" s="260"/>
      <c r="D258" s="260"/>
      <c r="E258" s="260"/>
      <c r="F258" s="260"/>
      <c r="G258" s="260"/>
      <c r="H258" s="260"/>
      <c r="K258" s="257"/>
      <c r="L258" s="257"/>
      <c r="M258" s="257"/>
      <c r="N258" s="257"/>
      <c r="O258" s="257"/>
      <c r="P258" s="257"/>
    </row>
    <row r="259">
      <c r="A259" s="260"/>
      <c r="B259" s="260"/>
      <c r="C259" s="260"/>
      <c r="D259" s="260"/>
      <c r="E259" s="260"/>
      <c r="F259" s="260"/>
      <c r="G259" s="260"/>
      <c r="H259" s="260"/>
      <c r="K259" s="114"/>
      <c r="L259" s="114"/>
      <c r="M259" s="114"/>
      <c r="N259" s="114"/>
      <c r="O259" s="114"/>
      <c r="P259" s="114"/>
    </row>
    <row r="260">
      <c r="A260" s="260"/>
      <c r="B260" s="260"/>
      <c r="C260" s="260"/>
      <c r="D260" s="260"/>
      <c r="E260" s="260"/>
      <c r="F260" s="260"/>
      <c r="G260" s="260"/>
      <c r="H260" s="260"/>
      <c r="K260" s="257"/>
      <c r="L260" s="257"/>
      <c r="M260" s="257"/>
      <c r="N260" s="257"/>
      <c r="O260" s="257"/>
      <c r="P260" s="257"/>
    </row>
    <row r="261">
      <c r="A261" s="260"/>
      <c r="B261" s="260"/>
      <c r="C261" s="260"/>
      <c r="D261" s="260"/>
      <c r="E261" s="260"/>
      <c r="F261" s="260"/>
      <c r="G261" s="260"/>
      <c r="H261" s="260"/>
      <c r="K261" s="114"/>
      <c r="L261" s="114"/>
      <c r="M261" s="114"/>
      <c r="N261" s="114"/>
      <c r="O261" s="114"/>
      <c r="P261" s="114"/>
    </row>
    <row r="262">
      <c r="A262" s="260"/>
      <c r="B262" s="260"/>
      <c r="C262" s="260"/>
      <c r="D262" s="260"/>
      <c r="E262" s="260"/>
      <c r="F262" s="260"/>
      <c r="G262" s="260"/>
      <c r="H262" s="260"/>
      <c r="K262" s="257"/>
      <c r="L262" s="257"/>
      <c r="M262" s="257"/>
      <c r="N262" s="257"/>
      <c r="O262" s="257"/>
      <c r="P262" s="257"/>
    </row>
    <row r="263">
      <c r="A263" s="260"/>
      <c r="B263" s="260"/>
      <c r="C263" s="260"/>
      <c r="D263" s="260"/>
      <c r="E263" s="260"/>
      <c r="F263" s="260"/>
      <c r="G263" s="260"/>
      <c r="H263" s="260"/>
      <c r="K263" s="114"/>
      <c r="L263" s="114"/>
      <c r="M263" s="114"/>
      <c r="N263" s="114"/>
      <c r="O263" s="114"/>
      <c r="P263" s="114"/>
    </row>
    <row r="264">
      <c r="A264" s="260"/>
      <c r="B264" s="260"/>
      <c r="C264" s="260"/>
      <c r="D264" s="260"/>
      <c r="E264" s="260"/>
      <c r="F264" s="260"/>
      <c r="G264" s="260"/>
      <c r="H264" s="260"/>
      <c r="K264" s="257"/>
      <c r="L264" s="257"/>
      <c r="M264" s="257"/>
      <c r="N264" s="257"/>
      <c r="O264" s="257"/>
      <c r="P264" s="257"/>
    </row>
    <row r="265">
      <c r="A265" s="260"/>
      <c r="B265" s="260"/>
      <c r="C265" s="260"/>
      <c r="D265" s="260"/>
      <c r="E265" s="260"/>
      <c r="F265" s="260"/>
      <c r="G265" s="260"/>
      <c r="H265" s="260"/>
      <c r="K265" s="114"/>
      <c r="L265" s="114"/>
      <c r="M265" s="114"/>
      <c r="N265" s="114"/>
      <c r="O265" s="114"/>
      <c r="P265" s="114"/>
    </row>
    <row r="266">
      <c r="A266" s="260"/>
      <c r="B266" s="260"/>
      <c r="C266" s="260"/>
      <c r="D266" s="260"/>
      <c r="E266" s="260"/>
      <c r="F266" s="260"/>
      <c r="G266" s="260"/>
      <c r="H266" s="260"/>
      <c r="K266" s="257"/>
      <c r="L266" s="257"/>
      <c r="M266" s="257"/>
      <c r="N266" s="257"/>
      <c r="O266" s="257"/>
      <c r="P266" s="257"/>
    </row>
    <row r="267">
      <c r="A267" s="260"/>
      <c r="B267" s="260"/>
      <c r="C267" s="260"/>
      <c r="D267" s="260"/>
      <c r="E267" s="260"/>
      <c r="F267" s="260"/>
      <c r="G267" s="260"/>
      <c r="H267" s="260"/>
      <c r="K267" s="114"/>
      <c r="L267" s="114"/>
      <c r="M267" s="114"/>
      <c r="N267" s="114"/>
      <c r="O267" s="114"/>
      <c r="P267" s="114"/>
    </row>
    <row r="268">
      <c r="A268" s="260"/>
      <c r="B268" s="260"/>
      <c r="C268" s="260"/>
      <c r="D268" s="260"/>
      <c r="E268" s="260"/>
      <c r="F268" s="260"/>
      <c r="G268" s="260"/>
      <c r="H268" s="260"/>
      <c r="K268" s="257"/>
      <c r="L268" s="257"/>
      <c r="M268" s="257"/>
      <c r="N268" s="257"/>
      <c r="O268" s="257"/>
      <c r="P268" s="257"/>
    </row>
    <row r="269">
      <c r="A269" s="260"/>
      <c r="B269" s="260"/>
      <c r="C269" s="260"/>
      <c r="D269" s="260"/>
      <c r="E269" s="260"/>
      <c r="F269" s="260"/>
      <c r="G269" s="260"/>
      <c r="H269" s="260"/>
      <c r="K269" s="114"/>
      <c r="L269" s="114"/>
      <c r="M269" s="114"/>
      <c r="N269" s="114"/>
      <c r="O269" s="114"/>
      <c r="P269" s="114"/>
    </row>
    <row r="270">
      <c r="A270" s="260"/>
      <c r="B270" s="260"/>
      <c r="C270" s="260"/>
      <c r="D270" s="260"/>
      <c r="E270" s="260"/>
      <c r="F270" s="260"/>
      <c r="G270" s="260"/>
      <c r="H270" s="260"/>
      <c r="K270" s="257"/>
      <c r="L270" s="257"/>
      <c r="M270" s="257"/>
      <c r="N270" s="257"/>
      <c r="O270" s="257"/>
      <c r="P270" s="257"/>
    </row>
    <row r="271">
      <c r="A271" s="260"/>
      <c r="B271" s="260"/>
      <c r="C271" s="260"/>
      <c r="D271" s="260"/>
      <c r="E271" s="260"/>
      <c r="F271" s="260"/>
      <c r="G271" s="260"/>
      <c r="H271" s="260"/>
      <c r="K271" s="114"/>
      <c r="L271" s="114"/>
      <c r="M271" s="114"/>
      <c r="N271" s="114"/>
      <c r="O271" s="114"/>
      <c r="P271" s="114"/>
    </row>
    <row r="272">
      <c r="A272" s="260"/>
      <c r="B272" s="260"/>
      <c r="C272" s="260"/>
      <c r="D272" s="260"/>
      <c r="E272" s="260"/>
      <c r="F272" s="260"/>
      <c r="G272" s="260"/>
      <c r="H272" s="260"/>
      <c r="K272" s="257"/>
      <c r="L272" s="257"/>
      <c r="M272" s="257"/>
      <c r="N272" s="257"/>
      <c r="O272" s="257"/>
      <c r="P272" s="257"/>
    </row>
    <row r="273">
      <c r="A273" s="260"/>
      <c r="B273" s="260"/>
      <c r="C273" s="260"/>
      <c r="D273" s="260"/>
      <c r="E273" s="260"/>
      <c r="F273" s="260"/>
      <c r="G273" s="260"/>
      <c r="H273" s="260"/>
      <c r="K273" s="114"/>
      <c r="L273" s="114"/>
      <c r="M273" s="114"/>
      <c r="N273" s="114"/>
      <c r="O273" s="114"/>
      <c r="P273" s="114"/>
    </row>
    <row r="274">
      <c r="A274" s="260"/>
      <c r="B274" s="260"/>
      <c r="C274" s="260"/>
      <c r="D274" s="260"/>
      <c r="E274" s="260"/>
      <c r="F274" s="260"/>
      <c r="G274" s="260"/>
      <c r="H274" s="260"/>
      <c r="K274" s="257"/>
      <c r="L274" s="257"/>
      <c r="M274" s="257"/>
      <c r="N274" s="257"/>
      <c r="O274" s="257"/>
      <c r="P274" s="257"/>
    </row>
    <row r="275">
      <c r="A275" s="260"/>
      <c r="B275" s="260"/>
      <c r="C275" s="260"/>
      <c r="D275" s="260"/>
      <c r="E275" s="260"/>
      <c r="F275" s="260"/>
      <c r="G275" s="260"/>
      <c r="H275" s="260"/>
      <c r="K275" s="114"/>
      <c r="L275" s="114"/>
      <c r="M275" s="114"/>
      <c r="N275" s="114"/>
      <c r="O275" s="114"/>
      <c r="P275" s="114"/>
    </row>
    <row r="276">
      <c r="A276" s="260"/>
      <c r="B276" s="260"/>
      <c r="C276" s="260"/>
      <c r="D276" s="260"/>
      <c r="E276" s="260"/>
      <c r="F276" s="260"/>
      <c r="G276" s="260"/>
      <c r="H276" s="260"/>
      <c r="K276" s="257"/>
      <c r="L276" s="257"/>
      <c r="M276" s="257"/>
      <c r="N276" s="257"/>
      <c r="O276" s="257"/>
      <c r="P276" s="257"/>
    </row>
    <row r="277">
      <c r="A277" s="260"/>
      <c r="B277" s="260"/>
      <c r="C277" s="260"/>
      <c r="D277" s="260"/>
      <c r="E277" s="260"/>
      <c r="F277" s="260"/>
      <c r="G277" s="260"/>
      <c r="H277" s="260"/>
      <c r="K277" s="114"/>
      <c r="L277" s="114"/>
      <c r="M277" s="114"/>
      <c r="N277" s="114"/>
      <c r="O277" s="114"/>
      <c r="P277" s="114"/>
    </row>
    <row r="278">
      <c r="A278" s="260"/>
      <c r="B278" s="260"/>
      <c r="C278" s="260"/>
      <c r="D278" s="260"/>
      <c r="E278" s="260"/>
      <c r="F278" s="260"/>
      <c r="G278" s="260"/>
      <c r="H278" s="260"/>
      <c r="K278" s="257"/>
      <c r="L278" s="257"/>
      <c r="M278" s="257"/>
      <c r="N278" s="257"/>
      <c r="O278" s="257"/>
      <c r="P278" s="257"/>
    </row>
    <row r="279">
      <c r="A279" s="260"/>
      <c r="B279" s="260"/>
      <c r="C279" s="260"/>
      <c r="D279" s="260"/>
      <c r="E279" s="260"/>
      <c r="F279" s="260"/>
      <c r="G279" s="260"/>
      <c r="H279" s="260"/>
      <c r="K279" s="114"/>
      <c r="L279" s="114"/>
      <c r="M279" s="114"/>
      <c r="N279" s="114"/>
      <c r="O279" s="114"/>
      <c r="P279" s="114"/>
    </row>
    <row r="280">
      <c r="A280" s="260"/>
      <c r="B280" s="260"/>
      <c r="C280" s="260"/>
      <c r="D280" s="260"/>
      <c r="E280" s="260"/>
      <c r="F280" s="260"/>
      <c r="G280" s="260"/>
      <c r="H280" s="260"/>
      <c r="K280" s="257"/>
      <c r="L280" s="257"/>
      <c r="M280" s="257"/>
      <c r="N280" s="257"/>
      <c r="O280" s="257"/>
      <c r="P280" s="257"/>
    </row>
    <row r="281">
      <c r="A281" s="260"/>
      <c r="B281" s="260"/>
      <c r="C281" s="260"/>
      <c r="D281" s="260"/>
      <c r="E281" s="260"/>
      <c r="F281" s="260"/>
      <c r="G281" s="260"/>
      <c r="H281" s="260"/>
      <c r="K281" s="114"/>
      <c r="L281" s="114"/>
      <c r="M281" s="114"/>
      <c r="N281" s="114"/>
      <c r="O281" s="114"/>
      <c r="P281" s="114"/>
    </row>
    <row r="282">
      <c r="A282" s="260"/>
      <c r="B282" s="260"/>
      <c r="C282" s="260"/>
      <c r="D282" s="260"/>
      <c r="E282" s="260"/>
      <c r="F282" s="260"/>
      <c r="G282" s="260"/>
      <c r="H282" s="260"/>
      <c r="K282" s="257"/>
      <c r="L282" s="257"/>
      <c r="M282" s="257"/>
      <c r="N282" s="257"/>
      <c r="O282" s="257"/>
      <c r="P282" s="257"/>
    </row>
    <row r="283">
      <c r="A283" s="260"/>
      <c r="B283" s="260"/>
      <c r="C283" s="260"/>
      <c r="D283" s="260"/>
      <c r="E283" s="260"/>
      <c r="F283" s="260"/>
      <c r="G283" s="260"/>
      <c r="H283" s="260"/>
      <c r="K283" s="114"/>
      <c r="L283" s="114"/>
      <c r="M283" s="114"/>
      <c r="N283" s="114"/>
      <c r="O283" s="114"/>
      <c r="P283" s="114"/>
    </row>
    <row r="284">
      <c r="A284" s="260"/>
      <c r="B284" s="260"/>
      <c r="C284" s="260"/>
      <c r="D284" s="260"/>
      <c r="E284" s="260"/>
      <c r="F284" s="260"/>
      <c r="G284" s="260"/>
      <c r="H284" s="260"/>
      <c r="K284" s="257"/>
      <c r="L284" s="257"/>
      <c r="M284" s="257"/>
      <c r="N284" s="257"/>
      <c r="O284" s="257"/>
      <c r="P284" s="257"/>
    </row>
    <row r="285">
      <c r="A285" s="260"/>
      <c r="B285" s="260"/>
      <c r="C285" s="260"/>
      <c r="D285" s="260"/>
      <c r="E285" s="260"/>
      <c r="F285" s="260"/>
      <c r="G285" s="260"/>
      <c r="H285" s="260"/>
      <c r="K285" s="114"/>
      <c r="L285" s="114"/>
      <c r="M285" s="114"/>
      <c r="N285" s="114"/>
      <c r="O285" s="114"/>
      <c r="P285" s="114"/>
    </row>
    <row r="286">
      <c r="A286" s="260"/>
      <c r="B286" s="260"/>
      <c r="C286" s="260"/>
      <c r="D286" s="260"/>
      <c r="E286" s="260"/>
      <c r="F286" s="260"/>
      <c r="G286" s="260"/>
      <c r="H286" s="260"/>
      <c r="K286" s="257"/>
      <c r="L286" s="257"/>
      <c r="M286" s="257"/>
      <c r="N286" s="257"/>
      <c r="O286" s="257"/>
      <c r="P286" s="257"/>
    </row>
    <row r="287">
      <c r="A287" s="260"/>
      <c r="B287" s="260"/>
      <c r="C287" s="260"/>
      <c r="D287" s="260"/>
      <c r="E287" s="260"/>
      <c r="F287" s="260"/>
      <c r="G287" s="260"/>
      <c r="H287" s="260"/>
      <c r="K287" s="114"/>
      <c r="L287" s="114"/>
      <c r="M287" s="114"/>
      <c r="N287" s="114"/>
      <c r="O287" s="114"/>
      <c r="P287" s="114"/>
    </row>
    <row r="288">
      <c r="A288" s="260"/>
      <c r="B288" s="260"/>
      <c r="C288" s="260"/>
      <c r="D288" s="260"/>
      <c r="E288" s="260"/>
      <c r="F288" s="260"/>
      <c r="G288" s="260"/>
      <c r="H288" s="260"/>
      <c r="K288" s="257"/>
      <c r="L288" s="257"/>
      <c r="M288" s="257"/>
      <c r="N288" s="257"/>
      <c r="O288" s="257"/>
      <c r="P288" s="257"/>
    </row>
    <row r="289">
      <c r="A289" s="260"/>
      <c r="B289" s="260"/>
      <c r="C289" s="260"/>
      <c r="D289" s="260"/>
      <c r="E289" s="260"/>
      <c r="F289" s="260"/>
      <c r="G289" s="260"/>
      <c r="H289" s="260"/>
      <c r="K289" s="114"/>
      <c r="L289" s="114"/>
      <c r="M289" s="114"/>
      <c r="N289" s="114"/>
      <c r="O289" s="114"/>
      <c r="P289" s="114"/>
    </row>
    <row r="290">
      <c r="A290" s="260"/>
      <c r="B290" s="260"/>
      <c r="C290" s="260"/>
      <c r="D290" s="260"/>
      <c r="E290" s="260"/>
      <c r="F290" s="260"/>
      <c r="G290" s="260"/>
      <c r="H290" s="260"/>
      <c r="K290" s="257"/>
      <c r="L290" s="257"/>
      <c r="M290" s="257"/>
      <c r="N290" s="257"/>
      <c r="O290" s="257"/>
      <c r="P290" s="257"/>
    </row>
    <row r="291">
      <c r="A291" s="260"/>
      <c r="B291" s="260"/>
      <c r="C291" s="260"/>
      <c r="D291" s="260"/>
      <c r="E291" s="260"/>
      <c r="F291" s="260"/>
      <c r="G291" s="260"/>
      <c r="H291" s="260"/>
      <c r="K291" s="114"/>
      <c r="L291" s="114"/>
      <c r="M291" s="114"/>
      <c r="N291" s="114"/>
      <c r="O291" s="114"/>
      <c r="P291" s="114"/>
    </row>
    <row r="292">
      <c r="A292" s="260"/>
      <c r="B292" s="260"/>
      <c r="C292" s="260"/>
      <c r="D292" s="260"/>
      <c r="E292" s="260"/>
      <c r="F292" s="260"/>
      <c r="G292" s="260"/>
      <c r="H292" s="260"/>
      <c r="K292" s="257"/>
      <c r="L292" s="257"/>
      <c r="M292" s="257"/>
      <c r="N292" s="257"/>
      <c r="O292" s="257"/>
      <c r="P292" s="257"/>
    </row>
    <row r="293">
      <c r="A293" s="260"/>
      <c r="B293" s="260"/>
      <c r="C293" s="260"/>
      <c r="D293" s="260"/>
      <c r="E293" s="260"/>
      <c r="F293" s="260"/>
      <c r="G293" s="260"/>
      <c r="H293" s="260"/>
      <c r="K293" s="114"/>
      <c r="L293" s="114"/>
      <c r="M293" s="114"/>
      <c r="N293" s="114"/>
      <c r="O293" s="114"/>
      <c r="P293" s="114"/>
    </row>
    <row r="294">
      <c r="A294" s="260"/>
      <c r="B294" s="260"/>
      <c r="C294" s="260"/>
      <c r="D294" s="260"/>
      <c r="E294" s="260"/>
      <c r="F294" s="260"/>
      <c r="G294" s="260"/>
      <c r="H294" s="260"/>
      <c r="K294" s="257"/>
      <c r="L294" s="257"/>
      <c r="M294" s="257"/>
      <c r="N294" s="257"/>
      <c r="O294" s="257"/>
      <c r="P294" s="257"/>
    </row>
    <row r="295">
      <c r="A295" s="260"/>
      <c r="B295" s="260"/>
      <c r="C295" s="260"/>
      <c r="D295" s="260"/>
      <c r="E295" s="260"/>
      <c r="F295" s="260"/>
      <c r="G295" s="260"/>
      <c r="H295" s="260"/>
      <c r="K295" s="114"/>
      <c r="L295" s="114"/>
      <c r="M295" s="114"/>
      <c r="N295" s="114"/>
      <c r="O295" s="114"/>
      <c r="P295" s="114"/>
    </row>
    <row r="296">
      <c r="A296" s="260"/>
      <c r="B296" s="260"/>
      <c r="C296" s="260"/>
      <c r="D296" s="260"/>
      <c r="E296" s="260"/>
      <c r="F296" s="260"/>
      <c r="G296" s="260"/>
      <c r="H296" s="260"/>
      <c r="K296" s="257"/>
      <c r="L296" s="257"/>
      <c r="M296" s="257"/>
      <c r="N296" s="257"/>
      <c r="O296" s="257"/>
      <c r="P296" s="257"/>
    </row>
    <row r="297">
      <c r="A297" s="260"/>
      <c r="B297" s="260"/>
      <c r="C297" s="260"/>
      <c r="D297" s="260"/>
      <c r="E297" s="260"/>
      <c r="F297" s="260"/>
      <c r="G297" s="260"/>
      <c r="H297" s="260"/>
      <c r="K297" s="114"/>
      <c r="L297" s="114"/>
      <c r="M297" s="114"/>
      <c r="N297" s="114"/>
      <c r="O297" s="114"/>
      <c r="P297" s="114"/>
    </row>
    <row r="298">
      <c r="A298" s="260"/>
      <c r="B298" s="260"/>
      <c r="C298" s="260"/>
      <c r="D298" s="260"/>
      <c r="E298" s="260"/>
      <c r="F298" s="260"/>
      <c r="G298" s="260"/>
      <c r="H298" s="260"/>
      <c r="K298" s="257"/>
      <c r="L298" s="257"/>
      <c r="M298" s="257"/>
      <c r="N298" s="257"/>
      <c r="O298" s="257"/>
      <c r="P298" s="257"/>
    </row>
    <row r="299">
      <c r="A299" s="260"/>
      <c r="B299" s="260"/>
      <c r="C299" s="260"/>
      <c r="D299" s="260"/>
      <c r="E299" s="260"/>
      <c r="F299" s="260"/>
      <c r="G299" s="260"/>
      <c r="H299" s="260"/>
      <c r="K299" s="114"/>
      <c r="L299" s="114"/>
      <c r="M299" s="114"/>
      <c r="N299" s="114"/>
      <c r="O299" s="114"/>
      <c r="P299" s="114"/>
    </row>
    <row r="300">
      <c r="A300" s="260"/>
      <c r="B300" s="260"/>
      <c r="C300" s="260"/>
      <c r="D300" s="260"/>
      <c r="E300" s="260"/>
      <c r="F300" s="260"/>
      <c r="G300" s="260"/>
      <c r="H300" s="260"/>
      <c r="K300" s="257"/>
      <c r="L300" s="257"/>
      <c r="M300" s="257"/>
      <c r="N300" s="257"/>
      <c r="O300" s="257"/>
      <c r="P300" s="257"/>
    </row>
    <row r="301">
      <c r="A301" s="260"/>
      <c r="B301" s="260"/>
      <c r="C301" s="260"/>
      <c r="D301" s="260"/>
      <c r="E301" s="260"/>
      <c r="F301" s="260"/>
      <c r="G301" s="260"/>
      <c r="H301" s="260"/>
      <c r="K301" s="114"/>
      <c r="L301" s="114"/>
      <c r="M301" s="114"/>
      <c r="N301" s="114"/>
      <c r="O301" s="114"/>
      <c r="P301" s="114"/>
    </row>
    <row r="302">
      <c r="A302" s="260"/>
      <c r="B302" s="260"/>
      <c r="C302" s="260"/>
      <c r="D302" s="260"/>
      <c r="E302" s="260"/>
      <c r="F302" s="260"/>
      <c r="G302" s="260"/>
      <c r="H302" s="260"/>
      <c r="K302" s="257"/>
      <c r="L302" s="257"/>
      <c r="M302" s="257"/>
      <c r="N302" s="257"/>
      <c r="O302" s="257"/>
      <c r="P302" s="257"/>
    </row>
    <row r="303">
      <c r="A303" s="260"/>
      <c r="B303" s="260"/>
      <c r="C303" s="260"/>
      <c r="D303" s="260"/>
      <c r="E303" s="260"/>
      <c r="F303" s="260"/>
      <c r="G303" s="260"/>
      <c r="H303" s="260"/>
      <c r="K303" s="114"/>
      <c r="L303" s="114"/>
      <c r="M303" s="114"/>
      <c r="N303" s="114"/>
      <c r="O303" s="114"/>
      <c r="P303" s="114"/>
    </row>
    <row r="304">
      <c r="A304" s="260"/>
      <c r="B304" s="260"/>
      <c r="C304" s="260"/>
      <c r="D304" s="260"/>
      <c r="E304" s="260"/>
      <c r="F304" s="260"/>
      <c r="G304" s="260"/>
      <c r="H304" s="260"/>
      <c r="K304" s="257"/>
      <c r="L304" s="257"/>
      <c r="M304" s="257"/>
      <c r="N304" s="257"/>
      <c r="O304" s="257"/>
      <c r="P304" s="257"/>
    </row>
    <row r="305">
      <c r="A305" s="260"/>
      <c r="B305" s="260"/>
      <c r="C305" s="260"/>
      <c r="D305" s="260"/>
      <c r="E305" s="260"/>
      <c r="F305" s="260"/>
      <c r="G305" s="260"/>
      <c r="H305" s="260"/>
      <c r="K305" s="114"/>
      <c r="L305" s="114"/>
      <c r="M305" s="114"/>
      <c r="N305" s="114"/>
      <c r="O305" s="114"/>
      <c r="P305" s="114"/>
    </row>
    <row r="306">
      <c r="A306" s="260"/>
      <c r="B306" s="260"/>
      <c r="C306" s="260"/>
      <c r="D306" s="260"/>
      <c r="E306" s="260"/>
      <c r="F306" s="260"/>
      <c r="G306" s="260"/>
      <c r="H306" s="260"/>
      <c r="K306" s="257"/>
      <c r="L306" s="257"/>
      <c r="M306" s="257"/>
      <c r="N306" s="257"/>
      <c r="O306" s="257"/>
      <c r="P306" s="257"/>
    </row>
    <row r="307">
      <c r="A307" s="260"/>
      <c r="B307" s="260"/>
      <c r="C307" s="260"/>
      <c r="D307" s="260"/>
      <c r="E307" s="260"/>
      <c r="F307" s="260"/>
      <c r="G307" s="260"/>
      <c r="H307" s="260"/>
      <c r="K307" s="114"/>
      <c r="L307" s="114"/>
      <c r="M307" s="114"/>
      <c r="N307" s="114"/>
      <c r="O307" s="114"/>
      <c r="P307" s="114"/>
    </row>
    <row r="308">
      <c r="A308" s="260"/>
      <c r="B308" s="260"/>
      <c r="C308" s="260"/>
      <c r="D308" s="260"/>
      <c r="E308" s="260"/>
      <c r="F308" s="260"/>
      <c r="G308" s="260"/>
      <c r="H308" s="260"/>
      <c r="K308" s="257"/>
      <c r="L308" s="257"/>
      <c r="M308" s="257"/>
      <c r="N308" s="257"/>
      <c r="O308" s="257"/>
      <c r="P308" s="257"/>
    </row>
    <row r="309">
      <c r="A309" s="260"/>
      <c r="B309" s="260"/>
      <c r="C309" s="260"/>
      <c r="D309" s="260"/>
      <c r="E309" s="260"/>
      <c r="F309" s="260"/>
      <c r="G309" s="260"/>
      <c r="H309" s="260"/>
      <c r="K309" s="114"/>
      <c r="L309" s="114"/>
      <c r="M309" s="114"/>
      <c r="N309" s="114"/>
      <c r="O309" s="114"/>
      <c r="P309" s="114"/>
    </row>
    <row r="310">
      <c r="A310" s="260"/>
      <c r="B310" s="260"/>
      <c r="C310" s="260"/>
      <c r="D310" s="260"/>
      <c r="E310" s="260"/>
      <c r="F310" s="260"/>
      <c r="G310" s="260"/>
      <c r="H310" s="260"/>
      <c r="K310" s="257"/>
      <c r="L310" s="257"/>
      <c r="M310" s="257"/>
      <c r="N310" s="257"/>
      <c r="O310" s="257"/>
      <c r="P310" s="257"/>
    </row>
    <row r="311">
      <c r="A311" s="260"/>
      <c r="B311" s="260"/>
      <c r="C311" s="260"/>
      <c r="D311" s="260"/>
      <c r="E311" s="260"/>
      <c r="F311" s="260"/>
      <c r="G311" s="260"/>
      <c r="H311" s="260"/>
      <c r="K311" s="114"/>
      <c r="L311" s="114"/>
      <c r="M311" s="114"/>
      <c r="N311" s="114"/>
      <c r="O311" s="114"/>
      <c r="P311" s="114"/>
    </row>
    <row r="312">
      <c r="A312" s="260"/>
      <c r="B312" s="260"/>
      <c r="C312" s="260"/>
      <c r="D312" s="260"/>
      <c r="E312" s="260"/>
      <c r="F312" s="260"/>
      <c r="G312" s="260"/>
      <c r="H312" s="260"/>
      <c r="K312" s="257"/>
      <c r="L312" s="257"/>
      <c r="M312" s="257"/>
      <c r="N312" s="257"/>
      <c r="O312" s="257"/>
      <c r="P312" s="257"/>
    </row>
    <row r="313">
      <c r="A313" s="260"/>
      <c r="B313" s="260"/>
      <c r="C313" s="260"/>
      <c r="D313" s="260"/>
      <c r="E313" s="260"/>
      <c r="F313" s="260"/>
      <c r="G313" s="260"/>
      <c r="H313" s="260"/>
      <c r="K313" s="114"/>
      <c r="L313" s="114"/>
      <c r="M313" s="114"/>
      <c r="N313" s="114"/>
      <c r="O313" s="114"/>
      <c r="P313" s="114"/>
    </row>
    <row r="314">
      <c r="A314" s="260"/>
      <c r="B314" s="260"/>
      <c r="C314" s="260"/>
      <c r="D314" s="260"/>
      <c r="E314" s="260"/>
      <c r="F314" s="260"/>
      <c r="G314" s="260"/>
      <c r="H314" s="260"/>
      <c r="K314" s="257"/>
      <c r="L314" s="257"/>
      <c r="M314" s="257"/>
      <c r="N314" s="257"/>
      <c r="O314" s="257"/>
      <c r="P314" s="257"/>
    </row>
    <row r="315">
      <c r="A315" s="260"/>
      <c r="B315" s="260"/>
      <c r="C315" s="260"/>
      <c r="D315" s="260"/>
      <c r="E315" s="260"/>
      <c r="F315" s="260"/>
      <c r="G315" s="260"/>
      <c r="H315" s="260"/>
      <c r="K315" s="114"/>
      <c r="L315" s="114"/>
      <c r="M315" s="114"/>
      <c r="N315" s="114"/>
      <c r="O315" s="114"/>
      <c r="P315" s="114"/>
    </row>
    <row r="316">
      <c r="A316" s="260"/>
      <c r="B316" s="260"/>
      <c r="C316" s="260"/>
      <c r="D316" s="260"/>
      <c r="E316" s="260"/>
      <c r="F316" s="260"/>
      <c r="G316" s="260"/>
      <c r="H316" s="260"/>
      <c r="K316" s="257"/>
      <c r="L316" s="257"/>
      <c r="M316" s="257"/>
      <c r="N316" s="257"/>
      <c r="O316" s="257"/>
      <c r="P316" s="257"/>
    </row>
    <row r="317">
      <c r="A317" s="260"/>
      <c r="B317" s="260"/>
      <c r="C317" s="260"/>
      <c r="D317" s="260"/>
      <c r="E317" s="260"/>
      <c r="F317" s="260"/>
      <c r="G317" s="260"/>
      <c r="H317" s="260"/>
      <c r="K317" s="114"/>
      <c r="L317" s="114"/>
      <c r="M317" s="114"/>
      <c r="N317" s="114"/>
      <c r="O317" s="114"/>
      <c r="P317" s="114"/>
    </row>
    <row r="318">
      <c r="A318" s="260"/>
      <c r="B318" s="260"/>
      <c r="C318" s="260"/>
      <c r="D318" s="260"/>
      <c r="E318" s="260"/>
      <c r="F318" s="260"/>
      <c r="G318" s="260"/>
      <c r="H318" s="260"/>
      <c r="K318" s="257"/>
      <c r="L318" s="257"/>
      <c r="M318" s="257"/>
      <c r="N318" s="257"/>
      <c r="O318" s="257"/>
      <c r="P318" s="257"/>
    </row>
    <row r="319">
      <c r="A319" s="260"/>
      <c r="B319" s="260"/>
      <c r="C319" s="260"/>
      <c r="D319" s="260"/>
      <c r="E319" s="260"/>
      <c r="F319" s="260"/>
      <c r="G319" s="260"/>
      <c r="H319" s="260"/>
      <c r="K319" s="114"/>
      <c r="L319" s="114"/>
      <c r="M319" s="114"/>
      <c r="N319" s="114"/>
      <c r="O319" s="114"/>
      <c r="P319" s="114"/>
    </row>
    <row r="320">
      <c r="A320" s="260"/>
      <c r="B320" s="260"/>
      <c r="C320" s="260"/>
      <c r="D320" s="260"/>
      <c r="E320" s="260"/>
      <c r="F320" s="260"/>
      <c r="G320" s="260"/>
      <c r="H320" s="260"/>
      <c r="K320" s="257"/>
      <c r="L320" s="257"/>
      <c r="M320" s="257"/>
      <c r="N320" s="257"/>
      <c r="O320" s="257"/>
      <c r="P320" s="257"/>
    </row>
    <row r="321">
      <c r="A321" s="260"/>
      <c r="B321" s="260"/>
      <c r="C321" s="260"/>
      <c r="D321" s="260"/>
      <c r="E321" s="260"/>
      <c r="F321" s="260"/>
      <c r="G321" s="260"/>
      <c r="H321" s="260"/>
      <c r="K321" s="114"/>
      <c r="L321" s="114"/>
      <c r="M321" s="114"/>
      <c r="N321" s="114"/>
      <c r="O321" s="114"/>
      <c r="P321" s="114"/>
    </row>
    <row r="322">
      <c r="A322" s="260"/>
      <c r="B322" s="260"/>
      <c r="C322" s="260"/>
      <c r="D322" s="260"/>
      <c r="E322" s="260"/>
      <c r="F322" s="260"/>
      <c r="G322" s="260"/>
      <c r="H322" s="260"/>
      <c r="K322" s="257"/>
      <c r="L322" s="257"/>
      <c r="M322" s="257"/>
      <c r="N322" s="257"/>
      <c r="O322" s="257"/>
      <c r="P322" s="257"/>
    </row>
    <row r="323">
      <c r="A323" s="260"/>
      <c r="B323" s="260"/>
      <c r="C323" s="260"/>
      <c r="D323" s="260"/>
      <c r="E323" s="260"/>
      <c r="F323" s="260"/>
      <c r="G323" s="260"/>
      <c r="H323" s="260"/>
      <c r="K323" s="114"/>
      <c r="L323" s="114"/>
      <c r="M323" s="114"/>
      <c r="N323" s="114"/>
      <c r="O323" s="114"/>
      <c r="P323" s="114"/>
    </row>
    <row r="324">
      <c r="A324" s="260"/>
      <c r="B324" s="260"/>
      <c r="C324" s="260"/>
      <c r="D324" s="260"/>
      <c r="E324" s="260"/>
      <c r="F324" s="260"/>
      <c r="G324" s="260"/>
      <c r="H324" s="260"/>
      <c r="K324" s="257"/>
      <c r="L324" s="257"/>
      <c r="M324" s="257"/>
      <c r="N324" s="257"/>
      <c r="O324" s="257"/>
      <c r="P324" s="257"/>
    </row>
    <row r="325">
      <c r="A325" s="260"/>
      <c r="B325" s="260"/>
      <c r="C325" s="260"/>
      <c r="D325" s="260"/>
      <c r="E325" s="260"/>
      <c r="F325" s="260"/>
      <c r="G325" s="260"/>
      <c r="H325" s="260"/>
      <c r="K325" s="114"/>
      <c r="L325" s="114"/>
      <c r="M325" s="114"/>
      <c r="N325" s="114"/>
      <c r="O325" s="114"/>
      <c r="P325" s="114"/>
    </row>
    <row r="326">
      <c r="A326" s="260"/>
      <c r="B326" s="260"/>
      <c r="C326" s="260"/>
      <c r="D326" s="260"/>
      <c r="E326" s="260"/>
      <c r="F326" s="260"/>
      <c r="G326" s="260"/>
      <c r="H326" s="260"/>
      <c r="K326" s="257"/>
      <c r="L326" s="257"/>
      <c r="M326" s="257"/>
      <c r="N326" s="257"/>
      <c r="O326" s="257"/>
      <c r="P326" s="257"/>
    </row>
    <row r="327">
      <c r="A327" s="260"/>
      <c r="B327" s="260"/>
      <c r="C327" s="260"/>
      <c r="D327" s="260"/>
      <c r="E327" s="260"/>
      <c r="F327" s="260"/>
      <c r="G327" s="260"/>
      <c r="H327" s="260"/>
      <c r="K327" s="114"/>
      <c r="L327" s="114"/>
      <c r="M327" s="114"/>
      <c r="N327" s="114"/>
      <c r="O327" s="114"/>
      <c r="P327" s="114"/>
    </row>
    <row r="328">
      <c r="A328" s="260"/>
      <c r="B328" s="260"/>
      <c r="C328" s="260"/>
      <c r="D328" s="260"/>
      <c r="E328" s="260"/>
      <c r="F328" s="260"/>
      <c r="G328" s="260"/>
      <c r="H328" s="260"/>
      <c r="K328" s="257"/>
      <c r="L328" s="257"/>
      <c r="M328" s="257"/>
      <c r="N328" s="257"/>
      <c r="O328" s="257"/>
      <c r="P328" s="257"/>
    </row>
    <row r="329">
      <c r="A329" s="260"/>
      <c r="B329" s="260"/>
      <c r="C329" s="260"/>
      <c r="D329" s="260"/>
      <c r="E329" s="260"/>
      <c r="F329" s="260"/>
      <c r="G329" s="260"/>
      <c r="H329" s="260"/>
      <c r="K329" s="114"/>
      <c r="L329" s="114"/>
      <c r="M329" s="114"/>
      <c r="N329" s="114"/>
      <c r="O329" s="114"/>
      <c r="P329" s="114"/>
    </row>
    <row r="330">
      <c r="A330" s="260"/>
      <c r="B330" s="260"/>
      <c r="C330" s="260"/>
      <c r="D330" s="260"/>
      <c r="E330" s="260"/>
      <c r="F330" s="260"/>
      <c r="G330" s="260"/>
      <c r="H330" s="260"/>
      <c r="K330" s="257"/>
      <c r="L330" s="257"/>
      <c r="M330" s="257"/>
      <c r="N330" s="257"/>
      <c r="O330" s="257"/>
      <c r="P330" s="257"/>
    </row>
    <row r="331">
      <c r="A331" s="260"/>
      <c r="B331" s="260"/>
      <c r="C331" s="260"/>
      <c r="D331" s="260"/>
      <c r="E331" s="260"/>
      <c r="F331" s="260"/>
      <c r="G331" s="260"/>
      <c r="H331" s="260"/>
      <c r="K331" s="114"/>
      <c r="L331" s="114"/>
      <c r="M331" s="114"/>
      <c r="N331" s="114"/>
      <c r="O331" s="114"/>
      <c r="P331" s="114"/>
    </row>
    <row r="332">
      <c r="A332" s="260"/>
      <c r="B332" s="260"/>
      <c r="C332" s="260"/>
      <c r="D332" s="260"/>
      <c r="E332" s="260"/>
      <c r="F332" s="260"/>
      <c r="G332" s="260"/>
      <c r="H332" s="260"/>
      <c r="K332" s="257"/>
      <c r="L332" s="257"/>
      <c r="M332" s="257"/>
      <c r="N332" s="257"/>
      <c r="O332" s="257"/>
      <c r="P332" s="257"/>
    </row>
    <row r="333">
      <c r="A333" s="260"/>
      <c r="B333" s="260"/>
      <c r="C333" s="260"/>
      <c r="D333" s="260"/>
      <c r="E333" s="260"/>
      <c r="F333" s="260"/>
      <c r="G333" s="260"/>
      <c r="H333" s="260"/>
      <c r="K333" s="114"/>
      <c r="L333" s="114"/>
      <c r="M333" s="114"/>
      <c r="N333" s="114"/>
      <c r="O333" s="114"/>
      <c r="P333" s="114"/>
    </row>
    <row r="334">
      <c r="A334" s="260"/>
      <c r="B334" s="260"/>
      <c r="C334" s="260"/>
      <c r="D334" s="260"/>
      <c r="E334" s="260"/>
      <c r="F334" s="260"/>
      <c r="G334" s="260"/>
      <c r="H334" s="260"/>
      <c r="K334" s="257"/>
      <c r="L334" s="257"/>
      <c r="M334" s="257"/>
      <c r="N334" s="257"/>
      <c r="O334" s="257"/>
      <c r="P334" s="257"/>
    </row>
    <row r="335">
      <c r="A335" s="260"/>
      <c r="B335" s="260"/>
      <c r="C335" s="260"/>
      <c r="D335" s="260"/>
      <c r="E335" s="260"/>
      <c r="F335" s="260"/>
      <c r="G335" s="260"/>
      <c r="H335" s="260"/>
      <c r="K335" s="114"/>
      <c r="L335" s="114"/>
      <c r="M335" s="114"/>
      <c r="N335" s="114"/>
      <c r="O335" s="114"/>
      <c r="P335" s="114"/>
    </row>
    <row r="336">
      <c r="A336" s="260"/>
      <c r="B336" s="260"/>
      <c r="C336" s="260"/>
      <c r="D336" s="260"/>
      <c r="E336" s="260"/>
      <c r="F336" s="260"/>
      <c r="G336" s="260"/>
      <c r="H336" s="260"/>
      <c r="K336" s="257"/>
      <c r="L336" s="257"/>
      <c r="M336" s="257"/>
      <c r="N336" s="257"/>
      <c r="O336" s="257"/>
      <c r="P336" s="257"/>
    </row>
    <row r="337">
      <c r="A337" s="260"/>
      <c r="B337" s="260"/>
      <c r="C337" s="260"/>
      <c r="D337" s="260"/>
      <c r="E337" s="260"/>
      <c r="F337" s="260"/>
      <c r="G337" s="260"/>
      <c r="H337" s="260"/>
      <c r="K337" s="114"/>
      <c r="L337" s="114"/>
      <c r="M337" s="114"/>
      <c r="N337" s="114"/>
      <c r="O337" s="114"/>
      <c r="P337" s="114"/>
    </row>
    <row r="338">
      <c r="A338" s="260"/>
      <c r="B338" s="260"/>
      <c r="C338" s="260"/>
      <c r="D338" s="260"/>
      <c r="E338" s="260"/>
      <c r="F338" s="260"/>
      <c r="G338" s="260"/>
      <c r="H338" s="260"/>
      <c r="K338" s="257"/>
      <c r="L338" s="257"/>
      <c r="M338" s="257"/>
      <c r="N338" s="257"/>
      <c r="O338" s="257"/>
      <c r="P338" s="257"/>
    </row>
    <row r="339">
      <c r="A339" s="260"/>
      <c r="B339" s="260"/>
      <c r="C339" s="260"/>
      <c r="D339" s="260"/>
      <c r="E339" s="260"/>
      <c r="F339" s="260"/>
      <c r="G339" s="260"/>
      <c r="H339" s="260"/>
      <c r="K339" s="114"/>
      <c r="L339" s="114"/>
      <c r="M339" s="114"/>
      <c r="N339" s="114"/>
      <c r="O339" s="114"/>
      <c r="P339" s="114"/>
    </row>
    <row r="340">
      <c r="A340" s="260"/>
      <c r="B340" s="260"/>
      <c r="C340" s="260"/>
      <c r="D340" s="260"/>
      <c r="E340" s="260"/>
      <c r="F340" s="260"/>
      <c r="G340" s="260"/>
      <c r="H340" s="260"/>
      <c r="K340" s="257"/>
      <c r="L340" s="257"/>
      <c r="M340" s="257"/>
      <c r="N340" s="257"/>
      <c r="O340" s="257"/>
      <c r="P340" s="257"/>
    </row>
    <row r="341">
      <c r="A341" s="260"/>
      <c r="B341" s="260"/>
      <c r="C341" s="260"/>
      <c r="D341" s="260"/>
      <c r="E341" s="260"/>
      <c r="F341" s="260"/>
      <c r="G341" s="260"/>
      <c r="H341" s="260"/>
      <c r="K341" s="114"/>
      <c r="L341" s="114"/>
      <c r="M341" s="114"/>
      <c r="N341" s="114"/>
      <c r="O341" s="114"/>
      <c r="P341" s="114"/>
    </row>
    <row r="342">
      <c r="A342" s="260"/>
      <c r="B342" s="260"/>
      <c r="C342" s="260"/>
      <c r="D342" s="260"/>
      <c r="E342" s="260"/>
      <c r="F342" s="260"/>
      <c r="G342" s="260"/>
      <c r="H342" s="260"/>
      <c r="K342" s="257"/>
      <c r="L342" s="257"/>
      <c r="M342" s="257"/>
      <c r="N342" s="257"/>
      <c r="O342" s="257"/>
      <c r="P342" s="257"/>
    </row>
    <row r="343">
      <c r="A343" s="260"/>
      <c r="B343" s="260"/>
      <c r="C343" s="260"/>
      <c r="D343" s="260"/>
      <c r="E343" s="260"/>
      <c r="F343" s="260"/>
      <c r="G343" s="260"/>
      <c r="H343" s="260"/>
      <c r="K343" s="114"/>
      <c r="L343" s="114"/>
      <c r="M343" s="114"/>
      <c r="N343" s="114"/>
      <c r="O343" s="114"/>
      <c r="P343" s="114"/>
    </row>
    <row r="344">
      <c r="A344" s="260"/>
      <c r="B344" s="260"/>
      <c r="C344" s="260"/>
      <c r="D344" s="260"/>
      <c r="E344" s="260"/>
      <c r="F344" s="260"/>
      <c r="G344" s="260"/>
      <c r="H344" s="260"/>
      <c r="K344" s="257"/>
      <c r="L344" s="257"/>
      <c r="M344" s="257"/>
      <c r="N344" s="257"/>
      <c r="O344" s="257"/>
      <c r="P344" s="257"/>
    </row>
    <row r="345">
      <c r="A345" s="260"/>
      <c r="B345" s="260"/>
      <c r="C345" s="260"/>
      <c r="D345" s="260"/>
      <c r="E345" s="260"/>
      <c r="F345" s="260"/>
      <c r="G345" s="260"/>
      <c r="H345" s="260"/>
      <c r="K345" s="114"/>
      <c r="L345" s="114"/>
      <c r="M345" s="114"/>
      <c r="N345" s="114"/>
      <c r="O345" s="114"/>
      <c r="P345" s="114"/>
    </row>
    <row r="346">
      <c r="A346" s="260"/>
      <c r="B346" s="260"/>
      <c r="C346" s="260"/>
      <c r="D346" s="260"/>
      <c r="E346" s="260"/>
      <c r="F346" s="260"/>
      <c r="G346" s="260"/>
      <c r="H346" s="260"/>
      <c r="K346" s="257"/>
      <c r="L346" s="257"/>
      <c r="M346" s="257"/>
      <c r="N346" s="257"/>
      <c r="O346" s="257"/>
      <c r="P346" s="257"/>
    </row>
    <row r="347">
      <c r="A347" s="260"/>
      <c r="B347" s="260"/>
      <c r="C347" s="260"/>
      <c r="D347" s="260"/>
      <c r="E347" s="260"/>
      <c r="F347" s="260"/>
      <c r="G347" s="260"/>
      <c r="H347" s="260"/>
      <c r="K347" s="114"/>
      <c r="L347" s="114"/>
      <c r="M347" s="114"/>
      <c r="N347" s="114"/>
      <c r="O347" s="114"/>
      <c r="P347" s="114"/>
    </row>
    <row r="348">
      <c r="A348" s="260"/>
      <c r="B348" s="260"/>
      <c r="C348" s="260"/>
      <c r="D348" s="260"/>
      <c r="E348" s="260"/>
      <c r="F348" s="260"/>
      <c r="G348" s="260"/>
      <c r="H348" s="260"/>
      <c r="K348" s="257"/>
      <c r="L348" s="257"/>
      <c r="M348" s="257"/>
      <c r="N348" s="257"/>
      <c r="O348" s="257"/>
      <c r="P348" s="257"/>
    </row>
    <row r="349">
      <c r="A349" s="260"/>
      <c r="B349" s="260"/>
      <c r="C349" s="260"/>
      <c r="D349" s="260"/>
      <c r="E349" s="260"/>
      <c r="F349" s="260"/>
      <c r="G349" s="260"/>
      <c r="H349" s="260"/>
      <c r="K349" s="114"/>
      <c r="L349" s="114"/>
      <c r="M349" s="114"/>
      <c r="N349" s="114"/>
      <c r="O349" s="114"/>
      <c r="P349" s="114"/>
    </row>
    <row r="350">
      <c r="A350" s="260"/>
      <c r="B350" s="260"/>
      <c r="C350" s="260"/>
      <c r="D350" s="260"/>
      <c r="E350" s="260"/>
      <c r="F350" s="260"/>
      <c r="G350" s="260"/>
      <c r="H350" s="260"/>
      <c r="K350" s="257"/>
      <c r="L350" s="257"/>
      <c r="M350" s="257"/>
      <c r="N350" s="257"/>
      <c r="O350" s="257"/>
      <c r="P350" s="257"/>
    </row>
    <row r="351">
      <c r="A351" s="260"/>
      <c r="B351" s="260"/>
      <c r="C351" s="260"/>
      <c r="D351" s="260"/>
      <c r="E351" s="260"/>
      <c r="F351" s="260"/>
      <c r="G351" s="260"/>
      <c r="H351" s="260"/>
      <c r="K351" s="114"/>
      <c r="L351" s="114"/>
      <c r="M351" s="114"/>
      <c r="N351" s="114"/>
      <c r="O351" s="114"/>
      <c r="P351" s="114"/>
    </row>
    <row r="352">
      <c r="A352" s="260"/>
      <c r="B352" s="260"/>
      <c r="C352" s="260"/>
      <c r="D352" s="260"/>
      <c r="E352" s="260"/>
      <c r="F352" s="260"/>
      <c r="G352" s="260"/>
      <c r="H352" s="260"/>
      <c r="K352" s="257"/>
      <c r="L352" s="257"/>
      <c r="M352" s="257"/>
      <c r="N352" s="257"/>
      <c r="O352" s="257"/>
      <c r="P352" s="257"/>
    </row>
    <row r="353">
      <c r="A353" s="260"/>
      <c r="B353" s="260"/>
      <c r="C353" s="260"/>
      <c r="D353" s="260"/>
      <c r="E353" s="260"/>
      <c r="F353" s="260"/>
      <c r="G353" s="260"/>
      <c r="H353" s="260"/>
      <c r="K353" s="114"/>
      <c r="L353" s="114"/>
      <c r="M353" s="114"/>
      <c r="N353" s="114"/>
      <c r="O353" s="114"/>
      <c r="P353" s="114"/>
    </row>
    <row r="354">
      <c r="A354" s="260"/>
      <c r="B354" s="260"/>
      <c r="C354" s="260"/>
      <c r="D354" s="260"/>
      <c r="E354" s="260"/>
      <c r="F354" s="260"/>
      <c r="G354" s="260"/>
      <c r="H354" s="260"/>
      <c r="K354" s="257"/>
      <c r="L354" s="257"/>
      <c r="M354" s="257"/>
      <c r="N354" s="257"/>
      <c r="O354" s="257"/>
      <c r="P354" s="257"/>
    </row>
    <row r="355">
      <c r="A355" s="260"/>
      <c r="B355" s="260"/>
      <c r="C355" s="260"/>
      <c r="D355" s="260"/>
      <c r="E355" s="260"/>
      <c r="F355" s="260"/>
      <c r="G355" s="260"/>
      <c r="H355" s="260"/>
      <c r="K355" s="114"/>
      <c r="L355" s="114"/>
      <c r="M355" s="114"/>
      <c r="N355" s="114"/>
      <c r="O355" s="114"/>
      <c r="P355" s="114"/>
    </row>
    <row r="356">
      <c r="A356" s="260"/>
      <c r="B356" s="260"/>
      <c r="C356" s="260"/>
      <c r="D356" s="260"/>
      <c r="E356" s="260"/>
      <c r="F356" s="260"/>
      <c r="G356" s="260"/>
      <c r="H356" s="260"/>
      <c r="K356" s="257"/>
      <c r="L356" s="257"/>
      <c r="M356" s="257"/>
      <c r="N356" s="257"/>
      <c r="O356" s="257"/>
      <c r="P356" s="257"/>
    </row>
    <row r="357">
      <c r="A357" s="260"/>
      <c r="B357" s="260"/>
      <c r="C357" s="260"/>
      <c r="D357" s="260"/>
      <c r="E357" s="260"/>
      <c r="F357" s="260"/>
      <c r="G357" s="260"/>
      <c r="H357" s="260"/>
      <c r="K357" s="114"/>
      <c r="L357" s="114"/>
      <c r="M357" s="114"/>
      <c r="N357" s="114"/>
      <c r="O357" s="114"/>
      <c r="P357" s="114"/>
    </row>
    <row r="358">
      <c r="A358" s="260"/>
      <c r="B358" s="260"/>
      <c r="C358" s="260"/>
      <c r="D358" s="260"/>
      <c r="E358" s="260"/>
      <c r="F358" s="260"/>
      <c r="G358" s="260"/>
      <c r="H358" s="260"/>
      <c r="K358" s="257"/>
      <c r="L358" s="257"/>
      <c r="M358" s="257"/>
      <c r="N358" s="257"/>
      <c r="O358" s="257"/>
      <c r="P358" s="257"/>
    </row>
    <row r="359">
      <c r="A359" s="260"/>
      <c r="B359" s="260"/>
      <c r="C359" s="260"/>
      <c r="D359" s="260"/>
      <c r="E359" s="260"/>
      <c r="F359" s="260"/>
      <c r="G359" s="260"/>
      <c r="H359" s="260"/>
      <c r="K359" s="114"/>
      <c r="L359" s="114"/>
      <c r="M359" s="114"/>
      <c r="N359" s="114"/>
      <c r="O359" s="114"/>
      <c r="P359" s="114"/>
    </row>
    <row r="360">
      <c r="A360" s="260"/>
      <c r="B360" s="260"/>
      <c r="C360" s="260"/>
      <c r="D360" s="260"/>
      <c r="E360" s="260"/>
      <c r="F360" s="260"/>
      <c r="G360" s="260"/>
      <c r="H360" s="260"/>
      <c r="K360" s="257"/>
      <c r="L360" s="257"/>
      <c r="M360" s="257"/>
      <c r="N360" s="257"/>
      <c r="O360" s="257"/>
      <c r="P360" s="257"/>
    </row>
    <row r="361">
      <c r="A361" s="260"/>
      <c r="B361" s="260"/>
      <c r="C361" s="260"/>
      <c r="D361" s="260"/>
      <c r="E361" s="260"/>
      <c r="F361" s="260"/>
      <c r="G361" s="260"/>
      <c r="H361" s="260"/>
      <c r="K361" s="114"/>
      <c r="L361" s="114"/>
      <c r="M361" s="114"/>
      <c r="N361" s="114"/>
      <c r="O361" s="114"/>
      <c r="P361" s="114"/>
    </row>
    <row r="362">
      <c r="A362" s="260"/>
      <c r="B362" s="260"/>
      <c r="C362" s="260"/>
      <c r="D362" s="260"/>
      <c r="E362" s="260"/>
      <c r="F362" s="260"/>
      <c r="G362" s="260"/>
      <c r="H362" s="260"/>
      <c r="K362" s="257"/>
      <c r="L362" s="257"/>
      <c r="M362" s="257"/>
      <c r="N362" s="257"/>
      <c r="O362" s="257"/>
      <c r="P362" s="257"/>
    </row>
    <row r="363">
      <c r="A363" s="260"/>
      <c r="B363" s="260"/>
      <c r="C363" s="260"/>
      <c r="D363" s="260"/>
      <c r="E363" s="260"/>
      <c r="F363" s="260"/>
      <c r="G363" s="260"/>
      <c r="H363" s="260"/>
      <c r="K363" s="114"/>
      <c r="L363" s="114"/>
      <c r="M363" s="114"/>
      <c r="N363" s="114"/>
      <c r="O363" s="114"/>
      <c r="P363" s="114"/>
    </row>
    <row r="364">
      <c r="A364" s="260"/>
      <c r="B364" s="260"/>
      <c r="C364" s="260"/>
      <c r="D364" s="260"/>
      <c r="E364" s="260"/>
      <c r="F364" s="260"/>
      <c r="G364" s="260"/>
      <c r="H364" s="260"/>
      <c r="K364" s="257"/>
      <c r="L364" s="257"/>
      <c r="M364" s="257"/>
      <c r="N364" s="257"/>
      <c r="O364" s="257"/>
      <c r="P364" s="257"/>
    </row>
    <row r="365">
      <c r="A365" s="260"/>
      <c r="B365" s="260"/>
      <c r="C365" s="260"/>
      <c r="D365" s="260"/>
      <c r="E365" s="260"/>
      <c r="F365" s="260"/>
      <c r="G365" s="260"/>
      <c r="H365" s="260"/>
      <c r="K365" s="114"/>
      <c r="L365" s="114"/>
      <c r="M365" s="114"/>
      <c r="N365" s="114"/>
      <c r="O365" s="114"/>
      <c r="P365" s="114"/>
    </row>
    <row r="366">
      <c r="A366" s="260"/>
      <c r="B366" s="260"/>
      <c r="C366" s="260"/>
      <c r="D366" s="260"/>
      <c r="E366" s="260"/>
      <c r="F366" s="260"/>
      <c r="G366" s="260"/>
      <c r="H366" s="260"/>
      <c r="K366" s="257"/>
      <c r="L366" s="257"/>
      <c r="M366" s="257"/>
      <c r="N366" s="257"/>
      <c r="O366" s="257"/>
      <c r="P366" s="257"/>
    </row>
    <row r="367">
      <c r="A367" s="260"/>
      <c r="B367" s="260"/>
      <c r="C367" s="260"/>
      <c r="D367" s="260"/>
      <c r="E367" s="260"/>
      <c r="F367" s="260"/>
      <c r="G367" s="260"/>
      <c r="H367" s="260"/>
      <c r="K367" s="114"/>
      <c r="L367" s="114"/>
      <c r="M367" s="114"/>
      <c r="N367" s="114"/>
      <c r="O367" s="114"/>
      <c r="P367" s="114"/>
    </row>
    <row r="368">
      <c r="A368" s="260"/>
      <c r="B368" s="260"/>
      <c r="C368" s="260"/>
      <c r="D368" s="260"/>
      <c r="E368" s="260"/>
      <c r="F368" s="260"/>
      <c r="G368" s="260"/>
      <c r="H368" s="260"/>
      <c r="K368" s="257"/>
      <c r="L368" s="257"/>
      <c r="M368" s="257"/>
      <c r="N368" s="257"/>
      <c r="O368" s="257"/>
      <c r="P368" s="257"/>
    </row>
    <row r="369">
      <c r="A369" s="260"/>
      <c r="B369" s="260"/>
      <c r="C369" s="260"/>
      <c r="D369" s="260"/>
      <c r="E369" s="260"/>
      <c r="F369" s="260"/>
      <c r="G369" s="260"/>
      <c r="H369" s="260"/>
      <c r="K369" s="114"/>
      <c r="L369" s="114"/>
      <c r="M369" s="114"/>
      <c r="N369" s="114"/>
      <c r="O369" s="114"/>
      <c r="P369" s="114"/>
    </row>
    <row r="370">
      <c r="A370" s="260"/>
      <c r="B370" s="260"/>
      <c r="C370" s="260"/>
      <c r="D370" s="260"/>
      <c r="E370" s="260"/>
      <c r="F370" s="260"/>
      <c r="G370" s="260"/>
      <c r="H370" s="260"/>
      <c r="K370" s="257"/>
      <c r="L370" s="257"/>
      <c r="M370" s="257"/>
      <c r="N370" s="257"/>
      <c r="O370" s="257"/>
      <c r="P370" s="257"/>
    </row>
    <row r="371">
      <c r="A371" s="260"/>
      <c r="B371" s="260"/>
      <c r="C371" s="260"/>
      <c r="D371" s="260"/>
      <c r="E371" s="260"/>
      <c r="F371" s="260"/>
      <c r="G371" s="260"/>
      <c r="H371" s="260"/>
      <c r="K371" s="114"/>
      <c r="L371" s="114"/>
      <c r="M371" s="114"/>
      <c r="N371" s="114"/>
      <c r="O371" s="114"/>
      <c r="P371" s="114"/>
    </row>
    <row r="372">
      <c r="A372" s="260"/>
      <c r="B372" s="260"/>
      <c r="C372" s="260"/>
      <c r="D372" s="260"/>
      <c r="E372" s="260"/>
      <c r="F372" s="260"/>
      <c r="G372" s="260"/>
      <c r="H372" s="260"/>
      <c r="K372" s="257"/>
      <c r="L372" s="257"/>
      <c r="M372" s="257"/>
      <c r="N372" s="257"/>
      <c r="O372" s="257"/>
      <c r="P372" s="257"/>
    </row>
    <row r="373">
      <c r="A373" s="260"/>
      <c r="B373" s="260"/>
      <c r="C373" s="260"/>
      <c r="D373" s="260"/>
      <c r="E373" s="260"/>
      <c r="F373" s="260"/>
      <c r="G373" s="260"/>
      <c r="H373" s="260"/>
      <c r="K373" s="114"/>
      <c r="L373" s="114"/>
      <c r="M373" s="114"/>
      <c r="N373" s="114"/>
      <c r="O373" s="114"/>
      <c r="P373" s="114"/>
    </row>
    <row r="374">
      <c r="A374" s="260"/>
      <c r="B374" s="260"/>
      <c r="C374" s="260"/>
      <c r="D374" s="260"/>
      <c r="E374" s="260"/>
      <c r="F374" s="260"/>
      <c r="G374" s="260"/>
      <c r="H374" s="260"/>
      <c r="K374" s="257"/>
      <c r="L374" s="257"/>
      <c r="M374" s="257"/>
      <c r="N374" s="257"/>
      <c r="O374" s="257"/>
      <c r="P374" s="257"/>
    </row>
    <row r="375">
      <c r="A375" s="260"/>
      <c r="B375" s="260"/>
      <c r="C375" s="260"/>
      <c r="D375" s="260"/>
      <c r="E375" s="260"/>
      <c r="F375" s="260"/>
      <c r="G375" s="260"/>
      <c r="H375" s="260"/>
      <c r="K375" s="114"/>
      <c r="L375" s="114"/>
      <c r="M375" s="114"/>
      <c r="N375" s="114"/>
      <c r="O375" s="114"/>
      <c r="P375" s="114"/>
    </row>
    <row r="376">
      <c r="A376" s="260"/>
      <c r="B376" s="260"/>
      <c r="C376" s="260"/>
      <c r="D376" s="260"/>
      <c r="E376" s="260"/>
      <c r="F376" s="260"/>
      <c r="G376" s="260"/>
      <c r="H376" s="260"/>
      <c r="K376" s="257"/>
      <c r="L376" s="257"/>
      <c r="M376" s="257"/>
      <c r="N376" s="257"/>
      <c r="O376" s="257"/>
      <c r="P376" s="257"/>
    </row>
    <row r="377">
      <c r="A377" s="260"/>
      <c r="B377" s="260"/>
      <c r="C377" s="260"/>
      <c r="D377" s="260"/>
      <c r="E377" s="260"/>
      <c r="F377" s="260"/>
      <c r="G377" s="260"/>
      <c r="H377" s="260"/>
      <c r="K377" s="114"/>
      <c r="L377" s="114"/>
      <c r="M377" s="114"/>
      <c r="N377" s="114"/>
      <c r="O377" s="114"/>
      <c r="P377" s="114"/>
    </row>
    <row r="378">
      <c r="A378" s="260"/>
      <c r="B378" s="260"/>
      <c r="C378" s="260"/>
      <c r="D378" s="260"/>
      <c r="E378" s="260"/>
      <c r="F378" s="260"/>
      <c r="G378" s="260"/>
      <c r="H378" s="260"/>
      <c r="K378" s="257"/>
      <c r="L378" s="257"/>
      <c r="M378" s="257"/>
      <c r="N378" s="257"/>
      <c r="O378" s="257"/>
      <c r="P378" s="257"/>
    </row>
    <row r="379">
      <c r="A379" s="260"/>
      <c r="B379" s="260"/>
      <c r="C379" s="260"/>
      <c r="D379" s="260"/>
      <c r="E379" s="260"/>
      <c r="F379" s="260"/>
      <c r="G379" s="260"/>
      <c r="H379" s="260"/>
      <c r="K379" s="114"/>
      <c r="L379" s="114"/>
      <c r="M379" s="114"/>
      <c r="N379" s="114"/>
      <c r="O379" s="114"/>
      <c r="P379" s="114"/>
    </row>
    <row r="380">
      <c r="A380" s="260"/>
      <c r="B380" s="260"/>
      <c r="C380" s="260"/>
      <c r="D380" s="260"/>
      <c r="E380" s="260"/>
      <c r="F380" s="260"/>
      <c r="G380" s="260"/>
      <c r="H380" s="260"/>
      <c r="K380" s="257"/>
      <c r="L380" s="257"/>
      <c r="M380" s="257"/>
      <c r="N380" s="257"/>
      <c r="O380" s="257"/>
      <c r="P380" s="257"/>
    </row>
    <row r="381">
      <c r="A381" s="260"/>
      <c r="B381" s="260"/>
      <c r="C381" s="260"/>
      <c r="D381" s="260"/>
      <c r="E381" s="260"/>
      <c r="F381" s="260"/>
      <c r="G381" s="260"/>
      <c r="H381" s="260"/>
      <c r="K381" s="114"/>
      <c r="L381" s="114"/>
      <c r="M381" s="114"/>
      <c r="N381" s="114"/>
      <c r="O381" s="114"/>
      <c r="P381" s="114"/>
    </row>
    <row r="382">
      <c r="A382" s="260"/>
      <c r="B382" s="260"/>
      <c r="C382" s="260"/>
      <c r="D382" s="260"/>
      <c r="E382" s="260"/>
      <c r="F382" s="260"/>
      <c r="G382" s="260"/>
      <c r="H382" s="260"/>
      <c r="K382" s="257"/>
      <c r="L382" s="257"/>
      <c r="M382" s="257"/>
      <c r="N382" s="257"/>
      <c r="O382" s="257"/>
      <c r="P382" s="257"/>
    </row>
    <row r="383">
      <c r="A383" s="260"/>
      <c r="B383" s="260"/>
      <c r="C383" s="260"/>
      <c r="D383" s="260"/>
      <c r="E383" s="260"/>
      <c r="F383" s="260"/>
      <c r="G383" s="260"/>
      <c r="H383" s="260"/>
      <c r="K383" s="114"/>
      <c r="L383" s="114"/>
      <c r="M383" s="114"/>
      <c r="N383" s="114"/>
      <c r="O383" s="114"/>
      <c r="P383" s="114"/>
    </row>
    <row r="384">
      <c r="A384" s="260"/>
      <c r="B384" s="260"/>
      <c r="C384" s="260"/>
      <c r="D384" s="260"/>
      <c r="E384" s="260"/>
      <c r="F384" s="260"/>
      <c r="G384" s="260"/>
      <c r="H384" s="260"/>
      <c r="K384" s="257"/>
      <c r="L384" s="257"/>
      <c r="M384" s="257"/>
      <c r="N384" s="257"/>
      <c r="O384" s="257"/>
      <c r="P384" s="257"/>
    </row>
    <row r="385">
      <c r="A385" s="260"/>
      <c r="B385" s="260"/>
      <c r="C385" s="260"/>
      <c r="D385" s="260"/>
      <c r="E385" s="260"/>
      <c r="F385" s="260"/>
      <c r="G385" s="260"/>
      <c r="H385" s="260"/>
      <c r="K385" s="114"/>
      <c r="L385" s="114"/>
      <c r="M385" s="114"/>
      <c r="N385" s="114"/>
      <c r="O385" s="114"/>
      <c r="P385" s="114"/>
    </row>
    <row r="386">
      <c r="A386" s="260"/>
      <c r="B386" s="260"/>
      <c r="C386" s="260"/>
      <c r="D386" s="260"/>
      <c r="E386" s="260"/>
      <c r="F386" s="260"/>
      <c r="G386" s="260"/>
      <c r="H386" s="260"/>
      <c r="K386" s="257"/>
      <c r="L386" s="257"/>
      <c r="M386" s="257"/>
      <c r="N386" s="257"/>
      <c r="O386" s="257"/>
      <c r="P386" s="257"/>
    </row>
    <row r="387">
      <c r="A387" s="260"/>
      <c r="B387" s="260"/>
      <c r="C387" s="260"/>
      <c r="D387" s="260"/>
      <c r="E387" s="260"/>
      <c r="F387" s="260"/>
      <c r="G387" s="260"/>
      <c r="H387" s="260"/>
      <c r="K387" s="114"/>
      <c r="L387" s="114"/>
      <c r="M387" s="114"/>
      <c r="N387" s="114"/>
      <c r="O387" s="114"/>
      <c r="P387" s="114"/>
    </row>
    <row r="388">
      <c r="A388" s="260"/>
      <c r="B388" s="260"/>
      <c r="C388" s="260"/>
      <c r="D388" s="260"/>
      <c r="E388" s="260"/>
      <c r="F388" s="260"/>
      <c r="G388" s="260"/>
      <c r="H388" s="260"/>
      <c r="K388" s="257"/>
      <c r="L388" s="257"/>
      <c r="M388" s="257"/>
      <c r="N388" s="257"/>
      <c r="O388" s="257"/>
      <c r="P388" s="257"/>
    </row>
    <row r="389">
      <c r="A389" s="260"/>
      <c r="B389" s="260"/>
      <c r="C389" s="260"/>
      <c r="D389" s="260"/>
      <c r="E389" s="260"/>
      <c r="F389" s="260"/>
      <c r="G389" s="260"/>
      <c r="H389" s="260"/>
      <c r="K389" s="114"/>
      <c r="L389" s="114"/>
      <c r="M389" s="114"/>
      <c r="N389" s="114"/>
      <c r="O389" s="114"/>
      <c r="P389" s="114"/>
    </row>
    <row r="390">
      <c r="A390" s="260"/>
      <c r="B390" s="260"/>
      <c r="C390" s="260"/>
      <c r="D390" s="260"/>
      <c r="E390" s="260"/>
      <c r="F390" s="260"/>
      <c r="G390" s="260"/>
      <c r="H390" s="260"/>
      <c r="K390" s="257"/>
      <c r="L390" s="257"/>
      <c r="M390" s="257"/>
      <c r="N390" s="257"/>
      <c r="O390" s="257"/>
      <c r="P390" s="257"/>
    </row>
    <row r="391">
      <c r="A391" s="260"/>
      <c r="B391" s="260"/>
      <c r="C391" s="260"/>
      <c r="D391" s="260"/>
      <c r="E391" s="260"/>
      <c r="F391" s="260"/>
      <c r="G391" s="260"/>
      <c r="H391" s="260"/>
      <c r="K391" s="114"/>
      <c r="L391" s="114"/>
      <c r="M391" s="114"/>
      <c r="N391" s="114"/>
      <c r="O391" s="114"/>
      <c r="P391" s="114"/>
    </row>
    <row r="392">
      <c r="A392" s="260"/>
      <c r="B392" s="260"/>
      <c r="C392" s="260"/>
      <c r="D392" s="260"/>
      <c r="E392" s="260"/>
      <c r="F392" s="260"/>
      <c r="G392" s="260"/>
      <c r="H392" s="260"/>
      <c r="K392" s="257"/>
      <c r="L392" s="257"/>
      <c r="M392" s="257"/>
      <c r="N392" s="257"/>
      <c r="O392" s="257"/>
      <c r="P392" s="257"/>
    </row>
    <row r="393">
      <c r="A393" s="260"/>
      <c r="B393" s="260"/>
      <c r="C393" s="260"/>
      <c r="D393" s="260"/>
      <c r="E393" s="260"/>
      <c r="F393" s="260"/>
      <c r="G393" s="260"/>
      <c r="H393" s="260"/>
      <c r="K393" s="114"/>
      <c r="L393" s="114"/>
      <c r="M393" s="114"/>
      <c r="N393" s="114"/>
      <c r="O393" s="114"/>
      <c r="P393" s="114"/>
    </row>
    <row r="394">
      <c r="A394" s="260"/>
      <c r="B394" s="260"/>
      <c r="C394" s="260"/>
      <c r="D394" s="260"/>
      <c r="E394" s="260"/>
      <c r="F394" s="260"/>
      <c r="G394" s="260"/>
      <c r="H394" s="260"/>
      <c r="K394" s="257"/>
      <c r="L394" s="257"/>
      <c r="M394" s="257"/>
      <c r="N394" s="257"/>
      <c r="O394" s="257"/>
      <c r="P394" s="257"/>
    </row>
    <row r="395">
      <c r="A395" s="260"/>
      <c r="B395" s="260"/>
      <c r="C395" s="260"/>
      <c r="D395" s="260"/>
      <c r="E395" s="260"/>
      <c r="F395" s="260"/>
      <c r="G395" s="260"/>
      <c r="H395" s="260"/>
      <c r="K395" s="114"/>
      <c r="L395" s="114"/>
      <c r="M395" s="114"/>
      <c r="N395" s="114"/>
      <c r="O395" s="114"/>
      <c r="P395" s="114"/>
    </row>
    <row r="396">
      <c r="A396" s="260"/>
      <c r="B396" s="260"/>
      <c r="C396" s="260"/>
      <c r="D396" s="260"/>
      <c r="E396" s="260"/>
      <c r="F396" s="260"/>
      <c r="G396" s="260"/>
      <c r="H396" s="260"/>
      <c r="K396" s="257"/>
      <c r="L396" s="257"/>
      <c r="M396" s="257"/>
      <c r="N396" s="257"/>
      <c r="O396" s="257"/>
      <c r="P396" s="257"/>
    </row>
    <row r="397">
      <c r="A397" s="260"/>
      <c r="B397" s="260"/>
      <c r="C397" s="260"/>
      <c r="D397" s="260"/>
      <c r="E397" s="260"/>
      <c r="F397" s="260"/>
      <c r="G397" s="260"/>
      <c r="H397" s="260"/>
      <c r="K397" s="114"/>
      <c r="L397" s="114"/>
      <c r="M397" s="114"/>
      <c r="N397" s="114"/>
      <c r="O397" s="114"/>
      <c r="P397" s="114"/>
    </row>
    <row r="398">
      <c r="A398" s="260"/>
      <c r="B398" s="260"/>
      <c r="C398" s="260"/>
      <c r="D398" s="260"/>
      <c r="E398" s="260"/>
      <c r="F398" s="260"/>
      <c r="G398" s="260"/>
      <c r="H398" s="260"/>
      <c r="K398" s="257"/>
      <c r="L398" s="257"/>
      <c r="M398" s="257"/>
      <c r="N398" s="257"/>
      <c r="O398" s="257"/>
      <c r="P398" s="257"/>
    </row>
    <row r="399">
      <c r="A399" s="260"/>
      <c r="B399" s="260"/>
      <c r="C399" s="260"/>
      <c r="D399" s="260"/>
      <c r="E399" s="260"/>
      <c r="F399" s="260"/>
      <c r="G399" s="260"/>
      <c r="H399" s="260"/>
      <c r="K399" s="114"/>
      <c r="L399" s="114"/>
      <c r="M399" s="114"/>
      <c r="N399" s="114"/>
      <c r="O399" s="114"/>
      <c r="P399" s="114"/>
    </row>
    <row r="400">
      <c r="A400" s="260"/>
      <c r="B400" s="260"/>
      <c r="C400" s="260"/>
      <c r="D400" s="260"/>
      <c r="E400" s="260"/>
      <c r="F400" s="260"/>
      <c r="G400" s="260"/>
      <c r="H400" s="260"/>
      <c r="K400" s="257"/>
      <c r="L400" s="257"/>
      <c r="M400" s="257"/>
      <c r="N400" s="257"/>
      <c r="O400" s="257"/>
      <c r="P400" s="257"/>
    </row>
    <row r="401">
      <c r="A401" s="260"/>
      <c r="B401" s="260"/>
      <c r="C401" s="260"/>
      <c r="D401" s="260"/>
      <c r="E401" s="260"/>
      <c r="F401" s="260"/>
      <c r="G401" s="260"/>
      <c r="H401" s="260"/>
      <c r="K401" s="114"/>
      <c r="L401" s="114"/>
      <c r="M401" s="114"/>
      <c r="N401" s="114"/>
      <c r="O401" s="114"/>
      <c r="P401" s="114"/>
    </row>
    <row r="402">
      <c r="A402" s="260"/>
      <c r="B402" s="260"/>
      <c r="C402" s="260"/>
      <c r="D402" s="260"/>
      <c r="E402" s="260"/>
      <c r="F402" s="260"/>
      <c r="G402" s="260"/>
      <c r="H402" s="260"/>
      <c r="K402" s="257"/>
      <c r="L402" s="257"/>
      <c r="M402" s="257"/>
      <c r="N402" s="257"/>
      <c r="O402" s="257"/>
      <c r="P402" s="257"/>
    </row>
    <row r="403">
      <c r="A403" s="260"/>
      <c r="B403" s="260"/>
      <c r="C403" s="260"/>
      <c r="D403" s="260"/>
      <c r="E403" s="260"/>
      <c r="F403" s="260"/>
      <c r="G403" s="260"/>
      <c r="H403" s="260"/>
      <c r="K403" s="114"/>
      <c r="L403" s="114"/>
      <c r="M403" s="114"/>
      <c r="N403" s="114"/>
      <c r="O403" s="114"/>
      <c r="P403" s="114"/>
    </row>
    <row r="404">
      <c r="A404" s="260"/>
      <c r="B404" s="260"/>
      <c r="C404" s="260"/>
      <c r="D404" s="260"/>
      <c r="E404" s="260"/>
      <c r="F404" s="260"/>
      <c r="G404" s="260"/>
      <c r="H404" s="260"/>
      <c r="K404" s="257"/>
      <c r="L404" s="257"/>
      <c r="M404" s="257"/>
      <c r="N404" s="257"/>
      <c r="O404" s="257"/>
      <c r="P404" s="257"/>
    </row>
    <row r="405">
      <c r="A405" s="260"/>
      <c r="B405" s="260"/>
      <c r="C405" s="260"/>
      <c r="D405" s="260"/>
      <c r="E405" s="260"/>
      <c r="F405" s="260"/>
      <c r="G405" s="260"/>
      <c r="H405" s="260"/>
      <c r="K405" s="114"/>
      <c r="L405" s="114"/>
      <c r="M405" s="114"/>
      <c r="N405" s="114"/>
      <c r="O405" s="114"/>
      <c r="P405" s="114"/>
    </row>
    <row r="406">
      <c r="A406" s="260"/>
      <c r="B406" s="260"/>
      <c r="C406" s="260"/>
      <c r="D406" s="260"/>
      <c r="E406" s="260"/>
      <c r="F406" s="260"/>
      <c r="G406" s="260"/>
      <c r="H406" s="260"/>
      <c r="K406" s="257"/>
      <c r="L406" s="257"/>
      <c r="M406" s="257"/>
      <c r="N406" s="257"/>
      <c r="O406" s="257"/>
      <c r="P406" s="257"/>
    </row>
    <row r="407">
      <c r="A407" s="260"/>
      <c r="B407" s="260"/>
      <c r="C407" s="260"/>
      <c r="D407" s="260"/>
      <c r="E407" s="260"/>
      <c r="F407" s="260"/>
      <c r="G407" s="260"/>
      <c r="H407" s="260"/>
      <c r="K407" s="114"/>
      <c r="L407" s="114"/>
      <c r="M407" s="114"/>
      <c r="N407" s="114"/>
      <c r="O407" s="114"/>
      <c r="P407" s="114"/>
    </row>
    <row r="408">
      <c r="A408" s="260"/>
      <c r="B408" s="260"/>
      <c r="C408" s="260"/>
      <c r="D408" s="260"/>
      <c r="E408" s="260"/>
      <c r="F408" s="260"/>
      <c r="G408" s="260"/>
      <c r="H408" s="260"/>
      <c r="K408" s="257"/>
      <c r="L408" s="257"/>
      <c r="M408" s="257"/>
      <c r="N408" s="257"/>
      <c r="O408" s="257"/>
      <c r="P408" s="257"/>
    </row>
    <row r="409">
      <c r="A409" s="260"/>
      <c r="B409" s="260"/>
      <c r="C409" s="260"/>
      <c r="D409" s="260"/>
      <c r="E409" s="260"/>
      <c r="F409" s="260"/>
      <c r="G409" s="260"/>
      <c r="H409" s="260"/>
      <c r="K409" s="114"/>
      <c r="L409" s="114"/>
      <c r="M409" s="114"/>
      <c r="N409" s="114"/>
      <c r="O409" s="114"/>
      <c r="P409" s="114"/>
    </row>
    <row r="410">
      <c r="A410" s="260"/>
      <c r="B410" s="260"/>
      <c r="C410" s="260"/>
      <c r="D410" s="260"/>
      <c r="E410" s="260"/>
      <c r="F410" s="260"/>
      <c r="G410" s="260"/>
      <c r="H410" s="260"/>
      <c r="K410" s="257"/>
      <c r="L410" s="257"/>
      <c r="M410" s="257"/>
      <c r="N410" s="257"/>
      <c r="O410" s="257"/>
      <c r="P410" s="257"/>
    </row>
    <row r="411">
      <c r="A411" s="260"/>
      <c r="B411" s="260"/>
      <c r="C411" s="260"/>
      <c r="D411" s="260"/>
      <c r="E411" s="260"/>
      <c r="F411" s="260"/>
      <c r="G411" s="260"/>
      <c r="H411" s="260"/>
      <c r="K411" s="114"/>
      <c r="L411" s="114"/>
      <c r="M411" s="114"/>
      <c r="N411" s="114"/>
      <c r="O411" s="114"/>
      <c r="P411" s="114"/>
    </row>
    <row r="412">
      <c r="A412" s="260"/>
      <c r="B412" s="260"/>
      <c r="C412" s="260"/>
      <c r="D412" s="260"/>
      <c r="E412" s="260"/>
      <c r="F412" s="260"/>
      <c r="G412" s="260"/>
      <c r="H412" s="260"/>
      <c r="K412" s="257"/>
      <c r="L412" s="257"/>
      <c r="M412" s="257"/>
      <c r="N412" s="257"/>
      <c r="O412" s="257"/>
      <c r="P412" s="257"/>
    </row>
    <row r="413">
      <c r="A413" s="260"/>
      <c r="B413" s="260"/>
      <c r="C413" s="260"/>
      <c r="D413" s="260"/>
      <c r="E413" s="260"/>
      <c r="F413" s="260"/>
      <c r="G413" s="260"/>
      <c r="H413" s="260"/>
      <c r="K413" s="114"/>
      <c r="L413" s="114"/>
      <c r="M413" s="114"/>
      <c r="N413" s="114"/>
      <c r="O413" s="114"/>
      <c r="P413" s="114"/>
    </row>
    <row r="414">
      <c r="A414" s="260"/>
      <c r="B414" s="260"/>
      <c r="C414" s="260"/>
      <c r="D414" s="260"/>
      <c r="E414" s="260"/>
      <c r="F414" s="260"/>
      <c r="G414" s="260"/>
      <c r="H414" s="260"/>
      <c r="K414" s="257"/>
      <c r="L414" s="257"/>
      <c r="M414" s="257"/>
      <c r="N414" s="257"/>
      <c r="O414" s="257"/>
      <c r="P414" s="257"/>
    </row>
    <row r="415">
      <c r="A415" s="260"/>
      <c r="B415" s="260"/>
      <c r="C415" s="260"/>
      <c r="D415" s="260"/>
      <c r="E415" s="260"/>
      <c r="F415" s="260"/>
      <c r="G415" s="260"/>
      <c r="H415" s="260"/>
      <c r="K415" s="114"/>
      <c r="L415" s="114"/>
      <c r="M415" s="114"/>
      <c r="N415" s="114"/>
      <c r="O415" s="114"/>
      <c r="P415" s="114"/>
    </row>
    <row r="416">
      <c r="A416" s="260"/>
      <c r="B416" s="260"/>
      <c r="C416" s="260"/>
      <c r="D416" s="260"/>
      <c r="E416" s="260"/>
      <c r="F416" s="260"/>
      <c r="G416" s="260"/>
      <c r="H416" s="260"/>
      <c r="K416" s="257"/>
      <c r="L416" s="257"/>
      <c r="M416" s="257"/>
      <c r="N416" s="257"/>
      <c r="O416" s="257"/>
      <c r="P416" s="257"/>
    </row>
    <row r="417">
      <c r="A417" s="260"/>
      <c r="B417" s="260"/>
      <c r="C417" s="260"/>
      <c r="D417" s="260"/>
      <c r="E417" s="260"/>
      <c r="F417" s="260"/>
      <c r="G417" s="260"/>
      <c r="H417" s="260"/>
      <c r="K417" s="114"/>
      <c r="L417" s="114"/>
      <c r="M417" s="114"/>
      <c r="N417" s="114"/>
      <c r="O417" s="114"/>
      <c r="P417" s="114"/>
    </row>
    <row r="418">
      <c r="A418" s="260"/>
      <c r="B418" s="260"/>
      <c r="C418" s="260"/>
      <c r="D418" s="260"/>
      <c r="E418" s="260"/>
      <c r="F418" s="260"/>
      <c r="G418" s="260"/>
      <c r="H418" s="260"/>
      <c r="K418" s="257"/>
      <c r="L418" s="257"/>
      <c r="M418" s="257"/>
      <c r="N418" s="257"/>
      <c r="O418" s="257"/>
      <c r="P418" s="257"/>
    </row>
    <row r="419">
      <c r="A419" s="260"/>
      <c r="B419" s="260"/>
      <c r="C419" s="260"/>
      <c r="D419" s="260"/>
      <c r="E419" s="260"/>
      <c r="F419" s="260"/>
      <c r="G419" s="260"/>
      <c r="H419" s="260"/>
      <c r="K419" s="114"/>
      <c r="L419" s="114"/>
      <c r="M419" s="114"/>
      <c r="N419" s="114"/>
      <c r="O419" s="114"/>
      <c r="P419" s="114"/>
    </row>
    <row r="420">
      <c r="A420" s="260"/>
      <c r="B420" s="260"/>
      <c r="C420" s="260"/>
      <c r="D420" s="260"/>
      <c r="E420" s="260"/>
      <c r="F420" s="260"/>
      <c r="G420" s="260"/>
      <c r="H420" s="260"/>
      <c r="K420" s="257"/>
      <c r="L420" s="257"/>
      <c r="M420" s="257"/>
      <c r="N420" s="257"/>
      <c r="O420" s="257"/>
      <c r="P420" s="257"/>
    </row>
    <row r="421">
      <c r="A421" s="260"/>
      <c r="B421" s="260"/>
      <c r="C421" s="260"/>
      <c r="D421" s="260"/>
      <c r="E421" s="260"/>
      <c r="F421" s="260"/>
      <c r="G421" s="260"/>
      <c r="H421" s="260"/>
      <c r="K421" s="114"/>
      <c r="L421" s="114"/>
      <c r="M421" s="114"/>
      <c r="N421" s="114"/>
      <c r="O421" s="114"/>
      <c r="P421" s="114"/>
    </row>
    <row r="422">
      <c r="A422" s="260"/>
      <c r="B422" s="260"/>
      <c r="C422" s="260"/>
      <c r="D422" s="260"/>
      <c r="E422" s="260"/>
      <c r="F422" s="260"/>
      <c r="G422" s="260"/>
      <c r="H422" s="260"/>
      <c r="K422" s="257"/>
      <c r="L422" s="257"/>
      <c r="M422" s="257"/>
      <c r="N422" s="257"/>
      <c r="O422" s="257"/>
      <c r="P422" s="257"/>
    </row>
    <row r="423">
      <c r="A423" s="260"/>
      <c r="B423" s="260"/>
      <c r="C423" s="260"/>
      <c r="D423" s="260"/>
      <c r="E423" s="260"/>
      <c r="F423" s="260"/>
      <c r="G423" s="260"/>
      <c r="H423" s="260"/>
      <c r="K423" s="114"/>
      <c r="L423" s="114"/>
      <c r="M423" s="114"/>
      <c r="N423" s="114"/>
      <c r="O423" s="114"/>
      <c r="P423" s="114"/>
    </row>
    <row r="424">
      <c r="A424" s="260"/>
      <c r="B424" s="260"/>
      <c r="C424" s="260"/>
      <c r="D424" s="260"/>
      <c r="E424" s="260"/>
      <c r="F424" s="260"/>
      <c r="G424" s="260"/>
      <c r="H424" s="260"/>
      <c r="K424" s="257"/>
      <c r="L424" s="257"/>
      <c r="M424" s="257"/>
      <c r="N424" s="257"/>
      <c r="O424" s="257"/>
      <c r="P424" s="257"/>
    </row>
    <row r="425">
      <c r="A425" s="260"/>
      <c r="B425" s="260"/>
      <c r="C425" s="260"/>
      <c r="D425" s="260"/>
      <c r="E425" s="260"/>
      <c r="F425" s="260"/>
      <c r="G425" s="260"/>
      <c r="H425" s="260"/>
      <c r="K425" s="114"/>
      <c r="L425" s="114"/>
      <c r="M425" s="114"/>
      <c r="N425" s="114"/>
      <c r="O425" s="114"/>
      <c r="P425" s="114"/>
    </row>
    <row r="426">
      <c r="A426" s="260"/>
      <c r="B426" s="260"/>
      <c r="C426" s="260"/>
      <c r="D426" s="260"/>
      <c r="E426" s="260"/>
      <c r="F426" s="260"/>
      <c r="G426" s="260"/>
      <c r="H426" s="260"/>
      <c r="K426" s="257"/>
      <c r="L426" s="257"/>
      <c r="M426" s="257"/>
      <c r="N426" s="257"/>
      <c r="O426" s="257"/>
      <c r="P426" s="257"/>
    </row>
    <row r="427">
      <c r="A427" s="260"/>
      <c r="B427" s="260"/>
      <c r="C427" s="260"/>
      <c r="D427" s="260"/>
      <c r="E427" s="260"/>
      <c r="F427" s="260"/>
      <c r="G427" s="260"/>
      <c r="H427" s="260"/>
      <c r="K427" s="114"/>
      <c r="L427" s="114"/>
      <c r="M427" s="114"/>
      <c r="N427" s="114"/>
      <c r="O427" s="114"/>
      <c r="P427" s="114"/>
    </row>
    <row r="428">
      <c r="A428" s="260"/>
      <c r="B428" s="260"/>
      <c r="C428" s="260"/>
      <c r="D428" s="260"/>
      <c r="E428" s="260"/>
      <c r="F428" s="260"/>
      <c r="G428" s="260"/>
      <c r="H428" s="260"/>
      <c r="K428" s="257"/>
      <c r="L428" s="257"/>
      <c r="M428" s="257"/>
      <c r="N428" s="257"/>
      <c r="O428" s="257"/>
      <c r="P428" s="257"/>
    </row>
    <row r="429">
      <c r="A429" s="260"/>
      <c r="B429" s="260"/>
      <c r="C429" s="260"/>
      <c r="D429" s="260"/>
      <c r="E429" s="260"/>
      <c r="F429" s="260"/>
      <c r="G429" s="260"/>
      <c r="H429" s="260"/>
      <c r="K429" s="114"/>
      <c r="L429" s="114"/>
      <c r="M429" s="114"/>
      <c r="N429" s="114"/>
      <c r="O429" s="114"/>
      <c r="P429" s="114"/>
    </row>
    <row r="430">
      <c r="A430" s="260"/>
      <c r="B430" s="260"/>
      <c r="C430" s="260"/>
      <c r="D430" s="260"/>
      <c r="E430" s="260"/>
      <c r="F430" s="260"/>
      <c r="G430" s="260"/>
      <c r="H430" s="260"/>
      <c r="K430" s="257"/>
      <c r="L430" s="257"/>
      <c r="M430" s="257"/>
      <c r="N430" s="257"/>
      <c r="O430" s="257"/>
      <c r="P430" s="257"/>
    </row>
    <row r="431">
      <c r="A431" s="260"/>
      <c r="B431" s="260"/>
      <c r="C431" s="260"/>
      <c r="D431" s="260"/>
      <c r="E431" s="260"/>
      <c r="F431" s="260"/>
      <c r="G431" s="260"/>
      <c r="H431" s="260"/>
      <c r="K431" s="114"/>
      <c r="L431" s="114"/>
      <c r="M431" s="114"/>
      <c r="N431" s="114"/>
      <c r="O431" s="114"/>
      <c r="P431" s="114"/>
    </row>
    <row r="432">
      <c r="A432" s="260"/>
      <c r="B432" s="260"/>
      <c r="C432" s="260"/>
      <c r="D432" s="260"/>
      <c r="E432" s="260"/>
      <c r="F432" s="260"/>
      <c r="G432" s="260"/>
      <c r="H432" s="260"/>
      <c r="K432" s="257"/>
      <c r="L432" s="257"/>
      <c r="M432" s="257"/>
      <c r="N432" s="257"/>
      <c r="O432" s="257"/>
      <c r="P432" s="257"/>
    </row>
    <row r="433">
      <c r="A433" s="260"/>
      <c r="B433" s="260"/>
      <c r="C433" s="260"/>
      <c r="D433" s="260"/>
      <c r="E433" s="260"/>
      <c r="F433" s="260"/>
      <c r="G433" s="260"/>
      <c r="H433" s="260"/>
      <c r="K433" s="114"/>
      <c r="L433" s="114"/>
      <c r="M433" s="114"/>
      <c r="N433" s="114"/>
      <c r="O433" s="114"/>
      <c r="P433" s="114"/>
    </row>
    <row r="434">
      <c r="A434" s="260"/>
      <c r="B434" s="260"/>
      <c r="C434" s="260"/>
      <c r="D434" s="260"/>
      <c r="E434" s="260"/>
      <c r="F434" s="260"/>
      <c r="G434" s="260"/>
      <c r="H434" s="260"/>
      <c r="K434" s="257"/>
      <c r="L434" s="257"/>
      <c r="M434" s="257"/>
      <c r="N434" s="257"/>
      <c r="O434" s="257"/>
      <c r="P434" s="257"/>
    </row>
    <row r="435">
      <c r="A435" s="260"/>
      <c r="B435" s="260"/>
      <c r="C435" s="260"/>
      <c r="D435" s="260"/>
      <c r="E435" s="260"/>
      <c r="F435" s="260"/>
      <c r="G435" s="260"/>
      <c r="H435" s="260"/>
      <c r="K435" s="114"/>
      <c r="L435" s="114"/>
      <c r="M435" s="114"/>
      <c r="N435" s="114"/>
      <c r="O435" s="114"/>
      <c r="P435" s="114"/>
    </row>
    <row r="436">
      <c r="A436" s="260"/>
      <c r="B436" s="260"/>
      <c r="C436" s="260"/>
      <c r="D436" s="260"/>
      <c r="E436" s="260"/>
      <c r="F436" s="260"/>
      <c r="G436" s="260"/>
      <c r="H436" s="260"/>
      <c r="K436" s="257"/>
      <c r="L436" s="257"/>
      <c r="M436" s="257"/>
      <c r="N436" s="257"/>
      <c r="O436" s="257"/>
      <c r="P436" s="257"/>
    </row>
    <row r="437">
      <c r="A437" s="260"/>
      <c r="B437" s="260"/>
      <c r="C437" s="260"/>
      <c r="D437" s="260"/>
      <c r="E437" s="260"/>
      <c r="F437" s="260"/>
      <c r="G437" s="260"/>
      <c r="H437" s="260"/>
      <c r="K437" s="114"/>
      <c r="L437" s="114"/>
      <c r="M437" s="114"/>
      <c r="N437" s="114"/>
      <c r="O437" s="114"/>
      <c r="P437" s="114"/>
    </row>
    <row r="438">
      <c r="A438" s="260"/>
      <c r="B438" s="260"/>
      <c r="C438" s="260"/>
      <c r="D438" s="260"/>
      <c r="E438" s="260"/>
      <c r="F438" s="260"/>
      <c r="G438" s="260"/>
      <c r="H438" s="260"/>
      <c r="K438" s="257"/>
      <c r="L438" s="257"/>
      <c r="M438" s="257"/>
      <c r="N438" s="257"/>
      <c r="O438" s="257"/>
      <c r="P438" s="257"/>
    </row>
    <row r="439">
      <c r="A439" s="260"/>
      <c r="B439" s="260"/>
      <c r="C439" s="260"/>
      <c r="D439" s="260"/>
      <c r="E439" s="260"/>
      <c r="F439" s="260"/>
      <c r="G439" s="260"/>
      <c r="H439" s="260"/>
      <c r="K439" s="114"/>
      <c r="L439" s="114"/>
      <c r="M439" s="114"/>
      <c r="N439" s="114"/>
      <c r="O439" s="114"/>
      <c r="P439" s="114"/>
    </row>
    <row r="440">
      <c r="A440" s="260"/>
      <c r="B440" s="260"/>
      <c r="C440" s="260"/>
      <c r="D440" s="260"/>
      <c r="E440" s="260"/>
      <c r="F440" s="260"/>
      <c r="G440" s="260"/>
      <c r="H440" s="260"/>
      <c r="K440" s="257"/>
      <c r="L440" s="257"/>
      <c r="M440" s="257"/>
      <c r="N440" s="257"/>
      <c r="O440" s="257"/>
      <c r="P440" s="257"/>
    </row>
    <row r="441">
      <c r="A441" s="260"/>
      <c r="B441" s="260"/>
      <c r="C441" s="260"/>
      <c r="D441" s="260"/>
      <c r="E441" s="260"/>
      <c r="F441" s="260"/>
      <c r="G441" s="260"/>
      <c r="H441" s="260"/>
      <c r="K441" s="114"/>
      <c r="L441" s="114"/>
      <c r="M441" s="114"/>
      <c r="N441" s="114"/>
      <c r="O441" s="114"/>
      <c r="P441" s="114"/>
    </row>
    <row r="442">
      <c r="A442" s="260"/>
      <c r="B442" s="260"/>
      <c r="C442" s="260"/>
      <c r="D442" s="260"/>
      <c r="E442" s="260"/>
      <c r="F442" s="260"/>
      <c r="G442" s="260"/>
      <c r="H442" s="260"/>
      <c r="K442" s="257"/>
      <c r="L442" s="257"/>
      <c r="M442" s="257"/>
      <c r="N442" s="257"/>
      <c r="O442" s="257"/>
      <c r="P442" s="257"/>
    </row>
    <row r="443">
      <c r="A443" s="260"/>
      <c r="B443" s="260"/>
      <c r="C443" s="260"/>
      <c r="D443" s="260"/>
      <c r="E443" s="260"/>
      <c r="F443" s="260"/>
      <c r="G443" s="260"/>
      <c r="H443" s="260"/>
      <c r="K443" s="114"/>
      <c r="L443" s="114"/>
      <c r="M443" s="114"/>
      <c r="N443" s="114"/>
      <c r="O443" s="114"/>
      <c r="P443" s="114"/>
    </row>
    <row r="444">
      <c r="A444" s="260"/>
      <c r="B444" s="260"/>
      <c r="C444" s="260"/>
      <c r="D444" s="260"/>
      <c r="E444" s="260"/>
      <c r="F444" s="260"/>
      <c r="G444" s="260"/>
      <c r="H444" s="260"/>
      <c r="K444" s="257"/>
      <c r="L444" s="257"/>
      <c r="M444" s="257"/>
      <c r="N444" s="257"/>
      <c r="O444" s="257"/>
      <c r="P444" s="257"/>
    </row>
    <row r="445">
      <c r="A445" s="260"/>
      <c r="B445" s="260"/>
      <c r="C445" s="260"/>
      <c r="D445" s="260"/>
      <c r="E445" s="260"/>
      <c r="F445" s="260"/>
      <c r="G445" s="260"/>
      <c r="H445" s="260"/>
      <c r="K445" s="114"/>
      <c r="L445" s="114"/>
      <c r="M445" s="114"/>
      <c r="N445" s="114"/>
      <c r="O445" s="114"/>
      <c r="P445" s="114"/>
    </row>
    <row r="446">
      <c r="A446" s="260"/>
      <c r="B446" s="260"/>
      <c r="C446" s="260"/>
      <c r="D446" s="260"/>
      <c r="E446" s="260"/>
      <c r="F446" s="260"/>
      <c r="G446" s="260"/>
      <c r="H446" s="260"/>
      <c r="K446" s="257"/>
      <c r="L446" s="257"/>
      <c r="M446" s="257"/>
      <c r="N446" s="257"/>
      <c r="O446" s="257"/>
      <c r="P446" s="257"/>
    </row>
    <row r="447">
      <c r="A447" s="260"/>
      <c r="B447" s="260"/>
      <c r="C447" s="260"/>
      <c r="D447" s="260"/>
      <c r="E447" s="260"/>
      <c r="F447" s="260"/>
      <c r="G447" s="260"/>
      <c r="H447" s="260"/>
      <c r="K447" s="114"/>
      <c r="L447" s="114"/>
      <c r="M447" s="114"/>
      <c r="N447" s="114"/>
      <c r="O447" s="114"/>
      <c r="P447" s="114"/>
    </row>
    <row r="448">
      <c r="A448" s="260"/>
      <c r="B448" s="260"/>
      <c r="C448" s="260"/>
      <c r="D448" s="260"/>
      <c r="E448" s="260"/>
      <c r="F448" s="260"/>
      <c r="G448" s="260"/>
      <c r="H448" s="260"/>
      <c r="K448" s="257"/>
      <c r="L448" s="257"/>
      <c r="M448" s="257"/>
      <c r="N448" s="257"/>
      <c r="O448" s="257"/>
      <c r="P448" s="257"/>
    </row>
    <row r="449">
      <c r="A449" s="260"/>
      <c r="B449" s="260"/>
      <c r="C449" s="260"/>
      <c r="D449" s="260"/>
      <c r="E449" s="260"/>
      <c r="F449" s="260"/>
      <c r="G449" s="260"/>
      <c r="H449" s="260"/>
      <c r="K449" s="114"/>
      <c r="L449" s="114"/>
      <c r="M449" s="114"/>
      <c r="N449" s="114"/>
      <c r="O449" s="114"/>
      <c r="P449" s="114"/>
    </row>
    <row r="450">
      <c r="A450" s="260"/>
      <c r="B450" s="260"/>
      <c r="C450" s="260"/>
      <c r="D450" s="260"/>
      <c r="E450" s="260"/>
      <c r="F450" s="260"/>
      <c r="G450" s="260"/>
      <c r="H450" s="260"/>
      <c r="K450" s="257"/>
      <c r="L450" s="257"/>
      <c r="M450" s="257"/>
      <c r="N450" s="257"/>
      <c r="O450" s="257"/>
      <c r="P450" s="257"/>
    </row>
    <row r="451">
      <c r="A451" s="260"/>
      <c r="B451" s="260"/>
      <c r="C451" s="260"/>
      <c r="D451" s="260"/>
      <c r="E451" s="260"/>
      <c r="F451" s="260"/>
      <c r="G451" s="260"/>
      <c r="H451" s="260"/>
      <c r="K451" s="114"/>
      <c r="L451" s="114"/>
      <c r="M451" s="114"/>
      <c r="N451" s="114"/>
      <c r="O451" s="114"/>
      <c r="P451" s="114"/>
    </row>
    <row r="452">
      <c r="A452" s="260"/>
      <c r="B452" s="260"/>
      <c r="C452" s="260"/>
      <c r="D452" s="260"/>
      <c r="E452" s="260"/>
      <c r="F452" s="260"/>
      <c r="G452" s="260"/>
      <c r="H452" s="260"/>
      <c r="K452" s="257"/>
      <c r="L452" s="257"/>
      <c r="M452" s="257"/>
      <c r="N452" s="257"/>
      <c r="O452" s="257"/>
      <c r="P452" s="257"/>
    </row>
    <row r="453">
      <c r="A453" s="260"/>
      <c r="B453" s="260"/>
      <c r="C453" s="260"/>
      <c r="D453" s="260"/>
      <c r="E453" s="260"/>
      <c r="F453" s="260"/>
      <c r="G453" s="260"/>
      <c r="H453" s="260"/>
      <c r="K453" s="114"/>
      <c r="L453" s="114"/>
      <c r="M453" s="114"/>
      <c r="N453" s="114"/>
      <c r="O453" s="114"/>
      <c r="P453" s="114"/>
    </row>
    <row r="454">
      <c r="A454" s="260"/>
      <c r="B454" s="260"/>
      <c r="C454" s="260"/>
      <c r="D454" s="260"/>
      <c r="E454" s="260"/>
      <c r="F454" s="260"/>
      <c r="G454" s="260"/>
      <c r="H454" s="260"/>
      <c r="K454" s="257"/>
      <c r="L454" s="257"/>
      <c r="M454" s="257"/>
      <c r="N454" s="257"/>
      <c r="O454" s="257"/>
      <c r="P454" s="257"/>
    </row>
    <row r="455">
      <c r="A455" s="260"/>
      <c r="B455" s="260"/>
      <c r="C455" s="260"/>
      <c r="D455" s="260"/>
      <c r="E455" s="260"/>
      <c r="F455" s="260"/>
      <c r="G455" s="260"/>
      <c r="H455" s="260"/>
      <c r="K455" s="114"/>
      <c r="L455" s="114"/>
      <c r="M455" s="114"/>
      <c r="N455" s="114"/>
      <c r="O455" s="114"/>
      <c r="P455" s="114"/>
    </row>
    <row r="456">
      <c r="A456" s="260"/>
      <c r="B456" s="260"/>
      <c r="C456" s="260"/>
      <c r="D456" s="260"/>
      <c r="E456" s="260"/>
      <c r="F456" s="260"/>
      <c r="G456" s="260"/>
      <c r="H456" s="260"/>
      <c r="K456" s="257"/>
      <c r="L456" s="257"/>
      <c r="M456" s="257"/>
      <c r="N456" s="257"/>
      <c r="O456" s="257"/>
      <c r="P456" s="257"/>
    </row>
    <row r="457">
      <c r="A457" s="260"/>
      <c r="B457" s="260"/>
      <c r="C457" s="260"/>
      <c r="D457" s="260"/>
      <c r="E457" s="260"/>
      <c r="F457" s="260"/>
      <c r="G457" s="260"/>
      <c r="H457" s="260"/>
      <c r="K457" s="114"/>
      <c r="L457" s="114"/>
      <c r="M457" s="114"/>
      <c r="N457" s="114"/>
      <c r="O457" s="114"/>
      <c r="P457" s="114"/>
    </row>
    <row r="458">
      <c r="A458" s="260"/>
      <c r="B458" s="260"/>
      <c r="C458" s="260"/>
      <c r="D458" s="260"/>
      <c r="E458" s="260"/>
      <c r="F458" s="260"/>
      <c r="G458" s="260"/>
      <c r="H458" s="260"/>
      <c r="K458" s="257"/>
      <c r="L458" s="257"/>
      <c r="M458" s="257"/>
      <c r="N458" s="257"/>
      <c r="O458" s="257"/>
      <c r="P458" s="257"/>
    </row>
    <row r="459">
      <c r="A459" s="260"/>
      <c r="B459" s="260"/>
      <c r="C459" s="260"/>
      <c r="D459" s="260"/>
      <c r="E459" s="260"/>
      <c r="F459" s="260"/>
      <c r="G459" s="260"/>
      <c r="H459" s="260"/>
      <c r="K459" s="114"/>
      <c r="L459" s="114"/>
      <c r="M459" s="114"/>
      <c r="N459" s="114"/>
      <c r="O459" s="114"/>
      <c r="P459" s="114"/>
    </row>
    <row r="460">
      <c r="A460" s="260"/>
      <c r="B460" s="260"/>
      <c r="C460" s="260"/>
      <c r="D460" s="260"/>
      <c r="E460" s="260"/>
      <c r="F460" s="260"/>
      <c r="G460" s="260"/>
      <c r="H460" s="260"/>
      <c r="K460" s="257"/>
      <c r="L460" s="257"/>
      <c r="M460" s="257"/>
      <c r="N460" s="257"/>
      <c r="O460" s="257"/>
      <c r="P460" s="257"/>
    </row>
    <row r="461">
      <c r="A461" s="260"/>
      <c r="B461" s="260"/>
      <c r="C461" s="260"/>
      <c r="D461" s="260"/>
      <c r="E461" s="260"/>
      <c r="F461" s="260"/>
      <c r="G461" s="260"/>
      <c r="H461" s="260"/>
      <c r="K461" s="114"/>
      <c r="L461" s="114"/>
      <c r="M461" s="114"/>
      <c r="N461" s="114"/>
      <c r="O461" s="114"/>
      <c r="P461" s="114"/>
    </row>
    <row r="462">
      <c r="A462" s="260"/>
      <c r="B462" s="260"/>
      <c r="C462" s="260"/>
      <c r="D462" s="260"/>
      <c r="E462" s="260"/>
      <c r="F462" s="260"/>
      <c r="G462" s="260"/>
      <c r="H462" s="260"/>
      <c r="K462" s="257"/>
      <c r="L462" s="257"/>
      <c r="M462" s="257"/>
      <c r="N462" s="257"/>
      <c r="O462" s="257"/>
      <c r="P462" s="257"/>
    </row>
    <row r="463">
      <c r="A463" s="260"/>
      <c r="B463" s="260"/>
      <c r="C463" s="260"/>
      <c r="D463" s="260"/>
      <c r="E463" s="260"/>
      <c r="F463" s="260"/>
      <c r="G463" s="260"/>
      <c r="H463" s="260"/>
      <c r="K463" s="114"/>
      <c r="L463" s="114"/>
      <c r="M463" s="114"/>
      <c r="N463" s="114"/>
      <c r="O463" s="114"/>
      <c r="P463" s="114"/>
    </row>
    <row r="464">
      <c r="A464" s="260"/>
      <c r="B464" s="260"/>
      <c r="C464" s="260"/>
      <c r="D464" s="260"/>
      <c r="E464" s="260"/>
      <c r="F464" s="260"/>
      <c r="G464" s="260"/>
      <c r="H464" s="260"/>
      <c r="K464" s="257"/>
      <c r="L464" s="257"/>
      <c r="M464" s="257"/>
      <c r="N464" s="257"/>
      <c r="O464" s="257"/>
      <c r="P464" s="257"/>
    </row>
    <row r="465">
      <c r="A465" s="260"/>
      <c r="B465" s="260"/>
      <c r="C465" s="260"/>
      <c r="D465" s="260"/>
      <c r="E465" s="260"/>
      <c r="F465" s="260"/>
      <c r="G465" s="260"/>
      <c r="H465" s="260"/>
      <c r="K465" s="114"/>
      <c r="L465" s="114"/>
      <c r="M465" s="114"/>
      <c r="N465" s="114"/>
      <c r="O465" s="114"/>
      <c r="P465" s="114"/>
    </row>
    <row r="466">
      <c r="A466" s="260"/>
      <c r="B466" s="260"/>
      <c r="C466" s="260"/>
      <c r="D466" s="260"/>
      <c r="E466" s="260"/>
      <c r="F466" s="260"/>
      <c r="G466" s="260"/>
      <c r="H466" s="260"/>
      <c r="K466" s="257"/>
      <c r="L466" s="257"/>
      <c r="M466" s="257"/>
      <c r="N466" s="257"/>
      <c r="O466" s="257"/>
      <c r="P466" s="257"/>
    </row>
    <row r="467">
      <c r="A467" s="260"/>
      <c r="B467" s="260"/>
      <c r="C467" s="260"/>
      <c r="D467" s="260"/>
      <c r="E467" s="260"/>
      <c r="F467" s="260"/>
      <c r="G467" s="260"/>
      <c r="H467" s="260"/>
      <c r="K467" s="114"/>
      <c r="L467" s="114"/>
      <c r="M467" s="114"/>
      <c r="N467" s="114"/>
      <c r="O467" s="114"/>
      <c r="P467" s="114"/>
    </row>
    <row r="468">
      <c r="A468" s="260"/>
      <c r="B468" s="260"/>
      <c r="C468" s="260"/>
      <c r="D468" s="260"/>
      <c r="E468" s="260"/>
      <c r="F468" s="260"/>
      <c r="G468" s="260"/>
      <c r="H468" s="260"/>
      <c r="K468" s="257"/>
      <c r="L468" s="257"/>
      <c r="M468" s="257"/>
      <c r="N468" s="257"/>
      <c r="O468" s="257"/>
      <c r="P468" s="257"/>
    </row>
    <row r="469">
      <c r="A469" s="260"/>
      <c r="B469" s="260"/>
      <c r="C469" s="260"/>
      <c r="D469" s="260"/>
      <c r="E469" s="260"/>
      <c r="F469" s="260"/>
      <c r="G469" s="260"/>
      <c r="H469" s="260"/>
      <c r="K469" s="114"/>
      <c r="L469" s="114"/>
      <c r="M469" s="114"/>
      <c r="N469" s="114"/>
      <c r="O469" s="114"/>
      <c r="P469" s="114"/>
    </row>
    <row r="470">
      <c r="A470" s="260"/>
      <c r="B470" s="260"/>
      <c r="C470" s="260"/>
      <c r="D470" s="260"/>
      <c r="E470" s="260"/>
      <c r="F470" s="260"/>
      <c r="G470" s="260"/>
      <c r="H470" s="260"/>
      <c r="K470" s="257"/>
      <c r="L470" s="257"/>
      <c r="M470" s="257"/>
      <c r="N470" s="257"/>
      <c r="O470" s="257"/>
      <c r="P470" s="257"/>
    </row>
    <row r="471">
      <c r="A471" s="260"/>
      <c r="B471" s="260"/>
      <c r="C471" s="260"/>
      <c r="D471" s="260"/>
      <c r="E471" s="260"/>
      <c r="F471" s="260"/>
      <c r="G471" s="260"/>
      <c r="H471" s="260"/>
      <c r="K471" s="114"/>
      <c r="L471" s="114"/>
      <c r="M471" s="114"/>
      <c r="N471" s="114"/>
      <c r="O471" s="114"/>
      <c r="P471" s="114"/>
    </row>
    <row r="472">
      <c r="A472" s="260"/>
      <c r="B472" s="260"/>
      <c r="C472" s="260"/>
      <c r="D472" s="260"/>
      <c r="E472" s="260"/>
      <c r="F472" s="260"/>
      <c r="G472" s="260"/>
      <c r="H472" s="260"/>
      <c r="K472" s="257"/>
      <c r="L472" s="257"/>
      <c r="M472" s="257"/>
      <c r="N472" s="257"/>
      <c r="O472" s="257"/>
      <c r="P472" s="257"/>
    </row>
    <row r="473">
      <c r="A473" s="260"/>
      <c r="B473" s="260"/>
      <c r="C473" s="260"/>
      <c r="D473" s="260"/>
      <c r="E473" s="260"/>
      <c r="F473" s="260"/>
      <c r="G473" s="260"/>
      <c r="H473" s="260"/>
      <c r="K473" s="114"/>
      <c r="L473" s="114"/>
      <c r="M473" s="114"/>
      <c r="N473" s="114"/>
      <c r="O473" s="114"/>
      <c r="P473" s="114"/>
    </row>
    <row r="474">
      <c r="A474" s="260"/>
      <c r="B474" s="260"/>
      <c r="C474" s="260"/>
      <c r="D474" s="260"/>
      <c r="E474" s="260"/>
      <c r="F474" s="260"/>
      <c r="G474" s="260"/>
      <c r="H474" s="260"/>
      <c r="K474" s="257"/>
      <c r="L474" s="257"/>
      <c r="M474" s="257"/>
      <c r="N474" s="257"/>
      <c r="O474" s="257"/>
      <c r="P474" s="257"/>
    </row>
    <row r="475">
      <c r="A475" s="260"/>
      <c r="B475" s="260"/>
      <c r="C475" s="260"/>
      <c r="D475" s="260"/>
      <c r="E475" s="260"/>
      <c r="F475" s="260"/>
      <c r="G475" s="260"/>
      <c r="H475" s="260"/>
      <c r="K475" s="114"/>
      <c r="L475" s="114"/>
      <c r="M475" s="114"/>
      <c r="N475" s="114"/>
      <c r="O475" s="114"/>
      <c r="P475" s="114"/>
    </row>
    <row r="476">
      <c r="A476" s="260"/>
      <c r="B476" s="260"/>
      <c r="C476" s="260"/>
      <c r="D476" s="260"/>
      <c r="E476" s="260"/>
      <c r="F476" s="260"/>
      <c r="G476" s="260"/>
      <c r="H476" s="260"/>
      <c r="K476" s="257"/>
      <c r="L476" s="257"/>
      <c r="M476" s="257"/>
      <c r="N476" s="257"/>
      <c r="O476" s="257"/>
      <c r="P476" s="257"/>
    </row>
    <row r="477">
      <c r="A477" s="260"/>
      <c r="B477" s="260"/>
      <c r="C477" s="260"/>
      <c r="D477" s="260"/>
      <c r="E477" s="260"/>
      <c r="F477" s="260"/>
      <c r="G477" s="260"/>
      <c r="H477" s="260"/>
      <c r="K477" s="114"/>
      <c r="L477" s="114"/>
      <c r="M477" s="114"/>
      <c r="N477" s="114"/>
      <c r="O477" s="114"/>
      <c r="P477" s="114"/>
    </row>
    <row r="478">
      <c r="A478" s="260"/>
      <c r="B478" s="260"/>
      <c r="C478" s="260"/>
      <c r="D478" s="260"/>
      <c r="E478" s="260"/>
      <c r="F478" s="260"/>
      <c r="G478" s="260"/>
      <c r="H478" s="260"/>
      <c r="K478" s="257"/>
      <c r="L478" s="257"/>
      <c r="M478" s="257"/>
      <c r="N478" s="257"/>
      <c r="O478" s="257"/>
      <c r="P478" s="257"/>
    </row>
    <row r="479">
      <c r="A479" s="260"/>
      <c r="B479" s="260"/>
      <c r="C479" s="260"/>
      <c r="D479" s="260"/>
      <c r="E479" s="260"/>
      <c r="F479" s="260"/>
      <c r="G479" s="260"/>
      <c r="H479" s="260"/>
      <c r="K479" s="114"/>
      <c r="L479" s="114"/>
      <c r="M479" s="114"/>
      <c r="N479" s="114"/>
      <c r="O479" s="114"/>
      <c r="P479" s="114"/>
    </row>
    <row r="480">
      <c r="A480" s="260"/>
      <c r="B480" s="260"/>
      <c r="C480" s="260"/>
      <c r="D480" s="260"/>
      <c r="E480" s="260"/>
      <c r="F480" s="260"/>
      <c r="G480" s="260"/>
      <c r="H480" s="260"/>
      <c r="K480" s="257"/>
      <c r="L480" s="257"/>
      <c r="M480" s="257"/>
      <c r="N480" s="257"/>
      <c r="O480" s="257"/>
      <c r="P480" s="257"/>
    </row>
    <row r="481">
      <c r="A481" s="260"/>
      <c r="B481" s="260"/>
      <c r="C481" s="260"/>
      <c r="D481" s="260"/>
      <c r="E481" s="260"/>
      <c r="F481" s="260"/>
      <c r="G481" s="260"/>
      <c r="H481" s="260"/>
      <c r="K481" s="114"/>
      <c r="L481" s="114"/>
      <c r="M481" s="114"/>
      <c r="N481" s="114"/>
      <c r="O481" s="114"/>
      <c r="P481" s="114"/>
    </row>
    <row r="482">
      <c r="A482" s="260"/>
      <c r="B482" s="260"/>
      <c r="C482" s="260"/>
      <c r="D482" s="260"/>
      <c r="E482" s="260"/>
      <c r="F482" s="260"/>
      <c r="G482" s="260"/>
      <c r="H482" s="260"/>
      <c r="K482" s="257"/>
      <c r="L482" s="257"/>
      <c r="M482" s="257"/>
      <c r="N482" s="257"/>
      <c r="O482" s="257"/>
      <c r="P482" s="257"/>
    </row>
    <row r="483">
      <c r="A483" s="260"/>
      <c r="B483" s="260"/>
      <c r="C483" s="260"/>
      <c r="D483" s="260"/>
      <c r="E483" s="260"/>
      <c r="F483" s="260"/>
      <c r="G483" s="260"/>
      <c r="H483" s="260"/>
      <c r="K483" s="114"/>
      <c r="L483" s="114"/>
      <c r="M483" s="114"/>
      <c r="N483" s="114"/>
      <c r="O483" s="114"/>
      <c r="P483" s="114"/>
    </row>
    <row r="484">
      <c r="A484" s="260"/>
      <c r="B484" s="260"/>
      <c r="C484" s="260"/>
      <c r="D484" s="260"/>
      <c r="E484" s="260"/>
      <c r="F484" s="260"/>
      <c r="G484" s="260"/>
      <c r="H484" s="260"/>
      <c r="K484" s="257"/>
      <c r="L484" s="257"/>
      <c r="M484" s="257"/>
      <c r="N484" s="257"/>
      <c r="O484" s="257"/>
      <c r="P484" s="257"/>
    </row>
    <row r="485">
      <c r="A485" s="260"/>
      <c r="B485" s="260"/>
      <c r="C485" s="260"/>
      <c r="D485" s="260"/>
      <c r="E485" s="260"/>
      <c r="F485" s="260"/>
      <c r="G485" s="260"/>
      <c r="H485" s="260"/>
      <c r="K485" s="114"/>
      <c r="L485" s="114"/>
      <c r="M485" s="114"/>
      <c r="N485" s="114"/>
      <c r="O485" s="114"/>
      <c r="P485" s="114"/>
    </row>
    <row r="486">
      <c r="A486" s="260"/>
      <c r="B486" s="260"/>
      <c r="C486" s="260"/>
      <c r="D486" s="260"/>
      <c r="E486" s="260"/>
      <c r="F486" s="260"/>
      <c r="G486" s="260"/>
      <c r="H486" s="260"/>
      <c r="K486" s="257"/>
      <c r="L486" s="257"/>
      <c r="M486" s="257"/>
      <c r="N486" s="257"/>
      <c r="O486" s="257"/>
      <c r="P486" s="257"/>
    </row>
    <row r="487">
      <c r="A487" s="260"/>
      <c r="B487" s="260"/>
      <c r="C487" s="260"/>
      <c r="D487" s="260"/>
      <c r="E487" s="260"/>
      <c r="F487" s="260"/>
      <c r="G487" s="260"/>
      <c r="H487" s="260"/>
      <c r="K487" s="114"/>
      <c r="L487" s="114"/>
      <c r="M487" s="114"/>
      <c r="N487" s="114"/>
      <c r="O487" s="114"/>
      <c r="P487" s="114"/>
    </row>
    <row r="488">
      <c r="A488" s="260"/>
      <c r="B488" s="260"/>
      <c r="C488" s="260"/>
      <c r="D488" s="260"/>
      <c r="E488" s="260"/>
      <c r="F488" s="260"/>
      <c r="G488" s="260"/>
      <c r="H488" s="260"/>
      <c r="K488" s="257"/>
      <c r="L488" s="257"/>
      <c r="M488" s="257"/>
      <c r="N488" s="257"/>
      <c r="O488" s="257"/>
      <c r="P488" s="257"/>
    </row>
    <row r="489">
      <c r="A489" s="260"/>
      <c r="B489" s="260"/>
      <c r="C489" s="260"/>
      <c r="D489" s="260"/>
      <c r="E489" s="260"/>
      <c r="F489" s="260"/>
      <c r="G489" s="260"/>
      <c r="H489" s="260"/>
      <c r="K489" s="114"/>
      <c r="L489" s="114"/>
      <c r="M489" s="114"/>
      <c r="N489" s="114"/>
      <c r="O489" s="114"/>
      <c r="P489" s="114"/>
    </row>
    <row r="490">
      <c r="A490" s="260"/>
      <c r="B490" s="260"/>
      <c r="C490" s="260"/>
      <c r="D490" s="260"/>
      <c r="E490" s="260"/>
      <c r="F490" s="260"/>
      <c r="G490" s="260"/>
      <c r="H490" s="260"/>
      <c r="K490" s="257"/>
      <c r="L490" s="257"/>
      <c r="M490" s="257"/>
      <c r="N490" s="257"/>
      <c r="O490" s="257"/>
      <c r="P490" s="257"/>
    </row>
    <row r="491">
      <c r="A491" s="260"/>
      <c r="B491" s="260"/>
      <c r="C491" s="260"/>
      <c r="D491" s="260"/>
      <c r="E491" s="260"/>
      <c r="F491" s="260"/>
      <c r="G491" s="260"/>
      <c r="H491" s="260"/>
      <c r="K491" s="114"/>
      <c r="L491" s="114"/>
      <c r="M491" s="114"/>
      <c r="N491" s="114"/>
      <c r="O491" s="114"/>
      <c r="P491" s="114"/>
    </row>
    <row r="492">
      <c r="A492" s="260"/>
      <c r="B492" s="260"/>
      <c r="C492" s="260"/>
      <c r="D492" s="260"/>
      <c r="E492" s="260"/>
      <c r="F492" s="260"/>
      <c r="G492" s="260"/>
      <c r="H492" s="260"/>
      <c r="K492" s="257"/>
      <c r="L492" s="257"/>
      <c r="M492" s="257"/>
      <c r="N492" s="257"/>
      <c r="O492" s="257"/>
      <c r="P492" s="257"/>
    </row>
    <row r="493">
      <c r="A493" s="260"/>
      <c r="B493" s="260"/>
      <c r="C493" s="260"/>
      <c r="D493" s="260"/>
      <c r="E493" s="260"/>
      <c r="F493" s="260"/>
      <c r="G493" s="260"/>
      <c r="H493" s="260"/>
      <c r="K493" s="114"/>
      <c r="L493" s="114"/>
      <c r="M493" s="114"/>
      <c r="N493" s="114"/>
      <c r="O493" s="114"/>
      <c r="P493" s="114"/>
    </row>
    <row r="494">
      <c r="A494" s="260"/>
      <c r="B494" s="260"/>
      <c r="C494" s="260"/>
      <c r="D494" s="260"/>
      <c r="E494" s="260"/>
      <c r="F494" s="260"/>
      <c r="G494" s="260"/>
      <c r="H494" s="260"/>
      <c r="K494" s="257"/>
      <c r="L494" s="257"/>
      <c r="M494" s="257"/>
      <c r="N494" s="257"/>
      <c r="O494" s="257"/>
      <c r="P494" s="257"/>
    </row>
    <row r="495">
      <c r="A495" s="260"/>
      <c r="B495" s="260"/>
      <c r="C495" s="260"/>
      <c r="D495" s="260"/>
      <c r="E495" s="260"/>
      <c r="F495" s="260"/>
      <c r="G495" s="260"/>
      <c r="H495" s="260"/>
      <c r="K495" s="114"/>
      <c r="L495" s="114"/>
      <c r="M495" s="114"/>
      <c r="N495" s="114"/>
      <c r="O495" s="114"/>
      <c r="P495" s="114"/>
    </row>
    <row r="496">
      <c r="A496" s="260"/>
      <c r="B496" s="260"/>
      <c r="C496" s="260"/>
      <c r="D496" s="260"/>
      <c r="E496" s="260"/>
      <c r="F496" s="260"/>
      <c r="G496" s="260"/>
      <c r="H496" s="260"/>
      <c r="K496" s="257"/>
      <c r="L496" s="257"/>
      <c r="M496" s="257"/>
      <c r="N496" s="257"/>
      <c r="O496" s="257"/>
      <c r="P496" s="257"/>
    </row>
    <row r="497">
      <c r="A497" s="260"/>
      <c r="B497" s="260"/>
      <c r="C497" s="260"/>
      <c r="D497" s="260"/>
      <c r="E497" s="260"/>
      <c r="F497" s="260"/>
      <c r="G497" s="260"/>
      <c r="H497" s="260"/>
      <c r="K497" s="114"/>
      <c r="L497" s="114"/>
      <c r="M497" s="114"/>
      <c r="N497" s="114"/>
      <c r="O497" s="114"/>
      <c r="P497" s="114"/>
    </row>
    <row r="498">
      <c r="A498" s="260"/>
      <c r="B498" s="260"/>
      <c r="C498" s="260"/>
      <c r="D498" s="260"/>
      <c r="E498" s="260"/>
      <c r="F498" s="260"/>
      <c r="G498" s="260"/>
      <c r="H498" s="260"/>
      <c r="K498" s="257"/>
      <c r="L498" s="257"/>
      <c r="M498" s="257"/>
      <c r="N498" s="257"/>
      <c r="O498" s="257"/>
      <c r="P498" s="257"/>
    </row>
    <row r="499">
      <c r="A499" s="260"/>
      <c r="B499" s="260"/>
      <c r="C499" s="260"/>
      <c r="D499" s="260"/>
      <c r="E499" s="260"/>
      <c r="F499" s="260"/>
      <c r="G499" s="260"/>
      <c r="H499" s="260"/>
      <c r="K499" s="114"/>
      <c r="L499" s="114"/>
      <c r="M499" s="114"/>
      <c r="N499" s="114"/>
      <c r="O499" s="114"/>
      <c r="P499" s="114"/>
    </row>
    <row r="500">
      <c r="A500" s="260"/>
      <c r="B500" s="260"/>
      <c r="C500" s="260"/>
      <c r="D500" s="260"/>
      <c r="E500" s="260"/>
      <c r="F500" s="260"/>
      <c r="G500" s="260"/>
      <c r="H500" s="260"/>
      <c r="K500" s="257"/>
      <c r="L500" s="257"/>
      <c r="M500" s="257"/>
      <c r="N500" s="257"/>
      <c r="O500" s="257"/>
      <c r="P500" s="257"/>
    </row>
    <row r="501">
      <c r="A501" s="260"/>
      <c r="B501" s="260"/>
      <c r="C501" s="260"/>
      <c r="D501" s="260"/>
      <c r="E501" s="260"/>
      <c r="F501" s="260"/>
      <c r="G501" s="260"/>
      <c r="H501" s="260"/>
      <c r="K501" s="114"/>
      <c r="L501" s="114"/>
      <c r="M501" s="114"/>
      <c r="N501" s="114"/>
      <c r="O501" s="114"/>
      <c r="P501" s="114"/>
    </row>
    <row r="502">
      <c r="A502" s="260"/>
      <c r="B502" s="260"/>
      <c r="C502" s="260"/>
      <c r="D502" s="260"/>
      <c r="E502" s="260"/>
      <c r="F502" s="260"/>
      <c r="G502" s="260"/>
      <c r="H502" s="260"/>
      <c r="K502" s="257"/>
      <c r="L502" s="257"/>
      <c r="M502" s="257"/>
      <c r="N502" s="257"/>
      <c r="O502" s="257"/>
      <c r="P502" s="257"/>
    </row>
    <row r="503">
      <c r="A503" s="260"/>
      <c r="B503" s="260"/>
      <c r="C503" s="260"/>
      <c r="D503" s="260"/>
      <c r="E503" s="260"/>
      <c r="F503" s="260"/>
      <c r="G503" s="260"/>
      <c r="H503" s="260"/>
      <c r="K503" s="114"/>
      <c r="L503" s="114"/>
      <c r="M503" s="114"/>
      <c r="N503" s="114"/>
      <c r="O503" s="114"/>
      <c r="P503" s="114"/>
    </row>
    <row r="504">
      <c r="A504" s="260"/>
      <c r="B504" s="260"/>
      <c r="C504" s="260"/>
      <c r="D504" s="260"/>
      <c r="E504" s="260"/>
      <c r="F504" s="260"/>
      <c r="G504" s="260"/>
      <c r="H504" s="260"/>
      <c r="K504" s="257"/>
      <c r="L504" s="257"/>
      <c r="M504" s="257"/>
      <c r="N504" s="257"/>
      <c r="O504" s="257"/>
      <c r="P504" s="257"/>
    </row>
    <row r="505">
      <c r="A505" s="260"/>
      <c r="B505" s="260"/>
      <c r="C505" s="260"/>
      <c r="D505" s="260"/>
      <c r="E505" s="260"/>
      <c r="F505" s="260"/>
      <c r="G505" s="260"/>
      <c r="H505" s="260"/>
      <c r="K505" s="114"/>
      <c r="L505" s="114"/>
      <c r="M505" s="114"/>
      <c r="N505" s="114"/>
      <c r="O505" s="114"/>
      <c r="P505" s="114"/>
    </row>
    <row r="506">
      <c r="A506" s="260"/>
      <c r="B506" s="260"/>
      <c r="C506" s="260"/>
      <c r="D506" s="260"/>
      <c r="E506" s="260"/>
      <c r="F506" s="260"/>
      <c r="G506" s="260"/>
      <c r="H506" s="260"/>
      <c r="K506" s="257"/>
      <c r="L506" s="257"/>
      <c r="M506" s="257"/>
      <c r="N506" s="257"/>
      <c r="O506" s="257"/>
      <c r="P506" s="257"/>
    </row>
    <row r="507">
      <c r="A507" s="260"/>
      <c r="B507" s="260"/>
      <c r="C507" s="260"/>
      <c r="D507" s="260"/>
      <c r="E507" s="260"/>
      <c r="F507" s="260"/>
      <c r="G507" s="260"/>
      <c r="H507" s="260"/>
      <c r="K507" s="114"/>
      <c r="L507" s="114"/>
      <c r="M507" s="114"/>
      <c r="N507" s="114"/>
      <c r="O507" s="114"/>
      <c r="P507" s="114"/>
    </row>
    <row r="508">
      <c r="A508" s="260"/>
      <c r="B508" s="260"/>
      <c r="C508" s="260"/>
      <c r="D508" s="260"/>
      <c r="E508" s="260"/>
      <c r="F508" s="260"/>
      <c r="G508" s="260"/>
      <c r="H508" s="260"/>
      <c r="K508" s="257"/>
      <c r="L508" s="257"/>
      <c r="M508" s="257"/>
      <c r="N508" s="257"/>
      <c r="O508" s="257"/>
      <c r="P508" s="257"/>
    </row>
    <row r="509">
      <c r="A509" s="260"/>
      <c r="B509" s="260"/>
      <c r="C509" s="260"/>
      <c r="D509" s="260"/>
      <c r="E509" s="260"/>
      <c r="F509" s="260"/>
      <c r="G509" s="260"/>
      <c r="H509" s="260"/>
      <c r="K509" s="114"/>
      <c r="L509" s="114"/>
      <c r="M509" s="114"/>
      <c r="N509" s="114"/>
      <c r="O509" s="114"/>
      <c r="P509" s="114"/>
    </row>
    <row r="510">
      <c r="A510" s="260"/>
      <c r="B510" s="260"/>
      <c r="C510" s="260"/>
      <c r="D510" s="260"/>
      <c r="E510" s="260"/>
      <c r="F510" s="260"/>
      <c r="G510" s="260"/>
      <c r="H510" s="260"/>
      <c r="K510" s="257"/>
      <c r="L510" s="257"/>
      <c r="M510" s="257"/>
      <c r="N510" s="257"/>
      <c r="O510" s="257"/>
      <c r="P510" s="257"/>
    </row>
    <row r="511">
      <c r="A511" s="260"/>
      <c r="B511" s="260"/>
      <c r="C511" s="260"/>
      <c r="D511" s="260"/>
      <c r="E511" s="260"/>
      <c r="F511" s="260"/>
      <c r="G511" s="260"/>
      <c r="H511" s="260"/>
      <c r="K511" s="114"/>
      <c r="L511" s="114"/>
      <c r="M511" s="114"/>
      <c r="N511" s="114"/>
      <c r="O511" s="114"/>
      <c r="P511" s="114"/>
    </row>
    <row r="512">
      <c r="A512" s="260"/>
      <c r="B512" s="260"/>
      <c r="C512" s="260"/>
      <c r="D512" s="260"/>
      <c r="E512" s="260"/>
      <c r="F512" s="260"/>
      <c r="G512" s="260"/>
      <c r="H512" s="260"/>
      <c r="K512" s="257"/>
      <c r="L512" s="257"/>
      <c r="M512" s="257"/>
      <c r="N512" s="257"/>
      <c r="O512" s="257"/>
      <c r="P512" s="257"/>
    </row>
    <row r="513">
      <c r="A513" s="260"/>
      <c r="B513" s="260"/>
      <c r="C513" s="260"/>
      <c r="D513" s="260"/>
      <c r="E513" s="260"/>
      <c r="F513" s="260"/>
      <c r="G513" s="260"/>
      <c r="H513" s="260"/>
      <c r="K513" s="114"/>
      <c r="L513" s="114"/>
      <c r="M513" s="114"/>
      <c r="N513" s="114"/>
      <c r="O513" s="114"/>
      <c r="P513" s="114"/>
    </row>
    <row r="514">
      <c r="A514" s="260"/>
      <c r="B514" s="260"/>
      <c r="C514" s="260"/>
      <c r="D514" s="260"/>
      <c r="E514" s="260"/>
      <c r="F514" s="260"/>
      <c r="G514" s="260"/>
      <c r="H514" s="260"/>
      <c r="K514" s="257"/>
      <c r="L514" s="257"/>
      <c r="M514" s="257"/>
      <c r="N514" s="257"/>
      <c r="O514" s="257"/>
      <c r="P514" s="257"/>
    </row>
    <row r="515">
      <c r="A515" s="260"/>
      <c r="B515" s="260"/>
      <c r="C515" s="260"/>
      <c r="D515" s="260"/>
      <c r="E515" s="260"/>
      <c r="F515" s="260"/>
      <c r="G515" s="260"/>
      <c r="H515" s="260"/>
      <c r="K515" s="114"/>
      <c r="L515" s="114"/>
      <c r="M515" s="114"/>
      <c r="N515" s="114"/>
      <c r="O515" s="114"/>
      <c r="P515" s="114"/>
    </row>
    <row r="516">
      <c r="A516" s="260"/>
      <c r="B516" s="260"/>
      <c r="C516" s="260"/>
      <c r="D516" s="260"/>
      <c r="E516" s="260"/>
      <c r="F516" s="260"/>
      <c r="G516" s="260"/>
      <c r="H516" s="260"/>
      <c r="K516" s="257"/>
      <c r="L516" s="257"/>
      <c r="M516" s="257"/>
      <c r="N516" s="257"/>
      <c r="O516" s="257"/>
      <c r="P516" s="257"/>
    </row>
    <row r="517">
      <c r="A517" s="260"/>
      <c r="B517" s="260"/>
      <c r="C517" s="260"/>
      <c r="D517" s="260"/>
      <c r="E517" s="260"/>
      <c r="F517" s="260"/>
      <c r="G517" s="260"/>
      <c r="H517" s="260"/>
      <c r="K517" s="114"/>
      <c r="L517" s="114"/>
      <c r="M517" s="114"/>
      <c r="N517" s="114"/>
      <c r="O517" s="114"/>
      <c r="P517" s="114"/>
    </row>
    <row r="518">
      <c r="A518" s="260"/>
      <c r="B518" s="260"/>
      <c r="C518" s="260"/>
      <c r="D518" s="260"/>
      <c r="E518" s="260"/>
      <c r="F518" s="260"/>
      <c r="G518" s="260"/>
      <c r="H518" s="260"/>
      <c r="K518" s="257"/>
      <c r="L518" s="257"/>
      <c r="M518" s="257"/>
      <c r="N518" s="257"/>
      <c r="O518" s="257"/>
      <c r="P518" s="257"/>
    </row>
    <row r="519">
      <c r="A519" s="260"/>
      <c r="B519" s="260"/>
      <c r="C519" s="260"/>
      <c r="D519" s="260"/>
      <c r="E519" s="260"/>
      <c r="F519" s="260"/>
      <c r="G519" s="260"/>
      <c r="H519" s="260"/>
      <c r="K519" s="114"/>
      <c r="L519" s="114"/>
      <c r="M519" s="114"/>
      <c r="N519" s="114"/>
      <c r="O519" s="114"/>
      <c r="P519" s="114"/>
    </row>
    <row r="520">
      <c r="A520" s="260"/>
      <c r="B520" s="260"/>
      <c r="C520" s="260"/>
      <c r="D520" s="260"/>
      <c r="E520" s="260"/>
      <c r="F520" s="260"/>
      <c r="G520" s="260"/>
      <c r="H520" s="260"/>
      <c r="K520" s="257"/>
      <c r="L520" s="257"/>
      <c r="M520" s="257"/>
      <c r="N520" s="257"/>
      <c r="O520" s="257"/>
      <c r="P520" s="257"/>
    </row>
    <row r="521">
      <c r="A521" s="260"/>
      <c r="B521" s="260"/>
      <c r="C521" s="260"/>
      <c r="D521" s="260"/>
      <c r="E521" s="260"/>
      <c r="F521" s="260"/>
      <c r="G521" s="260"/>
      <c r="H521" s="260"/>
      <c r="K521" s="114"/>
      <c r="L521" s="114"/>
      <c r="M521" s="114"/>
      <c r="N521" s="114"/>
      <c r="O521" s="114"/>
      <c r="P521" s="114"/>
    </row>
    <row r="522">
      <c r="A522" s="260"/>
      <c r="B522" s="260"/>
      <c r="C522" s="260"/>
      <c r="D522" s="260"/>
      <c r="E522" s="260"/>
      <c r="F522" s="260"/>
      <c r="G522" s="260"/>
      <c r="H522" s="260"/>
      <c r="K522" s="257"/>
      <c r="L522" s="257"/>
      <c r="M522" s="257"/>
      <c r="N522" s="257"/>
      <c r="O522" s="257"/>
      <c r="P522" s="257"/>
    </row>
    <row r="523">
      <c r="A523" s="260"/>
      <c r="B523" s="260"/>
      <c r="C523" s="260"/>
      <c r="D523" s="260"/>
      <c r="E523" s="260"/>
      <c r="F523" s="260"/>
      <c r="G523" s="260"/>
      <c r="H523" s="260"/>
      <c r="K523" s="114"/>
      <c r="L523" s="114"/>
      <c r="M523" s="114"/>
      <c r="N523" s="114"/>
      <c r="O523" s="114"/>
      <c r="P523" s="114"/>
    </row>
    <row r="524">
      <c r="A524" s="260"/>
      <c r="B524" s="260"/>
      <c r="C524" s="260"/>
      <c r="D524" s="260"/>
      <c r="E524" s="260"/>
      <c r="F524" s="260"/>
      <c r="G524" s="260"/>
      <c r="H524" s="260"/>
      <c r="K524" s="257"/>
      <c r="L524" s="257"/>
      <c r="M524" s="257"/>
      <c r="N524" s="257"/>
      <c r="O524" s="257"/>
      <c r="P524" s="257"/>
    </row>
    <row r="525">
      <c r="A525" s="260"/>
      <c r="B525" s="260"/>
      <c r="C525" s="260"/>
      <c r="D525" s="260"/>
      <c r="E525" s="260"/>
      <c r="F525" s="260"/>
      <c r="G525" s="260"/>
      <c r="H525" s="260"/>
      <c r="K525" s="114"/>
      <c r="L525" s="114"/>
      <c r="M525" s="114"/>
      <c r="N525" s="114"/>
      <c r="O525" s="114"/>
      <c r="P525" s="114"/>
    </row>
    <row r="526">
      <c r="A526" s="260"/>
      <c r="B526" s="260"/>
      <c r="C526" s="260"/>
      <c r="D526" s="260"/>
      <c r="E526" s="260"/>
      <c r="F526" s="260"/>
      <c r="G526" s="260"/>
      <c r="H526" s="260"/>
      <c r="K526" s="257"/>
      <c r="L526" s="257"/>
      <c r="M526" s="257"/>
      <c r="N526" s="257"/>
      <c r="O526" s="257"/>
      <c r="P526" s="257"/>
    </row>
    <row r="527">
      <c r="A527" s="260"/>
      <c r="B527" s="260"/>
      <c r="C527" s="260"/>
      <c r="D527" s="260"/>
      <c r="E527" s="260"/>
      <c r="F527" s="260"/>
      <c r="G527" s="260"/>
      <c r="H527" s="260"/>
      <c r="K527" s="114"/>
      <c r="L527" s="114"/>
      <c r="M527" s="114"/>
      <c r="N527" s="114"/>
      <c r="O527" s="114"/>
      <c r="P527" s="114"/>
    </row>
    <row r="528">
      <c r="A528" s="260"/>
      <c r="B528" s="260"/>
      <c r="C528" s="260"/>
      <c r="D528" s="260"/>
      <c r="E528" s="260"/>
      <c r="F528" s="260"/>
      <c r="G528" s="260"/>
      <c r="H528" s="260"/>
      <c r="K528" s="257"/>
      <c r="L528" s="257"/>
      <c r="M528" s="257"/>
      <c r="N528" s="257"/>
      <c r="O528" s="257"/>
      <c r="P528" s="257"/>
    </row>
    <row r="529">
      <c r="A529" s="260"/>
      <c r="B529" s="260"/>
      <c r="C529" s="260"/>
      <c r="D529" s="260"/>
      <c r="E529" s="260"/>
      <c r="F529" s="260"/>
      <c r="G529" s="260"/>
      <c r="H529" s="260"/>
      <c r="K529" s="114"/>
      <c r="L529" s="114"/>
      <c r="M529" s="114"/>
      <c r="N529" s="114"/>
      <c r="O529" s="114"/>
      <c r="P529" s="114"/>
    </row>
    <row r="530">
      <c r="A530" s="260"/>
      <c r="B530" s="260"/>
      <c r="C530" s="260"/>
      <c r="D530" s="260"/>
      <c r="E530" s="260"/>
      <c r="F530" s="260"/>
      <c r="G530" s="260"/>
      <c r="H530" s="260"/>
      <c r="K530" s="257"/>
      <c r="L530" s="257"/>
      <c r="M530" s="257"/>
      <c r="N530" s="257"/>
      <c r="O530" s="257"/>
      <c r="P530" s="257"/>
    </row>
    <row r="531">
      <c r="A531" s="260"/>
      <c r="B531" s="260"/>
      <c r="C531" s="260"/>
      <c r="D531" s="260"/>
      <c r="E531" s="260"/>
      <c r="F531" s="260"/>
      <c r="G531" s="260"/>
      <c r="H531" s="260"/>
      <c r="K531" s="114"/>
      <c r="L531" s="114"/>
      <c r="M531" s="114"/>
      <c r="N531" s="114"/>
      <c r="O531" s="114"/>
      <c r="P531" s="114"/>
    </row>
    <row r="532">
      <c r="A532" s="260"/>
      <c r="B532" s="260"/>
      <c r="C532" s="260"/>
      <c r="D532" s="260"/>
      <c r="E532" s="260"/>
      <c r="F532" s="260"/>
      <c r="G532" s="260"/>
      <c r="H532" s="260"/>
      <c r="K532" s="257"/>
      <c r="L532" s="257"/>
      <c r="M532" s="257"/>
      <c r="N532" s="257"/>
      <c r="O532" s="257"/>
      <c r="P532" s="257"/>
    </row>
    <row r="533">
      <c r="A533" s="260"/>
      <c r="B533" s="260"/>
      <c r="C533" s="260"/>
      <c r="D533" s="260"/>
      <c r="E533" s="260"/>
      <c r="F533" s="260"/>
      <c r="G533" s="260"/>
      <c r="H533" s="260"/>
      <c r="K533" s="114"/>
      <c r="L533" s="114"/>
      <c r="M533" s="114"/>
      <c r="N533" s="114"/>
      <c r="O533" s="114"/>
      <c r="P533" s="114"/>
    </row>
    <row r="534">
      <c r="A534" s="260"/>
      <c r="B534" s="260"/>
      <c r="C534" s="260"/>
      <c r="D534" s="260"/>
      <c r="E534" s="260"/>
      <c r="F534" s="260"/>
      <c r="G534" s="260"/>
      <c r="H534" s="260"/>
      <c r="K534" s="257"/>
      <c r="L534" s="257"/>
      <c r="M534" s="257"/>
      <c r="N534" s="257"/>
      <c r="O534" s="257"/>
      <c r="P534" s="257"/>
    </row>
    <row r="535">
      <c r="A535" s="260"/>
      <c r="B535" s="260"/>
      <c r="C535" s="260"/>
      <c r="D535" s="260"/>
      <c r="E535" s="260"/>
      <c r="F535" s="260"/>
      <c r="G535" s="260"/>
      <c r="H535" s="260"/>
      <c r="K535" s="114"/>
      <c r="L535" s="114"/>
      <c r="M535" s="114"/>
      <c r="N535" s="114"/>
      <c r="O535" s="114"/>
      <c r="P535" s="114"/>
    </row>
    <row r="536">
      <c r="A536" s="260"/>
      <c r="B536" s="260"/>
      <c r="C536" s="260"/>
      <c r="D536" s="260"/>
      <c r="E536" s="260"/>
      <c r="F536" s="260"/>
      <c r="G536" s="260"/>
      <c r="H536" s="260"/>
      <c r="K536" s="257"/>
      <c r="L536" s="257"/>
      <c r="M536" s="257"/>
      <c r="N536" s="257"/>
      <c r="O536" s="257"/>
      <c r="P536" s="257"/>
    </row>
    <row r="537">
      <c r="A537" s="260"/>
      <c r="B537" s="260"/>
      <c r="C537" s="260"/>
      <c r="D537" s="260"/>
      <c r="E537" s="260"/>
      <c r="F537" s="260"/>
      <c r="G537" s="260"/>
      <c r="H537" s="260"/>
      <c r="K537" s="114"/>
      <c r="L537" s="114"/>
      <c r="M537" s="114"/>
      <c r="N537" s="114"/>
      <c r="O537" s="114"/>
      <c r="P537" s="114"/>
    </row>
    <row r="538">
      <c r="A538" s="260"/>
      <c r="B538" s="260"/>
      <c r="C538" s="260"/>
      <c r="D538" s="260"/>
      <c r="E538" s="260"/>
      <c r="F538" s="260"/>
      <c r="G538" s="260"/>
      <c r="H538" s="260"/>
      <c r="K538" s="257"/>
      <c r="L538" s="257"/>
      <c r="M538" s="257"/>
      <c r="N538" s="257"/>
      <c r="O538" s="257"/>
      <c r="P538" s="257"/>
    </row>
    <row r="539">
      <c r="A539" s="260"/>
      <c r="B539" s="260"/>
      <c r="C539" s="260"/>
      <c r="D539" s="260"/>
      <c r="E539" s="260"/>
      <c r="F539" s="260"/>
      <c r="G539" s="260"/>
      <c r="H539" s="260"/>
      <c r="K539" s="114"/>
      <c r="L539" s="114"/>
      <c r="M539" s="114"/>
      <c r="N539" s="114"/>
      <c r="O539" s="114"/>
      <c r="P539" s="114"/>
    </row>
    <row r="540">
      <c r="A540" s="260"/>
      <c r="B540" s="260"/>
      <c r="C540" s="260"/>
      <c r="D540" s="260"/>
      <c r="E540" s="260"/>
      <c r="F540" s="260"/>
      <c r="G540" s="260"/>
      <c r="H540" s="260"/>
      <c r="K540" s="257"/>
      <c r="L540" s="257"/>
      <c r="M540" s="257"/>
      <c r="N540" s="257"/>
      <c r="O540" s="257"/>
      <c r="P540" s="257"/>
    </row>
    <row r="541">
      <c r="A541" s="260"/>
      <c r="B541" s="260"/>
      <c r="C541" s="260"/>
      <c r="D541" s="260"/>
      <c r="E541" s="260"/>
      <c r="F541" s="260"/>
      <c r="G541" s="260"/>
      <c r="H541" s="260"/>
      <c r="K541" s="114"/>
      <c r="L541" s="114"/>
      <c r="M541" s="114"/>
      <c r="N541" s="114"/>
      <c r="O541" s="114"/>
      <c r="P541" s="114"/>
    </row>
    <row r="542">
      <c r="A542" s="260"/>
      <c r="B542" s="260"/>
      <c r="C542" s="260"/>
      <c r="D542" s="260"/>
      <c r="E542" s="260"/>
      <c r="F542" s="260"/>
      <c r="G542" s="260"/>
      <c r="H542" s="260"/>
      <c r="K542" s="257"/>
      <c r="L542" s="257"/>
      <c r="M542" s="257"/>
      <c r="N542" s="257"/>
      <c r="O542" s="257"/>
      <c r="P542" s="257"/>
    </row>
    <row r="543">
      <c r="A543" s="260"/>
      <c r="B543" s="260"/>
      <c r="C543" s="260"/>
      <c r="D543" s="260"/>
      <c r="E543" s="260"/>
      <c r="F543" s="260"/>
      <c r="G543" s="260"/>
      <c r="H543" s="260"/>
      <c r="K543" s="114"/>
      <c r="L543" s="114"/>
      <c r="M543" s="114"/>
      <c r="N543" s="114"/>
      <c r="O543" s="114"/>
      <c r="P543" s="114"/>
    </row>
    <row r="544">
      <c r="A544" s="260"/>
      <c r="B544" s="260"/>
      <c r="C544" s="260"/>
      <c r="D544" s="260"/>
      <c r="E544" s="260"/>
      <c r="F544" s="260"/>
      <c r="G544" s="260"/>
      <c r="H544" s="260"/>
      <c r="K544" s="257"/>
      <c r="L544" s="257"/>
      <c r="M544" s="257"/>
      <c r="N544" s="257"/>
      <c r="O544" s="257"/>
      <c r="P544" s="257"/>
    </row>
    <row r="545">
      <c r="A545" s="260"/>
      <c r="B545" s="260"/>
      <c r="C545" s="260"/>
      <c r="D545" s="260"/>
      <c r="E545" s="260"/>
      <c r="F545" s="260"/>
      <c r="G545" s="260"/>
      <c r="H545" s="260"/>
      <c r="K545" s="114"/>
      <c r="L545" s="114"/>
      <c r="M545" s="114"/>
      <c r="N545" s="114"/>
      <c r="O545" s="114"/>
      <c r="P545" s="114"/>
    </row>
    <row r="546">
      <c r="A546" s="260"/>
      <c r="B546" s="260"/>
      <c r="C546" s="260"/>
      <c r="D546" s="260"/>
      <c r="E546" s="260"/>
      <c r="F546" s="260"/>
      <c r="G546" s="260"/>
      <c r="H546" s="260"/>
      <c r="K546" s="257"/>
      <c r="L546" s="257"/>
      <c r="M546" s="257"/>
      <c r="N546" s="257"/>
      <c r="O546" s="257"/>
      <c r="P546" s="257"/>
    </row>
    <row r="547">
      <c r="A547" s="260"/>
      <c r="B547" s="260"/>
      <c r="C547" s="260"/>
      <c r="D547" s="260"/>
      <c r="E547" s="260"/>
      <c r="F547" s="260"/>
      <c r="G547" s="260"/>
      <c r="H547" s="260"/>
      <c r="K547" s="114"/>
      <c r="L547" s="114"/>
      <c r="M547" s="114"/>
      <c r="N547" s="114"/>
      <c r="O547" s="114"/>
      <c r="P547" s="114"/>
    </row>
    <row r="548">
      <c r="A548" s="260"/>
      <c r="B548" s="260"/>
      <c r="C548" s="260"/>
      <c r="D548" s="260"/>
      <c r="E548" s="260"/>
      <c r="F548" s="260"/>
      <c r="G548" s="260"/>
      <c r="H548" s="260"/>
      <c r="K548" s="257"/>
      <c r="L548" s="257"/>
      <c r="M548" s="257"/>
      <c r="N548" s="257"/>
      <c r="O548" s="257"/>
      <c r="P548" s="257"/>
    </row>
    <row r="549">
      <c r="A549" s="260"/>
      <c r="B549" s="260"/>
      <c r="C549" s="260"/>
      <c r="D549" s="260"/>
      <c r="E549" s="260"/>
      <c r="F549" s="260"/>
      <c r="G549" s="260"/>
      <c r="H549" s="260"/>
      <c r="K549" s="114"/>
      <c r="L549" s="114"/>
      <c r="M549" s="114"/>
      <c r="N549" s="114"/>
      <c r="O549" s="114"/>
      <c r="P549" s="114"/>
    </row>
    <row r="550">
      <c r="A550" s="260"/>
      <c r="B550" s="260"/>
      <c r="C550" s="260"/>
      <c r="D550" s="260"/>
      <c r="E550" s="260"/>
      <c r="F550" s="260"/>
      <c r="G550" s="260"/>
      <c r="H550" s="260"/>
      <c r="K550" s="257"/>
      <c r="L550" s="257"/>
      <c r="M550" s="257"/>
      <c r="N550" s="257"/>
      <c r="O550" s="257"/>
      <c r="P550" s="257"/>
    </row>
    <row r="551">
      <c r="A551" s="260"/>
      <c r="B551" s="260"/>
      <c r="C551" s="260"/>
      <c r="D551" s="260"/>
      <c r="E551" s="260"/>
      <c r="F551" s="260"/>
      <c r="G551" s="260"/>
      <c r="H551" s="260"/>
      <c r="K551" s="114"/>
      <c r="L551" s="114"/>
      <c r="M551" s="114"/>
      <c r="N551" s="114"/>
      <c r="O551" s="114"/>
      <c r="P551" s="114"/>
    </row>
    <row r="552">
      <c r="A552" s="260"/>
      <c r="B552" s="260"/>
      <c r="C552" s="260"/>
      <c r="D552" s="260"/>
      <c r="E552" s="260"/>
      <c r="F552" s="260"/>
      <c r="G552" s="260"/>
      <c r="H552" s="260"/>
      <c r="K552" s="257"/>
      <c r="L552" s="257"/>
      <c r="M552" s="257"/>
      <c r="N552" s="257"/>
      <c r="O552" s="257"/>
      <c r="P552" s="257"/>
    </row>
    <row r="553">
      <c r="A553" s="260"/>
      <c r="B553" s="260"/>
      <c r="C553" s="260"/>
      <c r="D553" s="260"/>
      <c r="E553" s="260"/>
      <c r="F553" s="260"/>
      <c r="G553" s="260"/>
      <c r="H553" s="260"/>
      <c r="K553" s="114"/>
      <c r="L553" s="114"/>
      <c r="M553" s="114"/>
      <c r="N553" s="114"/>
      <c r="O553" s="114"/>
      <c r="P553" s="114"/>
    </row>
    <row r="554">
      <c r="A554" s="260"/>
      <c r="B554" s="260"/>
      <c r="C554" s="260"/>
      <c r="D554" s="260"/>
      <c r="E554" s="260"/>
      <c r="F554" s="260"/>
      <c r="G554" s="260"/>
      <c r="H554" s="260"/>
      <c r="K554" s="257"/>
      <c r="L554" s="257"/>
      <c r="M554" s="257"/>
      <c r="N554" s="257"/>
      <c r="O554" s="257"/>
      <c r="P554" s="257"/>
    </row>
    <row r="555">
      <c r="A555" s="260"/>
      <c r="B555" s="260"/>
      <c r="C555" s="260"/>
      <c r="D555" s="260"/>
      <c r="E555" s="260"/>
      <c r="F555" s="260"/>
      <c r="G555" s="260"/>
      <c r="H555" s="260"/>
      <c r="K555" s="114"/>
      <c r="L555" s="114"/>
      <c r="M555" s="114"/>
      <c r="N555" s="114"/>
      <c r="O555" s="114"/>
      <c r="P555" s="114"/>
    </row>
    <row r="556">
      <c r="A556" s="260"/>
      <c r="B556" s="260"/>
      <c r="C556" s="260"/>
      <c r="D556" s="260"/>
      <c r="E556" s="260"/>
      <c r="F556" s="260"/>
      <c r="G556" s="260"/>
      <c r="H556" s="260"/>
      <c r="K556" s="257"/>
      <c r="L556" s="257"/>
      <c r="M556" s="257"/>
      <c r="N556" s="257"/>
      <c r="O556" s="257"/>
      <c r="P556" s="257"/>
    </row>
    <row r="557">
      <c r="A557" s="260"/>
      <c r="B557" s="260"/>
      <c r="C557" s="260"/>
      <c r="D557" s="260"/>
      <c r="E557" s="260"/>
      <c r="F557" s="260"/>
      <c r="G557" s="260"/>
      <c r="H557" s="260"/>
      <c r="K557" s="114"/>
      <c r="L557" s="114"/>
      <c r="M557" s="114"/>
      <c r="N557" s="114"/>
      <c r="O557" s="114"/>
      <c r="P557" s="114"/>
    </row>
    <row r="558">
      <c r="A558" s="260"/>
      <c r="B558" s="260"/>
      <c r="C558" s="260"/>
      <c r="D558" s="260"/>
      <c r="E558" s="260"/>
      <c r="F558" s="260"/>
      <c r="G558" s="260"/>
      <c r="H558" s="260"/>
      <c r="K558" s="257"/>
      <c r="L558" s="257"/>
      <c r="M558" s="257"/>
      <c r="N558" s="257"/>
      <c r="O558" s="257"/>
      <c r="P558" s="257"/>
    </row>
    <row r="559">
      <c r="A559" s="260"/>
      <c r="B559" s="260"/>
      <c r="C559" s="260"/>
      <c r="D559" s="260"/>
      <c r="E559" s="260"/>
      <c r="F559" s="260"/>
      <c r="G559" s="260"/>
      <c r="H559" s="260"/>
      <c r="K559" s="114"/>
      <c r="L559" s="114"/>
      <c r="M559" s="114"/>
      <c r="N559" s="114"/>
      <c r="O559" s="114"/>
      <c r="P559" s="114"/>
    </row>
    <row r="560">
      <c r="A560" s="260"/>
      <c r="B560" s="260"/>
      <c r="C560" s="260"/>
      <c r="D560" s="260"/>
      <c r="E560" s="260"/>
      <c r="F560" s="260"/>
      <c r="G560" s="260"/>
      <c r="H560" s="260"/>
      <c r="K560" s="257"/>
      <c r="L560" s="257"/>
      <c r="M560" s="257"/>
      <c r="N560" s="257"/>
      <c r="O560" s="257"/>
      <c r="P560" s="257"/>
    </row>
    <row r="561">
      <c r="A561" s="260"/>
      <c r="B561" s="260"/>
      <c r="C561" s="260"/>
      <c r="D561" s="260"/>
      <c r="E561" s="260"/>
      <c r="F561" s="260"/>
      <c r="G561" s="260"/>
      <c r="H561" s="260"/>
      <c r="K561" s="114"/>
      <c r="L561" s="114"/>
      <c r="M561" s="114"/>
      <c r="N561" s="114"/>
      <c r="O561" s="114"/>
      <c r="P561" s="114"/>
    </row>
    <row r="562">
      <c r="A562" s="260"/>
      <c r="B562" s="260"/>
      <c r="C562" s="260"/>
      <c r="D562" s="260"/>
      <c r="E562" s="260"/>
      <c r="F562" s="260"/>
      <c r="G562" s="260"/>
      <c r="H562" s="260"/>
      <c r="K562" s="257"/>
      <c r="L562" s="257"/>
      <c r="M562" s="257"/>
      <c r="N562" s="257"/>
      <c r="O562" s="257"/>
      <c r="P562" s="257"/>
    </row>
    <row r="563">
      <c r="A563" s="260"/>
      <c r="B563" s="260"/>
      <c r="C563" s="260"/>
      <c r="D563" s="260"/>
      <c r="E563" s="260"/>
      <c r="F563" s="260"/>
      <c r="G563" s="260"/>
      <c r="H563" s="260"/>
      <c r="K563" s="114"/>
      <c r="L563" s="114"/>
      <c r="M563" s="114"/>
      <c r="N563" s="114"/>
      <c r="O563" s="114"/>
      <c r="P563" s="114"/>
    </row>
    <row r="564">
      <c r="A564" s="260"/>
      <c r="B564" s="260"/>
      <c r="C564" s="260"/>
      <c r="D564" s="260"/>
      <c r="E564" s="260"/>
      <c r="F564" s="260"/>
      <c r="G564" s="260"/>
      <c r="H564" s="260"/>
      <c r="K564" s="257"/>
      <c r="L564" s="257"/>
      <c r="M564" s="257"/>
      <c r="N564" s="257"/>
      <c r="O564" s="257"/>
      <c r="P564" s="257"/>
    </row>
    <row r="565">
      <c r="A565" s="260"/>
      <c r="B565" s="260"/>
      <c r="C565" s="260"/>
      <c r="D565" s="260"/>
      <c r="E565" s="260"/>
      <c r="F565" s="260"/>
      <c r="G565" s="260"/>
      <c r="H565" s="260"/>
      <c r="K565" s="114"/>
      <c r="L565" s="114"/>
      <c r="M565" s="114"/>
      <c r="N565" s="114"/>
      <c r="O565" s="114"/>
      <c r="P565" s="114"/>
    </row>
    <row r="566">
      <c r="A566" s="260"/>
      <c r="B566" s="260"/>
      <c r="C566" s="260"/>
      <c r="D566" s="260"/>
      <c r="E566" s="260"/>
      <c r="F566" s="260"/>
      <c r="G566" s="260"/>
      <c r="H566" s="260"/>
      <c r="K566" s="257"/>
      <c r="L566" s="257"/>
      <c r="M566" s="257"/>
      <c r="N566" s="257"/>
      <c r="O566" s="257"/>
      <c r="P566" s="257"/>
    </row>
    <row r="567">
      <c r="A567" s="260"/>
      <c r="B567" s="260"/>
      <c r="C567" s="260"/>
      <c r="D567" s="260"/>
      <c r="E567" s="260"/>
      <c r="F567" s="260"/>
      <c r="G567" s="260"/>
      <c r="H567" s="260"/>
      <c r="K567" s="114"/>
      <c r="L567" s="114"/>
      <c r="M567" s="114"/>
      <c r="N567" s="114"/>
      <c r="O567" s="114"/>
      <c r="P567" s="114"/>
    </row>
    <row r="568">
      <c r="A568" s="260"/>
      <c r="B568" s="260"/>
      <c r="C568" s="260"/>
      <c r="D568" s="260"/>
      <c r="E568" s="260"/>
      <c r="F568" s="260"/>
      <c r="G568" s="260"/>
      <c r="H568" s="260"/>
      <c r="K568" s="257"/>
      <c r="L568" s="257"/>
      <c r="M568" s="257"/>
      <c r="N568" s="257"/>
      <c r="O568" s="257"/>
      <c r="P568" s="257"/>
    </row>
    <row r="569">
      <c r="A569" s="260"/>
      <c r="B569" s="260"/>
      <c r="C569" s="260"/>
      <c r="D569" s="260"/>
      <c r="E569" s="260"/>
      <c r="F569" s="260"/>
      <c r="G569" s="260"/>
      <c r="H569" s="260"/>
      <c r="K569" s="114"/>
      <c r="L569" s="114"/>
      <c r="M569" s="114"/>
      <c r="N569" s="114"/>
      <c r="O569" s="114"/>
      <c r="P569" s="114"/>
    </row>
    <row r="570">
      <c r="A570" s="260"/>
      <c r="B570" s="260"/>
      <c r="C570" s="260"/>
      <c r="D570" s="260"/>
      <c r="E570" s="260"/>
      <c r="F570" s="260"/>
      <c r="G570" s="260"/>
      <c r="H570" s="260"/>
      <c r="K570" s="257"/>
      <c r="L570" s="257"/>
      <c r="M570" s="257"/>
      <c r="N570" s="257"/>
      <c r="O570" s="257"/>
      <c r="P570" s="257"/>
    </row>
    <row r="571">
      <c r="A571" s="260"/>
      <c r="B571" s="260"/>
      <c r="C571" s="260"/>
      <c r="D571" s="260"/>
      <c r="E571" s="260"/>
      <c r="F571" s="260"/>
      <c r="G571" s="260"/>
      <c r="H571" s="260"/>
      <c r="K571" s="114"/>
      <c r="L571" s="114"/>
      <c r="M571" s="114"/>
      <c r="N571" s="114"/>
      <c r="O571" s="114"/>
      <c r="P571" s="114"/>
    </row>
    <row r="572">
      <c r="A572" s="260"/>
      <c r="B572" s="260"/>
      <c r="C572" s="260"/>
      <c r="D572" s="260"/>
      <c r="E572" s="260"/>
      <c r="F572" s="260"/>
      <c r="G572" s="260"/>
      <c r="H572" s="260"/>
      <c r="K572" s="257"/>
      <c r="L572" s="257"/>
      <c r="M572" s="257"/>
      <c r="N572" s="257"/>
      <c r="O572" s="257"/>
      <c r="P572" s="257"/>
    </row>
    <row r="573">
      <c r="A573" s="260"/>
      <c r="B573" s="260"/>
      <c r="C573" s="260"/>
      <c r="D573" s="260"/>
      <c r="E573" s="260"/>
      <c r="F573" s="260"/>
      <c r="G573" s="260"/>
      <c r="H573" s="260"/>
      <c r="K573" s="114"/>
      <c r="L573" s="114"/>
      <c r="M573" s="114"/>
      <c r="N573" s="114"/>
      <c r="O573" s="114"/>
      <c r="P573" s="114"/>
    </row>
    <row r="574">
      <c r="A574" s="260"/>
      <c r="B574" s="260"/>
      <c r="C574" s="260"/>
      <c r="D574" s="260"/>
      <c r="E574" s="260"/>
      <c r="F574" s="260"/>
      <c r="G574" s="260"/>
      <c r="H574" s="260"/>
      <c r="K574" s="257"/>
      <c r="L574" s="257"/>
      <c r="M574" s="257"/>
      <c r="N574" s="257"/>
      <c r="O574" s="257"/>
      <c r="P574" s="257"/>
    </row>
    <row r="575">
      <c r="A575" s="260"/>
      <c r="B575" s="260"/>
      <c r="C575" s="260"/>
      <c r="D575" s="260"/>
      <c r="E575" s="260"/>
      <c r="F575" s="260"/>
      <c r="G575" s="260"/>
      <c r="H575" s="260"/>
      <c r="K575" s="114"/>
      <c r="L575" s="114"/>
      <c r="M575" s="114"/>
      <c r="N575" s="114"/>
      <c r="O575" s="114"/>
      <c r="P575" s="114"/>
    </row>
    <row r="576">
      <c r="A576" s="260"/>
      <c r="B576" s="260"/>
      <c r="C576" s="260"/>
      <c r="D576" s="260"/>
      <c r="E576" s="260"/>
      <c r="F576" s="260"/>
      <c r="G576" s="260"/>
      <c r="H576" s="260"/>
      <c r="K576" s="257"/>
      <c r="L576" s="257"/>
      <c r="M576" s="257"/>
      <c r="N576" s="257"/>
      <c r="O576" s="257"/>
      <c r="P576" s="257"/>
    </row>
    <row r="577">
      <c r="A577" s="260"/>
      <c r="B577" s="260"/>
      <c r="C577" s="260"/>
      <c r="D577" s="260"/>
      <c r="E577" s="260"/>
      <c r="F577" s="260"/>
      <c r="G577" s="260"/>
      <c r="H577" s="260"/>
      <c r="K577" s="114"/>
      <c r="L577" s="114"/>
      <c r="M577" s="114"/>
      <c r="N577" s="114"/>
      <c r="O577" s="114"/>
      <c r="P577" s="114"/>
    </row>
    <row r="578">
      <c r="A578" s="260"/>
      <c r="B578" s="260"/>
      <c r="C578" s="260"/>
      <c r="D578" s="260"/>
      <c r="E578" s="260"/>
      <c r="F578" s="260"/>
      <c r="G578" s="260"/>
      <c r="H578" s="260"/>
      <c r="K578" s="257"/>
      <c r="L578" s="257"/>
      <c r="M578" s="257"/>
      <c r="N578" s="257"/>
      <c r="O578" s="257"/>
      <c r="P578" s="257"/>
    </row>
    <row r="579">
      <c r="A579" s="260"/>
      <c r="B579" s="260"/>
      <c r="C579" s="260"/>
      <c r="D579" s="260"/>
      <c r="E579" s="260"/>
      <c r="F579" s="260"/>
      <c r="G579" s="260"/>
      <c r="H579" s="260"/>
      <c r="K579" s="114"/>
      <c r="L579" s="114"/>
      <c r="M579" s="114"/>
      <c r="N579" s="114"/>
      <c r="O579" s="114"/>
      <c r="P579" s="114"/>
    </row>
    <row r="580">
      <c r="A580" s="260"/>
      <c r="B580" s="260"/>
      <c r="C580" s="260"/>
      <c r="D580" s="260"/>
      <c r="E580" s="260"/>
      <c r="F580" s="260"/>
      <c r="G580" s="260"/>
      <c r="H580" s="260"/>
      <c r="K580" s="257"/>
      <c r="L580" s="257"/>
      <c r="M580" s="257"/>
      <c r="N580" s="257"/>
      <c r="O580" s="257"/>
      <c r="P580" s="257"/>
    </row>
    <row r="581">
      <c r="A581" s="260"/>
      <c r="B581" s="260"/>
      <c r="C581" s="260"/>
      <c r="D581" s="260"/>
      <c r="E581" s="260"/>
      <c r="F581" s="260"/>
      <c r="G581" s="260"/>
      <c r="H581" s="260"/>
      <c r="K581" s="114"/>
      <c r="L581" s="114"/>
      <c r="M581" s="114"/>
      <c r="N581" s="114"/>
      <c r="O581" s="114"/>
      <c r="P581" s="114"/>
    </row>
    <row r="582">
      <c r="A582" s="260"/>
      <c r="B582" s="260"/>
      <c r="C582" s="260"/>
      <c r="D582" s="260"/>
      <c r="E582" s="260"/>
      <c r="F582" s="260"/>
      <c r="G582" s="260"/>
      <c r="H582" s="260"/>
      <c r="K582" s="257"/>
      <c r="L582" s="257"/>
      <c r="M582" s="257"/>
      <c r="N582" s="257"/>
      <c r="O582" s="257"/>
      <c r="P582" s="257"/>
    </row>
    <row r="583">
      <c r="A583" s="260"/>
      <c r="B583" s="260"/>
      <c r="C583" s="260"/>
      <c r="D583" s="260"/>
      <c r="E583" s="260"/>
      <c r="F583" s="260"/>
      <c r="G583" s="260"/>
      <c r="H583" s="260"/>
      <c r="K583" s="114"/>
      <c r="L583" s="114"/>
      <c r="M583" s="114"/>
      <c r="N583" s="114"/>
      <c r="O583" s="114"/>
      <c r="P583" s="114"/>
    </row>
    <row r="584">
      <c r="A584" s="260"/>
      <c r="B584" s="260"/>
      <c r="C584" s="260"/>
      <c r="D584" s="260"/>
      <c r="E584" s="260"/>
      <c r="F584" s="260"/>
      <c r="G584" s="260"/>
      <c r="H584" s="260"/>
      <c r="K584" s="257"/>
      <c r="L584" s="257"/>
      <c r="M584" s="257"/>
      <c r="N584" s="257"/>
      <c r="O584" s="257"/>
      <c r="P584" s="257"/>
    </row>
    <row r="585">
      <c r="A585" s="260"/>
      <c r="B585" s="260"/>
      <c r="C585" s="260"/>
      <c r="D585" s="260"/>
      <c r="E585" s="260"/>
      <c r="F585" s="260"/>
      <c r="G585" s="260"/>
      <c r="H585" s="260"/>
      <c r="K585" s="114"/>
      <c r="L585" s="114"/>
      <c r="M585" s="114"/>
      <c r="N585" s="114"/>
      <c r="O585" s="114"/>
      <c r="P585" s="114"/>
    </row>
    <row r="586">
      <c r="A586" s="260"/>
      <c r="B586" s="260"/>
      <c r="C586" s="260"/>
      <c r="D586" s="260"/>
      <c r="E586" s="260"/>
      <c r="F586" s="260"/>
      <c r="G586" s="260"/>
      <c r="H586" s="260"/>
      <c r="K586" s="257"/>
      <c r="L586" s="257"/>
      <c r="M586" s="257"/>
      <c r="N586" s="257"/>
      <c r="O586" s="257"/>
      <c r="P586" s="257"/>
    </row>
    <row r="587">
      <c r="A587" s="260"/>
      <c r="B587" s="260"/>
      <c r="C587" s="260"/>
      <c r="D587" s="260"/>
      <c r="E587" s="260"/>
      <c r="F587" s="260"/>
      <c r="G587" s="260"/>
      <c r="H587" s="260"/>
      <c r="K587" s="114"/>
      <c r="L587" s="114"/>
      <c r="M587" s="114"/>
      <c r="N587" s="114"/>
      <c r="O587" s="114"/>
      <c r="P587" s="114"/>
    </row>
    <row r="588">
      <c r="A588" s="260"/>
      <c r="B588" s="260"/>
      <c r="C588" s="260"/>
      <c r="D588" s="260"/>
      <c r="E588" s="260"/>
      <c r="F588" s="260"/>
      <c r="G588" s="260"/>
      <c r="H588" s="260"/>
      <c r="K588" s="257"/>
      <c r="L588" s="257"/>
      <c r="M588" s="257"/>
      <c r="N588" s="257"/>
      <c r="O588" s="257"/>
      <c r="P588" s="257"/>
    </row>
    <row r="589">
      <c r="A589" s="260"/>
      <c r="B589" s="260"/>
      <c r="C589" s="260"/>
      <c r="D589" s="260"/>
      <c r="E589" s="260"/>
      <c r="F589" s="260"/>
      <c r="G589" s="260"/>
      <c r="H589" s="260"/>
      <c r="K589" s="114"/>
      <c r="L589" s="114"/>
      <c r="M589" s="114"/>
      <c r="N589" s="114"/>
      <c r="O589" s="114"/>
      <c r="P589" s="114"/>
    </row>
    <row r="590">
      <c r="A590" s="260"/>
      <c r="B590" s="260"/>
      <c r="C590" s="260"/>
      <c r="D590" s="260"/>
      <c r="E590" s="260"/>
      <c r="F590" s="260"/>
      <c r="G590" s="260"/>
      <c r="H590" s="260"/>
      <c r="K590" s="257"/>
      <c r="L590" s="257"/>
      <c r="M590" s="257"/>
      <c r="N590" s="257"/>
      <c r="O590" s="257"/>
      <c r="P590" s="257"/>
    </row>
    <row r="591">
      <c r="A591" s="260"/>
      <c r="B591" s="260"/>
      <c r="C591" s="260"/>
      <c r="D591" s="260"/>
      <c r="E591" s="260"/>
      <c r="F591" s="260"/>
      <c r="G591" s="260"/>
      <c r="H591" s="260"/>
      <c r="K591" s="114"/>
      <c r="L591" s="114"/>
      <c r="M591" s="114"/>
      <c r="N591" s="114"/>
      <c r="O591" s="114"/>
      <c r="P591" s="114"/>
    </row>
    <row r="592">
      <c r="A592" s="260"/>
      <c r="B592" s="260"/>
      <c r="C592" s="260"/>
      <c r="D592" s="260"/>
      <c r="E592" s="260"/>
      <c r="F592" s="260"/>
      <c r="G592" s="260"/>
      <c r="H592" s="260"/>
      <c r="K592" s="257"/>
      <c r="L592" s="257"/>
      <c r="M592" s="257"/>
      <c r="N592" s="257"/>
      <c r="O592" s="257"/>
      <c r="P592" s="257"/>
    </row>
    <row r="593">
      <c r="A593" s="260"/>
      <c r="B593" s="260"/>
      <c r="C593" s="260"/>
      <c r="D593" s="260"/>
      <c r="E593" s="260"/>
      <c r="F593" s="260"/>
      <c r="G593" s="260"/>
      <c r="H593" s="260"/>
      <c r="K593" s="114"/>
      <c r="L593" s="114"/>
      <c r="M593" s="114"/>
      <c r="N593" s="114"/>
      <c r="O593" s="114"/>
      <c r="P593" s="114"/>
    </row>
    <row r="594">
      <c r="A594" s="260"/>
      <c r="B594" s="260"/>
      <c r="C594" s="260"/>
      <c r="D594" s="260"/>
      <c r="E594" s="260"/>
      <c r="F594" s="260"/>
      <c r="G594" s="260"/>
      <c r="H594" s="260"/>
      <c r="K594" s="257"/>
      <c r="L594" s="257"/>
      <c r="M594" s="257"/>
      <c r="N594" s="257"/>
      <c r="O594" s="257"/>
      <c r="P594" s="257"/>
    </row>
    <row r="595">
      <c r="A595" s="260"/>
      <c r="B595" s="260"/>
      <c r="C595" s="260"/>
      <c r="D595" s="260"/>
      <c r="E595" s="260"/>
      <c r="F595" s="260"/>
      <c r="G595" s="260"/>
      <c r="H595" s="260"/>
      <c r="K595" s="114"/>
      <c r="L595" s="114"/>
      <c r="M595" s="114"/>
      <c r="N595" s="114"/>
      <c r="O595" s="114"/>
      <c r="P595" s="114"/>
    </row>
    <row r="596">
      <c r="A596" s="260"/>
      <c r="B596" s="260"/>
      <c r="C596" s="260"/>
      <c r="D596" s="260"/>
      <c r="E596" s="260"/>
      <c r="F596" s="260"/>
      <c r="G596" s="260"/>
      <c r="H596" s="260"/>
      <c r="K596" s="257"/>
      <c r="L596" s="257"/>
      <c r="M596" s="257"/>
      <c r="N596" s="257"/>
      <c r="O596" s="257"/>
      <c r="P596" s="257"/>
    </row>
    <row r="597">
      <c r="A597" s="260"/>
      <c r="B597" s="260"/>
      <c r="C597" s="260"/>
      <c r="D597" s="260"/>
      <c r="E597" s="260"/>
      <c r="F597" s="260"/>
      <c r="G597" s="260"/>
      <c r="H597" s="260"/>
      <c r="K597" s="114"/>
      <c r="L597" s="114"/>
      <c r="M597" s="114"/>
      <c r="N597" s="114"/>
      <c r="O597" s="114"/>
      <c r="P597" s="114"/>
    </row>
    <row r="598">
      <c r="A598" s="260"/>
      <c r="B598" s="260"/>
      <c r="C598" s="260"/>
      <c r="D598" s="260"/>
      <c r="E598" s="260"/>
      <c r="F598" s="260"/>
      <c r="G598" s="260"/>
      <c r="H598" s="260"/>
      <c r="K598" s="257"/>
      <c r="L598" s="257"/>
      <c r="M598" s="257"/>
      <c r="N598" s="257"/>
      <c r="O598" s="257"/>
      <c r="P598" s="257"/>
    </row>
    <row r="599">
      <c r="A599" s="260"/>
      <c r="B599" s="260"/>
      <c r="C599" s="260"/>
      <c r="D599" s="260"/>
      <c r="E599" s="260"/>
      <c r="F599" s="260"/>
      <c r="G599" s="260"/>
      <c r="H599" s="260"/>
      <c r="K599" s="114"/>
      <c r="L599" s="114"/>
      <c r="M599" s="114"/>
      <c r="N599" s="114"/>
      <c r="O599" s="114"/>
      <c r="P599" s="114"/>
    </row>
    <row r="600">
      <c r="A600" s="260"/>
      <c r="B600" s="260"/>
      <c r="C600" s="260"/>
      <c r="D600" s="260"/>
      <c r="E600" s="260"/>
      <c r="F600" s="260"/>
      <c r="G600" s="260"/>
      <c r="H600" s="260"/>
      <c r="K600" s="257"/>
      <c r="L600" s="257"/>
      <c r="M600" s="257"/>
      <c r="N600" s="257"/>
      <c r="O600" s="257"/>
      <c r="P600" s="257"/>
    </row>
    <row r="601">
      <c r="A601" s="260"/>
      <c r="B601" s="260"/>
      <c r="C601" s="260"/>
      <c r="D601" s="260"/>
      <c r="E601" s="260"/>
      <c r="F601" s="260"/>
      <c r="G601" s="260"/>
      <c r="H601" s="260"/>
      <c r="K601" s="114"/>
      <c r="L601" s="114"/>
      <c r="M601" s="114"/>
      <c r="N601" s="114"/>
      <c r="O601" s="114"/>
      <c r="P601" s="114"/>
    </row>
    <row r="602">
      <c r="A602" s="260"/>
      <c r="B602" s="260"/>
      <c r="C602" s="260"/>
      <c r="D602" s="260"/>
      <c r="E602" s="260"/>
      <c r="F602" s="260"/>
      <c r="G602" s="260"/>
      <c r="H602" s="260"/>
      <c r="K602" s="257"/>
      <c r="L602" s="257"/>
      <c r="M602" s="257"/>
      <c r="N602" s="257"/>
      <c r="O602" s="257"/>
      <c r="P602" s="257"/>
    </row>
    <row r="603">
      <c r="A603" s="260"/>
      <c r="B603" s="260"/>
      <c r="C603" s="260"/>
      <c r="D603" s="260"/>
      <c r="E603" s="260"/>
      <c r="F603" s="260"/>
      <c r="G603" s="260"/>
      <c r="H603" s="260"/>
      <c r="K603" s="114"/>
      <c r="L603" s="114"/>
      <c r="M603" s="114"/>
      <c r="N603" s="114"/>
      <c r="O603" s="114"/>
      <c r="P603" s="114"/>
    </row>
    <row r="604">
      <c r="A604" s="260"/>
      <c r="B604" s="260"/>
      <c r="C604" s="260"/>
      <c r="D604" s="260"/>
      <c r="E604" s="260"/>
      <c r="F604" s="260"/>
      <c r="G604" s="260"/>
      <c r="H604" s="260"/>
      <c r="K604" s="257"/>
      <c r="L604" s="257"/>
      <c r="M604" s="257"/>
      <c r="N604" s="257"/>
      <c r="O604" s="257"/>
      <c r="P604" s="257"/>
    </row>
    <row r="605">
      <c r="A605" s="260"/>
      <c r="B605" s="260"/>
      <c r="C605" s="260"/>
      <c r="D605" s="260"/>
      <c r="E605" s="260"/>
      <c r="F605" s="260"/>
      <c r="G605" s="260"/>
      <c r="H605" s="260"/>
      <c r="K605" s="114"/>
      <c r="L605" s="114"/>
      <c r="M605" s="114"/>
      <c r="N605" s="114"/>
      <c r="O605" s="114"/>
      <c r="P605" s="114"/>
    </row>
    <row r="606">
      <c r="A606" s="260"/>
      <c r="B606" s="260"/>
      <c r="C606" s="260"/>
      <c r="D606" s="260"/>
      <c r="E606" s="260"/>
      <c r="F606" s="260"/>
      <c r="G606" s="260"/>
      <c r="H606" s="260"/>
      <c r="K606" s="257"/>
      <c r="L606" s="257"/>
      <c r="M606" s="257"/>
      <c r="N606" s="257"/>
      <c r="O606" s="257"/>
      <c r="P606" s="257"/>
    </row>
    <row r="607">
      <c r="A607" s="260"/>
      <c r="B607" s="260"/>
      <c r="C607" s="260"/>
      <c r="D607" s="260"/>
      <c r="E607" s="260"/>
      <c r="F607" s="260"/>
      <c r="G607" s="260"/>
      <c r="H607" s="260"/>
      <c r="K607" s="114"/>
      <c r="L607" s="114"/>
      <c r="M607" s="114"/>
      <c r="N607" s="114"/>
      <c r="O607" s="114"/>
      <c r="P607" s="114"/>
    </row>
    <row r="608">
      <c r="A608" s="260"/>
      <c r="B608" s="260"/>
      <c r="C608" s="260"/>
      <c r="D608" s="260"/>
      <c r="E608" s="260"/>
      <c r="F608" s="260"/>
      <c r="G608" s="260"/>
      <c r="H608" s="260"/>
      <c r="K608" s="257"/>
      <c r="L608" s="257"/>
      <c r="M608" s="257"/>
      <c r="N608" s="257"/>
      <c r="O608" s="257"/>
      <c r="P608" s="257"/>
    </row>
    <row r="609">
      <c r="A609" s="260"/>
      <c r="B609" s="260"/>
      <c r="C609" s="260"/>
      <c r="D609" s="260"/>
      <c r="E609" s="260"/>
      <c r="F609" s="260"/>
      <c r="G609" s="260"/>
      <c r="H609" s="260"/>
      <c r="K609" s="114"/>
      <c r="L609" s="114"/>
      <c r="M609" s="114"/>
      <c r="N609" s="114"/>
      <c r="O609" s="114"/>
      <c r="P609" s="114"/>
    </row>
    <row r="610">
      <c r="A610" s="260"/>
      <c r="B610" s="260"/>
      <c r="C610" s="260"/>
      <c r="D610" s="260"/>
      <c r="E610" s="260"/>
      <c r="F610" s="260"/>
      <c r="G610" s="260"/>
      <c r="H610" s="260"/>
      <c r="K610" s="257"/>
      <c r="L610" s="257"/>
      <c r="M610" s="257"/>
      <c r="N610" s="257"/>
      <c r="O610" s="257"/>
      <c r="P610" s="257"/>
    </row>
    <row r="611">
      <c r="A611" s="260"/>
      <c r="B611" s="260"/>
      <c r="C611" s="260"/>
      <c r="D611" s="260"/>
      <c r="E611" s="260"/>
      <c r="F611" s="260"/>
      <c r="G611" s="260"/>
      <c r="H611" s="260"/>
      <c r="K611" s="114"/>
      <c r="L611" s="114"/>
      <c r="M611" s="114"/>
      <c r="N611" s="114"/>
      <c r="O611" s="114"/>
      <c r="P611" s="114"/>
    </row>
    <row r="612">
      <c r="A612" s="260"/>
      <c r="B612" s="260"/>
      <c r="C612" s="260"/>
      <c r="D612" s="260"/>
      <c r="E612" s="260"/>
      <c r="F612" s="260"/>
      <c r="G612" s="260"/>
      <c r="H612" s="260"/>
      <c r="K612" s="257"/>
      <c r="L612" s="257"/>
      <c r="M612" s="257"/>
      <c r="N612" s="257"/>
      <c r="O612" s="257"/>
      <c r="P612" s="257"/>
    </row>
    <row r="613">
      <c r="A613" s="260"/>
      <c r="B613" s="260"/>
      <c r="C613" s="260"/>
      <c r="D613" s="260"/>
      <c r="E613" s="260"/>
      <c r="F613" s="260"/>
      <c r="G613" s="260"/>
      <c r="H613" s="260"/>
      <c r="K613" s="114"/>
      <c r="L613" s="114"/>
      <c r="M613" s="114"/>
      <c r="N613" s="114"/>
      <c r="O613" s="114"/>
      <c r="P613" s="114"/>
    </row>
    <row r="614">
      <c r="A614" s="260"/>
      <c r="B614" s="260"/>
      <c r="C614" s="260"/>
      <c r="D614" s="260"/>
      <c r="E614" s="260"/>
      <c r="F614" s="260"/>
      <c r="G614" s="260"/>
      <c r="H614" s="260"/>
      <c r="K614" s="257"/>
      <c r="L614" s="257"/>
      <c r="M614" s="257"/>
      <c r="N614" s="257"/>
      <c r="O614" s="257"/>
      <c r="P614" s="257"/>
    </row>
    <row r="615">
      <c r="A615" s="260"/>
      <c r="B615" s="260"/>
      <c r="C615" s="260"/>
      <c r="D615" s="260"/>
      <c r="E615" s="260"/>
      <c r="F615" s="260"/>
      <c r="G615" s="260"/>
      <c r="H615" s="260"/>
      <c r="K615" s="114"/>
      <c r="L615" s="114"/>
      <c r="M615" s="114"/>
      <c r="N615" s="114"/>
      <c r="O615" s="114"/>
      <c r="P615" s="114"/>
    </row>
    <row r="616">
      <c r="A616" s="260"/>
      <c r="B616" s="260"/>
      <c r="C616" s="260"/>
      <c r="D616" s="260"/>
      <c r="E616" s="260"/>
      <c r="F616" s="260"/>
      <c r="G616" s="260"/>
      <c r="H616" s="260"/>
      <c r="K616" s="257"/>
      <c r="L616" s="257"/>
      <c r="M616" s="257"/>
      <c r="N616" s="257"/>
      <c r="O616" s="257"/>
      <c r="P616" s="257"/>
    </row>
    <row r="617">
      <c r="A617" s="260"/>
      <c r="B617" s="260"/>
      <c r="C617" s="260"/>
      <c r="D617" s="260"/>
      <c r="E617" s="260"/>
      <c r="F617" s="260"/>
      <c r="G617" s="260"/>
      <c r="H617" s="260"/>
      <c r="K617" s="114"/>
      <c r="L617" s="114"/>
      <c r="M617" s="114"/>
      <c r="N617" s="114"/>
      <c r="O617" s="114"/>
      <c r="P617" s="114"/>
    </row>
    <row r="618">
      <c r="A618" s="260"/>
      <c r="B618" s="260"/>
      <c r="C618" s="260"/>
      <c r="D618" s="260"/>
      <c r="E618" s="260"/>
      <c r="F618" s="260"/>
      <c r="G618" s="260"/>
      <c r="H618" s="260"/>
      <c r="K618" s="257"/>
      <c r="L618" s="257"/>
      <c r="M618" s="257"/>
      <c r="N618" s="257"/>
      <c r="O618" s="257"/>
      <c r="P618" s="257"/>
    </row>
    <row r="619">
      <c r="A619" s="260"/>
      <c r="B619" s="260"/>
      <c r="C619" s="260"/>
      <c r="D619" s="260"/>
      <c r="E619" s="260"/>
      <c r="F619" s="260"/>
      <c r="G619" s="260"/>
      <c r="H619" s="260"/>
      <c r="K619" s="114"/>
      <c r="L619" s="114"/>
      <c r="M619" s="114"/>
      <c r="N619" s="114"/>
      <c r="O619" s="114"/>
      <c r="P619" s="114"/>
    </row>
    <row r="620">
      <c r="A620" s="260"/>
      <c r="B620" s="260"/>
      <c r="C620" s="260"/>
      <c r="D620" s="260"/>
      <c r="E620" s="260"/>
      <c r="F620" s="260"/>
      <c r="G620" s="260"/>
      <c r="H620" s="260"/>
      <c r="K620" s="257"/>
      <c r="L620" s="257"/>
      <c r="M620" s="257"/>
      <c r="N620" s="257"/>
      <c r="O620" s="257"/>
      <c r="P620" s="257"/>
    </row>
  </sheetData>
  <mergeCells count="9">
    <mergeCell ref="AY3:BC3"/>
    <mergeCell ref="BE3:BI3"/>
    <mergeCell ref="K1:L1"/>
    <mergeCell ref="BS2:BW2"/>
    <mergeCell ref="CF2:CJ2"/>
    <mergeCell ref="U3:Y3"/>
    <mergeCell ref="AA3:AE3"/>
    <mergeCell ref="AJ3:AN3"/>
    <mergeCell ref="AP3:AT3"/>
  </mergeCell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38"/>
  </cols>
  <sheetData>
    <row r="1">
      <c r="A1" s="261" t="s">
        <v>227</v>
      </c>
    </row>
    <row r="2">
      <c r="A2" s="55" t="s">
        <v>228</v>
      </c>
    </row>
    <row r="3">
      <c r="A3" s="55" t="s">
        <v>229</v>
      </c>
    </row>
    <row r="4">
      <c r="A4" s="55" t="s">
        <v>230</v>
      </c>
    </row>
    <row r="5">
      <c r="A5" s="55" t="s">
        <v>231</v>
      </c>
    </row>
    <row r="6">
      <c r="A6" s="55" t="s">
        <v>232</v>
      </c>
    </row>
    <row r="7">
      <c r="A7" s="55" t="s">
        <v>233</v>
      </c>
    </row>
    <row r="8">
      <c r="A8" s="55" t="s">
        <v>234</v>
      </c>
    </row>
    <row r="9">
      <c r="A9" s="55"/>
    </row>
    <row r="10">
      <c r="A10" s="55"/>
    </row>
    <row r="11">
      <c r="A11" s="55"/>
    </row>
    <row r="12">
      <c r="A12" s="55"/>
    </row>
    <row r="13">
      <c r="A13" s="55"/>
    </row>
    <row r="14">
      <c r="A14" s="55"/>
    </row>
    <row r="15">
      <c r="A15" s="55"/>
    </row>
    <row r="16">
      <c r="A16" s="55"/>
    </row>
    <row r="17">
      <c r="A17" s="55"/>
    </row>
    <row r="18">
      <c r="A18" s="55"/>
    </row>
    <row r="19">
      <c r="A19" s="55"/>
    </row>
    <row r="20">
      <c r="A20" s="55"/>
    </row>
    <row r="21">
      <c r="A21" s="55"/>
    </row>
    <row r="22">
      <c r="A22" s="55"/>
    </row>
    <row r="23">
      <c r="A23" s="55"/>
    </row>
    <row r="24">
      <c r="A24" s="55"/>
    </row>
    <row r="25">
      <c r="A25" s="55"/>
    </row>
    <row r="26">
      <c r="A26" s="55"/>
    </row>
    <row r="27">
      <c r="A27" s="55"/>
    </row>
    <row r="28">
      <c r="A28" s="5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47.75"/>
    <col customWidth="1" min="3" max="3" width="60.88"/>
    <col customWidth="1" min="4" max="4" width="25.5"/>
    <col customWidth="1" min="5" max="5" width="23.75"/>
  </cols>
  <sheetData>
    <row r="1">
      <c r="A1" s="262" t="str">
        <f>IFERROR(__xludf.DUMMYFUNCTION("IMPORTRANGE(""https://docs.google.com/spreadsheets/d/11okQiEohgB2NNqSwAK54MhYobLWrYcTzHFX0FOJnj5g/edit?gid=344517933#gid=344517933"",""Export!A:E"")"),"Name Site")</f>
        <v>Name Site</v>
      </c>
      <c r="B1" s="262" t="str">
        <f>IFERROR(__xludf.DUMMYFUNCTION("""COMPUTED_VALUE"""),"Site")</f>
        <v>Site</v>
      </c>
      <c r="C1" s="98" t="str">
        <f>IFERROR(__xludf.DUMMYFUNCTION("""COMPUTED_VALUE"""),"Cable")</f>
        <v>Cable</v>
      </c>
      <c r="D1" s="98" t="str">
        <f>IFERROR(__xludf.DUMMYFUNCTION("""COMPUTED_VALUE"""),"Gpon")</f>
        <v>Gpon</v>
      </c>
      <c r="E1" s="98" t="str">
        <f>IFERROR(__xludf.DUMMYFUNCTION("""COMPUTED_VALUE"""),"DIA")</f>
        <v>DIA</v>
      </c>
    </row>
    <row r="2">
      <c r="A2" s="98" t="str">
        <f>IFERROR(__xludf.DUMMYFUNCTION("""COMPUTED_VALUE"""),"TNI0001")</f>
        <v>TNI0001</v>
      </c>
      <c r="B2" s="98" t="str">
        <f>IFERROR(__xludf.DUMMYFUNCTION("""COMPUTED_VALUE"""),"TNI0001: Myeik_Mytel_A_MYT_TNI_TEAM02_Maung Maung")</f>
        <v>TNI0001: Myeik_Mytel_A_MYT_TNI_TEAM02_Maung Maung</v>
      </c>
      <c r="C2" s="98" t="str">
        <f>IFERROR(__xludf.DUMMYFUNCTION("""COMPUTED_VALUE"""),"TNI0001-TNI0002_Myeik_48 FO : 5_Wanna Oo + TNI0001-TNIM001_Myeik_24 FO : 1.05_Wanna Oo + TNI0001-TNI0036_Myeik_24 FO : 1.34_Wanna Oo + TNI0001-TNI0236_Myeik_24 FO : 1.02_Wanna Oo + TNI0001-TNI0269_Myeik_24 FO : 0.84_Zin Min Shein")</f>
        <v>TNI0001-TNI0002_Myeik_48 FO : 5_Wanna Oo + TNI0001-TNIM001_Myeik_24 FO : 1.05_Wanna Oo + TNI0001-TNI0036_Myeik_24 FO : 1.34_Wanna Oo + TNI0001-TNI0236_Myeik_24 FO : 1.02_Wanna Oo + TNI0001-TNI0269_Myeik_24 FO : 0.84_Zin Min Shein</v>
      </c>
      <c r="D2" s="98" t="str">
        <f>IFERROR(__xludf.DUMMYFUNCTION("""COMPUTED_VALUE"""),"+ OLT: Maung Maung")</f>
        <v>+ OLT: Maung Maung</v>
      </c>
      <c r="E2" s="98" t="str">
        <f>IFERROR(__xludf.DUMMYFUNCTION("""COMPUTED_VALUE"""),"TNI0001 MYT_Routine_Maintenance_Main_Station MYT_RTE_MTE_MAIN_STN _ myt_maung.maung11 : 02/07/2026 12:45 : 505.62 _ Close + TNI0001 MYT_Routine_Maintenance_Main_Station_VCM _ myt_maung.maung11 : 02/07/2026 12:12 : 249.01 _ Close + TNI0001 MYT_Routine_Main"&amp;"tenance_Main_Station_VCM - MYT_Maintenacne_Solar _ myt_wanna.oo2 : 30/12/1899 00:00 :  _ Close + TNI0001 MYT_Routine_Maintenance_Main_Station_VCM _ myt_zinmin.shein : 21/04/2026 11:21 : 537.3 _ Close Solar M: TNI0001 MYT_Maintenacne_Solar _ myt_maung.maun"&amp;"g11 : 24/04/2026 11:51 : 589.74 _ Close + TNI0001 MYT_Maintenacne_Solar _ myt_zinmin.shein : 21/04/2026 10:41 : -158.71 _ Close Solar Power: TNI0001 MYT_Troubleshooting Solar Power System _ myt_maung.maung11 : 05/06/2026 16:40 : 38.59 _ Close Maintenance "&amp;"DG:  +  +  + MW Link: ")</f>
        <v>TNI0001 MYT_Routine_Maintenance_Main_Station MYT_RTE_MTE_MAIN_STN _ myt_maung.maung11 : 02/07/2026 12:45 : 505.62 _ Close + TNI0001 MYT_Routine_Maintenance_Main_Station_VCM _ myt_maung.maung11 : 02/07/2026 12:12 : 249.01 _ Close + TNI0001 MYT_Routine_Maintenance_Main_Station_VCM - MYT_Maintenacne_Solar _ myt_wanna.oo2 : 30/12/1899 00:00 :  _ Close + TNI0001 MYT_Routine_Maintenance_Main_Station_VCM _ myt_zinmin.shein : 21/04/2026 11:21 : 537.3 _ Close Solar M: TNI0001 MYT_Maintenacne_Solar _ myt_maung.maung11 : 24/04/2026 11:51 : 589.74 _ Close + TNI0001 MYT_Maintenacne_Solar _ myt_zinmin.shein : 21/04/2026 10:41 : -158.71 _ Close Solar Power: TNI0001 MYT_Troubleshooting Solar Power System _ myt_maung.maung11 : 05/06/2026 16:40 : 38.59 _ Close Maintenance DG:  +  +  + MW Link: </v>
      </c>
    </row>
    <row r="3">
      <c r="A3" s="98" t="str">
        <f>IFERROR(__xludf.DUMMYFUNCTION("""COMPUTED_VALUE"""),"TNI0002")</f>
        <v>TNI0002</v>
      </c>
      <c r="B3" s="98" t="str">
        <f>IFERROR(__xludf.DUMMYFUNCTION("""COMPUTED_VALUE"""),"TNI0002: Myeik_MEC_B_MYT_TNI_TEAM02_Pyi Kyaw Aung")</f>
        <v>TNI0002: Myeik_MEC_B_MYT_TNI_TEAM02_Pyi Kyaw Aung</v>
      </c>
      <c r="C3" s="98" t="str">
        <f>IFERROR(__xludf.DUMMYFUNCTION("""COMPUTED_VALUE"""),"TNI0001-TNI0002_Myeik_48 FO : 5_Wanna Oo + TNI0002-AU1(TNI0002-TNI0003)_Myeik_48 FO : 11.8_Pyi Kyaw Aung + TNI0002-TNI0048_Myeik_24 FO : 3.2_Wanna Oo + TNI0002-TNI0077_Myeik_24 FO : 3.88_Wanna Oo + TNI0002-TNI0239_Myeik_24 FO : 1.3_Wanna Oo + TNI0002-TNI0"&amp;"232_Myeik_24 FO : 1.34_Zin Min Shein")</f>
        <v>TNI0001-TNI0002_Myeik_48 FO : 5_Wanna Oo + TNI0002-AU1(TNI0002-TNI0003)_Myeik_48 FO : 11.8_Pyi Kyaw Aung + TNI0002-TNI0048_Myeik_24 FO : 3.2_Wanna Oo + TNI0002-TNI0077_Myeik_24 FO : 3.88_Wanna Oo + TNI0002-TNI0239_Myeik_24 FO : 1.3_Wanna Oo + TNI0002-TNI0232_Myeik_24 FO : 1.34_Zin Min Shein</v>
      </c>
      <c r="D3" s="98" t="str">
        <f>IFERROR(__xludf.DUMMYFUNCTION("""COMPUTED_VALUE"""),"")</f>
        <v/>
      </c>
      <c r="E3" s="98" t="str">
        <f>IFERROR(__xludf.DUMMYFUNCTION("""COMPUTED_VALUE"""),"TNI0002 MYT_Routine_Maintenance_Mytel_Station_VCM _ myt_pyikyaw.aung : 25/06/2026 11:32 : -426.31 _ Close Solar M: TNI0002 MYT_Maintenacne_Solar _ myt_pyikyaw.aung : 30/12/1899 00:00 :  _ Close + TNI0002 MYT_Maintenacne_Solar _ myt_pyikyaw.aung : 21/04/20"&amp;"26 16:27 : 674.51 _ Close + TNI0002 MYT_Maintenacne_Solar _ myt_pyikyaw.aung : 21/04/2026 16:30 : -165.55 _ Close Solar Power:  Maintenance DG:  +  +  + MW Link: ")</f>
        <v>TNI0002 MYT_Routine_Maintenance_Mytel_Station_VCM _ myt_pyikyaw.aung : 25/06/2026 11:32 : -426.31 _ Close Solar M: TNI0002 MYT_Maintenacne_Solar _ myt_pyikyaw.aung : 30/12/1899 00:00 :  _ Close + TNI0002 MYT_Maintenacne_Solar _ myt_pyikyaw.aung : 21/04/2026 16:27 : 674.51 _ Close + TNI0002 MYT_Maintenacne_Solar _ myt_pyikyaw.aung : 21/04/2026 16:30 : -165.55 _ Close Solar Power:  Maintenance DG:  +  +  + MW Link: </v>
      </c>
    </row>
    <row r="4">
      <c r="A4" s="98" t="str">
        <f>IFERROR(__xludf.DUMMYFUNCTION("""COMPUTED_VALUE"""),"TNI0003")</f>
        <v>TNI0003</v>
      </c>
      <c r="B4" s="98" t="str">
        <f>IFERROR(__xludf.DUMMYFUNCTION("""COMPUTED_VALUE"""),"TNI0003: Myeik_Mytel_A_MYT_TNI_TEAM02_Wanna Oo")</f>
        <v>TNI0003: Myeik_Mytel_A_MYT_TNI_TEAM02_Wanna Oo</v>
      </c>
      <c r="C4" s="98" t="str">
        <f>IFERROR(__xludf.DUMMYFUNCTION("""COMPUTED_VALUE"""),"TNI0003-TNI0007_Myeik_48 FO : 80.09_Min Paing Oo + TNI0003-TNI0517_Myeik_24 FO : 1.2_Ye Lin + TNI0003-TNI0004_Myeik_48 FO : 102.03_Myint Ko Ko Aung + TNI0003-TNIM003_Myeik_24 FO : 0.9_Maung Maung + TNI0003-TNI0029_Myeik_24 FO : 2.15_Maung Maung + TNI0003-"&amp;"TNIM002_Myeik_24 FO : 3.45_Zin Min Shein + TNI0003-TNI0028_Myeik_24 FO : 1.53_Zin Min Shein")</f>
        <v>TNI0003-TNI0007_Myeik_48 FO : 80.09_Min Paing Oo + TNI0003-TNI0517_Myeik_24 FO : 1.2_Ye Lin + TNI0003-TNI0004_Myeik_48 FO : 102.03_Myint Ko Ko Aung + TNI0003-TNIM003_Myeik_24 FO : 0.9_Maung Maung + TNI0003-TNI0029_Myeik_24 FO : 2.15_Maung Maung + TNI0003-TNIM002_Myeik_24 FO : 3.45_Zin Min Shein + TNI0003-TNI0028_Myeik_24 FO : 1.53_Zin Min Shein</v>
      </c>
      <c r="D4" s="98" t="str">
        <f>IFERROR(__xludf.DUMMYFUNCTION("""COMPUTED_VALUE"""),"+ OLT: Wanna Oo")</f>
        <v>+ OLT: Wanna Oo</v>
      </c>
      <c r="E4" s="98" t="str">
        <f>IFERROR(__xludf.DUMMYFUNCTION("""COMPUTED_VALUE"""),"TNI0003 MYT_Routine_Maintenance_Main_Station MYT_RTE_MTE_MAIN_STN _ myt_maung.maung11 : 30/12/1899 00:00 : 502.17 _ FT assigned + TNI0003 MYT_Routine_Maintenance_Main_Station_VCM _ myt_maung.maung11 : 22/06/2026 09:21 : 415.23 _ Close + TNI0003 MYT_Routin"&amp;"e_Maintenance_Main_Station_VCM - MYT_Maintenacne_Solar _ myt_maung.maung11 : 30/12/1899 00:00 :  _ Close + TNI0003 MYT_Routine_Maintenance_Main_Station_VCM _ myt_wanna.oo2 : 24/04/2026 11:35 : 445.73 _ Close Solar M: TNI0003 MYT_Maintenacne_Solar _ myt_wa"&amp;"nna.oo2 : 07/05/2026 10:36 : 277.15 _ Close + TNI0003 MYT_Maintenacne_Solar _ myt_maung.maung11 : 21/04/2026 13:25 : -158.71 _ Close Solar Power:  Maintenance DG:  +  +  + MW Link: ")</f>
        <v>TNI0003 MYT_Routine_Maintenance_Main_Station MYT_RTE_MTE_MAIN_STN _ myt_maung.maung11 : 30/12/1899 00:00 : 502.17 _ FT assigned + TNI0003 MYT_Routine_Maintenance_Main_Station_VCM _ myt_maung.maung11 : 22/06/2026 09:21 : 415.23 _ Close + TNI0003 MYT_Routine_Maintenance_Main_Station_VCM - MYT_Maintenacne_Solar _ myt_maung.maung11 : 30/12/1899 00:00 :  _ Close + TNI0003 MYT_Routine_Maintenance_Main_Station_VCM _ myt_wanna.oo2 : 24/04/2026 11:35 : 445.73 _ Close Solar M: TNI0003 MYT_Maintenacne_Solar _ myt_wanna.oo2 : 07/05/2026 10:36 : 277.15 _ Close + TNI0003 MYT_Maintenacne_Solar _ myt_maung.maung11 : 21/04/2026 13:25 : -158.71 _ Close Solar Power:  Maintenance DG:  +  +  + MW Link: </v>
      </c>
    </row>
    <row r="5">
      <c r="A5" s="98" t="str">
        <f>IFERROR(__xludf.DUMMYFUNCTION("""COMPUTED_VALUE"""),"TNI0004")</f>
        <v>TNI0004</v>
      </c>
      <c r="B5" s="98" t="str">
        <f>IFERROR(__xludf.DUMMYFUNCTION("""COMPUTED_VALUE"""),"TNI0004: Tanintharyi_Mytel_A_MYT_TNI_TEAM03_Myint Ko Ko Aung")</f>
        <v>TNI0004: Tanintharyi_Mytel_A_MYT_TNI_TEAM03_Myint Ko Ko Aung</v>
      </c>
      <c r="C5" s="98" t="str">
        <f>IFERROR(__xludf.DUMMYFUNCTION("""COMPUTED_VALUE"""),"TNI0004-TNI0008_Tanintharyi_48 FO : 111.32_Tin Naing Lin + TNI0003-TNI0004_Myeik_48 FO : 102.03_Myint Ko Ko Aung + TNI0004-TNIM006_Myeik_24 FO : 8.62_Myint Ko Ko Aung + TNI0004-TNIM005_Bokpyin_24 FO : 6.04_Myint Ko Ko Aung + TNI0004-TNI0004_01_Tanintharyi"&amp;"_24 FO : 3.6_Myint Ko Ko Aung")</f>
        <v>TNI0004-TNI0008_Tanintharyi_48 FO : 111.32_Tin Naing Lin + TNI0003-TNI0004_Myeik_48 FO : 102.03_Myint Ko Ko Aung + TNI0004-TNIM006_Myeik_24 FO : 8.62_Myint Ko Ko Aung + TNI0004-TNIM005_Bokpyin_24 FO : 6.04_Myint Ko Ko Aung + TNI0004-TNI0004_01_Tanintharyi_24 FO : 3.6_Myint Ko Ko Aung</v>
      </c>
      <c r="D5" s="98" t="str">
        <f>IFERROR(__xludf.DUMMYFUNCTION("""COMPUTED_VALUE"""),"")</f>
        <v/>
      </c>
      <c r="E5" s="98" t="str">
        <f>IFERROR(__xludf.DUMMYFUNCTION("""COMPUTED_VALUE"""),"TNI0004 MYT_Routine_Maintenance_Main_Station MYT_RTE_MTE_MAIN_STN _ myt_myintkoko.aung : 30/12/1899 00:00 : 502.17 _ FT Inprocessing + TNI0004 MYT_Routine_Maintenance_Main_Station_VCM _ myt_myintkoko.aung : 30/12/1899 00:00 : 247.05 _ FT assigned + TNI000"&amp;"4 MYT_Routine_Maintenance_Main_Station_VCM - MYT_Maintenacne_Solar _ myt_myintkoko.aung : 30/12/1899 00:00 :  _ Close + TNI0004 MYT_Routine_Maintenance_Main_Station_VCM _ myt_myintkoko.aung : 24/04/2026 14:13 : 447.19 _ Close Solar M: TNI0004 MYT_Maintena"&amp;"cne_Solar _ myt_myintkoko.aung : 24/04/2026 12:14 : 591.22 _ Close + TNI0004_01 MYT_Maintenacne_Solar _ myt_pyaephyo.zaw : 30/12/1899 00:00 :  _ Close + TNI0004_01 MYT_Maintenacne_Solar _ myt_pyaephyo.zaw : 19/04/2026 10:31 : -106.53 _ Close Solar Power: "&amp;"TNI0004 MYT_Troubleshooting Solar Power System _ myt_myintkoko.aung : 11/06/2026 10:27 : -113.45 _ Close Maintenance DG:  +  +  + MW Link: ")</f>
        <v>TNI0004 MYT_Routine_Maintenance_Main_Station MYT_RTE_MTE_MAIN_STN _ myt_myintkoko.aung : 30/12/1899 00:00 : 502.17 _ FT Inprocessing + TNI0004 MYT_Routine_Maintenance_Main_Station_VCM _ myt_myintkoko.aung : 30/12/1899 00:00 : 247.05 _ FT assigned + TNI0004 MYT_Routine_Maintenance_Main_Station_VCM - MYT_Maintenacne_Solar _ myt_myintkoko.aung : 30/12/1899 00:00 :  _ Close + TNI0004 MYT_Routine_Maintenance_Main_Station_VCM _ myt_myintkoko.aung : 24/04/2026 14:13 : 447.19 _ Close Solar M: TNI0004 MYT_Maintenacne_Solar _ myt_myintkoko.aung : 24/04/2026 12:14 : 591.22 _ Close + TNI0004_01 MYT_Maintenacne_Solar _ myt_pyaephyo.zaw : 30/12/1899 00:00 :  _ Close + TNI0004_01 MYT_Maintenacne_Solar _ myt_pyaephyo.zaw : 19/04/2026 10:31 : -106.53 _ Close Solar Power: TNI0004 MYT_Troubleshooting Solar Power System _ myt_myintkoko.aung : 11/06/2026 10:27 : -113.45 _ Close Maintenance DG:  +  +  + MW Link: </v>
      </c>
    </row>
    <row r="6">
      <c r="A6" s="98" t="str">
        <f>IFERROR(__xludf.DUMMYFUNCTION("""COMPUTED_VALUE"""),"TNI0004_01")</f>
        <v>TNI0004_01</v>
      </c>
      <c r="B6" s="98" t="str">
        <f>IFERROR(__xludf.DUMMYFUNCTION("""COMPUTED_VALUE"""),"TNI0004_01: Tanintharyi_Mytel_C_MYT_TNI_TEAM03_Tin Naing Lin")</f>
        <v>TNI0004_01: Tanintharyi_Mytel_C_MYT_TNI_TEAM03_Tin Naing Lin</v>
      </c>
      <c r="C6" s="98" t="str">
        <f>IFERROR(__xludf.DUMMYFUNCTION("""COMPUTED_VALUE"""),"TNI0004-TNI0004_01_Tanintharyi_24 FO : 3.6_Myint Ko Ko Aung")</f>
        <v>TNI0004-TNI0004_01_Tanintharyi_24 FO : 3.6_Myint Ko Ko Aung</v>
      </c>
      <c r="D6" s="98" t="str">
        <f>IFERROR(__xludf.DUMMYFUNCTION("""COMPUTED_VALUE"""),"")</f>
        <v/>
      </c>
      <c r="E6" s="98" t="str">
        <f>IFERROR(__xludf.DUMMYFUNCTION("""COMPUTED_VALUE""")," Solar M:  Solar Power:  Maintenance DG:  +  +  + MW Link: ")</f>
        <v> Solar M:  Solar Power:  Maintenance DG:  +  +  + MW Link: </v>
      </c>
    </row>
    <row r="7">
      <c r="A7" s="98" t="str">
        <f>IFERROR(__xludf.DUMMYFUNCTION("""COMPUTED_VALUE"""),"TNI0005")</f>
        <v>TNI0005</v>
      </c>
      <c r="B7" s="98" t="str">
        <f>IFERROR(__xludf.DUMMYFUNCTION("""COMPUTED_VALUE"""),"TNI0005: Thayetchaung_Mytel_A_MYT_TNI_TEAM02_Min Paing Oo")</f>
        <v>TNI0005: Thayetchaung_Mytel_A_MYT_TNI_TEAM02_Min Paing Oo</v>
      </c>
      <c r="C7" s="98" t="str">
        <f>IFERROR(__xludf.DUMMYFUNCTION("""COMPUTED_VALUE"""),"TNI0005-TNI0013_Thayetchaung_48 FO : 107.7_Bone Myat Naing + TNI0005-TNIM008_Thayetchaung_24 FO : 0.36_Min Paing Oo + TNI0005-TNIM007_Thayetchaung_24 FO : 3.01_Min Paing Oo")</f>
        <v>TNI0005-TNI0013_Thayetchaung_48 FO : 107.7_Bone Myat Naing + TNI0005-TNIM008_Thayetchaung_24 FO : 0.36_Min Paing Oo + TNI0005-TNIM007_Thayetchaung_24 FO : 3.01_Min Paing Oo</v>
      </c>
      <c r="D7" s="98" t="str">
        <f>IFERROR(__xludf.DUMMYFUNCTION("""COMPUTED_VALUE"""),"")</f>
        <v/>
      </c>
      <c r="E7" s="98" t="str">
        <f>IFERROR(__xludf.DUMMYFUNCTION("""COMPUTED_VALUE"""),"TNI0005 MYT_Routine_Maintenance_Main_Station MYT_RTE_MTE_MAIN_STN _ myt_minpaing.oo : 30/12/1899 00:00 : 502.17 _ FT assigned Solar M:  Solar Power:  Maintenance DG:  +  +  + MW Link: ")</f>
        <v>TNI0005 MYT_Routine_Maintenance_Main_Station MYT_RTE_MTE_MAIN_STN _ myt_minpaing.oo : 30/12/1899 00:00 : 502.17 _ FT assigned Solar M:  Solar Power:  Maintenance DG:  +  +  + MW Link: </v>
      </c>
    </row>
    <row r="8">
      <c r="A8" s="98" t="str">
        <f>IFERROR(__xludf.DUMMYFUNCTION("""COMPUTED_VALUE"""),"TNI0006")</f>
        <v>TNI0006</v>
      </c>
      <c r="B8" s="98" t="str">
        <f>IFERROR(__xludf.DUMMYFUNCTION("""COMPUTED_VALUE"""),"TNI0006: Yebyu_Mytel_A_MYT_TNI_TEAM01_Thu Rain Niang")</f>
        <v>TNI0006: Yebyu_Mytel_A_MYT_TNI_TEAM01_Thu Rain Niang</v>
      </c>
      <c r="C8" s="98" t="str">
        <f>IFERROR(__xludf.DUMMYFUNCTION("""COMPUTED_VALUE"""),"TNI0006-TNI0013_Yebyu_48 FO : 82.23_Thu Rain Niang + TNI0006-TNIM009_Yebyu_24 FO : 0.39_Thu Rain Niang + TNI0006-TNIM010_Yebyu_24 FO : 0.74_Thu Rain Niang + TNI0006-TNIDOS51_Yebyu_24 FO : 0.88_Thu Rain Niang + TNI0006-JB(MON0002-TNI0006)_Yebyu_48 FO : 2.9"&amp;"6_Thu Rain Niang")</f>
        <v>TNI0006-TNI0013_Yebyu_48 FO : 82.23_Thu Rain Niang + TNI0006-TNIM009_Yebyu_24 FO : 0.39_Thu Rain Niang + TNI0006-TNIM010_Yebyu_24 FO : 0.74_Thu Rain Niang + TNI0006-TNIDOS51_Yebyu_24 FO : 0.88_Thu Rain Niang + TNI0006-JB(MON0002-TNI0006)_Yebyu_48 FO : 2.96_Thu Rain Niang</v>
      </c>
      <c r="D8" s="98" t="str">
        <f>IFERROR(__xludf.DUMMYFUNCTION("""COMPUTED_VALUE"""),"+ OLT: Thu Rain Niang")</f>
        <v>+ OLT: Thu Rain Niang</v>
      </c>
      <c r="E8" s="98" t="str">
        <f>IFERROR(__xludf.DUMMYFUNCTION("""COMPUTED_VALUE"""),"TNI0006 MYT_Routine_Maintenance_Main_Station MYT_RTE_MTE_MAIN_STN _ myt_aungthin.mya : 29/06/2026 08:25 : 582.69 _ Close + TNI0006 MYT_Routine_Maintenance_Main_Station_VCM _ myt_aungthin.mya : 30/12/1899 00:00 : 271.05 _ FT Inprocessing + TNI0006 MYT_Rout"&amp;"ine_Maintenance_Main_Station_VCM _ myt_aungthin.mya : 29/05/2026 12:06 : -77.34 _ Close + TNI0006 MYT_Routine_Maintenance_Main_Station_VCM - MYT_Maintenacne_Solar _ myt_tharhtoo.aung11 : 24/04/2026 07:41 : 616.3 _ Close Solar M: TNI0006 MYT_Maintenacne_So"&amp;"lar _ myt_tharhtoo.aung11 : 30/12/1899 00:00 :  _ Close Solar Power: TNI0006 MYT_Troubleshooting Solar Power System _ myt_tharhtoo.aung11 : 30/12/1899 00:00 : 7.05 _ FT assigned Maintenance DG:  +  +  + MW Link: ")</f>
        <v>TNI0006 MYT_Routine_Maintenance_Main_Station MYT_RTE_MTE_MAIN_STN _ myt_aungthin.mya : 29/06/2026 08:25 : 582.69 _ Close + TNI0006 MYT_Routine_Maintenance_Main_Station_VCM _ myt_aungthin.mya : 30/12/1899 00:00 : 271.05 _ FT Inprocessing + TNI0006 MYT_Routine_Maintenance_Main_Station_VCM _ myt_aungthin.mya : 29/05/2026 12:06 : -77.34 _ Close + TNI0006 MYT_Routine_Maintenance_Main_Station_VCM - MYT_Maintenacne_Solar _ myt_tharhtoo.aung11 : 24/04/2026 07:41 : 616.3 _ Close Solar M: TNI0006 MYT_Maintenacne_Solar _ myt_tharhtoo.aung11 : 30/12/1899 00:00 :  _ Close Solar Power: TNI0006 MYT_Troubleshooting Solar Power System _ myt_tharhtoo.aung11 : 30/12/1899 00:00 : 7.05 _ FT assigned Maintenance DG:  +  +  + MW Link: </v>
      </c>
    </row>
    <row r="9">
      <c r="A9" s="98" t="str">
        <f>IFERROR(__xludf.DUMMYFUNCTION("""COMPUTED_VALUE"""),"TNI0007")</f>
        <v>TNI0007</v>
      </c>
      <c r="B9" s="98" t="str">
        <f>IFERROR(__xludf.DUMMYFUNCTION("""COMPUTED_VALUE"""),"TNI0007: Palaw_Mytel_A_MYT_TNI_TEAM02_Min Paing Oo")</f>
        <v>TNI0007: Palaw_Mytel_A_MYT_TNI_TEAM02_Min Paing Oo</v>
      </c>
      <c r="C9" s="98" t="str">
        <f>IFERROR(__xludf.DUMMYFUNCTION("""COMPUTED_VALUE"""),"TNI0003-TNI0007_Myeik_48 FO : 80.09_Min Paing Oo + TNI0007-TNIM011_Palaw_24 FO : 2.34_Min Paing Oo + TNI0007-TNIM012_Palaw_24 FO : 1.9_Min Paing Oo")</f>
        <v>TNI0003-TNI0007_Myeik_48 FO : 80.09_Min Paing Oo + TNI0007-TNIM011_Palaw_24 FO : 2.34_Min Paing Oo + TNI0007-TNIM012_Palaw_24 FO : 1.9_Min Paing Oo</v>
      </c>
      <c r="D9" s="98" t="str">
        <f>IFERROR(__xludf.DUMMYFUNCTION("""COMPUTED_VALUE"""),"+ OLT: Min Paing Oo")</f>
        <v>+ OLT: Min Paing Oo</v>
      </c>
      <c r="E9" s="98" t="str">
        <f>IFERROR(__xludf.DUMMYFUNCTION("""COMPUTED_VALUE"""),"TNI0007 MYT_Routine_Maintenance_Main_Station MYT_RTE_MTE_MAIN_STN _ myt_minpaing.oo : 30/12/1899 00:00 : 502.17 _ FT assigned Solar M: TNI0007 MYT_Maintenacne_Solar _ myt_minpaing.oo : 30/12/1899 00:00 :  _ Close + TNI0007 MYT_Maintenacne_Solar _ myt_maun"&amp;"g.maung11 : 07/05/2026 09:54 : 277.16 _ Close Solar Power:  Maintenance DG:  +  +  + MW Link: ")</f>
        <v>TNI0007 MYT_Routine_Maintenance_Main_Station MYT_RTE_MTE_MAIN_STN _ myt_minpaing.oo : 30/12/1899 00:00 : 502.17 _ FT assigned Solar M: TNI0007 MYT_Maintenacne_Solar _ myt_minpaing.oo : 30/12/1899 00:00 :  _ Close + TNI0007 MYT_Maintenacne_Solar _ myt_maung.maung11 : 07/05/2026 09:54 : 277.16 _ Close Solar Power:  Maintenance DG:  +  +  + MW Link: </v>
      </c>
    </row>
    <row r="10">
      <c r="A10" s="98" t="str">
        <f>IFERROR(__xludf.DUMMYFUNCTION("""COMPUTED_VALUE"""),"TNI0008")</f>
        <v>TNI0008</v>
      </c>
      <c r="B10" s="98" t="str">
        <f>IFERROR(__xludf.DUMMYFUNCTION("""COMPUTED_VALUE"""),"TNI0008: Bokpyin_Mytel_A_MYT_TNI_TEAM03_Tin Naing Lin")</f>
        <v>TNI0008: Bokpyin_Mytel_A_MYT_TNI_TEAM03_Tin Naing Lin</v>
      </c>
      <c r="C10" s="98" t="str">
        <f>IFERROR(__xludf.DUMMYFUNCTION("""COMPUTED_VALUE"""),"TNI0008-TNI0009_Bokpyin_48 FO : 76.19_Si Thu Htun + TNI0008-TNIM013_Bokpyin_24 FO : 3.36_Si Thu Htun + TNI0008-TNIM014_Bokpyin_24 FO : 0.5_Si Thu Htun + TNI0004-TNI0008_Tanintharyi_48 FO : 111.32_Tin Naing Lin")</f>
        <v>TNI0008-TNI0009_Bokpyin_48 FO : 76.19_Si Thu Htun + TNI0008-TNIM013_Bokpyin_24 FO : 3.36_Si Thu Htun + TNI0008-TNIM014_Bokpyin_24 FO : 0.5_Si Thu Htun + TNI0004-TNI0008_Tanintharyi_48 FO : 111.32_Tin Naing Lin</v>
      </c>
      <c r="D10" s="98" t="str">
        <f>IFERROR(__xludf.DUMMYFUNCTION("""COMPUTED_VALUE"""),"+ OLT: Tin Naing Lin")</f>
        <v>+ OLT: Tin Naing Lin</v>
      </c>
      <c r="E10" s="98" t="str">
        <f>IFERROR(__xludf.DUMMYFUNCTION("""COMPUTED_VALUE"""),"TNI0008 MYT_Routine_Maintenance_Main_Station MYT_RTE_MTE_MAIN_STN _ myt_sithu.htun : 30/12/1899 00:00 : 502.17 _ FT assigned + TNI0008 MYT_Routine_Maintenance_Main_Station_VCM _ myt_sithu.htun : 24/06/2026 14:48 : 415.04 _ Close + TNI0008 MYT_Routine_Main"&amp;"tenance_Main_Station_VCM - MYT_Maintenacne_Solar _ myt_tinnaing.lin11 : 30/12/1899 00:00 :  _ Close + TNI0008 MYT_Routine_Maintenance_Main_Station_VCM _ myt_tinnaing.lin11 : 24/04/2026 15:39 : 447.21 _ Close Solar M: TNI0008 MYT_Maintenacne_Solar _ myt_ti"&amp;"nnaing.lin11 : 24/04/2026 15:41 : 591.23 _ Close Solar Power:  Maintenance DG:  +  +  + MW Link: ")</f>
        <v>TNI0008 MYT_Routine_Maintenance_Main_Station MYT_RTE_MTE_MAIN_STN _ myt_sithu.htun : 30/12/1899 00:00 : 502.17 _ FT assigned + TNI0008 MYT_Routine_Maintenance_Main_Station_VCM _ myt_sithu.htun : 24/06/2026 14:48 : 415.04 _ Close + TNI0008 MYT_Routine_Maintenance_Main_Station_VCM - MYT_Maintenacne_Solar _ myt_tinnaing.lin11 : 30/12/1899 00:00 :  _ Close + TNI0008 MYT_Routine_Maintenance_Main_Station_VCM _ myt_tinnaing.lin11 : 24/04/2026 15:39 : 447.21 _ Close Solar M: TNI0008 MYT_Maintenacne_Solar _ myt_tinnaing.lin11 : 24/04/2026 15:41 : 591.23 _ Close Solar Power:  Maintenance DG:  +  +  + MW Link: </v>
      </c>
    </row>
    <row r="11">
      <c r="A11" s="98" t="str">
        <f>IFERROR(__xludf.DUMMYFUNCTION("""COMPUTED_VALUE"""),"TNI0009")</f>
        <v>TNI0009</v>
      </c>
      <c r="B11" s="98" t="str">
        <f>IFERROR(__xludf.DUMMYFUNCTION("""COMPUTED_VALUE"""),"TNI0009: Bokpyin_Mytel_A_MYT_TNI_TEAM03_Si Thu Htun")</f>
        <v>TNI0009: Bokpyin_Mytel_A_MYT_TNI_TEAM03_Si Thu Htun</v>
      </c>
      <c r="C11" s="98" t="str">
        <f>IFERROR(__xludf.DUMMYFUNCTION("""COMPUTED_VALUE"""),"TNI0008-TNI0009_Bokpyin_48 FO : 76.19_Si Thu Htun + TNI0009-TNI0015_Bokpyin_48 FO : 71.5_Si Thu Htun + TNI0009-TNIM015_Bokpyin_24 FO : 2.16_Si Thu Htun + TNI0009-TNIM016_Bokpyin_24 FO : 1.48_Si Thu Htun")</f>
        <v>TNI0008-TNI0009_Bokpyin_48 FO : 76.19_Si Thu Htun + TNI0009-TNI0015_Bokpyin_48 FO : 71.5_Si Thu Htun + TNI0009-TNIM015_Bokpyin_24 FO : 2.16_Si Thu Htun + TNI0009-TNIM016_Bokpyin_24 FO : 1.48_Si Thu Htun</v>
      </c>
      <c r="D11" s="98" t="str">
        <f>IFERROR(__xludf.DUMMYFUNCTION("""COMPUTED_VALUE"""),"")</f>
        <v/>
      </c>
      <c r="E11" s="98" t="str">
        <f>IFERROR(__xludf.DUMMYFUNCTION("""COMPUTED_VALUE"""),"TNI0009 MYT_Routine_Maintenance_Main_Station MYT_RTE_MTE_MAIN_STN _ myt_pyaephyo.zaw : 30/12/1899 00:00 : 502.17 _ FT Inprocessing + TNI0009 MYT_Routine_Maintenance_Main_Station_VCM _ myt_sithu.htun : 23/06/2026 10:27 : 442.1 _ Close + TNI0009 MYT_Routine"&amp;"_Maintenance_Main_Station_VCM - MYT_Maintenacne_Solar _ myt_sithu.htun : 30/12/1899 00:00 :  _ Close + TNI0009 MYT_Routine_Maintenance_Main_Station_VCM _ myt_sithu.htun : 29/04/2026 17:27 : 229.47 _ Close Solar M: TNI0009 MYT_Maintenacne_Solar _ myt_sithu"&amp;".htun : 29/04/2026 16:54 : 443.44 _ Close Solar Power:  Maintenance DG:  +  +  + MW Link: ")</f>
        <v>TNI0009 MYT_Routine_Maintenance_Main_Station MYT_RTE_MTE_MAIN_STN _ myt_pyaephyo.zaw : 30/12/1899 00:00 : 502.17 _ FT Inprocessing + TNI0009 MYT_Routine_Maintenance_Main_Station_VCM _ myt_sithu.htun : 23/06/2026 10:27 : 442.1 _ Close + TNI0009 MYT_Routine_Maintenance_Main_Station_VCM - MYT_Maintenacne_Solar _ myt_sithu.htun : 30/12/1899 00:00 :  _ Close + TNI0009 MYT_Routine_Maintenance_Main_Station_VCM _ myt_sithu.htun : 29/04/2026 17:27 : 229.47 _ Close Solar M: TNI0009 MYT_Maintenacne_Solar _ myt_sithu.htun : 29/04/2026 16:54 : 443.44 _ Close Solar Power:  Maintenance DG:  +  +  + MW Link: </v>
      </c>
    </row>
    <row r="12">
      <c r="A12" s="98" t="str">
        <f>IFERROR(__xludf.DUMMYFUNCTION("""COMPUTED_VALUE"""),"TNI0011")</f>
        <v>TNI0011</v>
      </c>
      <c r="B12" s="98" t="str">
        <f>IFERROR(__xludf.DUMMYFUNCTION("""COMPUTED_VALUE"""),"TNI0011: Kawthoung_Mytel_A_MYT_TNI_TEAM04_Tin Maung Win")</f>
        <v>TNI0011: Kawthoung_Mytel_A_MYT_TNI_TEAM04_Tin Maung Win</v>
      </c>
      <c r="C12" s="98" t="str">
        <f>IFERROR(__xludf.DUMMYFUNCTION("""COMPUTED_VALUE"""),"TNI0011-TNIM017_Kawthaung_24 FO : 0.98_Aung Myint Myat + TNI0011-TNI0012_Kawthaung_48 FO : 54.05_Khant Chaw Nyo + TNI0011-TNIDOS54_Kawthaung_24 FO : 9.01_Tin Maung Win + TNI0011-TNI0016_Kawthaung_24 FO : 1.17_Tin Maung Win + TNI0011-TNI0244_Kawthaung_24 F"&amp;"O : 1_Tin Maung Win + TNI0011-TNI0230_Kawthoung_24 FO : 1.42_Tin Maung Win")</f>
        <v>TNI0011-TNIM017_Kawthaung_24 FO : 0.98_Aung Myint Myat + TNI0011-TNI0012_Kawthaung_48 FO : 54.05_Khant Chaw Nyo + TNI0011-TNIDOS54_Kawthaung_24 FO : 9.01_Tin Maung Win + TNI0011-TNI0016_Kawthaung_24 FO : 1.17_Tin Maung Win + TNI0011-TNI0244_Kawthaung_24 FO : 1_Tin Maung Win + TNI0011-TNI0230_Kawthoung_24 FO : 1.42_Tin Maung Win</v>
      </c>
      <c r="D12" s="98" t="str">
        <f>IFERROR(__xludf.DUMMYFUNCTION("""COMPUTED_VALUE"""),"+ OLT: Tin Maung Win")</f>
        <v>+ OLT: Tin Maung Win</v>
      </c>
      <c r="E12" s="98" t="str">
        <f>IFERROR(__xludf.DUMMYFUNCTION("""COMPUTED_VALUE"""),"Grand Andaman Company Limited : tni_dia_limitedgac1 1000 Km TNI0011 MYT_Routine_Maintenance_Main_Station MYT_RTE_MTE_MAIN_STN _ myt_aungthin.mya : 30/12/1899 00:00 : 502.17 _ FT assigned + TNI0011 MYT_Routine_Maintenance_Main_Station_VCM _ myt_tinmaung.wi"&amp;"n : 25/06/2026 12:20 : 386.75 _ Close + TNI0011 MYT_Routine_Maintenance_Main_Station_VCM - MYT_Maintenacne_Solar _ myt_tinmaung.win : 22/05/2026 15:03 :  _ Close + TNI0011 MYT_Routine_Maintenance_Main_Station_VCM _ myt_tinmaung.win : 24/04/2026 12:20 : 35"&amp;"1.3 _ Close Solar M: TNI0011 MYT_Maintenacne_Solar _ myt_tinmaung.win : 24/04/2026 11:28 : 495.29 _ Close Solar Power: TNI0011 MYT_Troubleshooting Solar Power System _ myt_tinmaung.win : 08/06/2026 09:43 : 59.27 _ Close Maintenance DG:  +  +  + MW Link: ")</f>
        <v>Grand Andaman Company Limited : tni_dia_limitedgac1 1000 Km TNI0011 MYT_Routine_Maintenance_Main_Station MYT_RTE_MTE_MAIN_STN _ myt_aungthin.mya : 30/12/1899 00:00 : 502.17 _ FT assigned + TNI0011 MYT_Routine_Maintenance_Main_Station_VCM _ myt_tinmaung.win : 25/06/2026 12:20 : 386.75 _ Close + TNI0011 MYT_Routine_Maintenance_Main_Station_VCM - MYT_Maintenacne_Solar _ myt_tinmaung.win : 22/05/2026 15:03 :  _ Close + TNI0011 MYT_Routine_Maintenance_Main_Station_VCM _ myt_tinmaung.win : 24/04/2026 12:20 : 351.3 _ Close Solar M: TNI0011 MYT_Maintenacne_Solar _ myt_tinmaung.win : 24/04/2026 11:28 : 495.29 _ Close Solar Power: TNI0011 MYT_Troubleshooting Solar Power System _ myt_tinmaung.win : 08/06/2026 09:43 : 59.27 _ Close Maintenance DG:  +  +  + MW Link: </v>
      </c>
    </row>
    <row r="13">
      <c r="A13" s="98" t="str">
        <f>IFERROR(__xludf.DUMMYFUNCTION("""COMPUTED_VALUE"""),"TNI0012")</f>
        <v>TNI0012</v>
      </c>
      <c r="B13" s="98" t="str">
        <f>IFERROR(__xludf.DUMMYFUNCTION("""COMPUTED_VALUE"""),"TNI0012: Kawthoung_Mytel_A_MYT_TNI_TEAM04_Khant Chaw Nyo")</f>
        <v>TNI0012: Kawthoung_Mytel_A_MYT_TNI_TEAM04_Khant Chaw Nyo</v>
      </c>
      <c r="C13" s="98" t="str">
        <f>IFERROR(__xludf.DUMMYFUNCTION("""COMPUTED_VALUE"""),"TNI0015-TNI0012_Kawthaung_48 FO : 78.81_Tin Naing Lin + TNI0011-TNI0012_Kawthaung_48 FO : 54.05_Khant Chaw Nyo + TNI0012-THAILAND_Kawthaung_48 FO : 44.74_Aung Myint Myat + TNI0012-TNIM018_Kawthaung_24 FO : 1.7_Khant Chaw Nyo + TNI0012-TNIM019_Kawthaung_24"&amp;" FO : 1.71_Tin Maung Win + TNI0012-TNIDOS53_Kawthaung_24 FO : 0.78_Tin Maung Win + TNI0012-JB1(TNI0012-THAILAND)_Kawthoung_48 FO : 2.56_Tin Maung Win")</f>
        <v>TNI0015-TNI0012_Kawthaung_48 FO : 78.81_Tin Naing Lin + TNI0011-TNI0012_Kawthaung_48 FO : 54.05_Khant Chaw Nyo + TNI0012-THAILAND_Kawthaung_48 FO : 44.74_Aung Myint Myat + TNI0012-TNIM018_Kawthaung_24 FO : 1.7_Khant Chaw Nyo + TNI0012-TNIM019_Kawthaung_24 FO : 1.71_Tin Maung Win + TNI0012-TNIDOS53_Kawthaung_24 FO : 0.78_Tin Maung Win + TNI0012-JB1(TNI0012-THAILAND)_Kawthoung_48 FO : 2.56_Tin Maung Win</v>
      </c>
      <c r="D13" s="98" t="str">
        <f>IFERROR(__xludf.DUMMYFUNCTION("""COMPUTED_VALUE"""),"")</f>
        <v/>
      </c>
      <c r="E13" s="98" t="str">
        <f>IFERROR(__xludf.DUMMYFUNCTION("""COMPUTED_VALUE"""),"TNI0012 MYT_Routine_Maintenance_Main_Station MYT_RTE_MTE_MAIN_STN _ myt_aungthin.mya : 30/12/1899 00:00 : 502.17 _ FT assigned + TNI0012 MYT_Routine_Maintenance_Main_Station_VCM _ myt_khantchaw.nyo : 19/06/2026 14:41 : 544.23 _ Close + TNI0012 MYT_Routine"&amp;"_Maintenance_Main_Station_VCM - MYT_Maintenacne_Solar _ myt_khantchaw.nyo : 30/12/1899 00:00 :  _ Close + TNI0012 MYT_Routine_Maintenance_Main_Station_VCM _ myt_khantchaw.nyo : 08/05/2026 11:41 : 129.37 _ Close Solar M: TNI0012 MYT_Maintenacne_Solar _ myt"&amp;"_khantchaw.nyo : 08/05/2026 10:53 : 273.37 _ Close Solar Power:  Maintenance DG:  +  +  + MW Link: ")</f>
        <v>TNI0012 MYT_Routine_Maintenance_Main_Station MYT_RTE_MTE_MAIN_STN _ myt_aungthin.mya : 30/12/1899 00:00 : 502.17 _ FT assigned + TNI0012 MYT_Routine_Maintenance_Main_Station_VCM _ myt_khantchaw.nyo : 19/06/2026 14:41 : 544.23 _ Close + TNI0012 MYT_Routine_Maintenance_Main_Station_VCM - MYT_Maintenacne_Solar _ myt_khantchaw.nyo : 30/12/1899 00:00 :  _ Close + TNI0012 MYT_Routine_Maintenance_Main_Station_VCM _ myt_khantchaw.nyo : 08/05/2026 11:41 : 129.37 _ Close Solar M: TNI0012 MYT_Maintenacne_Solar _ myt_khantchaw.nyo : 08/05/2026 10:53 : 273.37 _ Close Solar Power:  Maintenance DG:  +  +  + MW Link: </v>
      </c>
    </row>
    <row r="14">
      <c r="A14" s="98" t="str">
        <f>IFERROR(__xludf.DUMMYFUNCTION("""COMPUTED_VALUE"""),"TNI0013")</f>
        <v>TNI0013</v>
      </c>
      <c r="B14" s="98" t="str">
        <f>IFERROR(__xludf.DUMMYFUNCTION("""COMPUTED_VALUE"""),"TNI0013: Dawei_Mytel_A_MYT_TNI_TEAM01_Bone Myat Naing")</f>
        <v>TNI0013: Dawei_Mytel_A_MYT_TNI_TEAM01_Bone Myat Naing</v>
      </c>
      <c r="C14" s="98" t="str">
        <f>IFERROR(__xludf.DUMMYFUNCTION("""COMPUTED_VALUE"""),"TNI0005-TNI0013_Thayetchaung_48 FO : 107.7_Bone Myat Naing + TNI0006-TNI0013_Yebyu_48 FO : 82.23_Thu Rain Niang + TNI0013-TNI_OFFICE_Dawei_24 FO : 1.69_Aung Lwin Phyo + TNI0013-TNI0250_1_Dawei_24 FO : 10.71_Bone Myat Naing + TNI0013-TNI0250_2_Dawei_48 FO "&amp;": 10.71_Bone Myat Naing + TNI0013-TNIM020_Dawei_24 FO : 4.11_Bone Myat Naing + TNI0013-TNIM021_Dawei_24 FO : 1.96_Bone Myat Naing + TNI0013-TNI0069_Dawei_24 FO : 0.89_Bone Myat Naing + TNI0013-TNI0070_Dawei_24 FO : 1.02_Bone Myat Naing + TNI0013-TNI0256_D"&amp;"awei_24 FO : 1.11_Bone Myat Naing")</f>
        <v>TNI0005-TNI0013_Thayetchaung_48 FO : 107.7_Bone Myat Naing + TNI0006-TNI0013_Yebyu_48 FO : 82.23_Thu Rain Niang + TNI0013-TNI_OFFICE_Dawei_24 FO : 1.69_Aung Lwin Phyo + TNI0013-TNI0250_1_Dawei_24 FO : 10.71_Bone Myat Naing + TNI0013-TNI0250_2_Dawei_48 FO : 10.71_Bone Myat Naing + TNI0013-TNIM020_Dawei_24 FO : 4.11_Bone Myat Naing + TNI0013-TNIM021_Dawei_24 FO : 1.96_Bone Myat Naing + TNI0013-TNI0069_Dawei_24 FO : 0.89_Bone Myat Naing + TNI0013-TNI0070_Dawei_24 FO : 1.02_Bone Myat Naing + TNI0013-TNI0256_Dawei_24 FO : 1.11_Bone Myat Naing</v>
      </c>
      <c r="D14" s="98" t="str">
        <f>IFERROR(__xludf.DUMMYFUNCTION("""COMPUTED_VALUE"""),"+ OLT: Bone Myat Naing")</f>
        <v>+ OLT: Bone Myat Naing</v>
      </c>
      <c r="E14" s="98" t="str">
        <f>IFERROR(__xludf.DUMMYFUNCTION("""COMPUTED_VALUE"""),"Fortune Telecom Company Limited : tni_dia_limitedftc15 1000 Km  + Mytel Tanintharyi Branch : tni_dia_brancht 1000 Km TNI0013 MYT_Routine_Maintenance_Main_Station MYT_RTE_MTE_MAIN_STN _ myt_phyoko.ko44 : 29/06/2026 09:39 : 577.45 _ Close + TNI0013 MYT_Rout"&amp;"ine_Maintenance_Main_Station_VCM _ myt_bonemyat.naing1 : 30/12/1899 00:00 : 247.05 _ FT Inprocessing + TNI0013 MYT_Routine_Maintenance_Main_Station_VCM - MYT_Maintenacne_Solar _ myt_bonemyat.naing1 : 30/12/1899 00:00 :  _ Close + TNI0013 MYT_Routine_Maint"&amp;"enance_Main_Station_VCM _ myt_bonemyat.naing1 : 06/05/2026 11:13 : 174.5 _ Close Solar M: TNI0013 MYT_Maintenacne_Solar _ myt_bonemyat.naing1 : 04/05/2026 10:55 : 342.85 _ Close Solar Power:  Maintenance DG:  +  +  + MW Link: ")</f>
        <v>Fortune Telecom Company Limited : tni_dia_limitedftc15 1000 Km  + Mytel Tanintharyi Branch : tni_dia_brancht 1000 Km TNI0013 MYT_Routine_Maintenance_Main_Station MYT_RTE_MTE_MAIN_STN _ myt_phyoko.ko44 : 29/06/2026 09:39 : 577.45 _ Close + TNI0013 MYT_Routine_Maintenance_Main_Station_VCM _ myt_bonemyat.naing1 : 30/12/1899 00:00 : 247.05 _ FT Inprocessing + TNI0013 MYT_Routine_Maintenance_Main_Station_VCM - MYT_Maintenacne_Solar _ myt_bonemyat.naing1 : 30/12/1899 00:00 :  _ Close + TNI0013 MYT_Routine_Maintenance_Main_Station_VCM _ myt_bonemyat.naing1 : 06/05/2026 11:13 : 174.5 _ Close Solar M: TNI0013 MYT_Maintenacne_Solar _ myt_bonemyat.naing1 : 04/05/2026 10:55 : 342.85 _ Close Solar Power:  Maintenance DG:  +  +  + MW Link: </v>
      </c>
    </row>
    <row r="15">
      <c r="A15" s="98" t="str">
        <f>IFERROR(__xludf.DUMMYFUNCTION("""COMPUTED_VALUE"""),"TNI0015")</f>
        <v>TNI0015</v>
      </c>
      <c r="B15" s="98" t="str">
        <f>IFERROR(__xludf.DUMMYFUNCTION("""COMPUTED_VALUE"""),"TNI0015: Bokpyin_Mytel_A_MYT_TNI_TEAM04_Tin Maung Win")</f>
        <v>TNI0015: Bokpyin_Mytel_A_MYT_TNI_TEAM04_Tin Maung Win</v>
      </c>
      <c r="C15" s="98" t="str">
        <f>IFERROR(__xludf.DUMMYFUNCTION("""COMPUTED_VALUE"""),"TNI0009-TNI0015_Bokpyin_48 FO : 71.5_Si Thu Htun + TNI0015-TNIM023_Bokpyin_24 FO : 2.05_Khant Si Thu + TNI0015-TNIM022_Bokpyin_24 FO : 1.71_Khant Si Thu + TNI0015-TNI0012_Kawthaung_48 FO : 78.81_Tin Naing Lin")</f>
        <v>TNI0009-TNI0015_Bokpyin_48 FO : 71.5_Si Thu Htun + TNI0015-TNIM023_Bokpyin_24 FO : 2.05_Khant Si Thu + TNI0015-TNIM022_Bokpyin_24 FO : 1.71_Khant Si Thu + TNI0015-TNI0012_Kawthaung_48 FO : 78.81_Tin Naing Lin</v>
      </c>
      <c r="D15" s="98" t="str">
        <f>IFERROR(__xludf.DUMMYFUNCTION("""COMPUTED_VALUE"""),"")</f>
        <v/>
      </c>
      <c r="E15" s="98" t="str">
        <f>IFERROR(__xludf.DUMMYFUNCTION("""COMPUTED_VALUE"""),"TNI0015 MYT_Routine_Maintenance_Main_Station MYT_RTE_MTE_MAIN_STN _ myt_tinmaung.win : 30/12/1899 00:00 : 502.17 _ FT assigned + TNI0015 MYT_Routine_Maintenance_Main_Station_VCM _ myt_tinmaung.win : 30/12/1899 00:00 : 247.05 _ FT assigned + TNI0015 MYT_Ro"&amp;"utine_Maintenance_Main_Station_VCM - MYT_Maintenacne_Solar _ myt_tinmaung.win : 30/12/1899 00:00 :  _ Close + TNI0015 MYT_Routine_Maintenance_Main_Station_VCM _ myt_tinmaung.win : 22/04/2026 13:14 : 351.3 _ Close Solar M: TNI0015 MYT_Maintenacne_Solar _ m"&amp;"yt_tinmaung.win : 22/04/2026 13:13 : 495.3 _ Close Solar Power:  Maintenance DG:  +  +  + MW Link: ")</f>
        <v>TNI0015 MYT_Routine_Maintenance_Main_Station MYT_RTE_MTE_MAIN_STN _ myt_tinmaung.win : 30/12/1899 00:00 : 502.17 _ FT assigned + TNI0015 MYT_Routine_Maintenance_Main_Station_VCM _ myt_tinmaung.win : 30/12/1899 00:00 : 247.05 _ FT assigned + TNI0015 MYT_Routine_Maintenance_Main_Station_VCM - MYT_Maintenacne_Solar _ myt_tinmaung.win : 30/12/1899 00:00 :  _ Close + TNI0015 MYT_Routine_Maintenance_Main_Station_VCM _ myt_tinmaung.win : 22/04/2026 13:14 : 351.3 _ Close Solar M: TNI0015 MYT_Maintenacne_Solar _ myt_tinmaung.win : 22/04/2026 13:13 : 495.3 _ Close Solar Power:  Maintenance DG:  +  +  + MW Link: </v>
      </c>
    </row>
    <row r="16">
      <c r="A16" s="98" t="str">
        <f>IFERROR(__xludf.DUMMYFUNCTION("""COMPUTED_VALUE"""),"TNI0016")</f>
        <v>TNI0016</v>
      </c>
      <c r="B16" s="98" t="str">
        <f>IFERROR(__xludf.DUMMYFUNCTION("""COMPUTED_VALUE"""),"TNI0016: Kawthoung_OCK_C_MYT_TNI_TEAM04_Tin Maung Win")</f>
        <v>TNI0016: Kawthoung_OCK_C_MYT_TNI_TEAM04_Tin Maung Win</v>
      </c>
      <c r="C16" s="98" t="str">
        <f>IFERROR(__xludf.DUMMYFUNCTION("""COMPUTED_VALUE"""),"TNI0011-TNI0016_Kawthaung_24 FO : 1.17_Tin Maung Win + TNI0016-TNI0235_Kawthaung_24 FO : 1.92_Khant Chaw Nyo")</f>
        <v>TNI0011-TNI0016_Kawthaung_24 FO : 1.17_Tin Maung Win + TNI0016-TNI0235_Kawthaung_24 FO : 1.92_Khant Chaw Nyo</v>
      </c>
      <c r="D16" s="98" t="str">
        <f>IFERROR(__xludf.DUMMYFUNCTION("""COMPUTED_VALUE"""),"")</f>
        <v/>
      </c>
      <c r="E16" s="98" t="str">
        <f>IFERROR(__xludf.DUMMYFUNCTION("""COMPUTED_VALUE""")," Solar M:  Solar Power:  Maintenance DG:  +  +  + MW Link: ")</f>
        <v> Solar M:  Solar Power:  Maintenance DG:  +  +  + MW Link: </v>
      </c>
    </row>
    <row r="17">
      <c r="A17" s="263" t="str">
        <f>IFERROR(__xludf.DUMMYFUNCTION("""COMPUTED_VALUE"""),"TNI0017")</f>
        <v>TNI0017</v>
      </c>
      <c r="B17" s="98" t="str">
        <f>IFERROR(__xludf.DUMMYFUNCTION("""COMPUTED_VALUE"""),"TNI0017: Kawthoung_MIG_C_MYT_TNI_TEAM04_Khant Chaw Nyo")</f>
        <v>TNI0017: Kawthoung_MIG_C_MYT_TNI_TEAM04_Khant Chaw Nyo</v>
      </c>
      <c r="C17" s="98" t="str">
        <f>IFERROR(__xludf.DUMMYFUNCTION("""COMPUTED_VALUE"""),"TNI0017-TNI0229_Kawthaung_24 FO : 1.77_Khant Chaw Nyo + TNI0017-TNI0259_Kawthaung_24 FO : 1.35_Khant Chaw Nyo + TNI0017-JB(TNI0017-TNI0229)_Kawthoung_24 FO : 1.1_Khant Chaw Nyo")</f>
        <v>TNI0017-TNI0229_Kawthaung_24 FO : 1.77_Khant Chaw Nyo + TNI0017-TNI0259_Kawthaung_24 FO : 1.35_Khant Chaw Nyo + TNI0017-JB(TNI0017-TNI0229)_Kawthoung_24 FO : 1.1_Khant Chaw Nyo</v>
      </c>
      <c r="D17" s="98" t="str">
        <f>IFERROR(__xludf.DUMMYFUNCTION("""COMPUTED_VALUE"""),"")</f>
        <v/>
      </c>
      <c r="E17" s="98" t="str">
        <f>IFERROR(__xludf.DUMMYFUNCTION("""COMPUTED_VALUE""")," Solar M:  Solar Power:  Maintenance DG:  +  +  + MW Link: ")</f>
        <v> Solar M:  Solar Power:  Maintenance DG:  +  +  + MW Link: </v>
      </c>
    </row>
    <row r="18">
      <c r="A18" s="98" t="str">
        <f>IFERROR(__xludf.DUMMYFUNCTION("""COMPUTED_VALUE"""),"TNI0018")</f>
        <v>TNI0018</v>
      </c>
      <c r="B18" s="98" t="str">
        <f>IFERROR(__xludf.DUMMYFUNCTION("""COMPUTED_VALUE"""),"TNI0018: Launglon_PAT_B_MYT_TNI_TEAM01_Aung Lwin Phyo")</f>
        <v>TNI0018: Launglon_PAT_B_MYT_TNI_TEAM01_Aung Lwin Phyo</v>
      </c>
      <c r="C18" s="98" t="str">
        <f>IFERROR(__xludf.DUMMYFUNCTION("""COMPUTED_VALUE"""),"TNI0018-TNI0216_LaungLon_48 FO : 5.31_Win Htet Aung + TNI0018-TNI0018_01_LaungLon_48 FO : 4.5_Win Htet Aung + TNI0018-TNI0207_Dawei_24 FO : 3_Win Htet Aung + TNI0018-TNI0055_Dawei_24 FO : 2_Win Htet Aung")</f>
        <v>TNI0018-TNI0216_LaungLon_48 FO : 5.31_Win Htet Aung + TNI0018-TNI0018_01_LaungLon_48 FO : 4.5_Win Htet Aung + TNI0018-TNI0207_Dawei_24 FO : 3_Win Htet Aung + TNI0018-TNI0055_Dawei_24 FO : 2_Win Htet Aung</v>
      </c>
      <c r="D18" s="98" t="str">
        <f>IFERROR(__xludf.DUMMYFUNCTION("""COMPUTED_VALUE"""),"+ OLT: Aung Lwin Phyo")</f>
        <v>+ OLT: Aung Lwin Phyo</v>
      </c>
      <c r="E18" s="98" t="str">
        <f>IFERROR(__xludf.DUMMYFUNCTION("""COMPUTED_VALUE"""),"TNI0018 MYT_Routine_Maintenance_Mytel_Station_VCM _ myt_aunglwin.phyo : 31/05/2026 06:32 : -154.08 _ Close Solar M:  Solar Power:  Maintenance DG:  +  +  + MW Link: ")</f>
        <v>TNI0018 MYT_Routine_Maintenance_Mytel_Station_VCM _ myt_aunglwin.phyo : 31/05/2026 06:32 : -154.08 _ Close Solar M:  Solar Power:  Maintenance DG:  +  +  + MW Link: </v>
      </c>
    </row>
    <row r="19">
      <c r="A19" s="98" t="str">
        <f>IFERROR(__xludf.DUMMYFUNCTION("""COMPUTED_VALUE"""),"TNI0018_01")</f>
        <v>TNI0018_01</v>
      </c>
      <c r="B19" s="98" t="str">
        <f>IFERROR(__xludf.DUMMYFUNCTION("""COMPUTED_VALUE"""),"TNI0018_01: Launglon_Mytel_C_MYT_TNI_TEAM01_Bhone Htet Aung")</f>
        <v>TNI0018_01: Launglon_Mytel_C_MYT_TNI_TEAM01_Bhone Htet Aung</v>
      </c>
      <c r="C19" s="98" t="str">
        <f>IFERROR(__xludf.DUMMYFUNCTION("""COMPUTED_VALUE"""),"TNI0018-TNI0018_01_LaungLon_48 FO : 4.5_Win Htet Aung")</f>
        <v>TNI0018-TNI0018_01_LaungLon_48 FO : 4.5_Win Htet Aung</v>
      </c>
      <c r="D19" s="98" t="str">
        <f>IFERROR(__xludf.DUMMYFUNCTION("""COMPUTED_VALUE"""),"")</f>
        <v/>
      </c>
      <c r="E19" s="98" t="str">
        <f>IFERROR(__xludf.DUMMYFUNCTION("""COMPUTED_VALUE""")," Solar M:  Solar Power:  Maintenance DG:  +  +  + MW Link: ")</f>
        <v> Solar M:  Solar Power:  Maintenance DG:  +  +  + MW Link: </v>
      </c>
    </row>
    <row r="20">
      <c r="A20" s="98" t="str">
        <f>IFERROR(__xludf.DUMMYFUNCTION("""COMPUTED_VALUE"""),"TNI0019")</f>
        <v>TNI0019</v>
      </c>
      <c r="B20" s="98" t="str">
        <f>IFERROR(__xludf.DUMMYFUNCTION("""COMPUTED_VALUE"""),"TNI0019: Thayetchaung_PAT_B_MYT_TNI_TEAM01_Win Htet Aung")</f>
        <v>TNI0019: Thayetchaung_PAT_B_MYT_TNI_TEAM01_Win Htet Aung</v>
      </c>
      <c r="C20" s="98" t="str">
        <f>IFERROR(__xludf.DUMMYFUNCTION("""COMPUTED_VALUE"""),"TNI0019-TNIM024_Thayetchaung_24 FO : 2.66_Bhone Htet Aung")</f>
        <v>TNI0019-TNIM024_Thayetchaung_24 FO : 2.66_Bhone Htet Aung</v>
      </c>
      <c r="D20" s="98" t="str">
        <f>IFERROR(__xludf.DUMMYFUNCTION("""COMPUTED_VALUE"""),"+ OLT: Win Htet Aung")</f>
        <v>+ OLT: Win Htet Aung</v>
      </c>
      <c r="E20" s="98" t="str">
        <f>IFERROR(__xludf.DUMMYFUNCTION("""COMPUTED_VALUE"""),"TNI0019 MYT_Routine_Maintenance_Mytel_Station_VCM _ myt_phyoko.ko44 : 30/12/1899 00:00 : 223.05 _ FT Inprocessing + TNI0019 MYT_Routine_Maintenance_Mytel_Station_VCM _ myt_phyoko.ko44 : 13/05/2026 10:42 : -80.88 _ Close Solar M:  Solar Power:  Maintenance"&amp;" DG:  +  +  + MW Link: ")</f>
        <v>TNI0019 MYT_Routine_Maintenance_Mytel_Station_VCM _ myt_phyoko.ko44 : 30/12/1899 00:00 : 223.05 _ FT Inprocessing + TNI0019 MYT_Routine_Maintenance_Mytel_Station_VCM _ myt_phyoko.ko44 : 13/05/2026 10:42 : -80.88 _ Close Solar M:  Solar Power:  Maintenance DG:  +  +  + MW Link: </v>
      </c>
    </row>
    <row r="21">
      <c r="A21" s="98" t="str">
        <f>IFERROR(__xludf.DUMMYFUNCTION("""COMPUTED_VALUE"""),"TNI0020")</f>
        <v>TNI0020</v>
      </c>
      <c r="B21" s="98" t="str">
        <f>IFERROR(__xludf.DUMMYFUNCTION("""COMPUTED_VALUE"""),"TNI0020: Myeik_PAT_B_MYT_TNI_TEAM02_Ye Lin")</f>
        <v>TNI0020: Myeik_PAT_B_MYT_TNI_TEAM02_Ye Lin</v>
      </c>
      <c r="C21" s="98" t="str">
        <f>IFERROR(__xludf.DUMMYFUNCTION("""COMPUTED_VALUE"""),"TNI0020-TNI0025_Myeik_24 FO : 1.63_Wanna Oo + TNI0020-TNI0047_Myeik_24 FO : 2.06_Wanna Oo")</f>
        <v>TNI0020-TNI0025_Myeik_24 FO : 1.63_Wanna Oo + TNI0020-TNI0047_Myeik_24 FO : 2.06_Wanna Oo</v>
      </c>
      <c r="D21" s="98" t="str">
        <f>IFERROR(__xludf.DUMMYFUNCTION("""COMPUTED_VALUE"""),"+ OLT: Ye Lin")</f>
        <v>+ OLT: Ye Lin</v>
      </c>
      <c r="E21" s="98" t="str">
        <f>IFERROR(__xludf.DUMMYFUNCTION("""COMPUTED_VALUE"""),"Fortune Telecom Company Limited : tni_dia_limitedftc30 600 Km TNI0020 MYT_Routine_Maintenance_Mytel_Station_VCM _ myt_maung.maung11 : 03/06/2026 15:40 : 903.06 _ Close + TNI0020 MYT_Routine_Maintenance_Mytel_Station_VCM _ myt_pyikyaw.aung : 01/04/2026 16:"&amp;"15 : 969.09 _ Close Solar M:  Solar Power:  Maintenance DG:  +  +  + MW Link: ")</f>
        <v>Fortune Telecom Company Limited : tni_dia_limitedftc30 600 Km TNI0020 MYT_Routine_Maintenance_Mytel_Station_VCM _ myt_maung.maung11 : 03/06/2026 15:40 : 903.06 _ Close + TNI0020 MYT_Routine_Maintenance_Mytel_Station_VCM _ myt_pyikyaw.aung : 01/04/2026 16:15 : 969.09 _ Close Solar M:  Solar Power:  Maintenance DG:  +  +  + MW Link: </v>
      </c>
    </row>
    <row r="22">
      <c r="A22" s="98" t="str">
        <f>IFERROR(__xludf.DUMMYFUNCTION("""COMPUTED_VALUE"""),"TNI0021")</f>
        <v>TNI0021</v>
      </c>
      <c r="B22" s="98" t="str">
        <f>IFERROR(__xludf.DUMMYFUNCTION("""COMPUTED_VALUE"""),"TNI0021: Myeik_PAT_B_MYT_TNI_TEAM02_Zin Min Shein")</f>
        <v>TNI0021: Myeik_PAT_B_MYT_TNI_TEAM02_Zin Min Shein</v>
      </c>
      <c r="C22" s="98" t="str">
        <f>IFERROR(__xludf.DUMMYFUNCTION("""COMPUTED_VALUE"""),"TNI0021-TNI0240_Myeik_24 FO : 1.32_Wanna Oo + TNI0021-TNI0242_Myeik_24 FO : 1.98_Wanna Oo")</f>
        <v>TNI0021-TNI0240_Myeik_24 FO : 1.32_Wanna Oo + TNI0021-TNI0242_Myeik_24 FO : 1.98_Wanna Oo</v>
      </c>
      <c r="D22" s="98" t="str">
        <f>IFERROR(__xludf.DUMMYFUNCTION("""COMPUTED_VALUE"""),"")</f>
        <v/>
      </c>
      <c r="E22" s="98" t="str">
        <f>IFERROR(__xludf.DUMMYFUNCTION("""COMPUTED_VALUE"""),"Fortune Telecom Company Limited : tni_dia_limitedftc37 800 Km  + PELAGO Supermarket : tni_dia_pelago_super 1500 Km TNI0021 MYT_Routine_Maintenance_Mytel_Station_VCM _ myt_zinmin.shein : 02/06/2026 12:05 : 944.6 _ Close + TNI0021 MYT_Routine_Maintenance_My"&amp;"tel_Station_VCM _ myt_maung.maung11 : 08/04/2026 15:33 : 800.05 _ Close Solar M:  Solar Power:  Maintenance DG:  +  +  + MW Link: ")</f>
        <v>Fortune Telecom Company Limited : tni_dia_limitedftc37 800 Km  + PELAGO Supermarket : tni_dia_pelago_super 1500 Km TNI0021 MYT_Routine_Maintenance_Mytel_Station_VCM _ myt_zinmin.shein : 02/06/2026 12:05 : 944.6 _ Close + TNI0021 MYT_Routine_Maintenance_Mytel_Station_VCM _ myt_maung.maung11 : 08/04/2026 15:33 : 800.05 _ Close Solar M:  Solar Power:  Maintenance DG:  +  +  + MW Link: </v>
      </c>
    </row>
    <row r="23">
      <c r="A23" s="98" t="str">
        <f>IFERROR(__xludf.DUMMYFUNCTION("""COMPUTED_VALUE"""),"TNI0022")</f>
        <v>TNI0022</v>
      </c>
      <c r="B23" s="98" t="str">
        <f>IFERROR(__xludf.DUMMYFUNCTION("""COMPUTED_VALUE"""),"TNI0022: Kawthoung_PAT_C_MYT_TNI_TEAM04_Khant Chaw Nyo")</f>
        <v>TNI0022: Kawthoung_PAT_C_MYT_TNI_TEAM04_Khant Chaw Nyo</v>
      </c>
      <c r="C23" s="98" t="str">
        <f>IFERROR(__xludf.DUMMYFUNCTION("""COMPUTED_VALUE"""),"TNI0022-TNI0233_Kawthoung_24 FO : 3_Aung Myint Myat")</f>
        <v>TNI0022-TNI0233_Kawthoung_24 FO : 3_Aung Myint Myat</v>
      </c>
      <c r="D23" s="98" t="str">
        <f>IFERROR(__xludf.DUMMYFUNCTION("""COMPUTED_VALUE"""),"+ OLT: Khant Chaw Nyo")</f>
        <v>+ OLT: Khant Chaw Nyo</v>
      </c>
      <c r="E23" s="98" t="str">
        <f>IFERROR(__xludf.DUMMYFUNCTION("""COMPUTED_VALUE""")," Solar M:  Solar Power:  Maintenance DG:  +  +  + MW Link: ")</f>
        <v> Solar M:  Solar Power:  Maintenance DG:  +  +  + MW Link: </v>
      </c>
    </row>
    <row r="24">
      <c r="A24" s="98" t="str">
        <f>IFERROR(__xludf.DUMMYFUNCTION("""COMPUTED_VALUE"""),"TNI0023")</f>
        <v>TNI0023</v>
      </c>
      <c r="B24" s="98" t="str">
        <f>IFERROR(__xludf.DUMMYFUNCTION("""COMPUTED_VALUE"""),"TNI0023: Kyunsu_Edotco_B_MYT_TNI_TEAM02_Wanna Oo")</f>
        <v>TNI0023: Kyunsu_Edotco_B_MYT_TNI_TEAM02_Wanna Oo</v>
      </c>
      <c r="C24" s="98" t="str">
        <f>IFERROR(__xludf.DUMMYFUNCTION("""COMPUTED_VALUE"""),"")</f>
        <v/>
      </c>
      <c r="D24" s="98" t="str">
        <f>IFERROR(__xludf.DUMMYFUNCTION("""COMPUTED_VALUE"""),"")</f>
        <v/>
      </c>
      <c r="E24" s="98" t="str">
        <f>IFERROR(__xludf.DUMMYFUNCTION("""COMPUTED_VALUE""")," Solar M:  Solar Power:  Maintenance DG:  +  +  + MW Link: TNI0023-TNI0266")</f>
        <v> Solar M:  Solar Power:  Maintenance DG:  +  +  + MW Link: TNI0023-TNI0266</v>
      </c>
    </row>
    <row r="25">
      <c r="A25" s="98" t="str">
        <f>IFERROR(__xludf.DUMMYFUNCTION("""COMPUTED_VALUE"""),"TNI0024")</f>
        <v>TNI0024</v>
      </c>
      <c r="B25" s="98" t="str">
        <f>IFERROR(__xludf.DUMMYFUNCTION("""COMPUTED_VALUE"""),"TNI0024: Myeik_Edotco_B_MYT_TNI_TEAM02_Maung Maung")</f>
        <v>TNI0024: Myeik_Edotco_B_MYT_TNI_TEAM02_Maung Maung</v>
      </c>
      <c r="C25" s="98" t="str">
        <f>IFERROR(__xludf.DUMMYFUNCTION("""COMPUTED_VALUE"""),"TNI0024-TNI0241_Myeik_24 FO : 1.5_Ye Lin + TNI0024-TNI0258_Myeik_24 FO : 0.9_Ye Lin + TNI0024-TNI0267_Myeik_24 FO : 1.17_Ye Lin")</f>
        <v>TNI0024-TNI0241_Myeik_24 FO : 1.5_Ye Lin + TNI0024-TNI0258_Myeik_24 FO : 0.9_Ye Lin + TNI0024-TNI0267_Myeik_24 FO : 1.17_Ye Lin</v>
      </c>
      <c r="D25" s="98" t="str">
        <f>IFERROR(__xludf.DUMMYFUNCTION("""COMPUTED_VALUE"""),"")</f>
        <v/>
      </c>
      <c r="E25" s="98" t="str">
        <f>IFERROR(__xludf.DUMMYFUNCTION("""COMPUTED_VALUE""")," Solar M:  Solar Power:  Maintenance DG:  +  +  + MW Link: ")</f>
        <v> Solar M:  Solar Power:  Maintenance DG:  +  +  + MW Link: </v>
      </c>
    </row>
    <row r="26">
      <c r="A26" s="98" t="str">
        <f>IFERROR(__xludf.DUMMYFUNCTION("""COMPUTED_VALUE"""),"TNI0025")</f>
        <v>TNI0025</v>
      </c>
      <c r="B26" s="98" t="str">
        <f>IFERROR(__xludf.DUMMYFUNCTION("""COMPUTED_VALUE"""),"TNI0025: Myeik_Edotco_B_MYT_TNI_TEAM02_Maung Maung")</f>
        <v>TNI0025: Myeik_Edotco_B_MYT_TNI_TEAM02_Maung Maung</v>
      </c>
      <c r="C26" s="98" t="str">
        <f>IFERROR(__xludf.DUMMYFUNCTION("""COMPUTED_VALUE"""),"TNI0020-TNI0025_Myeik_24 FO : 1.63_Wanna Oo + TNI0025-TNI0081_Myeik_24 FO : 1.07_Ye Lin + TNI0025-TNI0258_Myeik_24 FO : 1.11_Zin Min Shein + TNI0025-TNI0269_Myeik_24 FO : 0.67_Zin Min Shein")</f>
        <v>TNI0020-TNI0025_Myeik_24 FO : 1.63_Wanna Oo + TNI0025-TNI0081_Myeik_24 FO : 1.07_Ye Lin + TNI0025-TNI0258_Myeik_24 FO : 1.11_Zin Min Shein + TNI0025-TNI0269_Myeik_24 FO : 0.67_Zin Min Shein</v>
      </c>
      <c r="D26" s="98" t="str">
        <f>IFERROR(__xludf.DUMMYFUNCTION("""COMPUTED_VALUE"""),"+ OLT: Maung Maung")</f>
        <v>+ OLT: Maung Maung</v>
      </c>
      <c r="E26" s="98" t="str">
        <f>IFERROR(__xludf.DUMMYFUNCTION("""COMPUTED_VALUE""")," Solar M:  Solar Power:  Maintenance DG:  +  +  + MW Link: ")</f>
        <v> Solar M:  Solar Power:  Maintenance DG:  +  +  + MW Link: </v>
      </c>
    </row>
    <row r="27">
      <c r="A27" s="98" t="str">
        <f>IFERROR(__xludf.DUMMYFUNCTION("""COMPUTED_VALUE"""),"TNI0026")</f>
        <v>TNI0026</v>
      </c>
      <c r="B27" s="98" t="str">
        <f>IFERROR(__xludf.DUMMYFUNCTION("""COMPUTED_VALUE"""),"TNI0026: Kyunsu_Edotco_B_MYT_TNI_TEAM02_Maung Maung")</f>
        <v>TNI0026: Kyunsu_Edotco_B_MYT_TNI_TEAM02_Maung Maung</v>
      </c>
      <c r="C27" s="98" t="str">
        <f>IFERROR(__xludf.DUMMYFUNCTION("""COMPUTED_VALUE"""),"")</f>
        <v/>
      </c>
      <c r="D27" s="98" t="str">
        <f>IFERROR(__xludf.DUMMYFUNCTION("""COMPUTED_VALUE"""),"")</f>
        <v/>
      </c>
      <c r="E27" s="98" t="str">
        <f>IFERROR(__xludf.DUMMYFUNCTION("""COMPUTED_VALUE""")," Solar M:  Solar Power:  Maintenance DG:  +  +  + MW Link: TNI0026-TNI0030")</f>
        <v> Solar M:  Solar Power:  Maintenance DG:  +  +  + MW Link: TNI0026-TNI0030</v>
      </c>
    </row>
    <row r="28">
      <c r="A28" s="98" t="str">
        <f>IFERROR(__xludf.DUMMYFUNCTION("""COMPUTED_VALUE"""),"TNI0027")</f>
        <v>TNI0027</v>
      </c>
      <c r="B28" s="98" t="str">
        <f>IFERROR(__xludf.DUMMYFUNCTION("""COMPUTED_VALUE"""),"TNI0027: Myeik_Edotco_B_MYT_TNI_TEAM02_Pyi Kyaw Aung")</f>
        <v>TNI0027: Myeik_Edotco_B_MYT_TNI_TEAM02_Pyi Kyaw Aung</v>
      </c>
      <c r="C28" s="98" t="str">
        <f>IFERROR(__xludf.DUMMYFUNCTION("""COMPUTED_VALUE"""),"TNI0027-TNI0042_Myeik_24 FO : 1.38_Zin Min Shein + TNI0027-TNI0248_Myeik_24 FO : 1.32_Zin Min Shein")</f>
        <v>TNI0027-TNI0042_Myeik_24 FO : 1.38_Zin Min Shein + TNI0027-TNI0248_Myeik_24 FO : 1.32_Zin Min Shein</v>
      </c>
      <c r="D28" s="98" t="str">
        <f>IFERROR(__xludf.DUMMYFUNCTION("""COMPUTED_VALUE"""),"")</f>
        <v/>
      </c>
      <c r="E28" s="98" t="str">
        <f>IFERROR(__xludf.DUMMYFUNCTION("""COMPUTED_VALUE""")," Solar M:  Solar Power:  Maintenance DG:  +  +  + MW Link: ")</f>
        <v> Solar M:  Solar Power:  Maintenance DG:  +  +  + MW Link: </v>
      </c>
    </row>
    <row r="29">
      <c r="A29" s="98" t="str">
        <f>IFERROR(__xludf.DUMMYFUNCTION("""COMPUTED_VALUE"""),"TNI0028")</f>
        <v>TNI0028</v>
      </c>
      <c r="B29" s="98" t="str">
        <f>IFERROR(__xludf.DUMMYFUNCTION("""COMPUTED_VALUE"""),"TNI0028: Myeik_Apollo_C_MYT_TNI_TEAM02_Pyi Kyaw Aung")</f>
        <v>TNI0028: Myeik_Apollo_C_MYT_TNI_TEAM02_Pyi Kyaw Aung</v>
      </c>
      <c r="C29" s="98" t="str">
        <f>IFERROR(__xludf.DUMMYFUNCTION("""COMPUTED_VALUE"""),"TNI0003-TNI0028_Myeik_24 FO : 1.53_Zin Min Shein + TNI0028-TNI0044_Myeik_24 FO : 2.43_Wanna Oo")</f>
        <v>TNI0003-TNI0028_Myeik_24 FO : 1.53_Zin Min Shein + TNI0028-TNI0044_Myeik_24 FO : 2.43_Wanna Oo</v>
      </c>
      <c r="D29" s="98" t="str">
        <f>IFERROR(__xludf.DUMMYFUNCTION("""COMPUTED_VALUE"""),"")</f>
        <v/>
      </c>
      <c r="E29" s="98" t="str">
        <f>IFERROR(__xludf.DUMMYFUNCTION("""COMPUTED_VALUE""")," Solar M:  Solar Power:  Maintenance DG:  +  +  + MW Link: ")</f>
        <v> Solar M:  Solar Power:  Maintenance DG:  +  +  + MW Link: </v>
      </c>
    </row>
    <row r="30">
      <c r="A30" s="98" t="str">
        <f>IFERROR(__xludf.DUMMYFUNCTION("""COMPUTED_VALUE"""),"TNI0029")</f>
        <v>TNI0029</v>
      </c>
      <c r="B30" s="98" t="str">
        <f>IFERROR(__xludf.DUMMYFUNCTION("""COMPUTED_VALUE"""),"TNI0029: Myeik_Apollo_C_MYT_TNI_TEAM02_Pyi Kyaw Aung")</f>
        <v>TNI0029: Myeik_Apollo_C_MYT_TNI_TEAM02_Pyi Kyaw Aung</v>
      </c>
      <c r="C30" s="98" t="str">
        <f>IFERROR(__xludf.DUMMYFUNCTION("""COMPUTED_VALUE"""),"TNI0003-TNI0029_Myeik_24 FO : 2.15_Maung Maung + TNI0029-TNI0042_Myeik_24 FO : 2.13_Wanna Oo")</f>
        <v>TNI0003-TNI0029_Myeik_24 FO : 2.15_Maung Maung + TNI0029-TNI0042_Myeik_24 FO : 2.13_Wanna Oo</v>
      </c>
      <c r="D30" s="98" t="str">
        <f>IFERROR(__xludf.DUMMYFUNCTION("""COMPUTED_VALUE"""),"")</f>
        <v/>
      </c>
      <c r="E30" s="98" t="str">
        <f>IFERROR(__xludf.DUMMYFUNCTION("""COMPUTED_VALUE""")," Solar M:  Solar Power:  Maintenance DG:  +  +  + MW Link: ")</f>
        <v> Solar M:  Solar Power:  Maintenance DG:  +  +  + MW Link: </v>
      </c>
    </row>
    <row r="31">
      <c r="A31" s="98" t="str">
        <f>IFERROR(__xludf.DUMMYFUNCTION("""COMPUTED_VALUE"""),"TNI0030")</f>
        <v>TNI0030</v>
      </c>
      <c r="B31" s="98" t="str">
        <f>IFERROR(__xludf.DUMMYFUNCTION("""COMPUTED_VALUE"""),"TNI0030: Myeik_Apollo_B_MYT_TNI_TEAM02_Wanna Oo")</f>
        <v>TNI0030: Myeik_Apollo_B_MYT_TNI_TEAM02_Wanna Oo</v>
      </c>
      <c r="C31" s="98" t="str">
        <f>IFERROR(__xludf.DUMMYFUNCTION("""COMPUTED_VALUE"""),"TNI0030-TNI0076_Myeik_24 FO : 2.01_Pyi Kyaw Aung + TNI0030-TNI0242_Myeik_24 FO : 1.59_Ye Lin")</f>
        <v>TNI0030-TNI0076_Myeik_24 FO : 2.01_Pyi Kyaw Aung + TNI0030-TNI0242_Myeik_24 FO : 1.59_Ye Lin</v>
      </c>
      <c r="D31" s="98" t="str">
        <f>IFERROR(__xludf.DUMMYFUNCTION("""COMPUTED_VALUE"""),"")</f>
        <v/>
      </c>
      <c r="E31" s="98" t="str">
        <f>IFERROR(__xludf.DUMMYFUNCTION("""COMPUTED_VALUE""")," Solar M:  Solar Power:  Maintenance DG:  +  +  + MW Link: ")</f>
        <v> Solar M:  Solar Power:  Maintenance DG:  +  +  + MW Link: </v>
      </c>
    </row>
    <row r="32">
      <c r="A32" s="98" t="str">
        <f>IFERROR(__xludf.DUMMYFUNCTION("""COMPUTED_VALUE"""),"TNI0031")</f>
        <v>TNI0031</v>
      </c>
      <c r="B32" s="98" t="str">
        <f>IFERROR(__xludf.DUMMYFUNCTION("""COMPUTED_VALUE"""),"TNI0031: Launglon_Mytel_B_MYT_TNI_TEAM01_Bone Myat Naing")</f>
        <v>TNI0031: Launglon_Mytel_B_MYT_TNI_TEAM01_Bone Myat Naing</v>
      </c>
      <c r="C32" s="98" t="str">
        <f>IFERROR(__xludf.DUMMYFUNCTION("""COMPUTED_VALUE"""),"TNI0031-TNI0333_LaungLon_48 FO : 6.66_Thar Htoo Aung")</f>
        <v>TNI0031-TNI0333_LaungLon_48 FO : 6.66_Thar Htoo Aung</v>
      </c>
      <c r="D32" s="98" t="str">
        <f>IFERROR(__xludf.DUMMYFUNCTION("""COMPUTED_VALUE"""),"+ OLT: Bone Myat Naing")</f>
        <v>+ OLT: Bone Myat Naing</v>
      </c>
      <c r="E32" s="98" t="str">
        <f>IFERROR(__xludf.DUMMYFUNCTION("""COMPUTED_VALUE""")," Solar M:  Solar Power:  Maintenance DG:  +  +  + MW Link: TNI0031-TNI0306")</f>
        <v> Solar M:  Solar Power:  Maintenance DG:  +  +  + MW Link: TNI0031-TNI0306</v>
      </c>
    </row>
    <row r="33">
      <c r="A33" s="98" t="str">
        <f>IFERROR(__xludf.DUMMYFUNCTION("""COMPUTED_VALUE"""),"TNI0032")</f>
        <v>TNI0032</v>
      </c>
      <c r="B33" s="98" t="str">
        <f>IFERROR(__xludf.DUMMYFUNCTION("""COMPUTED_VALUE"""),"TNI0032: Kawthoung_Apollo_C_MYT_TNI_TEAM04_Khant Chaw Nyo")</f>
        <v>TNI0032: Kawthoung_Apollo_C_MYT_TNI_TEAM04_Khant Chaw Nyo</v>
      </c>
      <c r="C33" s="98" t="str">
        <f>IFERROR(__xludf.DUMMYFUNCTION("""COMPUTED_VALUE"""),"TNI0032-TNI0259_Kawthaung_24 FO : 3.98_Khant Chaw Nyo + TNI0032-TNI0233_Kawthaung_24 FO : 3.47_Tin Maung Win")</f>
        <v>TNI0032-TNI0259_Kawthaung_24 FO : 3.98_Khant Chaw Nyo + TNI0032-TNI0233_Kawthaung_24 FO : 3.47_Tin Maung Win</v>
      </c>
      <c r="D33" s="98" t="str">
        <f>IFERROR(__xludf.DUMMYFUNCTION("""COMPUTED_VALUE"""),"")</f>
        <v/>
      </c>
      <c r="E33" s="98" t="str">
        <f>IFERROR(__xludf.DUMMYFUNCTION("""COMPUTED_VALUE""")," Solar M:  Solar Power:  Maintenance DG:  +  +  + MW Link: ")</f>
        <v> Solar M:  Solar Power:  Maintenance DG:  +  +  + MW Link: </v>
      </c>
    </row>
    <row r="34">
      <c r="A34" s="98" t="str">
        <f>IFERROR(__xludf.DUMMYFUNCTION("""COMPUTED_VALUE"""),"TNI0033")</f>
        <v>TNI0033</v>
      </c>
      <c r="B34" s="98" t="str">
        <f>IFERROR(__xludf.DUMMYFUNCTION("""COMPUTED_VALUE"""),"TNI0033: Palaw_IGT_C_MYT_TNI_TEAM02_Min Paing Oo")</f>
        <v>TNI0033: Palaw_IGT_C_MYT_TNI_TEAM02_Min Paing Oo</v>
      </c>
      <c r="C34" s="98" t="str">
        <f>IFERROR(__xludf.DUMMYFUNCTION("""COMPUTED_VALUE"""),"TNI0033-TNI0075_Palaw_24 FO : 3.8_Min Paing Oo")</f>
        <v>TNI0033-TNI0075_Palaw_24 FO : 3.8_Min Paing Oo</v>
      </c>
      <c r="D34" s="98" t="str">
        <f>IFERROR(__xludf.DUMMYFUNCTION("""COMPUTED_VALUE"""),"")</f>
        <v/>
      </c>
      <c r="E34" s="98" t="str">
        <f>IFERROR(__xludf.DUMMYFUNCTION("""COMPUTED_VALUE""")," Solar M:  Solar Power:  Maintenance DG:  +  +  + MW Link: TNI0033-TNI0075")</f>
        <v> Solar M:  Solar Power:  Maintenance DG:  +  +  + MW Link: TNI0033-TNI0075</v>
      </c>
    </row>
    <row r="35">
      <c r="A35" s="98" t="str">
        <f>IFERROR(__xludf.DUMMYFUNCTION("""COMPUTED_VALUE"""),"TNI0034")</f>
        <v>TNI0034</v>
      </c>
      <c r="B35" s="98" t="str">
        <f>IFERROR(__xludf.DUMMYFUNCTION("""COMPUTED_VALUE"""),"TNI0034: Myeik_EFT_C_MYT_TNI_TEAM02_Ye Lin")</f>
        <v>TNI0034: Myeik_EFT_C_MYT_TNI_TEAM02_Ye Lin</v>
      </c>
      <c r="C35" s="98" t="str">
        <f>IFERROR(__xludf.DUMMYFUNCTION("""COMPUTED_VALUE"""),"TNI0034-TNI0252_Myeik_24 FO : 1.99_Wanna Oo + TNI0034-TNI0255_Myeik_24 FO : 1.14_Wanna Oo")</f>
        <v>TNI0034-TNI0252_Myeik_24 FO : 1.99_Wanna Oo + TNI0034-TNI0255_Myeik_24 FO : 1.14_Wanna Oo</v>
      </c>
      <c r="D35" s="98" t="str">
        <f>IFERROR(__xludf.DUMMYFUNCTION("""COMPUTED_VALUE"""),"")</f>
        <v/>
      </c>
      <c r="E35" s="98" t="str">
        <f>IFERROR(__xludf.DUMMYFUNCTION("""COMPUTED_VALUE""")," Solar M:  Solar Power:  Maintenance DG:  +  +  + MW Link: ")</f>
        <v> Solar M:  Solar Power:  Maintenance DG:  +  +  + MW Link: </v>
      </c>
    </row>
    <row r="36">
      <c r="A36" s="98" t="str">
        <f>IFERROR(__xludf.DUMMYFUNCTION("""COMPUTED_VALUE"""),"TNI0035")</f>
        <v>TNI0035</v>
      </c>
      <c r="B36" s="98" t="str">
        <f>IFERROR(__xludf.DUMMYFUNCTION("""COMPUTED_VALUE"""),"TNI0035: Launglon_EFT_C_MYT_TNI_TEAM01_Aung Lwin Phyo")</f>
        <v>TNI0035: Launglon_EFT_C_MYT_TNI_TEAM01_Aung Lwin Phyo</v>
      </c>
      <c r="C36" s="98" t="str">
        <f>IFERROR(__xludf.DUMMYFUNCTION("""COMPUTED_VALUE"""),"TNI0041-TNI0035_LaungLon_24 FO : 2.14_Thar Htoo Aung + TNI0035-TNI0038_LaungLon_48 FO : 6.13_Bone Myat Naing")</f>
        <v>TNI0041-TNI0035_LaungLon_24 FO : 2.14_Thar Htoo Aung + TNI0035-TNI0038_LaungLon_48 FO : 6.13_Bone Myat Naing</v>
      </c>
      <c r="D36" s="98" t="str">
        <f>IFERROR(__xludf.DUMMYFUNCTION("""COMPUTED_VALUE"""),"")</f>
        <v/>
      </c>
      <c r="E36" s="98" t="str">
        <f>IFERROR(__xludf.DUMMYFUNCTION("""COMPUTED_VALUE""")," Solar M:  Solar Power:  Maintenance DG:  +  +  + MW Link: ")</f>
        <v> Solar M:  Solar Power:  Maintenance DG:  +  +  + MW Link: </v>
      </c>
    </row>
    <row r="37">
      <c r="A37" s="98" t="str">
        <f>IFERROR(__xludf.DUMMYFUNCTION("""COMPUTED_VALUE"""),"TNI0036")</f>
        <v>TNI0036</v>
      </c>
      <c r="B37" s="98" t="str">
        <f>IFERROR(__xludf.DUMMYFUNCTION("""COMPUTED_VALUE"""),"TNI0036: Myeik_OCK_C_MYT_TNI_TEAM02_Wanna Oo")</f>
        <v>TNI0036: Myeik_OCK_C_MYT_TNI_TEAM02_Wanna Oo</v>
      </c>
      <c r="C37" s="98" t="str">
        <f>IFERROR(__xludf.DUMMYFUNCTION("""COMPUTED_VALUE"""),"TNI0001-TNI0036_Myeik_24 FO : 1.34_Wanna Oo + TNI0036-TNI0270_Myeik_24 FO : 0.88_Maung Maung + TNI0036-JB(TNI0036-TNI0270)_Myeik_48 FO : 0.58_Maung Maung")</f>
        <v>TNI0001-TNI0036_Myeik_24 FO : 1.34_Wanna Oo + TNI0036-TNI0270_Myeik_24 FO : 0.88_Maung Maung + TNI0036-JB(TNI0036-TNI0270)_Myeik_48 FO : 0.58_Maung Maung</v>
      </c>
      <c r="D37" s="98" t="str">
        <f>IFERROR(__xludf.DUMMYFUNCTION("""COMPUTED_VALUE"""),"")</f>
        <v/>
      </c>
      <c r="E37" s="98" t="str">
        <f>IFERROR(__xludf.DUMMYFUNCTION("""COMPUTED_VALUE""")," Solar M:  Solar Power:  Maintenance DG:  +  +  + MW Link: ")</f>
        <v> Solar M:  Solar Power:  Maintenance DG:  +  +  + MW Link: </v>
      </c>
    </row>
    <row r="38">
      <c r="A38" s="98" t="str">
        <f>IFERROR(__xludf.DUMMYFUNCTION("""COMPUTED_VALUE"""),"TNI0037")</f>
        <v>TNI0037</v>
      </c>
      <c r="B38" s="98" t="str">
        <f>IFERROR(__xludf.DUMMYFUNCTION("""COMPUTED_VALUE"""),"TNI0037: Kawthoung_Mytel_B_MYT_TNI_TEAM04_Aung Myint Myat")</f>
        <v>TNI0037: Kawthoung_Mytel_B_MYT_TNI_TEAM04_Aung Myint Myat</v>
      </c>
      <c r="C38" s="98" t="str">
        <f>IFERROR(__xludf.DUMMYFUNCTION("""COMPUTED_VALUE"""),"TNI0037-TNI0230_Kawthaung_24 FO : 3.02_Khant Chaw Nyo + TNI0037-TNI0254_Kawthaung_24 FO : 2.25_Khant Chaw Nyo")</f>
        <v>TNI0037-TNI0230_Kawthaung_24 FO : 3.02_Khant Chaw Nyo + TNI0037-TNI0254_Kawthaung_24 FO : 2.25_Khant Chaw Nyo</v>
      </c>
      <c r="D38" s="98" t="str">
        <f>IFERROR(__xludf.DUMMYFUNCTION("""COMPUTED_VALUE"""),"")</f>
        <v/>
      </c>
      <c r="E38" s="98" t="str">
        <f>IFERROR(__xludf.DUMMYFUNCTION("""COMPUTED_VALUE"""),"TNI0037 MYT_Routine_Maintenance_Mytel_Station MYT_RTE_MTE_SB_STN _ myt_tinmaung.win : 02/07/2026 13:42 : 886.64 _ FT completed + TNI0037 MYT_Routine_Maintenance_Mytel_Station_VCM _ myt_khantchaw.nyo : 02/06/2026 09:33 : 937.14 _ Close + TNI0037 MYT_Routin"&amp;"e_Maintenance_Mytel_Station_VCM _ myt_khantchaw.nyo : 10/04/2026 12:38 : 679.72 _ Close Solar M: TNI0037 MYT_Maintenacne_Solar _ myt_khantchaw.nyo : 30/12/1899 00:00 :  _ Close + TNI0037 MYT_Maintenacne_Solar _ myt_khantchaw.nyo : 24/04/2026 15:27 : 495.2"&amp;"9 _ Close Solar Power: TNI0037 MYT_Troubleshooting Solar Power System _ myt_khantchaw.nyo : 04/06/2026 11:03 : 135.24 _ Close Maintenance DG:  +  +  + MW Link: ")</f>
        <v>TNI0037 MYT_Routine_Maintenance_Mytel_Station MYT_RTE_MTE_SB_STN _ myt_tinmaung.win : 02/07/2026 13:42 : 886.64 _ FT completed + TNI0037 MYT_Routine_Maintenance_Mytel_Station_VCM _ myt_khantchaw.nyo : 02/06/2026 09:33 : 937.14 _ Close + TNI0037 MYT_Routine_Maintenance_Mytel_Station_VCM _ myt_khantchaw.nyo : 10/04/2026 12:38 : 679.72 _ Close Solar M: TNI0037 MYT_Maintenacne_Solar _ myt_khantchaw.nyo : 30/12/1899 00:00 :  _ Close + TNI0037 MYT_Maintenacne_Solar _ myt_khantchaw.nyo : 24/04/2026 15:27 : 495.29 _ Close Solar Power: TNI0037 MYT_Troubleshooting Solar Power System _ myt_khantchaw.nyo : 04/06/2026 11:03 : 135.24 _ Close Maintenance DG:  +  +  + MW Link: </v>
      </c>
    </row>
    <row r="39">
      <c r="A39" s="98" t="str">
        <f>IFERROR(__xludf.DUMMYFUNCTION("""COMPUTED_VALUE"""),"TNI0038")</f>
        <v>TNI0038</v>
      </c>
      <c r="B39" s="98" t="str">
        <f>IFERROR(__xludf.DUMMYFUNCTION("""COMPUTED_VALUE"""),"TNI0038: Launglon_Mytel_C_MYT_TNI_TEAM01_Bone Myat Naing")</f>
        <v>TNI0038: Launglon_Mytel_C_MYT_TNI_TEAM01_Bone Myat Naing</v>
      </c>
      <c r="C39" s="98" t="str">
        <f>IFERROR(__xludf.DUMMYFUNCTION("""COMPUTED_VALUE"""),"TNI0035-TNI0038_LaungLon_48 FO : 6.13_Bone Myat Naing + TNI0038-TNI0051_LaungLon_24 FO : 5.33_Bone Myat Naing")</f>
        <v>TNI0035-TNI0038_LaungLon_48 FO : 6.13_Bone Myat Naing + TNI0038-TNI0051_LaungLon_24 FO : 5.33_Bone Myat Naing</v>
      </c>
      <c r="D39" s="98" t="str">
        <f>IFERROR(__xludf.DUMMYFUNCTION("""COMPUTED_VALUE"""),"+ OLT: Bone Myat Naing")</f>
        <v>+ OLT: Bone Myat Naing</v>
      </c>
      <c r="E39" s="98" t="str">
        <f>IFERROR(__xludf.DUMMYFUNCTION("""COMPUTED_VALUE"""),"TNI0038 MYT_Routine_Maintenance_Mytel_Station_VCM _ myt_bonemyat.naing1 : 30/12/1899 00:00 : -472.95 _ FT assigned Solar M: TNI0038 MYT_Maintenacne_Solar _ myt_bonemyat.naing1 : 30/12/1899 00:00 :  _ Close + TNI0038 MYT_Maintenacne_Solar _ myt_bonemyat.na"&amp;"ing1 : 23/04/2026 16:22 : 611.49 _ Close Solar Power:  Maintenance DG:  +  +  + MW Link: ")</f>
        <v>TNI0038 MYT_Routine_Maintenance_Mytel_Station_VCM _ myt_bonemyat.naing1 : 30/12/1899 00:00 : -472.95 _ FT assigned Solar M: TNI0038 MYT_Maintenacne_Solar _ myt_bonemyat.naing1 : 30/12/1899 00:00 :  _ Close + TNI0038 MYT_Maintenacne_Solar _ myt_bonemyat.naing1 : 23/04/2026 16:22 : 611.49 _ Close Solar Power:  Maintenance DG:  +  +  + MW Link: </v>
      </c>
    </row>
    <row r="40">
      <c r="A40" s="98" t="str">
        <f>IFERROR(__xludf.DUMMYFUNCTION("""COMPUTED_VALUE"""),"TNI0039")</f>
        <v>TNI0039</v>
      </c>
      <c r="B40" s="98" t="str">
        <f>IFERROR(__xludf.DUMMYFUNCTION("""COMPUTED_VALUE"""),"TNI0039: Palaw_Mytel_C_MYT_TNI_TEAM02_Min Paing Oo")</f>
        <v>TNI0039: Palaw_Mytel_C_MYT_TNI_TEAM02_Min Paing Oo</v>
      </c>
      <c r="C40" s="98" t="str">
        <f>IFERROR(__xludf.DUMMYFUNCTION("""COMPUTED_VALUE"""),"TNI0039-TNIM025_Palaw_24 FO : 2.15_Min Paing Oo")</f>
        <v>TNI0039-TNIM025_Palaw_24 FO : 2.15_Min Paing Oo</v>
      </c>
      <c r="D40" s="98" t="str">
        <f>IFERROR(__xludf.DUMMYFUNCTION("""COMPUTED_VALUE"""),"+ OLT: Min Paing Oo")</f>
        <v>+ OLT: Min Paing Oo</v>
      </c>
      <c r="E40" s="98" t="str">
        <f>IFERROR(__xludf.DUMMYFUNCTION("""COMPUTED_VALUE""")," Solar M: TNI0039 MYT_Maintenacne_Solar _ myt_minpaing.oo : 30/12/1899 00:00 :  _ Close + TNI0039 MYT_Maintenacne_Solar _ myt_zinmin.shein : 18/05/2026 10:45 : 32.63 _ Close Solar Power: TNI0039 MYT_Troubleshooting Solar Power System _ myt_minpaing.oo : 3"&amp;"0/12/1899 00:00 : -520.95 _ FT assigned Maintenance DG:  +  +  + MW Link: ")</f>
        <v> Solar M: TNI0039 MYT_Maintenacne_Solar _ myt_minpaing.oo : 30/12/1899 00:00 :  _ Close + TNI0039 MYT_Maintenacne_Solar _ myt_zinmin.shein : 18/05/2026 10:45 : 32.63 _ Close Solar Power: TNI0039 MYT_Troubleshooting Solar Power System _ myt_minpaing.oo : 30/12/1899 00:00 : -520.95 _ FT assigned Maintenance DG:  +  +  + MW Link: </v>
      </c>
    </row>
    <row r="41">
      <c r="A41" s="98" t="str">
        <f>IFERROR(__xludf.DUMMYFUNCTION("""COMPUTED_VALUE"""),"TNI0040")</f>
        <v>TNI0040</v>
      </c>
      <c r="B41" s="98" t="str">
        <f>IFERROR(__xludf.DUMMYFUNCTION("""COMPUTED_VALUE"""),"TNI0040: Thayetchaung_Mytel_C_MYT_TNI_TEAM01_Aung Lwin Phyo")</f>
        <v>TNI0040: Thayetchaung_Mytel_C_MYT_TNI_TEAM01_Aung Lwin Phyo</v>
      </c>
      <c r="C41" s="98" t="str">
        <f>IFERROR(__xludf.DUMMYFUNCTION("""COMPUTED_VALUE"""),"TNI0040-TNIM026_Thayetchaung_24 FO : 0.85_Bhone Htet Aung + TNI0040-JB(TNI0005-TNI0013)_Thayetchaung_24 FO : 0.28_Bhone Htet Aung")</f>
        <v>TNI0040-TNIM026_Thayetchaung_24 FO : 0.85_Bhone Htet Aung + TNI0040-JB(TNI0005-TNI0013)_Thayetchaung_24 FO : 0.28_Bhone Htet Aung</v>
      </c>
      <c r="D41" s="98" t="str">
        <f>IFERROR(__xludf.DUMMYFUNCTION("""COMPUTED_VALUE"""),"")</f>
        <v/>
      </c>
      <c r="E41" s="98" t="str">
        <f>IFERROR(__xludf.DUMMYFUNCTION("""COMPUTED_VALUE"""),"TNI0040 MYT_Routine_Maintenance_Mytel_Station_VCM _ myt_aunglwin.phyo : 30/12/1899 00:00 : 223.05 _ FT Inprocessing + TNI0040 MYT_Routine_Maintenance_Mytel_Station_VCM _ myt_aunglwin.phyo : 09/05/2026 13:50 : 79.11 _ Close Solar M: TNI0040 MYT_Maintenacne"&amp;"_Solar _ myt_aunglwin.phyo : 30/12/1899 00:00 :  _ Close + TNI0040 MYT_Maintenacne_Solar _ myt_bhonehtet.aung : 30/12/1899 00:00 : -1048.95 _ FT Inprocessing Solar Power: TNI0040 MYT_Troubleshooting Solar Power System _ myt_aunglwin.phyo : 30/12/1899 00:0"&amp;"0 : -520.95 _ FT assigned Maintenance DG:  +  +  + MW Link: ")</f>
        <v>TNI0040 MYT_Routine_Maintenance_Mytel_Station_VCM _ myt_aunglwin.phyo : 30/12/1899 00:00 : 223.05 _ FT Inprocessing + TNI0040 MYT_Routine_Maintenance_Mytel_Station_VCM _ myt_aunglwin.phyo : 09/05/2026 13:50 : 79.11 _ Close Solar M: TNI0040 MYT_Maintenacne_Solar _ myt_aunglwin.phyo : 30/12/1899 00:00 :  _ Close + TNI0040 MYT_Maintenacne_Solar _ myt_bhonehtet.aung : 30/12/1899 00:00 : -1048.95 _ FT Inprocessing Solar Power: TNI0040 MYT_Troubleshooting Solar Power System _ myt_aunglwin.phyo : 30/12/1899 00:00 : -520.95 _ FT assigned Maintenance DG:  +  +  + MW Link: </v>
      </c>
    </row>
    <row r="42">
      <c r="A42" s="98" t="str">
        <f>IFERROR(__xludf.DUMMYFUNCTION("""COMPUTED_VALUE"""),"TNI0041")</f>
        <v>TNI0041</v>
      </c>
      <c r="B42" s="98" t="str">
        <f>IFERROR(__xludf.DUMMYFUNCTION("""COMPUTED_VALUE"""),"TNI0041: Launglon_Mytel_C_MYT_TNI_TEAM01_Bone Myat Naing")</f>
        <v>TNI0041: Launglon_Mytel_C_MYT_TNI_TEAM01_Bone Myat Naing</v>
      </c>
      <c r="C42" s="98" t="str">
        <f>IFERROR(__xludf.DUMMYFUNCTION("""COMPUTED_VALUE"""),"TNI0041-TNI0333_LaungLon_24 FO : 3.38_Bone Myat Naing + TNI0041-TNI0334_LaungLon_24 FO : 5.1_Bone Myat Naing + TNI0041-TNI0035_LaungLon_24 FO : 2.14_Thar Htoo Aung")</f>
        <v>TNI0041-TNI0333_LaungLon_24 FO : 3.38_Bone Myat Naing + TNI0041-TNI0334_LaungLon_24 FO : 5.1_Bone Myat Naing + TNI0041-TNI0035_LaungLon_24 FO : 2.14_Thar Htoo Aung</v>
      </c>
      <c r="D42" s="98" t="str">
        <f>IFERROR(__xludf.DUMMYFUNCTION("""COMPUTED_VALUE"""),"+ OLT: Bone Myat Naing")</f>
        <v>+ OLT: Bone Myat Naing</v>
      </c>
      <c r="E42" s="98" t="str">
        <f>IFERROR(__xludf.DUMMYFUNCTION("""COMPUTED_VALUE""")," Solar M:  Solar Power:  Maintenance DG:  +  +  + MW Link: ")</f>
        <v> Solar M:  Solar Power:  Maintenance DG:  +  +  + MW Link: </v>
      </c>
    </row>
    <row r="43">
      <c r="A43" s="98" t="str">
        <f>IFERROR(__xludf.DUMMYFUNCTION("""COMPUTED_VALUE"""),"TNI0042")</f>
        <v>TNI0042</v>
      </c>
      <c r="B43" s="98" t="str">
        <f>IFERROR(__xludf.DUMMYFUNCTION("""COMPUTED_VALUE"""),"TNI0042: Myeik_MEC_B_MYT_TNI_TEAM02_Zin Min Shein")</f>
        <v>TNI0042: Myeik_MEC_B_MYT_TNI_TEAM02_Zin Min Shein</v>
      </c>
      <c r="C43" s="98" t="str">
        <f>IFERROR(__xludf.DUMMYFUNCTION("""COMPUTED_VALUE"""),"TNI0029-TNI0042_Myeik_24 FO : 2.13_Wanna Oo + TNI0027-TNI0042_Myeik_24 FO : 1.38_Zin Min Shein")</f>
        <v>TNI0029-TNI0042_Myeik_24 FO : 2.13_Wanna Oo + TNI0027-TNI0042_Myeik_24 FO : 1.38_Zin Min Shein</v>
      </c>
      <c r="D43" s="98" t="str">
        <f>IFERROR(__xludf.DUMMYFUNCTION("""COMPUTED_VALUE"""),"+ OLT: Zin Min Shein")</f>
        <v>+ OLT: Zin Min Shein</v>
      </c>
      <c r="E43" s="98" t="str">
        <f>IFERROR(__xludf.DUMMYFUNCTION("""COMPUTED_VALUE"""),"TNI0042 MYT_Routine_Maintenance_Mytel_Station_VCM _ myt_zinmin.shein : 13/06/2026 10:42 : 630.6 _ Close + TNI0042 MYT_Routine_Maintenance_Mytel_Station_VCM _ myt_pyikyaw.aung : 01/04/2026 11:11 : 969.1 _ Close Solar M: TNI0042 MYT_Maintenacne_Solar _ myt_"&amp;"zinmin.shein : 30/12/1899 00:00 :  _ Close + TNI0042 MYT_Maintenacne_Solar _ myt_zinmin.shein : 07/05/2026 11:40 : 277.16 _ Close Solar Power:  Maintenance DG:  +  +  + MW Link: ")</f>
        <v>TNI0042 MYT_Routine_Maintenance_Mytel_Station_VCM _ myt_zinmin.shein : 13/06/2026 10:42 : 630.6 _ Close + TNI0042 MYT_Routine_Maintenance_Mytel_Station_VCM _ myt_pyikyaw.aung : 01/04/2026 11:11 : 969.1 _ Close Solar M: TNI0042 MYT_Maintenacne_Solar _ myt_zinmin.shein : 30/12/1899 00:00 :  _ Close + TNI0042 MYT_Maintenacne_Solar _ myt_zinmin.shein : 07/05/2026 11:40 : 277.16 _ Close Solar Power:  Maintenance DG:  +  +  + MW Link: </v>
      </c>
    </row>
    <row r="44">
      <c r="A44" s="98" t="str">
        <f>IFERROR(__xludf.DUMMYFUNCTION("""COMPUTED_VALUE"""),"TNI0043")</f>
        <v>TNI0043</v>
      </c>
      <c r="B44" s="98" t="str">
        <f>IFERROR(__xludf.DUMMYFUNCTION("""COMPUTED_VALUE"""),"TNI0043: Yebyu_Mytel_C_MYT_TNI_TEAM01_Thu Rain Niang")</f>
        <v>TNI0043: Yebyu_Mytel_C_MYT_TNI_TEAM01_Thu Rain Niang</v>
      </c>
      <c r="C44" s="98" t="str">
        <f>IFERROR(__xludf.DUMMYFUNCTION("""COMPUTED_VALUE"""),"")</f>
        <v/>
      </c>
      <c r="D44" s="98" t="str">
        <f>IFERROR(__xludf.DUMMYFUNCTION("""COMPUTED_VALUE"""),"")</f>
        <v/>
      </c>
      <c r="E44" s="98" t="str">
        <f>IFERROR(__xludf.DUMMYFUNCTION("""COMPUTED_VALUE""")," Solar M: TNI0043 MYT_Maintenacne_Solar _ myt_tharhtoo.aung11 : 30/12/1899 00:00 :  _ Close + TNI0043 MYT_Maintenacne_Solar _ myt_tharhtoo.aung11 : 30/12/1899 00:00 : -1048.95 _ FT assigned + TNI0043 MYT_Maintenacne_Solar _ myt_tharhtoo.aung11 : 30/12/189"&amp;"9 00:00 :  _ Close Solar Power:  Maintenance DG:  +  +  + MW Link: ")</f>
        <v> Solar M: TNI0043 MYT_Maintenacne_Solar _ myt_tharhtoo.aung11 : 30/12/1899 00:00 :  _ Close + TNI0043 MYT_Maintenacne_Solar _ myt_tharhtoo.aung11 : 30/12/1899 00:00 : -1048.95 _ FT assigned + TNI0043 MYT_Maintenacne_Solar _ myt_tharhtoo.aung11 : 30/12/1899 00:00 :  _ Close Solar Power:  Maintenance DG:  +  +  + MW Link: </v>
      </c>
    </row>
    <row r="45">
      <c r="A45" s="98" t="str">
        <f>IFERROR(__xludf.DUMMYFUNCTION("""COMPUTED_VALUE"""),"TNI0044")</f>
        <v>TNI0044</v>
      </c>
      <c r="B45" s="98" t="str">
        <f>IFERROR(__xludf.DUMMYFUNCTION("""COMPUTED_VALUE"""),"TNI0044: Myeik_IGT_B_MYT_TNI_TEAM02_Zin Min Shein")</f>
        <v>TNI0044: Myeik_IGT_B_MYT_TNI_TEAM02_Zin Min Shein</v>
      </c>
      <c r="C45" s="98" t="str">
        <f>IFERROR(__xludf.DUMMYFUNCTION("""COMPUTED_VALUE"""),"TNI0028-TNI0044_Myeik_24 FO : 2.43_Wanna Oo + TNI0044-TNIM027_Myeik_24 FO : 2.74_Ye Lin")</f>
        <v>TNI0028-TNI0044_Myeik_24 FO : 2.43_Wanna Oo + TNI0044-TNIM027_Myeik_24 FO : 2.74_Ye Lin</v>
      </c>
      <c r="D45" s="98" t="str">
        <f>IFERROR(__xludf.DUMMYFUNCTION("""COMPUTED_VALUE"""),"")</f>
        <v/>
      </c>
      <c r="E45" s="98" t="str">
        <f>IFERROR(__xludf.DUMMYFUNCTION("""COMPUTED_VALUE""")," Solar M:  Solar Power:  Maintenance DG:  +  +  + MW Link: ")</f>
        <v> Solar M:  Solar Power:  Maintenance DG:  +  +  + MW Link: </v>
      </c>
    </row>
    <row r="46">
      <c r="A46" s="98" t="str">
        <f>IFERROR(__xludf.DUMMYFUNCTION("""COMPUTED_VALUE"""),"TNI0046")</f>
        <v>TNI0046</v>
      </c>
      <c r="B46" s="98" t="str">
        <f>IFERROR(__xludf.DUMMYFUNCTION("""COMPUTED_VALUE"""),"TNI0046: Thayetchaung_Mytel_C_MYT_TNI_TEAM01_Aung Lwin Phyo")</f>
        <v>TNI0046: Thayetchaung_Mytel_C_MYT_TNI_TEAM01_Aung Lwin Phyo</v>
      </c>
      <c r="C46" s="98" t="str">
        <f>IFERROR(__xludf.DUMMYFUNCTION("""COMPUTED_VALUE"""),"TNI0046-TNIM028_Thayetchaung_24 FO : 1.48_Bhone Htet Aung + TNI0046-JB(TNI0005-TNI0013)_Thayetchaung_24 FO : 2.16_Bhone Htet Aung")</f>
        <v>TNI0046-TNIM028_Thayetchaung_24 FO : 1.48_Bhone Htet Aung + TNI0046-JB(TNI0005-TNI0013)_Thayetchaung_24 FO : 2.16_Bhone Htet Aung</v>
      </c>
      <c r="D46" s="98" t="str">
        <f>IFERROR(__xludf.DUMMYFUNCTION("""COMPUTED_VALUE"""),"")</f>
        <v/>
      </c>
      <c r="E46" s="98" t="str">
        <f>IFERROR(__xludf.DUMMYFUNCTION("""COMPUTED_VALUE"""),"TNI0046 MYT_Routine_Maintenance_Mytel_Station_VCM _ myt_aunglwin.phyo : 30/12/1899 00:00 : 223.05 _ FT assigned + TNI0046 MYT_Routine_Maintenance_Mytel_Station_VCM _ myt_aunglwin.phyo : 09/05/2026 13:38 : 79.06 _ Close Solar M: TNI0046 MYT_Maintenacne_Sol"&amp;"ar _ myt_aunglwin.phyo : 30/12/1899 00:00 :  _ Close + TNI0046 MYT_Maintenacne_Solar _ myt_aunglwin.phyo : 09/05/2026 13:18 : 247.06 _ Close Solar Power:  Maintenance DG:  +  +  + MW Link: ")</f>
        <v>TNI0046 MYT_Routine_Maintenance_Mytel_Station_VCM _ myt_aunglwin.phyo : 30/12/1899 00:00 : 223.05 _ FT assigned + TNI0046 MYT_Routine_Maintenance_Mytel_Station_VCM _ myt_aunglwin.phyo : 09/05/2026 13:38 : 79.06 _ Close Solar M: TNI0046 MYT_Maintenacne_Solar _ myt_aunglwin.phyo : 30/12/1899 00:00 :  _ Close + TNI0046 MYT_Maintenacne_Solar _ myt_aunglwin.phyo : 09/05/2026 13:18 : 247.06 _ Close Solar Power:  Maintenance DG:  +  +  + MW Link: </v>
      </c>
    </row>
    <row r="47">
      <c r="A47" s="98" t="str">
        <f>IFERROR(__xludf.DUMMYFUNCTION("""COMPUTED_VALUE"""),"TNI0047")</f>
        <v>TNI0047</v>
      </c>
      <c r="B47" s="98" t="str">
        <f>IFERROR(__xludf.DUMMYFUNCTION("""COMPUTED_VALUE"""),"TNI0047: Myeik_Mytel_C_MYT_TNI_TEAM02_Maung Maung")</f>
        <v>TNI0047: Myeik_Mytel_C_MYT_TNI_TEAM02_Maung Maung</v>
      </c>
      <c r="C47" s="98" t="str">
        <f>IFERROR(__xludf.DUMMYFUNCTION("""COMPUTED_VALUE"""),"TNI0020-TNI0047_Myeik_24 FO : 2.06_Wanna Oo + TNI0047-TNI0267_Myeik_24 FO : 1.77_Maung Maung")</f>
        <v>TNI0020-TNI0047_Myeik_24 FO : 2.06_Wanna Oo + TNI0047-TNI0267_Myeik_24 FO : 1.77_Maung Maung</v>
      </c>
      <c r="D47" s="98" t="str">
        <f>IFERROR(__xludf.DUMMYFUNCTION("""COMPUTED_VALUE"""),"")</f>
        <v/>
      </c>
      <c r="E47" s="98" t="str">
        <f>IFERROR(__xludf.DUMMYFUNCTION("""COMPUTED_VALUE"""),"TNI0047 MYT_Routine_Maintenance_Mytel_Station MYT_RTE_MTE_SB_STN _ myt_zinmin.shein : 30/06/2026 12:45 : 933.33 _ Close + TNI0047 MYT_Routine_Maintenance_Mytel_Station_VCM _ myt_zinmin.shein : 01/06/2026 14:54 : 967.11 _ Close + TNI0047 MYT_Routine_Mainte"&amp;"nance_Mytel_Station_VCM _ myt_pyikyaw.aung : 01/04/2026 15:55 : 969.09 _ Close Solar M: TNI0047 MYT_Maintenacne_Solar _ myt_maung.maung11 : 30/12/1899 00:00 :  _ Close + TNI0047 MYT_Maintenacne_Solar _ myt_zinmin.shein : 28/04/2026 11:29 : 506.97 _ Close "&amp;"Solar Power:  Maintenance DG:  +  +  + MW Link: ")</f>
        <v>TNI0047 MYT_Routine_Maintenance_Mytel_Station MYT_RTE_MTE_SB_STN _ myt_zinmin.shein : 30/06/2026 12:45 : 933.33 _ Close + TNI0047 MYT_Routine_Maintenance_Mytel_Station_VCM _ myt_zinmin.shein : 01/06/2026 14:54 : 967.11 _ Close + TNI0047 MYT_Routine_Maintenance_Mytel_Station_VCM _ myt_pyikyaw.aung : 01/04/2026 15:55 : 969.09 _ Close Solar M: TNI0047 MYT_Maintenacne_Solar _ myt_maung.maung11 : 30/12/1899 00:00 :  _ Close + TNI0047 MYT_Maintenacne_Solar _ myt_zinmin.shein : 28/04/2026 11:29 : 506.97 _ Close Solar Power:  Maintenance DG:  +  +  + MW Link: </v>
      </c>
    </row>
    <row r="48">
      <c r="A48" s="98" t="str">
        <f>IFERROR(__xludf.DUMMYFUNCTION("""COMPUTED_VALUE"""),"TNI0048")</f>
        <v>TNI0048</v>
      </c>
      <c r="B48" s="98" t="str">
        <f>IFERROR(__xludf.DUMMYFUNCTION("""COMPUTED_VALUE"""),"TNI0048: Myeik_Mytel_B_MYT_TNI_TEAM02_Wanna Oo")</f>
        <v>TNI0048: Myeik_Mytel_B_MYT_TNI_TEAM02_Wanna Oo</v>
      </c>
      <c r="C48" s="98" t="str">
        <f>IFERROR(__xludf.DUMMYFUNCTION("""COMPUTED_VALUE"""),"TNI0002-TNI0048_Myeik_24 FO : 3.2_Wanna Oo + TNI0048-TNI0241_Myeik_24 FO : 0.97_Ye Lin")</f>
        <v>TNI0002-TNI0048_Myeik_24 FO : 3.2_Wanna Oo + TNI0048-TNI0241_Myeik_24 FO : 0.97_Ye Lin</v>
      </c>
      <c r="D48" s="98" t="str">
        <f>IFERROR(__xludf.DUMMYFUNCTION("""COMPUTED_VALUE"""),"+ OLT: Wanna Oo")</f>
        <v>+ OLT: Wanna Oo</v>
      </c>
      <c r="E48" s="98" t="str">
        <f>IFERROR(__xludf.DUMMYFUNCTION("""COMPUTED_VALUE"""),"TNI0048 MYT_Routine_Maintenance_Mytel_Station MYT_RTE_MTE_SB_STN _ myt_zinmin.shein : 02/07/2026 11:14 : 890.12 _ Close + TNI0048 MYT_Routine_Maintenance_Mytel_Station_VCM _ myt_pyikyaw.aung : 03/06/2026 15:51 : 920.14 _ Close + TNI0048 MYT_Routine_Mainte"&amp;"nance_Mytel_Station_VCM _ myt_pyikyaw.aung : 01/04/2026 11:50 : 969.09 _ Close Solar M: TNI0048 MYT_Maintenacne_Solar _ myt_wanna.oo2 : 30/12/1899 00:00 :  _ Close + TNI0048 MYT_Maintenacne_Solar _ myt_maung.maung11 : 24/04/2026 10:45 : 589.73 _ Close Sol"&amp;"ar Power:  Maintenance DG:  +  +  + MW Link: ")</f>
        <v>TNI0048 MYT_Routine_Maintenance_Mytel_Station MYT_RTE_MTE_SB_STN _ myt_zinmin.shein : 02/07/2026 11:14 : 890.12 _ Close + TNI0048 MYT_Routine_Maintenance_Mytel_Station_VCM _ myt_pyikyaw.aung : 03/06/2026 15:51 : 920.14 _ Close + TNI0048 MYT_Routine_Maintenance_Mytel_Station_VCM _ myt_pyikyaw.aung : 01/04/2026 11:50 : 969.09 _ Close Solar M: TNI0048 MYT_Maintenacne_Solar _ myt_wanna.oo2 : 30/12/1899 00:00 :  _ Close + TNI0048 MYT_Maintenacne_Solar _ myt_maung.maung11 : 24/04/2026 10:45 : 589.73 _ Close Solar Power:  Maintenance DG:  +  +  + MW Link: </v>
      </c>
    </row>
    <row r="49">
      <c r="A49" s="98" t="str">
        <f>IFERROR(__xludf.DUMMYFUNCTION("""COMPUTED_VALUE"""),"TNI0049")</f>
        <v>TNI0049</v>
      </c>
      <c r="B49" s="98" t="str">
        <f>IFERROR(__xludf.DUMMYFUNCTION("""COMPUTED_VALUE"""),"TNI0049: Dawei_MEC_B_MYT_TNI_TEAM01_Win Htet Aung")</f>
        <v>TNI0049: Dawei_MEC_B_MYT_TNI_TEAM01_Win Htet Aung</v>
      </c>
      <c r="C49" s="98" t="str">
        <f>IFERROR(__xludf.DUMMYFUNCTION("""COMPUTED_VALUE"""),"TNI0049-TNIDOS56_Yebyu_24 FO : 1.19_Aung Lwin Phyo + TNI0049-TNI0050_Dawei_24 FO : 2.7_Bhone Htet Aung + TNI0049-TNI0061_Dawei_24 FO : 1.51_Bhone Htet Aung")</f>
        <v>TNI0049-TNIDOS56_Yebyu_24 FO : 1.19_Aung Lwin Phyo + TNI0049-TNI0050_Dawei_24 FO : 2.7_Bhone Htet Aung + TNI0049-TNI0061_Dawei_24 FO : 1.51_Bhone Htet Aung</v>
      </c>
      <c r="D49" s="98" t="str">
        <f>IFERROR(__xludf.DUMMYFUNCTION("""COMPUTED_VALUE"""),"")</f>
        <v/>
      </c>
      <c r="E49" s="98" t="str">
        <f>IFERROR(__xludf.DUMMYFUNCTION("""COMPUTED_VALUE"""),"TNI0049 MYT_Routine_Maintenance_Mytel_Station_VCM _ myt_bonemyat.naing1 : 30/12/1899 00:00 : 55.05 _ FT assigned Solar M: TNI0049 MYT_Maintenacne_Solar _ myt_bonemyat.naing1 : 30/12/1899 00:00 :  _ Close + TNI0049 MYT_Maintenacne_Solar _ myt_bonemyat.nain"&amp;"g1 : 13/05/2026 17:45 : 134.04 _ Close Solar Power:  Maintenance DG:  +  +  + MW Link: ")</f>
        <v>TNI0049 MYT_Routine_Maintenance_Mytel_Station_VCM _ myt_bonemyat.naing1 : 30/12/1899 00:00 : 55.05 _ FT assigned Solar M: TNI0049 MYT_Maintenacne_Solar _ myt_bonemyat.naing1 : 30/12/1899 00:00 :  _ Close + TNI0049 MYT_Maintenacne_Solar _ myt_bonemyat.naing1 : 13/05/2026 17:45 : 134.04 _ Close Solar Power:  Maintenance DG:  +  +  + MW Link: </v>
      </c>
    </row>
    <row r="50">
      <c r="A50" s="98" t="str">
        <f>IFERROR(__xludf.DUMMYFUNCTION("""COMPUTED_VALUE"""),"TNI0050")</f>
        <v>TNI0050</v>
      </c>
      <c r="B50" s="98" t="str">
        <f>IFERROR(__xludf.DUMMYFUNCTION("""COMPUTED_VALUE"""),"TNI0050: Dawei_Mytel_C_MYT_TNI_TEAM01_Bhone Htet Aung")</f>
        <v>TNI0050: Dawei_Mytel_C_MYT_TNI_TEAM01_Bhone Htet Aung</v>
      </c>
      <c r="C50" s="98" t="str">
        <f>IFERROR(__xludf.DUMMYFUNCTION("""COMPUTED_VALUE"""),"TNI0049-TNI0050_Dawei_24 FO : 2.7_Bhone Htet Aung + TNI0050-TNI0058_Dawei_24 FO : 2.85_Bhone Htet Aung")</f>
        <v>TNI0049-TNI0050_Dawei_24 FO : 2.7_Bhone Htet Aung + TNI0050-TNI0058_Dawei_24 FO : 2.85_Bhone Htet Aung</v>
      </c>
      <c r="D50" s="98" t="str">
        <f>IFERROR(__xludf.DUMMYFUNCTION("""COMPUTED_VALUE"""),"")</f>
        <v/>
      </c>
      <c r="E50" s="98" t="str">
        <f>IFERROR(__xludf.DUMMYFUNCTION("""COMPUTED_VALUE"""),"TNI0050 MYT_Routine_Maintenance_Mytel_Station_VCM _ myt_bhonehtet.aung : 30/12/1899 00:00 : 223.05 _ FT assigned + TNI0050 MYT_Routine_Maintenance_Mytel_Station_VCM _ myt_bhonehtet.aung : 13/05/2026 16:38 : -80.74 _ Close Solar M: TNI0050 MYT_Maintenacne_"&amp;"Solar _ myt_bhonehtet.aung : 30/12/1899 00:00 :  _ Close + TNI0050 MYT_Maintenacne_Solar _ myt_bhonehtet.aung : 13/05/2026 16:20 : 134.05 _ Close + TNI0050 MYT_Maintenacne_Solar _ myt_bhonehtet.aung : 11/04/2026 12:54 : -115.4 _ Close Solar Power:  Mainte"&amp;"nance DG:  +  +  + MW Link: ")</f>
        <v>TNI0050 MYT_Routine_Maintenance_Mytel_Station_VCM _ myt_bhonehtet.aung : 30/12/1899 00:00 : 223.05 _ FT assigned + TNI0050 MYT_Routine_Maintenance_Mytel_Station_VCM _ myt_bhonehtet.aung : 13/05/2026 16:38 : -80.74 _ Close Solar M: TNI0050 MYT_Maintenacne_Solar _ myt_bhonehtet.aung : 30/12/1899 00:00 :  _ Close + TNI0050 MYT_Maintenacne_Solar _ myt_bhonehtet.aung : 13/05/2026 16:20 : 134.05 _ Close + TNI0050 MYT_Maintenacne_Solar _ myt_bhonehtet.aung : 11/04/2026 12:54 : -115.4 _ Close Solar Power:  Maintenance DG:  +  +  + MW Link: </v>
      </c>
    </row>
    <row r="51">
      <c r="A51" s="98" t="str">
        <f>IFERROR(__xludf.DUMMYFUNCTION("""COMPUTED_VALUE"""),"TNI0051")</f>
        <v>TNI0051</v>
      </c>
      <c r="B51" s="98" t="str">
        <f>IFERROR(__xludf.DUMMYFUNCTION("""COMPUTED_VALUE"""),"TNI0051: Launglon_Mytel_C_MYT_TNI_TEAM01_Bone Myat Naing")</f>
        <v>TNI0051: Launglon_Mytel_C_MYT_TNI_TEAM01_Bone Myat Naing</v>
      </c>
      <c r="C51" s="98" t="str">
        <f>IFERROR(__xludf.DUMMYFUNCTION("""COMPUTED_VALUE"""),"TNI0038-TNI0051_LaungLon_24 FO : 5.33_Bone Myat Naing + TNI0051-TNI0055_LaungLon_24 FO : 2.13_Bhone Htet Aung")</f>
        <v>TNI0038-TNI0051_LaungLon_24 FO : 5.33_Bone Myat Naing + TNI0051-TNI0055_LaungLon_24 FO : 2.13_Bhone Htet Aung</v>
      </c>
      <c r="D51" s="98" t="str">
        <f>IFERROR(__xludf.DUMMYFUNCTION("""COMPUTED_VALUE"""),"")</f>
        <v/>
      </c>
      <c r="E51" s="98" t="str">
        <f>IFERROR(__xludf.DUMMYFUNCTION("""COMPUTED_VALUE"""),"TNI0051 MYT_Routine_Maintenance_Mytel_Station_VCM _ myt_bonemyat.naing1 : 06/05/2026 16:20 : 852.89 _ Close Solar M:  Solar Power:  Maintenance DG:  +  +  + MW Link: ")</f>
        <v>TNI0051 MYT_Routine_Maintenance_Mytel_Station_VCM _ myt_bonemyat.naing1 : 06/05/2026 16:20 : 852.89 _ Close Solar M:  Solar Power:  Maintenance DG:  +  +  + MW Link: </v>
      </c>
    </row>
    <row r="52">
      <c r="A52" s="98" t="str">
        <f>IFERROR(__xludf.DUMMYFUNCTION("""COMPUTED_VALUE"""),"TNI0052")</f>
        <v>TNI0052</v>
      </c>
      <c r="B52" s="98" t="str">
        <f>IFERROR(__xludf.DUMMYFUNCTION("""COMPUTED_VALUE"""),"TNI0052: Launglon_Mytel_C_MYT_TNI_TEAM01_Bone Myat Naing")</f>
        <v>TNI0052: Launglon_Mytel_C_MYT_TNI_TEAM01_Bone Myat Naing</v>
      </c>
      <c r="C52" s="98" t="str">
        <f>IFERROR(__xludf.DUMMYFUNCTION("""COMPUTED_VALUE"""),"")</f>
        <v/>
      </c>
      <c r="D52" s="98" t="str">
        <f>IFERROR(__xludf.DUMMYFUNCTION("""COMPUTED_VALUE"""),"+ OLT: Bone Myat Naing")</f>
        <v>+ OLT: Bone Myat Naing</v>
      </c>
      <c r="E52" s="98" t="str">
        <f>IFERROR(__xludf.DUMMYFUNCTION("""COMPUTED_VALUE"""),"TNI0052 MYT_Routine_Maintenance_Mytel_Station_VCM _ myt_bonemyat.naing1 : 15/05/2026 16:11 : 663.25 _ Close Solar M: TNI0052 MYT_Maintenacne_Solar _ myt_bonemyat.naing1 : 30/12/1899 00:00 :  _ Close + TNI0052 MYT_Maintenacne_Solar _ myt_bonemyat.naing1 : "&amp;"15/05/2026 16:19 : 33.9 _ Close Solar Power:  Maintenance DG:  +  +  + MW Link: TNI0052-TNI0201")</f>
        <v>TNI0052 MYT_Routine_Maintenance_Mytel_Station_VCM _ myt_bonemyat.naing1 : 15/05/2026 16:11 : 663.25 _ Close Solar M: TNI0052 MYT_Maintenacne_Solar _ myt_bonemyat.naing1 : 30/12/1899 00:00 :  _ Close + TNI0052 MYT_Maintenacne_Solar _ myt_bonemyat.naing1 : 15/05/2026 16:19 : 33.9 _ Close Solar Power:  Maintenance DG:  +  +  + MW Link: TNI0052-TNI0201</v>
      </c>
    </row>
    <row r="53">
      <c r="A53" s="98" t="str">
        <f>IFERROR(__xludf.DUMMYFUNCTION("""COMPUTED_VALUE"""),"TNI0053")</f>
        <v>TNI0053</v>
      </c>
      <c r="B53" s="98" t="str">
        <f>IFERROR(__xludf.DUMMYFUNCTION("""COMPUTED_VALUE"""),"TNI0053: Dawei_MEC_C_MYT_TNI_TEAM01_Bhone Htet Aung")</f>
        <v>TNI0053: Dawei_MEC_C_MYT_TNI_TEAM01_Bhone Htet Aung</v>
      </c>
      <c r="C53" s="98" t="str">
        <f>IFERROR(__xludf.DUMMYFUNCTION("""COMPUTED_VALUE"""),"TNI0053-TNI0058_Dawei_24 FO : 2.36_Aung Lwin Phyo + TNI0053-TNI0060_Dawei_24 FO : 2.04_Aung Lwin Phyo")</f>
        <v>TNI0053-TNI0058_Dawei_24 FO : 2.36_Aung Lwin Phyo + TNI0053-TNI0060_Dawei_24 FO : 2.04_Aung Lwin Phyo</v>
      </c>
      <c r="D53" s="98" t="str">
        <f>IFERROR(__xludf.DUMMYFUNCTION("""COMPUTED_VALUE"""),"")</f>
        <v/>
      </c>
      <c r="E53" s="98" t="str">
        <f>IFERROR(__xludf.DUMMYFUNCTION("""COMPUTED_VALUE"""),"TNI0053 MYT_Routine_Maintenance_Mytel_Station_VCM _ myt_bhonehtet.aung : 30/12/1899 00:00 : 223.05 _ FT Inprocessing + TNI0053 MYT_Routine_Maintenance_Mytel_Station_VCM _ myt_bhonehtet.aung : 19/05/2026 13:40 : -176 _ Close Solar M: TNI0053 MYT_Maintenacn"&amp;"e_Solar _ myt_bhonehtet.aung : 30/12/1899 00:00 :  _ Close + TNI0053 MYT_Maintenacne_Solar _ myt_bhonehtet.aung : 19/05/2026 13:12 : -8.03 _ Close + TNI0053 MYT_Maintenacne_Solar _ myt_bhonehtet.aung : 11/04/2026 13:17 : -115.41 _ Close Solar Power:  Main"&amp;"tenance DG:  +  +  + MW Link: ")</f>
        <v>TNI0053 MYT_Routine_Maintenance_Mytel_Station_VCM _ myt_bhonehtet.aung : 30/12/1899 00:00 : 223.05 _ FT Inprocessing + TNI0053 MYT_Routine_Maintenance_Mytel_Station_VCM _ myt_bhonehtet.aung : 19/05/2026 13:40 : -176 _ Close Solar M: TNI0053 MYT_Maintenacne_Solar _ myt_bhonehtet.aung : 30/12/1899 00:00 :  _ Close + TNI0053 MYT_Maintenacne_Solar _ myt_bhonehtet.aung : 19/05/2026 13:12 : -8.03 _ Close + TNI0053 MYT_Maintenacne_Solar _ myt_bhonehtet.aung : 11/04/2026 13:17 : -115.41 _ Close Solar Power:  Maintenance DG:  +  +  + MW Link: </v>
      </c>
    </row>
    <row r="54">
      <c r="A54" s="98" t="str">
        <f>IFERROR(__xludf.DUMMYFUNCTION("""COMPUTED_VALUE"""),"TNI0054")</f>
        <v>TNI0054</v>
      </c>
      <c r="B54" s="98" t="str">
        <f>IFERROR(__xludf.DUMMYFUNCTION("""COMPUTED_VALUE"""),"TNI0054: Dawei_Apollo_B_MYT_TNI_TEAM01_Win Htet Aung")</f>
        <v>TNI0054: Dawei_Apollo_B_MYT_TNI_TEAM01_Win Htet Aung</v>
      </c>
      <c r="C54" s="98" t="str">
        <f>IFERROR(__xludf.DUMMYFUNCTION("""COMPUTED_VALUE"""),"TNI0054-TNI0250_Dawei_24 FO : 1.86_Bhone Htet Aung + TNI0054-TNI0253_Dawei_24 FO : 0.94_Bhone Htet Aung")</f>
        <v>TNI0054-TNI0250_Dawei_24 FO : 1.86_Bhone Htet Aung + TNI0054-TNI0253_Dawei_24 FO : 0.94_Bhone Htet Aung</v>
      </c>
      <c r="D54" s="98" t="str">
        <f>IFERROR(__xludf.DUMMYFUNCTION("""COMPUTED_VALUE"""),"+ OLT: Win Htet Aung")</f>
        <v>+ OLT: Win Htet Aung</v>
      </c>
      <c r="E54" s="98" t="str">
        <f>IFERROR(__xludf.DUMMYFUNCTION("""COMPUTED_VALUE"""),"AGB Communication Customer : tni_dia_coltdac 0.6 Km  Solar M:  Solar Power:  Maintenance DG:  +  +  + MW Link: ")</f>
        <v>AGB Communication Customer : tni_dia_coltdac 0.6 Km  Solar M:  Solar Power:  Maintenance DG:  +  +  + MW Link: </v>
      </c>
    </row>
    <row r="55">
      <c r="A55" s="98" t="str">
        <f>IFERROR(__xludf.DUMMYFUNCTION("""COMPUTED_VALUE"""),"TNI0055")</f>
        <v>TNI0055</v>
      </c>
      <c r="B55" s="98" t="str">
        <f>IFERROR(__xludf.DUMMYFUNCTION("""COMPUTED_VALUE"""),"TNI0055: Launglon_Apollo_C_MYT_TNI_TEAM01_Aung Lwin Phyo")</f>
        <v>TNI0055: Launglon_Apollo_C_MYT_TNI_TEAM01_Aung Lwin Phyo</v>
      </c>
      <c r="C55" s="98" t="str">
        <f>IFERROR(__xludf.DUMMYFUNCTION("""COMPUTED_VALUE"""),"TNI0051-TNI0055_LaungLon_24 FO : 2.13_Bhone Htet Aung + TNI0018-TNI0055_Dawei_24 FO : 2_Win Htet Aung + TNI0055-TNI0056_Dawei_24 FO : 1.96_Bhone Htet Aung")</f>
        <v>TNI0051-TNI0055_LaungLon_24 FO : 2.13_Bhone Htet Aung + TNI0018-TNI0055_Dawei_24 FO : 2_Win Htet Aung + TNI0055-TNI0056_Dawei_24 FO : 1.96_Bhone Htet Aung</v>
      </c>
      <c r="D55" s="98" t="str">
        <f>IFERROR(__xludf.DUMMYFUNCTION("""COMPUTED_VALUE"""),"")</f>
        <v/>
      </c>
      <c r="E55" s="98" t="str">
        <f>IFERROR(__xludf.DUMMYFUNCTION("""COMPUTED_VALUE"""),"Government Technical High School : tni_dia_gov_tech_inst 600 Km  Solar M:  Solar Power:  Maintenance DG:  +  +  + MW Link: ")</f>
        <v>Government Technical High School : tni_dia_gov_tech_inst 600 Km  Solar M:  Solar Power:  Maintenance DG:  +  +  + MW Link: </v>
      </c>
    </row>
    <row r="56">
      <c r="A56" s="98" t="str">
        <f>IFERROR(__xludf.DUMMYFUNCTION("""COMPUTED_VALUE"""),"TNI0056")</f>
        <v>TNI0056</v>
      </c>
      <c r="B56" s="98" t="str">
        <f>IFERROR(__xludf.DUMMYFUNCTION("""COMPUTED_VALUE"""),"TNI0056: Dawei_Edotco_B_MYT_TNI_TEAM01_Aung Lwin Phyo")</f>
        <v>TNI0056: Dawei_Edotco_B_MYT_TNI_TEAM01_Aung Lwin Phyo</v>
      </c>
      <c r="C56" s="98" t="str">
        <f>IFERROR(__xludf.DUMMYFUNCTION("""COMPUTED_VALUE"""),"TNI0055-TNI0056_Dawei_24 FO : 1.96_Bhone Htet Aung + TNI0056-TNI0253_Dawei_24 FO : 1.28_Aung Lwin Phyo + TNI0056-TNI0245_Dawei_24 FO : 2.94_Bhone Htet Aung")</f>
        <v>TNI0055-TNI0056_Dawei_24 FO : 1.96_Bhone Htet Aung + TNI0056-TNI0253_Dawei_24 FO : 1.28_Aung Lwin Phyo + TNI0056-TNI0245_Dawei_24 FO : 2.94_Bhone Htet Aung</v>
      </c>
      <c r="D56" s="98" t="str">
        <f>IFERROR(__xludf.DUMMYFUNCTION("""COMPUTED_VALUE"""),"+ OLT: Aung Lwin Phyo")</f>
        <v>+ OLT: Aung Lwin Phyo</v>
      </c>
      <c r="E56" s="98" t="str">
        <f>IFERROR(__xludf.DUMMYFUNCTION("""COMPUTED_VALUE""")," Solar M:  Solar Power:  Maintenance DG:  +  +  + MW Link: ")</f>
        <v> Solar M:  Solar Power:  Maintenance DG:  +  +  + MW Link: </v>
      </c>
    </row>
    <row r="57">
      <c r="A57" s="98" t="str">
        <f>IFERROR(__xludf.DUMMYFUNCTION("""COMPUTED_VALUE"""),"TNI0057")</f>
        <v>TNI0057</v>
      </c>
      <c r="B57" s="98" t="str">
        <f>IFERROR(__xludf.DUMMYFUNCTION("""COMPUTED_VALUE"""),"TNI0057: Kawthoung_IGT_B_MYT_TNI_TEAM04_Aung Myint Myat")</f>
        <v>TNI0057: Kawthoung_IGT_B_MYT_TNI_TEAM04_Aung Myint Myat</v>
      </c>
      <c r="C57" s="98" t="str">
        <f>IFERROR(__xludf.DUMMYFUNCTION("""COMPUTED_VALUE"""),"TNI0057-TNI0080_Kawthaung_24 FO : 7.9_Khant Chaw Nyo + TNI0057-TNIM029_Kawthaung_24 FO : 2.55_Khant Chaw Nyo + TNI0057-TNI0337_Kawthaung_24 FO : 6.5_Tin Maung Win")</f>
        <v>TNI0057-TNI0080_Kawthaung_24 FO : 7.9_Khant Chaw Nyo + TNI0057-TNIM029_Kawthaung_24 FO : 2.55_Khant Chaw Nyo + TNI0057-TNI0337_Kawthaung_24 FO : 6.5_Tin Maung Win</v>
      </c>
      <c r="D57" s="98" t="str">
        <f>IFERROR(__xludf.DUMMYFUNCTION("""COMPUTED_VALUE"""),"+ OLT: Aung Myint Myat")</f>
        <v>+ OLT: Aung Myint Myat</v>
      </c>
      <c r="E57" s="98" t="str">
        <f>IFERROR(__xludf.DUMMYFUNCTION("""COMPUTED_VALUE""")," Solar M:  Solar Power:  Maintenance DG:  +  +  + MW Link: ")</f>
        <v> Solar M:  Solar Power:  Maintenance DG:  +  +  + MW Link: </v>
      </c>
    </row>
    <row r="58">
      <c r="A58" s="98" t="str">
        <f>IFERROR(__xludf.DUMMYFUNCTION("""COMPUTED_VALUE"""),"TNI0058")</f>
        <v>TNI0058</v>
      </c>
      <c r="B58" s="98" t="str">
        <f>IFERROR(__xludf.DUMMYFUNCTION("""COMPUTED_VALUE"""),"TNI0058: Dawei_Mytel_B_MYT_TNI_TEAM01_Bhone Htet Aung")</f>
        <v>TNI0058: Dawei_Mytel_B_MYT_TNI_TEAM01_Bhone Htet Aung</v>
      </c>
      <c r="C58" s="98" t="str">
        <f>IFERROR(__xludf.DUMMYFUNCTION("""COMPUTED_VALUE"""),"TNI0053-TNI0058_Dawei_24 FO : 2.36_Aung Lwin Phyo + TNI0014-TNI0058_Dawei_24 FO : 2.05_Aung Lwin Phyo + TNI0050-TNI0058_Dawei_24 FO : 2.85_Bhone Htet Aung + TNI0058-JB(TNI0050-TNI0058)_Dawei_48 FO : 0.7_Aung Lwin Phyo")</f>
        <v>TNI0053-TNI0058_Dawei_24 FO : 2.36_Aung Lwin Phyo + TNI0014-TNI0058_Dawei_24 FO : 2.05_Aung Lwin Phyo + TNI0050-TNI0058_Dawei_24 FO : 2.85_Bhone Htet Aung + TNI0058-JB(TNI0050-TNI0058)_Dawei_48 FO : 0.7_Aung Lwin Phyo</v>
      </c>
      <c r="D58" s="98" t="str">
        <f>IFERROR(__xludf.DUMMYFUNCTION("""COMPUTED_VALUE"""),"")</f>
        <v/>
      </c>
      <c r="E58" s="98" t="str">
        <f>IFERROR(__xludf.DUMMYFUNCTION("""COMPUTED_VALUE"""),"TNI0058 MYT_Routine_Maintenance_Mytel_Station_VCM _ myt_bhonehtet.aung : 30/12/1899 00:00 : 223.05 _ FT assigned + TNI0058 MYT_Routine_Maintenance_Mytel_Station_VCM _ myt_bhonehtet.aung : 11/04/2026 10:51 : 556.58 _ Close Solar M: TNI0058 MYT_Maintenacne_"&amp;"Solar _ myt_bhonehtet.aung : 30/12/1899 00:00 :  _ Close + TNI0058 MYT_Maintenacne_Solar _ myt_bhonehtet.aung : 05/05/2026 14:19 : 342.83 _ Close + TNI0058 MYT_Maintenacne_Solar _ myt_bhonehtet.aung : 13/05/2026 14:37 : -752.73 _ Close Solar Power:  Maint"&amp;"enance DG:  +  +  + MW Link: ")</f>
        <v>TNI0058 MYT_Routine_Maintenance_Mytel_Station_VCM _ myt_bhonehtet.aung : 30/12/1899 00:00 : 223.05 _ FT assigned + TNI0058 MYT_Routine_Maintenance_Mytel_Station_VCM _ myt_bhonehtet.aung : 11/04/2026 10:51 : 556.58 _ Close Solar M: TNI0058 MYT_Maintenacne_Solar _ myt_bhonehtet.aung : 30/12/1899 00:00 :  _ Close + TNI0058 MYT_Maintenacne_Solar _ myt_bhonehtet.aung : 05/05/2026 14:19 : 342.83 _ Close + TNI0058 MYT_Maintenacne_Solar _ myt_bhonehtet.aung : 13/05/2026 14:37 : -752.73 _ Close Solar Power:  Maintenance DG:  +  +  + MW Link: </v>
      </c>
    </row>
    <row r="59">
      <c r="A59" s="98" t="str">
        <f>IFERROR(__xludf.DUMMYFUNCTION("""COMPUTED_VALUE"""),"TNI0059")</f>
        <v>TNI0059</v>
      </c>
      <c r="B59" s="98" t="str">
        <f>IFERROR(__xludf.DUMMYFUNCTION("""COMPUTED_VALUE"""),"TNI0059: Dawei_IGT_B_MYT_TNI_TEAM01_Bhone Htet Aung")</f>
        <v>TNI0059: Dawei_IGT_B_MYT_TNI_TEAM01_Bhone Htet Aung</v>
      </c>
      <c r="C59" s="98" t="str">
        <f>IFERROR(__xludf.DUMMYFUNCTION("""COMPUTED_VALUE"""),"TNI0059-TNI0073_Dawei_24 FO : 1.39_Aung Lwin Phyo + TNI0059-TNI0250_Dawei_24 FO : 1.94_Aung Lwin Phyo")</f>
        <v>TNI0059-TNI0073_Dawei_24 FO : 1.39_Aung Lwin Phyo + TNI0059-TNI0250_Dawei_24 FO : 1.94_Aung Lwin Phyo</v>
      </c>
      <c r="D59" s="98" t="str">
        <f>IFERROR(__xludf.DUMMYFUNCTION("""COMPUTED_VALUE"""),"")</f>
        <v/>
      </c>
      <c r="E59" s="98" t="str">
        <f>IFERROR(__xludf.DUMMYFUNCTION("""COMPUTED_VALUE"""),"Fortune Telecom Company Limited : tni_dia_limitedftc41 1250 Km  Solar M:  Solar Power:  Maintenance DG:  +  +  + MW Link: ")</f>
        <v>Fortune Telecom Company Limited : tni_dia_limitedftc41 1250 Km  Solar M:  Solar Power:  Maintenance DG:  +  +  + MW Link: </v>
      </c>
    </row>
    <row r="60">
      <c r="A60" s="98" t="str">
        <f>IFERROR(__xludf.DUMMYFUNCTION("""COMPUTED_VALUE"""),"TNI0060")</f>
        <v>TNI0060</v>
      </c>
      <c r="B60" s="98" t="str">
        <f>IFERROR(__xludf.DUMMYFUNCTION("""COMPUTED_VALUE"""),"TNI0060: Dawei_Mytel_C_MYT_TNI_TEAM01_Bhone Htet Aung")</f>
        <v>TNI0060: Dawei_Mytel_C_MYT_TNI_TEAM01_Bhone Htet Aung</v>
      </c>
      <c r="C60" s="98" t="str">
        <f>IFERROR(__xludf.DUMMYFUNCTION("""COMPUTED_VALUE"""),"TNI0053-TNI0060_Dawei_24 FO : 2.04_Aung Lwin Phyo + TNI0060-TNI0072_Dawei_24 FO : 1.16_Aung Lwin Phyo + TNI0060-TNI0231_Dawei_24 FO : 2.94_Aung Lwin Phyo + TNI0060-TNI0238_Dawei_24 FO : 1.39_Aung Lwin Phyo")</f>
        <v>TNI0053-TNI0060_Dawei_24 FO : 2.04_Aung Lwin Phyo + TNI0060-TNI0072_Dawei_24 FO : 1.16_Aung Lwin Phyo + TNI0060-TNI0231_Dawei_24 FO : 2.94_Aung Lwin Phyo + TNI0060-TNI0238_Dawei_24 FO : 1.39_Aung Lwin Phyo</v>
      </c>
      <c r="D60" s="98" t="str">
        <f>IFERROR(__xludf.DUMMYFUNCTION("""COMPUTED_VALUE"""),"")</f>
        <v/>
      </c>
      <c r="E60" s="98" t="str">
        <f>IFERROR(__xludf.DUMMYFUNCTION("""COMPUTED_VALUE"""),"TNI0060 MYT_Routine_Maintenance_Mytel_Station_VCM _ myt_bhonehtet.aung : 23/06/2026 12:32 : 416.88 _ Close + TNI0060 MYT_Routine_Maintenance_Mytel_Station_VCM _ myt_bhonehtet.aung : 09/04/2026 11:47 : 783.13 _ Close Solar M: TNI0060 MYT_Maintenacne_Solar "&amp;"_ myt_bhonehtet.aung : 30/12/1899 00:00 :  _ Close + TNI0060 MYT_Maintenacne_Solar _ myt_bhonehtet.aung : 09/04/2026 11:19 : 111.11 _ Close Solar Power:  Maintenance DG:  +  +  + MW Link: ")</f>
        <v>TNI0060 MYT_Routine_Maintenance_Mytel_Station_VCM _ myt_bhonehtet.aung : 23/06/2026 12:32 : 416.88 _ Close + TNI0060 MYT_Routine_Maintenance_Mytel_Station_VCM _ myt_bhonehtet.aung : 09/04/2026 11:47 : 783.13 _ Close Solar M: TNI0060 MYT_Maintenacne_Solar _ myt_bhonehtet.aung : 30/12/1899 00:00 :  _ Close + TNI0060 MYT_Maintenacne_Solar _ myt_bhonehtet.aung : 09/04/2026 11:19 : 111.11 _ Close Solar Power:  Maintenance DG:  +  +  + MW Link: </v>
      </c>
    </row>
    <row r="61">
      <c r="A61" s="98" t="str">
        <f>IFERROR(__xludf.DUMMYFUNCTION("""COMPUTED_VALUE"""),"TNI0061")</f>
        <v>TNI0061</v>
      </c>
      <c r="B61" s="98" t="str">
        <f>IFERROR(__xludf.DUMMYFUNCTION("""COMPUTED_VALUE"""),"TNI0061: Dawei_PAT_C_MYT_TNI_TEAM01_Bone Myat Naing")</f>
        <v>TNI0061: Dawei_PAT_C_MYT_TNI_TEAM01_Bone Myat Naing</v>
      </c>
      <c r="C61" s="98" t="str">
        <f>IFERROR(__xludf.DUMMYFUNCTION("""COMPUTED_VALUE"""),"TNI0049-TNI0061_Dawei_24 FO : 1.51_Bhone Htet Aung + TNI0061-TNI0231_Dawei_24 FO : 4.79_Bhone Htet Aung")</f>
        <v>TNI0049-TNI0061_Dawei_24 FO : 1.51_Bhone Htet Aung + TNI0061-TNI0231_Dawei_24 FO : 4.79_Bhone Htet Aung</v>
      </c>
      <c r="D61" s="98" t="str">
        <f>IFERROR(__xludf.DUMMYFUNCTION("""COMPUTED_VALUE"""),"")</f>
        <v/>
      </c>
      <c r="E61" s="98" t="str">
        <f>IFERROR(__xludf.DUMMYFUNCTION("""COMPUTED_VALUE"""),"TNI0061 MYT_Routine_Maintenance_Mytel_Station_VCM _ myt_bonemyat.naing1 : 24/06/2026 13:59 : 416.87 _ Close + TNI0061 MYT_Routine_Maintenance_Mytel_Station_VCM _ myt_bonemyat.naing1 : 11/04/2026 10:33 : 556.59 _ Close Solar M:  Solar Power:  Maintenance D"&amp;"G:  +  +  + MW Link: ")</f>
        <v>TNI0061 MYT_Routine_Maintenance_Mytel_Station_VCM _ myt_bonemyat.naing1 : 24/06/2026 13:59 : 416.87 _ Close + TNI0061 MYT_Routine_Maintenance_Mytel_Station_VCM _ myt_bonemyat.naing1 : 11/04/2026 10:33 : 556.59 _ Close Solar M:  Solar Power:  Maintenance DG:  +  +  + MW Link: </v>
      </c>
    </row>
    <row r="62">
      <c r="A62" s="98" t="str">
        <f>IFERROR(__xludf.DUMMYFUNCTION("""COMPUTED_VALUE"""),"TNI0062")</f>
        <v>TNI0062</v>
      </c>
      <c r="B62" s="98" t="str">
        <f>IFERROR(__xludf.DUMMYFUNCTION("""COMPUTED_VALUE"""),"TNI0062: Dawei_IGT_C_MYT_TNI_TEAM01_Aung Lwin Phyo")</f>
        <v>TNI0062: Dawei_IGT_C_MYT_TNI_TEAM01_Aung Lwin Phyo</v>
      </c>
      <c r="C62" s="98" t="str">
        <f>IFERROR(__xludf.DUMMYFUNCTION("""COMPUTED_VALUE"""),"TNI0062-TNI0250_Dawei_48 FO : 1.77_Aung Lwin Phyo + TNI0062-TNI0251_Dawei_24 FO : 1.5_Bhone Htet Aung + TNI0062-JB(TNI0062-TNI0250)_Dawei_24 FO : 0.6_Win Htet Aung")</f>
        <v>TNI0062-TNI0250_Dawei_48 FO : 1.77_Aung Lwin Phyo + TNI0062-TNI0251_Dawei_24 FO : 1.5_Bhone Htet Aung + TNI0062-JB(TNI0062-TNI0250)_Dawei_24 FO : 0.6_Win Htet Aung</v>
      </c>
      <c r="D62" s="98" t="str">
        <f>IFERROR(__xludf.DUMMYFUNCTION("""COMPUTED_VALUE"""),"")</f>
        <v/>
      </c>
      <c r="E62" s="98" t="str">
        <f>IFERROR(__xludf.DUMMYFUNCTION("""COMPUTED_VALUE""")," Solar M:  Solar Power:  Maintenance DG:  +  +  + MW Link: ")</f>
        <v> Solar M:  Solar Power:  Maintenance DG:  +  +  + MW Link: </v>
      </c>
    </row>
    <row r="63">
      <c r="A63" s="98" t="str">
        <f>IFERROR(__xludf.DUMMYFUNCTION("""COMPUTED_VALUE"""),"TNI0063")</f>
        <v>TNI0063</v>
      </c>
      <c r="B63" s="98" t="str">
        <f>IFERROR(__xludf.DUMMYFUNCTION("""COMPUTED_VALUE"""),"TNI0063: Kawthoung_PAT_C_MYT_TNI_TEAM04_Khant Chaw Nyo")</f>
        <v>TNI0063: Kawthoung_PAT_C_MYT_TNI_TEAM04_Khant Chaw Nyo</v>
      </c>
      <c r="C63" s="98" t="str">
        <f>IFERROR(__xludf.DUMMYFUNCTION("""COMPUTED_VALUE"""),"TNI0063-TNIM030_Kawthaung_24 FO : 0.73_Khant Chaw Nyo")</f>
        <v>TNI0063-TNIM030_Kawthaung_24 FO : 0.73_Khant Chaw Nyo</v>
      </c>
      <c r="D63" s="98" t="str">
        <f>IFERROR(__xludf.DUMMYFUNCTION("""COMPUTED_VALUE"""),"+ OLT: Khant Chaw Nyo")</f>
        <v>+ OLT: Khant Chaw Nyo</v>
      </c>
      <c r="E63" s="98" t="str">
        <f>IFERROR(__xludf.DUMMYFUNCTION("""COMPUTED_VALUE"""),"TNI0063 MYT_Routine_Maintenance_Mytel_Station_VCM _ myt_khantchaw.nyo : 06/06/2026 16:33 : 845.65 _ Close + TNI0063 MYT_Routine_Maintenance_Mytel_Station_VCM _ myt_khantchaw.nyo : 30/03/2026 14:48 : 999.94 _ Close Solar M:  Solar Power:  Maintenance DG:  "&amp;"+  +  + MW Link: ")</f>
        <v>TNI0063 MYT_Routine_Maintenance_Mytel_Station_VCM _ myt_khantchaw.nyo : 06/06/2026 16:33 : 845.65 _ Close + TNI0063 MYT_Routine_Maintenance_Mytel_Station_VCM _ myt_khantchaw.nyo : 30/03/2026 14:48 : 999.94 _ Close Solar M:  Solar Power:  Maintenance DG:  +  +  + MW Link: </v>
      </c>
    </row>
    <row r="64">
      <c r="A64" s="98" t="str">
        <f>IFERROR(__xludf.DUMMYFUNCTION("""COMPUTED_VALUE"""),"TNI0064")</f>
        <v>TNI0064</v>
      </c>
      <c r="B64" s="98" t="str">
        <f>IFERROR(__xludf.DUMMYFUNCTION("""COMPUTED_VALUE"""),"TNI0064: Kawthoung_MEC_B_MYT_TNI_TEAM04_Khant Chaw Nyo")</f>
        <v>TNI0064: Kawthoung_MEC_B_MYT_TNI_TEAM04_Khant Chaw Nyo</v>
      </c>
      <c r="C64" s="98" t="str">
        <f>IFERROR(__xludf.DUMMYFUNCTION("""COMPUTED_VALUE"""),"TNI0064-TNI0454_Tanintharyi_24 FO : 3.19_Tin Maung Win + TNI0064-TNIM081_Kawthaung_24 FO : 0.61_Aung Myint Myat + TNI0064-TNI0233_Kawthaung_24 FO : 3.5_Khant Chaw Nyo")</f>
        <v>TNI0064-TNI0454_Tanintharyi_24 FO : 3.19_Tin Maung Win + TNI0064-TNIM081_Kawthaung_24 FO : 0.61_Aung Myint Myat + TNI0064-TNI0233_Kawthaung_24 FO : 3.5_Khant Chaw Nyo</v>
      </c>
      <c r="D64" s="98" t="str">
        <f>IFERROR(__xludf.DUMMYFUNCTION("""COMPUTED_VALUE"""),"")</f>
        <v/>
      </c>
      <c r="E64" s="98" t="str">
        <f>IFERROR(__xludf.DUMMYFUNCTION("""COMPUTED_VALUE"""),"Mytel Tanintharyi Branch : tni_dia_branchmt3 1200 Km  + U Myo Htun : tni_dia_htunum 1000 Km TNI0064 MYT_Routine_Maintenance_Mytel_Station_VCM _ myt_khantchaw.nyo : 29/05/2026 11:05 : 1039.84 _ Close + TNI0064 MYT_Routine_Maintenance_Mytel_Station_VCM _ my"&amp;"t_khantchaw.nyo : 06/04/2026 13:46 : 845.24 _ Close Solar M: TNI0064 MYT_Maintenacne_Solar _ myt_khantchaw.nyo : 21/05/2026 12:58 : 639.39 _ Close + TNI0064 MYT_Maintenacne_Solar _ myt_khantchaw.nyo : 28/04/2026 10:39 : 495.28 _ Close + TNI0064 MYT_Mainte"&amp;"nacne_Solar _ myt_khantchaw.nyo : 06/04/2026 13:46 : 173.25 _ Close Solar Power:  Maintenance DG:  +  +  + MW Link: ")</f>
        <v>Mytel Tanintharyi Branch : tni_dia_branchmt3 1200 Km  + U Myo Htun : tni_dia_htunum 1000 Km TNI0064 MYT_Routine_Maintenance_Mytel_Station_VCM _ myt_khantchaw.nyo : 29/05/2026 11:05 : 1039.84 _ Close + TNI0064 MYT_Routine_Maintenance_Mytel_Station_VCM _ myt_khantchaw.nyo : 06/04/2026 13:46 : 845.24 _ Close Solar M: TNI0064 MYT_Maintenacne_Solar _ myt_khantchaw.nyo : 21/05/2026 12:58 : 639.39 _ Close + TNI0064 MYT_Maintenacne_Solar _ myt_khantchaw.nyo : 28/04/2026 10:39 : 495.28 _ Close + TNI0064 MYT_Maintenacne_Solar _ myt_khantchaw.nyo : 06/04/2026 13:46 : 173.25 _ Close Solar Power:  Maintenance DG:  +  +  + MW Link: </v>
      </c>
    </row>
    <row r="65">
      <c r="A65" s="98" t="str">
        <f>IFERROR(__xludf.DUMMYFUNCTION("""COMPUTED_VALUE"""),"TNI0065")</f>
        <v>TNI0065</v>
      </c>
      <c r="B65" s="98" t="str">
        <f>IFERROR(__xludf.DUMMYFUNCTION("""COMPUTED_VALUE"""),"TNI0065: Dawei_Mytel_B_MYT_TNI_TEAM01_Bhone Htet Aung")</f>
        <v>TNI0065: Dawei_Mytel_B_MYT_TNI_TEAM01_Bhone Htet Aung</v>
      </c>
      <c r="C65" s="98" t="str">
        <f>IFERROR(__xludf.DUMMYFUNCTION("""COMPUTED_VALUE"""),"TNI0065-JB(TNI0065-TNI0238)_Dawei_48 FO : 0.33_Bhone Htet Aung + TNI0065-TNI0271_Dawei_24 FO : 1.09_Bhone Htet Aung + TNI0065-TNI0072_Dawei_48 FO : 2.26_Win Htet Aung + TNI0065-TNI0238_Dawei_24 FO : 2.1_Win Htet Aung")</f>
        <v>TNI0065-JB(TNI0065-TNI0238)_Dawei_48 FO : 0.33_Bhone Htet Aung + TNI0065-TNI0271_Dawei_24 FO : 1.09_Bhone Htet Aung + TNI0065-TNI0072_Dawei_48 FO : 2.26_Win Htet Aung + TNI0065-TNI0238_Dawei_24 FO : 2.1_Win Htet Aung</v>
      </c>
      <c r="D65" s="98" t="str">
        <f>IFERROR(__xludf.DUMMYFUNCTION("""COMPUTED_VALUE"""),"+ OLT: Bhone Htet Aung")</f>
        <v>+ OLT: Bhone Htet Aung</v>
      </c>
      <c r="E65" s="98" t="str">
        <f>IFERROR(__xludf.DUMMYFUNCTION("""COMPUTED_VALUE"""),"TNI0065 MYT_Routine_Maintenance_Mytel_Station_VCM _ myt_bhonehtet.aung : 27/06/2026 13:14 : 297.09 _ Close + TNI0065 MYT_Routine_Maintenance_Mytel_Station_VCM _ myt_bhonehtet.aung : 11/04/2026 13:41 : 556.58 _ Close Solar M: TNI0065 MYT_Maintenacne_Solar "&amp;"_ myt_bhonehtet.aung : 30/12/1899 00:00 :  _ Close + TNI0065 MYT_Maintenacne_Solar _ myt_bhonehtet.aung : 05/05/2026 12:13 : 342.83 _ Close + TNI0065 MYT_Maintenacne_Solar _ myt_bhonehtet.aung : 11/04/2026 13:26 : -115.4 _ Close Solar Power:  Maintenance "&amp;"DG:  +  +  + MW Link: ")</f>
        <v>TNI0065 MYT_Routine_Maintenance_Mytel_Station_VCM _ myt_bhonehtet.aung : 27/06/2026 13:14 : 297.09 _ Close + TNI0065 MYT_Routine_Maintenance_Mytel_Station_VCM _ myt_bhonehtet.aung : 11/04/2026 13:41 : 556.58 _ Close Solar M: TNI0065 MYT_Maintenacne_Solar _ myt_bhonehtet.aung : 30/12/1899 00:00 :  _ Close + TNI0065 MYT_Maintenacne_Solar _ myt_bhonehtet.aung : 05/05/2026 12:13 : 342.83 _ Close + TNI0065 MYT_Maintenacne_Solar _ myt_bhonehtet.aung : 11/04/2026 13:26 : -115.4 _ Close Solar Power:  Maintenance DG:  +  +  + MW Link: </v>
      </c>
    </row>
    <row r="66">
      <c r="A66" s="98" t="str">
        <f>IFERROR(__xludf.DUMMYFUNCTION("""COMPUTED_VALUE"""),"TNI0066")</f>
        <v>TNI0066</v>
      </c>
      <c r="B66" s="98" t="str">
        <f>IFERROR(__xludf.DUMMYFUNCTION("""COMPUTED_VALUE"""),"TNI0066: Dawei_Mytel_B_MYT_TNI_TEAM01_Aung Lwin Phyo")</f>
        <v>TNI0066: Dawei_Mytel_B_MYT_TNI_TEAM01_Aung Lwin Phyo</v>
      </c>
      <c r="C66" s="98" t="str">
        <f>IFERROR(__xludf.DUMMYFUNCTION("""COMPUTED_VALUE"""),"TNI0066-TNI0256_Dawei_24 FO : 0.89_Aung Lwin Phyo + TNI0066-TNI0265_Dawei_24 FO : 1.25_Win Htet Aung")</f>
        <v>TNI0066-TNI0256_Dawei_24 FO : 0.89_Aung Lwin Phyo + TNI0066-TNI0265_Dawei_24 FO : 1.25_Win Htet Aung</v>
      </c>
      <c r="D66" s="98" t="str">
        <f>IFERROR(__xludf.DUMMYFUNCTION("""COMPUTED_VALUE"""),"+ OLT: Aung Lwin Phyo")</f>
        <v>+ OLT: Aung Lwin Phyo</v>
      </c>
      <c r="E66" s="98" t="str">
        <f>IFERROR(__xludf.DUMMYFUNCTION("""COMPUTED_VALUE"""),"TNI0066 MYT_Routine_Maintenance_Mytel_Station MYT_RTE_MTE_SB_STN _ myt_phyoko.ko44 : 30/12/1899 00:00 : 886.64 _ FT assigned + TNI0066 MYT_Routine_Maintenance_Mytel_Station_VCM _ myt_aunglwin.phyo : 08/06/2026 16:19 : 595.04 _ Close + TNI0066 MYT_Routine_"&amp;"Maintenance_Mytel_Station_VCM _ myt_aunglwin.phyo : 13/05/2026 12:35 : -80.87 _ Close Solar M: TNI0066 MYT_Maintenacne_Solar _ myt_aunglwin.phyo : 30/12/1899 00:00 :  _ Close + TNI0066 MYT_Maintenacne_Solar _ myt_aunglwin.phyo : 13/05/2026 12:08 : 33.9 _ "&amp;"Close + TNI0066 MYT_Maintenacne_Solar _ myt_aunglwin.phyo : 13/05/2026 12:09 : -752.71 _ Close Solar Power:  Maintenance DG:  +  +  + MW Link: ")</f>
        <v>TNI0066 MYT_Routine_Maintenance_Mytel_Station MYT_RTE_MTE_SB_STN _ myt_phyoko.ko44 : 30/12/1899 00:00 : 886.64 _ FT assigned + TNI0066 MYT_Routine_Maintenance_Mytel_Station_VCM _ myt_aunglwin.phyo : 08/06/2026 16:19 : 595.04 _ Close + TNI0066 MYT_Routine_Maintenance_Mytel_Station_VCM _ myt_aunglwin.phyo : 13/05/2026 12:35 : -80.87 _ Close Solar M: TNI0066 MYT_Maintenacne_Solar _ myt_aunglwin.phyo : 30/12/1899 00:00 :  _ Close + TNI0066 MYT_Maintenacne_Solar _ myt_aunglwin.phyo : 13/05/2026 12:08 : 33.9 _ Close + TNI0066 MYT_Maintenacne_Solar _ myt_aunglwin.phyo : 13/05/2026 12:09 : -752.71 _ Close Solar Power:  Maintenance DG:  +  +  + MW Link: </v>
      </c>
    </row>
    <row r="67">
      <c r="A67" s="98" t="str">
        <f>IFERROR(__xludf.DUMMYFUNCTION("""COMPUTED_VALUE"""),"TNI0067")</f>
        <v>TNI0067</v>
      </c>
      <c r="B67" s="98" t="str">
        <f>IFERROR(__xludf.DUMMYFUNCTION("""COMPUTED_VALUE"""),"TNI0067: Dawei_Mytel_C_MYT_TNI_TEAM01_Bhone Htet Aung")</f>
        <v>TNI0067: Dawei_Mytel_C_MYT_TNI_TEAM01_Bhone Htet Aung</v>
      </c>
      <c r="C67" s="98" t="str">
        <f>IFERROR(__xludf.DUMMYFUNCTION("""COMPUTED_VALUE"""),"TNI0067-JB(TNI0067-TNI0069)_Dawei_48 FO : 0.33_Bhone Htet Aung + TNI0067-TNI0069_Dawei_24 FO : 2.14_Bhone Htet Aung + TNI0067-TNI0251_Dawei_24 FO : 0.88_Bhone Htet Aung")</f>
        <v>TNI0067-JB(TNI0067-TNI0069)_Dawei_48 FO : 0.33_Bhone Htet Aung + TNI0067-TNI0069_Dawei_24 FO : 2.14_Bhone Htet Aung + TNI0067-TNI0251_Dawei_24 FO : 0.88_Bhone Htet Aung</v>
      </c>
      <c r="D67" s="98" t="str">
        <f>IFERROR(__xludf.DUMMYFUNCTION("""COMPUTED_VALUE"""),"")</f>
        <v/>
      </c>
      <c r="E67" s="98" t="str">
        <f>IFERROR(__xludf.DUMMYFUNCTION("""COMPUTED_VALUE"""),"TNI0067 MYT_Routine_Maintenance_Mytel_Station_VCM _ myt_bhonehtet.aung : 27/06/2026 10:40 : 223.05 _ FT completed + TNI0067 MYT_Routine_Maintenance_Mytel_Station_VCM _ myt_bhonehtet.aung : 17/05/2026 11:02 : -175.95 _ Close Solar M: TNI0067 MYT_Maintenacn"&amp;"e_Solar _ myt_bhonehtet.aung : 30/12/1899 00:00 :  _ Close + TNI0067 MYT_Maintenacne_Solar _ myt_bhonehtet.aung : 05/05/2026 12:49 : 342.83 _ Close + TNI0067 MYT_Maintenacne_Solar _ myt_bhonehtet.aung : 17/05/2026 11:06 : -847.94 _ Close Solar Power:  Mai"&amp;"ntenance DG:  +  +  + MW Link: ")</f>
        <v>TNI0067 MYT_Routine_Maintenance_Mytel_Station_VCM _ myt_bhonehtet.aung : 27/06/2026 10:40 : 223.05 _ FT completed + TNI0067 MYT_Routine_Maintenance_Mytel_Station_VCM _ myt_bhonehtet.aung : 17/05/2026 11:02 : -175.95 _ Close Solar M: TNI0067 MYT_Maintenacne_Solar _ myt_bhonehtet.aung : 30/12/1899 00:00 :  _ Close + TNI0067 MYT_Maintenacne_Solar _ myt_bhonehtet.aung : 05/05/2026 12:49 : 342.83 _ Close + TNI0067 MYT_Maintenacne_Solar _ myt_bhonehtet.aung : 17/05/2026 11:06 : -847.94 _ Close Solar Power:  Maintenance DG:  +  +  + MW Link: </v>
      </c>
    </row>
    <row r="68">
      <c r="A68" s="98" t="str">
        <f>IFERROR(__xludf.DUMMYFUNCTION("""COMPUTED_VALUE"""),"TNI0068")</f>
        <v>TNI0068</v>
      </c>
      <c r="B68" s="98" t="str">
        <f>IFERROR(__xludf.DUMMYFUNCTION("""COMPUTED_VALUE"""),"TNI0068: Dawei_Mytel_B_MYT_TNI_TEAM01_Bhone Htet Aung")</f>
        <v>TNI0068: Dawei_Mytel_B_MYT_TNI_TEAM01_Bhone Htet Aung</v>
      </c>
      <c r="C68" s="98" t="str">
        <f>IFERROR(__xludf.DUMMYFUNCTION("""COMPUTED_VALUE"""),"TNI0068-TNI0069_Dawei_24 FO : 0.66_Aung Lwin Phyo + TNI0068-TNI0264_Dawei_24 FO : 1.59_Bhone Htet Aung")</f>
        <v>TNI0068-TNI0069_Dawei_24 FO : 0.66_Aung Lwin Phyo + TNI0068-TNI0264_Dawei_24 FO : 1.59_Bhone Htet Aung</v>
      </c>
      <c r="D68" s="98" t="str">
        <f>IFERROR(__xludf.DUMMYFUNCTION("""COMPUTED_VALUE"""),"+ OLT: Bhone Htet Aung")</f>
        <v>+ OLT: Bhone Htet Aung</v>
      </c>
      <c r="E68" s="98" t="str">
        <f>IFERROR(__xludf.DUMMYFUNCTION("""COMPUTED_VALUE"""),"Innwa Bank Limied : tni_dia_limiedib8 1000 Km  + Innwa Bank Limied : tni_dia_limiedib3 1500 Km  + Tanintharyi Government Office : tni_dia_officetg4 1000 Km TNI0068 MYT_Routine_Maintenance_Mytel_Station_VCM _ myt_bhonehtet.aung : 30/12/1899 00:00 : 223.05 "&amp;"_ FT assigned + TNI0068 MYT_Routine_Maintenance_Mytel_Station_VCM _ myt_bhonehtet.aung : 19/05/2026 15:24 : -176.02 _ Close Solar M: TNI0068 MYT_Maintenacne_Solar _ myt_bhonehtet.aung : 30/12/1899 00:00 :  _ Close + TNI0068 MYT_Maintenacne_Solar _ myt_bho"&amp;"nehtet.aung : 17/05/2026 09:16 : 33.9 _ Close Solar Power:  Maintenance DG:  +  +  + MW Link: ")</f>
        <v>Innwa Bank Limied : tni_dia_limiedib8 1000 Km  + Innwa Bank Limied : tni_dia_limiedib3 1500 Km  + Tanintharyi Government Office : tni_dia_officetg4 1000 Km TNI0068 MYT_Routine_Maintenance_Mytel_Station_VCM _ myt_bhonehtet.aung : 30/12/1899 00:00 : 223.05 _ FT assigned + TNI0068 MYT_Routine_Maintenance_Mytel_Station_VCM _ myt_bhonehtet.aung : 19/05/2026 15:24 : -176.02 _ Close Solar M: TNI0068 MYT_Maintenacne_Solar _ myt_bhonehtet.aung : 30/12/1899 00:00 :  _ Close + TNI0068 MYT_Maintenacne_Solar _ myt_bhonehtet.aung : 17/05/2026 09:16 : 33.9 _ Close Solar Power:  Maintenance DG:  +  +  + MW Link: </v>
      </c>
    </row>
    <row r="69">
      <c r="A69" s="98" t="str">
        <f>IFERROR(__xludf.DUMMYFUNCTION("""COMPUTED_VALUE"""),"TNI0069")</f>
        <v>TNI0069</v>
      </c>
      <c r="B69" s="98" t="str">
        <f>IFERROR(__xludf.DUMMYFUNCTION("""COMPUTED_VALUE"""),"TNI0069: Dawei_Mytel_C_MYT_TNI_TEAM01_Bone Myat Naing")</f>
        <v>TNI0069: Dawei_Mytel_C_MYT_TNI_TEAM01_Bone Myat Naing</v>
      </c>
      <c r="C69" s="98" t="str">
        <f>IFERROR(__xludf.DUMMYFUNCTION("""COMPUTED_VALUE"""),"TNI0068-TNI0069_Dawei_24 FO : 0.66_Aung Lwin Phyo + TNI0067-TNI0069_Dawei_24 FO : 2.14_Bhone Htet Aung + TNI0013-TNI0069_Dawei_24 FO : 0.89_Bone Myat Naing")</f>
        <v>TNI0068-TNI0069_Dawei_24 FO : 0.66_Aung Lwin Phyo + TNI0067-TNI0069_Dawei_24 FO : 2.14_Bhone Htet Aung + TNI0013-TNI0069_Dawei_24 FO : 0.89_Bone Myat Naing</v>
      </c>
      <c r="D69" s="98" t="str">
        <f>IFERROR(__xludf.DUMMYFUNCTION("""COMPUTED_VALUE"""),"")</f>
        <v/>
      </c>
      <c r="E69" s="98" t="str">
        <f>IFERROR(__xludf.DUMMYFUNCTION("""COMPUTED_VALUE"""),"TNI0069 MYT_Routine_Maintenance_Mytel_Station MYT_RTE_MTE_SB_STN _ myt_phyoko.ko44 : 30/12/1899 00:00 : 886.64 _ FT Inprocessing + TNI0069 MYT_Routine_Maintenance_Mytel_Station_VCM _ myt_bonemyat.naing1 : 03/06/2026 15:32 : 595.04 _ Close + TNI0069 MYT_Ro"&amp;"utine_Maintenance_Mytel_Station_VCM _ myt_bonemyat.naing1 : 10/04/2026 15:53 : 556.56 _ Close Solar M: TNI0069 MYT_Maintenacne_Solar _ myt_bonemyat.naing1 : 30/12/1899 00:00 :  _ Close + TNI0069 MYT_Maintenacne_Solar _ myt_bonemyat.naing1 : 19/05/2026 15:"&amp;"13 : -8.03 _ Close + TNI0069 MYT_Maintenacne_Solar _ myt_bonemyat.naing1 : 06/05/2026 15:48 : -592.9 _ Close Solar Power: TNI0069 MYT_Troubleshooting Solar Power System _ myt_bonemyat.naing1 : 30/12/1899 00:00 : -520.95 _ FT assigned Maintenance DG:  +  +"&amp;"  + MW Link: ")</f>
        <v>TNI0069 MYT_Routine_Maintenance_Mytel_Station MYT_RTE_MTE_SB_STN _ myt_phyoko.ko44 : 30/12/1899 00:00 : 886.64 _ FT Inprocessing + TNI0069 MYT_Routine_Maintenance_Mytel_Station_VCM _ myt_bonemyat.naing1 : 03/06/2026 15:32 : 595.04 _ Close + TNI0069 MYT_Routine_Maintenance_Mytel_Station_VCM _ myt_bonemyat.naing1 : 10/04/2026 15:53 : 556.56 _ Close Solar M: TNI0069 MYT_Maintenacne_Solar _ myt_bonemyat.naing1 : 30/12/1899 00:00 :  _ Close + TNI0069 MYT_Maintenacne_Solar _ myt_bonemyat.naing1 : 19/05/2026 15:13 : -8.03 _ Close + TNI0069 MYT_Maintenacne_Solar _ myt_bonemyat.naing1 : 06/05/2026 15:48 : -592.9 _ Close Solar Power: TNI0069 MYT_Troubleshooting Solar Power System _ myt_bonemyat.naing1 : 30/12/1899 00:00 : -520.95 _ FT assigned Maintenance DG:  +  +  + MW Link: </v>
      </c>
    </row>
    <row r="70">
      <c r="A70" s="98" t="str">
        <f>IFERROR(__xludf.DUMMYFUNCTION("""COMPUTED_VALUE"""),"TNI0070")</f>
        <v>TNI0070</v>
      </c>
      <c r="B70" s="98" t="str">
        <f>IFERROR(__xludf.DUMMYFUNCTION("""COMPUTED_VALUE"""),"TNI0070: Dawei_Mytel_B_MYT_TNI_TEAM01_Bhone Htet Aung")</f>
        <v>TNI0070: Dawei_Mytel_B_MYT_TNI_TEAM01_Bhone Htet Aung</v>
      </c>
      <c r="C70" s="98" t="str">
        <f>IFERROR(__xludf.DUMMYFUNCTION("""COMPUTED_VALUE"""),"TNI0013-TNI0070_Dawei_24 FO : 1.02_Bone Myat Naing + TNI0070-TNI0245_Dawei_24 FO : 0.97_Aung Lwin Phyo")</f>
        <v>TNI0013-TNI0070_Dawei_24 FO : 1.02_Bone Myat Naing + TNI0070-TNI0245_Dawei_24 FO : 0.97_Aung Lwin Phyo</v>
      </c>
      <c r="D70" s="98" t="str">
        <f>IFERROR(__xludf.DUMMYFUNCTION("""COMPUTED_VALUE"""),"")</f>
        <v/>
      </c>
      <c r="E70" s="98" t="str">
        <f>IFERROR(__xludf.DUMMYFUNCTION("""COMPUTED_VALUE"""),"Fortune Telecom Company Limited : tni_dia_limitedftc42 1000 Km TNI0070 MYT_Routine_Maintenance_Mytel_Station_VCM _ myt_bhonehtet.aung : 30/12/1899 00:00 : 223.05 _ FT Inprocessing + TNI0070 MYT_Routine_Maintenance_Mytel_Station_VCM _ myt_bhonehtet.aung : "&amp;"02/04/2026 16:35 : 783.12 _ Close Solar M: TNI0070 MYT_Maintenacne_Solar _ myt_bhonehtet.aung : 30/12/1899 00:00 :  _ Close + TNI0070 MYT_Maintenacne_Solar _ myt_tharhtoo.aung11 : 14/05/2026 17:47 : 126.2 _ Close + TNI0070 MYT_Maintenacne_Solar _ myt_bhon"&amp;"ehtet.aung : 05/05/2026 15:29 : -592.91 _ Close Solar Power:  Maintenance DG:  +  +  + MW Link: ")</f>
        <v>Fortune Telecom Company Limited : tni_dia_limitedftc42 1000 Km TNI0070 MYT_Routine_Maintenance_Mytel_Station_VCM _ myt_bhonehtet.aung : 30/12/1899 00:00 : 223.05 _ FT Inprocessing + TNI0070 MYT_Routine_Maintenance_Mytel_Station_VCM _ myt_bhonehtet.aung : 02/04/2026 16:35 : 783.12 _ Close Solar M: TNI0070 MYT_Maintenacne_Solar _ myt_bhonehtet.aung : 30/12/1899 00:00 :  _ Close + TNI0070 MYT_Maintenacne_Solar _ myt_tharhtoo.aung11 : 14/05/2026 17:47 : 126.2 _ Close + TNI0070 MYT_Maintenacne_Solar _ myt_bhonehtet.aung : 05/05/2026 15:29 : -592.91 _ Close Solar Power:  Maintenance DG:  +  +  + MW Link: </v>
      </c>
    </row>
    <row r="71">
      <c r="A71" s="98" t="str">
        <f>IFERROR(__xludf.DUMMYFUNCTION("""COMPUTED_VALUE"""),"TNI0071")</f>
        <v>TNI0071</v>
      </c>
      <c r="B71" s="98" t="str">
        <f>IFERROR(__xludf.DUMMYFUNCTION("""COMPUTED_VALUE"""),"TNI0071: Dawei_Mytel_B_MYT_TNI_TEAM01_Bone Myat Naing")</f>
        <v>TNI0071: Dawei_Mytel_B_MYT_TNI_TEAM01_Bone Myat Naing</v>
      </c>
      <c r="C71" s="98" t="str">
        <f>IFERROR(__xludf.DUMMYFUNCTION("""COMPUTED_VALUE"""),"TNI0071-TNI0250_Dawei_24 FO : 3.59_Aung Lwin Phyo + TNI0071-TNI0264_Dawei_24 FO : 0.87_Bhone Htet Aung + TNI0071-JB(TNI0071-TNI0250)_Dawei_48 FO : 0.55_Bhone Htet Aung")</f>
        <v>TNI0071-TNI0250_Dawei_24 FO : 3.59_Aung Lwin Phyo + TNI0071-TNI0264_Dawei_24 FO : 0.87_Bhone Htet Aung + TNI0071-JB(TNI0071-TNI0250)_Dawei_48 FO : 0.55_Bhone Htet Aung</v>
      </c>
      <c r="D71" s="98" t="str">
        <f>IFERROR(__xludf.DUMMYFUNCTION("""COMPUTED_VALUE"""),"+ OLT: Bone Myat Naing")</f>
        <v>+ OLT: Bone Myat Naing</v>
      </c>
      <c r="E71" s="98" t="str">
        <f>IFERROR(__xludf.DUMMYFUNCTION("""COMPUTED_VALUE"""),"TNI0071 MYT_Routine_Maintenance_Mytel_Station_VCM _ myt_bonemyat.naing1 : 30/12/1899 00:00 : 223.05 _ FT assigned + TNI0071 MYT_Routine_Maintenance_Mytel_Station_VCM _ myt_bonemyat.naing1 : 10/04/2026 15:26 : 556.57 _ Close Solar M: TNI0071 MYT_Maintenacn"&amp;"e_Solar _ myt_bonemyat.naing1 : 30/12/1899 00:00 :  _ Close + TNI0071 MYT_Maintenacne_Solar _ myt_bonemyat.naing1 : 19/05/2026 14:18 : -8.01 _ Close + TNI0071 MYT_Maintenacne_Solar _ myt_bonemyat.naing1 : 19/05/2026 14:16 : -847.94 _ Close Solar Power:  M"&amp;"aintenance DG:  +  +  + MW Link: ")</f>
        <v>TNI0071 MYT_Routine_Maintenance_Mytel_Station_VCM _ myt_bonemyat.naing1 : 30/12/1899 00:00 : 223.05 _ FT assigned + TNI0071 MYT_Routine_Maintenance_Mytel_Station_VCM _ myt_bonemyat.naing1 : 10/04/2026 15:26 : 556.57 _ Close Solar M: TNI0071 MYT_Maintenacne_Solar _ myt_bonemyat.naing1 : 30/12/1899 00:00 :  _ Close + TNI0071 MYT_Maintenacne_Solar _ myt_bonemyat.naing1 : 19/05/2026 14:18 : -8.01 _ Close + TNI0071 MYT_Maintenacne_Solar _ myt_bonemyat.naing1 : 19/05/2026 14:16 : -847.94 _ Close Solar Power:  Maintenance DG:  +  +  + MW Link: </v>
      </c>
    </row>
    <row r="72">
      <c r="A72" s="98" t="str">
        <f>IFERROR(__xludf.DUMMYFUNCTION("""COMPUTED_VALUE"""),"TNI0072")</f>
        <v>TNI0072</v>
      </c>
      <c r="B72" s="98" t="str">
        <f>IFERROR(__xludf.DUMMYFUNCTION("""COMPUTED_VALUE"""),"TNI0072: Dawei_Mytel_C_MYT_TNI_TEAM01_Bhone Htet Aung")</f>
        <v>TNI0072: Dawei_Mytel_C_MYT_TNI_TEAM01_Bhone Htet Aung</v>
      </c>
      <c r="C72" s="98" t="str">
        <f>IFERROR(__xludf.DUMMYFUNCTION("""COMPUTED_VALUE"""),"TNI0060-TNI0072_Dawei_24 FO : 1.16_Aung Lwin Phyo + TNI0065-TNI0072_Dawei_48 FO : 2.26_Win Htet Aung")</f>
        <v>TNI0060-TNI0072_Dawei_24 FO : 1.16_Aung Lwin Phyo + TNI0065-TNI0072_Dawei_48 FO : 2.26_Win Htet Aung</v>
      </c>
      <c r="D72" s="98" t="str">
        <f>IFERROR(__xludf.DUMMYFUNCTION("""COMPUTED_VALUE"""),"")</f>
        <v/>
      </c>
      <c r="E72" s="98" t="str">
        <f>IFERROR(__xludf.DUMMYFUNCTION("""COMPUTED_VALUE"""),"Government Technical High School : tni_dia_schoolgth1 500 Km TNI0072 MYT_Routine_Maintenance_Mytel_Station MYT_RTE_MTE_SB_STN _ myt_phyoko.ko44 : 30/12/1899 00:00 : 886.64 _ FT assigned + TNI0072 MYT_Routine_Maintenance_Mytel_Station_VCM _ myt_bhonehtet.a"&amp;"ung : 12/06/2026 13:23 : 595.04 _ Close + TNI0072 MYT_Routine_Maintenance_Mytel_Station_VCM _ myt_bhonehtet.aung : 11/04/2026 12:58 : 556.57 _ Close Solar M: TNI0072 MYT_Maintenacne_Solar _ myt_bhonehtet.aung : 30/12/1899 00:00 :  _ Close + TNI0072 MYT_Ma"&amp;"intenacne_Solar _ myt_bhonehtet.aung : 04/05/2026 14:46 : 342.84 _ Close + TNI0072 MYT_Maintenacne_Solar _ myt_bhonehtet.aung : 11/04/2026 12:34 : -115.39 _ Close Solar Power:  Maintenance DG:  +  +  + MW Link: ")</f>
        <v>Government Technical High School : tni_dia_schoolgth1 500 Km TNI0072 MYT_Routine_Maintenance_Mytel_Station MYT_RTE_MTE_SB_STN _ myt_phyoko.ko44 : 30/12/1899 00:00 : 886.64 _ FT assigned + TNI0072 MYT_Routine_Maintenance_Mytel_Station_VCM _ myt_bhonehtet.aung : 12/06/2026 13:23 : 595.04 _ Close + TNI0072 MYT_Routine_Maintenance_Mytel_Station_VCM _ myt_bhonehtet.aung : 11/04/2026 12:58 : 556.57 _ Close Solar M: TNI0072 MYT_Maintenacne_Solar _ myt_bhonehtet.aung : 30/12/1899 00:00 :  _ Close + TNI0072 MYT_Maintenacne_Solar _ myt_bhonehtet.aung : 04/05/2026 14:46 : 342.84 _ Close + TNI0072 MYT_Maintenacne_Solar _ myt_bhonehtet.aung : 11/04/2026 12:34 : -115.39 _ Close Solar Power:  Maintenance DG:  +  +  + MW Link: </v>
      </c>
    </row>
    <row r="73">
      <c r="A73" s="98" t="str">
        <f>IFERROR(__xludf.DUMMYFUNCTION("""COMPUTED_VALUE"""),"TNI0073")</f>
        <v>TNI0073</v>
      </c>
      <c r="B73" s="98" t="str">
        <f>IFERROR(__xludf.DUMMYFUNCTION("""COMPUTED_VALUE"""),"TNI0073: Dawei_Mytel_C_MYT_TNI_TEAM01_Aung Lwin Phyo")</f>
        <v>TNI0073: Dawei_Mytel_C_MYT_TNI_TEAM01_Aung Lwin Phyo</v>
      </c>
      <c r="C73" s="98" t="str">
        <f>IFERROR(__xludf.DUMMYFUNCTION("""COMPUTED_VALUE"""),"TNI0059-TNI0073_Dawei_24 FO : 1.39_Aung Lwin Phyo + TNI0073-TNI0247_Dawei_24 FO : 1.26_Aung Lwin Phyo")</f>
        <v>TNI0059-TNI0073_Dawei_24 FO : 1.39_Aung Lwin Phyo + TNI0073-TNI0247_Dawei_24 FO : 1.26_Aung Lwin Phyo</v>
      </c>
      <c r="D73" s="98" t="str">
        <f>IFERROR(__xludf.DUMMYFUNCTION("""COMPUTED_VALUE"""),"")</f>
        <v/>
      </c>
      <c r="E73" s="98" t="str">
        <f>IFERROR(__xludf.DUMMYFUNCTION("""COMPUTED_VALUE"""),"TNI0073 MYT_Routine_Maintenance_Mytel_Station_VCM _ myt_aunglwin.phyo : 30/12/1899 00:00 : 223.05 _ FT Inprocessing + TNI0073 MYT_Routine_Maintenance_Mytel_Station_VCM _ myt_aunglwin.phyo : 22/05/2026 10:32 : -407.99 _ Close Solar M:  Solar Power:  Mainte"&amp;"nance DG:  +  +  + MW Link: ")</f>
        <v>TNI0073 MYT_Routine_Maintenance_Mytel_Station_VCM _ myt_aunglwin.phyo : 30/12/1899 00:00 : 223.05 _ FT Inprocessing + TNI0073 MYT_Routine_Maintenance_Mytel_Station_VCM _ myt_aunglwin.phyo : 22/05/2026 10:32 : -407.99 _ Close Solar M:  Solar Power:  Maintenance DG:  +  +  + MW Link: </v>
      </c>
    </row>
    <row r="74">
      <c r="A74" s="98" t="str">
        <f>IFERROR(__xludf.DUMMYFUNCTION("""COMPUTED_VALUE"""),"TNI0075")</f>
        <v>TNI0075</v>
      </c>
      <c r="B74" s="98" t="str">
        <f>IFERROR(__xludf.DUMMYFUNCTION("""COMPUTED_VALUE"""),"TNI0075: Palaw_IGT_B_MYT_TNI_TEAM02_Min Paing Oo")</f>
        <v>TNI0075: Palaw_IGT_B_MYT_TNI_TEAM02_Min Paing Oo</v>
      </c>
      <c r="C74" s="98" t="str">
        <f>IFERROR(__xludf.DUMMYFUNCTION("""COMPUTED_VALUE"""),"TNI0033-TNI0075_Palaw_24 FO : 3.8_Min Paing Oo + TNI0075-TNIM031_Palaw_24 FO : 0.68_Min Paing Oo")</f>
        <v>TNI0033-TNI0075_Palaw_24 FO : 3.8_Min Paing Oo + TNI0075-TNIM031_Palaw_24 FO : 0.68_Min Paing Oo</v>
      </c>
      <c r="D74" s="98" t="str">
        <f>IFERROR(__xludf.DUMMYFUNCTION("""COMPUTED_VALUE"""),"+ OLT: Min Paing Oo")</f>
        <v>+ OLT: Min Paing Oo</v>
      </c>
      <c r="E74" s="98" t="str">
        <f>IFERROR(__xludf.DUMMYFUNCTION("""COMPUTED_VALUE"""),"Nguyen Van Hoa : tni_dia_hoanv3 500 Km  Solar M:  Solar Power:  Maintenance DG:  +  +  + MW Link: ")</f>
        <v>Nguyen Van Hoa : tni_dia_hoanv3 500 Km  Solar M:  Solar Power:  Maintenance DG:  +  +  + MW Link: </v>
      </c>
    </row>
    <row r="75">
      <c r="A75" s="98" t="str">
        <f>IFERROR(__xludf.DUMMYFUNCTION("""COMPUTED_VALUE"""),"TNI0076")</f>
        <v>TNI0076</v>
      </c>
      <c r="B75" s="98" t="str">
        <f>IFERROR(__xludf.DUMMYFUNCTION("""COMPUTED_VALUE"""),"TNI0076: Myeik_IGT_B_MYT_TNI_TEAM02_Wanna Oo")</f>
        <v>TNI0076: Myeik_IGT_B_MYT_TNI_TEAM02_Wanna Oo</v>
      </c>
      <c r="C75" s="98" t="str">
        <f>IFERROR(__xludf.DUMMYFUNCTION("""COMPUTED_VALUE"""),"TNI0030-TNI0076_Myeik_24 FO : 2.01_Pyi Kyaw Aung + TNI0076-TNI0255_Myeik_24 FO : 1.4_Ye Lin")</f>
        <v>TNI0030-TNI0076_Myeik_24 FO : 2.01_Pyi Kyaw Aung + TNI0076-TNI0255_Myeik_24 FO : 1.4_Ye Lin</v>
      </c>
      <c r="D75" s="98" t="str">
        <f>IFERROR(__xludf.DUMMYFUNCTION("""COMPUTED_VALUE"""),"+ OLT: Wanna Oo")</f>
        <v>+ OLT: Wanna Oo</v>
      </c>
      <c r="E75" s="98" t="str">
        <f>IFERROR(__xludf.DUMMYFUNCTION("""COMPUTED_VALUE"""),"Fortune Telecom Company Limited : tni_dia_limitedftc43 100 Km  + Mytel Tanintharyi Branch : tni_dia_branchmt4 750 Km  Solar M:  Solar Power:  Maintenance DG:  +  +  + MW Link: ")</f>
        <v>Fortune Telecom Company Limited : tni_dia_limitedftc43 100 Km  + Mytel Tanintharyi Branch : tni_dia_branchmt4 750 Km  Solar M:  Solar Power:  Maintenance DG:  +  +  + MW Link: </v>
      </c>
    </row>
    <row r="76">
      <c r="A76" s="98" t="str">
        <f>IFERROR(__xludf.DUMMYFUNCTION("""COMPUTED_VALUE"""),"TNI0077")</f>
        <v>TNI0077</v>
      </c>
      <c r="B76" s="98" t="str">
        <f>IFERROR(__xludf.DUMMYFUNCTION("""COMPUTED_VALUE"""),"TNI0077: Myeik_IGT_B_MYT_TNI_TEAM02_Maung Maung")</f>
        <v>TNI0077: Myeik_IGT_B_MYT_TNI_TEAM02_Maung Maung</v>
      </c>
      <c r="C76" s="98" t="str">
        <f>IFERROR(__xludf.DUMMYFUNCTION("""COMPUTED_VALUE"""),"TNI0002-TNI0077_Myeik_24 FO : 3.88_Wanna Oo + TNI0077-TNI0248_Myeik_24 FO : 1.31_Maung Maung + TNI0077-TNI0252_Myeik_24 FO : 1.45_Maung Maung")</f>
        <v>TNI0002-TNI0077_Myeik_24 FO : 3.88_Wanna Oo + TNI0077-TNI0248_Myeik_24 FO : 1.31_Maung Maung + TNI0077-TNI0252_Myeik_24 FO : 1.45_Maung Maung</v>
      </c>
      <c r="D76" s="98" t="str">
        <f>IFERROR(__xludf.DUMMYFUNCTION("""COMPUTED_VALUE"""),"+ OLT: Maung Maung")</f>
        <v>+ OLT: Maung Maung</v>
      </c>
      <c r="E76" s="98" t="str">
        <f>IFERROR(__xludf.DUMMYFUNCTION("""COMPUTED_VALUE"""),"Fortune Telecom Company Limited : tni_dia_limitedftc28 400 Km  Solar M:  Solar Power:  Maintenance DG:  +  +  + MW Link: ")</f>
        <v>Fortune Telecom Company Limited : tni_dia_limitedftc28 400 Km  Solar M:  Solar Power:  Maintenance DG:  +  +  + MW Link: </v>
      </c>
    </row>
    <row r="77">
      <c r="A77" s="98" t="str">
        <f>IFERROR(__xludf.DUMMYFUNCTION("""COMPUTED_VALUE"""),"TNI0078")</f>
        <v>TNI0078</v>
      </c>
      <c r="B77" s="98" t="str">
        <f>IFERROR(__xludf.DUMMYFUNCTION("""COMPUTED_VALUE"""),"TNI0078: Thayetchaung_IGT_C_MYT_TNI_TEAM01_Aung Lwin Phyo")</f>
        <v>TNI0078: Thayetchaung_IGT_C_MYT_TNI_TEAM01_Aung Lwin Phyo</v>
      </c>
      <c r="C77" s="98" t="str">
        <f>IFERROR(__xludf.DUMMYFUNCTION("""COMPUTED_VALUE"""),"TNI0078-TNIM032_Thayetchaung_24 FO : 1.01_Bhone Htet Aung")</f>
        <v>TNI0078-TNIM032_Thayetchaung_24 FO : 1.01_Bhone Htet Aung</v>
      </c>
      <c r="D77" s="98" t="str">
        <f>IFERROR(__xludf.DUMMYFUNCTION("""COMPUTED_VALUE"""),"")</f>
        <v/>
      </c>
      <c r="E77" s="98" t="str">
        <f>IFERROR(__xludf.DUMMYFUNCTION("""COMPUTED_VALUE""")," Solar M:  Solar Power:  Maintenance DG:  +  +  + MW Link: ")</f>
        <v> Solar M:  Solar Power:  Maintenance DG:  +  +  + MW Link: </v>
      </c>
    </row>
    <row r="78">
      <c r="A78" s="98" t="str">
        <f>IFERROR(__xludf.DUMMYFUNCTION("""COMPUTED_VALUE"""),"TNI0079")</f>
        <v>TNI0079</v>
      </c>
      <c r="B78" s="98" t="str">
        <f>IFERROR(__xludf.DUMMYFUNCTION("""COMPUTED_VALUE"""),"TNI0079: Tanintharyi_IGT_C_MYT_TNI_TEAM03_Myint Ko Ko Aung")</f>
        <v>TNI0079: Tanintharyi_IGT_C_MYT_TNI_TEAM03_Myint Ko Ko Aung</v>
      </c>
      <c r="C78" s="98" t="str">
        <f>IFERROR(__xludf.DUMMYFUNCTION("""COMPUTED_VALUE"""),"TNI0079-TNIM033_Tanintharyi_24 FO : 2.82_Myint Ko Ko Aung")</f>
        <v>TNI0079-TNIM033_Tanintharyi_24 FO : 2.82_Myint Ko Ko Aung</v>
      </c>
      <c r="D78" s="98" t="str">
        <f>IFERROR(__xludf.DUMMYFUNCTION("""COMPUTED_VALUE"""),"+ OLT: Myint Ko Ko Aung")</f>
        <v>+ OLT: Myint Ko Ko Aung</v>
      </c>
      <c r="E78" s="98" t="str">
        <f>IFERROR(__xludf.DUMMYFUNCTION("""COMPUTED_VALUE""")," Solar M:  Solar Power:  Maintenance DG:  +  +  + MW Link: ")</f>
        <v> Solar M:  Solar Power:  Maintenance DG:  +  +  + MW Link: </v>
      </c>
    </row>
    <row r="79">
      <c r="A79" s="98" t="str">
        <f>IFERROR(__xludf.DUMMYFUNCTION("""COMPUTED_VALUE"""),"TNI0080")</f>
        <v>TNI0080</v>
      </c>
      <c r="B79" s="98" t="str">
        <f>IFERROR(__xludf.DUMMYFUNCTION("""COMPUTED_VALUE"""),"TNI0080: Kawthoung_EFT_B_MYT_TNI_TEAM04_Khant Chaw Nyo")</f>
        <v>TNI0080: Kawthoung_EFT_B_MYT_TNI_TEAM04_Khant Chaw Nyo</v>
      </c>
      <c r="C79" s="98" t="str">
        <f>IFERROR(__xludf.DUMMYFUNCTION("""COMPUTED_VALUE"""),"TNI0057-TNI0080_Kawthaung_24 FO : 7.9_Khant Chaw Nyo + TNI0080-JB(TNI0080-TNI0249)_Kawthaung_24 FO : 0.8_Aung Myint Myat + TNI0080-TNI0249_Kawthaung_24 FO : 2_Khant Chaw Nyo")</f>
        <v>TNI0057-TNI0080_Kawthaung_24 FO : 7.9_Khant Chaw Nyo + TNI0080-JB(TNI0080-TNI0249)_Kawthaung_24 FO : 0.8_Aung Myint Myat + TNI0080-TNI0249_Kawthaung_24 FO : 2_Khant Chaw Nyo</v>
      </c>
      <c r="D79" s="98" t="str">
        <f>IFERROR(__xludf.DUMMYFUNCTION("""COMPUTED_VALUE"""),"")</f>
        <v/>
      </c>
      <c r="E79" s="98" t="str">
        <f>IFERROR(__xludf.DUMMYFUNCTION("""COMPUTED_VALUE""")," Solar M:  Solar Power:  Maintenance DG:  +  +  + MW Link: ")</f>
        <v> Solar M:  Solar Power:  Maintenance DG:  +  +  + MW Link: </v>
      </c>
    </row>
    <row r="80">
      <c r="A80" s="98" t="str">
        <f>IFERROR(__xludf.DUMMYFUNCTION("""COMPUTED_VALUE"""),"TNI0081")</f>
        <v>TNI0081</v>
      </c>
      <c r="B80" s="98" t="str">
        <f>IFERROR(__xludf.DUMMYFUNCTION("""COMPUTED_VALUE"""),"TNI0081: Myeik_Mytel_B_MYT_TNI_TEAM02_Ye Lin")</f>
        <v>TNI0081: Myeik_Mytel_B_MYT_TNI_TEAM02_Ye Lin</v>
      </c>
      <c r="C80" s="98" t="str">
        <f>IFERROR(__xludf.DUMMYFUNCTION("""COMPUTED_VALUE"""),"TNI0025-TNI0081_Myeik_24 FO : 1.07_Ye Lin + TNI0081-TNI0268_Myeik_24 FO : 0.95_Ye Lin")</f>
        <v>TNI0025-TNI0081_Myeik_24 FO : 1.07_Ye Lin + TNI0081-TNI0268_Myeik_24 FO : 0.95_Ye Lin</v>
      </c>
      <c r="D80" s="98" t="str">
        <f>IFERROR(__xludf.DUMMYFUNCTION("""COMPUTED_VALUE"""),"")</f>
        <v/>
      </c>
      <c r="E80" s="98" t="str">
        <f>IFERROR(__xludf.DUMMYFUNCTION("""COMPUTED_VALUE"""),"TNI0081 MYT_Routine_Maintenance_Mytel_Station MYT_RTE_MTE_SB_STN _ myt_zinmin.shein : 02/07/2026 12:36 : 890.11 _ Close + TNI0081 MYT_Routine_Maintenance_Mytel_Station_VCM _ myt_maung.maung11 : 02/06/2026 17:32 : 926.5 _ Close + TNI0081 MYT_Routine_Mainte"&amp;"nance_Mytel_Station_VCM _ myt_zinmin.shein : 01/04/2026 11:48 : 969.08 _ Close Solar M: TNI0081 MYT_Maintenacne_Solar _ myt_naythurain.oo : 30/12/1899 00:00 :  _ Close + TNI0081 MYT_Maintenacne_Solar _ myt_pyikyaw.aung : 05/05/2026 11:21 : 339.96 _ Close "&amp;"+ TNI0081 MYT_Maintenacne_Solar _ myt_maung.maung11 : 19/05/2026 10:25 : -851.31 _ Close Solar Power:  Maintenance DG:  +  +  + MW Link: ")</f>
        <v>TNI0081 MYT_Routine_Maintenance_Mytel_Station MYT_RTE_MTE_SB_STN _ myt_zinmin.shein : 02/07/2026 12:36 : 890.11 _ Close + TNI0081 MYT_Routine_Maintenance_Mytel_Station_VCM _ myt_maung.maung11 : 02/06/2026 17:32 : 926.5 _ Close + TNI0081 MYT_Routine_Maintenance_Mytel_Station_VCM _ myt_zinmin.shein : 01/04/2026 11:48 : 969.08 _ Close Solar M: TNI0081 MYT_Maintenacne_Solar _ myt_naythurain.oo : 30/12/1899 00:00 :  _ Close + TNI0081 MYT_Maintenacne_Solar _ myt_pyikyaw.aung : 05/05/2026 11:21 : 339.96 _ Close + TNI0081 MYT_Maintenacne_Solar _ myt_maung.maung11 : 19/05/2026 10:25 : -851.31 _ Close Solar Power:  Maintenance DG:  +  +  + MW Link: </v>
      </c>
    </row>
    <row r="81">
      <c r="A81" s="98" t="str">
        <f>IFERROR(__xludf.DUMMYFUNCTION("""COMPUTED_VALUE"""),"TNI0088")</f>
        <v>TNI0088</v>
      </c>
      <c r="B81" s="98" t="str">
        <f>IFERROR(__xludf.DUMMYFUNCTION("""COMPUTED_VALUE"""),"TNI0088: Palaw_Mytel_B_MYT_TNI_TEAM02_Min Paing Oo")</f>
        <v>TNI0088: Palaw_Mytel_B_MYT_TNI_TEAM02_Min Paing Oo</v>
      </c>
      <c r="C81" s="98" t="str">
        <f>IFERROR(__xludf.DUMMYFUNCTION("""COMPUTED_VALUE"""),"TNI0088-TNI0109_Palaw_24 FO : 5.3_Min Paing Oo")</f>
        <v>TNI0088-TNI0109_Palaw_24 FO : 5.3_Min Paing Oo</v>
      </c>
      <c r="D81" s="98" t="str">
        <f>IFERROR(__xludf.DUMMYFUNCTION("""COMPUTED_VALUE"""),"")</f>
        <v/>
      </c>
      <c r="E81" s="98" t="str">
        <f>IFERROR(__xludf.DUMMYFUNCTION("""COMPUTED_VALUE""")," Solar M:  Solar Power:  Maintenance DG:  +  +  + MW Link: TNI0088-TNI0109")</f>
        <v> Solar M:  Solar Power:  Maintenance DG:  +  +  + MW Link: TNI0088-TNI0109</v>
      </c>
    </row>
    <row r="82">
      <c r="A82" s="98" t="str">
        <f>IFERROR(__xludf.DUMMYFUNCTION("""COMPUTED_VALUE"""),"TNI0089")</f>
        <v>TNI0089</v>
      </c>
      <c r="B82" s="98" t="str">
        <f>IFERROR(__xludf.DUMMYFUNCTION("""COMPUTED_VALUE"""),"TNI0089: Dawei_Mytel_B_MYT_TNI_TEAM01_Win Htet Aung")</f>
        <v>TNI0089: Dawei_Mytel_B_MYT_TNI_TEAM01_Win Htet Aung</v>
      </c>
      <c r="C82" s="98" t="str">
        <f>IFERROR(__xludf.DUMMYFUNCTION("""COMPUTED_VALUE"""),"TNI0089-TNI0275_Dawei_24 FO : 2.62_Aung Lwin Phyo + TNI0089-TNIM035_Dawei_24 FO : 0.96_Aung Lwin Phyo")</f>
        <v>TNI0089-TNI0275_Dawei_24 FO : 2.62_Aung Lwin Phyo + TNI0089-TNIM035_Dawei_24 FO : 0.96_Aung Lwin Phyo</v>
      </c>
      <c r="D82" s="98" t="str">
        <f>IFERROR(__xludf.DUMMYFUNCTION("""COMPUTED_VALUE"""),"+ OLT: Win Htet Aung")</f>
        <v>+ OLT: Win Htet Aung</v>
      </c>
      <c r="E82" s="98" t="str">
        <f>IFERROR(__xludf.DUMMYFUNCTION("""COMPUTED_VALUE"""),"TNI0089 MYT_Routine_Maintenance_Mytel_Station_VCM _ myt_phyoko.ko44 : 30/12/1899 00:00 : 223.05 _ FT assigned + TNI0089 MYT_Routine_Maintenance_Mytel_Station_VCM _ myt_phyoko.ko44 : 30/12/1899 00:00 : -1100.45 _ FT assigned Solar M: TNI0089 MYT_Maintenacn"&amp;"e_Solar _ myt_phyoko.ko44 : 30/12/1899 00:00 :  _ Close + TNI0089 MYT_Maintenacne_Solar _ myt_phyoko.ko44 : 30/12/1899 00:00 : -1048.95 _ FT assigned Solar Power:  Maintenance DG:  +  +  + MW Link: ")</f>
        <v>TNI0089 MYT_Routine_Maintenance_Mytel_Station_VCM _ myt_phyoko.ko44 : 30/12/1899 00:00 : 223.05 _ FT assigned + TNI0089 MYT_Routine_Maintenance_Mytel_Station_VCM _ myt_phyoko.ko44 : 30/12/1899 00:00 : -1100.45 _ FT assigned Solar M: TNI0089 MYT_Maintenacne_Solar _ myt_phyoko.ko44 : 30/12/1899 00:00 :  _ Close + TNI0089 MYT_Maintenacne_Solar _ myt_phyoko.ko44 : 30/12/1899 00:00 : -1048.95 _ FT assigned Solar Power:  Maintenance DG:  +  +  + MW Link: </v>
      </c>
    </row>
    <row r="83">
      <c r="A83" s="98" t="str">
        <f>IFERROR(__xludf.DUMMYFUNCTION("""COMPUTED_VALUE"""),"TNI0090")</f>
        <v>TNI0090</v>
      </c>
      <c r="B83" s="98" t="str">
        <f>IFERROR(__xludf.DUMMYFUNCTION("""COMPUTED_VALUE"""),"TNI0090: Thayetchaung_Mytel_B_MYT_TNI_TEAM02_Min Paing Oo")</f>
        <v>TNI0090: Thayetchaung_Mytel_B_MYT_TNI_TEAM02_Min Paing Oo</v>
      </c>
      <c r="C83" s="98" t="str">
        <f>IFERROR(__xludf.DUMMYFUNCTION("""COMPUTED_VALUE"""),"")</f>
        <v/>
      </c>
      <c r="D83" s="98" t="str">
        <f>IFERROR(__xludf.DUMMYFUNCTION("""COMPUTED_VALUE"""),"")</f>
        <v/>
      </c>
      <c r="E83" s="98" t="str">
        <f>IFERROR(__xludf.DUMMYFUNCTION("""COMPUTED_VALUE""")," Solar M: TNI0090 MYT_Maintenacne_Solar _ myt_zinmin.shein : 21/04/2026 15:03 : 674.48 _ Close Solar Power:  Maintenance DG:  +  +  + MW Link: TNI0090-TNI0218")</f>
        <v> Solar M: TNI0090 MYT_Maintenacne_Solar _ myt_zinmin.shein : 21/04/2026 15:03 : 674.48 _ Close Solar Power:  Maintenance DG:  +  +  + MW Link: TNI0090-TNI0218</v>
      </c>
    </row>
    <row r="84">
      <c r="A84" s="98" t="str">
        <f>IFERROR(__xludf.DUMMYFUNCTION("""COMPUTED_VALUE"""),"TNI0095")</f>
        <v>TNI0095</v>
      </c>
      <c r="B84" s="98" t="str">
        <f>IFERROR(__xludf.DUMMYFUNCTION("""COMPUTED_VALUE"""),"TNI0095: Launglon_IGT_C_MYT_TNI_TEAM01_Bone Myat Naing")</f>
        <v>TNI0095: Launglon_IGT_C_MYT_TNI_TEAM01_Bone Myat Naing</v>
      </c>
      <c r="C84" s="98" t="str">
        <f>IFERROR(__xludf.DUMMYFUNCTION("""COMPUTED_VALUE"""),"TNI0095-TNI0335_LaungLon_24 FO : 5.15_Thar Htoo Aung")</f>
        <v>TNI0095-TNI0335_LaungLon_24 FO : 5.15_Thar Htoo Aung</v>
      </c>
      <c r="D84" s="98" t="str">
        <f>IFERROR(__xludf.DUMMYFUNCTION("""COMPUTED_VALUE"""),"")</f>
        <v/>
      </c>
      <c r="E84" s="98" t="str">
        <f>IFERROR(__xludf.DUMMYFUNCTION("""COMPUTED_VALUE""")," Solar M:  Solar Power:  Maintenance DG:  +  +  + MW Link: TNI0095-TNI0040")</f>
        <v> Solar M:  Solar Power:  Maintenance DG:  +  +  + MW Link: TNI0095-TNI0040</v>
      </c>
    </row>
    <row r="85">
      <c r="A85" s="98" t="str">
        <f>IFERROR(__xludf.DUMMYFUNCTION("""COMPUTED_VALUE"""),"TNI0103")</f>
        <v>TNI0103</v>
      </c>
      <c r="B85" s="98" t="str">
        <f>IFERROR(__xludf.DUMMYFUNCTION("""COMPUTED_VALUE"""),"TNI0103: Bokpyin_PAT_C_MYT_TNI_TEAM03_Tin Naing Lin")</f>
        <v>TNI0103: Bokpyin_PAT_C_MYT_TNI_TEAM03_Tin Naing Lin</v>
      </c>
      <c r="C85" s="98" t="str">
        <f>IFERROR(__xludf.DUMMYFUNCTION("""COMPUTED_VALUE"""),"TNI0103-TNI0418_Bokpyin_24 FO : 6_Khant Si Thu + TNI0103-TNIM082_Tanintharyi_24 FO : 3.2_Si Thu Htun")</f>
        <v>TNI0103-TNI0418_Bokpyin_24 FO : 6_Khant Si Thu + TNI0103-TNIM082_Tanintharyi_24 FO : 3.2_Si Thu Htun</v>
      </c>
      <c r="D85" s="98" t="str">
        <f>IFERROR(__xludf.DUMMYFUNCTION("""COMPUTED_VALUE"""),"")</f>
        <v/>
      </c>
      <c r="E85" s="98" t="str">
        <f>IFERROR(__xludf.DUMMYFUNCTION("""COMPUTED_VALUE"""),"TNI0103 MYT_Routine_Maintenance_Mytel_Station_VCM _ myt_tinnaing.lin11 : 04/06/2026 12:05 : 686.98 _ Close Solar M:  Solar Power:  Maintenance DG:  +  +  + MW Link: ")</f>
        <v>TNI0103 MYT_Routine_Maintenance_Mytel_Station_VCM _ myt_tinnaing.lin11 : 04/06/2026 12:05 : 686.98 _ Close Solar M:  Solar Power:  Maintenance DG:  +  +  + MW Link: </v>
      </c>
    </row>
    <row r="86">
      <c r="A86" s="98" t="str">
        <f>IFERROR(__xludf.DUMMYFUNCTION("""COMPUTED_VALUE"""),"TNI0105")</f>
        <v>TNI0105</v>
      </c>
      <c r="B86" s="98" t="str">
        <f>IFERROR(__xludf.DUMMYFUNCTION("""COMPUTED_VALUE"""),"TNI0105: Bokpyin_PAT_C_MYT_TNI_TEAM03_Tin Naing Lin")</f>
        <v>TNI0105: Bokpyin_PAT_C_MYT_TNI_TEAM03_Tin Naing Lin</v>
      </c>
      <c r="C86" s="98" t="str">
        <f>IFERROR(__xludf.DUMMYFUNCTION("""COMPUTED_VALUE"""),"TNI0105-TNIM083_Tanintharyi_24 FO : 1.28_Si Thu Htun")</f>
        <v>TNI0105-TNIM083_Tanintharyi_24 FO : 1.28_Si Thu Htun</v>
      </c>
      <c r="D86" s="98" t="str">
        <f>IFERROR(__xludf.DUMMYFUNCTION("""COMPUTED_VALUE"""),"")</f>
        <v/>
      </c>
      <c r="E86" s="98" t="str">
        <f>IFERROR(__xludf.DUMMYFUNCTION("""COMPUTED_VALUE"""),"TNI0105 MYT_Routine_Maintenance_Mytel_Station_VCM _ myt_tinnaing.lin11 : 25/05/2026 15:19 : 968.65 _ Close Solar M:  Solar Power:  Maintenance DG:  +  +  + MW Link: ")</f>
        <v>TNI0105 MYT_Routine_Maintenance_Mytel_Station_VCM _ myt_tinnaing.lin11 : 25/05/2026 15:19 : 968.65 _ Close Solar M:  Solar Power:  Maintenance DG:  +  +  + MW Link: </v>
      </c>
    </row>
    <row r="87">
      <c r="A87" s="98" t="str">
        <f>IFERROR(__xludf.DUMMYFUNCTION("""COMPUTED_VALUE"""),"TNI0107")</f>
        <v>TNI0107</v>
      </c>
      <c r="B87" s="98" t="str">
        <f>IFERROR(__xludf.DUMMYFUNCTION("""COMPUTED_VALUE"""),"TNI0107: Myeik_Edotco_B_MYT_TNI_TEAM02_Zin Min Shein")</f>
        <v>TNI0107: Myeik_Edotco_B_MYT_TNI_TEAM02_Zin Min Shein</v>
      </c>
      <c r="C87" s="98" t="str">
        <f>IFERROR(__xludf.DUMMYFUNCTION("""COMPUTED_VALUE"""),"")</f>
        <v/>
      </c>
      <c r="D87" s="98" t="str">
        <f>IFERROR(__xludf.DUMMYFUNCTION("""COMPUTED_VALUE"""),"")</f>
        <v/>
      </c>
      <c r="E87" s="98" t="str">
        <f>IFERROR(__xludf.DUMMYFUNCTION("""COMPUTED_VALUE""")," Solar M:  Solar Power:  Maintenance DG:  +  +  + MW Link: TNI0107-TNI0003")</f>
        <v> Solar M:  Solar Power:  Maintenance DG:  +  +  + MW Link: TNI0107-TNI0003</v>
      </c>
    </row>
    <row r="88">
      <c r="A88" s="98" t="str">
        <f>IFERROR(__xludf.DUMMYFUNCTION("""COMPUTED_VALUE"""),"TNI0108")</f>
        <v>TNI0108</v>
      </c>
      <c r="B88" s="98" t="str">
        <f>IFERROR(__xludf.DUMMYFUNCTION("""COMPUTED_VALUE"""),"TNI0108: Palaw_Edotco_C_MYT_TNI_TEAM02_Min Paing Oo")</f>
        <v>TNI0108: Palaw_Edotco_C_MYT_TNI_TEAM02_Min Paing Oo</v>
      </c>
      <c r="C88" s="98" t="str">
        <f>IFERROR(__xludf.DUMMYFUNCTION("""COMPUTED_VALUE"""),"TNI0108-TNIM038_Palaw_24 FO : 1.22_Pyi Kyaw Aung")</f>
        <v>TNI0108-TNIM038_Palaw_24 FO : 1.22_Pyi Kyaw Aung</v>
      </c>
      <c r="D88" s="98" t="str">
        <f>IFERROR(__xludf.DUMMYFUNCTION("""COMPUTED_VALUE"""),"")</f>
        <v/>
      </c>
      <c r="E88" s="98" t="str">
        <f>IFERROR(__xludf.DUMMYFUNCTION("""COMPUTED_VALUE""")," Solar M:  Solar Power:  Maintenance DG:  +  +  + MW Link: ")</f>
        <v> Solar M:  Solar Power:  Maintenance DG:  +  +  + MW Link: </v>
      </c>
    </row>
    <row r="89">
      <c r="A89" s="98" t="str">
        <f>IFERROR(__xludf.DUMMYFUNCTION("""COMPUTED_VALUE"""),"TNI0109")</f>
        <v>TNI0109</v>
      </c>
      <c r="B89" s="98" t="str">
        <f>IFERROR(__xludf.DUMMYFUNCTION("""COMPUTED_VALUE"""),"TNI0109: Palaw_EFT_B_MYT_TNI_TEAM02_Min Paing Oo")</f>
        <v>TNI0109: Palaw_EFT_B_MYT_TNI_TEAM02_Min Paing Oo</v>
      </c>
      <c r="C89" s="98" t="str">
        <f>IFERROR(__xludf.DUMMYFUNCTION("""COMPUTED_VALUE"""),"TNI0088-TNI0109_Palaw_24 FO : 5.3_Min Paing Oo + TNI0109-TNI0290_Palaw_24 FO : 6_Min Paing Oo")</f>
        <v>TNI0088-TNI0109_Palaw_24 FO : 5.3_Min Paing Oo + TNI0109-TNI0290_Palaw_24 FO : 6_Min Paing Oo</v>
      </c>
      <c r="D89" s="98" t="str">
        <f>IFERROR(__xludf.DUMMYFUNCTION("""COMPUTED_VALUE"""),"+ OLT: Min Paing Oo")</f>
        <v>+ OLT: Min Paing Oo</v>
      </c>
      <c r="E89" s="98" t="str">
        <f>IFERROR(__xludf.DUMMYFUNCTION("""COMPUTED_VALUE""")," Solar M:  Solar Power:  Maintenance DG:  +  +  + MW Link: ")</f>
        <v> Solar M:  Solar Power:  Maintenance DG:  +  +  + MW Link: </v>
      </c>
    </row>
    <row r="90">
      <c r="A90" s="98" t="str">
        <f>IFERROR(__xludf.DUMMYFUNCTION("""COMPUTED_VALUE"""),"TNI0115")</f>
        <v>TNI0115</v>
      </c>
      <c r="B90" s="98" t="str">
        <f>IFERROR(__xludf.DUMMYFUNCTION("""COMPUTED_VALUE"""),"TNI0115: Dawei_Mytel_C_MYT_TNI_TEAM01_Win Htet Aung")</f>
        <v>TNI0115: Dawei_Mytel_C_MYT_TNI_TEAM01_Win Htet Aung</v>
      </c>
      <c r="C90" s="98" t="str">
        <f>IFERROR(__xludf.DUMMYFUNCTION("""COMPUTED_VALUE"""),"TNI0115-TNI0275_Thayetchaung_24 FO : 6.72_Win Htet Aung")</f>
        <v>TNI0115-TNI0275_Thayetchaung_24 FO : 6.72_Win Htet Aung</v>
      </c>
      <c r="D90" s="98" t="str">
        <f>IFERROR(__xludf.DUMMYFUNCTION("""COMPUTED_VALUE"""),"")</f>
        <v/>
      </c>
      <c r="E90" s="98" t="str">
        <f>IFERROR(__xludf.DUMMYFUNCTION("""COMPUTED_VALUE"""),"TNI0115 MYT_Routine_Maintenance_Mytel_Station MYT_RTE_MTE_SB_STN _ myt_paingaung.soe : 30/12/1899 00:00 : 886.64 _ FT assigned Solar M:  Solar Power:  Maintenance DG:  +  +  + MW Link: ")</f>
        <v>TNI0115 MYT_Routine_Maintenance_Mytel_Station MYT_RTE_MTE_SB_STN _ myt_paingaung.soe : 30/12/1899 00:00 : 886.64 _ FT assigned Solar M:  Solar Power:  Maintenance DG:  +  +  + MW Link: </v>
      </c>
    </row>
    <row r="91">
      <c r="A91" s="98" t="str">
        <f>IFERROR(__xludf.DUMMYFUNCTION("""COMPUTED_VALUE"""),"TNI0116")</f>
        <v>TNI0116</v>
      </c>
      <c r="B91" s="98" t="str">
        <f>IFERROR(__xludf.DUMMYFUNCTION("""COMPUTED_VALUE"""),"TNI0116: Tanintharyi_MEC_C_MYT_TNI_TEAM03_Myint Ko Ko Aung")</f>
        <v>TNI0116: Tanintharyi_MEC_C_MYT_TNI_TEAM03_Myint Ko Ko Aung</v>
      </c>
      <c r="C91" s="98" t="str">
        <f>IFERROR(__xludf.DUMMYFUNCTION("""COMPUTED_VALUE"""),"TNI0116-TNIM039_Tanintharyi_24 FO : 2.13_Myint Ko Ko Aung")</f>
        <v>TNI0116-TNIM039_Tanintharyi_24 FO : 2.13_Myint Ko Ko Aung</v>
      </c>
      <c r="D91" s="98" t="str">
        <f>IFERROR(__xludf.DUMMYFUNCTION("""COMPUTED_VALUE"""),"")</f>
        <v/>
      </c>
      <c r="E91" s="98" t="str">
        <f>IFERROR(__xludf.DUMMYFUNCTION("""COMPUTED_VALUE"""),"TNI0116 MYT_Routine_Maintenance_Mytel_Station_VCM _ myt_myintkoko.aung : 15/06/2026 13:27 : -104.44 _ Close Solar M: TNI0116 MYT_Maintenacne_Solar _ myt_myintkoko.aung : 30/12/1899 00:00 :  _ Close + TNI0116 MYT_Maintenacne_Solar _ myt_myintkoko.aung : 20"&amp;"/06/2026 14:51 : -761.04 _ Close + TNI0116 MYT_Maintenacne_Solar _ myt_myintkoko.aung : 12/04/2026 13:32 : -103.92 _ Close Solar Power:  Maintenance DG:  +  +  + MW Link: ")</f>
        <v>TNI0116 MYT_Routine_Maintenance_Mytel_Station_VCM _ myt_myintkoko.aung : 15/06/2026 13:27 : -104.44 _ Close Solar M: TNI0116 MYT_Maintenacne_Solar _ myt_myintkoko.aung : 30/12/1899 00:00 :  _ Close + TNI0116 MYT_Maintenacne_Solar _ myt_myintkoko.aung : 20/06/2026 14:51 : -761.04 _ Close + TNI0116 MYT_Maintenacne_Solar _ myt_myintkoko.aung : 12/04/2026 13:32 : -103.92 _ Close Solar Power:  Maintenance DG:  +  +  + MW Link: </v>
      </c>
    </row>
    <row r="92">
      <c r="A92" s="98" t="str">
        <f>IFERROR(__xludf.DUMMYFUNCTION("""COMPUTED_VALUE"""),"TNI0118")</f>
        <v>TNI0118</v>
      </c>
      <c r="B92" s="98" t="str">
        <f>IFERROR(__xludf.DUMMYFUNCTION("""COMPUTED_VALUE"""),"TNI0118: Bokpyin_Mytel_B_MYT_TNI_TEAM03_Tin Naing Lin")</f>
        <v>TNI0118: Bokpyin_Mytel_B_MYT_TNI_TEAM03_Tin Naing Lin</v>
      </c>
      <c r="C92" s="98" t="str">
        <f>IFERROR(__xludf.DUMMYFUNCTION("""COMPUTED_VALUE"""),"")</f>
        <v/>
      </c>
      <c r="D92" s="98" t="str">
        <f>IFERROR(__xludf.DUMMYFUNCTION("""COMPUTED_VALUE"""),"")</f>
        <v/>
      </c>
      <c r="E92" s="98" t="str">
        <f>IFERROR(__xludf.DUMMYFUNCTION("""COMPUTED_VALUE"""),"TNI0118 MYT_Routine_Maintenance_Mytel_Station MYT_RTE_MTE_SB_STN _ myt_sithu.htun : 30/12/1899 00:00 : 886.64 _ FT assigned + TNI0118 MYT_Routine_Maintenance_Mytel_Station_VCM _ myt_sithu.htun : 29/05/2026 17:31 : 323.48 _ Close Solar M: TNI0118 MYT_Maint"&amp;"enacne_Solar _ myt_tinnaing.lin11 : 30/12/1899 00:00 :  _ Close + TNI0118 MYT_Maintenacne_Solar _ myt_sithu.htun : 29/05/2026 16:24 : -252.52 _ Close + TNI0118 MYT_Maintenacne_Solar _ myt_tinnaing.lin11 : 30/12/1899 00:00 :  _ Close Solar Power:  Maintena"&amp;"nce DG:  +  +  + MW Link: TNI0118-TNI0196")</f>
        <v>TNI0118 MYT_Routine_Maintenance_Mytel_Station MYT_RTE_MTE_SB_STN _ myt_sithu.htun : 30/12/1899 00:00 : 886.64 _ FT assigned + TNI0118 MYT_Routine_Maintenance_Mytel_Station_VCM _ myt_sithu.htun : 29/05/2026 17:31 : 323.48 _ Close Solar M: TNI0118 MYT_Maintenacne_Solar _ myt_tinnaing.lin11 : 30/12/1899 00:00 :  _ Close + TNI0118 MYT_Maintenacne_Solar _ myt_sithu.htun : 29/05/2026 16:24 : -252.52 _ Close + TNI0118 MYT_Maintenacne_Solar _ myt_tinnaing.lin11 : 30/12/1899 00:00 :  _ Close Solar Power:  Maintenance DG:  +  +  + MW Link: TNI0118-TNI0196</v>
      </c>
    </row>
    <row r="93">
      <c r="A93" s="98" t="str">
        <f>IFERROR(__xludf.DUMMYFUNCTION("""COMPUTED_VALUE"""),"TNI0120")</f>
        <v>TNI0120</v>
      </c>
      <c r="B93" s="98" t="str">
        <f>IFERROR(__xludf.DUMMYFUNCTION("""COMPUTED_VALUE"""),"TNI0120: Kawthoung_Mytel_B_MYT_TNI_TEAM04_Tin Maung Win")</f>
        <v>TNI0120: Kawthoung_Mytel_B_MYT_TNI_TEAM04_Tin Maung Win</v>
      </c>
      <c r="C93" s="98" t="str">
        <f>IFERROR(__xludf.DUMMYFUNCTION("""COMPUTED_VALUE"""),"TNI0120-TNI0404_Kawthoung_24 FO : 7_Khant Chaw Nyo + TNI0120-TNI0202_Kawthaung_24 FO : 18_Tin Maung Win")</f>
        <v>TNI0120-TNI0404_Kawthoung_24 FO : 7_Khant Chaw Nyo + TNI0120-TNI0202_Kawthaung_24 FO : 18_Tin Maung Win</v>
      </c>
      <c r="D93" s="98" t="str">
        <f>IFERROR(__xludf.DUMMYFUNCTION("""COMPUTED_VALUE"""),"")</f>
        <v/>
      </c>
      <c r="E93" s="98" t="str">
        <f>IFERROR(__xludf.DUMMYFUNCTION("""COMPUTED_VALUE"""),"TNI0120 MYT_Routine_Maintenance_Mytel_Station MYT_RTE_MTE_SB_STN _ myt_khantchaw.nyo : 01/07/2026 15:36 : 908.34 _ Close + TNI0120 MYT_Routine_Maintenance_Mytel_Station_VCM _ myt_tinmaung.win : 01/06/2026 11:28 : 970.18 _ Close + TNI0120 MYT_Routine_Maint"&amp;"enance_Mytel_Station_VCM _ myt_tinmaung.win : 01/04/2026 09:58 : 968.03 _ Close Solar M: TNI0120 MYT_Maintenacne_Solar _ myt_tinmaung.win : 20/05/2026 15:48 : 676.94 _ Close + TNI0120 MYT_Maintenacne_Solar _ myt_tinmaung.win : 11/05/2026 13:11 : 175.54 _ "&amp;"Close + TNI0120 MYT_Maintenacne_Solar _ myt_tinmaung.win : 07/04/2026 13:29 : 173.24 _ Close Solar Power:  Maintenance DG:  +  +  + MW Link: ")</f>
        <v>TNI0120 MYT_Routine_Maintenance_Mytel_Station MYT_RTE_MTE_SB_STN _ myt_khantchaw.nyo : 01/07/2026 15:36 : 908.34 _ Close + TNI0120 MYT_Routine_Maintenance_Mytel_Station_VCM _ myt_tinmaung.win : 01/06/2026 11:28 : 970.18 _ Close + TNI0120 MYT_Routine_Maintenance_Mytel_Station_VCM _ myt_tinmaung.win : 01/04/2026 09:58 : 968.03 _ Close Solar M: TNI0120 MYT_Maintenacne_Solar _ myt_tinmaung.win : 20/05/2026 15:48 : 676.94 _ Close + TNI0120 MYT_Maintenacne_Solar _ myt_tinmaung.win : 11/05/2026 13:11 : 175.54 _ Close + TNI0120 MYT_Maintenacne_Solar _ myt_tinmaung.win : 07/04/2026 13:29 : 173.24 _ Close Solar Power:  Maintenance DG:  +  +  + MW Link: </v>
      </c>
    </row>
    <row r="94">
      <c r="A94" s="98" t="str">
        <f>IFERROR(__xludf.DUMMYFUNCTION("""COMPUTED_VALUE"""),"TNI0122")</f>
        <v>TNI0122</v>
      </c>
      <c r="B94" s="98" t="str">
        <f>IFERROR(__xludf.DUMMYFUNCTION("""COMPUTED_VALUE"""),"TNI0122: Palaw_Mytel_C_MYT_TNI_TEAM02_Min Paing Oo")</f>
        <v>TNI0122: Palaw_Mytel_C_MYT_TNI_TEAM02_Min Paing Oo</v>
      </c>
      <c r="C94" s="98" t="str">
        <f>IFERROR(__xludf.DUMMYFUNCTION("""COMPUTED_VALUE"""),"TNI0122-TNIM040_Palaw_24 FO : 0.82_Min Paing Oo + TNI0122-JB(TNI0005-TNI0007)_Palaw_24 FO : 11_Min Paing Oo")</f>
        <v>TNI0122-TNIM040_Palaw_24 FO : 0.82_Min Paing Oo + TNI0122-JB(TNI0005-TNI0007)_Palaw_24 FO : 11_Min Paing Oo</v>
      </c>
      <c r="D94" s="98" t="str">
        <f>IFERROR(__xludf.DUMMYFUNCTION("""COMPUTED_VALUE"""),"")</f>
        <v/>
      </c>
      <c r="E94" s="98" t="str">
        <f>IFERROR(__xludf.DUMMYFUNCTION("""COMPUTED_VALUE"""),"TNI0122 MYT_Routine_Maintenance_Mytel_Station MYT_RTE_MTE_SB_STN _ myt_minpaing.oo : 30/12/1899 00:00 : 886.64 _ FT assigned + TNI0122 MYT_Routine_Maintenance_Mytel_Station_VCM _ myt_wanna.oo2 : 30/12/1899 00:00 : -472.95 _ FT assigned Solar M:  Solar Pow"&amp;"er:  Maintenance DG:  +  +  + MW Link: ")</f>
        <v>TNI0122 MYT_Routine_Maintenance_Mytel_Station MYT_RTE_MTE_SB_STN _ myt_minpaing.oo : 30/12/1899 00:00 : 886.64 _ FT assigned + TNI0122 MYT_Routine_Maintenance_Mytel_Station_VCM _ myt_wanna.oo2 : 30/12/1899 00:00 : -472.95 _ FT assigned Solar M:  Solar Power:  Maintenance DG:  +  +  + MW Link: </v>
      </c>
    </row>
    <row r="95">
      <c r="A95" s="98" t="str">
        <f>IFERROR(__xludf.DUMMYFUNCTION("""COMPUTED_VALUE"""),"TNI0123")</f>
        <v>TNI0123</v>
      </c>
      <c r="B95" s="98" t="str">
        <f>IFERROR(__xludf.DUMMYFUNCTION("""COMPUTED_VALUE"""),"TNI0123: Kawthoung_MEC.PNC_C_MYT_TNI_TEAM04_Tin Maung Win")</f>
        <v>TNI0123: Kawthoung_MEC.PNC_C_MYT_TNI_TEAM04_Tin Maung Win</v>
      </c>
      <c r="C95" s="98" t="str">
        <f>IFERROR(__xludf.DUMMYFUNCTION("""COMPUTED_VALUE"""),"TNI0123-TNI0227_Kawthaung_24 FO : 15.18_Tin Maung Win + TNI0123-TNIM041_Kawthaung_24 FO : 3.7_Tin Maung Win + TNI0123-JB(TNI0012-TNI0015)_Kawthoung_24 FO : 1.4_Tin Maung Win")</f>
        <v>TNI0123-TNI0227_Kawthaung_24 FO : 15.18_Tin Maung Win + TNI0123-TNIM041_Kawthaung_24 FO : 3.7_Tin Maung Win + TNI0123-JB(TNI0012-TNI0015)_Kawthoung_24 FO : 1.4_Tin Maung Win</v>
      </c>
      <c r="D95" s="98" t="str">
        <f>IFERROR(__xludf.DUMMYFUNCTION("""COMPUTED_VALUE"""),"")</f>
        <v/>
      </c>
      <c r="E95" s="98" t="str">
        <f>IFERROR(__xludf.DUMMYFUNCTION("""COMPUTED_VALUE"""),"TNI0123 MYT_Routine_Maintenance_Mytel_Station_VCM _ myt_tinmaung.win : 19/05/2026 14:55 : 581.58 _ Close Solar M: TNI0123 MYT_Maintenacne_Solar _ myt_tinmaung.win : 30/12/1899 00:00 :  _ Close + TNI0123 MYT_Maintenacne_Solar _ myt_tinmaung.win : 19/05/202"&amp;"6 14:11 : 5.59 _ Close + TNI0123 MYT_Maintenacne_Solar _ myt_tinmaung.win : 09/04/2026 15:44 : 111.12 _ Close Solar Power:  Maintenance DG:  +  +  + MW Link: ")</f>
        <v>TNI0123 MYT_Routine_Maintenance_Mytel_Station_VCM _ myt_tinmaung.win : 19/05/2026 14:55 : 581.58 _ Close Solar M: TNI0123 MYT_Maintenacne_Solar _ myt_tinmaung.win : 30/12/1899 00:00 :  _ Close + TNI0123 MYT_Maintenacne_Solar _ myt_tinmaung.win : 19/05/2026 14:11 : 5.59 _ Close + TNI0123 MYT_Maintenacne_Solar _ myt_tinmaung.win : 09/04/2026 15:44 : 111.12 _ Close Solar Power:  Maintenance DG:  +  +  + MW Link: </v>
      </c>
    </row>
    <row r="96">
      <c r="A96" s="98" t="str">
        <f>IFERROR(__xludf.DUMMYFUNCTION("""COMPUTED_VALUE"""),"TNI0124")</f>
        <v>TNI0124</v>
      </c>
      <c r="B96" s="98" t="str">
        <f>IFERROR(__xludf.DUMMYFUNCTION("""COMPUTED_VALUE"""),"TNI0124: Bokpyin_MEC.PNC_C_MYT_TNI_TEAM03_Si Thu Htun")</f>
        <v>TNI0124: Bokpyin_MEC.PNC_C_MYT_TNI_TEAM03_Si Thu Htun</v>
      </c>
      <c r="C96" s="98" t="str">
        <f>IFERROR(__xludf.DUMMYFUNCTION("""COMPUTED_VALUE"""),"TNI0124-JB(TNI0009-TNI0015)_Bokpyin_24 FO : 0.9_Si Thu Htun + TNI0124-TNIM084_Bokpyin_24 FO : 1.5_Si Thu Htun")</f>
        <v>TNI0124-JB(TNI0009-TNI0015)_Bokpyin_24 FO : 0.9_Si Thu Htun + TNI0124-TNIM084_Bokpyin_24 FO : 1.5_Si Thu Htun</v>
      </c>
      <c r="D96" s="98" t="str">
        <f>IFERROR(__xludf.DUMMYFUNCTION("""COMPUTED_VALUE"""),"")</f>
        <v/>
      </c>
      <c r="E96" s="98" t="str">
        <f>IFERROR(__xludf.DUMMYFUNCTION("""COMPUTED_VALUE"""),"TNI0124 MYT_Routine_Maintenance_Mytel_Station_VCM _ myt_sithu.htun : 28/05/2026 15:46 : 878.95 _ Close Solar M: TNI0124 MYT_Maintenacne_Solar _ myt_sithu.htun : 30/12/1899 00:00 :  _ Close + TNI0124 MYT_Maintenacne_Solar _ myt_sithu.htun : 25/04/2026 12:1"&amp;"8 : 539.73 _ Close + TNI0124 MYT_Maintenacne_Solar _ myt_sithu.htun : 25/04/2026 12:21 : -300.26 _ Close Solar Power:  Maintenance DG:  +  +  + MW Link: ")</f>
        <v>TNI0124 MYT_Routine_Maintenance_Mytel_Station_VCM _ myt_sithu.htun : 28/05/2026 15:46 : 878.95 _ Close Solar M: TNI0124 MYT_Maintenacne_Solar _ myt_sithu.htun : 30/12/1899 00:00 :  _ Close + TNI0124 MYT_Maintenacne_Solar _ myt_sithu.htun : 25/04/2026 12:18 : 539.73 _ Close + TNI0124 MYT_Maintenacne_Solar _ myt_sithu.htun : 25/04/2026 12:21 : -300.26 _ Close Solar Power:  Maintenance DG:  +  +  + MW Link: </v>
      </c>
    </row>
    <row r="97">
      <c r="A97" s="98" t="str">
        <f>IFERROR(__xludf.DUMMYFUNCTION("""COMPUTED_VALUE"""),"TNI0127")</f>
        <v>TNI0127</v>
      </c>
      <c r="B97" s="98" t="str">
        <f>IFERROR(__xludf.DUMMYFUNCTION("""COMPUTED_VALUE"""),"TNI0127: Palaw_MEC.PNC_B_MYT_TNI_TEAM02_Min Paing Oo")</f>
        <v>TNI0127: Palaw_MEC.PNC_B_MYT_TNI_TEAM02_Min Paing Oo</v>
      </c>
      <c r="C97" s="98" t="str">
        <f>IFERROR(__xludf.DUMMYFUNCTION("""COMPUTED_VALUE"""),"TNI0127-TNIM042_Palaw_24 FO : 0.74_Min Paing Oo")</f>
        <v>TNI0127-TNIM042_Palaw_24 FO : 0.74_Min Paing Oo</v>
      </c>
      <c r="D97" s="98" t="str">
        <f>IFERROR(__xludf.DUMMYFUNCTION("""COMPUTED_VALUE"""),"")</f>
        <v/>
      </c>
      <c r="E97" s="98" t="str">
        <f>IFERROR(__xludf.DUMMYFUNCTION("""COMPUTED_VALUE"""),"TNI0127 MYT_Routine_Maintenance_Mytel_Station_VCM _ myt_maung.maung11 : 23/05/2026 10:23 : 926.81 _ Close Solar M: TNI0127 MYT_Maintenacne_Solar _ myt_minpaing.oo : 30/12/1899 00:00 :  _ Close + TNI0127 MYT_Maintenacne_Solar _ myt_zinmin.shein : 18/05/202"&amp;"6 10:48 : 32.63 _ Close + TNI0127 MYT_Maintenacne_Solar _ myt_minpaing.oo : 19/05/2026 16:26 : -851.3 _ Close Solar Power:  Maintenance DG:  +  +  + MW Link: ")</f>
        <v>TNI0127 MYT_Routine_Maintenance_Mytel_Station_VCM _ myt_maung.maung11 : 23/05/2026 10:23 : 926.81 _ Close Solar M: TNI0127 MYT_Maintenacne_Solar _ myt_minpaing.oo : 30/12/1899 00:00 :  _ Close + TNI0127 MYT_Maintenacne_Solar _ myt_zinmin.shein : 18/05/2026 10:48 : 32.63 _ Close + TNI0127 MYT_Maintenacne_Solar _ myt_minpaing.oo : 19/05/2026 16:26 : -851.3 _ Close Solar Power:  Maintenance DG:  +  +  + MW Link: </v>
      </c>
    </row>
    <row r="98">
      <c r="A98" s="98" t="str">
        <f>IFERROR(__xludf.DUMMYFUNCTION("""COMPUTED_VALUE"""),"TNI0129")</f>
        <v>TNI0129</v>
      </c>
      <c r="B98" s="98" t="str">
        <f>IFERROR(__xludf.DUMMYFUNCTION("""COMPUTED_VALUE"""),"TNI0129: Yebyu_MEC_B_MYT_TNI_TEAM01_Thu Rain Niang")</f>
        <v>TNI0129: Yebyu_MEC_B_MYT_TNI_TEAM01_Thu Rain Niang</v>
      </c>
      <c r="C98" s="98" t="str">
        <f>IFERROR(__xludf.DUMMYFUNCTION("""COMPUTED_VALUE"""),"TNI0129-TNIM043_Yebyu_24 FO : 1.8_Thu Rain Niang")</f>
        <v>TNI0129-TNIM043_Yebyu_24 FO : 1.8_Thu Rain Niang</v>
      </c>
      <c r="D98" s="98" t="str">
        <f>IFERROR(__xludf.DUMMYFUNCTION("""COMPUTED_VALUE"""),"")</f>
        <v/>
      </c>
      <c r="E98" s="98" t="str">
        <f>IFERROR(__xludf.DUMMYFUNCTION("""COMPUTED_VALUE"""),"TNI0129 MYT_Routine_Maintenance_Mytel_Station_VCM _ myt_tharhtoo.aung11 : 18/06/2026 16:27 : 390.61 _ Close Solar M: TNI0129 MYT_Maintenacne_Solar _ myt_tharhtoo.aung11 : 30/12/1899 00:00 :  _ Close + TNI0129 MYT_Maintenacne_Solar _ myt_aungthin.mya : 22/"&amp;"06/2026 14:38 : -827.58 _ Close Solar Power: TNI0129 MYT_Troubleshooting Solar Power System _ myt_tharhtoo.aung11 : 30/12/1899 00:00 : -520.95 _ FT Inprocessing Maintenance DG:  +  +  + MW Link: ")</f>
        <v>TNI0129 MYT_Routine_Maintenance_Mytel_Station_VCM _ myt_tharhtoo.aung11 : 18/06/2026 16:27 : 390.61 _ Close Solar M: TNI0129 MYT_Maintenacne_Solar _ myt_tharhtoo.aung11 : 30/12/1899 00:00 :  _ Close + TNI0129 MYT_Maintenacne_Solar _ myt_aungthin.mya : 22/06/2026 14:38 : -827.58 _ Close Solar Power: TNI0129 MYT_Troubleshooting Solar Power System _ myt_tharhtoo.aung11 : 30/12/1899 00:00 : -520.95 _ FT Inprocessing Maintenance DG:  +  +  + MW Link: </v>
      </c>
    </row>
    <row r="99">
      <c r="A99" s="98" t="str">
        <f>IFERROR(__xludf.DUMMYFUNCTION("""COMPUTED_VALUE"""),"TNI0136")</f>
        <v>TNI0136</v>
      </c>
      <c r="B99" s="98" t="str">
        <f>IFERROR(__xludf.DUMMYFUNCTION("""COMPUTED_VALUE"""),"TNI0136: Bokpyin_OCK_C_MYT_TNI_TEAM03_Si Thu Htun")</f>
        <v>TNI0136: Bokpyin_OCK_C_MYT_TNI_TEAM03_Si Thu Htun</v>
      </c>
      <c r="C99" s="98" t="str">
        <f>IFERROR(__xludf.DUMMYFUNCTION("""COMPUTED_VALUE"""),"TNI0136-TNIM085_Bokpyin_24 FO : 3.08_Si Thu Htun")</f>
        <v>TNI0136-TNIM085_Bokpyin_24 FO : 3.08_Si Thu Htun</v>
      </c>
      <c r="D99" s="98" t="str">
        <f>IFERROR(__xludf.DUMMYFUNCTION("""COMPUTED_VALUE"""),"")</f>
        <v/>
      </c>
      <c r="E99" s="98" t="str">
        <f>IFERROR(__xludf.DUMMYFUNCTION("""COMPUTED_VALUE""")," Solar M:  Solar Power:  Maintenance DG:  +  +  + MW Link: ")</f>
        <v> Solar M:  Solar Power:  Maintenance DG:  +  +  + MW Link: </v>
      </c>
    </row>
    <row r="100">
      <c r="A100" s="98" t="str">
        <f>IFERROR(__xludf.DUMMYFUNCTION("""COMPUTED_VALUE"""),"TNI0137")</f>
        <v>TNI0137</v>
      </c>
      <c r="B100" s="98" t="str">
        <f>IFERROR(__xludf.DUMMYFUNCTION("""COMPUTED_VALUE"""),"TNI0137: Kyunsu_Mytel_B_MYT_TNI_TEAM02_Maung Maung")</f>
        <v>TNI0137: Kyunsu_Mytel_B_MYT_TNI_TEAM02_Maung Maung</v>
      </c>
      <c r="C100" s="98" t="str">
        <f>IFERROR(__xludf.DUMMYFUNCTION("""COMPUTED_VALUE"""),"")</f>
        <v/>
      </c>
      <c r="D100" s="98" t="str">
        <f>IFERROR(__xludf.DUMMYFUNCTION("""COMPUTED_VALUE"""),"")</f>
        <v/>
      </c>
      <c r="E100" s="98" t="str">
        <f>IFERROR(__xludf.DUMMYFUNCTION("""COMPUTED_VALUE"""),"TNI0137 MYT_Routine_Maintenance_Mytel_Station_VCM _ myt_maung.maung11 : 06/05/2026 14:44 : 878.62 _ Close Solar M: TNI0137 MYT_Maintenacne_Solar _ myt_maung.maung11 : 30/12/1899 00:00 :  _ Close + TNI0137 MYT_Maintenacne_Solar _ myt_pyikyaw.aung : 27/05/2"&amp;"026 13:31 : -286.89 _ Close + TNI0137 MYT_Maintenacne_Solar _ myt_maung.maung11 : 05/05/2026 08:03 : -500.44 _ Close Solar Power:  Maintenance DG:  +  +  + MW Link: TNI0137-TNI0047")</f>
        <v>TNI0137 MYT_Routine_Maintenance_Mytel_Station_VCM _ myt_maung.maung11 : 06/05/2026 14:44 : 878.62 _ Close Solar M: TNI0137 MYT_Maintenacne_Solar _ myt_maung.maung11 : 30/12/1899 00:00 :  _ Close + TNI0137 MYT_Maintenacne_Solar _ myt_pyikyaw.aung : 27/05/2026 13:31 : -286.89 _ Close + TNI0137 MYT_Maintenacne_Solar _ myt_maung.maung11 : 05/05/2026 08:03 : -500.44 _ Close Solar Power:  Maintenance DG:  +  +  + MW Link: TNI0137-TNI0047</v>
      </c>
    </row>
    <row r="101">
      <c r="A101" s="98" t="str">
        <f>IFERROR(__xludf.DUMMYFUNCTION("""COMPUTED_VALUE"""),"TNI0144")</f>
        <v>TNI0144</v>
      </c>
      <c r="B101" s="98" t="str">
        <f>IFERROR(__xludf.DUMMYFUNCTION("""COMPUTED_VALUE"""),"TNI0144: Dawei_Apollo_C_MYT_TNI_TEAM01_Aung Lwin Phyo")</f>
        <v>TNI0144: Dawei_Apollo_C_MYT_TNI_TEAM01_Aung Lwin Phyo</v>
      </c>
      <c r="C101" s="98" t="str">
        <f>IFERROR(__xludf.DUMMYFUNCTION("""COMPUTED_VALUE"""),"TNI0144-TNI0231_Dawei_24 FO : 3.82_Aung Lwin Phyo")</f>
        <v>TNI0144-TNI0231_Dawei_24 FO : 3.82_Aung Lwin Phyo</v>
      </c>
      <c r="D101" s="98" t="str">
        <f>IFERROR(__xludf.DUMMYFUNCTION("""COMPUTED_VALUE"""),"")</f>
        <v/>
      </c>
      <c r="E101" s="98" t="str">
        <f>IFERROR(__xludf.DUMMYFUNCTION("""COMPUTED_VALUE""")," Solar M:  Solar Power:  Maintenance DG:  +  +  + MW Link: ")</f>
        <v> Solar M:  Solar Power:  Maintenance DG:  +  +  + MW Link: </v>
      </c>
    </row>
    <row r="102">
      <c r="A102" s="98" t="str">
        <f>IFERROR(__xludf.DUMMYFUNCTION("""COMPUTED_VALUE"""),"TNI0146")</f>
        <v>TNI0146</v>
      </c>
      <c r="B102" s="98" t="str">
        <f>IFERROR(__xludf.DUMMYFUNCTION("""COMPUTED_VALUE"""),"TNI0146: Yebyu_IGT_C_MYT_TNI_TEAM01_Win Htet Aung")</f>
        <v>TNI0146: Yebyu_IGT_C_MYT_TNI_TEAM01_Win Htet Aung</v>
      </c>
      <c r="C102" s="98" t="str">
        <f>IFERROR(__xludf.DUMMYFUNCTION("""COMPUTED_VALUE"""),"TNI0146-JB(TNI0147-TNI0170)_Yebyu_24 FO : 9.15_Thar Htoo Aung")</f>
        <v>TNI0146-JB(TNI0147-TNI0170)_Yebyu_24 FO : 9.15_Thar Htoo Aung</v>
      </c>
      <c r="D102" s="98" t="str">
        <f>IFERROR(__xludf.DUMMYFUNCTION("""COMPUTED_VALUE"""),"+ OLT: Win Htet Aung")</f>
        <v>+ OLT: Win Htet Aung</v>
      </c>
      <c r="E102" s="98" t="str">
        <f>IFERROR(__xludf.DUMMYFUNCTION("""COMPUTED_VALUE""")," Solar M:  Solar Power:  Maintenance DG:  +  +  + MW Link: TNI0146-TNI0208")</f>
        <v> Solar M:  Solar Power:  Maintenance DG:  +  +  + MW Link: TNI0146-TNI0208</v>
      </c>
    </row>
    <row r="103">
      <c r="A103" s="98" t="str">
        <f>IFERROR(__xludf.DUMMYFUNCTION("""COMPUTED_VALUE"""),"TNI0147")</f>
        <v>TNI0147</v>
      </c>
      <c r="B103" s="98" t="str">
        <f>IFERROR(__xludf.DUMMYFUNCTION("""COMPUTED_VALUE"""),"TNI0147: Yebyu_IGT_C_MYT_TNI_TEAM01_Win Htet Aung")</f>
        <v>TNI0147: Yebyu_IGT_C_MYT_TNI_TEAM01_Win Htet Aung</v>
      </c>
      <c r="C103" s="98" t="str">
        <f>IFERROR(__xludf.DUMMYFUNCTION("""COMPUTED_VALUE"""),"TNI0147-TNI0148_Yebyu_24 FO : 40.1_Thar Htoo Aung")</f>
        <v>TNI0147-TNI0148_Yebyu_24 FO : 40.1_Thar Htoo Aung</v>
      </c>
      <c r="D103" s="98" t="str">
        <f>IFERROR(__xludf.DUMMYFUNCTION("""COMPUTED_VALUE"""),"")</f>
        <v/>
      </c>
      <c r="E103" s="98" t="str">
        <f>IFERROR(__xludf.DUMMYFUNCTION("""COMPUTED_VALUE""")," Solar M:  Solar Power:  Maintenance DG:  +  +  + MW Link: ")</f>
        <v> Solar M:  Solar Power:  Maintenance DG:  +  +  + MW Link: </v>
      </c>
    </row>
    <row r="104">
      <c r="A104" s="98" t="str">
        <f>IFERROR(__xludf.DUMMYFUNCTION("""COMPUTED_VALUE"""),"TNI0148")</f>
        <v>TNI0148</v>
      </c>
      <c r="B104" s="98" t="str">
        <f>IFERROR(__xludf.DUMMYFUNCTION("""COMPUTED_VALUE"""),"TNI0148: Yebyu_OCK_B_MYT_TNI_TEAM01_Thu Rain Niang")</f>
        <v>TNI0148: Yebyu_OCK_B_MYT_TNI_TEAM01_Thu Rain Niang</v>
      </c>
      <c r="C104" s="98" t="str">
        <f>IFERROR(__xludf.DUMMYFUNCTION("""COMPUTED_VALUE"""),"TNI0147-TNI0148_Yebyu_24 FO : 40.1_Thar Htoo Aung + TNI0148-TNI0148_01_Yebyu_24 FO : 5.6_Thar Htoo Aung + TNI0148-TNI0150_Yebyu_24 FO : 16.45_Thu Rain Niang")</f>
        <v>TNI0147-TNI0148_Yebyu_24 FO : 40.1_Thar Htoo Aung + TNI0148-TNI0148_01_Yebyu_24 FO : 5.6_Thar Htoo Aung + TNI0148-TNI0150_Yebyu_24 FO : 16.45_Thu Rain Niang</v>
      </c>
      <c r="D104" s="98" t="str">
        <f>IFERROR(__xludf.DUMMYFUNCTION("""COMPUTED_VALUE"""),"")</f>
        <v/>
      </c>
      <c r="E104" s="98" t="str">
        <f>IFERROR(__xludf.DUMMYFUNCTION("""COMPUTED_VALUE""")," Solar M:  Solar Power:  Maintenance DG:  +  +  + MW Link: ")</f>
        <v> Solar M:  Solar Power:  Maintenance DG:  +  +  + MW Link: </v>
      </c>
    </row>
    <row r="105">
      <c r="A105" s="98" t="str">
        <f>IFERROR(__xludf.DUMMYFUNCTION("""COMPUTED_VALUE"""),"TNI0148_01")</f>
        <v>TNI0148_01</v>
      </c>
      <c r="B105" s="98" t="str">
        <f>IFERROR(__xludf.DUMMYFUNCTION("""COMPUTED_VALUE"""),"TNI0148_01: Yebyu_Mytel_C_MYT_TNI_TEAM01_Thu Rain Niang")</f>
        <v>TNI0148_01: Yebyu_Mytel_C_MYT_TNI_TEAM01_Thu Rain Niang</v>
      </c>
      <c r="C105" s="98" t="str">
        <f>IFERROR(__xludf.DUMMYFUNCTION("""COMPUTED_VALUE"""),"TNI0148-TNI0148_01_Yebyu_24 FO : 5.6_Thar Htoo Aung")</f>
        <v>TNI0148-TNI0148_01_Yebyu_24 FO : 5.6_Thar Htoo Aung</v>
      </c>
      <c r="D105" s="98" t="str">
        <f>IFERROR(__xludf.DUMMYFUNCTION("""COMPUTED_VALUE"""),"")</f>
        <v/>
      </c>
      <c r="E105" s="98" t="str">
        <f>IFERROR(__xludf.DUMMYFUNCTION("""COMPUTED_VALUE""")," Solar M:  Solar Power:  Maintenance DG:  +  +  + MW Link: ")</f>
        <v> Solar M:  Solar Power:  Maintenance DG:  +  +  + MW Link: </v>
      </c>
    </row>
    <row r="106">
      <c r="A106" s="98" t="str">
        <f>IFERROR(__xludf.DUMMYFUNCTION("""COMPUTED_VALUE"""),"TNI0149")</f>
        <v>TNI0149</v>
      </c>
      <c r="B106" s="98" t="str">
        <f>IFERROR(__xludf.DUMMYFUNCTION("""COMPUTED_VALUE"""),"TNI0149: Yebyu_OCK_C_MYT_TNI_TEAM01_Thu Rain Niang")</f>
        <v>TNI0149: Yebyu_OCK_C_MYT_TNI_TEAM01_Thu Rain Niang</v>
      </c>
      <c r="C106" s="98" t="str">
        <f>IFERROR(__xludf.DUMMYFUNCTION("""COMPUTED_VALUE"""),"")</f>
        <v/>
      </c>
      <c r="D106" s="98" t="str">
        <f>IFERROR(__xludf.DUMMYFUNCTION("""COMPUTED_VALUE"""),"")</f>
        <v/>
      </c>
      <c r="E106" s="98" t="str">
        <f>IFERROR(__xludf.DUMMYFUNCTION("""COMPUTED_VALUE""")," Solar M: TNI0149 MYT_Maintenacne_Solar _ myt_tharhtoo.aung11 : 30/12/1899 00:00 :  _ Close + TNI0149 MYT_Maintenacne_Solar _ myt_tharhtoo.aung11 : 16/05/2026 11:23 : -755.41 _ Close Solar Power:  Maintenance DG:  +  +  + MW Link: TNI0149-TNI0220")</f>
        <v> Solar M: TNI0149 MYT_Maintenacne_Solar _ myt_tharhtoo.aung11 : 30/12/1899 00:00 :  _ Close + TNI0149 MYT_Maintenacne_Solar _ myt_tharhtoo.aung11 : 16/05/2026 11:23 : -755.41 _ Close Solar Power:  Maintenance DG:  +  +  + MW Link: TNI0149-TNI0220</v>
      </c>
    </row>
    <row r="107">
      <c r="A107" s="98" t="str">
        <f>IFERROR(__xludf.DUMMYFUNCTION("""COMPUTED_VALUE"""),"TNI0150")</f>
        <v>TNI0150</v>
      </c>
      <c r="B107" s="98" t="str">
        <f>IFERROR(__xludf.DUMMYFUNCTION("""COMPUTED_VALUE"""),"TNI0150: Yebyu_OCK_B_MYT_TNI_TEAM01_Thu Rain Niang")</f>
        <v>TNI0150: Yebyu_OCK_B_MYT_TNI_TEAM01_Thu Rain Niang</v>
      </c>
      <c r="C107" s="98" t="str">
        <f>IFERROR(__xludf.DUMMYFUNCTION("""COMPUTED_VALUE"""),"TNI0148-TNI0150_Yebyu_24 FO : 16.45_Thu Rain Niang + TNI0150-TNI0206_Yebyu_24 FO : 12.95_Thar Htoo Aung")</f>
        <v>TNI0148-TNI0150_Yebyu_24 FO : 16.45_Thu Rain Niang + TNI0150-TNI0206_Yebyu_24 FO : 12.95_Thar Htoo Aung</v>
      </c>
      <c r="D107" s="98" t="str">
        <f>IFERROR(__xludf.DUMMYFUNCTION("""COMPUTED_VALUE"""),"+ OLT: Thu Rain Niang")</f>
        <v>+ OLT: Thu Rain Niang</v>
      </c>
      <c r="E107" s="98" t="str">
        <f>IFERROR(__xludf.DUMMYFUNCTION("""COMPUTED_VALUE"""),"PTTEP International Limited : tni_dia_limitedpi2 1000 Km  + PTTEP International Limited : tni_dia_limitedpi1 1000 Km  Solar M: TNI0150 MYT_Maintenacne_Solar _ myt_tharhtoo.aung11 : 30/12/1899 00:00 :  _ Close + TNI0150 MYT_Maintenacne_Solar _ myt_tharhtoo"&amp;".aung11 : 16/05/2026 10:46 : -754.78 _ Close Solar Power:  Maintenance DG:  +  +  + MW Link: ")</f>
        <v>PTTEP International Limited : tni_dia_limitedpi2 1000 Km  + PTTEP International Limited : tni_dia_limitedpi1 1000 Km  Solar M: TNI0150 MYT_Maintenacne_Solar _ myt_tharhtoo.aung11 : 30/12/1899 00:00 :  _ Close + TNI0150 MYT_Maintenacne_Solar _ myt_tharhtoo.aung11 : 16/05/2026 10:46 : -754.78 _ Close Solar Power:  Maintenance DG:  +  +  + MW Link: </v>
      </c>
    </row>
    <row r="108">
      <c r="A108" s="98" t="str">
        <f>IFERROR(__xludf.DUMMYFUNCTION("""COMPUTED_VALUE"""),"TNI0153")</f>
        <v>TNI0153</v>
      </c>
      <c r="B108" s="98" t="str">
        <f>IFERROR(__xludf.DUMMYFUNCTION("""COMPUTED_VALUE"""),"TNI0153: Yebyu_Mytel_C_MYT_TNI_TEAM01_Thu Rain Niang")</f>
        <v>TNI0153: Yebyu_Mytel_C_MYT_TNI_TEAM01_Thu Rain Niang</v>
      </c>
      <c r="C108" s="98" t="str">
        <f>IFERROR(__xludf.DUMMYFUNCTION("""COMPUTED_VALUE"""),"TNI0153-TNI0153_02_Yebyu_24 FO : 5.6_Thar Htoo Aung + TNI0153-TNI0153_01_Yebyu_24 FO : 6.5_Thu Rain Niang")</f>
        <v>TNI0153-TNI0153_02_Yebyu_24 FO : 5.6_Thar Htoo Aung + TNI0153-TNI0153_01_Yebyu_24 FO : 6.5_Thu Rain Niang</v>
      </c>
      <c r="D108" s="98" t="str">
        <f>IFERROR(__xludf.DUMMYFUNCTION("""COMPUTED_VALUE"""),"+ OLT: Thu Rain Niang")</f>
        <v>+ OLT: Thu Rain Niang</v>
      </c>
      <c r="E108" s="98" t="str">
        <f>IFERROR(__xludf.DUMMYFUNCTION("""COMPUTED_VALUE"""),"TNI0153 MYT_Routine_Maintenance_Mytel_Station_VCM _ myt_tharhtoo.aung11 : 30/12/1899 00:00 : 223.05 _ FT assigned + TNI0153 MYT_Routine_Maintenance_Mytel_Station_VCM _ myt_tharhtoo.aung11 : 30/12/1899 00:00 : -1100.45 _ FT assigned Solar M: TNI0153_02 MYT"&amp;"_Maintenacne_Solar _ myt_tharhtoo.aung11 : 30/12/1899 00:00 :  _ Close + TNI0153 MYT_Maintenacne_Solar _ myt_tharhtoo.aung11 : 30/12/1899 00:00 :  _ Close + TNI0153_01 MYT_Maintenacne_Solar _ myt_tharhtoo.aung11 : 30/12/1899 00:00 :  _ Close + TNI0153_01 "&amp;"MYT_Maintenacne_Solar _ myt_aungthin.mya : 30/12/1899 00:00 : -1048.95 _ FT Inprocessing + TNI0153 MYT_Maintenacne_Solar _ myt_aungthin.mya : 29/06/2026 09:01 : -969.03 _ Close + TNI0153_02 MYT_Maintenacne_Solar _ myt_aungthin.mya : 29/06/2026 14:14 : -97"&amp;"4.24 _ Close + TNI0153_02 MYT_Maintenacne_Solar _ myt_tharhtoo.aung11 : 30/12/1899 00:00 :  _ Close Solar Power: TNI0153 MYT_Troubleshooting Solar Power System _ myt_tharhtoo.aung11 : 30/12/1899 00:00 : -520.95 _ FT assigned Maintenance DG:  +  +  + MW Li"&amp;"nk: TNI0153-TNI0206")</f>
        <v>TNI0153 MYT_Routine_Maintenance_Mytel_Station_VCM _ myt_tharhtoo.aung11 : 30/12/1899 00:00 : 223.05 _ FT assigned + TNI0153 MYT_Routine_Maintenance_Mytel_Station_VCM _ myt_tharhtoo.aung11 : 30/12/1899 00:00 : -1100.45 _ FT assigned Solar M: TNI0153_02 MYT_Maintenacne_Solar _ myt_tharhtoo.aung11 : 30/12/1899 00:00 :  _ Close + TNI0153 MYT_Maintenacne_Solar _ myt_tharhtoo.aung11 : 30/12/1899 00:00 :  _ Close + TNI0153_01 MYT_Maintenacne_Solar _ myt_tharhtoo.aung11 : 30/12/1899 00:00 :  _ Close + TNI0153_01 MYT_Maintenacne_Solar _ myt_aungthin.mya : 30/12/1899 00:00 : -1048.95 _ FT Inprocessing + TNI0153 MYT_Maintenacne_Solar _ myt_aungthin.mya : 29/06/2026 09:01 : -969.03 _ Close + TNI0153_02 MYT_Maintenacne_Solar _ myt_aungthin.mya : 29/06/2026 14:14 : -974.24 _ Close + TNI0153_02 MYT_Maintenacne_Solar _ myt_tharhtoo.aung11 : 30/12/1899 00:00 :  _ Close Solar Power: TNI0153 MYT_Troubleshooting Solar Power System _ myt_tharhtoo.aung11 : 30/12/1899 00:00 : -520.95 _ FT assigned Maintenance DG:  +  +  + MW Link: TNI0153-TNI0206</v>
      </c>
    </row>
    <row r="109">
      <c r="A109" s="98" t="str">
        <f>IFERROR(__xludf.DUMMYFUNCTION("""COMPUTED_VALUE"""),"TNI0153_01")</f>
        <v>TNI0153_01</v>
      </c>
      <c r="B109" s="98" t="str">
        <f>IFERROR(__xludf.DUMMYFUNCTION("""COMPUTED_VALUE"""),"TNI0153_01: Yebyu_Mytel_C_MYT_TNI_TEAM01_Thu Rain Niang")</f>
        <v>TNI0153_01: Yebyu_Mytel_C_MYT_TNI_TEAM01_Thu Rain Niang</v>
      </c>
      <c r="C109" s="98" t="str">
        <f>IFERROR(__xludf.DUMMYFUNCTION("""COMPUTED_VALUE"""),"TNI0153-TNI0153_01_Yebyu_24 FO : 6.5_Thu Rain Niang")</f>
        <v>TNI0153-TNI0153_01_Yebyu_24 FO : 6.5_Thu Rain Niang</v>
      </c>
      <c r="D109" s="98" t="str">
        <f>IFERROR(__xludf.DUMMYFUNCTION("""COMPUTED_VALUE"""),"")</f>
        <v/>
      </c>
      <c r="E109" s="98" t="str">
        <f>IFERROR(__xludf.DUMMYFUNCTION("""COMPUTED_VALUE""")," Solar M:  Solar Power:  Maintenance DG:  +  +  + MW Link: ")</f>
        <v> Solar M:  Solar Power:  Maintenance DG:  +  +  + MW Link: </v>
      </c>
    </row>
    <row r="110">
      <c r="A110" s="98" t="str">
        <f>IFERROR(__xludf.DUMMYFUNCTION("""COMPUTED_VALUE"""),"TNI0153_02")</f>
        <v>TNI0153_02</v>
      </c>
      <c r="B110" s="98" t="str">
        <f>IFERROR(__xludf.DUMMYFUNCTION("""COMPUTED_VALUE"""),"TNI0153_02: Yebyu_Mytel_C_MYT_TNI_TEAM01_Thu Rain Niang")</f>
        <v>TNI0153_02: Yebyu_Mytel_C_MYT_TNI_TEAM01_Thu Rain Niang</v>
      </c>
      <c r="C110" s="98" t="str">
        <f>IFERROR(__xludf.DUMMYFUNCTION("""COMPUTED_VALUE"""),"TNI0153-TNI0153_02_Yebyu_24 FO : 5.6_Thar Htoo Aung")</f>
        <v>TNI0153-TNI0153_02_Yebyu_24 FO : 5.6_Thar Htoo Aung</v>
      </c>
      <c r="D110" s="98" t="str">
        <f>IFERROR(__xludf.DUMMYFUNCTION("""COMPUTED_VALUE"""),"")</f>
        <v/>
      </c>
      <c r="E110" s="98" t="str">
        <f>IFERROR(__xludf.DUMMYFUNCTION("""COMPUTED_VALUE""")," Solar M:  Solar Power:  Maintenance DG:  +  +  + MW Link: ")</f>
        <v> Solar M:  Solar Power:  Maintenance DG:  +  +  + MW Link: </v>
      </c>
    </row>
    <row r="111">
      <c r="A111" s="98" t="str">
        <f>IFERROR(__xludf.DUMMYFUNCTION("""COMPUTED_VALUE"""),"TNI0154")</f>
        <v>TNI0154</v>
      </c>
      <c r="B111" s="98" t="str">
        <f>IFERROR(__xludf.DUMMYFUNCTION("""COMPUTED_VALUE"""),"TNI0154: Kawthoung_Mytel_B_MYT_TNI_TEAM04_Khant Chaw Nyo")</f>
        <v>TNI0154: Kawthoung_Mytel_B_MYT_TNI_TEAM04_Khant Chaw Nyo</v>
      </c>
      <c r="C111" s="98" t="str">
        <f>IFERROR(__xludf.DUMMYFUNCTION("""COMPUTED_VALUE"""),"TNI0154-TNIM087_Kawthaung_24 FO : 1.15_Tin Maung Win + TNI0154-JB(TNI0154-TNIM087)_Kawthaung_24 FO : 0.53_Tin Maung Win")</f>
        <v>TNI0154-TNIM087_Kawthaung_24 FO : 1.15_Tin Maung Win + TNI0154-JB(TNI0154-TNIM087)_Kawthaung_24 FO : 0.53_Tin Maung Win</v>
      </c>
      <c r="D111" s="98" t="str">
        <f>IFERROR(__xludf.DUMMYFUNCTION("""COMPUTED_VALUE"""),"")</f>
        <v/>
      </c>
      <c r="E111" s="98" t="str">
        <f>IFERROR(__xludf.DUMMYFUNCTION("""COMPUTED_VALUE"""),"TNI0154 MYT_Routine_Maintenance_Mytel_Station MYT_RTE_MTE_SB_STN _ myt_aungthin.mya : 30/12/1899 00:00 : 886.64 _ FT assigned + TNI0154 MYT_Routine_Maintenance_Mytel_Station_VCM _ myt_khantchaw.nyo : 29/05/2026 10:17 : 1039.85 _ Close + TNI0154 MYT_Routin"&amp;"e_Maintenance_Mytel_Station_VCM _ myt_khantchaw.nyo : 01/04/2026 12:19 : 968.03 _ Close Solar M: TNI0154 MYT_Maintenacne_Solar _ myt_khantchaw.nyo : 21/05/2026 11:10 : 639.39 _ Close + TNI0154 MYT_Maintenacne_Solar _ myt_khantchaw.nyo : 28/04/2026 09:23 :"&amp;" 495.28 _ Close + TNI0154 MYT_Maintenacne_Solar _ myt_khantchaw.nyo : 06/04/2026 09:41 : 173.25 _ Close Solar Power:  Maintenance DG:  +  +  + MW Link: ")</f>
        <v>TNI0154 MYT_Routine_Maintenance_Mytel_Station MYT_RTE_MTE_SB_STN _ myt_aungthin.mya : 30/12/1899 00:00 : 886.64 _ FT assigned + TNI0154 MYT_Routine_Maintenance_Mytel_Station_VCM _ myt_khantchaw.nyo : 29/05/2026 10:17 : 1039.85 _ Close + TNI0154 MYT_Routine_Maintenance_Mytel_Station_VCM _ myt_khantchaw.nyo : 01/04/2026 12:19 : 968.03 _ Close Solar M: TNI0154 MYT_Maintenacne_Solar _ myt_khantchaw.nyo : 21/05/2026 11:10 : 639.39 _ Close + TNI0154 MYT_Maintenacne_Solar _ myt_khantchaw.nyo : 28/04/2026 09:23 : 495.28 _ Close + TNI0154 MYT_Maintenacne_Solar _ myt_khantchaw.nyo : 06/04/2026 09:41 : 173.25 _ Close Solar Power:  Maintenance DG:  +  +  + MW Link: </v>
      </c>
    </row>
    <row r="112">
      <c r="A112" s="98" t="str">
        <f>IFERROR(__xludf.DUMMYFUNCTION("""COMPUTED_VALUE"""),"TNI0156")</f>
        <v>TNI0156</v>
      </c>
      <c r="B112" s="98" t="str">
        <f>IFERROR(__xludf.DUMMYFUNCTION("""COMPUTED_VALUE"""),"TNI0156: Tanintharyi_IGT_B_MYT_TNI_TEAM03_Myint Ko Ko Aung")</f>
        <v>TNI0156: Tanintharyi_IGT_B_MYT_TNI_TEAM03_Myint Ko Ko Aung</v>
      </c>
      <c r="C112" s="98" t="str">
        <f>IFERROR(__xludf.DUMMYFUNCTION("""COMPUTED_VALUE"""),"TNI0156-TNI0221_Bokpyin_48 FO : 14.15_Myint Ko Ko Aung")</f>
        <v>TNI0156-TNI0221_Bokpyin_48 FO : 14.15_Myint Ko Ko Aung</v>
      </c>
      <c r="D112" s="98" t="str">
        <f>IFERROR(__xludf.DUMMYFUNCTION("""COMPUTED_VALUE"""),"")</f>
        <v/>
      </c>
      <c r="E112" s="98" t="str">
        <f>IFERROR(__xludf.DUMMYFUNCTION("""COMPUTED_VALUE""")," Solar M: TNI0156 MYT_Maintenacne_Solar _ myt_myintkoko.aung : 22/04/2026 09:03 : 661.03 _ Close + TNI0156 MYT_Maintenacne_Solar _ myt_myintkoko.aung : 12/04/2026 14:00 : -103.93 _ Close Solar Power:  Maintenance DG:  +  +  + MW Link: TNI0156-TNI0004")</f>
        <v> Solar M: TNI0156 MYT_Maintenacne_Solar _ myt_myintkoko.aung : 22/04/2026 09:03 : 661.03 _ Close + TNI0156 MYT_Maintenacne_Solar _ myt_myintkoko.aung : 12/04/2026 14:00 : -103.93 _ Close Solar Power:  Maintenance DG:  +  +  + MW Link: TNI0156-TNI0004</v>
      </c>
    </row>
    <row r="113">
      <c r="A113" s="98" t="str">
        <f>IFERROR(__xludf.DUMMYFUNCTION("""COMPUTED_VALUE"""),"TNI0159")</f>
        <v>TNI0159</v>
      </c>
      <c r="B113" s="98" t="str">
        <f>IFERROR(__xludf.DUMMYFUNCTION("""COMPUTED_VALUE"""),"TNI0159: Palaw_IGT_C_MYT_TNI_TEAM02_Min Paing Oo")</f>
        <v>TNI0159: Palaw_IGT_C_MYT_TNI_TEAM02_Min Paing Oo</v>
      </c>
      <c r="C113" s="98" t="str">
        <f>IFERROR(__xludf.DUMMYFUNCTION("""COMPUTED_VALUE"""),"TNI0091-TNI0159_Palaw_24 FO : 5.34_Min Paing Oo + TNI0159-TNIM044_Palaw_24 FO : 1.76_Min Paing Oo")</f>
        <v>TNI0091-TNI0159_Palaw_24 FO : 5.34_Min Paing Oo + TNI0159-TNIM044_Palaw_24 FO : 1.76_Min Paing Oo</v>
      </c>
      <c r="D113" s="98" t="str">
        <f>IFERROR(__xludf.DUMMYFUNCTION("""COMPUTED_VALUE"""),"")</f>
        <v/>
      </c>
      <c r="E113" s="98" t="str">
        <f>IFERROR(__xludf.DUMMYFUNCTION("""COMPUTED_VALUE""")," Solar M:  Solar Power:  Maintenance DG:  +  +  + MW Link: ")</f>
        <v> Solar M:  Solar Power:  Maintenance DG:  +  +  + MW Link: </v>
      </c>
    </row>
    <row r="114">
      <c r="A114" s="98" t="str">
        <f>IFERROR(__xludf.DUMMYFUNCTION("""COMPUTED_VALUE"""),"TNI0161")</f>
        <v>TNI0161</v>
      </c>
      <c r="B114" s="98" t="str">
        <f>IFERROR(__xludf.DUMMYFUNCTION("""COMPUTED_VALUE"""),"TNI0161: Myeik_IGT_C_MYT_TNI_TEAM02_Wanna Oo")</f>
        <v>TNI0161: Myeik_IGT_C_MYT_TNI_TEAM02_Wanna Oo</v>
      </c>
      <c r="C114" s="98" t="str">
        <f>IFERROR(__xludf.DUMMYFUNCTION("""COMPUTED_VALUE"""),"")</f>
        <v/>
      </c>
      <c r="D114" s="98" t="str">
        <f>IFERROR(__xludf.DUMMYFUNCTION("""COMPUTED_VALUE"""),"")</f>
        <v/>
      </c>
      <c r="E114" s="98" t="str">
        <f>IFERROR(__xludf.DUMMYFUNCTION("""COMPUTED_VALUE""")," Solar M:  Solar Power:  Maintenance DG:  +  +  + MW Link: TNI0161-TNI0255")</f>
        <v> Solar M:  Solar Power:  Maintenance DG:  +  +  + MW Link: TNI0161-TNI0255</v>
      </c>
    </row>
    <row r="115">
      <c r="A115" s="98" t="str">
        <f>IFERROR(__xludf.DUMMYFUNCTION("""COMPUTED_VALUE"""),"TNI0163")</f>
        <v>TNI0163</v>
      </c>
      <c r="B115" s="98" t="str">
        <f>IFERROR(__xludf.DUMMYFUNCTION("""COMPUTED_VALUE"""),"TNI0163: Palaw_IGT_C_MYT_TNI_TEAM02_Min Paing Oo")</f>
        <v>TNI0163: Palaw_IGT_C_MYT_TNI_TEAM02_Min Paing Oo</v>
      </c>
      <c r="C115" s="98" t="str">
        <f>IFERROR(__xludf.DUMMYFUNCTION("""COMPUTED_VALUE"""),"")</f>
        <v/>
      </c>
      <c r="D115" s="98" t="str">
        <f>IFERROR(__xludf.DUMMYFUNCTION("""COMPUTED_VALUE"""),"")</f>
        <v/>
      </c>
      <c r="E115" s="98" t="str">
        <f>IFERROR(__xludf.DUMMYFUNCTION("""COMPUTED_VALUE""")," Solar M:  Solar Power:  Maintenance DG:  +  +  + MW Link: TNI0163-TNI0033")</f>
        <v> Solar M:  Solar Power:  Maintenance DG:  +  +  + MW Link: TNI0163-TNI0033</v>
      </c>
    </row>
    <row r="116">
      <c r="A116" s="98" t="str">
        <f>IFERROR(__xludf.DUMMYFUNCTION("""COMPUTED_VALUE"""),"TNI0164")</f>
        <v>TNI0164</v>
      </c>
      <c r="B116" s="98" t="str">
        <f>IFERROR(__xludf.DUMMYFUNCTION("""COMPUTED_VALUE"""),"TNI0164: Palaw_IGT_C_MYT_TNI_TEAM02_Min Paing Oo")</f>
        <v>TNI0164: Palaw_IGT_C_MYT_TNI_TEAM02_Min Paing Oo</v>
      </c>
      <c r="C116" s="98" t="str">
        <f>IFERROR(__xludf.DUMMYFUNCTION("""COMPUTED_VALUE"""),"TNI0164-TNIM045_Palaw_24 FO : 1.08_Min Paing Oo")</f>
        <v>TNI0164-TNIM045_Palaw_24 FO : 1.08_Min Paing Oo</v>
      </c>
      <c r="D116" s="98" t="str">
        <f>IFERROR(__xludf.DUMMYFUNCTION("""COMPUTED_VALUE"""),"")</f>
        <v/>
      </c>
      <c r="E116" s="98" t="str">
        <f>IFERROR(__xludf.DUMMYFUNCTION("""COMPUTED_VALUE""")," Solar M:  Solar Power:  Maintenance DG:  +  +  + MW Link: ")</f>
        <v> Solar M:  Solar Power:  Maintenance DG:  +  +  + MW Link: </v>
      </c>
    </row>
    <row r="117">
      <c r="A117" s="98" t="str">
        <f>IFERROR(__xludf.DUMMYFUNCTION("""COMPUTED_VALUE"""),"TNI0165")</f>
        <v>TNI0165</v>
      </c>
      <c r="B117" s="98" t="str">
        <f>IFERROR(__xludf.DUMMYFUNCTION("""COMPUTED_VALUE"""),"TNI0165: Palaw_IGT_C_MYT_TNI_TEAM02_Min Paing Oo")</f>
        <v>TNI0165: Palaw_IGT_C_MYT_TNI_TEAM02_Min Paing Oo</v>
      </c>
      <c r="C117" s="98" t="str">
        <f>IFERROR(__xludf.DUMMYFUNCTION("""COMPUTED_VALUE"""),"TNI0165-TNIM046_Palaw_24 FO : 2.3_Min Paing Oo")</f>
        <v>TNI0165-TNIM046_Palaw_24 FO : 2.3_Min Paing Oo</v>
      </c>
      <c r="D117" s="98" t="str">
        <f>IFERROR(__xludf.DUMMYFUNCTION("""COMPUTED_VALUE"""),"")</f>
        <v/>
      </c>
      <c r="E117" s="98" t="str">
        <f>IFERROR(__xludf.DUMMYFUNCTION("""COMPUTED_VALUE""")," Solar M:  Solar Power:  Maintenance DG:  +  +  + MW Link: ")</f>
        <v> Solar M:  Solar Power:  Maintenance DG:  +  +  + MW Link: </v>
      </c>
    </row>
    <row r="118">
      <c r="A118" s="98" t="str">
        <f>IFERROR(__xludf.DUMMYFUNCTION("""COMPUTED_VALUE"""),"TNI0166")</f>
        <v>TNI0166</v>
      </c>
      <c r="B118" s="98" t="str">
        <f>IFERROR(__xludf.DUMMYFUNCTION("""COMPUTED_VALUE"""),"TNI0166: Palaw_IGT_C_MYT_TNI_TEAM02_Min Paing Oo")</f>
        <v>TNI0166: Palaw_IGT_C_MYT_TNI_TEAM02_Min Paing Oo</v>
      </c>
      <c r="C118" s="98" t="str">
        <f>IFERROR(__xludf.DUMMYFUNCTION("""COMPUTED_VALUE"""),"TNI0166-TNIM047_Tanintharyi_24 FO : 1_Wanna Oo")</f>
        <v>TNI0166-TNIM047_Tanintharyi_24 FO : 1_Wanna Oo</v>
      </c>
      <c r="D118" s="98" t="str">
        <f>IFERROR(__xludf.DUMMYFUNCTION("""COMPUTED_VALUE"""),"")</f>
        <v/>
      </c>
      <c r="E118" s="98" t="str">
        <f>IFERROR(__xludf.DUMMYFUNCTION("""COMPUTED_VALUE""")," Solar M:  Solar Power:  Maintenance DG:  +  +  + MW Link: ")</f>
        <v> Solar M:  Solar Power:  Maintenance DG:  +  +  + MW Link: </v>
      </c>
    </row>
    <row r="119">
      <c r="A119" s="98" t="str">
        <f>IFERROR(__xludf.DUMMYFUNCTION("""COMPUTED_VALUE"""),"TNI0167")</f>
        <v>TNI0167</v>
      </c>
      <c r="B119" s="98" t="str">
        <f>IFERROR(__xludf.DUMMYFUNCTION("""COMPUTED_VALUE"""),"TNI0167: Myeik_IGT_C_MYT_TNI_TEAM02_Maung Maung")</f>
        <v>TNI0167: Myeik_IGT_C_MYT_TNI_TEAM02_Maung Maung</v>
      </c>
      <c r="C119" s="98" t="str">
        <f>IFERROR(__xludf.DUMMYFUNCTION("""COMPUTED_VALUE"""),"TNI0167-TNIM048_Myeik_24 FO : 1.8_Ye Lin")</f>
        <v>TNI0167-TNIM048_Myeik_24 FO : 1.8_Ye Lin</v>
      </c>
      <c r="D119" s="98" t="str">
        <f>IFERROR(__xludf.DUMMYFUNCTION("""COMPUTED_VALUE"""),"")</f>
        <v/>
      </c>
      <c r="E119" s="98" t="str">
        <f>IFERROR(__xludf.DUMMYFUNCTION("""COMPUTED_VALUE""")," Solar M:  Solar Power:  Maintenance DG:  +  +  + MW Link: ")</f>
        <v> Solar M:  Solar Power:  Maintenance DG:  +  +  + MW Link: </v>
      </c>
    </row>
    <row r="120">
      <c r="A120" s="98" t="str">
        <f>IFERROR(__xludf.DUMMYFUNCTION("""COMPUTED_VALUE"""),"TNI0169")</f>
        <v>TNI0169</v>
      </c>
      <c r="B120" s="98" t="str">
        <f>IFERROR(__xludf.DUMMYFUNCTION("""COMPUTED_VALUE"""),"TNI0169: Tanintharyi_Mytel_C_MYT_TNI_TEAM03_Myint Ko Ko Aung")</f>
        <v>TNI0169: Tanintharyi_Mytel_C_MYT_TNI_TEAM03_Myint Ko Ko Aung</v>
      </c>
      <c r="C120" s="98" t="str">
        <f>IFERROR(__xludf.DUMMYFUNCTION("""COMPUTED_VALUE"""),"TNI0169-JB(TNI0003-TNI0004)_Tanintharyi_24 FO : 1.3_Zin Min Shein")</f>
        <v>TNI0169-JB(TNI0003-TNI0004)_Tanintharyi_24 FO : 1.3_Zin Min Shein</v>
      </c>
      <c r="D120" s="98" t="str">
        <f>IFERROR(__xludf.DUMMYFUNCTION("""COMPUTED_VALUE"""),"")</f>
        <v/>
      </c>
      <c r="E120" s="98" t="str">
        <f>IFERROR(__xludf.DUMMYFUNCTION("""COMPUTED_VALUE""")," Solar M:  Solar Power:  Maintenance DG:  +  +  + MW Link: ")</f>
        <v> Solar M:  Solar Power:  Maintenance DG:  +  +  + MW Link: </v>
      </c>
    </row>
    <row r="121">
      <c r="A121" s="98" t="str">
        <f>IFERROR(__xludf.DUMMYFUNCTION("""COMPUTED_VALUE"""),"TNI0170")</f>
        <v>TNI0170</v>
      </c>
      <c r="B121" s="98" t="str">
        <f>IFERROR(__xludf.DUMMYFUNCTION("""COMPUTED_VALUE"""),"TNI0170: Launglon_PAT_B_MYT_TNI_TEAM01_Bhone Htet Aung")</f>
        <v>TNI0170: Launglon_PAT_B_MYT_TNI_TEAM01_Bhone Htet Aung</v>
      </c>
      <c r="C121" s="98" t="str">
        <f>IFERROR(__xludf.DUMMYFUNCTION("""COMPUTED_VALUE"""),"TNI0170-TNI0357_Yebyu_24 FO : 13.7_Win Htet Aung + TNI0170-TNI0207_Dawei_24 FO : 9.64_Win Htet Aung")</f>
        <v>TNI0170-TNI0357_Yebyu_24 FO : 13.7_Win Htet Aung + TNI0170-TNI0207_Dawei_24 FO : 9.64_Win Htet Aung</v>
      </c>
      <c r="D121" s="98" t="str">
        <f>IFERROR(__xludf.DUMMYFUNCTION("""COMPUTED_VALUE"""),"+ OLT: Bhone Htet Aung")</f>
        <v>+ OLT: Bhone Htet Aung</v>
      </c>
      <c r="E121" s="98" t="str">
        <f>IFERROR(__xludf.DUMMYFUNCTION("""COMPUTED_VALUE"""),"TNI0170 MYT_Routine_Maintenance_Mytel_Station_VCM _ myt_bhonehtet.aung : 01/06/2026 12:35 : 595.05 _ Close + TNI0170 MYT_Routine_Maintenance_Mytel_Station_VCM _ myt_bhonehtet.aung : 01/06/2026 12:12 : -897.93 _ Close Solar M:  Solar Power:  Maintenance DG"&amp;":  +  +  + MW Link: ")</f>
        <v>TNI0170 MYT_Routine_Maintenance_Mytel_Station_VCM _ myt_bhonehtet.aung : 01/06/2026 12:35 : 595.05 _ Close + TNI0170 MYT_Routine_Maintenance_Mytel_Station_VCM _ myt_bhonehtet.aung : 01/06/2026 12:12 : -897.93 _ Close Solar M:  Solar Power:  Maintenance DG:  +  +  + MW Link: </v>
      </c>
    </row>
    <row r="122">
      <c r="A122" s="98" t="str">
        <f>IFERROR(__xludf.DUMMYFUNCTION("""COMPUTED_VALUE"""),"TNI0173")</f>
        <v>TNI0173</v>
      </c>
      <c r="B122" s="98" t="str">
        <f>IFERROR(__xludf.DUMMYFUNCTION("""COMPUTED_VALUE"""),"TNI0173: Tanintharyi_Edotco_B_MYT_TNI_TEAM03_Myint Ko Ko Aung")</f>
        <v>TNI0173: Tanintharyi_Edotco_B_MYT_TNI_TEAM03_Myint Ko Ko Aung</v>
      </c>
      <c r="C122" s="98" t="str">
        <f>IFERROR(__xludf.DUMMYFUNCTION("""COMPUTED_VALUE"""),"")</f>
        <v/>
      </c>
      <c r="D122" s="98" t="str">
        <f>IFERROR(__xludf.DUMMYFUNCTION("""COMPUTED_VALUE"""),"")</f>
        <v/>
      </c>
      <c r="E122" s="98" t="str">
        <f>IFERROR(__xludf.DUMMYFUNCTION("""COMPUTED_VALUE""")," Solar M:  Solar Power:  Maintenance DG:  +  +  + MW Link: TNI0173-TNI0079")</f>
        <v> Solar M:  Solar Power:  Maintenance DG:  +  +  + MW Link: TNI0173-TNI0079</v>
      </c>
    </row>
    <row r="123">
      <c r="A123" s="98" t="str">
        <f>IFERROR(__xludf.DUMMYFUNCTION("""COMPUTED_VALUE"""),"TNI0185")</f>
        <v>TNI0185</v>
      </c>
      <c r="B123" s="98" t="str">
        <f>IFERROR(__xludf.DUMMYFUNCTION("""COMPUTED_VALUE"""),"TNI0185: Yebyu_Mytel_C_MYT_TNI_TEAM01_Thu Rain Niang")</f>
        <v>TNI0185: Yebyu_Mytel_C_MYT_TNI_TEAM01_Thu Rain Niang</v>
      </c>
      <c r="C123" s="98" t="str">
        <f>IFERROR(__xludf.DUMMYFUNCTION("""COMPUTED_VALUE"""),"TNI0185-TNIM050_Yebyu_48 FO : 10.56_Thar Htoo Aung + TNI0185-JB(MON0002-TNI0006)_Yebyu_24 FO : 0.42_Thu Rain Niang")</f>
        <v>TNI0185-TNIM050_Yebyu_48 FO : 10.56_Thar Htoo Aung + TNI0185-JB(MON0002-TNI0006)_Yebyu_24 FO : 0.42_Thu Rain Niang</v>
      </c>
      <c r="D123" s="98" t="str">
        <f>IFERROR(__xludf.DUMMYFUNCTION("""COMPUTED_VALUE"""),"")</f>
        <v/>
      </c>
      <c r="E123" s="98" t="str">
        <f>IFERROR(__xludf.DUMMYFUNCTION("""COMPUTED_VALUE""")," Solar M: TNI0185 MYT_Maintenacne_Solar _ myt_tharhtoo.aung11 : 30/12/1899 00:00 :  _ Close + TNI0185 MYT_Maintenacne_Solar _ myt_tharhtoo.aung11 : 30/12/1899 00:00 : -1048.95 _ FT assigned + TNI0185 MYT_Maintenacne_Solar _ myt_tharhtoo.aung11 : 30/12/189"&amp;"9 00:00 :  _ Close Solar Power:  Maintenance DG:  +  +  + MW Link: ")</f>
        <v> Solar M: TNI0185 MYT_Maintenacne_Solar _ myt_tharhtoo.aung11 : 30/12/1899 00:00 :  _ Close + TNI0185 MYT_Maintenacne_Solar _ myt_tharhtoo.aung11 : 30/12/1899 00:00 : -1048.95 _ FT assigned + TNI0185 MYT_Maintenacne_Solar _ myt_tharhtoo.aung11 : 30/12/1899 00:00 :  _ Close Solar Power:  Maintenance DG:  +  +  + MW Link: </v>
      </c>
    </row>
    <row r="124">
      <c r="A124" s="98" t="str">
        <f>IFERROR(__xludf.DUMMYFUNCTION("""COMPUTED_VALUE"""),"TNI0187")</f>
        <v>TNI0187</v>
      </c>
      <c r="B124" s="98" t="str">
        <f>IFERROR(__xludf.DUMMYFUNCTION("""COMPUTED_VALUE"""),"TNI0187: Launglon_IGT_C_MYT_TNI_TEAM01_Thar Htoo Aung")</f>
        <v>TNI0187: Launglon_IGT_C_MYT_TNI_TEAM01_Thar Htoo Aung</v>
      </c>
      <c r="C124" s="98" t="str">
        <f>IFERROR(__xludf.DUMMYFUNCTION("""COMPUTED_VALUE"""),"")</f>
        <v/>
      </c>
      <c r="D124" s="98" t="str">
        <f>IFERROR(__xludf.DUMMYFUNCTION("""COMPUTED_VALUE"""),"")</f>
        <v/>
      </c>
      <c r="E124" s="98" t="str">
        <f>IFERROR(__xludf.DUMMYFUNCTION("""COMPUTED_VALUE""")," Solar M: TNI0187 MYT_Maintenacne_Solar _ myt_bhonehtet.aung : 30/12/1899 00:00 :  _ Close + TNI0187 MYT_Maintenacne_Solar _ myt_bhonehtet.aung : 11/05/2026 21:01 : -752.72 _ Close Solar Power:  Maintenance DG:  +  +  + MW Link: TNI0187-TNI0046")</f>
        <v> Solar M: TNI0187 MYT_Maintenacne_Solar _ myt_bhonehtet.aung : 30/12/1899 00:00 :  _ Close + TNI0187 MYT_Maintenacne_Solar _ myt_bhonehtet.aung : 11/05/2026 21:01 : -752.72 _ Close Solar Power:  Maintenance DG:  +  +  + MW Link: TNI0187-TNI0046</v>
      </c>
    </row>
    <row r="125">
      <c r="A125" s="98" t="str">
        <f>IFERROR(__xludf.DUMMYFUNCTION("""COMPUTED_VALUE"""),"TNI0188")</f>
        <v>TNI0188</v>
      </c>
      <c r="B125" s="98" t="str">
        <f>IFERROR(__xludf.DUMMYFUNCTION("""COMPUTED_VALUE"""),"TNI0188: Yebyu_IGT_C_MYT_TNI_TEAM01_Thu Rain Niang")</f>
        <v>TNI0188: Yebyu_IGT_C_MYT_TNI_TEAM01_Thu Rain Niang</v>
      </c>
      <c r="C125" s="98" t="str">
        <f>IFERROR(__xludf.DUMMYFUNCTION("""COMPUTED_VALUE"""),"TNI0188-JB(MON0002-TNI0006)_Yebyu_48 FO : 1_Thu Rain Niang + TNI0188-TNIM051_Yebyu_24 FO : 0.6_Thu Rain Niang")</f>
        <v>TNI0188-JB(MON0002-TNI0006)_Yebyu_48 FO : 1_Thu Rain Niang + TNI0188-TNIM051_Yebyu_24 FO : 0.6_Thu Rain Niang</v>
      </c>
      <c r="D125" s="98" t="str">
        <f>IFERROR(__xludf.DUMMYFUNCTION("""COMPUTED_VALUE"""),"")</f>
        <v/>
      </c>
      <c r="E125" s="98" t="str">
        <f>IFERROR(__xludf.DUMMYFUNCTION("""COMPUTED_VALUE""")," Solar M:  Solar Power:  Maintenance DG:  +  +  + MW Link: ")</f>
        <v> Solar M:  Solar Power:  Maintenance DG:  +  +  + MW Link: </v>
      </c>
    </row>
    <row r="126">
      <c r="A126" s="98" t="str">
        <f>IFERROR(__xludf.DUMMYFUNCTION("""COMPUTED_VALUE"""),"TNI0189")</f>
        <v>TNI0189</v>
      </c>
      <c r="B126" s="98" t="str">
        <f>IFERROR(__xludf.DUMMYFUNCTION("""COMPUTED_VALUE"""),"TNI0189: Yebyu_IGT_C_MYT_TNI_TEAM01_Thu Rain Niang")</f>
        <v>TNI0189: Yebyu_IGT_C_MYT_TNI_TEAM01_Thu Rain Niang</v>
      </c>
      <c r="C126" s="98" t="str">
        <f>IFERROR(__xludf.DUMMYFUNCTION("""COMPUTED_VALUE"""),"TNI0189-TNIM052_Yebyu_24 FO : 0.77_Thu Rain Niang")</f>
        <v>TNI0189-TNIM052_Yebyu_24 FO : 0.77_Thu Rain Niang</v>
      </c>
      <c r="D126" s="98" t="str">
        <f>IFERROR(__xludf.DUMMYFUNCTION("""COMPUTED_VALUE"""),"")</f>
        <v/>
      </c>
      <c r="E126" s="98" t="str">
        <f>IFERROR(__xludf.DUMMYFUNCTION("""COMPUTED_VALUE""")," Solar M:  Solar Power:  Maintenance DG:  +  +  + MW Link: ")</f>
        <v> Solar M:  Solar Power:  Maintenance DG:  +  +  + MW Link: </v>
      </c>
    </row>
    <row r="127">
      <c r="A127" s="98" t="str">
        <f>IFERROR(__xludf.DUMMYFUNCTION("""COMPUTED_VALUE"""),"TNI0194")</f>
        <v>TNI0194</v>
      </c>
      <c r="B127" s="98" t="str">
        <f>IFERROR(__xludf.DUMMYFUNCTION("""COMPUTED_VALUE"""),"TNI0194: Thayetchaung_IGT_C_MYT_TNI_TEAM01_Bone Myat Naing")</f>
        <v>TNI0194: Thayetchaung_IGT_C_MYT_TNI_TEAM01_Bone Myat Naing</v>
      </c>
      <c r="C127" s="98" t="str">
        <f>IFERROR(__xludf.DUMMYFUNCTION("""COMPUTED_VALUE"""),"TNI0194-TNIM053_Thayetchaung_24 FO : 1.73_Bhone Htet Aung")</f>
        <v>TNI0194-TNIM053_Thayetchaung_24 FO : 1.73_Bhone Htet Aung</v>
      </c>
      <c r="D127" s="98" t="str">
        <f>IFERROR(__xludf.DUMMYFUNCTION("""COMPUTED_VALUE"""),"")</f>
        <v/>
      </c>
      <c r="E127" s="98" t="str">
        <f>IFERROR(__xludf.DUMMYFUNCTION("""COMPUTED_VALUE""")," Solar M: TNI0194 MYT_Maintenacne_Solar _ myt_phyoko.ko44 : 30/12/1899 00:00 :  _ Close + TNI0194 MYT_Maintenacne_Solar _ myt_phyoko.ko44 : 15/05/2026 09:25 : -735.39 _ Close Solar Power:  Maintenance DG:  +  +  + MW Link: ")</f>
        <v> Solar M: TNI0194 MYT_Maintenacne_Solar _ myt_phyoko.ko44 : 30/12/1899 00:00 :  _ Close + TNI0194 MYT_Maintenacne_Solar _ myt_phyoko.ko44 : 15/05/2026 09:25 : -735.39 _ Close Solar Power:  Maintenance DG:  +  +  + MW Link: </v>
      </c>
    </row>
    <row r="128">
      <c r="A128" s="98" t="str">
        <f>IFERROR(__xludf.DUMMYFUNCTION("""COMPUTED_VALUE"""),"TNI0196")</f>
        <v>TNI0196</v>
      </c>
      <c r="B128" s="98" t="str">
        <f>IFERROR(__xludf.DUMMYFUNCTION("""COMPUTED_VALUE"""),"TNI0196: Bokpyin_PAT_B_MYT_TNI_TEAM03_Si Thu Htun")</f>
        <v>TNI0196: Bokpyin_PAT_B_MYT_TNI_TEAM03_Si Thu Htun</v>
      </c>
      <c r="C128" s="98" t="str">
        <f>IFERROR(__xludf.DUMMYFUNCTION("""COMPUTED_VALUE"""),"TNI0196-TNIM089_Kawthaung_24 FO : 0.25_Si Thu Htun")</f>
        <v>TNI0196-TNIM089_Kawthaung_24 FO : 0.25_Si Thu Htun</v>
      </c>
      <c r="D128" s="98" t="str">
        <f>IFERROR(__xludf.DUMMYFUNCTION("""COMPUTED_VALUE"""),"+ OLT: Si Thu Htun")</f>
        <v>+ OLT: Si Thu Htun</v>
      </c>
      <c r="E128" s="98" t="str">
        <f>IFERROR(__xludf.DUMMYFUNCTION("""COMPUTED_VALUE"""),"Nguyen Van Hoa : tni_dia_hoanv4 1000 Km TNI0196 MYT_Routine_Maintenance_Mytel_Station_VCM _ myt_sithu.htun : 25/06/2026 12:55 : 256.24 _ Close + TNI0196 MYT_Routine_Maintenance_Mytel_Station_VCM _ myt_sithu.htun : 27/04/2026 12:28 : 327.03 _ Close Solar M"&amp;":  Solar Power:  Maintenance DG:  +  +  + MW Link: ")</f>
        <v>Nguyen Van Hoa : tni_dia_hoanv4 1000 Km TNI0196 MYT_Routine_Maintenance_Mytel_Station_VCM _ myt_sithu.htun : 25/06/2026 12:55 : 256.24 _ Close + TNI0196 MYT_Routine_Maintenance_Mytel_Station_VCM _ myt_sithu.htun : 27/04/2026 12:28 : 327.03 _ Close Solar M:  Solar Power:  Maintenance DG:  +  +  + MW Link: </v>
      </c>
    </row>
    <row r="129">
      <c r="A129" s="98" t="str">
        <f>IFERROR(__xludf.DUMMYFUNCTION("""COMPUTED_VALUE"""),"TNI0197")</f>
        <v>TNI0197</v>
      </c>
      <c r="B129" s="98" t="str">
        <f>IFERROR(__xludf.DUMMYFUNCTION("""COMPUTED_VALUE"""),"TNI0197: Yebyu_IGT_B_MYT_TNI_TEAM01_Thar Htoo Aung")</f>
        <v>TNI0197: Yebyu_IGT_B_MYT_TNI_TEAM01_Thar Htoo Aung</v>
      </c>
      <c r="C129" s="98" t="str">
        <f>IFERROR(__xludf.DUMMYFUNCTION("""COMPUTED_VALUE"""),"TNI0197-TNIM054_Yebyu_24 FO : 0.6_Bhone Htet Aung")</f>
        <v>TNI0197-TNIM054_Yebyu_24 FO : 0.6_Bhone Htet Aung</v>
      </c>
      <c r="D129" s="98" t="str">
        <f>IFERROR(__xludf.DUMMYFUNCTION("""COMPUTED_VALUE"""),"+ OLT: Thar Htoo Aung")</f>
        <v>+ OLT: Thar Htoo Aung</v>
      </c>
      <c r="E129" s="98" t="str">
        <f>IFERROR(__xludf.DUMMYFUNCTION("""COMPUTED_VALUE""")," Solar M:  Solar Power:  Maintenance DG:  +  +  + MW Link: ")</f>
        <v> Solar M:  Solar Power:  Maintenance DG:  +  +  + MW Link: </v>
      </c>
    </row>
    <row r="130">
      <c r="A130" s="98" t="str">
        <f>IFERROR(__xludf.DUMMYFUNCTION("""COMPUTED_VALUE"""),"TNI0198")</f>
        <v>TNI0198</v>
      </c>
      <c r="B130" s="98" t="str">
        <f>IFERROR(__xludf.DUMMYFUNCTION("""COMPUTED_VALUE"""),"TNI0198: Thayetchaung_PAT_B_MYT_TNI_TEAM01_Win Htet Aung")</f>
        <v>TNI0198: Thayetchaung_PAT_B_MYT_TNI_TEAM01_Win Htet Aung</v>
      </c>
      <c r="C130" s="98" t="str">
        <f>IFERROR(__xludf.DUMMYFUNCTION("""COMPUTED_VALUE"""),"TNI0198-TNIM055_Thayetchaung_24 FO : 1.91_Aung Lwin Phyo")</f>
        <v>TNI0198-TNIM055_Thayetchaung_24 FO : 1.91_Aung Lwin Phyo</v>
      </c>
      <c r="D130" s="98" t="str">
        <f>IFERROR(__xludf.DUMMYFUNCTION("""COMPUTED_VALUE"""),"+ OLT: Win Htet Aung")</f>
        <v>+ OLT: Win Htet Aung</v>
      </c>
      <c r="E130" s="98" t="str">
        <f>IFERROR(__xludf.DUMMYFUNCTION("""COMPUTED_VALUE"""),"TNI0198 MYT_Routine_Maintenance_Mytel_Station_VCM _ myt_phyoko.ko44 : 02/06/2026 17:58 : 595.06 _ Close + TNI0198 MYT_Routine_Maintenance_Mytel_Station_VCM _ myt_phyoko.ko44 : 12/05/2026 11:27 : -80.88 _ Close Solar M:  Solar Power:  Maintenance DG:  +  +"&amp;"  + MW Link: ")</f>
        <v>TNI0198 MYT_Routine_Maintenance_Mytel_Station_VCM _ myt_phyoko.ko44 : 02/06/2026 17:58 : 595.06 _ Close + TNI0198 MYT_Routine_Maintenance_Mytel_Station_VCM _ myt_phyoko.ko44 : 12/05/2026 11:27 : -80.88 _ Close Solar M:  Solar Power:  Maintenance DG:  +  +  + MW Link: </v>
      </c>
    </row>
    <row r="131">
      <c r="A131" s="98" t="str">
        <f>IFERROR(__xludf.DUMMYFUNCTION("""COMPUTED_VALUE"""),"TNI0199")</f>
        <v>TNI0199</v>
      </c>
      <c r="B131" s="98" t="str">
        <f>IFERROR(__xludf.DUMMYFUNCTION("""COMPUTED_VALUE"""),"TNI0199: Palaw_Mytel_C_MYT_TNI_TEAM02_Min Paing Oo")</f>
        <v>TNI0199: Palaw_Mytel_C_MYT_TNI_TEAM02_Min Paing Oo</v>
      </c>
      <c r="C131" s="98" t="str">
        <f>IFERROR(__xludf.DUMMYFUNCTION("""COMPUTED_VALUE"""),"TNI0199-JB(TNI0088-TNI0109)_Palaw_24 FO : 2.5_Min Paing Oo")</f>
        <v>TNI0199-JB(TNI0088-TNI0109)_Palaw_24 FO : 2.5_Min Paing Oo</v>
      </c>
      <c r="D131" s="98" t="str">
        <f>IFERROR(__xludf.DUMMYFUNCTION("""COMPUTED_VALUE"""),"")</f>
        <v/>
      </c>
      <c r="E131" s="98" t="str">
        <f>IFERROR(__xludf.DUMMYFUNCTION("""COMPUTED_VALUE""")," Solar M:  Solar Power:  Maintenance DG:  +  +  + MW Link: TNI0199-TNI0090")</f>
        <v> Solar M:  Solar Power:  Maintenance DG:  +  +  + MW Link: TNI0199-TNI0090</v>
      </c>
    </row>
    <row r="132">
      <c r="A132" s="98" t="str">
        <f>IFERROR(__xludf.DUMMYFUNCTION("""COMPUTED_VALUE"""),"TNI0200")</f>
        <v>TNI0200</v>
      </c>
      <c r="B132" s="98" t="str">
        <f>IFERROR(__xludf.DUMMYFUNCTION("""COMPUTED_VALUE"""),"TNI0200: Kyunsu_Mytel_B_MYT_TNI_TEAM02_Wanna Oo")</f>
        <v>TNI0200: Kyunsu_Mytel_B_MYT_TNI_TEAM02_Wanna Oo</v>
      </c>
      <c r="C132" s="98" t="str">
        <f>IFERROR(__xludf.DUMMYFUNCTION("""COMPUTED_VALUE"""),"")</f>
        <v/>
      </c>
      <c r="D132" s="98" t="str">
        <f>IFERROR(__xludf.DUMMYFUNCTION("""COMPUTED_VALUE"""),"")</f>
        <v/>
      </c>
      <c r="E132" s="98" t="str">
        <f>IFERROR(__xludf.DUMMYFUNCTION("""COMPUTED_VALUE"""),"TNI0200 MYT_Routine_Maintenance_Mytel_Station_VCM _ myt_wanna.oo2 : 08/05/2026 15:50 : 801.02 _ Close Solar M: TNI0200 MYT_Maintenacne_Solar _ myt_wanna.oo2 : 30/12/1899 00:00 :  _ Close + TNI0200 MYT_Maintenacne_Solar _ myt_wanna.oo2 : 21/04/2026 16:21 :"&amp;" 674.48 _ Close + TNI0200 MYT_Maintenacne_Solar _ myt_wanna.oo2 : 21/04/2026 16:12 : -165.55 _ Close Solar Power:  Maintenance DG:  +  +  + MW Link: TNI0200-TNI0107")</f>
        <v>TNI0200 MYT_Routine_Maintenance_Mytel_Station_VCM _ myt_wanna.oo2 : 08/05/2026 15:50 : 801.02 _ Close Solar M: TNI0200 MYT_Maintenacne_Solar _ myt_wanna.oo2 : 30/12/1899 00:00 :  _ Close + TNI0200 MYT_Maintenacne_Solar _ myt_wanna.oo2 : 21/04/2026 16:21 : 674.48 _ Close + TNI0200 MYT_Maintenacne_Solar _ myt_wanna.oo2 : 21/04/2026 16:12 : -165.55 _ Close Solar Power:  Maintenance DG:  +  +  + MW Link: TNI0200-TNI0107</v>
      </c>
    </row>
    <row r="133">
      <c r="A133" s="98" t="str">
        <f>IFERROR(__xludf.DUMMYFUNCTION("""COMPUTED_VALUE"""),"TNI0201")</f>
        <v>TNI0201</v>
      </c>
      <c r="B133" s="98" t="str">
        <f>IFERROR(__xludf.DUMMYFUNCTION("""COMPUTED_VALUE"""),"TNI0201: Thayetchaung_Mytel_B_MYT_TNI_TEAM01_Aung Lwin Phyo")</f>
        <v>TNI0201: Thayetchaung_Mytel_B_MYT_TNI_TEAM01_Aung Lwin Phyo</v>
      </c>
      <c r="C133" s="98" t="str">
        <f>IFERROR(__xludf.DUMMYFUNCTION("""COMPUTED_VALUE"""),"TNI0201-TNIM056_Thayetchaung_ 24 FO : 1.1_Bhone Htet Aung")</f>
        <v>TNI0201-TNIM056_Thayetchaung_ 24 FO : 1.1_Bhone Htet Aung</v>
      </c>
      <c r="D133" s="98" t="str">
        <f>IFERROR(__xludf.DUMMYFUNCTION("""COMPUTED_VALUE"""),"")</f>
        <v/>
      </c>
      <c r="E133" s="98" t="str">
        <f>IFERROR(__xludf.DUMMYFUNCTION("""COMPUTED_VALUE"""),"TNI0201 MYT_Routine_Maintenance_Mytel_Station_VCM _ myt_aunglwin.phyo : 30/12/1899 00:00 : 223.05 _ FT assigned + TNI0201 MYT_Routine_Maintenance_Mytel_Station_VCM _ myt_aunglwin.phyo : 27/05/2026 11:07 : -407.99 _ Close Solar M: TNI0201 MYT_Maintenacne_S"&amp;"olar _ myt_aunglwin.phyo : 30/12/1899 00:00 :  _ Close + TNI0201 MYT_Maintenacne_Solar _ myt_aunglwin.phyo : 12/05/2026 17:10 : 134.08 _ Close + TNI0201 MYT_Maintenacne_Solar _ myt_aunglwin.phyo : 14/05/2026 09:46 : -752.72 _ Close Solar Power: TNI0201 MY"&amp;"T_Troubleshooting Solar Power System _ myt_aunglwin.phyo : 30/12/1899 00:00 : -520.95 _ FT assigned Maintenance DG:  +  +  + MW Link: ")</f>
        <v>TNI0201 MYT_Routine_Maintenance_Mytel_Station_VCM _ myt_aunglwin.phyo : 30/12/1899 00:00 : 223.05 _ FT assigned + TNI0201 MYT_Routine_Maintenance_Mytel_Station_VCM _ myt_aunglwin.phyo : 27/05/2026 11:07 : -407.99 _ Close Solar M: TNI0201 MYT_Maintenacne_Solar _ myt_aunglwin.phyo : 30/12/1899 00:00 :  _ Close + TNI0201 MYT_Maintenacne_Solar _ myt_aunglwin.phyo : 12/05/2026 17:10 : 134.08 _ Close + TNI0201 MYT_Maintenacne_Solar _ myt_aunglwin.phyo : 14/05/2026 09:46 : -752.72 _ Close Solar Power: TNI0201 MYT_Troubleshooting Solar Power System _ myt_aunglwin.phyo : 30/12/1899 00:00 : -520.95 _ FT assigned Maintenance DG:  +  +  + MW Link: </v>
      </c>
    </row>
    <row r="134">
      <c r="A134" s="98" t="str">
        <f>IFERROR(__xludf.DUMMYFUNCTION("""COMPUTED_VALUE"""),"TNI0202")</f>
        <v>TNI0202</v>
      </c>
      <c r="B134" s="98" t="str">
        <f>IFERROR(__xludf.DUMMYFUNCTION("""COMPUTED_VALUE"""),"TNI0202: Kawthoung_Mytel_C_MYT_TNI_TEAM04_Tin Maung Win")</f>
        <v>TNI0202: Kawthoung_Mytel_C_MYT_TNI_TEAM04_Tin Maung Win</v>
      </c>
      <c r="C134" s="98" t="str">
        <f>IFERROR(__xludf.DUMMYFUNCTION("""COMPUTED_VALUE"""),"TNI0120-TNI0202_Kawthaung_24 FO : 18_Tin Maung Win + TNI0202-TNIM090_Kawthaung_24 FO : 2.33_Tin Maung Win")</f>
        <v>TNI0120-TNI0202_Kawthaung_24 FO : 18_Tin Maung Win + TNI0202-TNIM090_Kawthaung_24 FO : 2.33_Tin Maung Win</v>
      </c>
      <c r="D134" s="98" t="str">
        <f>IFERROR(__xludf.DUMMYFUNCTION("""COMPUTED_VALUE"""),"+ OLT: Tin Maung Win")</f>
        <v>+ OLT: Tin Maung Win</v>
      </c>
      <c r="E134" s="98" t="str">
        <f>IFERROR(__xludf.DUMMYFUNCTION("""COMPUTED_VALUE"""),"TNI0202 MYT_Routine_Maintenance_Mytel_Station_VCM _ myt_tinmaung.win : 07/05/2026 09:49 : 849.35 _ Close Solar M: TNI0202 MYT_Maintenacne_Solar _ myt_tinmaung.win : 21/05/2026 10:21 : 639.39 _ Close + TNI0202 MYT_Maintenacne_Solar _ myt_tinmaung.win : 28/"&amp;"04/2026 08:54 : 495.28 _ Close + TNI0202 MYT_Maintenacne_Solar _ myt_tinmaung.win : 06/04/2026 10:28 : 173.25 _ Close Solar Power:  Maintenance DG:  +  +  + MW Link: ")</f>
        <v>TNI0202 MYT_Routine_Maintenance_Mytel_Station_VCM _ myt_tinmaung.win : 07/05/2026 09:49 : 849.35 _ Close Solar M: TNI0202 MYT_Maintenacne_Solar _ myt_tinmaung.win : 21/05/2026 10:21 : 639.39 _ Close + TNI0202 MYT_Maintenacne_Solar _ myt_tinmaung.win : 28/04/2026 08:54 : 495.28 _ Close + TNI0202 MYT_Maintenacne_Solar _ myt_tinmaung.win : 06/04/2026 10:28 : 173.25 _ Close Solar Power:  Maintenance DG:  +  +  + MW Link: </v>
      </c>
    </row>
    <row r="135">
      <c r="A135" s="98" t="str">
        <f>IFERROR(__xludf.DUMMYFUNCTION("""COMPUTED_VALUE"""),"TNI0206")</f>
        <v>TNI0206</v>
      </c>
      <c r="B135" s="98" t="str">
        <f>IFERROR(__xludf.DUMMYFUNCTION("""COMPUTED_VALUE"""),"TNI0206: Yebyu_Mytel_B_MYT_TNI_TEAM01_Thu Rain Niang")</f>
        <v>TNI0206: Yebyu_Mytel_B_MYT_TNI_TEAM01_Thu Rain Niang</v>
      </c>
      <c r="C135" s="98" t="str">
        <f>IFERROR(__xludf.DUMMYFUNCTION("""COMPUTED_VALUE"""),"TNI0150-TNI0206_Yebyu_24 FO : 12.95_Thar Htoo Aung + TNI0213-TNI0206_Yebyu_24 FO : 7.66_Thar Htoo Aung + TNI0206-TNI0220_Yebyu_24 FO : 7.56_Thar Htoo Aung")</f>
        <v>TNI0150-TNI0206_Yebyu_24 FO : 12.95_Thar Htoo Aung + TNI0213-TNI0206_Yebyu_24 FO : 7.66_Thar Htoo Aung + TNI0206-TNI0220_Yebyu_24 FO : 7.56_Thar Htoo Aung</v>
      </c>
      <c r="D135" s="98" t="str">
        <f>IFERROR(__xludf.DUMMYFUNCTION("""COMPUTED_VALUE"""),"+ OLT: Thu Rain Niang")</f>
        <v>+ OLT: Thu Rain Niang</v>
      </c>
      <c r="E135" s="98" t="str">
        <f>IFERROR(__xludf.DUMMYFUNCTION("""COMPUTED_VALUE"""),"TNI0206 MYT_Routine_Maintenance_Mytel_Station_VCM _ myt_tharhtoo.aung11 : 30/12/1899 00:00 : 223.05 _ FT assigned + TNI0206 MYT_Routine_Maintenance_Mytel_Station_VCM _ myt_tharhtoo.aung11 : 30/12/1899 00:00 : -1100.45 _ FT assigned Solar M: TNI0206 MYT_Ma"&amp;"intenacne_Solar _ myt_tharhtoo.aung11 : 30/12/1899 00:00 :  _ Close + TNI0206 MYT_Maintenacne_Solar _ myt_aungthin.mya : 22/06/2026 14:44 : -852.97 _ Close Solar Power: TNI0206 MYT_Troubleshooting Solar Power System _ myt_aungthin.mya : 29/06/2026 10:16 :"&amp;" -442.28 _ Close Maintenance DG:  +  +  + MW Link: ")</f>
        <v>TNI0206 MYT_Routine_Maintenance_Mytel_Station_VCM _ myt_tharhtoo.aung11 : 30/12/1899 00:00 : 223.05 _ FT assigned + TNI0206 MYT_Routine_Maintenance_Mytel_Station_VCM _ myt_tharhtoo.aung11 : 30/12/1899 00:00 : -1100.45 _ FT assigned Solar M: TNI0206 MYT_Maintenacne_Solar _ myt_tharhtoo.aung11 : 30/12/1899 00:00 :  _ Close + TNI0206 MYT_Maintenacne_Solar _ myt_aungthin.mya : 22/06/2026 14:44 : -852.97 _ Close Solar Power: TNI0206 MYT_Troubleshooting Solar Power System _ myt_aungthin.mya : 29/06/2026 10:16 : -442.28 _ Close Maintenance DG:  +  +  + MW Link: </v>
      </c>
    </row>
    <row r="136">
      <c r="A136" s="98" t="str">
        <f>IFERROR(__xludf.DUMMYFUNCTION("""COMPUTED_VALUE"""),"TNI0207")</f>
        <v>TNI0207</v>
      </c>
      <c r="B136" s="98" t="str">
        <f>IFERROR(__xludf.DUMMYFUNCTION("""COMPUTED_VALUE"""),"TNI0207: Launglon_MEC.PNC_C_MYT_TNI_TEAM01_Bhone Htet Aung")</f>
        <v>TNI0207: Launglon_MEC.PNC_C_MYT_TNI_TEAM01_Bhone Htet Aung</v>
      </c>
      <c r="C136" s="98" t="str">
        <f>IFERROR(__xludf.DUMMYFUNCTION("""COMPUTED_VALUE"""),"TNI0170-TNI0207_Dawei_24 FO : 9.64_Win Htet Aung + TNI0018-TNI0207_Dawei_24 FO : 3_Win Htet Aung + TNI0207-TNI0452_Dawei_12 FO : 3_Aung Lwin Phyo")</f>
        <v>TNI0170-TNI0207_Dawei_24 FO : 9.64_Win Htet Aung + TNI0018-TNI0207_Dawei_24 FO : 3_Win Htet Aung + TNI0207-TNI0452_Dawei_12 FO : 3_Aung Lwin Phyo</v>
      </c>
      <c r="D136" s="98" t="str">
        <f>IFERROR(__xludf.DUMMYFUNCTION("""COMPUTED_VALUE"""),"")</f>
        <v/>
      </c>
      <c r="E136" s="98" t="str">
        <f>IFERROR(__xludf.DUMMYFUNCTION("""COMPUTED_VALUE"""),"TNI0207 MYT_Routine_Maintenance_Mytel_Station_VCM _ myt_bhonehtet.aung : 30/12/1899 00:00 : 223.05 _ FT assigned + TNI0207 MYT_Routine_Maintenance_Mytel_Station_VCM _ myt_bhonehtet.aung : 23/05/2026 13:53 : -407.99 _ Close Solar M: TNI0207 MYT_Maintenacne"&amp;"_Solar _ myt_bhonehtet.aung : 30/12/1899 00:00 :  _ Close + TNI0207 MYT_Maintenacne_Solar _ myt_aunglwin.phyo : 18/05/2026 11:47 : 33.89 _ Close + TNI0207 MYT_Maintenacne_Solar _ myt_bhonehtet.aung : 18/05/2026 13:30 : -808.89 _ Close Solar Power:  Mainte"&amp;"nance DG:  +  +  + MW Link: ")</f>
        <v>TNI0207 MYT_Routine_Maintenance_Mytel_Station_VCM _ myt_bhonehtet.aung : 30/12/1899 00:00 : 223.05 _ FT assigned + TNI0207 MYT_Routine_Maintenance_Mytel_Station_VCM _ myt_bhonehtet.aung : 23/05/2026 13:53 : -407.99 _ Close Solar M: TNI0207 MYT_Maintenacne_Solar _ myt_bhonehtet.aung : 30/12/1899 00:00 :  _ Close + TNI0207 MYT_Maintenacne_Solar _ myt_aunglwin.phyo : 18/05/2026 11:47 : 33.89 _ Close + TNI0207 MYT_Maintenacne_Solar _ myt_bhonehtet.aung : 18/05/2026 13:30 : -808.89 _ Close Solar Power:  Maintenance DG:  +  +  + MW Link: </v>
      </c>
    </row>
    <row r="137">
      <c r="A137" s="98" t="str">
        <f>IFERROR(__xludf.DUMMYFUNCTION("""COMPUTED_VALUE"""),"TNI0208")</f>
        <v>TNI0208</v>
      </c>
      <c r="B137" s="98" t="str">
        <f>IFERROR(__xludf.DUMMYFUNCTION("""COMPUTED_VALUE"""),"TNI0208: Yebyu_IGT_B_MYT_TNI_TEAM01_Win Htet Aung")</f>
        <v>TNI0208: Yebyu_IGT_B_MYT_TNI_TEAM01_Win Htet Aung</v>
      </c>
      <c r="C137" s="98" t="str">
        <f>IFERROR(__xludf.DUMMYFUNCTION("""COMPUTED_VALUE"""),"TNI0208-TNIM057_Yebyu_24 FO : 0.8_Bhone Htet Aung")</f>
        <v>TNI0208-TNIM057_Yebyu_24 FO : 0.8_Bhone Htet Aung</v>
      </c>
      <c r="D137" s="98" t="str">
        <f>IFERROR(__xludf.DUMMYFUNCTION("""COMPUTED_VALUE"""),"+ OLT: Win Htet Aung")</f>
        <v>+ OLT: Win Htet Aung</v>
      </c>
      <c r="E137" s="98" t="str">
        <f>IFERROR(__xludf.DUMMYFUNCTION("""COMPUTED_VALUE""")," Solar M:  Solar Power:  Maintenance DG:  +  +  + MW Link: ")</f>
        <v> Solar M:  Solar Power:  Maintenance DG:  +  +  + MW Link: </v>
      </c>
    </row>
    <row r="138">
      <c r="A138" s="98" t="str">
        <f>IFERROR(__xludf.DUMMYFUNCTION("""COMPUTED_VALUE"""),"TNI0209")</f>
        <v>TNI0209</v>
      </c>
      <c r="B138" s="98" t="str">
        <f>IFERROR(__xludf.DUMMYFUNCTION("""COMPUTED_VALUE"""),"TNI0209: Bokpyin_Mytel_C_MYT_TNI_TEAM03_Tin Naing Lin")</f>
        <v>TNI0209: Bokpyin_Mytel_C_MYT_TNI_TEAM03_Tin Naing Lin</v>
      </c>
      <c r="C138" s="98" t="str">
        <f>IFERROR(__xludf.DUMMYFUNCTION("""COMPUTED_VALUE"""),"")</f>
        <v/>
      </c>
      <c r="D138" s="98" t="str">
        <f>IFERROR(__xludf.DUMMYFUNCTION("""COMPUTED_VALUE"""),"")</f>
        <v/>
      </c>
      <c r="E138" s="98" t="str">
        <f>IFERROR(__xludf.DUMMYFUNCTION("""COMPUTED_VALUE"""),"TNI0209 MYT_Routine_Maintenance_Mytel_Station MYT_RTE_MTE_SB_STN _ myt_sithu.htun : 30/12/1899 00:00 : 886.64 _ FT assigned + TNI0209 MYT_Routine_Maintenance_Mytel_Station_VCM _ myt_tinnaing.lin11 : 01/06/2026 14:31 : 948.04 _ Close + TNI0209 MYT_Routine_"&amp;"Maintenance_Mytel_Station_VCM _ myt_tinnaing.lin11 : 07/05/2026 10:42 : 16.92 _ Close Solar M: TNI0209 MYT_Maintenacne_Solar _ myt_tinnaing.lin11 : 30/12/1899 00:00 :  _ Close + TNI0209 MYT_Maintenacne_Solar _ myt_tinnaing.lin11 : 07/05/2026 13:07 : 184.9"&amp;"1 _ Close + TNI0209 MYT_Maintenacne_Solar _ myt_tinnaing.lin11 : 07/05/2026 13:03 : -655.07 _ Close Solar Power:  Maintenance DG:  +  +  + MW Link: TNI0209-TNI0423")</f>
        <v>TNI0209 MYT_Routine_Maintenance_Mytel_Station MYT_RTE_MTE_SB_STN _ myt_sithu.htun : 30/12/1899 00:00 : 886.64 _ FT assigned + TNI0209 MYT_Routine_Maintenance_Mytel_Station_VCM _ myt_tinnaing.lin11 : 01/06/2026 14:31 : 948.04 _ Close + TNI0209 MYT_Routine_Maintenance_Mytel_Station_VCM _ myt_tinnaing.lin11 : 07/05/2026 10:42 : 16.92 _ Close Solar M: TNI0209 MYT_Maintenacne_Solar _ myt_tinnaing.lin11 : 30/12/1899 00:00 :  _ Close + TNI0209 MYT_Maintenacne_Solar _ myt_tinnaing.lin11 : 07/05/2026 13:07 : 184.91 _ Close + TNI0209 MYT_Maintenacne_Solar _ myt_tinnaing.lin11 : 07/05/2026 13:03 : -655.07 _ Close Solar Power:  Maintenance DG:  +  +  + MW Link: TNI0209-TNI0423</v>
      </c>
    </row>
    <row r="139">
      <c r="A139" s="98" t="str">
        <f>IFERROR(__xludf.DUMMYFUNCTION("""COMPUTED_VALUE"""),"TNI0210")</f>
        <v>TNI0210</v>
      </c>
      <c r="B139" s="98" t="str">
        <f>IFERROR(__xludf.DUMMYFUNCTION("""COMPUTED_VALUE"""),"TNI0210: Thayetchaung_Mytel_B_MYT_TNI_TEAM01_Thar Htoo Aung")</f>
        <v>TNI0210: Thayetchaung_Mytel_B_MYT_TNI_TEAM01_Thar Htoo Aung</v>
      </c>
      <c r="C139" s="98" t="str">
        <f>IFERROR(__xludf.DUMMYFUNCTION("""COMPUTED_VALUE"""),"TNI0210-TNI0322_Thayetchaung_48 FO : 7.21_Aung Lwin Phyo")</f>
        <v>TNI0210-TNI0322_Thayetchaung_48 FO : 7.21_Aung Lwin Phyo</v>
      </c>
      <c r="D139" s="98" t="str">
        <f>IFERROR(__xludf.DUMMYFUNCTION("""COMPUTED_VALUE"""),"+ OLT: Thar Htoo Aung")</f>
        <v>+ OLT: Thar Htoo Aung</v>
      </c>
      <c r="E139" s="98" t="str">
        <f>IFERROR(__xludf.DUMMYFUNCTION("""COMPUTED_VALUE""")," Solar M:  Solar Power:  Maintenance DG:  +  +  + MW Link: ")</f>
        <v> Solar M:  Solar Power:  Maintenance DG:  +  +  + MW Link: </v>
      </c>
    </row>
    <row r="140">
      <c r="A140" s="98" t="str">
        <f>IFERROR(__xludf.DUMMYFUNCTION("""COMPUTED_VALUE"""),"TNI0211")</f>
        <v>TNI0211</v>
      </c>
      <c r="B140" s="98" t="str">
        <f>IFERROR(__xludf.DUMMYFUNCTION("""COMPUTED_VALUE"""),"TNI0211: Launglon_Mytel_B_MYT_TNI_TEAM01_Bone Myat Naing")</f>
        <v>TNI0211: Launglon_Mytel_B_MYT_TNI_TEAM01_Bone Myat Naing</v>
      </c>
      <c r="C140" s="98" t="str">
        <f>IFERROR(__xludf.DUMMYFUNCTION("""COMPUTED_VALUE"""),"")</f>
        <v/>
      </c>
      <c r="D140" s="98" t="str">
        <f>IFERROR(__xludf.DUMMYFUNCTION("""COMPUTED_VALUE"""),"")</f>
        <v/>
      </c>
      <c r="E140" s="98" t="str">
        <f>IFERROR(__xludf.DUMMYFUNCTION("""COMPUTED_VALUE""")," Solar M:  Solar Power:  Maintenance DG:  +  +  + MW Link: ")</f>
        <v> Solar M:  Solar Power:  Maintenance DG:  +  +  + MW Link: </v>
      </c>
    </row>
    <row r="141">
      <c r="A141" s="98" t="str">
        <f>IFERROR(__xludf.DUMMYFUNCTION("""COMPUTED_VALUE"""),"TNI0212")</f>
        <v>TNI0212</v>
      </c>
      <c r="B141" s="98" t="str">
        <f>IFERROR(__xludf.DUMMYFUNCTION("""COMPUTED_VALUE"""),"TNI0212: Tanintharyi_Mytel_C_MYT_TNI_TEAM03_Myint Ko Ko Aung")</f>
        <v>TNI0212: Tanintharyi_Mytel_C_MYT_TNI_TEAM03_Myint Ko Ko Aung</v>
      </c>
      <c r="C141" s="98" t="str">
        <f>IFERROR(__xludf.DUMMYFUNCTION("""COMPUTED_VALUE"""),"TNI0212-TNIM058_Tanintharyi_24 FO : 15.3_Myint Ko Ko Aung")</f>
        <v>TNI0212-TNIM058_Tanintharyi_24 FO : 15.3_Myint Ko Ko Aung</v>
      </c>
      <c r="D141" s="98" t="str">
        <f>IFERROR(__xludf.DUMMYFUNCTION("""COMPUTED_VALUE"""),"")</f>
        <v/>
      </c>
      <c r="E141" s="98" t="str">
        <f>IFERROR(__xludf.DUMMYFUNCTION("""COMPUTED_VALUE""")," Solar M: TNI0212 MYT_Maintenacne_Solar _ myt_myintkoko.aung : 30/12/1899 00:00 :  _ Close + TNI0212 MYT_Maintenacne_Solar _ myt_myintkoko.aung : 05/05/2026 15:46 : 329.46 _ Close + TNI0212 MYT_Maintenacne_Solar _ myt_myintkoko.aung : 12/04/2026 17:56 : -"&amp;"103.92 _ Close Solar Power:  Maintenance DG:  +  +  + MW Link: ")</f>
        <v> Solar M: TNI0212 MYT_Maintenacne_Solar _ myt_myintkoko.aung : 30/12/1899 00:00 :  _ Close + TNI0212 MYT_Maintenacne_Solar _ myt_myintkoko.aung : 05/05/2026 15:46 : 329.46 _ Close + TNI0212 MYT_Maintenacne_Solar _ myt_myintkoko.aung : 12/04/2026 17:56 : -103.92 _ Close Solar Power:  Maintenance DG:  +  +  + MW Link: </v>
      </c>
    </row>
    <row r="142">
      <c r="A142" s="98" t="str">
        <f>IFERROR(__xludf.DUMMYFUNCTION("""COMPUTED_VALUE"""),"TNI0213")</f>
        <v>TNI0213</v>
      </c>
      <c r="B142" s="98" t="str">
        <f>IFERROR(__xludf.DUMMYFUNCTION("""COMPUTED_VALUE"""),"TNI0213: Yebyu_EFT_B_MYT_TNI_TEAM01_Thu Rain Niang")</f>
        <v>TNI0213: Yebyu_EFT_B_MYT_TNI_TEAM01_Thu Rain Niang</v>
      </c>
      <c r="C142" s="98" t="str">
        <f>IFERROR(__xludf.DUMMYFUNCTION("""COMPUTED_VALUE"""),"TNI0213-TNI0206_Yebyu_24 FO : 7.66_Thar Htoo Aung + TNI0213-TNI0430_Yebyu_24 FO : 9_Thu Rain Niang + TNI0213-TNI0213_01_Yebyu_24 FO : 4.2_Thar Htoo Aung + TNI0213-TNIM059_Yebyu_24 FO : 21.56_Thu Rain Niang")</f>
        <v>TNI0213-TNI0206_Yebyu_24 FO : 7.66_Thar Htoo Aung + TNI0213-TNI0430_Yebyu_24 FO : 9_Thu Rain Niang + TNI0213-TNI0213_01_Yebyu_24 FO : 4.2_Thar Htoo Aung + TNI0213-TNIM059_Yebyu_24 FO : 21.56_Thu Rain Niang</v>
      </c>
      <c r="D142" s="98" t="str">
        <f>IFERROR(__xludf.DUMMYFUNCTION("""COMPUTED_VALUE"""),"+ OLT: Thu Rain Niang")</f>
        <v>+ OLT: Thu Rain Niang</v>
      </c>
      <c r="E142" s="98" t="str">
        <f>IFERROR(__xludf.DUMMYFUNCTION("""COMPUTED_VALUE"""),"UTS Land Survey Services Co.ltd : tni_dia_coltdulss 3000 Km  + DELCO Co.ltd : tni_dia_delco 3000 Km  Solar M: TNI0213_01 MYT_Maintenacne_Solar _ myt_aungthin.mya : 30/12/1899 00:00 :  _ Close Solar Power:  Maintenance DG:  +  +  + MW Link: ")</f>
        <v>UTS Land Survey Services Co.ltd : tni_dia_coltdulss 3000 Km  + DELCO Co.ltd : tni_dia_delco 3000 Km  Solar M: TNI0213_01 MYT_Maintenacne_Solar _ myt_aungthin.mya : 30/12/1899 00:00 :  _ Close Solar Power:  Maintenance DG:  +  +  + MW Link: </v>
      </c>
    </row>
    <row r="143">
      <c r="A143" s="98" t="str">
        <f>IFERROR(__xludf.DUMMYFUNCTION("""COMPUTED_VALUE"""),"TNI0214")</f>
        <v>TNI0214</v>
      </c>
      <c r="B143" s="98" t="str">
        <f>IFERROR(__xludf.DUMMYFUNCTION("""COMPUTED_VALUE"""),"TNI0214: Thayetchaung_Mytel_B_MYT_TNI_TEAM01_Bhone Htet Aung")</f>
        <v>TNI0214: Thayetchaung_Mytel_B_MYT_TNI_TEAM01_Bhone Htet Aung</v>
      </c>
      <c r="C143" s="98" t="str">
        <f>IFERROR(__xludf.DUMMYFUNCTION("""COMPUTED_VALUE"""),"TNI0214-JB(TNI0005-TNI0013)_Thayetchaung_48 FO : 4.18_Aung Lwin Phyo")</f>
        <v>TNI0214-JB(TNI0005-TNI0013)_Thayetchaung_48 FO : 4.18_Aung Lwin Phyo</v>
      </c>
      <c r="D143" s="98" t="str">
        <f>IFERROR(__xludf.DUMMYFUNCTION("""COMPUTED_VALUE"""),"")</f>
        <v/>
      </c>
      <c r="E143" s="98" t="str">
        <f>IFERROR(__xludf.DUMMYFUNCTION("""COMPUTED_VALUE"""),"TNI0214 MYT_Routine_Maintenance_Mytel_Station MYT_RTE_MTE_SB_STN _ myt_tharhtoo.aung11 : 30/12/1899 00:00 : 886.64 _ FT assigned + TNI0214 MYT_Routine_Maintenance_Mytel_Station_VCM _ myt_bhonehtet.aung : 22/05/2026 10:30 : 920.06 _ Close Solar M: TNI0214 "&amp;"MYT_Maintenacne_Solar _ myt_bhonehtet.aung : 21/05/2026 09:47 : 656 _ Close + TNI0214 MYT_Maintenacne_Solar _ myt_bhonehtet.aung : 11/05/2026 21:04 : 175.28 _ Close + TNI0214 MYT_Maintenacne_Solar _ myt_bhonehtet.aung : 11/05/2026 20:55 : -752.72 _ Close "&amp;"Solar Power:  Maintenance DG:  +  +  + MW Link: TNI0214-TNI0198")</f>
        <v>TNI0214 MYT_Routine_Maintenance_Mytel_Station MYT_RTE_MTE_SB_STN _ myt_tharhtoo.aung11 : 30/12/1899 00:00 : 886.64 _ FT assigned + TNI0214 MYT_Routine_Maintenance_Mytel_Station_VCM _ myt_bhonehtet.aung : 22/05/2026 10:30 : 920.06 _ Close Solar M: TNI0214 MYT_Maintenacne_Solar _ myt_bhonehtet.aung : 21/05/2026 09:47 : 656 _ Close + TNI0214 MYT_Maintenacne_Solar _ myt_bhonehtet.aung : 11/05/2026 21:04 : 175.28 _ Close + TNI0214 MYT_Maintenacne_Solar _ myt_bhonehtet.aung : 11/05/2026 20:55 : -752.72 _ Close Solar Power:  Maintenance DG:  +  +  + MW Link: TNI0214-TNI0198</v>
      </c>
    </row>
    <row r="144">
      <c r="A144" s="98" t="str">
        <f>IFERROR(__xludf.DUMMYFUNCTION("""COMPUTED_VALUE"""),"TNI0215")</f>
        <v>TNI0215</v>
      </c>
      <c r="B144" s="98" t="str">
        <f>IFERROR(__xludf.DUMMYFUNCTION("""COMPUTED_VALUE"""),"TNI0215: Thayetchaung_IGT_C_MYT_TNI_TEAM02_Min Paing Oo")</f>
        <v>TNI0215: Thayetchaung_IGT_C_MYT_TNI_TEAM02_Min Paing Oo</v>
      </c>
      <c r="C144" s="98" t="str">
        <f>IFERROR(__xludf.DUMMYFUNCTION("""COMPUTED_VALUE"""),"TNI0215-TNIM060_Thayetchaung_24 FO : 0.97_Min Paing Oo")</f>
        <v>TNI0215-TNIM060_Thayetchaung_24 FO : 0.97_Min Paing Oo</v>
      </c>
      <c r="D144" s="98" t="str">
        <f>IFERROR(__xludf.DUMMYFUNCTION("""COMPUTED_VALUE"""),"")</f>
        <v/>
      </c>
      <c r="E144" s="98" t="str">
        <f>IFERROR(__xludf.DUMMYFUNCTION("""COMPUTED_VALUE""")," Solar M:  Solar Power:  Maintenance DG:  +  +  + MW Link: ")</f>
        <v> Solar M:  Solar Power:  Maintenance DG:  +  +  + MW Link: </v>
      </c>
    </row>
    <row r="145">
      <c r="A145" s="98" t="str">
        <f>IFERROR(__xludf.DUMMYFUNCTION("""COMPUTED_VALUE"""),"TNI0216")</f>
        <v>TNI0216</v>
      </c>
      <c r="B145" s="98" t="str">
        <f>IFERROR(__xludf.DUMMYFUNCTION("""COMPUTED_VALUE"""),"TNI0216: Launglon_Mytel_C_MYT_TNI_TEAM01_Win Htet Aung")</f>
        <v>TNI0216: Launglon_Mytel_C_MYT_TNI_TEAM01_Win Htet Aung</v>
      </c>
      <c r="C145" s="98" t="str">
        <f>IFERROR(__xludf.DUMMYFUNCTION("""COMPUTED_VALUE"""),"TNI0018-TNI0216_LaungLon_48 FO : 5.31_Win Htet Aung + TNI0216-TNI0366_LaungLon_48 FO : 7.2_Win Htet Aung")</f>
        <v>TNI0018-TNI0216_LaungLon_48 FO : 5.31_Win Htet Aung + TNI0216-TNI0366_LaungLon_48 FO : 7.2_Win Htet Aung</v>
      </c>
      <c r="D145" s="98" t="str">
        <f>IFERROR(__xludf.DUMMYFUNCTION("""COMPUTED_VALUE"""),"")</f>
        <v/>
      </c>
      <c r="E145" s="98" t="str">
        <f>IFERROR(__xludf.DUMMYFUNCTION("""COMPUTED_VALUE""")," Solar M: TNI0216 MYT_Maintenacne_Solar _ myt_phyoko.ko44 : 30/12/1899 00:00 :  _ Close + TNI0216 MYT_Maintenacne_Solar _ myt_phyoko.ko44 : 16/05/2026 11:36 : 38.35 _ Close + TNI0216 MYT_Maintenacne_Solar _ myt_phyoko.ko44 : 30/12/1899 00:00 :  _ Close So"&amp;"lar Power:  Maintenance DG:  +  +  + MW Link: ")</f>
        <v> Solar M: TNI0216 MYT_Maintenacne_Solar _ myt_phyoko.ko44 : 30/12/1899 00:00 :  _ Close + TNI0216 MYT_Maintenacne_Solar _ myt_phyoko.ko44 : 16/05/2026 11:36 : 38.35 _ Close + TNI0216 MYT_Maintenacne_Solar _ myt_phyoko.ko44 : 30/12/1899 00:00 :  _ Close Solar Power:  Maintenance DG:  +  +  + MW Link: </v>
      </c>
    </row>
    <row r="146">
      <c r="A146" s="98" t="str">
        <f>IFERROR(__xludf.DUMMYFUNCTION("""COMPUTED_VALUE"""),"TNI0219")</f>
        <v>TNI0219</v>
      </c>
      <c r="B146" s="98" t="str">
        <f>IFERROR(__xludf.DUMMYFUNCTION("""COMPUTED_VALUE"""),"TNI0219: Launglon_Mytel_C_MYT_TNI_TEAM01_Thar Htoo Aung")</f>
        <v>TNI0219: Launglon_Mytel_C_MYT_TNI_TEAM01_Thar Htoo Aung</v>
      </c>
      <c r="C146" s="98" t="str">
        <f>IFERROR(__xludf.DUMMYFUNCTION("""COMPUTED_VALUE"""),"")</f>
        <v/>
      </c>
      <c r="D146" s="98" t="str">
        <f>IFERROR(__xludf.DUMMYFUNCTION("""COMPUTED_VALUE"""),"")</f>
        <v/>
      </c>
      <c r="E146" s="98" t="str">
        <f>IFERROR(__xludf.DUMMYFUNCTION("""COMPUTED_VALUE""")," Solar M: TNI0219 MYT_Maintenacne_Solar _ myt_phyoko.ko44 : 30/12/1899 00:00 :  _ Close + TNI0219 MYT_Maintenacne_Solar _ myt_bonemyat.naing1 : 15/05/2026 14:31 : 33.91 _ Close Solar Power:  Maintenance DG:  +  +  + MW Link: TNI0219-TNI0201")</f>
        <v> Solar M: TNI0219 MYT_Maintenacne_Solar _ myt_phyoko.ko44 : 30/12/1899 00:00 :  _ Close + TNI0219 MYT_Maintenacne_Solar _ myt_bonemyat.naing1 : 15/05/2026 14:31 : 33.91 _ Close Solar Power:  Maintenance DG:  +  +  + MW Link: TNI0219-TNI0201</v>
      </c>
    </row>
    <row r="147">
      <c r="A147" s="98" t="str">
        <f>IFERROR(__xludf.DUMMYFUNCTION("""COMPUTED_VALUE"""),"TNI0220")</f>
        <v>TNI0220</v>
      </c>
      <c r="B147" s="98" t="str">
        <f>IFERROR(__xludf.DUMMYFUNCTION("""COMPUTED_VALUE"""),"TNI0220: Yebyu_MEC.PNC_B_MYT_TNI_TEAM01_Thu Rain Niang")</f>
        <v>TNI0220: Yebyu_MEC.PNC_B_MYT_TNI_TEAM01_Thu Rain Niang</v>
      </c>
      <c r="C147" s="98" t="str">
        <f>IFERROR(__xludf.DUMMYFUNCTION("""COMPUTED_VALUE"""),"TNI0206-TNI0220_Yebyu_24 FO : 7.56_Thar Htoo Aung")</f>
        <v>TNI0206-TNI0220_Yebyu_24 FO : 7.56_Thar Htoo Aung</v>
      </c>
      <c r="D147" s="98" t="str">
        <f>IFERROR(__xludf.DUMMYFUNCTION("""COMPUTED_VALUE"""),"")</f>
        <v/>
      </c>
      <c r="E147" s="98" t="str">
        <f>IFERROR(__xludf.DUMMYFUNCTION("""COMPUTED_VALUE"""),"TNI0220 MYT_Routine_Maintenance_Mytel_Station_VCM _ myt_tharhtoo.aung11 : 24/06/2026 13:36 : 418.38 _ Close + TNI0220 MYT_Routine_Maintenance_Mytel_Station_VCM _ myt_tharhtoo.aung11 : 30/12/1899 00:00 : -1100.45 _ FT assigned Solar M: TNI0220 MYT_Maintena"&amp;"cne_Solar _ myt_tharhtoo.aung11 : 30/12/1899 00:00 :  _ Close + TNI0220 MYT_Maintenacne_Solar _ myt_aungthin.mya : 22/06/2026 14:20 : -852.93 _ Close Solar Power:  Maintenance DG:  +  +  + MW Link: ")</f>
        <v>TNI0220 MYT_Routine_Maintenance_Mytel_Station_VCM _ myt_tharhtoo.aung11 : 24/06/2026 13:36 : 418.38 _ Close + TNI0220 MYT_Routine_Maintenance_Mytel_Station_VCM _ myt_tharhtoo.aung11 : 30/12/1899 00:00 : -1100.45 _ FT assigned Solar M: TNI0220 MYT_Maintenacne_Solar _ myt_tharhtoo.aung11 : 30/12/1899 00:00 :  _ Close + TNI0220 MYT_Maintenacne_Solar _ myt_aungthin.mya : 22/06/2026 14:20 : -852.93 _ Close Solar Power:  Maintenance DG:  +  +  + MW Link: </v>
      </c>
    </row>
    <row r="148">
      <c r="A148" s="98" t="str">
        <f>IFERROR(__xludf.DUMMYFUNCTION("""COMPUTED_VALUE"""),"TNI0227")</f>
        <v>TNI0227</v>
      </c>
      <c r="B148" s="98" t="str">
        <f>IFERROR(__xludf.DUMMYFUNCTION("""COMPUTED_VALUE"""),"TNI0227: Kawthoung_Mytel_B_MYT_TNI_TEAM04_Aung Myint Myat")</f>
        <v>TNI0227: Kawthoung_Mytel_B_MYT_TNI_TEAM04_Aung Myint Myat</v>
      </c>
      <c r="C148" s="98" t="str">
        <f>IFERROR(__xludf.DUMMYFUNCTION("""COMPUTED_VALUE"""),"TNI0123-TNI0227_Kawthaung_24 FO : 15.18_Tin Maung Win")</f>
        <v>TNI0123-TNI0227_Kawthaung_24 FO : 15.18_Tin Maung Win</v>
      </c>
      <c r="D148" s="98" t="str">
        <f>IFERROR(__xludf.DUMMYFUNCTION("""COMPUTED_VALUE"""),"")</f>
        <v/>
      </c>
      <c r="E148" s="98" t="str">
        <f>IFERROR(__xludf.DUMMYFUNCTION("""COMPUTED_VALUE"""),"Htoo Htoo Toe Company : tni_dia_coltdhht 1000 Km TNI0227 MYT_Routine_Maintenance_Mytel_Station_VCM _ myt_khantchaw.nyo : 03/06/2026 11:30 : 217.66 _ Close Solar M: TNI0227 MYT_Maintenacne_Solar _ myt_khantchaw.nyo : 30/12/1899 00:00 :  _ Close + TNI0227 M"&amp;"YT_Maintenacne_Solar _ myt_khantchaw.nyo : 16/05/2026 15:18 : 64.3 _ Close + TNI0227 MYT_Maintenacne_Solar _ myt_khantchaw.nyo : 09/04/2026 16:08 : 111.12 _ Close Solar Power:  Maintenance DG:  +  +  + MW Link: ")</f>
        <v>Htoo Htoo Toe Company : tni_dia_coltdhht 1000 Km TNI0227 MYT_Routine_Maintenance_Mytel_Station_VCM _ myt_khantchaw.nyo : 03/06/2026 11:30 : 217.66 _ Close Solar M: TNI0227 MYT_Maintenacne_Solar _ myt_khantchaw.nyo : 30/12/1899 00:00 :  _ Close + TNI0227 MYT_Maintenacne_Solar _ myt_khantchaw.nyo : 16/05/2026 15:18 : 64.3 _ Close + TNI0227 MYT_Maintenacne_Solar _ myt_khantchaw.nyo : 09/04/2026 16:08 : 111.12 _ Close Solar Power:  Maintenance DG:  +  +  + MW Link: </v>
      </c>
    </row>
    <row r="149">
      <c r="A149" s="98" t="str">
        <f>IFERROR(__xludf.DUMMYFUNCTION("""COMPUTED_VALUE"""),"TNI0228")</f>
        <v>TNI0228</v>
      </c>
      <c r="B149" s="98" t="str">
        <f>IFERROR(__xludf.DUMMYFUNCTION("""COMPUTED_VALUE"""),"TNI0228: Myeik_MEC_C_MYT_TNI_TEAM02_Pyi Kyaw Aung")</f>
        <v>TNI0228: Myeik_MEC_C_MYT_TNI_TEAM02_Pyi Kyaw Aung</v>
      </c>
      <c r="C149" s="98" t="str">
        <f>IFERROR(__xludf.DUMMYFUNCTION("""COMPUTED_VALUE"""),"")</f>
        <v/>
      </c>
      <c r="D149" s="98" t="str">
        <f>IFERROR(__xludf.DUMMYFUNCTION("""COMPUTED_VALUE"""),"")</f>
        <v/>
      </c>
      <c r="E149" s="98" t="str">
        <f>IFERROR(__xludf.DUMMYFUNCTION("""COMPUTED_VALUE"""),"TNI0228 MYT_Routine_Maintenance_Mytel_Station_VCM _ myt_pyikyaw.aung : 12/05/2026 18:03 : 732.46 _ Close Solar M: TNI0228 MYT_Maintenacne_Solar _ myt_pyikyaw.aung : 30/12/1899 00:00 :  _ Close + TNI0228 MYT_Maintenacne_Solar _ myt_pyikyaw.aung : 21/04/202"&amp;"6 15:28 : 674.5 _ Close + TNI0228 MYT_Maintenacne_Solar _ myt_pyikyaw.aung : 18/04/2026 17:02 : -115.99 _ Close Solar Power:  Maintenance DG:  +  +  + MW Link: TNI0228-TNI0077")</f>
        <v>TNI0228 MYT_Routine_Maintenance_Mytel_Station_VCM _ myt_pyikyaw.aung : 12/05/2026 18:03 : 732.46 _ Close Solar M: TNI0228 MYT_Maintenacne_Solar _ myt_pyikyaw.aung : 30/12/1899 00:00 :  _ Close + TNI0228 MYT_Maintenacne_Solar _ myt_pyikyaw.aung : 21/04/2026 15:28 : 674.5 _ Close + TNI0228 MYT_Maintenacne_Solar _ myt_pyikyaw.aung : 18/04/2026 17:02 : -115.99 _ Close Solar Power:  Maintenance DG:  +  +  + MW Link: TNI0228-TNI0077</v>
      </c>
    </row>
    <row r="150">
      <c r="A150" s="98" t="str">
        <f>IFERROR(__xludf.DUMMYFUNCTION("""COMPUTED_VALUE"""),"TNI0229")</f>
        <v>TNI0229</v>
      </c>
      <c r="B150" s="98" t="str">
        <f>IFERROR(__xludf.DUMMYFUNCTION("""COMPUTED_VALUE"""),"TNI0229: Kawthoung_Apollo_C_MYT_TNI_TEAM04_Khant Chaw Nyo")</f>
        <v>TNI0229: Kawthoung_Apollo_C_MYT_TNI_TEAM04_Khant Chaw Nyo</v>
      </c>
      <c r="C150" s="98" t="str">
        <f>IFERROR(__xludf.DUMMYFUNCTION("""COMPUTED_VALUE"""),"TNI0017-TNI0229_Kawthaung_24 FO : 1.77_Khant Chaw Nyo + TNI0229-TNI0372_Kawthoung_24 FO : 1.5_Khant Chaw Nyo + TNI0229-TNI0244_Kawthaung_24 FO : 1.14_Khant Chaw Nyo")</f>
        <v>TNI0017-TNI0229_Kawthaung_24 FO : 1.77_Khant Chaw Nyo + TNI0229-TNI0372_Kawthoung_24 FO : 1.5_Khant Chaw Nyo + TNI0229-TNI0244_Kawthaung_24 FO : 1.14_Khant Chaw Nyo</v>
      </c>
      <c r="D150" s="98" t="str">
        <f>IFERROR(__xludf.DUMMYFUNCTION("""COMPUTED_VALUE"""),"")</f>
        <v/>
      </c>
      <c r="E150" s="98" t="str">
        <f>IFERROR(__xludf.DUMMYFUNCTION("""COMPUTED_VALUE""")," Solar M:  Solar Power:  Maintenance DG:  +  +  + MW Link: ")</f>
        <v> Solar M:  Solar Power:  Maintenance DG:  +  +  + MW Link: </v>
      </c>
    </row>
    <row r="151">
      <c r="A151" s="98" t="str">
        <f>IFERROR(__xludf.DUMMYFUNCTION("""COMPUTED_VALUE"""),"TNI0231")</f>
        <v>TNI0231</v>
      </c>
      <c r="B151" s="98" t="str">
        <f>IFERROR(__xludf.DUMMYFUNCTION("""COMPUTED_VALUE"""),"TNI0231: Dawei_Mytel_C_MYT_TNI_TEAM01_Aung Lwin Phyo")</f>
        <v>TNI0231: Dawei_Mytel_C_MYT_TNI_TEAM01_Aung Lwin Phyo</v>
      </c>
      <c r="C151" s="98" t="str">
        <f>IFERROR(__xludf.DUMMYFUNCTION("""COMPUTED_VALUE"""),"TNI0060-TNI0231_Dawei_24 FO : 2.94_Aung Lwin Phyo + TNI0144-TNI0231_Dawei_24 FO : 3.82_Aung Lwin Phyo + TNI0061-TNI0231_Dawei_24 FO : 4.79_Bhone Htet Aung")</f>
        <v>TNI0060-TNI0231_Dawei_24 FO : 2.94_Aung Lwin Phyo + TNI0144-TNI0231_Dawei_24 FO : 3.82_Aung Lwin Phyo + TNI0061-TNI0231_Dawei_24 FO : 4.79_Bhone Htet Aung</v>
      </c>
      <c r="D151" s="98" t="str">
        <f>IFERROR(__xludf.DUMMYFUNCTION("""COMPUTED_VALUE"""),"+ OLT: Aung Lwin Phyo")</f>
        <v>+ OLT: Aung Lwin Phyo</v>
      </c>
      <c r="E151" s="98" t="str">
        <f>IFERROR(__xludf.DUMMYFUNCTION("""COMPUTED_VALUE""")," Solar M: TNI0231 MYT_Maintenacne_Solar _ myt_aunglwin.phyo : 30/12/1899 00:00 :  _ Close + TNI0231 MYT_Maintenacne_Solar _ myt_tharhtoo.aung11 : 30/12/1899 00:00 : -1048.95 _ FT assigned Solar Power: TNI0231 MYT_Troubleshooting Solar Power System _ myt_a"&amp;"unglwin.phyo : 30/12/1899 00:00 : -520.95 _ FT assigned Maintenance DG:  +  +  + MW Link: ")</f>
        <v> Solar M: TNI0231 MYT_Maintenacne_Solar _ myt_aunglwin.phyo : 30/12/1899 00:00 :  _ Close + TNI0231 MYT_Maintenacne_Solar _ myt_tharhtoo.aung11 : 30/12/1899 00:00 : -1048.95 _ FT assigned Solar Power: TNI0231 MYT_Troubleshooting Solar Power System _ myt_aunglwin.phyo : 30/12/1899 00:00 : -520.95 _ FT assigned Maintenance DG:  +  +  + MW Link: </v>
      </c>
    </row>
    <row r="152">
      <c r="A152" s="98" t="str">
        <f>IFERROR(__xludf.DUMMYFUNCTION("""COMPUTED_VALUE"""),"TNI0232")</f>
        <v>TNI0232</v>
      </c>
      <c r="B152" s="98" t="str">
        <f>IFERROR(__xludf.DUMMYFUNCTION("""COMPUTED_VALUE"""),"TNI0232: Myeik_OCK_C_MYT_TNI_TEAM02_Maung Maung")</f>
        <v>TNI0232: Myeik_OCK_C_MYT_TNI_TEAM02_Maung Maung</v>
      </c>
      <c r="C152" s="98" t="str">
        <f>IFERROR(__xludf.DUMMYFUNCTION("""COMPUTED_VALUE"""),"TNI0002-TNI0232_Myeik_24 FO : 1.34_Zin Min Shein + TNI0232-TNI0263_Myeik_24 FO : 0.94_Pyi Kyaw Aung + TNI0232-TNI0294_Myeik_24 FO : 1.51_Pyi Kyaw Aung")</f>
        <v>TNI0002-TNI0232_Myeik_24 FO : 1.34_Zin Min Shein + TNI0232-TNI0263_Myeik_24 FO : 0.94_Pyi Kyaw Aung + TNI0232-TNI0294_Myeik_24 FO : 1.51_Pyi Kyaw Aung</v>
      </c>
      <c r="D152" s="98" t="str">
        <f>IFERROR(__xludf.DUMMYFUNCTION("""COMPUTED_VALUE"""),"")</f>
        <v/>
      </c>
      <c r="E152" s="98" t="str">
        <f>IFERROR(__xludf.DUMMYFUNCTION("""COMPUTED_VALUE"""),"Nguyen Van Hoa : tni_dia_hoanv2 500 Km  Solar M:  Solar Power:  Maintenance DG:  +  +  + MW Link: ")</f>
        <v>Nguyen Van Hoa : tni_dia_hoanv2 500 Km  Solar M:  Solar Power:  Maintenance DG:  +  +  + MW Link: </v>
      </c>
    </row>
    <row r="153">
      <c r="A153" s="98" t="str">
        <f>IFERROR(__xludf.DUMMYFUNCTION("""COMPUTED_VALUE"""),"TNI0233")</f>
        <v>TNI0233</v>
      </c>
      <c r="B153" s="98" t="str">
        <f>IFERROR(__xludf.DUMMYFUNCTION("""COMPUTED_VALUE"""),"TNI0233: Kawthoung_Mytel_C_MYT_TNI_TEAM04_Tin Maung Win")</f>
        <v>TNI0233: Kawthoung_Mytel_C_MYT_TNI_TEAM04_Tin Maung Win</v>
      </c>
      <c r="C153" s="98" t="str">
        <f>IFERROR(__xludf.DUMMYFUNCTION("""COMPUTED_VALUE"""),"TNI0022-TNI0233_Kawthoung_24 FO : 3_Aung Myint Myat + TNI0064-TNI0233_Kawthaung_24 FO : 3.5_Khant Chaw Nyo + TNI0032-TNI0233_Kawthaung_24 FO : 3.47_Tin Maung Win + TNI0233-JB(TNI0032-TNI0233)_Kawthaung_24 FO : 0.5_Tin Maung Win")</f>
        <v>TNI0022-TNI0233_Kawthoung_24 FO : 3_Aung Myint Myat + TNI0064-TNI0233_Kawthaung_24 FO : 3.5_Khant Chaw Nyo + TNI0032-TNI0233_Kawthaung_24 FO : 3.47_Tin Maung Win + TNI0233-JB(TNI0032-TNI0233)_Kawthaung_24 FO : 0.5_Tin Maung Win</v>
      </c>
      <c r="D153" s="98" t="str">
        <f>IFERROR(__xludf.DUMMYFUNCTION("""COMPUTED_VALUE"""),"")</f>
        <v/>
      </c>
      <c r="E153" s="98" t="str">
        <f>IFERROR(__xludf.DUMMYFUNCTION("""COMPUTED_VALUE"""),"TNI0233 MYT_Routine_Maintenance_Mytel_Station MYT_RTE_MTE_SB_STN _ myt_tinmaung.win : 29/06/2026 11:42 : 957.16 _ Close + TNI0233 MYT_Routine_Maintenance_Mytel_Station_VCM _ myt_tinmaung.win : 01/06/2026 11:17 : 802.18 _ Close Solar M: TNI0233 MYT_Mainten"&amp;"acne_Solar _ myt_tinmaung.win : 30/12/1899 00:00 :  _ Close + TNI0233 MYT_Maintenacne_Solar _ myt_tinmaung.win : 28/04/2026 09:59 : 495.27 _ Close + TNI0233 MYT_Maintenacne_Solar _ myt_tinmaung.win : 06/04/2026 14:35 : 173.25 _ Close Solar Power: TNI0233 "&amp;"MYT_Troubleshooting Solar Power System _ myt_tinmaung.win : 29/06/2026 10:27 : 77.57 _ Close Maintenance DG:  +  +  + MW Link: ")</f>
        <v>TNI0233 MYT_Routine_Maintenance_Mytel_Station MYT_RTE_MTE_SB_STN _ myt_tinmaung.win : 29/06/2026 11:42 : 957.16 _ Close + TNI0233 MYT_Routine_Maintenance_Mytel_Station_VCM _ myt_tinmaung.win : 01/06/2026 11:17 : 802.18 _ Close Solar M: TNI0233 MYT_Maintenacne_Solar _ myt_tinmaung.win : 30/12/1899 00:00 :  _ Close + TNI0233 MYT_Maintenacne_Solar _ myt_tinmaung.win : 28/04/2026 09:59 : 495.27 _ Close + TNI0233 MYT_Maintenacne_Solar _ myt_tinmaung.win : 06/04/2026 14:35 : 173.25 _ Close Solar Power: TNI0233 MYT_Troubleshooting Solar Power System _ myt_tinmaung.win : 29/06/2026 10:27 : 77.57 _ Close Maintenance DG:  +  +  + MW Link: </v>
      </c>
    </row>
    <row r="154">
      <c r="A154" s="98" t="str">
        <f>IFERROR(__xludf.DUMMYFUNCTION("""COMPUTED_VALUE"""),"TNI0234")</f>
        <v>TNI0234</v>
      </c>
      <c r="B154" s="98" t="str">
        <f>IFERROR(__xludf.DUMMYFUNCTION("""COMPUTED_VALUE"""),"TNI0234: Palaw_Mytel_C_MYT_TNI_TEAM02_Min Paing Oo")</f>
        <v>TNI0234: Palaw_Mytel_C_MYT_TNI_TEAM02_Min Paing Oo</v>
      </c>
      <c r="C154" s="98" t="str">
        <f>IFERROR(__xludf.DUMMYFUNCTION("""COMPUTED_VALUE"""),"")</f>
        <v/>
      </c>
      <c r="D154" s="98" t="str">
        <f>IFERROR(__xludf.DUMMYFUNCTION("""COMPUTED_VALUE"""),"")</f>
        <v/>
      </c>
      <c r="E154" s="98" t="str">
        <f>IFERROR(__xludf.DUMMYFUNCTION("""COMPUTED_VALUE""")," Solar M:  Solar Power:  Maintenance DG:  +  +  + MW Link: TNI0234-TNI0159")</f>
        <v> Solar M:  Solar Power:  Maintenance DG:  +  +  + MW Link: TNI0234-TNI0159</v>
      </c>
    </row>
    <row r="155">
      <c r="A155" s="98" t="str">
        <f>IFERROR(__xludf.DUMMYFUNCTION("""COMPUTED_VALUE"""),"TNI0235")</f>
        <v>TNI0235</v>
      </c>
      <c r="B155" s="98" t="str">
        <f>IFERROR(__xludf.DUMMYFUNCTION("""COMPUTED_VALUE"""),"TNI0235: Kawthoung_Mytel_B_MYT_TNI_TEAM04_Tin Maung Win")</f>
        <v>TNI0235: Kawthoung_Mytel_B_MYT_TNI_TEAM04_Tin Maung Win</v>
      </c>
      <c r="C155" s="98" t="str">
        <f>IFERROR(__xludf.DUMMYFUNCTION("""COMPUTED_VALUE"""),"TNI0016-TNI0235_Kawthaung_24 FO : 1.92_Khant Chaw Nyo + TNI0230-TNI0235_Kawthaung_24 FO : 1.11_Tin Maung Win")</f>
        <v>TNI0016-TNI0235_Kawthaung_24 FO : 1.92_Khant Chaw Nyo + TNI0230-TNI0235_Kawthaung_24 FO : 1.11_Tin Maung Win</v>
      </c>
      <c r="D155" s="98" t="str">
        <f>IFERROR(__xludf.DUMMYFUNCTION("""COMPUTED_VALUE"""),"")</f>
        <v/>
      </c>
      <c r="E155" s="98" t="str">
        <f>IFERROR(__xludf.DUMMYFUNCTION("""COMPUTED_VALUE"""),"Innwa Bank Limied : tni_dia_limiedib5 500 Km  + Innwa Bank Limied : tni_dia_limiedib2 1000 Km TNI0235 MYT_Routine_Maintenance_Mytel_Station MYT_RTE_MTE_SB_STN _ myt_tinmaung.win : 30/06/2026 13:28 : 920.44 _ Close + TNI0235 MYT_Routine_Maintenance_Mytel_S"&amp;"tation_VCM _ myt_tinmaung.win : 08/06/2026 11:04 : 803.27 _ Close + TNI0235 MYT_Routine_Maintenance_Mytel_Station_VCM _ myt_tinmaung.win : 08/04/2026 14:16 : 808.66 _ Close Solar M: TNI0235 MYT_Maintenacne_Solar _ myt_tinmaung.win : 30/12/1899 00:00 :  _ "&amp;"Close Solar Power:  Maintenance DG:  +  +  + MW Link: ")</f>
        <v>Innwa Bank Limied : tni_dia_limiedib5 500 Km  + Innwa Bank Limied : tni_dia_limiedib2 1000 Km TNI0235 MYT_Routine_Maintenance_Mytel_Station MYT_RTE_MTE_SB_STN _ myt_tinmaung.win : 30/06/2026 13:28 : 920.44 _ Close + TNI0235 MYT_Routine_Maintenance_Mytel_Station_VCM _ myt_tinmaung.win : 08/06/2026 11:04 : 803.27 _ Close + TNI0235 MYT_Routine_Maintenance_Mytel_Station_VCM _ myt_tinmaung.win : 08/04/2026 14:16 : 808.66 _ Close Solar M: TNI0235 MYT_Maintenacne_Solar _ myt_tinmaung.win : 30/12/1899 00:00 :  _ Close Solar Power:  Maintenance DG:  +  +  + MW Link: </v>
      </c>
    </row>
    <row r="156">
      <c r="A156" s="98" t="str">
        <f>IFERROR(__xludf.DUMMYFUNCTION("""COMPUTED_VALUE"""),"TNI0236")</f>
        <v>TNI0236</v>
      </c>
      <c r="B156" s="98" t="str">
        <f>IFERROR(__xludf.DUMMYFUNCTION("""COMPUTED_VALUE"""),"TNI0236: Myeik_Edotco_C_MYT_TNI_TEAM02_Pyi Kyaw Aung")</f>
        <v>TNI0236: Myeik_Edotco_C_MYT_TNI_TEAM02_Pyi Kyaw Aung</v>
      </c>
      <c r="C156" s="98" t="str">
        <f>IFERROR(__xludf.DUMMYFUNCTION("""COMPUTED_VALUE"""),"TNI0001-TNI0236_Myeik_24 FO : 1.02_Wanna Oo + TNI0236-TNI0262_Myeik_24 FO : 0.63_Maung Maung")</f>
        <v>TNI0001-TNI0236_Myeik_24 FO : 1.02_Wanna Oo + TNI0236-TNI0262_Myeik_24 FO : 0.63_Maung Maung</v>
      </c>
      <c r="D156" s="98" t="str">
        <f>IFERROR(__xludf.DUMMYFUNCTION("""COMPUTED_VALUE"""),"")</f>
        <v/>
      </c>
      <c r="E156" s="98" t="str">
        <f>IFERROR(__xludf.DUMMYFUNCTION("""COMPUTED_VALUE""")," Solar M:  Solar Power:  Maintenance DG:  +  +  + MW Link: ")</f>
        <v> Solar M:  Solar Power:  Maintenance DG:  +  +  + MW Link: </v>
      </c>
    </row>
    <row r="157">
      <c r="A157" s="98" t="str">
        <f>IFERROR(__xludf.DUMMYFUNCTION("""COMPUTED_VALUE"""),"TNI0237")</f>
        <v>TNI0237</v>
      </c>
      <c r="B157" s="98" t="str">
        <f>IFERROR(__xludf.DUMMYFUNCTION("""COMPUTED_VALUE"""),"TNI0237: Myeik_Edotco_B_MYT_TNI_TEAM02_Ye Lin")</f>
        <v>TNI0237: Myeik_Edotco_B_MYT_TNI_TEAM02_Ye Lin</v>
      </c>
      <c r="C157" s="98" t="str">
        <f>IFERROR(__xludf.DUMMYFUNCTION("""COMPUTED_VALUE"""),"TNI0237-TNI0260_Myeik_24 FO : 1.24_Wanna Oo + TNI0237-TNI0261_Myeik_24 FO : 1.13_Wanna Oo")</f>
        <v>TNI0237-TNI0260_Myeik_24 FO : 1.24_Wanna Oo + TNI0237-TNI0261_Myeik_24 FO : 1.13_Wanna Oo</v>
      </c>
      <c r="D157" s="98" t="str">
        <f>IFERROR(__xludf.DUMMYFUNCTION("""COMPUTED_VALUE"""),"")</f>
        <v/>
      </c>
      <c r="E157" s="98" t="str">
        <f>IFERROR(__xludf.DUMMYFUNCTION("""COMPUTED_VALUE""")," Solar M:  Solar Power:  Maintenance DG:  +  +  + MW Link: ")</f>
        <v> Solar M:  Solar Power:  Maintenance DG:  +  +  + MW Link: </v>
      </c>
    </row>
    <row r="158">
      <c r="A158" s="98" t="str">
        <f>IFERROR(__xludf.DUMMYFUNCTION("""COMPUTED_VALUE"""),"TNI0238")</f>
        <v>TNI0238</v>
      </c>
      <c r="B158" s="98" t="str">
        <f>IFERROR(__xludf.DUMMYFUNCTION("""COMPUTED_VALUE"""),"TNI0238: Dawei_IGT_C_MYT_TNI_TEAM01_Aung Lwin Phyo")</f>
        <v>TNI0238: Dawei_IGT_C_MYT_TNI_TEAM01_Aung Lwin Phyo</v>
      </c>
      <c r="C158" s="98" t="str">
        <f>IFERROR(__xludf.DUMMYFUNCTION("""COMPUTED_VALUE"""),"TNI0060-TNI0238_Dawei_24 FO : 1.39_Aung Lwin Phyo + TNI0065-TNI0238_Dawei_24 FO : 2.1_Win Htet Aung")</f>
        <v>TNI0060-TNI0238_Dawei_24 FO : 1.39_Aung Lwin Phyo + TNI0065-TNI0238_Dawei_24 FO : 2.1_Win Htet Aung</v>
      </c>
      <c r="D158" s="98" t="str">
        <f>IFERROR(__xludf.DUMMYFUNCTION("""COMPUTED_VALUE"""),"")</f>
        <v/>
      </c>
      <c r="E158" s="98" t="str">
        <f>IFERROR(__xludf.DUMMYFUNCTION("""COMPUTED_VALUE""")," Solar M:  Solar Power:  Maintenance DG:  +  +  + MW Link: ")</f>
        <v> Solar M:  Solar Power:  Maintenance DG:  +  +  + MW Link: </v>
      </c>
    </row>
    <row r="159">
      <c r="A159" s="98" t="str">
        <f>IFERROR(__xludf.DUMMYFUNCTION("""COMPUTED_VALUE"""),"TNI0239")</f>
        <v>TNI0239</v>
      </c>
      <c r="B159" s="98" t="str">
        <f>IFERROR(__xludf.DUMMYFUNCTION("""COMPUTED_VALUE"""),"TNI0239: Myeik_IGT_B_MYT_TNI_TEAM02_Maung Maung")</f>
        <v>TNI0239: Myeik_IGT_B_MYT_TNI_TEAM02_Maung Maung</v>
      </c>
      <c r="C159" s="98" t="str">
        <f>IFERROR(__xludf.DUMMYFUNCTION("""COMPUTED_VALUE"""),"TNI0002-TNI0239_Myeik_24 FO : 1.3_Wanna Oo + TNI0239-TNI0242_Myeik_24 FO : 1.11_Pyi Kyaw Aung")</f>
        <v>TNI0002-TNI0239_Myeik_24 FO : 1.3_Wanna Oo + TNI0239-TNI0242_Myeik_24 FO : 1.11_Pyi Kyaw Aung</v>
      </c>
      <c r="D159" s="98" t="str">
        <f>IFERROR(__xludf.DUMMYFUNCTION("""COMPUTED_VALUE"""),"")</f>
        <v/>
      </c>
      <c r="E159" s="98" t="str">
        <f>IFERROR(__xludf.DUMMYFUNCTION("""COMPUTED_VALUE"""),"Fortune Telecom Company Limited : tni_dia_limitedftc36 200 Km  Solar M:  Solar Power:  Maintenance DG:  +  +  + MW Link: ")</f>
        <v>Fortune Telecom Company Limited : tni_dia_limitedftc36 200 Km  Solar M:  Solar Power:  Maintenance DG:  +  +  + MW Link: </v>
      </c>
    </row>
    <row r="160">
      <c r="A160" s="98" t="str">
        <f>IFERROR(__xludf.DUMMYFUNCTION("""COMPUTED_VALUE"""),"TNI0240")</f>
        <v>TNI0240</v>
      </c>
      <c r="B160" s="98" t="str">
        <f>IFERROR(__xludf.DUMMYFUNCTION("""COMPUTED_VALUE"""),"TNI0240: Myeik_MEC_B_MYT_TNI_TEAM02_Wanna Oo")</f>
        <v>TNI0240: Myeik_MEC_B_MYT_TNI_TEAM02_Wanna Oo</v>
      </c>
      <c r="C160" s="98" t="str">
        <f>IFERROR(__xludf.DUMMYFUNCTION("""COMPUTED_VALUE"""),"TNI0021-TNI0240_Myeik_24 FO : 1.32_Wanna Oo + TNI0240-TNI0266_Myeik_24 FO : 1.03_Maung Maung")</f>
        <v>TNI0021-TNI0240_Myeik_24 FO : 1.32_Wanna Oo + TNI0240-TNI0266_Myeik_24 FO : 1.03_Maung Maung</v>
      </c>
      <c r="D160" s="98" t="str">
        <f>IFERROR(__xludf.DUMMYFUNCTION("""COMPUTED_VALUE"""),"+ OLT: Wanna Oo")</f>
        <v>+ OLT: Wanna Oo</v>
      </c>
      <c r="E160" s="98" t="str">
        <f>IFERROR(__xludf.DUMMYFUNCTION("""COMPUTED_VALUE"""),"TNI0240 MYT_Routine_Maintenance_Mytel_Station_VCM _ myt_zinmin.shein : 29/05/2026 14:22 : 1020.23 _ Close + TNI0240 MYT_Routine_Maintenance_Mytel_Station_VCM _ myt_zinmin.shein : 31/03/2026 11:11 : 999.62 _ Close Solar M: TNI0240 MYT_Maintenacne_Solar _ m"&amp;"yt_ye.lin22 : 30/12/1899 00:00 :  _ Close + TNI0240 MYT_Maintenacne_Solar _ myt_zinmin.shein : 05/05/2026 13:24 : 339.96 _ Close + TNI0240 MYT_Maintenacne_Solar _ myt_zinmin.shein : 05/05/2026 13:14 : -500.44 _ Close Solar Power: TNI0240 MYT_Troubleshooti"&amp;"ng Solar Power System _ myt_maung.maung11 : 10/06/2026 09:33 : 14.32 _ Close Maintenance DG:  +  +  + MW Link: ")</f>
        <v>TNI0240 MYT_Routine_Maintenance_Mytel_Station_VCM _ myt_zinmin.shein : 29/05/2026 14:22 : 1020.23 _ Close + TNI0240 MYT_Routine_Maintenance_Mytel_Station_VCM _ myt_zinmin.shein : 31/03/2026 11:11 : 999.62 _ Close Solar M: TNI0240 MYT_Maintenacne_Solar _ myt_ye.lin22 : 30/12/1899 00:00 :  _ Close + TNI0240 MYT_Maintenacne_Solar _ myt_zinmin.shein : 05/05/2026 13:24 : 339.96 _ Close + TNI0240 MYT_Maintenacne_Solar _ myt_zinmin.shein : 05/05/2026 13:14 : -500.44 _ Close Solar Power: TNI0240 MYT_Troubleshooting Solar Power System _ myt_maung.maung11 : 10/06/2026 09:33 : 14.32 _ Close Maintenance DG:  +  +  + MW Link: </v>
      </c>
    </row>
    <row r="161">
      <c r="A161" s="98" t="str">
        <f>IFERROR(__xludf.DUMMYFUNCTION("""COMPUTED_VALUE"""),"TNI0241")</f>
        <v>TNI0241</v>
      </c>
      <c r="B161" s="98" t="str">
        <f>IFERROR(__xludf.DUMMYFUNCTION("""COMPUTED_VALUE"""),"TNI0241: Myeik_Mytel_B_MYT_TNI_TEAM02_Zin Min Shein")</f>
        <v>TNI0241: Myeik_Mytel_B_MYT_TNI_TEAM02_Zin Min Shein</v>
      </c>
      <c r="C161" s="98" t="str">
        <f>IFERROR(__xludf.DUMMYFUNCTION("""COMPUTED_VALUE"""),"TNI0024-TNI0241_Myeik_24 FO : 1.5_Ye Lin + TNI0048-TNI0241_Myeik_24 FO : 0.97_Ye Lin")</f>
        <v>TNI0024-TNI0241_Myeik_24 FO : 1.5_Ye Lin + TNI0048-TNI0241_Myeik_24 FO : 0.97_Ye Lin</v>
      </c>
      <c r="D161" s="98" t="str">
        <f>IFERROR(__xludf.DUMMYFUNCTION("""COMPUTED_VALUE"""),"")</f>
        <v/>
      </c>
      <c r="E161" s="98" t="str">
        <f>IFERROR(__xludf.DUMMYFUNCTION("""COMPUTED_VALUE"""),"Fortune Telecom Company Limited : tni_dia_limitedftc35 200 Km TNI0241 MYT_Routine_Maintenance_Mytel_Station MYT_RTE_MTE_SB_STN _ myt_pyikyaw.aung : 30/12/1899 00:00 : 886.64 _ FT assigned + TNI0241 MYT_Routine_Maintenance_Mytel_Station_VCM _ myt_zinmin.sh"&amp;"ein : 23/05/2026 11:41 : 926.81 _ Close Solar M: TNI0241 MYT_Maintenacne_Solar _ myt_zinmin.shein : 30/12/1899 00:00 :  _ Close + TNI0241 MYT_Maintenacne_Solar _ myt_maung.maung11 : 25/04/2026 11:13 : 554.9 _ Close + TNI0241 MYT_Maintenacne_Solar _ myt_zi"&amp;"nmin.shein : 07/04/2026 16:19 : 159.69 _ Close Solar Power:  Maintenance DG:  +  +  + MW Link: ")</f>
        <v>Fortune Telecom Company Limited : tni_dia_limitedftc35 200 Km TNI0241 MYT_Routine_Maintenance_Mytel_Station MYT_RTE_MTE_SB_STN _ myt_pyikyaw.aung : 30/12/1899 00:00 : 886.64 _ FT assigned + TNI0241 MYT_Routine_Maintenance_Mytel_Station_VCM _ myt_zinmin.shein : 23/05/2026 11:41 : 926.81 _ Close Solar M: TNI0241 MYT_Maintenacne_Solar _ myt_zinmin.shein : 30/12/1899 00:00 :  _ Close + TNI0241 MYT_Maintenacne_Solar _ myt_maung.maung11 : 25/04/2026 11:13 : 554.9 _ Close + TNI0241 MYT_Maintenacne_Solar _ myt_zinmin.shein : 07/04/2026 16:19 : 159.69 _ Close Solar Power:  Maintenance DG:  +  +  + MW Link: </v>
      </c>
    </row>
    <row r="162">
      <c r="A162" s="98" t="str">
        <f>IFERROR(__xludf.DUMMYFUNCTION("""COMPUTED_VALUE"""),"TNI0242")</f>
        <v>TNI0242</v>
      </c>
      <c r="B162" s="98" t="str">
        <f>IFERROR(__xludf.DUMMYFUNCTION("""COMPUTED_VALUE"""),"TNI0242: Myeik_Mytel_B_MYT_TNI_TEAM02_Pyi Kyaw Aung")</f>
        <v>TNI0242: Myeik_Mytel_B_MYT_TNI_TEAM02_Pyi Kyaw Aung</v>
      </c>
      <c r="C162" s="98" t="str">
        <f>IFERROR(__xludf.DUMMYFUNCTION("""COMPUTED_VALUE"""),"TNI0239-TNI0242_Myeik_24 FO : 1.11_Pyi Kyaw Aung + TNI0021-TNI0242_Myeik_24 FO : 1.98_Wanna Oo + TNI0030-TNI0242_Myeik_24 FO : 1.59_Ye Lin")</f>
        <v>TNI0239-TNI0242_Myeik_24 FO : 1.11_Pyi Kyaw Aung + TNI0021-TNI0242_Myeik_24 FO : 1.98_Wanna Oo + TNI0030-TNI0242_Myeik_24 FO : 1.59_Ye Lin</v>
      </c>
      <c r="D162" s="98" t="str">
        <f>IFERROR(__xludf.DUMMYFUNCTION("""COMPUTED_VALUE"""),"+ OLT: Pyi Kyaw Aung")</f>
        <v>+ OLT: Pyi Kyaw Aung</v>
      </c>
      <c r="E162" s="98" t="str">
        <f>IFERROR(__xludf.DUMMYFUNCTION("""COMPUTED_VALUE"""),"TNI0242 MYT_Routine_Maintenance_Mytel_Station MYT_RTE_MTE_SB_STN _ myt_winhtet.aung11 : 01/07/2026 09:51 : 916.89 _ Close + TNI0242 MYT_Routine_Maintenance_Mytel_Station_VCM _ myt_zinmin.shein : 01/06/2026 10:15 : 967.11 _ Close + TNI0242 MYT_Routine_Main"&amp;"tenance_Mytel_Station_VCM _ myt_zinmin.shein : 31/03/2026 10:08 : 1020.98 _ Close Solar M: TNI0242 MYT_Maintenacne_Solar _ myt_naythurain.oo : 30/12/1899 00:00 :  _ Close + TNI0242 MYT_Maintenacne_Solar _ myt_maung.maung11 : 02/05/2026 11:13 : 374.64 _ Cl"&amp;"ose + TNI0242 MYT_Maintenacne_Solar _ myt_zinmin.shein : 09/04/2026 16:30 : 102.91 _ Close Solar Power:  Maintenance DG:  +  +  + MW Link: ")</f>
        <v>TNI0242 MYT_Routine_Maintenance_Mytel_Station MYT_RTE_MTE_SB_STN _ myt_winhtet.aung11 : 01/07/2026 09:51 : 916.89 _ Close + TNI0242 MYT_Routine_Maintenance_Mytel_Station_VCM _ myt_zinmin.shein : 01/06/2026 10:15 : 967.11 _ Close + TNI0242 MYT_Routine_Maintenance_Mytel_Station_VCM _ myt_zinmin.shein : 31/03/2026 10:08 : 1020.98 _ Close Solar M: TNI0242 MYT_Maintenacne_Solar _ myt_naythurain.oo : 30/12/1899 00:00 :  _ Close + TNI0242 MYT_Maintenacne_Solar _ myt_maung.maung11 : 02/05/2026 11:13 : 374.64 _ Close + TNI0242 MYT_Maintenacne_Solar _ myt_zinmin.shein : 09/04/2026 16:30 : 102.91 _ Close Solar Power:  Maintenance DG:  +  +  + MW Link: </v>
      </c>
    </row>
    <row r="163">
      <c r="A163" s="98" t="str">
        <f>IFERROR(__xludf.DUMMYFUNCTION("""COMPUTED_VALUE"""),"TNI0243")</f>
        <v>TNI0243</v>
      </c>
      <c r="B163" s="98" t="str">
        <f>IFERROR(__xludf.DUMMYFUNCTION("""COMPUTED_VALUE"""),"TNI0243: Kawthoung_Apollo_B_MYT_TNI_TEAM04_Tin Maung Win")</f>
        <v>TNI0243: Kawthoung_Apollo_B_MYT_TNI_TEAM04_Tin Maung Win</v>
      </c>
      <c r="C163" s="98" t="str">
        <f>IFERROR(__xludf.DUMMYFUNCTION("""COMPUTED_VALUE"""),"TNI0243-TNI0249_Kawthaung_24 FO : 1.08_Tin Maung Win + TNI0243-TNI0254_Kawthaung_24 FO : 1.85_Tin Maung Win")</f>
        <v>TNI0243-TNI0249_Kawthaung_24 FO : 1.08_Tin Maung Win + TNI0243-TNI0254_Kawthaung_24 FO : 1.85_Tin Maung Win</v>
      </c>
      <c r="D163" s="98" t="str">
        <f>IFERROR(__xludf.DUMMYFUNCTION("""COMPUTED_VALUE"""),"+ OLT: Tin Maung Win")</f>
        <v>+ OLT: Tin Maung Win</v>
      </c>
      <c r="E163" s="98" t="str">
        <f>IFERROR(__xludf.DUMMYFUNCTION("""COMPUTED_VALUE""")," Solar M:  Solar Power:  Maintenance DG:  +  +  + MW Link: ")</f>
        <v> Solar M:  Solar Power:  Maintenance DG:  +  +  + MW Link: </v>
      </c>
    </row>
    <row r="164">
      <c r="A164" s="98" t="str">
        <f>IFERROR(__xludf.DUMMYFUNCTION("""COMPUTED_VALUE"""),"TNI0244")</f>
        <v>TNI0244</v>
      </c>
      <c r="B164" s="98" t="str">
        <f>IFERROR(__xludf.DUMMYFUNCTION("""COMPUTED_VALUE"""),"TNI0244: Kawthoung_IGT_C_MYT_TNI_TEAM04_Tin Maung Win")</f>
        <v>TNI0244: Kawthoung_IGT_C_MYT_TNI_TEAM04_Tin Maung Win</v>
      </c>
      <c r="C164" s="98" t="str">
        <f>IFERROR(__xludf.DUMMYFUNCTION("""COMPUTED_VALUE"""),"TNI0229-TNI0244_Kawthaung_24 FO : 1.14_Khant Chaw Nyo + TNI0011-TNI0244_Kawthaung_24 FO : 1_Tin Maung Win")</f>
        <v>TNI0229-TNI0244_Kawthaung_24 FO : 1.14_Khant Chaw Nyo + TNI0011-TNI0244_Kawthaung_24 FO : 1_Tin Maung Win</v>
      </c>
      <c r="D164" s="98" t="str">
        <f>IFERROR(__xludf.DUMMYFUNCTION("""COMPUTED_VALUE"""),"")</f>
        <v/>
      </c>
      <c r="E164" s="98" t="str">
        <f>IFERROR(__xludf.DUMMYFUNCTION("""COMPUTED_VALUE"""),"Mytel Tanintharyi Branch : tni_dia_branchmt2 550 Km  Solar M:  Solar Power:  Maintenance DG:  +  +  + MW Link: ")</f>
        <v>Mytel Tanintharyi Branch : tni_dia_branchmt2 550 Km  Solar M:  Solar Power:  Maintenance DG:  +  +  + MW Link: </v>
      </c>
    </row>
    <row r="165">
      <c r="A165" s="98" t="str">
        <f>IFERROR(__xludf.DUMMYFUNCTION("""COMPUTED_VALUE"""),"TNI0245")</f>
        <v>TNI0245</v>
      </c>
      <c r="B165" s="98" t="str">
        <f>IFERROR(__xludf.DUMMYFUNCTION("""COMPUTED_VALUE"""),"TNI0245: Dawei_MEC_C_MYT_TNI_TEAM01_Bhone Htet Aung")</f>
        <v>TNI0245: Dawei_MEC_C_MYT_TNI_TEAM01_Bhone Htet Aung</v>
      </c>
      <c r="C165" s="98" t="str">
        <f>IFERROR(__xludf.DUMMYFUNCTION("""COMPUTED_VALUE"""),"TNI0070-TNI0245_Dawei_24 FO : 0.97_Aung Lwin Phyo + TNI0056-TNI0245_Dawei_24 FO : 2.94_Bhone Htet Aung")</f>
        <v>TNI0070-TNI0245_Dawei_24 FO : 0.97_Aung Lwin Phyo + TNI0056-TNI0245_Dawei_24 FO : 2.94_Bhone Htet Aung</v>
      </c>
      <c r="D165" s="98" t="str">
        <f>IFERROR(__xludf.DUMMYFUNCTION("""COMPUTED_VALUE"""),"")</f>
        <v/>
      </c>
      <c r="E165" s="98" t="str">
        <f>IFERROR(__xludf.DUMMYFUNCTION("""COMPUTED_VALUE"""),"TNI0245 MYT_Routine_Maintenance_Mytel_Station_VCM _ myt_bhonehtet.aung : 30/06/2026 15:32 : 223.05 _ FT completed + TNI0245 MYT_Routine_Maintenance_Mytel_Station_VCM _ myt_bhonehtet.aung : 22/05/2026 15:38 : -897.93 _ Close Solar M:  Solar Power:  Mainten"&amp;"ance DG:  +  +  + MW Link: ")</f>
        <v>TNI0245 MYT_Routine_Maintenance_Mytel_Station_VCM _ myt_bhonehtet.aung : 30/06/2026 15:32 : 223.05 _ FT completed + TNI0245 MYT_Routine_Maintenance_Mytel_Station_VCM _ myt_bhonehtet.aung : 22/05/2026 15:38 : -897.93 _ Close Solar M:  Solar Power:  Maintenance DG:  +  +  + MW Link: </v>
      </c>
    </row>
    <row r="166">
      <c r="A166" s="98" t="str">
        <f>IFERROR(__xludf.DUMMYFUNCTION("""COMPUTED_VALUE"""),"TNI0246")</f>
        <v>TNI0246</v>
      </c>
      <c r="B166" s="98" t="str">
        <f>IFERROR(__xludf.DUMMYFUNCTION("""COMPUTED_VALUE"""),"TNI0246: Myeik_Edotco_C_MYT_TNI_TEAM02_Zin Min Shein")</f>
        <v>TNI0246: Myeik_Edotco_C_MYT_TNI_TEAM02_Zin Min Shein</v>
      </c>
      <c r="C166" s="98" t="str">
        <f>IFERROR(__xludf.DUMMYFUNCTION("""COMPUTED_VALUE"""),"")</f>
        <v/>
      </c>
      <c r="D166" s="98" t="str">
        <f>IFERROR(__xludf.DUMMYFUNCTION("""COMPUTED_VALUE"""),"")</f>
        <v/>
      </c>
      <c r="E166" s="98" t="str">
        <f>IFERROR(__xludf.DUMMYFUNCTION("""COMPUTED_VALUE""")," Solar M:  Solar Power:  Maintenance DG:  +  +  + MW Link: TNI0246-TNI0042")</f>
        <v> Solar M:  Solar Power:  Maintenance DG:  +  +  + MW Link: TNI0246-TNI0042</v>
      </c>
    </row>
    <row r="167">
      <c r="A167" s="98" t="str">
        <f>IFERROR(__xludf.DUMMYFUNCTION("""COMPUTED_VALUE"""),"TNI0247")</f>
        <v>TNI0247</v>
      </c>
      <c r="B167" s="98" t="str">
        <f>IFERROR(__xludf.DUMMYFUNCTION("""COMPUTED_VALUE"""),"TNI0247: Dawei_Mytel_C_MYT_TNI_TEAM01_Win Htet Aung")</f>
        <v>TNI0247: Dawei_Mytel_C_MYT_TNI_TEAM01_Win Htet Aung</v>
      </c>
      <c r="C167" s="98" t="str">
        <f>IFERROR(__xludf.DUMMYFUNCTION("""COMPUTED_VALUE"""),"TNI0073-TNI0247_Dawei_24 FO : 1.26_Aung Lwin Phyo + TNI0247-TNI0257_Dawei_24 FO : 2.46_Aung Lwin Phyo")</f>
        <v>TNI0073-TNI0247_Dawei_24 FO : 1.26_Aung Lwin Phyo + TNI0247-TNI0257_Dawei_24 FO : 2.46_Aung Lwin Phyo</v>
      </c>
      <c r="D167" s="98" t="str">
        <f>IFERROR(__xludf.DUMMYFUNCTION("""COMPUTED_VALUE"""),"")</f>
        <v/>
      </c>
      <c r="E167" s="98" t="str">
        <f>IFERROR(__xludf.DUMMYFUNCTION("""COMPUTED_VALUE"""),"TNI0247 MYT_Routine_Maintenance_Mytel_Station_VCM _ myt_myothant.htoo : 19/05/2026 11:09 : 567.98 _ Close Solar M: TNI0247 MYT_Maintenacne_Solar _ myt_myothant.htoo : 30/12/1899 00:00 :  _ Close + TNI0247 MYT_Maintenacne_Solar _ myt_myothant.htoo : 19/05/"&amp;"2026 11:01 : -8.01 _ Close + TNI0247 MYT_Maintenacne_Solar _ myt_myothant.htoo : 08/05/2026 14:49 : -592.9 _ Close Solar Power:  Maintenance DG:  +  +  + MW Link: ")</f>
        <v>TNI0247 MYT_Routine_Maintenance_Mytel_Station_VCM _ myt_myothant.htoo : 19/05/2026 11:09 : 567.98 _ Close Solar M: TNI0247 MYT_Maintenacne_Solar _ myt_myothant.htoo : 30/12/1899 00:00 :  _ Close + TNI0247 MYT_Maintenacne_Solar _ myt_myothant.htoo : 19/05/2026 11:01 : -8.01 _ Close + TNI0247 MYT_Maintenacne_Solar _ myt_myothant.htoo : 08/05/2026 14:49 : -592.9 _ Close Solar Power:  Maintenance DG:  +  +  + MW Link: </v>
      </c>
    </row>
    <row r="168">
      <c r="A168" s="98" t="str">
        <f>IFERROR(__xludf.DUMMYFUNCTION("""COMPUTED_VALUE"""),"TNI0248")</f>
        <v>TNI0248</v>
      </c>
      <c r="B168" s="98" t="str">
        <f>IFERROR(__xludf.DUMMYFUNCTION("""COMPUTED_VALUE"""),"TNI0248: Myeik_Mytel_B_MYT_TNI_TEAM02_Pyi Kyaw Aung")</f>
        <v>TNI0248: Myeik_Mytel_B_MYT_TNI_TEAM02_Pyi Kyaw Aung</v>
      </c>
      <c r="C168" s="98" t="str">
        <f>IFERROR(__xludf.DUMMYFUNCTION("""COMPUTED_VALUE"""),"TNI0077-TNI0248_Myeik_24 FO : 1.31_Maung Maung + TNI0027-TNI0248_Myeik_24 FO : 1.32_Zin Min Shein")</f>
        <v>TNI0077-TNI0248_Myeik_24 FO : 1.31_Maung Maung + TNI0027-TNI0248_Myeik_24 FO : 1.32_Zin Min Shein</v>
      </c>
      <c r="D168" s="98" t="str">
        <f>IFERROR(__xludf.DUMMYFUNCTION("""COMPUTED_VALUE"""),"")</f>
        <v/>
      </c>
      <c r="E168" s="98" t="str">
        <f>IFERROR(__xludf.DUMMYFUNCTION("""COMPUTED_VALUE"""),"TNI0248 MYT_Routine_Maintenance_Mytel_Station MYT_RTE_MTE_SB_STN _ myt_maung.maung11 : 30/12/1899 00:00 : 886.64 _ FT assigned + TNI0248 MYT_Routine_Maintenance_Mytel_Station_VCM _ myt_pyikyaw.aung : 03/06/2026 12:04 : 923.92 _ Close + TNI0248 MYT_Routine"&amp;"_Maintenance_Mytel_Station_VCM _ myt_pyikyaw.aung : 31/03/2026 17:06 : 999.63 _ Close Solar M: TNI0248 MYT_Maintenacne_Solar _ myt_wanna.oo2 : 30/12/1899 00:00 :  _ Close + TNI0248 MYT_Maintenacne_Solar _ myt_zinmin.shein : 28/04/2026 16:08 : 506.98 _ Clo"&amp;"se + TNI0248 MYT_Maintenacne_Solar _ myt_wanna.oo2 : 09/04/2026 11:01 : 128.05 _ Close Solar Power:  Maintenance DG:  +  +  + MW Link: ")</f>
        <v>TNI0248 MYT_Routine_Maintenance_Mytel_Station MYT_RTE_MTE_SB_STN _ myt_maung.maung11 : 30/12/1899 00:00 : 886.64 _ FT assigned + TNI0248 MYT_Routine_Maintenance_Mytel_Station_VCM _ myt_pyikyaw.aung : 03/06/2026 12:04 : 923.92 _ Close + TNI0248 MYT_Routine_Maintenance_Mytel_Station_VCM _ myt_pyikyaw.aung : 31/03/2026 17:06 : 999.63 _ Close Solar M: TNI0248 MYT_Maintenacne_Solar _ myt_wanna.oo2 : 30/12/1899 00:00 :  _ Close + TNI0248 MYT_Maintenacne_Solar _ myt_zinmin.shein : 28/04/2026 16:08 : 506.98 _ Close + TNI0248 MYT_Maintenacne_Solar _ myt_wanna.oo2 : 09/04/2026 11:01 : 128.05 _ Close Solar Power:  Maintenance DG:  +  +  + MW Link: </v>
      </c>
    </row>
    <row r="169">
      <c r="A169" s="98" t="str">
        <f>IFERROR(__xludf.DUMMYFUNCTION("""COMPUTED_VALUE"""),"TNI0249")</f>
        <v>TNI0249</v>
      </c>
      <c r="B169" s="98" t="str">
        <f>IFERROR(__xludf.DUMMYFUNCTION("""COMPUTED_VALUE"""),"TNI0249: Kawthoung_Mytel_C_MYT_TNI_TEAM04_Khant Chaw Nyo")</f>
        <v>TNI0249: Kawthoung_Mytel_C_MYT_TNI_TEAM04_Khant Chaw Nyo</v>
      </c>
      <c r="C169" s="98" t="str">
        <f>IFERROR(__xludf.DUMMYFUNCTION("""COMPUTED_VALUE"""),"TNI0080-TNI0249_Kawthaung_24 FO : 2_Khant Chaw Nyo + TNI0243-TNI0249_Kawthaung_24 FO : 1.08_Tin Maung Win")</f>
        <v>TNI0080-TNI0249_Kawthaung_24 FO : 2_Khant Chaw Nyo + TNI0243-TNI0249_Kawthaung_24 FO : 1.08_Tin Maung Win</v>
      </c>
      <c r="D169" s="98" t="str">
        <f>IFERROR(__xludf.DUMMYFUNCTION("""COMPUTED_VALUE"""),"")</f>
        <v/>
      </c>
      <c r="E169" s="98" t="str">
        <f>IFERROR(__xludf.DUMMYFUNCTION("""COMPUTED_VALUE"""),"TNI0249 MYT_Routine_Maintenance_Mytel_Station_VCM _ myt_khantchaw.nyo : 04/05/2026 15:20 : 926.94 _ Close Solar M: TNI0249 MYT_Maintenacne_Solar _ myt_khantchaw.nyo : 30/12/1899 00:00 :  _ Close + TNI0249 MYT_Maintenacne_Solar _ myt_khantchaw.nyo : 04/05/"&amp;"2026 15:37 : 350.9 _ Close + TNI0249 MYT_Maintenacne_Solar _ myt_khantchaw.nyo : 10/04/2026 11:12 : 7.76 _ Close Solar Power:  Maintenance DG:  +  +  + MW Link: ")</f>
        <v>TNI0249 MYT_Routine_Maintenance_Mytel_Station_VCM _ myt_khantchaw.nyo : 04/05/2026 15:20 : 926.94 _ Close Solar M: TNI0249 MYT_Maintenacne_Solar _ myt_khantchaw.nyo : 30/12/1899 00:00 :  _ Close + TNI0249 MYT_Maintenacne_Solar _ myt_khantchaw.nyo : 04/05/2026 15:37 : 350.9 _ Close + TNI0249 MYT_Maintenacne_Solar _ myt_khantchaw.nyo : 10/04/2026 11:12 : 7.76 _ Close Solar Power:  Maintenance DG:  +  +  + MW Link: </v>
      </c>
    </row>
    <row r="170">
      <c r="A170" s="98" t="str">
        <f>IFERROR(__xludf.DUMMYFUNCTION("""COMPUTED_VALUE"""),"TNI0250")</f>
        <v>TNI0250</v>
      </c>
      <c r="B170" s="98" t="str">
        <f>IFERROR(__xludf.DUMMYFUNCTION("""COMPUTED_VALUE"""),"TNI0250: Dawei_Mytel_A_MYT_TNI_TEAM01_Aung Lwin Phyo")</f>
        <v>TNI0250: Dawei_Mytel_A_MYT_TNI_TEAM01_Aung Lwin Phyo</v>
      </c>
      <c r="C170" s="98" t="str">
        <f>IFERROR(__xludf.DUMMYFUNCTION("""COMPUTED_VALUE"""),"TNI0062-TNI0250_Dawei_48 FO : 1.77_Aung Lwin Phyo + TNI0071-TNI0250_Dawei_24 FO : 3.59_Aung Lwin Phyo + TNI0059-TNI0250_Dawei_24 FO : 1.94_Aung Lwin Phyo + TNI0014-TNI0250_Dawei_24 FO : 2.5_Aung Lwin Phyo + TNI0054-TNI0250_Dawei_24 FO : 1.86_Bhone Htet Au"&amp;"ng + TNI0013-TNI0250_1_Dawei_24 FO : 10.71_Bone Myat Naing + TNI0013-TNI0250_2_Dawei_48 FO : 10.71_Bone Myat Naing")</f>
        <v>TNI0062-TNI0250_Dawei_48 FO : 1.77_Aung Lwin Phyo + TNI0071-TNI0250_Dawei_24 FO : 3.59_Aung Lwin Phyo + TNI0059-TNI0250_Dawei_24 FO : 1.94_Aung Lwin Phyo + TNI0014-TNI0250_Dawei_24 FO : 2.5_Aung Lwin Phyo + TNI0054-TNI0250_Dawei_24 FO : 1.86_Bhone Htet Aung + TNI0013-TNI0250_1_Dawei_24 FO : 10.71_Bone Myat Naing + TNI0013-TNI0250_2_Dawei_48 FO : 10.71_Bone Myat Naing</v>
      </c>
      <c r="D170" s="98" t="str">
        <f>IFERROR(__xludf.DUMMYFUNCTION("""COMPUTED_VALUE"""),"+ OLT: Aung Lwin Phyo")</f>
        <v>+ OLT: Aung Lwin Phyo</v>
      </c>
      <c r="E170" s="98" t="str">
        <f>IFERROR(__xludf.DUMMYFUNCTION("""COMPUTED_VALUE"""),"TNI0250 MYT_Routine_Maintenance_Main_Station MYT_RTE_MTE_MAIN_STN _ myt_phyoko.ko44 : 29/06/2026 11:15 : 577.45 _ Close + TNI0250 MYT_Routine_Maintenance_Main_Station_VCM _ myt_aunglwin.phyo : 29/06/2026 10:16 : 345.57 _ Close + TNI0250 MYT_Routine_Mainte"&amp;"nance_Main_Station_VCM _ myt_aunglwin.phyo : 22/05/2026 16:56 : 416.05 _ Close + TNI0250 MYT_Routine_Maintenance_Main_Station_VCM - MYT_Maintenacne_Solar _ myt_aunglwin.phyo : 03/05/2026 13:13 : 375.69 _ Close Solar M: TNI0250 MYT_Maintenacne_Solar _ myt_"&amp;"aunglwin.phyo : 30/12/1899 00:00 :  _ Close + TNI0250 MYT_Maintenacne_Solar _ myt_aunglwin.phyo : 03/05/2026 13:10 : -464.32 _ Close Solar Power:  Maintenance DG:  +  +  + MW Link: ")</f>
        <v>TNI0250 MYT_Routine_Maintenance_Main_Station MYT_RTE_MTE_MAIN_STN _ myt_phyoko.ko44 : 29/06/2026 11:15 : 577.45 _ Close + TNI0250 MYT_Routine_Maintenance_Main_Station_VCM _ myt_aunglwin.phyo : 29/06/2026 10:16 : 345.57 _ Close + TNI0250 MYT_Routine_Maintenance_Main_Station_VCM _ myt_aunglwin.phyo : 22/05/2026 16:56 : 416.05 _ Close + TNI0250 MYT_Routine_Maintenance_Main_Station_VCM - MYT_Maintenacne_Solar _ myt_aunglwin.phyo : 03/05/2026 13:13 : 375.69 _ Close Solar M: TNI0250 MYT_Maintenacne_Solar _ myt_aunglwin.phyo : 30/12/1899 00:00 :  _ Close + TNI0250 MYT_Maintenacne_Solar _ myt_aunglwin.phyo : 03/05/2026 13:10 : -464.32 _ Close Solar Power:  Maintenance DG:  +  +  + MW Link: </v>
      </c>
    </row>
    <row r="171">
      <c r="A171" s="98" t="str">
        <f>IFERROR(__xludf.DUMMYFUNCTION("""COMPUTED_VALUE"""),"TNI0251")</f>
        <v>TNI0251</v>
      </c>
      <c r="B171" s="98" t="str">
        <f>IFERROR(__xludf.DUMMYFUNCTION("""COMPUTED_VALUE"""),"TNI0251: Dawei_Mytel_B_MYT_TNI_TEAM01_Bhone Htet Aung")</f>
        <v>TNI0251: Dawei_Mytel_B_MYT_TNI_TEAM01_Bhone Htet Aung</v>
      </c>
      <c r="C171" s="98" t="str">
        <f>IFERROR(__xludf.DUMMYFUNCTION("""COMPUTED_VALUE"""),"TNI0062-TNI0251_Dawei_24 FO : 1.5_Bhone Htet Aung + TNI0067-TNI0251_Dawei_24 FO : 0.88_Bhone Htet Aung")</f>
        <v>TNI0062-TNI0251_Dawei_24 FO : 1.5_Bhone Htet Aung + TNI0067-TNI0251_Dawei_24 FO : 0.88_Bhone Htet Aung</v>
      </c>
      <c r="D171" s="98" t="str">
        <f>IFERROR(__xludf.DUMMYFUNCTION("""COMPUTED_VALUE"""),"+ OLT: Bhone Htet Aung")</f>
        <v>+ OLT: Bhone Htet Aung</v>
      </c>
      <c r="E171" s="98" t="str">
        <f>IFERROR(__xludf.DUMMYFUNCTION("""COMPUTED_VALUE"""),"Fortune Telecom Company Limited : tni_dia_limitedftc17 1000 Km  + Fortune Telecom Company Limited : tni_dia_limitedftc40 1000 Km TNI0251 MYT_Routine_Maintenance_Mytel_Station_VCM _ myt_bhonehtet.aung : 30/12/1899 00:00 : 223.05 _ FT assigned + TNI0251 MYT"&amp;"_Routine_Maintenance_Mytel_Station_VCM _ myt_bhonehtet.aung : 02/04/2026 17:15 : 783.12 _ Close Solar M: TNI0251 MYT_Maintenacne_Solar _ myt_bhonehtet.aung : 22/05/2026 14:55 :  _ Close + TNI0251 MYT_Maintenacne_Solar _ myt_bhonehtet.aung : 04/05/2026 13:"&amp;"50 : 342.85 _ Close + TNI0251 MYT_Maintenacne_Solar _ myt_bhonehtet.aung : 04/05/2026 13:53 : -592.9 _ Close Solar Power:  Maintenance DG:  +  +  + MW Link: ")</f>
        <v>Fortune Telecom Company Limited : tni_dia_limitedftc17 1000 Km  + Fortune Telecom Company Limited : tni_dia_limitedftc40 1000 Km TNI0251 MYT_Routine_Maintenance_Mytel_Station_VCM _ myt_bhonehtet.aung : 30/12/1899 00:00 : 223.05 _ FT assigned + TNI0251 MYT_Routine_Maintenance_Mytel_Station_VCM _ myt_bhonehtet.aung : 02/04/2026 17:15 : 783.12 _ Close Solar M: TNI0251 MYT_Maintenacne_Solar _ myt_bhonehtet.aung : 22/05/2026 14:55 :  _ Close + TNI0251 MYT_Maintenacne_Solar _ myt_bhonehtet.aung : 04/05/2026 13:50 : 342.85 _ Close + TNI0251 MYT_Maintenacne_Solar _ myt_bhonehtet.aung : 04/05/2026 13:53 : -592.9 _ Close Solar Power:  Maintenance DG:  +  +  + MW Link: </v>
      </c>
    </row>
    <row r="172">
      <c r="A172" s="98" t="str">
        <f>IFERROR(__xludf.DUMMYFUNCTION("""COMPUTED_VALUE"""),"TNI0252")</f>
        <v>TNI0252</v>
      </c>
      <c r="B172" s="98" t="str">
        <f>IFERROR(__xludf.DUMMYFUNCTION("""COMPUTED_VALUE"""),"TNI0252: Myeik_Mytel_C_MYT_TNI_TEAM02_Wanna Oo")</f>
        <v>TNI0252: Myeik_Mytel_C_MYT_TNI_TEAM02_Wanna Oo</v>
      </c>
      <c r="C172" s="98" t="str">
        <f>IFERROR(__xludf.DUMMYFUNCTION("""COMPUTED_VALUE"""),"TNI0077-TNI0252_Myeik_24 FO : 1.45_Maung Maung + TNI0034-TNI0252_Myeik_24 FO : 1.99_Wanna Oo")</f>
        <v>TNI0077-TNI0252_Myeik_24 FO : 1.45_Maung Maung + TNI0034-TNI0252_Myeik_24 FO : 1.99_Wanna Oo</v>
      </c>
      <c r="D172" s="98" t="str">
        <f>IFERROR(__xludf.DUMMYFUNCTION("""COMPUTED_VALUE"""),"")</f>
        <v/>
      </c>
      <c r="E172" s="98" t="str">
        <f>IFERROR(__xludf.DUMMYFUNCTION("""COMPUTED_VALUE"""),"TNI0252 MYT_Routine_Maintenance_Mytel_Station MYT_RTE_MTE_SB_STN _ myt_maung.maung11 : 30/12/1899 00:00 : 886.64 _ FT assigned + TNI0252 MYT_Routine_Maintenance_Mytel_Station_VCM _ myt_zinmin.shein : 02/06/2026 16:20 : 926.5 _ Close + TNI0252 MYT_Routine_"&amp;"Maintenance_Mytel_Station_VCM _ myt_pyikyaw.aung : 31/03/2026 16:48 : 999.63 _ Close Solar M: TNI0252 MYT_Maintenacne_Solar _ myt_wanna.oo2 : 30/12/1899 00:00 :  _ Close + TNI0252 MYT_Maintenacne_Solar _ myt_pyikyaw.aung : 05/05/2026 10:44 : 339.97 _ Clos"&amp;"e + TNI0252 MYT_Maintenacne_Solar _ myt_wanna.oo2 : 09/04/2026 11:07 : 128.05 _ Close Solar Power:  Maintenance DG:  +  +  + MW Link: ")</f>
        <v>TNI0252 MYT_Routine_Maintenance_Mytel_Station MYT_RTE_MTE_SB_STN _ myt_maung.maung11 : 30/12/1899 00:00 : 886.64 _ FT assigned + TNI0252 MYT_Routine_Maintenance_Mytel_Station_VCM _ myt_zinmin.shein : 02/06/2026 16:20 : 926.5 _ Close + TNI0252 MYT_Routine_Maintenance_Mytel_Station_VCM _ myt_pyikyaw.aung : 31/03/2026 16:48 : 999.63 _ Close Solar M: TNI0252 MYT_Maintenacne_Solar _ myt_wanna.oo2 : 30/12/1899 00:00 :  _ Close + TNI0252 MYT_Maintenacne_Solar _ myt_pyikyaw.aung : 05/05/2026 10:44 : 339.97 _ Close + TNI0252 MYT_Maintenacne_Solar _ myt_wanna.oo2 : 09/04/2026 11:07 : 128.05 _ Close Solar Power:  Maintenance DG:  +  +  + MW Link: </v>
      </c>
    </row>
    <row r="173">
      <c r="A173" s="98" t="str">
        <f>IFERROR(__xludf.DUMMYFUNCTION("""COMPUTED_VALUE"""),"TNI0253")</f>
        <v>TNI0253</v>
      </c>
      <c r="B173" s="98" t="str">
        <f>IFERROR(__xludf.DUMMYFUNCTION("""COMPUTED_VALUE"""),"TNI0253: Dawei_Edotco_C_MYT_TNI_TEAM01_Bhone Htet Aung")</f>
        <v>TNI0253: Dawei_Edotco_C_MYT_TNI_TEAM01_Bhone Htet Aung</v>
      </c>
      <c r="C173" s="98" t="str">
        <f>IFERROR(__xludf.DUMMYFUNCTION("""COMPUTED_VALUE"""),"TNI0056-TNI0253_Dawei_24 FO : 1.28_Aung Lwin Phyo + TNI0054-TNI0253_Dawei_24 FO : 0.94_Bhone Htet Aung")</f>
        <v>TNI0056-TNI0253_Dawei_24 FO : 1.28_Aung Lwin Phyo + TNI0054-TNI0253_Dawei_24 FO : 0.94_Bhone Htet Aung</v>
      </c>
      <c r="D173" s="98" t="str">
        <f>IFERROR(__xludf.DUMMYFUNCTION("""COMPUTED_VALUE"""),"")</f>
        <v/>
      </c>
      <c r="E173" s="98" t="str">
        <f>IFERROR(__xludf.DUMMYFUNCTION("""COMPUTED_VALUE"""),"Nguyen Van Hoa : tni_dia_hoanv5 1000 Km  Solar M:  Solar Power:  Maintenance DG:  +  +  + MW Link: ")</f>
        <v>Nguyen Van Hoa : tni_dia_hoanv5 1000 Km  Solar M:  Solar Power:  Maintenance DG:  +  +  + MW Link: </v>
      </c>
    </row>
    <row r="174">
      <c r="A174" s="98" t="str">
        <f>IFERROR(__xludf.DUMMYFUNCTION("""COMPUTED_VALUE"""),"TNI0254")</f>
        <v>TNI0254</v>
      </c>
      <c r="B174" s="98" t="str">
        <f>IFERROR(__xludf.DUMMYFUNCTION("""COMPUTED_VALUE"""),"TNI0254: Kawthoung_Mytel_C_MYT_TNI_TEAM04_Tin Maung Win")</f>
        <v>TNI0254: Kawthoung_Mytel_C_MYT_TNI_TEAM04_Tin Maung Win</v>
      </c>
      <c r="C174" s="98" t="str">
        <f>IFERROR(__xludf.DUMMYFUNCTION("""COMPUTED_VALUE"""),"TNI0037-TNI0254_Kawthaung_24 FO : 2.25_Khant Chaw Nyo + TNI0243-TNI0254_Kawthaung_24 FO : 1.85_Tin Maung Win")</f>
        <v>TNI0037-TNI0254_Kawthaung_24 FO : 2.25_Khant Chaw Nyo + TNI0243-TNI0254_Kawthaung_24 FO : 1.85_Tin Maung Win</v>
      </c>
      <c r="D174" s="98" t="str">
        <f>IFERROR(__xludf.DUMMYFUNCTION("""COMPUTED_VALUE"""),"")</f>
        <v/>
      </c>
      <c r="E174" s="98" t="str">
        <f>IFERROR(__xludf.DUMMYFUNCTION("""COMPUTED_VALUE"""),"TNI0254 MYT_Routine_Maintenance_Mytel_Station MYT_RTE_MTE_SB_STN _ myt_tinmaung.win : 29/06/2026 14:56 : 957.16 _ Close + TNI0254 MYT_Routine_Maintenance_Mytel_Station_VCM _ myt_tinmaung.win : 02/06/2026 10:33 : 937.14 _ Close + TNI0254 MYT_Routine_Mainte"&amp;"nance_Mytel_Station_VCM _ myt_tinmaung.win : 30/03/2026 09:56 : 999.94 _ Close Solar M: TNI0254 MYT_Maintenacne_Solar _ myt_tinmaung.win : 22/05/2026 12:20 :  _ Close + TNI0254 MYT_Maintenacne_Solar _ myt_tinmaung.win : 23/04/2026 16:13 : 495.3 _ Close + "&amp;"TNI0254 MYT_Maintenacne_Solar _ myt_tinmaung.win : 06/04/2026 15:17 : 173.25 _ Close Solar Power: TNI0254 MYT_Troubleshooting Solar Power System _ myt_tinmaung.win : 04/06/2026 11:45 : 135.24 _ Close Maintenance DG:  +  +  + MW Link: ")</f>
        <v>TNI0254 MYT_Routine_Maintenance_Mytel_Station MYT_RTE_MTE_SB_STN _ myt_tinmaung.win : 29/06/2026 14:56 : 957.16 _ Close + TNI0254 MYT_Routine_Maintenance_Mytel_Station_VCM _ myt_tinmaung.win : 02/06/2026 10:33 : 937.14 _ Close + TNI0254 MYT_Routine_Maintenance_Mytel_Station_VCM _ myt_tinmaung.win : 30/03/2026 09:56 : 999.94 _ Close Solar M: TNI0254 MYT_Maintenacne_Solar _ myt_tinmaung.win : 22/05/2026 12:20 :  _ Close + TNI0254 MYT_Maintenacne_Solar _ myt_tinmaung.win : 23/04/2026 16:13 : 495.3 _ Close + TNI0254 MYT_Maintenacne_Solar _ myt_tinmaung.win : 06/04/2026 15:17 : 173.25 _ Close Solar Power: TNI0254 MYT_Troubleshooting Solar Power System _ myt_tinmaung.win : 04/06/2026 11:45 : 135.24 _ Close Maintenance DG:  +  +  + MW Link: </v>
      </c>
    </row>
    <row r="175">
      <c r="A175" s="98" t="str">
        <f>IFERROR(__xludf.DUMMYFUNCTION("""COMPUTED_VALUE"""),"TNI0255")</f>
        <v>TNI0255</v>
      </c>
      <c r="B175" s="98" t="str">
        <f>IFERROR(__xludf.DUMMYFUNCTION("""COMPUTED_VALUE"""),"TNI0255: Myeik_Mytel_C_MYT_TNI_TEAM02_Wanna Oo")</f>
        <v>TNI0255: Myeik_Mytel_C_MYT_TNI_TEAM02_Wanna Oo</v>
      </c>
      <c r="C175" s="98" t="str">
        <f>IFERROR(__xludf.DUMMYFUNCTION("""COMPUTED_VALUE"""),"TNI0034-TNI0255_Myeik_24 FO : 1.14_Wanna Oo + TNI0076-TNI0255_Myeik_24 FO : 1.4_Ye Lin")</f>
        <v>TNI0034-TNI0255_Myeik_24 FO : 1.14_Wanna Oo + TNI0076-TNI0255_Myeik_24 FO : 1.4_Ye Lin</v>
      </c>
      <c r="D175" s="98" t="str">
        <f>IFERROR(__xludf.DUMMYFUNCTION("""COMPUTED_VALUE"""),"")</f>
        <v/>
      </c>
      <c r="E175" s="98" t="str">
        <f>IFERROR(__xludf.DUMMYFUNCTION("""COMPUTED_VALUE"""),"TNI0255 MYT_Routine_Maintenance_Mytel_Station MYT_RTE_MTE_SB_STN _ myt_winhtet.aung11 : 02/07/2026 16:41 : 886.64 _ FT completed + TNI0255 MYT_Routine_Maintenance_Mytel_Station_VCM _ myt_zinmin.shein : 02/06/2026 17:11 : 926.51 _ Close + TNI0255 MYT_Routi"&amp;"ne_Maintenance_Mytel_Station MYT_RTE_MTE_SB_STN _ myt_wanna.oo2 : 20/05/2026 18:10 : 1437.04 _ Close + TNI0255 MYT_Routine_Maintenance_Mytel_Station_VCM _ myt_pyikyaw.aung : 31/03/2026 17:32 : 999.64 _ Close Solar M: TNI0255 MYT_Maintenacne_Solar _ myt_wa"&amp;"nna.oo2 : 30/12/1899 00:00 :  _ Close + TNI0255 MYT_Maintenacne_Solar _ myt_zinmin.shein : 28/04/2026 14:54 : 506.98 _ Close + TNI0255 MYT_Maintenacne_Solar _ myt_wanna.oo2 : 09/04/2026 11:33 : 128.06 _ Close Solar Power: TNI0255 MYT_Troubleshooting Solar"&amp;" Power System _ myt_maung.maung11 : 05/06/2026 16:40 : 38.59 _ Close Maintenance DG:  +  +  + MW Link: ")</f>
        <v>TNI0255 MYT_Routine_Maintenance_Mytel_Station MYT_RTE_MTE_SB_STN _ myt_winhtet.aung11 : 02/07/2026 16:41 : 886.64 _ FT completed + TNI0255 MYT_Routine_Maintenance_Mytel_Station_VCM _ myt_zinmin.shein : 02/06/2026 17:11 : 926.51 _ Close + TNI0255 MYT_Routine_Maintenance_Mytel_Station MYT_RTE_MTE_SB_STN _ myt_wanna.oo2 : 20/05/2026 18:10 : 1437.04 _ Close + TNI0255 MYT_Routine_Maintenance_Mytel_Station_VCM _ myt_pyikyaw.aung : 31/03/2026 17:32 : 999.64 _ Close Solar M: TNI0255 MYT_Maintenacne_Solar _ myt_wanna.oo2 : 30/12/1899 00:00 :  _ Close + TNI0255 MYT_Maintenacne_Solar _ myt_zinmin.shein : 28/04/2026 14:54 : 506.98 _ Close + TNI0255 MYT_Maintenacne_Solar _ myt_wanna.oo2 : 09/04/2026 11:33 : 128.06 _ Close Solar Power: TNI0255 MYT_Troubleshooting Solar Power System _ myt_maung.maung11 : 05/06/2026 16:40 : 38.59 _ Close Maintenance DG:  +  +  + MW Link: </v>
      </c>
    </row>
    <row r="176">
      <c r="A176" s="98" t="str">
        <f>IFERROR(__xludf.DUMMYFUNCTION("""COMPUTED_VALUE"""),"TNI0256")</f>
        <v>TNI0256</v>
      </c>
      <c r="B176" s="98" t="str">
        <f>IFERROR(__xludf.DUMMYFUNCTION("""COMPUTED_VALUE"""),"TNI0256: Dawei_Mytel_C_MYT_TNI_TEAM01_Aung Lwin Phyo")</f>
        <v>TNI0256: Dawei_Mytel_C_MYT_TNI_TEAM01_Aung Lwin Phyo</v>
      </c>
      <c r="C176" s="98" t="str">
        <f>IFERROR(__xludf.DUMMYFUNCTION("""COMPUTED_VALUE"""),"TNI0066-TNI0256_Dawei_24 FO : 0.89_Aung Lwin Phyo + TNI0013-TNI0256_Dawei_24 FO : 1.11_Bone Myat Naing")</f>
        <v>TNI0066-TNI0256_Dawei_24 FO : 0.89_Aung Lwin Phyo + TNI0013-TNI0256_Dawei_24 FO : 1.11_Bone Myat Naing</v>
      </c>
      <c r="D176" s="98" t="str">
        <f>IFERROR(__xludf.DUMMYFUNCTION("""COMPUTED_VALUE"""),"")</f>
        <v/>
      </c>
      <c r="E176" s="98" t="str">
        <f>IFERROR(__xludf.DUMMYFUNCTION("""COMPUTED_VALUE"""),"TNI0256 MYT_Routine_Maintenance_Mytel_Station MYT_RTE_MTE_SB_STN _ myt_phyoko.ko44 : 30/12/1899 00:00 : 886.64 _ FT assigned + TNI0256 MYT_Routine_Maintenance_Mytel_Station_VCM _ myt_aunglwin.phyo : 03/06/2026 15:13 : 595.06 _ Close + TNI0256 MYT_Routine_"&amp;"Maintenance_Mytel_Station_VCM _ myt_aunglwin.phyo : 17/05/2026 10:34 : -176 _ Close Solar M: TNI0256 MYT_Maintenacne_Solar _ myt_aunglwin.phyo : 30/12/1899 00:00 :  _ Close + TNI0256 MYT_Maintenacne_Solar _ myt_aunglwin.phyo : 17/05/2026 10:16 : 33.93 _ C"&amp;"lose + TNI0256 MYT_Maintenacne_Solar _ myt_aunglwin.phyo : 17/05/2026 10:25 : -848.04 _ Close Solar Power:  Maintenance DG:  +  +  + MW Link: ")</f>
        <v>TNI0256 MYT_Routine_Maintenance_Mytel_Station MYT_RTE_MTE_SB_STN _ myt_phyoko.ko44 : 30/12/1899 00:00 : 886.64 _ FT assigned + TNI0256 MYT_Routine_Maintenance_Mytel_Station_VCM _ myt_aunglwin.phyo : 03/06/2026 15:13 : 595.06 _ Close + TNI0256 MYT_Routine_Maintenance_Mytel_Station_VCM _ myt_aunglwin.phyo : 17/05/2026 10:34 : -176 _ Close Solar M: TNI0256 MYT_Maintenacne_Solar _ myt_aunglwin.phyo : 30/12/1899 00:00 :  _ Close + TNI0256 MYT_Maintenacne_Solar _ myt_aunglwin.phyo : 17/05/2026 10:16 : 33.93 _ Close + TNI0256 MYT_Maintenacne_Solar _ myt_aunglwin.phyo : 17/05/2026 10:25 : -848.04 _ Close Solar Power:  Maintenance DG:  +  +  + MW Link: </v>
      </c>
    </row>
    <row r="177">
      <c r="A177" s="98" t="str">
        <f>IFERROR(__xludf.DUMMYFUNCTION("""COMPUTED_VALUE"""),"TNI0257")</f>
        <v>TNI0257</v>
      </c>
      <c r="B177" s="98" t="str">
        <f>IFERROR(__xludf.DUMMYFUNCTION("""COMPUTED_VALUE"""),"TNI0257: Dawei_Mytel_C_MYT_TNI_TEAM01_Win Htet Aung")</f>
        <v>TNI0257: Dawei_Mytel_C_MYT_TNI_TEAM01_Win Htet Aung</v>
      </c>
      <c r="C177" s="98" t="str">
        <f>IFERROR(__xludf.DUMMYFUNCTION("""COMPUTED_VALUE"""),"TNI0247-TNI0257_Dawei_24 FO : 2.46_Aung Lwin Phyo + TNI0257-TNI0271_Dawei_24 FO : 1.67_Aung Lwin Phyo")</f>
        <v>TNI0247-TNI0257_Dawei_24 FO : 2.46_Aung Lwin Phyo + TNI0257-TNI0271_Dawei_24 FO : 1.67_Aung Lwin Phyo</v>
      </c>
      <c r="D177" s="98" t="str">
        <f>IFERROR(__xludf.DUMMYFUNCTION("""COMPUTED_VALUE"""),"")</f>
        <v/>
      </c>
      <c r="E177" s="98" t="str">
        <f>IFERROR(__xludf.DUMMYFUNCTION("""COMPUTED_VALUE"""),"TNI0257 MYT_Routine_Maintenance_Mytel_Station_VCM _ myt_myothant.htoo : 30/12/1899 00:00 : 223.05 _ FT assigned + TNI0257 MYT_Routine_Maintenance_Mytel_Station_VCM _ myt_myothant.htoo : 30/12/1899 00:00 : -1100.45 _ FT Inprocessing Solar M:  Solar Power: "&amp;" Maintenance DG:  +  +  + MW Link: ")</f>
        <v>TNI0257 MYT_Routine_Maintenance_Mytel_Station_VCM _ myt_myothant.htoo : 30/12/1899 00:00 : 223.05 _ FT assigned + TNI0257 MYT_Routine_Maintenance_Mytel_Station_VCM _ myt_myothant.htoo : 30/12/1899 00:00 : -1100.45 _ FT Inprocessing Solar M:  Solar Power:  Maintenance DG:  +  +  + MW Link: </v>
      </c>
    </row>
    <row r="178">
      <c r="A178" s="98" t="str">
        <f>IFERROR(__xludf.DUMMYFUNCTION("""COMPUTED_VALUE"""),"TNI0258")</f>
        <v>TNI0258</v>
      </c>
      <c r="B178" s="98" t="str">
        <f>IFERROR(__xludf.DUMMYFUNCTION("""COMPUTED_VALUE"""),"TNI0258: Myeik_Mytel_B_MYT_TNI_TEAM02_Maung Maung")</f>
        <v>TNI0258: Myeik_Mytel_B_MYT_TNI_TEAM02_Maung Maung</v>
      </c>
      <c r="C178" s="98" t="str">
        <f>IFERROR(__xludf.DUMMYFUNCTION("""COMPUTED_VALUE"""),"TNI0024-TNI0258_Myeik_24 FO : 0.9_Ye Lin + TNI0025-TNI0258_Myeik_24 FO : 1.11_Zin Min Shein")</f>
        <v>TNI0024-TNI0258_Myeik_24 FO : 0.9_Ye Lin + TNI0025-TNI0258_Myeik_24 FO : 1.11_Zin Min Shein</v>
      </c>
      <c r="D178" s="98" t="str">
        <f>IFERROR(__xludf.DUMMYFUNCTION("""COMPUTED_VALUE"""),"+ OLT: Maung Maung")</f>
        <v>+ OLT: Maung Maung</v>
      </c>
      <c r="E178" s="98" t="str">
        <f>IFERROR(__xludf.DUMMYFUNCTION("""COMPUTED_VALUE"""),"Fortune Telecom Company Limited : tni_dia_limitedftc31 100 Km TNI0258 MYT_Routine_Maintenance_Mytel_Station MYT_RTE_MTE_SB_STN _ myt_maung.maung11 : 30/12/1899 00:00 : 886.64 _ FT assigned + TNI0258 MYT_Routine_Maintenance_Mytel_Station_VCM _ myt_maung.ma"&amp;"ung11 : 02/06/2026 18:07 : 926.51 _ Close + TNI0258 MYT_Routine_Maintenance_Mytel_Station_VCM _ myt_maung.maung11 : 07/04/2026 15:56 : 831.67 _ Close Solar M: TNI0258 MYT_Maintenacne_Solar _ myt_maung.maung11 : 30/12/1899 00:00 :  _ Close + TNI0258 MYT_Ma"&amp;"intenacne_Solar _ myt_maung.maung11 : 25/04/2026 13:08 : 554.91 _ Close + TNI0258 MYT_Maintenacne_Solar _ myt_maung.maung11 : 07/04/2026 14:20 : 159.69 _ Close Solar Power:  Maintenance DG:  +  +  + MW Link: ")</f>
        <v>Fortune Telecom Company Limited : tni_dia_limitedftc31 100 Km TNI0258 MYT_Routine_Maintenance_Mytel_Station MYT_RTE_MTE_SB_STN _ myt_maung.maung11 : 30/12/1899 00:00 : 886.64 _ FT assigned + TNI0258 MYT_Routine_Maintenance_Mytel_Station_VCM _ myt_maung.maung11 : 02/06/2026 18:07 : 926.51 _ Close + TNI0258 MYT_Routine_Maintenance_Mytel_Station_VCM _ myt_maung.maung11 : 07/04/2026 15:56 : 831.67 _ Close Solar M: TNI0258 MYT_Maintenacne_Solar _ myt_maung.maung11 : 30/12/1899 00:00 :  _ Close + TNI0258 MYT_Maintenacne_Solar _ myt_maung.maung11 : 25/04/2026 13:08 : 554.91 _ Close + TNI0258 MYT_Maintenacne_Solar _ myt_maung.maung11 : 07/04/2026 14:20 : 159.69 _ Close Solar Power:  Maintenance DG:  +  +  + MW Link: </v>
      </c>
    </row>
    <row r="179">
      <c r="A179" s="98" t="str">
        <f>IFERROR(__xludf.DUMMYFUNCTION("""COMPUTED_VALUE"""),"TNI0259")</f>
        <v>TNI0259</v>
      </c>
      <c r="B179" s="98" t="str">
        <f>IFERROR(__xludf.DUMMYFUNCTION("""COMPUTED_VALUE"""),"TNI0259: Kawthoung_OCK_B_MYT_TNI_TEAM04_Tin Maung Win")</f>
        <v>TNI0259: Kawthoung_OCK_B_MYT_TNI_TEAM04_Tin Maung Win</v>
      </c>
      <c r="C179" s="98" t="str">
        <f>IFERROR(__xludf.DUMMYFUNCTION("""COMPUTED_VALUE"""),"TNI0017-TNI0259_Kawthaung_24 FO : 1.35_Khant Chaw Nyo + TNI0032-TNI0259_Kawthaung_24 FO : 3.98_Khant Chaw Nyo")</f>
        <v>TNI0017-TNI0259_Kawthaung_24 FO : 1.35_Khant Chaw Nyo + TNI0032-TNI0259_Kawthaung_24 FO : 3.98_Khant Chaw Nyo</v>
      </c>
      <c r="D179" s="98" t="str">
        <f>IFERROR(__xludf.DUMMYFUNCTION("""COMPUTED_VALUE"""),"+ OLT: Tin Maung Win")</f>
        <v>+ OLT: Tin Maung Win</v>
      </c>
      <c r="E179" s="98" t="str">
        <f>IFERROR(__xludf.DUMMYFUNCTION("""COMPUTED_VALUE""")," Solar M:  Solar Power:  Maintenance DG:  +  +  + MW Link: ")</f>
        <v> Solar M:  Solar Power:  Maintenance DG:  +  +  + MW Link: </v>
      </c>
    </row>
    <row r="180">
      <c r="A180" s="98" t="str">
        <f>IFERROR(__xludf.DUMMYFUNCTION("""COMPUTED_VALUE"""),"TNI0260")</f>
        <v>TNI0260</v>
      </c>
      <c r="B180" s="98" t="str">
        <f>IFERROR(__xludf.DUMMYFUNCTION("""COMPUTED_VALUE"""),"TNI0260: Myeik_Mytel_B_MYT_TNI_TEAM02_Ye Lin")</f>
        <v>TNI0260: Myeik_Mytel_B_MYT_TNI_TEAM02_Ye Lin</v>
      </c>
      <c r="C180" s="98" t="str">
        <f>IFERROR(__xludf.DUMMYFUNCTION("""COMPUTED_VALUE"""),"TNI0237-TNI0260_Myeik_24 FO : 1.24_Wanna Oo + TNI0260-TNI0294_Tanintharyi_24 FO : 1_Wanna Oo")</f>
        <v>TNI0237-TNI0260_Myeik_24 FO : 1.24_Wanna Oo + TNI0260-TNI0294_Tanintharyi_24 FO : 1_Wanna Oo</v>
      </c>
      <c r="D180" s="98" t="str">
        <f>IFERROR(__xludf.DUMMYFUNCTION("""COMPUTED_VALUE"""),"+ OLT: Ye Lin")</f>
        <v>+ OLT: Ye Lin</v>
      </c>
      <c r="E180" s="98" t="str">
        <f>IFERROR(__xludf.DUMMYFUNCTION("""COMPUTED_VALUE"""),"Fortune Telecom Company Limited : tni_dia_limitedftc38 100 Km TNI0260 MYT_Routine_Maintenance_Mytel_Station MYT_RTE_MTE_SB_STN _ myt_maung.maung11 : 02/07/2026 15:44 : 886.64 _ FT completed + TNI0260 MYT_Routine_Maintenance_Mytel_Station_VCM _ myt_zinmin."&amp;"shein : 01/06/2026 11:15 : 967.11 _ Close + TNI0260 MYT_Routine_Maintenance_Mytel_Station_VCM _ myt_maung.maung11 : 07/04/2026 16:03 : 831.67 _ Close Solar M: TNI0260 MYT_Maintenacne_Solar _ myt_naythurain.oo : 30/12/1899 00:00 :  _ Close + TNI0260 MYT_Ma"&amp;"intenacne_Solar _ myt_maung.maung11 : 02/05/2026 16:57 : 374.64 _ Close + TNI0260 MYT_Maintenacne_Solar _ myt_zinmin.shein : 09/04/2026 16:56 : 102.95 _ Close Solar Power:  Maintenance DG:  +  +  + MW Link: ")</f>
        <v>Fortune Telecom Company Limited : tni_dia_limitedftc38 100 Km TNI0260 MYT_Routine_Maintenance_Mytel_Station MYT_RTE_MTE_SB_STN _ myt_maung.maung11 : 02/07/2026 15:44 : 886.64 _ FT completed + TNI0260 MYT_Routine_Maintenance_Mytel_Station_VCM _ myt_zinmin.shein : 01/06/2026 11:15 : 967.11 _ Close + TNI0260 MYT_Routine_Maintenance_Mytel_Station_VCM _ myt_maung.maung11 : 07/04/2026 16:03 : 831.67 _ Close Solar M: TNI0260 MYT_Maintenacne_Solar _ myt_naythurain.oo : 30/12/1899 00:00 :  _ Close + TNI0260 MYT_Maintenacne_Solar _ myt_maung.maung11 : 02/05/2026 16:57 : 374.64 _ Close + TNI0260 MYT_Maintenacne_Solar _ myt_zinmin.shein : 09/04/2026 16:56 : 102.95 _ Close Solar Power:  Maintenance DG:  +  +  + MW Link: </v>
      </c>
    </row>
    <row r="181">
      <c r="A181" s="98" t="str">
        <f>IFERROR(__xludf.DUMMYFUNCTION("""COMPUTED_VALUE"""),"TNI0261")</f>
        <v>TNI0261</v>
      </c>
      <c r="B181" s="98" t="str">
        <f>IFERROR(__xludf.DUMMYFUNCTION("""COMPUTED_VALUE"""),"TNI0261: Myeik_Mytel_B_MYT_TNI_TEAM02_Maung Maung")</f>
        <v>TNI0261: Myeik_Mytel_B_MYT_TNI_TEAM02_Maung Maung</v>
      </c>
      <c r="C181" s="98" t="str">
        <f>IFERROR(__xludf.DUMMYFUNCTION("""COMPUTED_VALUE"""),"TNI0237-TNI0261_Myeik_24 FO : 1.13_Wanna Oo + TNI0261-TNI0262_Myeik_24 FO : 1.1_Zin Min Shein")</f>
        <v>TNI0237-TNI0261_Myeik_24 FO : 1.13_Wanna Oo + TNI0261-TNI0262_Myeik_24 FO : 1.1_Zin Min Shein</v>
      </c>
      <c r="D181" s="98" t="str">
        <f>IFERROR(__xludf.DUMMYFUNCTION("""COMPUTED_VALUE"""),"+ OLT: Maung Maung")</f>
        <v>+ OLT: Maung Maung</v>
      </c>
      <c r="E181" s="98" t="str">
        <f>IFERROR(__xludf.DUMMYFUNCTION("""COMPUTED_VALUE"""),"TNI0261 MYT_Routine_Maintenance_Mytel_Station MYT_RTE_MTE_SB_STN _ myt_naythurain.oo : 30/12/1899 00:00 : 886.64 _ FT assigned + TNI0261 MYT_Routine_Maintenance_Mytel_Station_VCM _ myt_maung.maung11 : 27/05/2026 13:37 : 919.75 _ Close Solar M: TNI0261 MYT"&amp;"_Maintenacne_Solar _ myt_maung.maung11 : 30/12/1899 00:00 :  _ Close + TNI0261 MYT_Maintenacne_Solar _ myt_maung.maung11 : 25/04/2026 15:55 : 554.9 _ Close + TNI0261 MYT_Maintenacne_Solar _ myt_maung.maung11 : 08/04/2026 11:12 : 128.06 _ Close Solar Power"&amp;":  Maintenance DG:  +  +  + MW Link: ")</f>
        <v>TNI0261 MYT_Routine_Maintenance_Mytel_Station MYT_RTE_MTE_SB_STN _ myt_naythurain.oo : 30/12/1899 00:00 : 886.64 _ FT assigned + TNI0261 MYT_Routine_Maintenance_Mytel_Station_VCM _ myt_maung.maung11 : 27/05/2026 13:37 : 919.75 _ Close Solar M: TNI0261 MYT_Maintenacne_Solar _ myt_maung.maung11 : 30/12/1899 00:00 :  _ Close + TNI0261 MYT_Maintenacne_Solar _ myt_maung.maung11 : 25/04/2026 15:55 : 554.9 _ Close + TNI0261 MYT_Maintenacne_Solar _ myt_maung.maung11 : 08/04/2026 11:12 : 128.06 _ Close Solar Power:  Maintenance DG:  +  +  + MW Link: </v>
      </c>
    </row>
    <row r="182">
      <c r="A182" s="98" t="str">
        <f>IFERROR(__xludf.DUMMYFUNCTION("""COMPUTED_VALUE"""),"TNI0262")</f>
        <v>TNI0262</v>
      </c>
      <c r="B182" s="98" t="str">
        <f>IFERROR(__xludf.DUMMYFUNCTION("""COMPUTED_VALUE"""),"TNI0262: Myeik_Mytel_B_MYT_TNI_TEAM02_Zin Min Shein")</f>
        <v>TNI0262: Myeik_Mytel_B_MYT_TNI_TEAM02_Zin Min Shein</v>
      </c>
      <c r="C182" s="98" t="str">
        <f>IFERROR(__xludf.DUMMYFUNCTION("""COMPUTED_VALUE"""),"TNI0236-TNI0262_Myeik_24 FO : 0.63_Maung Maung + TNI0261-TNI0262_Myeik_24 FO : 1.1_Zin Min Shein")</f>
        <v>TNI0236-TNI0262_Myeik_24 FO : 0.63_Maung Maung + TNI0261-TNI0262_Myeik_24 FO : 1.1_Zin Min Shein</v>
      </c>
      <c r="D182" s="98" t="str">
        <f>IFERROR(__xludf.DUMMYFUNCTION("""COMPUTED_VALUE"""),"")</f>
        <v/>
      </c>
      <c r="E182" s="98" t="str">
        <f>IFERROR(__xludf.DUMMYFUNCTION("""COMPUTED_VALUE"""),"TNI0262 MYT_Routine_Maintenance_Mytel_Station MYT_RTE_MTE_SB_STN _ myt_winhtet.aung11 : 01/07/2026 16:03 : 894.22 _ Close + TNI0262 MYT_Routine_Maintenance_Mytel_Station_VCM _ myt_zinmin.shein : 02/06/2026 11:22 : 944.59 _ Close + TNI0262 MYT_Routine_Main"&amp;"tenance_Mytel_Station_VCM _ myt_zinmin.shein : 31/03/2026 13:11 : 999.65 _ Close Solar M: TNI0262 MYT_Maintenacne_Solar _ myt_maung.maung11 : 30/12/1899 00:00 :  _ Close + TNI0262 MYT_Maintenacne_Solar _ myt_zinmin.shein : 05/05/2026 12:03 : 339.97 _ Clos"&amp;"e + TNI0262 MYT_Maintenacne_Solar _ myt_zinmin.shein : 08/05/2026 16:39 : -633.96 _ Close Solar Power:  Maintenance DG:  +  +  + MW Link: ")</f>
        <v>TNI0262 MYT_Routine_Maintenance_Mytel_Station MYT_RTE_MTE_SB_STN _ myt_winhtet.aung11 : 01/07/2026 16:03 : 894.22 _ Close + TNI0262 MYT_Routine_Maintenance_Mytel_Station_VCM _ myt_zinmin.shein : 02/06/2026 11:22 : 944.59 _ Close + TNI0262 MYT_Routine_Maintenance_Mytel_Station_VCM _ myt_zinmin.shein : 31/03/2026 13:11 : 999.65 _ Close Solar M: TNI0262 MYT_Maintenacne_Solar _ myt_maung.maung11 : 30/12/1899 00:00 :  _ Close + TNI0262 MYT_Maintenacne_Solar _ myt_zinmin.shein : 05/05/2026 12:03 : 339.97 _ Close + TNI0262 MYT_Maintenacne_Solar _ myt_zinmin.shein : 08/05/2026 16:39 : -633.96 _ Close Solar Power:  Maintenance DG:  +  +  + MW Link: </v>
      </c>
    </row>
    <row r="183">
      <c r="A183" s="98" t="str">
        <f>IFERROR(__xludf.DUMMYFUNCTION("""COMPUTED_VALUE"""),"TNI0263")</f>
        <v>TNI0263</v>
      </c>
      <c r="B183" s="98" t="str">
        <f>IFERROR(__xludf.DUMMYFUNCTION("""COMPUTED_VALUE"""),"TNI0263: Myeik_Mytel_B_MYT_TNI_TEAM02_Ye Lin")</f>
        <v>TNI0263: Myeik_Mytel_B_MYT_TNI_TEAM02_Ye Lin</v>
      </c>
      <c r="C183" s="98" t="str">
        <f>IFERROR(__xludf.DUMMYFUNCTION("""COMPUTED_VALUE"""),"TNI0232-TNI0263_Myeik_24 FO : 0.94_Pyi Kyaw Aung + TNI0263-TNI0268_Myeik_24 FO : 1.88_Wanna Oo")</f>
        <v>TNI0232-TNI0263_Myeik_24 FO : 0.94_Pyi Kyaw Aung + TNI0263-TNI0268_Myeik_24 FO : 1.88_Wanna Oo</v>
      </c>
      <c r="D183" s="98" t="str">
        <f>IFERROR(__xludf.DUMMYFUNCTION("""COMPUTED_VALUE"""),"+ OLT: Ye Lin")</f>
        <v>+ OLT: Ye Lin</v>
      </c>
      <c r="E183" s="98" t="str">
        <f>IFERROR(__xludf.DUMMYFUNCTION("""COMPUTED_VALUE"""),"Fortune Telecom Company Limited : tni_dia_limitedftc33 800 Km TNI0263 MYT_Routine_Maintenance_Mytel_Station MYT_RTE_MTE_SB_STN _ myt_zinmin.shein : 02/07/2026 14:34 : 888.61 _ Close + TNI0263 MYT_Routine_Maintenance_Mytel_Station_VCM _ myt_maung.maung11 :"&amp;" 03/06/2026 12:45 : 903 _ Close + TNI0263 MYT_Routine_Maintenance_Mytel_Station_VCM _ myt_zinmin.shein : 01/04/2026 10:52 : 969.08 _ Close Solar M: TNI0263 MYT_Maintenacne_Solar _ myt_ye.lin22 : 30/12/1899 00:00 :  _ Close + TNI0263 MYT_Maintenacne_Solar "&amp;"_ myt_ye.lin22 : 02/05/2026 16:18 : 374.65 _ Close + TNI0263 MYT_Maintenacne_Solar _ myt_maung.maung11 : 08/04/2026 10:51 : 128.06 _ Close Solar Power:  Maintenance DG:  +  +  + MW Link: ")</f>
        <v>Fortune Telecom Company Limited : tni_dia_limitedftc33 800 Km TNI0263 MYT_Routine_Maintenance_Mytel_Station MYT_RTE_MTE_SB_STN _ myt_zinmin.shein : 02/07/2026 14:34 : 888.61 _ Close + TNI0263 MYT_Routine_Maintenance_Mytel_Station_VCM _ myt_maung.maung11 : 03/06/2026 12:45 : 903 _ Close + TNI0263 MYT_Routine_Maintenance_Mytel_Station_VCM _ myt_zinmin.shein : 01/04/2026 10:52 : 969.08 _ Close Solar M: TNI0263 MYT_Maintenacne_Solar _ myt_ye.lin22 : 30/12/1899 00:00 :  _ Close + TNI0263 MYT_Maintenacne_Solar _ myt_ye.lin22 : 02/05/2026 16:18 : 374.65 _ Close + TNI0263 MYT_Maintenacne_Solar _ myt_maung.maung11 : 08/04/2026 10:51 : 128.06 _ Close Solar Power:  Maintenance DG:  +  +  + MW Link: </v>
      </c>
    </row>
    <row r="184">
      <c r="A184" s="98" t="str">
        <f>IFERROR(__xludf.DUMMYFUNCTION("""COMPUTED_VALUE"""),"TNI0264")</f>
        <v>TNI0264</v>
      </c>
      <c r="B184" s="98" t="str">
        <f>IFERROR(__xludf.DUMMYFUNCTION("""COMPUTED_VALUE"""),"TNI0264: Dawei_Mytel_B_MYT_TNI_TEAM01_Aung Lwin Phyo")</f>
        <v>TNI0264: Dawei_Mytel_B_MYT_TNI_TEAM01_Aung Lwin Phyo</v>
      </c>
      <c r="C184" s="98" t="str">
        <f>IFERROR(__xludf.DUMMYFUNCTION("""COMPUTED_VALUE"""),"TNI0068-TNI0264_Dawei_24 FO : 1.59_Bhone Htet Aung + TNI0071-TNI0264_Dawei_24 FO : 0.87_Bhone Htet Aung + TNI0264-TNI0264_01_Dawei_48 FO : 1.29_Aung Lwin Phyo")</f>
        <v>TNI0068-TNI0264_Dawei_24 FO : 1.59_Bhone Htet Aung + TNI0071-TNI0264_Dawei_24 FO : 0.87_Bhone Htet Aung + TNI0264-TNI0264_01_Dawei_48 FO : 1.29_Aung Lwin Phyo</v>
      </c>
      <c r="D184" s="98" t="str">
        <f>IFERROR(__xludf.DUMMYFUNCTION("""COMPUTED_VALUE"""),"")</f>
        <v/>
      </c>
      <c r="E184" s="98" t="str">
        <f>IFERROR(__xludf.DUMMYFUNCTION("""COMPUTED_VALUE"""),"Fortune Telecom Company Limited : tni_dia_limitedftc39 1000 Km TNI0264 MYT_Routine_Maintenance_Mytel_Station MYT_RTE_MTE_SB_STN _ myt_phyoko.ko44 : 30/12/1899 00:00 : 886.64 _ FT assigned + TNI0264 MYT_Routine_Maintenance_Mytel_Station_VCM _ myt_aunglwin."&amp;"phyo : 08/06/2026 16:44 : 595.03 _ Close + TNI0264 MYT_Routine_Maintenance_Mytel_Station_VCM _ myt_aunglwin.phyo : 27/05/2026 16:10 : -407.88 _ Close Solar M: TNI0264 MYT_Maintenacne_Solar _ myt_aunglwin.phyo : 30/12/1899 00:00 :  _ Close + TNI0264 MYT_Ma"&amp;"intenacne_Solar _ myt_aunglwin.phyo : 04/05/2026 12:17 : 342.85 _ Close + TNI0264 MYT_Maintenacne_Solar _ myt_aunglwin.phyo : 04/05/2026 12:31 : -592.91 _ Close Solar Power:  Maintenance DG:  +  +  + MW Link: ")</f>
        <v>Fortune Telecom Company Limited : tni_dia_limitedftc39 1000 Km TNI0264 MYT_Routine_Maintenance_Mytel_Station MYT_RTE_MTE_SB_STN _ myt_phyoko.ko44 : 30/12/1899 00:00 : 886.64 _ FT assigned + TNI0264 MYT_Routine_Maintenance_Mytel_Station_VCM _ myt_aunglwin.phyo : 08/06/2026 16:44 : 595.03 _ Close + TNI0264 MYT_Routine_Maintenance_Mytel_Station_VCM _ myt_aunglwin.phyo : 27/05/2026 16:10 : -407.88 _ Close Solar M: TNI0264 MYT_Maintenacne_Solar _ myt_aunglwin.phyo : 30/12/1899 00:00 :  _ Close + TNI0264 MYT_Maintenacne_Solar _ myt_aunglwin.phyo : 04/05/2026 12:17 : 342.85 _ Close + TNI0264 MYT_Maintenacne_Solar _ myt_aunglwin.phyo : 04/05/2026 12:31 : -592.91 _ Close Solar Power:  Maintenance DG:  +  +  + MW Link: </v>
      </c>
    </row>
    <row r="185">
      <c r="A185" s="98" t="str">
        <f>IFERROR(__xludf.DUMMYFUNCTION("""COMPUTED_VALUE"""),"TNI0264_01")</f>
        <v>TNI0264_01</v>
      </c>
      <c r="B185" s="98" t="str">
        <f>IFERROR(__xludf.DUMMYFUNCTION("""COMPUTED_VALUE"""),"TNI0264_01: Dawei_Mytel_C_MYT_TNI_TEAM01_Win Htet Aung")</f>
        <v>TNI0264_01: Dawei_Mytel_C_MYT_TNI_TEAM01_Win Htet Aung</v>
      </c>
      <c r="C185" s="98" t="str">
        <f>IFERROR(__xludf.DUMMYFUNCTION("""COMPUTED_VALUE"""),"TNI0264-TNI0264_01_Dawei_48 FO : 1.29_Aung Lwin Phyo")</f>
        <v>TNI0264-TNI0264_01_Dawei_48 FO : 1.29_Aung Lwin Phyo</v>
      </c>
      <c r="D185" s="98" t="str">
        <f>IFERROR(__xludf.DUMMYFUNCTION("""COMPUTED_VALUE"""),"")</f>
        <v/>
      </c>
      <c r="E185" s="98" t="str">
        <f>IFERROR(__xludf.DUMMYFUNCTION("""COMPUTED_VALUE""")," Solar M:  Solar Power:  Maintenance DG:  +  +  + MW Link: ")</f>
        <v> Solar M:  Solar Power:  Maintenance DG:  +  +  + MW Link: </v>
      </c>
    </row>
    <row r="186">
      <c r="A186" s="98" t="str">
        <f>IFERROR(__xludf.DUMMYFUNCTION("""COMPUTED_VALUE"""),"TNI0265")</f>
        <v>TNI0265</v>
      </c>
      <c r="B186" s="98" t="str">
        <f>IFERROR(__xludf.DUMMYFUNCTION("""COMPUTED_VALUE"""),"TNI0265: Dawei_Mytel_C_MYT_TNI_TEAM01_Aung Lwin Phyo")</f>
        <v>TNI0265: Dawei_Mytel_C_MYT_TNI_TEAM01_Aung Lwin Phyo</v>
      </c>
      <c r="C186" s="98" t="str">
        <f>IFERROR(__xludf.DUMMYFUNCTION("""COMPUTED_VALUE"""),"TNI0066-TNI0265_Dawei_24 FO : 1.25_Win Htet Aung + TNI0265-TNI0271_Dawei_24 FO : 1.42_Aung Lwin Phyo + TNI0265-JB(TNI0066-TNI0265)_Dawei_48 FO : 0.5_Bhone Htet Aung")</f>
        <v>TNI0066-TNI0265_Dawei_24 FO : 1.25_Win Htet Aung + TNI0265-TNI0271_Dawei_24 FO : 1.42_Aung Lwin Phyo + TNI0265-JB(TNI0066-TNI0265)_Dawei_48 FO : 0.5_Bhone Htet Aung</v>
      </c>
      <c r="D186" s="98" t="str">
        <f>IFERROR(__xludf.DUMMYFUNCTION("""COMPUTED_VALUE"""),"")</f>
        <v/>
      </c>
      <c r="E186" s="98" t="str">
        <f>IFERROR(__xludf.DUMMYFUNCTION("""COMPUTED_VALUE"""),"TNI0265 MYT_Routine_Maintenance_Mytel_Station MYT_RTE_MTE_SB_STN _ myt_phyoko.ko44 : 30/12/1899 00:00 : 886.64 _ FT assigned + TNI0265 MYT_Routine_Maintenance_Mytel_Station_VCM _ myt_aunglwin.phyo : 22/05/2026 15:58 : -154.06 _ Close Solar M: TNI0265 MYT_"&amp;"Maintenacne_Solar _ myt_aunglwin.phyo : 30/12/1899 00:00 :  _ Close + TNI0265 MYT_Maintenacne_Solar _ myt_aunglwin.phyo : 16/05/2026 09:49 : 33.94 _ Close Solar Power:  Maintenance DG:  +  +  + MW Link: ")</f>
        <v>TNI0265 MYT_Routine_Maintenance_Mytel_Station MYT_RTE_MTE_SB_STN _ myt_phyoko.ko44 : 30/12/1899 00:00 : 886.64 _ FT assigned + TNI0265 MYT_Routine_Maintenance_Mytel_Station_VCM _ myt_aunglwin.phyo : 22/05/2026 15:58 : -154.06 _ Close Solar M: TNI0265 MYT_Maintenacne_Solar _ myt_aunglwin.phyo : 30/12/1899 00:00 :  _ Close + TNI0265 MYT_Maintenacne_Solar _ myt_aunglwin.phyo : 16/05/2026 09:49 : 33.94 _ Close Solar Power:  Maintenance DG:  +  +  + MW Link: </v>
      </c>
    </row>
    <row r="187">
      <c r="A187" s="98" t="str">
        <f>IFERROR(__xludf.DUMMYFUNCTION("""COMPUTED_VALUE"""),"TNI0266")</f>
        <v>TNI0266</v>
      </c>
      <c r="B187" s="98" t="str">
        <f>IFERROR(__xludf.DUMMYFUNCTION("""COMPUTED_VALUE"""),"TNI0266: Myeik_Mytel_C_MYT_TNI_TEAM02_Pyi Kyaw Aung")</f>
        <v>TNI0266: Myeik_Mytel_C_MYT_TNI_TEAM02_Pyi Kyaw Aung</v>
      </c>
      <c r="C187" s="98" t="str">
        <f>IFERROR(__xludf.DUMMYFUNCTION("""COMPUTED_VALUE"""),"TNI0240-TNI0266_Myeik_24 FO : 1.03_Maung Maung + TNI0266-TNI0270_Myeik_24 FO : 0.59_Maung Maung")</f>
        <v>TNI0240-TNI0266_Myeik_24 FO : 1.03_Maung Maung + TNI0266-TNI0270_Myeik_24 FO : 0.59_Maung Maung</v>
      </c>
      <c r="D187" s="98" t="str">
        <f>IFERROR(__xludf.DUMMYFUNCTION("""COMPUTED_VALUE"""),"")</f>
        <v/>
      </c>
      <c r="E187" s="98" t="str">
        <f>IFERROR(__xludf.DUMMYFUNCTION("""COMPUTED_VALUE"""),"TNI0266 MYT_Routine_Maintenance_Mytel_Station MYT_RTE_MTE_SB_STN _ myt_maung.maung11 : 27/06/2026 16:52 : 961.11 _ Close + TNI0266 MYT_Routine_Maintenance_Mytel_Station_VCM _ myt_maung.maung11 : 03/06/2026 11:07 : 903.02 _ Close + TNI0266 MYT_Routine_Main"&amp;"tenance_Mytel_Station_VCM _ myt_zinmin.shein : 31/03/2026 12:00 : 999.64 _ Close Solar M: TNI0266 MYT_Maintenacne_Solar _ myt_pyikyaw.aung : 21/04/2026 16:44 : 674.51 _ Close + TNI0266 MYT_Maintenacne_Solar _ myt_wanna.oo2 : 08/04/2026 10:00 : 128.07 _ Cl"&amp;"ose Solar Power:  Maintenance DG:  +  +  + MW Link: ")</f>
        <v>TNI0266 MYT_Routine_Maintenance_Mytel_Station MYT_RTE_MTE_SB_STN _ myt_maung.maung11 : 27/06/2026 16:52 : 961.11 _ Close + TNI0266 MYT_Routine_Maintenance_Mytel_Station_VCM _ myt_maung.maung11 : 03/06/2026 11:07 : 903.02 _ Close + TNI0266 MYT_Routine_Maintenance_Mytel_Station_VCM _ myt_zinmin.shein : 31/03/2026 12:00 : 999.64 _ Close Solar M: TNI0266 MYT_Maintenacne_Solar _ myt_pyikyaw.aung : 21/04/2026 16:44 : 674.51 _ Close + TNI0266 MYT_Maintenacne_Solar _ myt_wanna.oo2 : 08/04/2026 10:00 : 128.07 _ Close Solar Power:  Maintenance DG:  +  +  + MW Link: </v>
      </c>
    </row>
    <row r="188">
      <c r="A188" s="98" t="str">
        <f>IFERROR(__xludf.DUMMYFUNCTION("""COMPUTED_VALUE"""),"TNI0267")</f>
        <v>TNI0267</v>
      </c>
      <c r="B188" s="98" t="str">
        <f>IFERROR(__xludf.DUMMYFUNCTION("""COMPUTED_VALUE"""),"TNI0267: Myeik_Mytel_C_MYT_TNI_TEAM02_Zin Min Shein")</f>
        <v>TNI0267: Myeik_Mytel_C_MYT_TNI_TEAM02_Zin Min Shein</v>
      </c>
      <c r="C188" s="98" t="str">
        <f>IFERROR(__xludf.DUMMYFUNCTION("""COMPUTED_VALUE"""),"TNI0047-TNI0267_Myeik_24 FO : 1.77_Maung Maung + TNI0024-TNI0267_Myeik_24 FO : 1.17_Ye Lin")</f>
        <v>TNI0047-TNI0267_Myeik_24 FO : 1.77_Maung Maung + TNI0024-TNI0267_Myeik_24 FO : 1.17_Ye Lin</v>
      </c>
      <c r="D188" s="98" t="str">
        <f>IFERROR(__xludf.DUMMYFUNCTION("""COMPUTED_VALUE"""),"")</f>
        <v/>
      </c>
      <c r="E188" s="98" t="str">
        <f>IFERROR(__xludf.DUMMYFUNCTION("""COMPUTED_VALUE"""),"TNI0267 MYT_Routine_Maintenance_Mytel_Station_VCM _ myt_zinmin.shein : 19/05/2026 11:37 : 564.72 _ Close Solar M: TNI0267 MYT_Maintenacne_Solar _ myt_naythurain.oo : 30/12/1899 00:00 :  _ Close + TNI0267 MYT_Maintenacne_Solar _ myt_zinmin.shein : 28/04/20"&amp;"26 18:43 : 506.99 _ Close + TNI0267 MYT_Maintenacne_Solar _ myt_pyikyaw.aung : 25/04/2026 12:15 : -285.11 _ Close Solar Power:  Maintenance DG:  +  +  + MW Link: ")</f>
        <v>TNI0267 MYT_Routine_Maintenance_Mytel_Station_VCM _ myt_zinmin.shein : 19/05/2026 11:37 : 564.72 _ Close Solar M: TNI0267 MYT_Maintenacne_Solar _ myt_naythurain.oo : 30/12/1899 00:00 :  _ Close + TNI0267 MYT_Maintenacne_Solar _ myt_zinmin.shein : 28/04/2026 18:43 : 506.99 _ Close + TNI0267 MYT_Maintenacne_Solar _ myt_pyikyaw.aung : 25/04/2026 12:15 : -285.11 _ Close Solar Power:  Maintenance DG:  +  +  + MW Link: </v>
      </c>
    </row>
    <row r="189">
      <c r="A189" s="98" t="str">
        <f>IFERROR(__xludf.DUMMYFUNCTION("""COMPUTED_VALUE"""),"TNI0268")</f>
        <v>TNI0268</v>
      </c>
      <c r="B189" s="98" t="str">
        <f>IFERROR(__xludf.DUMMYFUNCTION("""COMPUTED_VALUE"""),"TNI0268: Myeik_Mytel_B_MYT_TNI_TEAM02_Zin Min Shein")</f>
        <v>TNI0268: Myeik_Mytel_B_MYT_TNI_TEAM02_Zin Min Shein</v>
      </c>
      <c r="C189" s="98" t="str">
        <f>IFERROR(__xludf.DUMMYFUNCTION("""COMPUTED_VALUE"""),"TNI0263-TNI0268_Myeik_24 FO : 1.88_Wanna Oo + TNI0081-TNI0268_Myeik_24 FO : 0.95_Ye Lin")</f>
        <v>TNI0263-TNI0268_Myeik_24 FO : 1.88_Wanna Oo + TNI0081-TNI0268_Myeik_24 FO : 0.95_Ye Lin</v>
      </c>
      <c r="D189" s="98" t="str">
        <f>IFERROR(__xludf.DUMMYFUNCTION("""COMPUTED_VALUE"""),"")</f>
        <v/>
      </c>
      <c r="E189" s="98" t="str">
        <f>IFERROR(__xludf.DUMMYFUNCTION("""COMPUTED_VALUE"""),"Fortune Telecom Company Limited : tni_dia_limitedftc34 1000 Km TNI0268 MYT_Routine_Maintenance_Mytel_Station_VCM _ myt_maung.maung11 : 06/05/2026 14:42 : 878.62 _ Close Solar M: TNI0268 MYT_Maintenacne_Solar _ myt_zinmin.shein : 30/12/1899 00:00 :  _ Clos"&amp;"e + TNI0268 MYT_Maintenacne_Solar _ myt_ye.lin22 : 02/05/2026 15:45 : 374.64 _ Close + TNI0268 MYT_Maintenacne_Solar _ myt_zinmin.shein : 08/04/2026 15:02 : 128.07 _ Close Solar Power: TNI0268 MYT_Troubleshooting Solar Power System _ myt_maung.maung11 : 0"&amp;"5/06/2026 16:40 : 38.59 _ Close Maintenance DG:  +  +  + MW Link: ")</f>
        <v>Fortune Telecom Company Limited : tni_dia_limitedftc34 1000 Km TNI0268 MYT_Routine_Maintenance_Mytel_Station_VCM _ myt_maung.maung11 : 06/05/2026 14:42 : 878.62 _ Close Solar M: TNI0268 MYT_Maintenacne_Solar _ myt_zinmin.shein : 30/12/1899 00:00 :  _ Close + TNI0268 MYT_Maintenacne_Solar _ myt_ye.lin22 : 02/05/2026 15:45 : 374.64 _ Close + TNI0268 MYT_Maintenacne_Solar _ myt_zinmin.shein : 08/04/2026 15:02 : 128.07 _ Close Solar Power: TNI0268 MYT_Troubleshooting Solar Power System _ myt_maung.maung11 : 05/06/2026 16:40 : 38.59 _ Close Maintenance DG:  +  +  + MW Link: </v>
      </c>
    </row>
    <row r="190">
      <c r="A190" s="98" t="str">
        <f>IFERROR(__xludf.DUMMYFUNCTION("""COMPUTED_VALUE"""),"TNI0269")</f>
        <v>TNI0269</v>
      </c>
      <c r="B190" s="98" t="str">
        <f>IFERROR(__xludf.DUMMYFUNCTION("""COMPUTED_VALUE"""),"TNI0269: Myeik_OCK_C_MYT_TNI_TEAM02_Maung Maung")</f>
        <v>TNI0269: Myeik_OCK_C_MYT_TNI_TEAM02_Maung Maung</v>
      </c>
      <c r="C190" s="98" t="str">
        <f>IFERROR(__xludf.DUMMYFUNCTION("""COMPUTED_VALUE"""),"TNI0025-TNI0269_Myeik_24 FO : 0.67_Zin Min Shein + TNI0001-TNI0269_Myeik_24 FO : 0.84_Zin Min Shein")</f>
        <v>TNI0025-TNI0269_Myeik_24 FO : 0.67_Zin Min Shein + TNI0001-TNI0269_Myeik_24 FO : 0.84_Zin Min Shein</v>
      </c>
      <c r="D190" s="98" t="str">
        <f>IFERROR(__xludf.DUMMYFUNCTION("""COMPUTED_VALUE"""),"")</f>
        <v/>
      </c>
      <c r="E190" s="98" t="str">
        <f>IFERROR(__xludf.DUMMYFUNCTION("""COMPUTED_VALUE""")," Solar M:  Solar Power:  Maintenance DG:  +  +  + MW Link: ")</f>
        <v> Solar M:  Solar Power:  Maintenance DG:  +  +  + MW Link: </v>
      </c>
    </row>
    <row r="191">
      <c r="A191" s="98" t="str">
        <f>IFERROR(__xludf.DUMMYFUNCTION("""COMPUTED_VALUE"""),"TNI0270")</f>
        <v>TNI0270</v>
      </c>
      <c r="B191" s="98" t="str">
        <f>IFERROR(__xludf.DUMMYFUNCTION("""COMPUTED_VALUE"""),"TNI0270: Myeik_Mytel_B_MYT_TNI_TEAM02_Maung Maung")</f>
        <v>TNI0270: Myeik_Mytel_B_MYT_TNI_TEAM02_Maung Maung</v>
      </c>
      <c r="C191" s="98" t="str">
        <f>IFERROR(__xludf.DUMMYFUNCTION("""COMPUTED_VALUE"""),"TNI0036-TNI0270_Myeik_24 FO : 0.88_Maung Maung + TNI0266-TNI0270_Myeik_24 FO : 0.59_Maung Maung")</f>
        <v>TNI0036-TNI0270_Myeik_24 FO : 0.88_Maung Maung + TNI0266-TNI0270_Myeik_24 FO : 0.59_Maung Maung</v>
      </c>
      <c r="D191" s="98" t="str">
        <f>IFERROR(__xludf.DUMMYFUNCTION("""COMPUTED_VALUE"""),"+ OLT: Maung Maung")</f>
        <v>+ OLT: Maung Maung</v>
      </c>
      <c r="E191" s="98" t="str">
        <f>IFERROR(__xludf.DUMMYFUNCTION("""COMPUTED_VALUE"""),"Myawaddy Bank Limited : tni_dia_limitedmb 420 Km  + Innwa Bank Limied : tni_dia_limiedib4 500 Km  + Innwa Bank Limied : tni_dia_limiedib6 500 Km TNI0270 MYT_Routine_Maintenance_Mytel_Station MYT_RTE_MTE_SB_STN _ myt_winhtet.aung11 : 01/07/2026 12:19 : 894"&amp;".22 _ Close + TNI0270 MYT_Routine_Maintenance_Mytel_Station_VCM _ myt_maung.maung11 : 03/06/2026 15:48 : 903.01 _ Close + TNI0270 MYT_Routine_Maintenance_Mytel_Station_VCM _ myt_zinmin.shein : 31/03/2026 12:44 : 999.65 _ Close Solar M: TNI0270 MYT_Mainten"&amp;"acne_Solar _ myt_maung.maung11 : 30/12/1899 00:00 :  _ Close + TNI0270 MYT_Maintenacne_Solar _ myt_pyikyaw.aung : 05/05/2026 12:40 : 339.97 _ Close + TNI0270 MYT_Maintenacne_Solar _ myt_pyikyaw.aung : 05/05/2026 12:42 : -500.05 _ Close Solar Power:  Maint"&amp;"enance DG:  +  +  + MW Link: ")</f>
        <v>Myawaddy Bank Limited : tni_dia_limitedmb 420 Km  + Innwa Bank Limied : tni_dia_limiedib4 500 Km  + Innwa Bank Limied : tni_dia_limiedib6 500 Km TNI0270 MYT_Routine_Maintenance_Mytel_Station MYT_RTE_MTE_SB_STN _ myt_winhtet.aung11 : 01/07/2026 12:19 : 894.22 _ Close + TNI0270 MYT_Routine_Maintenance_Mytel_Station_VCM _ myt_maung.maung11 : 03/06/2026 15:48 : 903.01 _ Close + TNI0270 MYT_Routine_Maintenance_Mytel_Station_VCM _ myt_zinmin.shein : 31/03/2026 12:44 : 999.65 _ Close Solar M: TNI0270 MYT_Maintenacne_Solar _ myt_maung.maung11 : 30/12/1899 00:00 :  _ Close + TNI0270 MYT_Maintenacne_Solar _ myt_pyikyaw.aung : 05/05/2026 12:40 : 339.97 _ Close + TNI0270 MYT_Maintenacne_Solar _ myt_pyikyaw.aung : 05/05/2026 12:42 : -500.05 _ Close Solar Power:  Maintenance DG:  +  +  + MW Link: </v>
      </c>
    </row>
    <row r="192">
      <c r="A192" s="98" t="str">
        <f>IFERROR(__xludf.DUMMYFUNCTION("""COMPUTED_VALUE"""),"TNI0271")</f>
        <v>TNI0271</v>
      </c>
      <c r="B192" s="98" t="str">
        <f>IFERROR(__xludf.DUMMYFUNCTION("""COMPUTED_VALUE"""),"TNI0271: Dawei_IGT_C_MYT_TNI_TEAM01_Bhone Htet Aung")</f>
        <v>TNI0271: Dawei_IGT_C_MYT_TNI_TEAM01_Bhone Htet Aung</v>
      </c>
      <c r="C192" s="98" t="str">
        <f>IFERROR(__xludf.DUMMYFUNCTION("""COMPUTED_VALUE"""),"TNI0257-TNI0271_Dawei_24 FO : 1.67_Aung Lwin Phyo + TNI0265-TNI0271_Dawei_24 FO : 1.42_Aung Lwin Phyo + TNI0065-TNI0271_Dawei_24 FO : 1.09_Bhone Htet Aung")</f>
        <v>TNI0257-TNI0271_Dawei_24 FO : 1.67_Aung Lwin Phyo + TNI0265-TNI0271_Dawei_24 FO : 1.42_Aung Lwin Phyo + TNI0065-TNI0271_Dawei_24 FO : 1.09_Bhone Htet Aung</v>
      </c>
      <c r="D192" s="98" t="str">
        <f>IFERROR(__xludf.DUMMYFUNCTION("""COMPUTED_VALUE"""),"")</f>
        <v/>
      </c>
      <c r="E192" s="98" t="str">
        <f>IFERROR(__xludf.DUMMYFUNCTION("""COMPUTED_VALUE"""),"Mytel Tanintharyi Branch : tni_dia_branchmt1 750 Km  Solar M:  Solar Power:  Maintenance DG:  +  +  + MW Link: ")</f>
        <v>Mytel Tanintharyi Branch : tni_dia_branchmt1 750 Km  Solar M:  Solar Power:  Maintenance DG:  +  +  + MW Link: </v>
      </c>
    </row>
    <row r="193">
      <c r="A193" s="98" t="str">
        <f>IFERROR(__xludf.DUMMYFUNCTION("""COMPUTED_VALUE"""),"TNI0272")</f>
        <v>TNI0272</v>
      </c>
      <c r="B193" s="98" t="str">
        <f>IFERROR(__xludf.DUMMYFUNCTION("""COMPUTED_VALUE"""),"TNI0272: Dawei_Mytel_C_MYT_TNI_TEAM01_Aung Lwin Phyo")</f>
        <v>TNI0272: Dawei_Mytel_C_MYT_TNI_TEAM01_Aung Lwin Phyo</v>
      </c>
      <c r="C193" s="98" t="str">
        <f>IFERROR(__xludf.DUMMYFUNCTION("""COMPUTED_VALUE"""),"TNI0272-TNIM062_Dawei_24 FO : 1.18_Bhone Htet Aung")</f>
        <v>TNI0272-TNIM062_Dawei_24 FO : 1.18_Bhone Htet Aung</v>
      </c>
      <c r="D193" s="98" t="str">
        <f>IFERROR(__xludf.DUMMYFUNCTION("""COMPUTED_VALUE"""),"+ OLT: Aung Lwin Phyo")</f>
        <v>+ OLT: Aung Lwin Phyo</v>
      </c>
      <c r="E193" s="98" t="str">
        <f>IFERROR(__xludf.DUMMYFUNCTION("""COMPUTED_VALUE"""),"TNI0272 MYT_Routine_Maintenance_Mytel_Station MYT_RTE_MTE_SB_STN _ myt_bonemyat.naing1 : 30/12/1899 00:00 : 886.64 _ FT assigned + TNI0272 MYT_Routine_Maintenance_Mytel_Station_VCM _ myt_aunglwin.phyo : 03/06/2026 11:42 : 595.06 _ Close + TNI0272 MYT_Rout"&amp;"ine_Maintenance_Mytel_Station_VCM _ myt_aunglwin.phyo : 08/05/2026 17:04 : 79.06 _ Close Solar M: TNI0272 MYT_Maintenacne_Solar _ myt_aunglwin.phyo : 21/05/2026 14:01 : 656.01 _ Close + TNI0272 MYT_Maintenacne_Solar _ myt_tharhtoo.aung11 : 14/05/2026 11:3"&amp;"1 : 132.47 _ Close Solar Power: TNI0272 MYT_Troubleshooting Solar Power System _ myt_tharhtoo.aung11 : 30/12/1899 00:00 : -520.95 _ FT Inprocessing Maintenance DG:  +  + TNI0272 MYT_Generator Fuel Monitoring Abnormal Checking _ myt_aunglwin.phyo : 30/12/1"&amp;"899 00:00 : -280.95 _ FT assigned + MW Link: ")</f>
        <v>TNI0272 MYT_Routine_Maintenance_Mytel_Station MYT_RTE_MTE_SB_STN _ myt_bonemyat.naing1 : 30/12/1899 00:00 : 886.64 _ FT assigned + TNI0272 MYT_Routine_Maintenance_Mytel_Station_VCM _ myt_aunglwin.phyo : 03/06/2026 11:42 : 595.06 _ Close + TNI0272 MYT_Routine_Maintenance_Mytel_Station_VCM _ myt_aunglwin.phyo : 08/05/2026 17:04 : 79.06 _ Close Solar M: TNI0272 MYT_Maintenacne_Solar _ myt_aunglwin.phyo : 21/05/2026 14:01 : 656.01 _ Close + TNI0272 MYT_Maintenacne_Solar _ myt_tharhtoo.aung11 : 14/05/2026 11:31 : 132.47 _ Close Solar Power: TNI0272 MYT_Troubleshooting Solar Power System _ myt_tharhtoo.aung11 : 30/12/1899 00:00 : -520.95 _ FT Inprocessing Maintenance DG:  +  + TNI0272 MYT_Generator Fuel Monitoring Abnormal Checking _ myt_aunglwin.phyo : 30/12/1899 00:00 : -280.95 _ FT assigned + MW Link: </v>
      </c>
    </row>
    <row r="194">
      <c r="A194" s="98" t="str">
        <f>IFERROR(__xludf.DUMMYFUNCTION("""COMPUTED_VALUE"""),"TNI0273")</f>
        <v>TNI0273</v>
      </c>
      <c r="B194" s="98" t="str">
        <f>IFERROR(__xludf.DUMMYFUNCTION("""COMPUTED_VALUE"""),"TNI0273: Thayetchaung_IGT_C_MYT_TNI_TEAM01_Bhone Htet Aung")</f>
        <v>TNI0273: Thayetchaung_IGT_C_MYT_TNI_TEAM01_Bhone Htet Aung</v>
      </c>
      <c r="C194" s="98" t="str">
        <f>IFERROR(__xludf.DUMMYFUNCTION("""COMPUTED_VALUE"""),"TNI0273-TNIM063_Thayetchaung_24 FO : 2.25_Bhone Htet Aung")</f>
        <v>TNI0273-TNIM063_Thayetchaung_24 FO : 2.25_Bhone Htet Aung</v>
      </c>
      <c r="D194" s="98" t="str">
        <f>IFERROR(__xludf.DUMMYFUNCTION("""COMPUTED_VALUE"""),"")</f>
        <v/>
      </c>
      <c r="E194" s="98" t="str">
        <f>IFERROR(__xludf.DUMMYFUNCTION("""COMPUTED_VALUE""")," Solar M:  Solar Power:  Maintenance DG:  +  +  + MW Link: ")</f>
        <v> Solar M:  Solar Power:  Maintenance DG:  +  +  + MW Link: </v>
      </c>
    </row>
    <row r="195">
      <c r="A195" s="98" t="str">
        <f>IFERROR(__xludf.DUMMYFUNCTION("""COMPUTED_VALUE"""),"TNI0275")</f>
        <v>TNI0275</v>
      </c>
      <c r="B195" s="98" t="str">
        <f>IFERROR(__xludf.DUMMYFUNCTION("""COMPUTED_VALUE"""),"TNI0275: Dawei_IGT_C_MYT_TNI_TEAM01_Aung Lwin Phyo")</f>
        <v>TNI0275: Dawei_IGT_C_MYT_TNI_TEAM01_Aung Lwin Phyo</v>
      </c>
      <c r="C195" s="98" t="str">
        <f>IFERROR(__xludf.DUMMYFUNCTION("""COMPUTED_VALUE"""),"TNI0089-TNI0275_Dawei_24 FO : 2.62_Aung Lwin Phyo + TNI0115-TNI0275_Thayetchaung_24 FO : 6.72_Win Htet Aung")</f>
        <v>TNI0089-TNI0275_Dawei_24 FO : 2.62_Aung Lwin Phyo + TNI0115-TNI0275_Thayetchaung_24 FO : 6.72_Win Htet Aung</v>
      </c>
      <c r="D195" s="98" t="str">
        <f>IFERROR(__xludf.DUMMYFUNCTION("""COMPUTED_VALUE"""),"+ OLT: Aung Lwin Phyo")</f>
        <v>+ OLT: Aung Lwin Phyo</v>
      </c>
      <c r="E195" s="98" t="str">
        <f>IFERROR(__xludf.DUMMYFUNCTION("""COMPUTED_VALUE""")," Solar M:  Solar Power:  Maintenance DG:  +  +  + MW Link: ")</f>
        <v> Solar M:  Solar Power:  Maintenance DG:  +  +  + MW Link: </v>
      </c>
    </row>
    <row r="196">
      <c r="A196" s="98" t="str">
        <f>IFERROR(__xludf.DUMMYFUNCTION("""COMPUTED_VALUE"""),"TNI0277")</f>
        <v>TNI0277</v>
      </c>
      <c r="B196" s="98" t="str">
        <f>IFERROR(__xludf.DUMMYFUNCTION("""COMPUTED_VALUE"""),"TNI0277: Myeik_IGT_B_MYT_TNI_TEAM02_Ye Lin")</f>
        <v>TNI0277: Myeik_IGT_B_MYT_TNI_TEAM02_Ye Lin</v>
      </c>
      <c r="C196" s="98" t="str">
        <f>IFERROR(__xludf.DUMMYFUNCTION("""COMPUTED_VALUE"""),"TNI0277-TNIM065_Myeik_24 FO : 0.87_Maung Maung")</f>
        <v>TNI0277-TNIM065_Myeik_24 FO : 0.87_Maung Maung</v>
      </c>
      <c r="D196" s="98" t="str">
        <f>IFERROR(__xludf.DUMMYFUNCTION("""COMPUTED_VALUE"""),"")</f>
        <v/>
      </c>
      <c r="E196" s="98" t="str">
        <f>IFERROR(__xludf.DUMMYFUNCTION("""COMPUTED_VALUE""")," Solar M:  Solar Power:  Maintenance DG:  +  +  + MW Link: ")</f>
        <v> Solar M:  Solar Power:  Maintenance DG:  +  +  + MW Link: </v>
      </c>
    </row>
    <row r="197">
      <c r="A197" s="98" t="str">
        <f>IFERROR(__xludf.DUMMYFUNCTION("""COMPUTED_VALUE"""),"TNI0278")</f>
        <v>TNI0278</v>
      </c>
      <c r="B197" s="98" t="str">
        <f>IFERROR(__xludf.DUMMYFUNCTION("""COMPUTED_VALUE"""),"TNI0278: Dawei_IGT_C_MYT_TNI_TEAM01_Aung Lwin Phyo")</f>
        <v>TNI0278: Dawei_IGT_C_MYT_TNI_TEAM01_Aung Lwin Phyo</v>
      </c>
      <c r="C197" s="98" t="str">
        <f>IFERROR(__xludf.DUMMYFUNCTION("""COMPUTED_VALUE"""),"TNI0278-TNIM066_Dawei_24 FO : 0.69_Aung Lwin Phyo + TNI0278-JB(TNI0278-TNIM066)_Dawei_24 FO : 1.2_Aung Lwin Phyo")</f>
        <v>TNI0278-TNIM066_Dawei_24 FO : 0.69_Aung Lwin Phyo + TNI0278-JB(TNI0278-TNIM066)_Dawei_24 FO : 1.2_Aung Lwin Phyo</v>
      </c>
      <c r="D197" s="98" t="str">
        <f>IFERROR(__xludf.DUMMYFUNCTION("""COMPUTED_VALUE"""),"+ OLT: Aung Lwin Phyo")</f>
        <v>+ OLT: Aung Lwin Phyo</v>
      </c>
      <c r="E197" s="98" t="str">
        <f>IFERROR(__xludf.DUMMYFUNCTION("""COMPUTED_VALUE""")," Solar M:  Solar Power:  Maintenance DG:  +  +  + MW Link: ")</f>
        <v> Solar M:  Solar Power:  Maintenance DG:  +  +  + MW Link: </v>
      </c>
    </row>
    <row r="198">
      <c r="A198" s="98" t="str">
        <f>IFERROR(__xludf.DUMMYFUNCTION("""COMPUTED_VALUE"""),"TNI0279")</f>
        <v>TNI0279</v>
      </c>
      <c r="B198" s="98" t="str">
        <f>IFERROR(__xludf.DUMMYFUNCTION("""COMPUTED_VALUE"""),"TNI0279: Myeik_Apollo_C_MYT_TNI_TEAM02_Wanna Oo")</f>
        <v>TNI0279: Myeik_Apollo_C_MYT_TNI_TEAM02_Wanna Oo</v>
      </c>
      <c r="C198" s="98" t="str">
        <f>IFERROR(__xludf.DUMMYFUNCTION("""COMPUTED_VALUE"""),"TNI0279-TNIM067_Myeik_24 FO : 2.18_Maung Maung")</f>
        <v>TNI0279-TNIM067_Myeik_24 FO : 2.18_Maung Maung</v>
      </c>
      <c r="D198" s="98" t="str">
        <f>IFERROR(__xludf.DUMMYFUNCTION("""COMPUTED_VALUE"""),"")</f>
        <v/>
      </c>
      <c r="E198" s="98" t="str">
        <f>IFERROR(__xludf.DUMMYFUNCTION("""COMPUTED_VALUE""")," Solar M:  Solar Power:  Maintenance DG:  +  +  + MW Link: ")</f>
        <v> Solar M:  Solar Power:  Maintenance DG:  +  +  + MW Link: </v>
      </c>
    </row>
    <row r="199">
      <c r="A199" s="98" t="str">
        <f>IFERROR(__xludf.DUMMYFUNCTION("""COMPUTED_VALUE"""),"TNI0280")</f>
        <v>TNI0280</v>
      </c>
      <c r="B199" s="98" t="str">
        <f>IFERROR(__xludf.DUMMYFUNCTION("""COMPUTED_VALUE"""),"TNI0280: Myeik_Apollo_C_MYT_TNI_TEAM02_Maung Maung")</f>
        <v>TNI0280: Myeik_Apollo_C_MYT_TNI_TEAM02_Maung Maung</v>
      </c>
      <c r="C199" s="98" t="str">
        <f>IFERROR(__xludf.DUMMYFUNCTION("""COMPUTED_VALUE"""),"TNI0280-TNI0352_Myeik_24 FO : 12.02_Pyi Kyaw Aung + TNI0280-TNIM068_Myeik_24 FO : 0.96_Pyi Kyaw Aung")</f>
        <v>TNI0280-TNI0352_Myeik_24 FO : 12.02_Pyi Kyaw Aung + TNI0280-TNIM068_Myeik_24 FO : 0.96_Pyi Kyaw Aung</v>
      </c>
      <c r="D199" s="98" t="str">
        <f>IFERROR(__xludf.DUMMYFUNCTION("""COMPUTED_VALUE"""),"")</f>
        <v/>
      </c>
      <c r="E199" s="98" t="str">
        <f>IFERROR(__xludf.DUMMYFUNCTION("""COMPUTED_VALUE""")," Solar M:  Solar Power:  Maintenance DG:  +  +  + MW Link: ")</f>
        <v> Solar M:  Solar Power:  Maintenance DG:  +  +  + MW Link: </v>
      </c>
    </row>
    <row r="200">
      <c r="A200" s="98" t="str">
        <f>IFERROR(__xludf.DUMMYFUNCTION("""COMPUTED_VALUE"""),"TNI0281")</f>
        <v>TNI0281</v>
      </c>
      <c r="B200" s="98" t="str">
        <f>IFERROR(__xludf.DUMMYFUNCTION("""COMPUTED_VALUE"""),"TNI0281: Myeik_Apollo_C_MYT_TNI_TEAM02_Zin Min Shein")</f>
        <v>TNI0281: Myeik_Apollo_C_MYT_TNI_TEAM02_Zin Min Shein</v>
      </c>
      <c r="C200" s="98" t="str">
        <f>IFERROR(__xludf.DUMMYFUNCTION("""COMPUTED_VALUE"""),"TNI0281-TNI0450_Myeik_24 FO : 3.5_Maung Maung + TNI0281-TNIM069_Myeik_24 FO : 0.98_Ye Lin")</f>
        <v>TNI0281-TNI0450_Myeik_24 FO : 3.5_Maung Maung + TNI0281-TNIM069_Myeik_24 FO : 0.98_Ye Lin</v>
      </c>
      <c r="D200" s="98" t="str">
        <f>IFERROR(__xludf.DUMMYFUNCTION("""COMPUTED_VALUE"""),"")</f>
        <v/>
      </c>
      <c r="E200" s="98" t="str">
        <f>IFERROR(__xludf.DUMMYFUNCTION("""COMPUTED_VALUE""")," Solar M:  Solar Power:  Maintenance DG:  +  +  + MW Link: ")</f>
        <v> Solar M:  Solar Power:  Maintenance DG:  +  +  + MW Link: </v>
      </c>
    </row>
    <row r="201">
      <c r="A201" s="98" t="str">
        <f>IFERROR(__xludf.DUMMYFUNCTION("""COMPUTED_VALUE"""),"TNI0282")</f>
        <v>TNI0282</v>
      </c>
      <c r="B201" s="98" t="str">
        <f>IFERROR(__xludf.DUMMYFUNCTION("""COMPUTED_VALUE"""),"TNI0282: Kawthoung_IGT_C_MYT_TNI_TEAM04_Khant Chaw Nyo")</f>
        <v>TNI0282: Kawthoung_IGT_C_MYT_TNI_TEAM04_Khant Chaw Nyo</v>
      </c>
      <c r="C201" s="98" t="str">
        <f>IFERROR(__xludf.DUMMYFUNCTION("""COMPUTED_VALUE"""),"TNI0282-TNIM070_Kawthaung_24 FO : 1.04_Tin Maung Win + TNI0282-JB (TNI0011-TNI0012)_Kawthoung_24 FO : 1_Tin Maung Win")</f>
        <v>TNI0282-TNIM070_Kawthaung_24 FO : 1.04_Tin Maung Win + TNI0282-JB (TNI0011-TNI0012)_Kawthoung_24 FO : 1_Tin Maung Win</v>
      </c>
      <c r="D201" s="98" t="str">
        <f>IFERROR(__xludf.DUMMYFUNCTION("""COMPUTED_VALUE"""),"+ OLT: Khant Chaw Nyo")</f>
        <v>+ OLT: Khant Chaw Nyo</v>
      </c>
      <c r="E201" s="98" t="str">
        <f>IFERROR(__xludf.DUMMYFUNCTION("""COMPUTED_VALUE""")," Solar M:  Solar Power:  Maintenance DG:  +  +  + MW Link: ")</f>
        <v> Solar M:  Solar Power:  Maintenance DG:  +  +  + MW Link: </v>
      </c>
    </row>
    <row r="202">
      <c r="A202" s="98" t="str">
        <f>IFERROR(__xludf.DUMMYFUNCTION("""COMPUTED_VALUE"""),"TNI0283")</f>
        <v>TNI0283</v>
      </c>
      <c r="B202" s="98" t="str">
        <f>IFERROR(__xludf.DUMMYFUNCTION("""COMPUTED_VALUE"""),"TNI0283: Yebyu_IGT_C_MYT_TNI_TEAM01_Thu Rain Niang")</f>
        <v>TNI0283: Yebyu_IGT_C_MYT_TNI_TEAM01_Thu Rain Niang</v>
      </c>
      <c r="C202" s="98" t="str">
        <f>IFERROR(__xludf.DUMMYFUNCTION("""COMPUTED_VALUE"""),"TNI0283-TNIM071_Yebyu_24 FO : 0.8_Thu Rain Niang")</f>
        <v>TNI0283-TNIM071_Yebyu_24 FO : 0.8_Thu Rain Niang</v>
      </c>
      <c r="D202" s="98" t="str">
        <f>IFERROR(__xludf.DUMMYFUNCTION("""COMPUTED_VALUE"""),"")</f>
        <v/>
      </c>
      <c r="E202" s="98" t="str">
        <f>IFERROR(__xludf.DUMMYFUNCTION("""COMPUTED_VALUE""")," Solar M:  Solar Power:  Maintenance DG:  +  +  + MW Link: ")</f>
        <v> Solar M:  Solar Power:  Maintenance DG:  +  +  + MW Link: </v>
      </c>
    </row>
    <row r="203">
      <c r="A203" s="98" t="str">
        <f>IFERROR(__xludf.DUMMYFUNCTION("""COMPUTED_VALUE"""),"TNI0284")</f>
        <v>TNI0284</v>
      </c>
      <c r="B203" s="98" t="str">
        <f>IFERROR(__xludf.DUMMYFUNCTION("""COMPUTED_VALUE"""),"TNI0284: Yebyu_Mytel_C_MYT_TNI_TEAM01_Thu Rain Niang")</f>
        <v>TNI0284: Yebyu_Mytel_C_MYT_TNI_TEAM01_Thu Rain Niang</v>
      </c>
      <c r="C203" s="98" t="str">
        <f>IFERROR(__xludf.DUMMYFUNCTION("""COMPUTED_VALUE"""),"TNI0284-TNIM072_Yebyu_24 FO : 0.2_Thu Rain Niang")</f>
        <v>TNI0284-TNIM072_Yebyu_24 FO : 0.2_Thu Rain Niang</v>
      </c>
      <c r="D203" s="98" t="str">
        <f>IFERROR(__xludf.DUMMYFUNCTION("""COMPUTED_VALUE"""),"")</f>
        <v/>
      </c>
      <c r="E203" s="98" t="str">
        <f>IFERROR(__xludf.DUMMYFUNCTION("""COMPUTED_VALUE"""),"TNI0284 MYT_Routine_Maintenance_Mytel_Station_VCM _ myt_tharhtoo.aung11 : 25/06/2026 15:47 : 224.21 _ Close Solar M: TNI0284 MYT_Maintenacne_Solar _ myt_tharhtoo.aung11 : 30/12/1899 00:00 :  _ Close + TNI0284 MYT_Maintenacne_Solar _ myt_tharhtoo.aung11 : "&amp;"25/06/2026 13:02 : -877.05 _ Close Solar Power:  Maintenance DG:  +  +  + MW Link: ")</f>
        <v>TNI0284 MYT_Routine_Maintenance_Mytel_Station_VCM _ myt_tharhtoo.aung11 : 25/06/2026 15:47 : 224.21 _ Close Solar M: TNI0284 MYT_Maintenacne_Solar _ myt_tharhtoo.aung11 : 30/12/1899 00:00 :  _ Close + TNI0284 MYT_Maintenacne_Solar _ myt_tharhtoo.aung11 : 25/06/2026 13:02 : -877.05 _ Close Solar Power:  Maintenance DG:  +  +  + MW Link: </v>
      </c>
    </row>
    <row r="204">
      <c r="A204" s="98" t="str">
        <f>IFERROR(__xludf.DUMMYFUNCTION("""COMPUTED_VALUE"""),"TNI0288")</f>
        <v>TNI0288</v>
      </c>
      <c r="B204" s="98" t="str">
        <f>IFERROR(__xludf.DUMMYFUNCTION("""COMPUTED_VALUE"""),"TNI0288: Thayetchaung_IGT_C_MYT_TNI_TEAM01_Thar Htoo Aung")</f>
        <v>TNI0288: Thayetchaung_IGT_C_MYT_TNI_TEAM01_Thar Htoo Aung</v>
      </c>
      <c r="C204" s="98" t="str">
        <f>IFERROR(__xludf.DUMMYFUNCTION("""COMPUTED_VALUE"""),"TNI0288-TNIM073_Thayetchaung_24 FO : 1.23_Bhone Htet Aung")</f>
        <v>TNI0288-TNIM073_Thayetchaung_24 FO : 1.23_Bhone Htet Aung</v>
      </c>
      <c r="D204" s="98" t="str">
        <f>IFERROR(__xludf.DUMMYFUNCTION("""COMPUTED_VALUE"""),"")</f>
        <v/>
      </c>
      <c r="E204" s="98" t="str">
        <f>IFERROR(__xludf.DUMMYFUNCTION("""COMPUTED_VALUE""")," Solar M:  Solar Power:  Maintenance DG:  +  +  + MW Link: TNI0288-TNI0361")</f>
        <v> Solar M:  Solar Power:  Maintenance DG:  +  +  + MW Link: TNI0288-TNI0361</v>
      </c>
    </row>
    <row r="205">
      <c r="A205" s="98" t="str">
        <f>IFERROR(__xludf.DUMMYFUNCTION("""COMPUTED_VALUE"""),"TNI0289")</f>
        <v>TNI0289</v>
      </c>
      <c r="B205" s="98" t="str">
        <f>IFERROR(__xludf.DUMMYFUNCTION("""COMPUTED_VALUE"""),"TNI0289: Thayetchaung_PAT_C_MYT_TNI_TEAM02_Min Paing Oo")</f>
        <v>TNI0289: Thayetchaung_PAT_C_MYT_TNI_TEAM02_Min Paing Oo</v>
      </c>
      <c r="C205" s="98" t="str">
        <f>IFERROR(__xludf.DUMMYFUNCTION("""COMPUTED_VALUE"""),"TNI0289-TNIM074_Thayetchaung_24 FO : 3.44_Min Paing Oo")</f>
        <v>TNI0289-TNIM074_Thayetchaung_24 FO : 3.44_Min Paing Oo</v>
      </c>
      <c r="D205" s="98" t="str">
        <f>IFERROR(__xludf.DUMMYFUNCTION("""COMPUTED_VALUE"""),"")</f>
        <v/>
      </c>
      <c r="E205" s="98" t="str">
        <f>IFERROR(__xludf.DUMMYFUNCTION("""COMPUTED_VALUE""")," Solar M:  Solar Power:  Maintenance DG:  +  +  + MW Link: ")</f>
        <v> Solar M:  Solar Power:  Maintenance DG:  +  +  + MW Link: </v>
      </c>
    </row>
    <row r="206">
      <c r="A206" s="98" t="str">
        <f>IFERROR(__xludf.DUMMYFUNCTION("""COMPUTED_VALUE"""),"TNI0290")</f>
        <v>TNI0290</v>
      </c>
      <c r="B206" s="98" t="str">
        <f>IFERROR(__xludf.DUMMYFUNCTION("""COMPUTED_VALUE"""),"TNI0290: Palaw_IGT_C_MYT_TNI_TEAM02_Min Paing Oo")</f>
        <v>TNI0290: Palaw_IGT_C_MYT_TNI_TEAM02_Min Paing Oo</v>
      </c>
      <c r="C206" s="98" t="str">
        <f>IFERROR(__xludf.DUMMYFUNCTION("""COMPUTED_VALUE"""),"TNI0109-TNI0290_Palaw_24 FO : 6_Min Paing Oo + TNI0290-TNIM075_Palaw_24 FO : 3.1_Min Paing Oo")</f>
        <v>TNI0109-TNI0290_Palaw_24 FO : 6_Min Paing Oo + TNI0290-TNIM075_Palaw_24 FO : 3.1_Min Paing Oo</v>
      </c>
      <c r="D206" s="98" t="str">
        <f>IFERROR(__xludf.DUMMYFUNCTION("""COMPUTED_VALUE"""),"")</f>
        <v/>
      </c>
      <c r="E206" s="98" t="str">
        <f>IFERROR(__xludf.DUMMYFUNCTION("""COMPUTED_VALUE""")," Solar M:  Solar Power:  Maintenance DG:  +  +  + MW Link: ")</f>
        <v> Solar M:  Solar Power:  Maintenance DG:  +  +  + MW Link: </v>
      </c>
    </row>
    <row r="207">
      <c r="A207" s="98" t="str">
        <f>IFERROR(__xludf.DUMMYFUNCTION("""COMPUTED_VALUE"""),"TNI0291")</f>
        <v>TNI0291</v>
      </c>
      <c r="B207" s="98" t="str">
        <f>IFERROR(__xludf.DUMMYFUNCTION("""COMPUTED_VALUE"""),"TNI0291: Palaw_Mytel_C_MYT_TNI_TEAM02_Min Paing Oo")</f>
        <v>TNI0291: Palaw_Mytel_C_MYT_TNI_TEAM02_Min Paing Oo</v>
      </c>
      <c r="C207" s="98" t="str">
        <f>IFERROR(__xludf.DUMMYFUNCTION("""COMPUTED_VALUE"""),"TNI0291-TNIM076_Palaw_24 FO : 0.86_Min Paing Oo")</f>
        <v>TNI0291-TNIM076_Palaw_24 FO : 0.86_Min Paing Oo</v>
      </c>
      <c r="D207" s="98" t="str">
        <f>IFERROR(__xludf.DUMMYFUNCTION("""COMPUTED_VALUE"""),"")</f>
        <v/>
      </c>
      <c r="E207" s="98" t="str">
        <f>IFERROR(__xludf.DUMMYFUNCTION("""COMPUTED_VALUE""")," Solar M:  Solar Power:  Maintenance DG:  +  +  + MW Link: ")</f>
        <v> Solar M:  Solar Power:  Maintenance DG:  +  +  + MW Link: </v>
      </c>
    </row>
    <row r="208">
      <c r="A208" s="98" t="str">
        <f>IFERROR(__xludf.DUMMYFUNCTION("""COMPUTED_VALUE"""),"TNI0294")</f>
        <v>TNI0294</v>
      </c>
      <c r="B208" s="98" t="str">
        <f>IFERROR(__xludf.DUMMYFUNCTION("""COMPUTED_VALUE"""),"TNI0294: Myeik_Mytel_C_MYT_TNI_TEAM02_Pyi Kyaw Aung")</f>
        <v>TNI0294: Myeik_Mytel_C_MYT_TNI_TEAM02_Pyi Kyaw Aung</v>
      </c>
      <c r="C208" s="98" t="str">
        <f>IFERROR(__xludf.DUMMYFUNCTION("""COMPUTED_VALUE"""),"TNI0232-TNI0294_Myeik_24 FO : 1.51_Pyi Kyaw Aung + TNI0074-TNI0294_Myeik_24 FO : 1_Zin Min Shein + TNI0260-TNI0294_Tanintharyi_24 FO : 1_Wanna Oo")</f>
        <v>TNI0232-TNI0294_Myeik_24 FO : 1.51_Pyi Kyaw Aung + TNI0074-TNI0294_Myeik_24 FO : 1_Zin Min Shein + TNI0260-TNI0294_Tanintharyi_24 FO : 1_Wanna Oo</v>
      </c>
      <c r="D208" s="98" t="str">
        <f>IFERROR(__xludf.DUMMYFUNCTION("""COMPUTED_VALUE"""),"")</f>
        <v/>
      </c>
      <c r="E208" s="98" t="str">
        <f>IFERROR(__xludf.DUMMYFUNCTION("""COMPUTED_VALUE"""),"TNI0294 MYT_Routine_Maintenance_Mytel_Station MYT_RTE_MTE_SB_STN _ myt_maung.maung11 : 30/12/1899 00:00 : 886.64 _ FT Inprocessing + TNI0294 MYT_Routine_Maintenance_Mytel_Station_VCM _ myt_maung.maung11 : 06/05/2026 14:39 : 878.61 _ Close Solar M:  Solar "&amp;"Power:  Maintenance DG:  +  +  + MW Link: ")</f>
        <v>TNI0294 MYT_Routine_Maintenance_Mytel_Station MYT_RTE_MTE_SB_STN _ myt_maung.maung11 : 30/12/1899 00:00 : 886.64 _ FT Inprocessing + TNI0294 MYT_Routine_Maintenance_Mytel_Station_VCM _ myt_maung.maung11 : 06/05/2026 14:39 : 878.61 _ Close Solar M:  Solar Power:  Maintenance DG:  +  +  + MW Link: </v>
      </c>
    </row>
    <row r="209">
      <c r="A209" s="98" t="str">
        <f>IFERROR(__xludf.DUMMYFUNCTION("""COMPUTED_VALUE"""),"TNI0295")</f>
        <v>TNI0295</v>
      </c>
      <c r="B209" s="98" t="str">
        <f>IFERROR(__xludf.DUMMYFUNCTION("""COMPUTED_VALUE"""),"TNI0295: Kawthoung_Mytel_B_MYT_TNI_TEAM04_Tin Maung Win")</f>
        <v>TNI0295: Kawthoung_Mytel_B_MYT_TNI_TEAM04_Tin Maung Win</v>
      </c>
      <c r="C209" s="98" t="str">
        <f>IFERROR(__xludf.DUMMYFUNCTION("""COMPUTED_VALUE"""),"TNI0295-JB(TNI0012-TNI0015)_Kawthaung_24 FO : 3.39_Tin Maung Win")</f>
        <v>TNI0295-JB(TNI0012-TNI0015)_Kawthaung_24 FO : 3.39_Tin Maung Win</v>
      </c>
      <c r="D209" s="98" t="str">
        <f>IFERROR(__xludf.DUMMYFUNCTION("""COMPUTED_VALUE"""),"")</f>
        <v/>
      </c>
      <c r="E209" s="98" t="str">
        <f>IFERROR(__xludf.DUMMYFUNCTION("""COMPUTED_VALUE"""),"Yuzana Oil Palm Platation And Factory : tni_dia_factoryyoppa1 1000 Km TNI0295 MYT_Routine_Maintenance_Mytel_Station MYT_RTE_MTE_SB_STN _ myt_tinmaung.win : 30/12/1899 00:00 : 886.64 _ FT assigned + TNI0295 MYT_Routine_Maintenance_Mytel_Station_VCM _ myt_t"&amp;"inmaung.win : 14/06/2026 09:57 : 641.53 _ Close + TNI0295 MYT_Routine_Maintenance_Mytel_Station_VCM _ myt_tinmaung.win : 30/03/2026 13:15 : 999.94 _ Close Solar M: TNI0295 MYT_Maintenacne_Solar _ myt_tinmaung.win : 30/12/1899 00:00 :  _ Close + TNI0295 MY"&amp;"T_Maintenacne_Solar _ myt_tinmaung.win : 19/05/2026 16:33 : 5.59 _ Close + TNI0295 MYT_Maintenacne_Solar _ myt_tinmaung.win : 03/04/2026 13:40 : 246.32 _ Close Solar Power:  Maintenance DG:  +  +  + MW Link: ")</f>
        <v>Yuzana Oil Palm Platation And Factory : tni_dia_factoryyoppa1 1000 Km TNI0295 MYT_Routine_Maintenance_Mytel_Station MYT_RTE_MTE_SB_STN _ myt_tinmaung.win : 30/12/1899 00:00 : 886.64 _ FT assigned + TNI0295 MYT_Routine_Maintenance_Mytel_Station_VCM _ myt_tinmaung.win : 14/06/2026 09:57 : 641.53 _ Close + TNI0295 MYT_Routine_Maintenance_Mytel_Station_VCM _ myt_tinmaung.win : 30/03/2026 13:15 : 999.94 _ Close Solar M: TNI0295 MYT_Maintenacne_Solar _ myt_tinmaung.win : 30/12/1899 00:00 :  _ Close + TNI0295 MYT_Maintenacne_Solar _ myt_tinmaung.win : 19/05/2026 16:33 : 5.59 _ Close + TNI0295 MYT_Maintenacne_Solar _ myt_tinmaung.win : 03/04/2026 13:40 : 246.32 _ Close Solar Power:  Maintenance DG:  +  +  + MW Link: </v>
      </c>
    </row>
    <row r="210">
      <c r="A210" s="98" t="str">
        <f>IFERROR(__xludf.DUMMYFUNCTION("""COMPUTED_VALUE"""),"TNI0305")</f>
        <v>TNI0305</v>
      </c>
      <c r="B210" s="98" t="str">
        <f>IFERROR(__xludf.DUMMYFUNCTION("""COMPUTED_VALUE"""),"TNI0305: Launglon_Mytel_C_MYT_TNI_TEAM01_Bone Myat Naing")</f>
        <v>TNI0305: Launglon_Mytel_C_MYT_TNI_TEAM01_Bone Myat Naing</v>
      </c>
      <c r="C210" s="98" t="str">
        <f>IFERROR(__xludf.DUMMYFUNCTION("""COMPUTED_VALUE"""),"")</f>
        <v/>
      </c>
      <c r="D210" s="98" t="str">
        <f>IFERROR(__xludf.DUMMYFUNCTION("""COMPUTED_VALUE"""),"")</f>
        <v/>
      </c>
      <c r="E210" s="98" t="str">
        <f>IFERROR(__xludf.DUMMYFUNCTION("""COMPUTED_VALUE"""),"TNI0305 MYT_Routine_Maintenance_Mytel_Station MYT_RTE_MTE_SB_STN _ myt_tharhtoo.aung11 : 30/12/1899 00:00 : 886.64 _ FT assigned Solar M:  Solar Power:  Maintenance DG:  +  +  + MW Link: TNI0305-TNI0306")</f>
        <v>TNI0305 MYT_Routine_Maintenance_Mytel_Station MYT_RTE_MTE_SB_STN _ myt_tharhtoo.aung11 : 30/12/1899 00:00 : 886.64 _ FT assigned Solar M:  Solar Power:  Maintenance DG:  +  +  + MW Link: TNI0305-TNI0306</v>
      </c>
    </row>
    <row r="211">
      <c r="A211" s="98" t="str">
        <f>IFERROR(__xludf.DUMMYFUNCTION("""COMPUTED_VALUE"""),"TNI0306")</f>
        <v>TNI0306</v>
      </c>
      <c r="B211" s="98" t="str">
        <f>IFERROR(__xludf.DUMMYFUNCTION("""COMPUTED_VALUE"""),"TNI0306: Launglon_Mytel_C_MYT_TNI_TEAM01_Bone Myat Naing")</f>
        <v>TNI0306: Launglon_Mytel_C_MYT_TNI_TEAM01_Bone Myat Naing</v>
      </c>
      <c r="C211" s="98" t="str">
        <f>IFERROR(__xludf.DUMMYFUNCTION("""COMPUTED_VALUE"""),"TNI0306-JB(TNI0052-TNI0329)_LaungLon_24 FO : 2.71_Thar Htoo Aung")</f>
        <v>TNI0306-JB(TNI0052-TNI0329)_LaungLon_24 FO : 2.71_Thar Htoo Aung</v>
      </c>
      <c r="D211" s="98" t="str">
        <f>IFERROR(__xludf.DUMMYFUNCTION("""COMPUTED_VALUE"""),"+ OLT: Bone Myat Naing")</f>
        <v>+ OLT: Bone Myat Naing</v>
      </c>
      <c r="E211" s="98" t="str">
        <f>IFERROR(__xludf.DUMMYFUNCTION("""COMPUTED_VALUE""")," Solar M:  Solar Power:  Maintenance DG:  +  +  + MW Link: TNI0306-TNI0211")</f>
        <v> Solar M:  Solar Power:  Maintenance DG:  +  +  + MW Link: TNI0306-TNI0211</v>
      </c>
    </row>
    <row r="212">
      <c r="A212" s="98" t="str">
        <f>IFERROR(__xludf.DUMMYFUNCTION("""COMPUTED_VALUE"""),"TNI0308")</f>
        <v>TNI0308</v>
      </c>
      <c r="B212" s="98" t="str">
        <f>IFERROR(__xludf.DUMMYFUNCTION("""COMPUTED_VALUE"""),"TNI0308: Myeik_OCK_C_MYT_TNI_TEAM02_Zin Min Shein")</f>
        <v>TNI0308: Myeik_OCK_C_MYT_TNI_TEAM02_Zin Min Shein</v>
      </c>
      <c r="C212" s="98" t="str">
        <f>IFERROR(__xludf.DUMMYFUNCTION("""COMPUTED_VALUE"""),"TNI0308-JB(TNI0003-TNI0004)_Myeik_12 FO : 6_Zin Min Shein")</f>
        <v>TNI0308-JB(TNI0003-TNI0004)_Myeik_12 FO : 6_Zin Min Shein</v>
      </c>
      <c r="D212" s="98" t="str">
        <f>IFERROR(__xludf.DUMMYFUNCTION("""COMPUTED_VALUE"""),"")</f>
        <v/>
      </c>
      <c r="E212" s="98" t="str">
        <f>IFERROR(__xludf.DUMMYFUNCTION("""COMPUTED_VALUE""")," Solar M:  Solar Power:  Maintenance DG:  +  +  + MW Link: ")</f>
        <v> Solar M:  Solar Power:  Maintenance DG:  +  +  + MW Link: </v>
      </c>
    </row>
    <row r="213">
      <c r="A213" s="98" t="str">
        <f>IFERROR(__xludf.DUMMYFUNCTION("""COMPUTED_VALUE"""),"TNI0309")</f>
        <v>TNI0309</v>
      </c>
      <c r="B213" s="98" t="str">
        <f>IFERROR(__xludf.DUMMYFUNCTION("""COMPUTED_VALUE"""),"TNI0309: Thayetchaung_Mytel_C_MYT_TNI_TEAM01_Thar Htoo Aung")</f>
        <v>TNI0309: Thayetchaung_Mytel_C_MYT_TNI_TEAM01_Thar Htoo Aung</v>
      </c>
      <c r="C213" s="98" t="str">
        <f>IFERROR(__xludf.DUMMYFUNCTION("""COMPUTED_VALUE"""),"TNI0309-JB(TNI0005-TNI0013)_Thayetchaung_24 FO : 0.64_Bhone Htet Aung")</f>
        <v>TNI0309-JB(TNI0005-TNI0013)_Thayetchaung_24 FO : 0.64_Bhone Htet Aung</v>
      </c>
      <c r="D213" s="98" t="str">
        <f>IFERROR(__xludf.DUMMYFUNCTION("""COMPUTED_VALUE"""),"")</f>
        <v/>
      </c>
      <c r="E213" s="98" t="str">
        <f>IFERROR(__xludf.DUMMYFUNCTION("""COMPUTED_VALUE"""),"TNI0309 MYT_Routine_Maintenance_Mytel_Station_VCM _ myt_phyoko.ko44 : 29/05/2026 22:23 : -154.08 _ Close Solar M:  Solar Power:  Maintenance DG:  +  +  + MW Link: ")</f>
        <v>TNI0309 MYT_Routine_Maintenance_Mytel_Station_VCM _ myt_phyoko.ko44 : 29/05/2026 22:23 : -154.08 _ Close Solar M:  Solar Power:  Maintenance DG:  +  +  + MW Link: </v>
      </c>
    </row>
    <row r="214">
      <c r="A214" s="98" t="str">
        <f>IFERROR(__xludf.DUMMYFUNCTION("""COMPUTED_VALUE"""),"TNI0310")</f>
        <v>TNI0310</v>
      </c>
      <c r="B214" s="98" t="str">
        <f>IFERROR(__xludf.DUMMYFUNCTION("""COMPUTED_VALUE"""),"TNI0310: Bokpyin_MEC_C_MYT_TNI_TEAM03_Si Thu Htun")</f>
        <v>TNI0310: Bokpyin_MEC_C_MYT_TNI_TEAM03_Si Thu Htun</v>
      </c>
      <c r="C214" s="98" t="str">
        <f>IFERROR(__xludf.DUMMYFUNCTION("""COMPUTED_VALUE"""),"TNI0310-JB(TNI0008-TNI0009)_Bokpyin_48 FO : 0.63_Si Thu Htun")</f>
        <v>TNI0310-JB(TNI0008-TNI0009)_Bokpyin_48 FO : 0.63_Si Thu Htun</v>
      </c>
      <c r="D214" s="98" t="str">
        <f>IFERROR(__xludf.DUMMYFUNCTION("""COMPUTED_VALUE"""),"")</f>
        <v/>
      </c>
      <c r="E214" s="98" t="str">
        <f>IFERROR(__xludf.DUMMYFUNCTION("""COMPUTED_VALUE"""),"TNI0310 MYT_Routine_Maintenance_Mytel_Station_VCM _ myt_sithu.htun : 15/06/2026 14:22 : 462.53 _ Close Solar M: TNI0310 MYT_Maintenacne_Solar _ myt_sithu.htun : 30/12/1899 00:00 :  _ Close + TNI0310 MYT_Maintenacne_Solar _ myt_sithu.htun : 27/04/2026 11:4"&amp;"2 : 539.72 _ Close + TNI0310 MYT_Maintenacne_Solar _ myt_sithu.htun : 27/04/2026 11:42 : -300.27 _ Close Solar Power:  Maintenance DG:  +  +  + MW Link: ")</f>
        <v>TNI0310 MYT_Routine_Maintenance_Mytel_Station_VCM _ myt_sithu.htun : 15/06/2026 14:22 : 462.53 _ Close Solar M: TNI0310 MYT_Maintenacne_Solar _ myt_sithu.htun : 30/12/1899 00:00 :  _ Close + TNI0310 MYT_Maintenacne_Solar _ myt_sithu.htun : 27/04/2026 11:42 : 539.72 _ Close + TNI0310 MYT_Maintenacne_Solar _ myt_sithu.htun : 27/04/2026 11:42 : -300.27 _ Close Solar Power:  Maintenance DG:  +  +  + MW Link: </v>
      </c>
    </row>
    <row r="215">
      <c r="A215" s="98" t="str">
        <f>IFERROR(__xludf.DUMMYFUNCTION("""COMPUTED_VALUE"""),"TNI0311")</f>
        <v>TNI0311</v>
      </c>
      <c r="B215" s="98" t="str">
        <f>IFERROR(__xludf.DUMMYFUNCTION("""COMPUTED_VALUE"""),"TNI0311: Bokpyin_PAT_C_MYT_TNI_TEAM03_Si Thu Htun")</f>
        <v>TNI0311: Bokpyin_PAT_C_MYT_TNI_TEAM03_Si Thu Htun</v>
      </c>
      <c r="C215" s="98" t="str">
        <f>IFERROR(__xludf.DUMMYFUNCTION("""COMPUTED_VALUE"""),"TNI0311-JB(TNI0009-TNI0015)_Bokpyin_24 FO : 0.64_Si Thu Htun + TNI0311-JB(TNI0311-JB(TNI0009-TNI0015))_Bokpyin_24 FO : 1.1_Si Thu Htun")</f>
        <v>TNI0311-JB(TNI0009-TNI0015)_Bokpyin_24 FO : 0.64_Si Thu Htun + TNI0311-JB(TNI0311-JB(TNI0009-TNI0015))_Bokpyin_24 FO : 1.1_Si Thu Htun</v>
      </c>
      <c r="D215" s="98" t="str">
        <f>IFERROR(__xludf.DUMMYFUNCTION("""COMPUTED_VALUE"""),"")</f>
        <v/>
      </c>
      <c r="E215" s="98" t="str">
        <f>IFERROR(__xludf.DUMMYFUNCTION("""COMPUTED_VALUE""")," Solar M:  Solar Power:  Maintenance DG:  +  +  + MW Link: ")</f>
        <v> Solar M:  Solar Power:  Maintenance DG:  +  +  + MW Link: </v>
      </c>
    </row>
    <row r="216">
      <c r="A216" s="98" t="str">
        <f>IFERROR(__xludf.DUMMYFUNCTION("""COMPUTED_VALUE"""),"TNI0312")</f>
        <v>TNI0312</v>
      </c>
      <c r="B216" s="98" t="str">
        <f>IFERROR(__xludf.DUMMYFUNCTION("""COMPUTED_VALUE"""),"TNI0312: Yebyu_MEC_B_MYT_TNI_TEAM01_Bhone Htet Aung")</f>
        <v>TNI0312: Yebyu_MEC_B_MYT_TNI_TEAM01_Bhone Htet Aung</v>
      </c>
      <c r="C216" s="98" t="str">
        <f>IFERROR(__xludf.DUMMYFUNCTION("""COMPUTED_VALUE"""),"TNI0312-JB(TNI0006-TNI0013)_Yebyu_24 FO : 0.92_Thar Htoo Aung")</f>
        <v>TNI0312-JB(TNI0006-TNI0013)_Yebyu_24 FO : 0.92_Thar Htoo Aung</v>
      </c>
      <c r="D216" s="98" t="str">
        <f>IFERROR(__xludf.DUMMYFUNCTION("""COMPUTED_VALUE"""),"")</f>
        <v/>
      </c>
      <c r="E216" s="98" t="str">
        <f>IFERROR(__xludf.DUMMYFUNCTION("""COMPUTED_VALUE""")," Solar M: TNI0312 MYT_Maintenacne_Solar _ myt_phyoko.ko44 : 30/12/1899 00:00 :  _ Close + TNI0312 MYT_Maintenacne_Solar _ myt_tharhtoo.aung11 : 13/05/2026 14:29 : 153.45 _ Close Solar Power:  Maintenance DG:  +  +  + MW Link: ")</f>
        <v> Solar M: TNI0312 MYT_Maintenacne_Solar _ myt_phyoko.ko44 : 30/12/1899 00:00 :  _ Close + TNI0312 MYT_Maintenacne_Solar _ myt_tharhtoo.aung11 : 13/05/2026 14:29 : 153.45 _ Close Solar Power:  Maintenance DG:  +  +  + MW Link: </v>
      </c>
    </row>
    <row r="217">
      <c r="A217" s="98" t="str">
        <f>IFERROR(__xludf.DUMMYFUNCTION("""COMPUTED_VALUE"""),"TNI0314")</f>
        <v>TNI0314</v>
      </c>
      <c r="B217" s="98" t="str">
        <f>IFERROR(__xludf.DUMMYFUNCTION("""COMPUTED_VALUE"""),"TNI0314: Yebyu_Mytel_B_MYT_TNI_TEAM01_Thar Htoo Aung")</f>
        <v>TNI0314: Yebyu_Mytel_B_MYT_TNI_TEAM01_Thar Htoo Aung</v>
      </c>
      <c r="C217" s="98" t="str">
        <f>IFERROR(__xludf.DUMMYFUNCTION("""COMPUTED_VALUE"""),"TNI0314-JB(TNI0147-TNI0148)_Yebyu_24 FO : 0.7_Thar Htoo Aung")</f>
        <v>TNI0314-JB(TNI0147-TNI0148)_Yebyu_24 FO : 0.7_Thar Htoo Aung</v>
      </c>
      <c r="D217" s="98" t="str">
        <f>IFERROR(__xludf.DUMMYFUNCTION("""COMPUTED_VALUE"""),"")</f>
        <v/>
      </c>
      <c r="E217" s="98" t="str">
        <f>IFERROR(__xludf.DUMMYFUNCTION("""COMPUTED_VALUE""")," Solar M:  Solar Power:  Maintenance DG:  +  +  + MW Link: ")</f>
        <v> Solar M:  Solar Power:  Maintenance DG:  +  +  + MW Link: </v>
      </c>
    </row>
    <row r="218">
      <c r="A218" s="98" t="str">
        <f>IFERROR(__xludf.DUMMYFUNCTION("""COMPUTED_VALUE"""),"TNI0316")</f>
        <v>TNI0316</v>
      </c>
      <c r="B218" s="98" t="str">
        <f>IFERROR(__xludf.DUMMYFUNCTION("""COMPUTED_VALUE"""),"TNI0316: Launglon_Edotco_B_MYT_TNI_TEAM01_Bone Myat Naing")</f>
        <v>TNI0316: Launglon_Edotco_B_MYT_TNI_TEAM01_Bone Myat Naing</v>
      </c>
      <c r="C218" s="98" t="str">
        <f>IFERROR(__xludf.DUMMYFUNCTION("""COMPUTED_VALUE"""),"")</f>
        <v/>
      </c>
      <c r="D218" s="98" t="str">
        <f>IFERROR(__xludf.DUMMYFUNCTION("""COMPUTED_VALUE"""),"")</f>
        <v/>
      </c>
      <c r="E218" s="98" t="str">
        <f>IFERROR(__xludf.DUMMYFUNCTION("""COMPUTED_VALUE""")," Solar M:  Solar Power:  Maintenance DG:  +  +  + MW Link: TNI0316-TNI0170")</f>
        <v> Solar M:  Solar Power:  Maintenance DG:  +  +  + MW Link: TNI0316-TNI0170</v>
      </c>
    </row>
    <row r="219">
      <c r="A219" s="98" t="str">
        <f>IFERROR(__xludf.DUMMYFUNCTION("""COMPUTED_VALUE"""),"TNI0319")</f>
        <v>TNI0319</v>
      </c>
      <c r="B219" s="98" t="str">
        <f>IFERROR(__xludf.DUMMYFUNCTION("""COMPUTED_VALUE"""),"TNI0319: Thayetchaung_Mytel_B_MYT_TNI_TEAM01_Thar Htoo Aung")</f>
        <v>TNI0319: Thayetchaung_Mytel_B_MYT_TNI_TEAM01_Thar Htoo Aung</v>
      </c>
      <c r="C219" s="98" t="str">
        <f>IFERROR(__xludf.DUMMYFUNCTION("""COMPUTED_VALUE"""),"TNI0319-JB(TNI0005-TNI0013)_Thayetchaung_24 FO : 4.7_Bhone Htet Aung")</f>
        <v>TNI0319-JB(TNI0005-TNI0013)_Thayetchaung_24 FO : 4.7_Bhone Htet Aung</v>
      </c>
      <c r="D219" s="98" t="str">
        <f>IFERROR(__xludf.DUMMYFUNCTION("""COMPUTED_VALUE"""),"")</f>
        <v/>
      </c>
      <c r="E219" s="98" t="str">
        <f>IFERROR(__xludf.DUMMYFUNCTION("""COMPUTED_VALUE"""),"TNI0319 MYT_Routine_Maintenance_Mytel_Station_VCM _ myt_phyoko.ko44 : 12/05/2026 14:23 : 751.29 _ Close Solar M: TNI0319 MYT_Maintenacne_Solar _ myt_phyoko.ko44 : 30/12/1899 00:00 :  _ Close + TNI0319 MYT_Maintenacne_Solar _ myt_phyoko.ko44 : 12/05/2026 1"&amp;"3:57 : 175.28 _ Close + TNI0319 MYT_Maintenacne_Solar _ myt_phyoko.ko44 : 12/05/2026 13:56 : -752.71 _ Close Solar Power: TNI0319 MYT_Troubleshooting Solar Power System _ myt_phyoko.ko44 : 25/06/2026 14:40 : -351.84 _ Close Maintenance DG:  +  +  + MW Lin"&amp;"k: ")</f>
        <v>TNI0319 MYT_Routine_Maintenance_Mytel_Station_VCM _ myt_phyoko.ko44 : 12/05/2026 14:23 : 751.29 _ Close Solar M: TNI0319 MYT_Maintenacne_Solar _ myt_phyoko.ko44 : 30/12/1899 00:00 :  _ Close + TNI0319 MYT_Maintenacne_Solar _ myt_phyoko.ko44 : 12/05/2026 13:57 : 175.28 _ Close + TNI0319 MYT_Maintenacne_Solar _ myt_phyoko.ko44 : 12/05/2026 13:56 : -752.71 _ Close Solar Power: TNI0319 MYT_Troubleshooting Solar Power System _ myt_phyoko.ko44 : 25/06/2026 14:40 : -351.84 _ Close Maintenance DG:  +  +  + MW Link: </v>
      </c>
    </row>
    <row r="220">
      <c r="A220" s="98" t="str">
        <f>IFERROR(__xludf.DUMMYFUNCTION("""COMPUTED_VALUE"""),"TNI0321")</f>
        <v>TNI0321</v>
      </c>
      <c r="B220" s="98" t="str">
        <f>IFERROR(__xludf.DUMMYFUNCTION("""COMPUTED_VALUE"""),"TNI0321: Thayetchaung_Mytel_C_MYT_TNI_TEAM01_Thar Htoo Aung")</f>
        <v>TNI0321: Thayetchaung_Mytel_C_MYT_TNI_TEAM01_Thar Htoo Aung</v>
      </c>
      <c r="C220" s="98" t="str">
        <f>IFERROR(__xludf.DUMMYFUNCTION("""COMPUTED_VALUE"""),"")</f>
        <v/>
      </c>
      <c r="D220" s="98" t="str">
        <f>IFERROR(__xludf.DUMMYFUNCTION("""COMPUTED_VALUE"""),"")</f>
        <v/>
      </c>
      <c r="E220" s="98" t="str">
        <f>IFERROR(__xludf.DUMMYFUNCTION("""COMPUTED_VALUE"""),"TNI0321 MYT_Routine_Maintenance_Mytel_Station MYT_RTE_MTE_SB_STN _ myt_phyoko.ko44 : 30/12/1899 00:00 : 886.64 _ FT Inprocessing Solar M:  Solar Power:  Maintenance DG:  +  +  + MW Link: TNI0321-TNI0210")</f>
        <v>TNI0321 MYT_Routine_Maintenance_Mytel_Station MYT_RTE_MTE_SB_STN _ myt_phyoko.ko44 : 30/12/1899 00:00 : 886.64 _ FT Inprocessing Solar M:  Solar Power:  Maintenance DG:  +  +  + MW Link: TNI0321-TNI0210</v>
      </c>
    </row>
    <row r="221">
      <c r="A221" s="98" t="str">
        <f>IFERROR(__xludf.DUMMYFUNCTION("""COMPUTED_VALUE"""),"TNI0322")</f>
        <v>TNI0322</v>
      </c>
      <c r="B221" s="98" t="str">
        <f>IFERROR(__xludf.DUMMYFUNCTION("""COMPUTED_VALUE"""),"TNI0322: Thayetchaung_Mytel_B_MYT_TNI_TEAM01_Thar Htoo Aung")</f>
        <v>TNI0322: Thayetchaung_Mytel_B_MYT_TNI_TEAM01_Thar Htoo Aung</v>
      </c>
      <c r="C221" s="98" t="str">
        <f>IFERROR(__xludf.DUMMYFUNCTION("""COMPUTED_VALUE"""),"TNI0210-TNI0322_Thayetchaung_48 FO : 7.21_Aung Lwin Phyo + TNI0322-JB(TNI0005-TNI0013)_Thayetchaung_48 FO : 5.91_Bhone Htet Aung")</f>
        <v>TNI0210-TNI0322_Thayetchaung_48 FO : 7.21_Aung Lwin Phyo + TNI0322-JB(TNI0005-TNI0013)_Thayetchaung_48 FO : 5.91_Bhone Htet Aung</v>
      </c>
      <c r="D221" s="98" t="str">
        <f>IFERROR(__xludf.DUMMYFUNCTION("""COMPUTED_VALUE"""),"")</f>
        <v/>
      </c>
      <c r="E221" s="98" t="str">
        <f>IFERROR(__xludf.DUMMYFUNCTION("""COMPUTED_VALUE""")," Solar M:  Solar Power:  Maintenance DG:  +  +  + MW Link: ")</f>
        <v> Solar M:  Solar Power:  Maintenance DG:  +  +  + MW Link: </v>
      </c>
    </row>
    <row r="222">
      <c r="A222" s="98" t="str">
        <f>IFERROR(__xludf.DUMMYFUNCTION("""COMPUTED_VALUE"""),"TNI0323")</f>
        <v>TNI0323</v>
      </c>
      <c r="B222" s="98" t="str">
        <f>IFERROR(__xludf.DUMMYFUNCTION("""COMPUTED_VALUE"""),"TNI0323: Palaw_Mytel_C_MYT_TNI_TEAM02_Min Paing Oo")</f>
        <v>TNI0323: Palaw_Mytel_C_MYT_TNI_TEAM02_Min Paing Oo</v>
      </c>
      <c r="C222" s="98" t="str">
        <f>IFERROR(__xludf.DUMMYFUNCTION("""COMPUTED_VALUE"""),"TNI0323-JB(TNI0005-TNI0007)_Palaw_24 FO : 0.75_Min Paing Oo + TNI0323-TNI0339_Palaw_24FO : 6_Min Paing Oo")</f>
        <v>TNI0323-JB(TNI0005-TNI0007)_Palaw_24 FO : 0.75_Min Paing Oo + TNI0323-TNI0339_Palaw_24FO : 6_Min Paing Oo</v>
      </c>
      <c r="D222" s="98" t="str">
        <f>IFERROR(__xludf.DUMMYFUNCTION("""COMPUTED_VALUE"""),"")</f>
        <v/>
      </c>
      <c r="E222" s="98" t="str">
        <f>IFERROR(__xludf.DUMMYFUNCTION("""COMPUTED_VALUE""")," Solar M:  Solar Power:  Maintenance DG:  +  +  + MW Link: ")</f>
        <v> Solar M:  Solar Power:  Maintenance DG:  +  +  + MW Link: </v>
      </c>
    </row>
    <row r="223">
      <c r="A223" s="98" t="str">
        <f>IFERROR(__xludf.DUMMYFUNCTION("""COMPUTED_VALUE"""),"TNI0324")</f>
        <v>TNI0324</v>
      </c>
      <c r="B223" s="98" t="str">
        <f>IFERROR(__xludf.DUMMYFUNCTION("""COMPUTED_VALUE"""),"TNI0324: Myeik_Apollo_C_MYT_TNI_TEAM02_Maung Maung")</f>
        <v>TNI0324: Myeik_Apollo_C_MYT_TNI_TEAM02_Maung Maung</v>
      </c>
      <c r="C223" s="98" t="str">
        <f>IFERROR(__xludf.DUMMYFUNCTION("""COMPUTED_VALUE"""),"TNI0324-JB(TNI0003-TNI0004)_Myeik_24 FO : 1_Maung Maung + TNI0324-TNI0354_Myeik_24 FO : 15.49_Maung Maung")</f>
        <v>TNI0324-JB(TNI0003-TNI0004)_Myeik_24 FO : 1_Maung Maung + TNI0324-TNI0354_Myeik_24 FO : 15.49_Maung Maung</v>
      </c>
      <c r="D223" s="98" t="str">
        <f>IFERROR(__xludf.DUMMYFUNCTION("""COMPUTED_VALUE"""),"+ OLT: Maung Maung")</f>
        <v>+ OLT: Maung Maung</v>
      </c>
      <c r="E223" s="98" t="str">
        <f>IFERROR(__xludf.DUMMYFUNCTION("""COMPUTED_VALUE""")," Solar M:  Solar Power:  Maintenance DG:  +  +  + MW Link: ")</f>
        <v> Solar M:  Solar Power:  Maintenance DG:  +  +  + MW Link: </v>
      </c>
    </row>
    <row r="224">
      <c r="A224" s="98" t="str">
        <f>IFERROR(__xludf.DUMMYFUNCTION("""COMPUTED_VALUE"""),"TNI0326")</f>
        <v>TNI0326</v>
      </c>
      <c r="B224" s="98" t="str">
        <f>IFERROR(__xludf.DUMMYFUNCTION("""COMPUTED_VALUE"""),"TNI0326: Yebyu_PAT_C_MYT_TNI_TEAM01_Thu Rain Niang")</f>
        <v>TNI0326: Yebyu_PAT_C_MYT_TNI_TEAM01_Thu Rain Niang</v>
      </c>
      <c r="C224" s="98" t="str">
        <f>IFERROR(__xludf.DUMMYFUNCTION("""COMPUTED_VALUE"""),"TNI0326-JB(MON0002-TNI0006)_Yebyu_24 FO : 0.81_Thu Rain Niang")</f>
        <v>TNI0326-JB(MON0002-TNI0006)_Yebyu_24 FO : 0.81_Thu Rain Niang</v>
      </c>
      <c r="D224" s="98" t="str">
        <f>IFERROR(__xludf.DUMMYFUNCTION("""COMPUTED_VALUE"""),"")</f>
        <v/>
      </c>
      <c r="E224" s="98" t="str">
        <f>IFERROR(__xludf.DUMMYFUNCTION("""COMPUTED_VALUE""")," Solar M:  Solar Power:  Maintenance DG:  +  +  + MW Link: ")</f>
        <v> Solar M:  Solar Power:  Maintenance DG:  +  +  + MW Link: </v>
      </c>
    </row>
    <row r="225">
      <c r="A225" s="98" t="str">
        <f>IFERROR(__xludf.DUMMYFUNCTION("""COMPUTED_VALUE"""),"TNI0328")</f>
        <v>TNI0328</v>
      </c>
      <c r="B225" s="98" t="str">
        <f>IFERROR(__xludf.DUMMYFUNCTION("""COMPUTED_VALUE"""),"TNI0328: Launglon_MEC_C_MYT_TNI_TEAM01_Bone Myat Naing")</f>
        <v>TNI0328: Launglon_MEC_C_MYT_TNI_TEAM01_Bone Myat Naing</v>
      </c>
      <c r="C225" s="98" t="str">
        <f>IFERROR(__xludf.DUMMYFUNCTION("""COMPUTED_VALUE"""),"")</f>
        <v/>
      </c>
      <c r="D225" s="98" t="str">
        <f>IFERROR(__xludf.DUMMYFUNCTION("""COMPUTED_VALUE"""),"")</f>
        <v/>
      </c>
      <c r="E225" s="98" t="str">
        <f>IFERROR(__xludf.DUMMYFUNCTION("""COMPUTED_VALUE""")," Solar M:  Solar Power:  Maintenance DG:  +  +  + MW Link: TNI0328-TNI0031")</f>
        <v> Solar M:  Solar Power:  Maintenance DG:  +  +  + MW Link: TNI0328-TNI0031</v>
      </c>
    </row>
    <row r="226">
      <c r="A226" s="98" t="str">
        <f>IFERROR(__xludf.DUMMYFUNCTION("""COMPUTED_VALUE"""),"TNI0329")</f>
        <v>TNI0329</v>
      </c>
      <c r="B226" s="98" t="str">
        <f>IFERROR(__xludf.DUMMYFUNCTION("""COMPUTED_VALUE"""),"TNI0329: Launglon_Apollo_C_MYT_TNI_TEAM01_Bone Myat Naing")</f>
        <v>TNI0329: Launglon_Apollo_C_MYT_TNI_TEAM01_Bone Myat Naing</v>
      </c>
      <c r="C226" s="98" t="str">
        <f>IFERROR(__xludf.DUMMYFUNCTION("""COMPUTED_VALUE"""),"")</f>
        <v/>
      </c>
      <c r="D226" s="98" t="str">
        <f>IFERROR(__xludf.DUMMYFUNCTION("""COMPUTED_VALUE"""),"")</f>
        <v/>
      </c>
      <c r="E226" s="98" t="str">
        <f>IFERROR(__xludf.DUMMYFUNCTION("""COMPUTED_VALUE""")," Solar M:  Solar Power:  Maintenance DG:  +  +  + MW Link: ")</f>
        <v> Solar M:  Solar Power:  Maintenance DG:  +  +  + MW Link: </v>
      </c>
    </row>
    <row r="227">
      <c r="A227" s="98" t="str">
        <f>IFERROR(__xludf.DUMMYFUNCTION("""COMPUTED_VALUE"""),"TNI0330")</f>
        <v>TNI0330</v>
      </c>
      <c r="B227" s="98" t="str">
        <f>IFERROR(__xludf.DUMMYFUNCTION("""COMPUTED_VALUE"""),"TNI0330: Yebyu_Edotco_C_MYT_TNI_TEAM01_Thu Rain Niang")</f>
        <v>TNI0330: Yebyu_Edotco_C_MYT_TNI_TEAM01_Thu Rain Niang</v>
      </c>
      <c r="C227" s="98" t="str">
        <f>IFERROR(__xludf.DUMMYFUNCTION("""COMPUTED_VALUE"""),"")</f>
        <v/>
      </c>
      <c r="D227" s="98" t="str">
        <f>IFERROR(__xludf.DUMMYFUNCTION("""COMPUTED_VALUE"""),"")</f>
        <v/>
      </c>
      <c r="E227" s="98" t="str">
        <f>IFERROR(__xludf.DUMMYFUNCTION("""COMPUTED_VALUE""")," Solar M:  Solar Power:  Maintenance DG:  +  +  + MW Link: TNI0330-MON0073")</f>
        <v> Solar M:  Solar Power:  Maintenance DG:  +  +  + MW Link: TNI0330-MON0073</v>
      </c>
    </row>
    <row r="228">
      <c r="A228" s="98" t="str">
        <f>IFERROR(__xludf.DUMMYFUNCTION("""COMPUTED_VALUE"""),"TNI0331")</f>
        <v>TNI0331</v>
      </c>
      <c r="B228" s="98" t="str">
        <f>IFERROR(__xludf.DUMMYFUNCTION("""COMPUTED_VALUE"""),"TNI0331: Yebyu_IGT_C_MYT_TNI_TEAM01_Thu Rain Niang")</f>
        <v>TNI0331: Yebyu_IGT_C_MYT_TNI_TEAM01_Thu Rain Niang</v>
      </c>
      <c r="C228" s="98" t="str">
        <f>IFERROR(__xludf.DUMMYFUNCTION("""COMPUTED_VALUE"""),"TNI0331-JB(MON0002-TNI0006)_Yebyu_24 FO : 1.5_Thu Rain Niang")</f>
        <v>TNI0331-JB(MON0002-TNI0006)_Yebyu_24 FO : 1.5_Thu Rain Niang</v>
      </c>
      <c r="D228" s="98" t="str">
        <f>IFERROR(__xludf.DUMMYFUNCTION("""COMPUTED_VALUE"""),"")</f>
        <v/>
      </c>
      <c r="E228" s="98" t="str">
        <f>IFERROR(__xludf.DUMMYFUNCTION("""COMPUTED_VALUE""")," Solar M:  Solar Power:  Maintenance DG:  +  +  + MW Link: ")</f>
        <v> Solar M:  Solar Power:  Maintenance DG:  +  +  + MW Link: </v>
      </c>
    </row>
    <row r="229">
      <c r="A229" s="98" t="str">
        <f>IFERROR(__xludf.DUMMYFUNCTION("""COMPUTED_VALUE"""),"TNI0333")</f>
        <v>TNI0333</v>
      </c>
      <c r="B229" s="98" t="str">
        <f>IFERROR(__xludf.DUMMYFUNCTION("""COMPUTED_VALUE"""),"TNI0333: Launglon_Mytel_C_MYT_TNI_TEAM01_Bone Myat Naing")</f>
        <v>TNI0333: Launglon_Mytel_C_MYT_TNI_TEAM01_Bone Myat Naing</v>
      </c>
      <c r="C229" s="98" t="str">
        <f>IFERROR(__xludf.DUMMYFUNCTION("""COMPUTED_VALUE"""),"TNI0041-TNI0333_LaungLon_24 FO : 3.38_Bone Myat Naing + TNI0031-TNI0333_LaungLon_48 FO : 6.66_Thar Htoo Aung")</f>
        <v>TNI0041-TNI0333_LaungLon_24 FO : 3.38_Bone Myat Naing + TNI0031-TNI0333_LaungLon_48 FO : 6.66_Thar Htoo Aung</v>
      </c>
      <c r="D229" s="98" t="str">
        <f>IFERROR(__xludf.DUMMYFUNCTION("""COMPUTED_VALUE"""),"")</f>
        <v/>
      </c>
      <c r="E229" s="98" t="str">
        <f>IFERROR(__xludf.DUMMYFUNCTION("""COMPUTED_VALUE""")," Solar M:  Solar Power:  Maintenance DG:  +  +  + MW Link: ")</f>
        <v> Solar M:  Solar Power:  Maintenance DG:  +  +  + MW Link: </v>
      </c>
    </row>
    <row r="230">
      <c r="A230" s="98" t="str">
        <f>IFERROR(__xludf.DUMMYFUNCTION("""COMPUTED_VALUE"""),"TNI0334")</f>
        <v>TNI0334</v>
      </c>
      <c r="B230" s="98" t="str">
        <f>IFERROR(__xludf.DUMMYFUNCTION("""COMPUTED_VALUE"""),"TNI0334: Launglon_Mytel_B_MYT_TNI_TEAM01_Bone Myat Naing")</f>
        <v>TNI0334: Launglon_Mytel_B_MYT_TNI_TEAM01_Bone Myat Naing</v>
      </c>
      <c r="C230" s="98" t="str">
        <f>IFERROR(__xludf.DUMMYFUNCTION("""COMPUTED_VALUE"""),"TNI0041-TNI0334_LaungLon_24 FO : 5.1_Bone Myat Naing")</f>
        <v>TNI0041-TNI0334_LaungLon_24 FO : 5.1_Bone Myat Naing</v>
      </c>
      <c r="D230" s="98" t="str">
        <f>IFERROR(__xludf.DUMMYFUNCTION("""COMPUTED_VALUE"""),"")</f>
        <v/>
      </c>
      <c r="E230" s="98" t="str">
        <f>IFERROR(__xludf.DUMMYFUNCTION("""COMPUTED_VALUE""")," Solar M:  Solar Power:  Maintenance DG:  +  +  + MW Link: TNI0334-TNI0089")</f>
        <v> Solar M:  Solar Power:  Maintenance DG:  +  +  + MW Link: TNI0334-TNI0089</v>
      </c>
    </row>
    <row r="231">
      <c r="A231" s="98" t="str">
        <f>IFERROR(__xludf.DUMMYFUNCTION("""COMPUTED_VALUE"""),"TNI0335")</f>
        <v>TNI0335</v>
      </c>
      <c r="B231" s="98" t="str">
        <f>IFERROR(__xludf.DUMMYFUNCTION("""COMPUTED_VALUE"""),"TNI0335: Launglon_OCK_C_MYT_TNI_TEAM01_Bone Myat Naing")</f>
        <v>TNI0335: Launglon_OCK_C_MYT_TNI_TEAM01_Bone Myat Naing</v>
      </c>
      <c r="C231" s="98" t="str">
        <f>IFERROR(__xludf.DUMMYFUNCTION("""COMPUTED_VALUE"""),"TNI0095-TNI0335_LaungLon_24 FO : 5.15_Thar Htoo Aung")</f>
        <v>TNI0095-TNI0335_LaungLon_24 FO : 5.15_Thar Htoo Aung</v>
      </c>
      <c r="D231" s="98" t="str">
        <f>IFERROR(__xludf.DUMMYFUNCTION("""COMPUTED_VALUE"""),"")</f>
        <v/>
      </c>
      <c r="E231" s="98" t="str">
        <f>IFERROR(__xludf.DUMMYFUNCTION("""COMPUTED_VALUE""")," Solar M: TNI0335 MYT_Maintenacne_Solar _ myt_bonemyat.naing1 : 23/04/2026 16:19 : 612.34 _ Close + TNI0335 MYT_Maintenacne_Solar _ myt_bonemyat.naing1 : 10/04/2026 14:12 : -115.39 _ Close Solar Power:  Maintenance DG:  +  +  + MW Link: ")</f>
        <v> Solar M: TNI0335 MYT_Maintenacne_Solar _ myt_bonemyat.naing1 : 23/04/2026 16:19 : 612.34 _ Close + TNI0335 MYT_Maintenacne_Solar _ myt_bonemyat.naing1 : 10/04/2026 14:12 : -115.39 _ Close Solar Power:  Maintenance DG:  +  +  + MW Link: </v>
      </c>
    </row>
    <row r="232">
      <c r="A232" s="98" t="str">
        <f>IFERROR(__xludf.DUMMYFUNCTION("""COMPUTED_VALUE"""),"TNI0335_01")</f>
        <v>TNI0335_01</v>
      </c>
      <c r="B232" s="98" t="str">
        <f>IFERROR(__xludf.DUMMYFUNCTION("""COMPUTED_VALUE"""),"TNI0335_01: Launglon_Mytel_C_MYT_TNI_TEAM01_Thar Htoo Aung")</f>
        <v>TNI0335_01: Launglon_Mytel_C_MYT_TNI_TEAM01_Thar Htoo Aung</v>
      </c>
      <c r="C232" s="98" t="str">
        <f>IFERROR(__xludf.DUMMYFUNCTION("""COMPUTED_VALUE"""),"TNI0335_01-JB(TNI0095-TNI0335)_LaungLon_48 FO : 3.48_Bone Myat Naing")</f>
        <v>TNI0335_01-JB(TNI0095-TNI0335)_LaungLon_48 FO : 3.48_Bone Myat Naing</v>
      </c>
      <c r="D232" s="98" t="str">
        <f>IFERROR(__xludf.DUMMYFUNCTION("""COMPUTED_VALUE"""),"")</f>
        <v/>
      </c>
      <c r="E232" s="98" t="str">
        <f>IFERROR(__xludf.DUMMYFUNCTION("""COMPUTED_VALUE""")," Solar M:  Solar Power:  Maintenance DG:  +  +  + MW Link: ")</f>
        <v> Solar M:  Solar Power:  Maintenance DG:  +  +  + MW Link: </v>
      </c>
    </row>
    <row r="233">
      <c r="A233" s="98" t="str">
        <f>IFERROR(__xludf.DUMMYFUNCTION("""COMPUTED_VALUE"""),"TNI0336")</f>
        <v>TNI0336</v>
      </c>
      <c r="B233" s="98" t="str">
        <f>IFERROR(__xludf.DUMMYFUNCTION("""COMPUTED_VALUE"""),"TNI0336: Palaw_Mytel_C_MYT_TNI_TEAM02_Min Paing Oo")</f>
        <v>TNI0336: Palaw_Mytel_C_MYT_TNI_TEAM02_Min Paing Oo</v>
      </c>
      <c r="C233" s="98" t="str">
        <f>IFERROR(__xludf.DUMMYFUNCTION("""COMPUTED_VALUE"""),"TNI0336-JB(TNI0005-TNI0007)_Palaw_24 FO : 0.7_Min Paing Oo")</f>
        <v>TNI0336-JB(TNI0005-TNI0007)_Palaw_24 FO : 0.7_Min Paing Oo</v>
      </c>
      <c r="D233" s="98" t="str">
        <f>IFERROR(__xludf.DUMMYFUNCTION("""COMPUTED_VALUE"""),"")</f>
        <v/>
      </c>
      <c r="E233" s="98" t="str">
        <f>IFERROR(__xludf.DUMMYFUNCTION("""COMPUTED_VALUE""")," Solar M:  Solar Power:  Maintenance DG:  +  +  + MW Link: ")</f>
        <v> Solar M:  Solar Power:  Maintenance DG:  +  +  + MW Link: </v>
      </c>
    </row>
    <row r="234">
      <c r="A234" s="98" t="str">
        <f>IFERROR(__xludf.DUMMYFUNCTION("""COMPUTED_VALUE"""),"TNI0337")</f>
        <v>TNI0337</v>
      </c>
      <c r="B234" s="98" t="str">
        <f>IFERROR(__xludf.DUMMYFUNCTION("""COMPUTED_VALUE"""),"TNI0337: Kawthoung_IGT_C_MYT_TNI_TEAM04_Tin Maung Win")</f>
        <v>TNI0337: Kawthoung_IGT_C_MYT_TNI_TEAM04_Tin Maung Win</v>
      </c>
      <c r="C234" s="98" t="str">
        <f>IFERROR(__xludf.DUMMYFUNCTION("""COMPUTED_VALUE"""),"TNI0057-TNI0337_Kawthaung_24 FO : 6.5_Tin Maung Win")</f>
        <v>TNI0057-TNI0337_Kawthaung_24 FO : 6.5_Tin Maung Win</v>
      </c>
      <c r="D234" s="98" t="str">
        <f>IFERROR(__xludf.DUMMYFUNCTION("""COMPUTED_VALUE"""),"")</f>
        <v/>
      </c>
      <c r="E234" s="98" t="str">
        <f>IFERROR(__xludf.DUMMYFUNCTION("""COMPUTED_VALUE""")," Solar M:  Solar Power:  Maintenance DG:  +  +  + MW Link: ")</f>
        <v> Solar M:  Solar Power:  Maintenance DG:  +  +  + MW Link: </v>
      </c>
    </row>
    <row r="235">
      <c r="A235" s="98" t="str">
        <f>IFERROR(__xludf.DUMMYFUNCTION("""COMPUTED_VALUE"""),"TNI0339")</f>
        <v>TNI0339</v>
      </c>
      <c r="B235" s="98" t="str">
        <f>IFERROR(__xludf.DUMMYFUNCTION("""COMPUTED_VALUE"""),"TNI0339: Palaw_Mytel_C_MYT_TNI_TEAM02_Min Paing Oo")</f>
        <v>TNI0339: Palaw_Mytel_C_MYT_TNI_TEAM02_Min Paing Oo</v>
      </c>
      <c r="C235" s="98" t="str">
        <f>IFERROR(__xludf.DUMMYFUNCTION("""COMPUTED_VALUE"""),"TNI0323-TNI0339_Palaw_24FO : 6_Min Paing Oo + TNI0339-JB(TNI0005-TNI0007)_Palaw_24 FO : 0.45_Min Paing Oo")</f>
        <v>TNI0323-TNI0339_Palaw_24FO : 6_Min Paing Oo + TNI0339-JB(TNI0005-TNI0007)_Palaw_24 FO : 0.45_Min Paing Oo</v>
      </c>
      <c r="D235" s="98" t="str">
        <f>IFERROR(__xludf.DUMMYFUNCTION("""COMPUTED_VALUE"""),"")</f>
        <v/>
      </c>
      <c r="E235" s="98" t="str">
        <f>IFERROR(__xludf.DUMMYFUNCTION("""COMPUTED_VALUE""")," Solar M:  Solar Power:  Maintenance DG:  +  +  + MW Link: ")</f>
        <v> Solar M:  Solar Power:  Maintenance DG:  +  +  + MW Link: </v>
      </c>
    </row>
    <row r="236">
      <c r="A236" s="98" t="str">
        <f>IFERROR(__xludf.DUMMYFUNCTION("""COMPUTED_VALUE"""),"TNI0340")</f>
        <v>TNI0340</v>
      </c>
      <c r="B236" s="98" t="str">
        <f>IFERROR(__xludf.DUMMYFUNCTION("""COMPUTED_VALUE"""),"TNI0340: Bokpyin_PAT_C_MYT_TNI_TEAM03_Si Thu Htun")</f>
        <v>TNI0340: Bokpyin_PAT_C_MYT_TNI_TEAM03_Si Thu Htun</v>
      </c>
      <c r="C236" s="98" t="str">
        <f>IFERROR(__xludf.DUMMYFUNCTION("""COMPUTED_VALUE"""),"TNI0340-JB(TNI0008-TNI0009)_Bokpyin_24 FO : 0.2_Si Thu Htun")</f>
        <v>TNI0340-JB(TNI0008-TNI0009)_Bokpyin_24 FO : 0.2_Si Thu Htun</v>
      </c>
      <c r="D236" s="98" t="str">
        <f>IFERROR(__xludf.DUMMYFUNCTION("""COMPUTED_VALUE"""),"")</f>
        <v/>
      </c>
      <c r="E236" s="98" t="str">
        <f>IFERROR(__xludf.DUMMYFUNCTION("""COMPUTED_VALUE""")," Solar M:  Solar Power:  Maintenance DG:  +  +  + MW Link: ")</f>
        <v> Solar M:  Solar Power:  Maintenance DG:  +  +  + MW Link: </v>
      </c>
    </row>
    <row r="237">
      <c r="A237" s="98" t="str">
        <f>IFERROR(__xludf.DUMMYFUNCTION("""COMPUTED_VALUE"""),"TNI0341")</f>
        <v>TNI0341</v>
      </c>
      <c r="B237" s="98" t="str">
        <f>IFERROR(__xludf.DUMMYFUNCTION("""COMPUTED_VALUE"""),"TNI0341: Bokpyin_IGT_C_MYT_TNI_TEAM03_Tin Naing Lin")</f>
        <v>TNI0341: Bokpyin_IGT_C_MYT_TNI_TEAM03_Tin Naing Lin</v>
      </c>
      <c r="C237" s="98" t="str">
        <f>IFERROR(__xludf.DUMMYFUNCTION("""COMPUTED_VALUE"""),"TNI0341-JB(TNI0004-TNI0008_Bokpyin_24 FO : 0.72_Si Thu Htun")</f>
        <v>TNI0341-JB(TNI0004-TNI0008_Bokpyin_24 FO : 0.72_Si Thu Htun</v>
      </c>
      <c r="D237" s="98" t="str">
        <f>IFERROR(__xludf.DUMMYFUNCTION("""COMPUTED_VALUE"""),"")</f>
        <v/>
      </c>
      <c r="E237" s="98" t="str">
        <f>IFERROR(__xludf.DUMMYFUNCTION("""COMPUTED_VALUE""")," Solar M:  Solar Power:  Maintenance DG:  +  +  + MW Link: ")</f>
        <v> Solar M:  Solar Power:  Maintenance DG:  +  +  + MW Link: </v>
      </c>
    </row>
    <row r="238">
      <c r="A238" s="98" t="str">
        <f>IFERROR(__xludf.DUMMYFUNCTION("""COMPUTED_VALUE"""),"TNI0343")</f>
        <v>TNI0343</v>
      </c>
      <c r="B238" s="98" t="str">
        <f>IFERROR(__xludf.DUMMYFUNCTION("""COMPUTED_VALUE"""),"TNI0343: Bokpyin_PAT_C_MYT_TNI_TEAM03_Si Thu Htun")</f>
        <v>TNI0343: Bokpyin_PAT_C_MYT_TNI_TEAM03_Si Thu Htun</v>
      </c>
      <c r="C238" s="98" t="str">
        <f>IFERROR(__xludf.DUMMYFUNCTION("""COMPUTED_VALUE"""),"")</f>
        <v/>
      </c>
      <c r="D238" s="98" t="str">
        <f>IFERROR(__xludf.DUMMYFUNCTION("""COMPUTED_VALUE"""),"")</f>
        <v/>
      </c>
      <c r="E238" s="98" t="str">
        <f>IFERROR(__xludf.DUMMYFUNCTION("""COMPUTED_VALUE""")," Solar M:  Solar Power:  Maintenance DG:  +  +  + MW Link: TNI0343-TNI0008")</f>
        <v> Solar M:  Solar Power:  Maintenance DG:  +  +  + MW Link: TNI0343-TNI0008</v>
      </c>
    </row>
    <row r="239">
      <c r="A239" s="98" t="str">
        <f>IFERROR(__xludf.DUMMYFUNCTION("""COMPUTED_VALUE"""),"TNI0345")</f>
        <v>TNI0345</v>
      </c>
      <c r="B239" s="98" t="str">
        <f>IFERROR(__xludf.DUMMYFUNCTION("""COMPUTED_VALUE"""),"TNI0345: Bokpyin_PAT_C_MYT_TNI_TEAM03_Si Thu Htun")</f>
        <v>TNI0345: Bokpyin_PAT_C_MYT_TNI_TEAM03_Si Thu Htun</v>
      </c>
      <c r="C239" s="98" t="str">
        <f>IFERROR(__xludf.DUMMYFUNCTION("""COMPUTED_VALUE"""),"TNI0345-TNI0345_01_Tanintharyi_24 FO : 8.4_Khant Si Thu + TNI0345-JB(TNI0009-TNI0015)_Bokpyin_24 FO : 1_Si Thu Htun")</f>
        <v>TNI0345-TNI0345_01_Tanintharyi_24 FO : 8.4_Khant Si Thu + TNI0345-JB(TNI0009-TNI0015)_Bokpyin_24 FO : 1_Si Thu Htun</v>
      </c>
      <c r="D239" s="98" t="str">
        <f>IFERROR(__xludf.DUMMYFUNCTION("""COMPUTED_VALUE"""),"")</f>
        <v/>
      </c>
      <c r="E239" s="98" t="str">
        <f>IFERROR(__xludf.DUMMYFUNCTION("""COMPUTED_VALUE""")," Solar M: TNI0345_01 MYT_Maintenacne_Solar _ myt_sithu.htun : 30/12/1899 00:00 :  _ Close + TNI0345_01 MYT_Maintenacne_Solar _ myt_tinnaing.lin11 : 05/05/2026 15:13 : 329.47 _ Close + TNI0345_01 MYT_Maintenacne_Solar _ myt_pyaephyo.zaw : 05/05/2026 15:40 "&amp;": -510.53 _ Close Solar Power:  Maintenance DG:  +  +  + MW Link: ")</f>
        <v> Solar M: TNI0345_01 MYT_Maintenacne_Solar _ myt_sithu.htun : 30/12/1899 00:00 :  _ Close + TNI0345_01 MYT_Maintenacne_Solar _ myt_tinnaing.lin11 : 05/05/2026 15:13 : 329.47 _ Close + TNI0345_01 MYT_Maintenacne_Solar _ myt_pyaephyo.zaw : 05/05/2026 15:40 : -510.53 _ Close Solar Power:  Maintenance DG:  +  +  + MW Link: </v>
      </c>
    </row>
    <row r="240">
      <c r="A240" s="98" t="str">
        <f>IFERROR(__xludf.DUMMYFUNCTION("""COMPUTED_VALUE"""),"TNI0345_01")</f>
        <v>TNI0345_01</v>
      </c>
      <c r="B240" s="98" t="str">
        <f>IFERROR(__xludf.DUMMYFUNCTION("""COMPUTED_VALUE"""),"TNI0345_01: Bokpyin_Mytel_C_MYT_TNI_TEAM03_Si Thu Htun")</f>
        <v>TNI0345_01: Bokpyin_Mytel_C_MYT_TNI_TEAM03_Si Thu Htun</v>
      </c>
      <c r="C240" s="98" t="str">
        <f>IFERROR(__xludf.DUMMYFUNCTION("""COMPUTED_VALUE"""),"TNI0345-TNI0345_01_Tanintharyi_24 FO : 8.4_Khant Si Thu")</f>
        <v>TNI0345-TNI0345_01_Tanintharyi_24 FO : 8.4_Khant Si Thu</v>
      </c>
      <c r="D240" s="98" t="str">
        <f>IFERROR(__xludf.DUMMYFUNCTION("""COMPUTED_VALUE"""),"")</f>
        <v/>
      </c>
      <c r="E240" s="98" t="str">
        <f>IFERROR(__xludf.DUMMYFUNCTION("""COMPUTED_VALUE""")," Solar M:  Solar Power:  Maintenance DG:  +  +  + MW Link: ")</f>
        <v> Solar M:  Solar Power:  Maintenance DG:  +  +  + MW Link: </v>
      </c>
    </row>
    <row r="241">
      <c r="A241" s="98" t="str">
        <f>IFERROR(__xludf.DUMMYFUNCTION("""COMPUTED_VALUE"""),"TNI0346")</f>
        <v>TNI0346</v>
      </c>
      <c r="B241" s="98" t="str">
        <f>IFERROR(__xludf.DUMMYFUNCTION("""COMPUTED_VALUE"""),"TNI0346: Myeik_Edotco_C_MYT_TNI_TEAM02_Zin Min Shein")</f>
        <v>TNI0346: Myeik_Edotco_C_MYT_TNI_TEAM02_Zin Min Shein</v>
      </c>
      <c r="C241" s="98" t="str">
        <f>IFERROR(__xludf.DUMMYFUNCTION("""COMPUTED_VALUE"""),"TNI0346-JB(TNI0007-TNI0003)_Myeik_24 FO : 0.6_Zin Min Shein")</f>
        <v>TNI0346-JB(TNI0007-TNI0003)_Myeik_24 FO : 0.6_Zin Min Shein</v>
      </c>
      <c r="D241" s="98" t="str">
        <f>IFERROR(__xludf.DUMMYFUNCTION("""COMPUTED_VALUE"""),"")</f>
        <v/>
      </c>
      <c r="E241" s="98" t="str">
        <f>IFERROR(__xludf.DUMMYFUNCTION("""COMPUTED_VALUE""")," Solar M:  Solar Power:  Maintenance DG:  +  +  + MW Link: ")</f>
        <v> Solar M:  Solar Power:  Maintenance DG:  +  +  + MW Link: </v>
      </c>
    </row>
    <row r="242">
      <c r="A242" s="98" t="str">
        <f>IFERROR(__xludf.DUMMYFUNCTION("""COMPUTED_VALUE"""),"TNI0349")</f>
        <v>TNI0349</v>
      </c>
      <c r="B242" s="98" t="str">
        <f>IFERROR(__xludf.DUMMYFUNCTION("""COMPUTED_VALUE"""),"TNI0349: Myeik_EFT_C_MYT_TNI_TEAM02_Pyi Kyaw Aung")</f>
        <v>TNI0349: Myeik_EFT_C_MYT_TNI_TEAM02_Pyi Kyaw Aung</v>
      </c>
      <c r="C242" s="98" t="str">
        <f>IFERROR(__xludf.DUMMYFUNCTION("""COMPUTED_VALUE"""),"TNI0349-JB(TNI0003-TNI0007)_Myeik_24 FO : 0.4_Zin Min Shein")</f>
        <v>TNI0349-JB(TNI0003-TNI0007)_Myeik_24 FO : 0.4_Zin Min Shein</v>
      </c>
      <c r="D242" s="98" t="str">
        <f>IFERROR(__xludf.DUMMYFUNCTION("""COMPUTED_VALUE"""),"")</f>
        <v/>
      </c>
      <c r="E242" s="98" t="str">
        <f>IFERROR(__xludf.DUMMYFUNCTION("""COMPUTED_VALUE""")," Solar M:  Solar Power:  Maintenance DG:  +  +  + MW Link: ")</f>
        <v> Solar M:  Solar Power:  Maintenance DG:  +  +  + MW Link: </v>
      </c>
    </row>
    <row r="243">
      <c r="A243" s="98" t="str">
        <f>IFERROR(__xludf.DUMMYFUNCTION("""COMPUTED_VALUE"""),"TNI0350")</f>
        <v>TNI0350</v>
      </c>
      <c r="B243" s="98" t="str">
        <f>IFERROR(__xludf.DUMMYFUNCTION("""COMPUTED_VALUE"""),"TNI0350: Kawthoung_IGT_C_MYT_TNI_TEAM04_Khant Chaw Nyo")</f>
        <v>TNI0350: Kawthoung_IGT_C_MYT_TNI_TEAM04_Khant Chaw Nyo</v>
      </c>
      <c r="C243" s="98" t="str">
        <f>IFERROR(__xludf.DUMMYFUNCTION("""COMPUTED_VALUE"""),"TNI0350-JB(TNI0011-TNI0012)_Kawthaung_24 FO : 1.1_Tin Maung Win")</f>
        <v>TNI0350-JB(TNI0011-TNI0012)_Kawthaung_24 FO : 1.1_Tin Maung Win</v>
      </c>
      <c r="D243" s="98" t="str">
        <f>IFERROR(__xludf.DUMMYFUNCTION("""COMPUTED_VALUE"""),"")</f>
        <v/>
      </c>
      <c r="E243" s="98" t="str">
        <f>IFERROR(__xludf.DUMMYFUNCTION("""COMPUTED_VALUE""")," Solar M:  Solar Power:  Maintenance DG:  +  +  + MW Link: ")</f>
        <v> Solar M:  Solar Power:  Maintenance DG:  +  +  + MW Link: </v>
      </c>
    </row>
    <row r="244">
      <c r="A244" s="98" t="str">
        <f>IFERROR(__xludf.DUMMYFUNCTION("""COMPUTED_VALUE"""),"TNI0351")</f>
        <v>TNI0351</v>
      </c>
      <c r="B244" s="98" t="str">
        <f>IFERROR(__xludf.DUMMYFUNCTION("""COMPUTED_VALUE"""),"TNI0351: Yebyu_IGT_C_MYT_TNI_TEAM01_Thar Htoo Aung")</f>
        <v>TNI0351: Yebyu_IGT_C_MYT_TNI_TEAM01_Thar Htoo Aung</v>
      </c>
      <c r="C244" s="98" t="str">
        <f>IFERROR(__xludf.DUMMYFUNCTION("""COMPUTED_VALUE"""),"TNI0351-JB(TNI0006-TNI0013)_Yebyu_24 FO : 0.27_Thar Htoo Aung")</f>
        <v>TNI0351-JB(TNI0006-TNI0013)_Yebyu_24 FO : 0.27_Thar Htoo Aung</v>
      </c>
      <c r="D244" s="98" t="str">
        <f>IFERROR(__xludf.DUMMYFUNCTION("""COMPUTED_VALUE"""),"")</f>
        <v/>
      </c>
      <c r="E244" s="98" t="str">
        <f>IFERROR(__xludf.DUMMYFUNCTION("""COMPUTED_VALUE""")," Solar M:  Solar Power:  Maintenance DG:  +  +  + MW Link: ")</f>
        <v> Solar M:  Solar Power:  Maintenance DG:  +  +  + MW Link: </v>
      </c>
    </row>
    <row r="245">
      <c r="A245" s="98" t="str">
        <f>IFERROR(__xludf.DUMMYFUNCTION("""COMPUTED_VALUE"""),"TNI0352")</f>
        <v>TNI0352</v>
      </c>
      <c r="B245" s="98" t="str">
        <f>IFERROR(__xludf.DUMMYFUNCTION("""COMPUTED_VALUE"""),"TNI0352: Myeik_IGT_C_MYT_TNI_TEAM02_Wanna Oo")</f>
        <v>TNI0352: Myeik_IGT_C_MYT_TNI_TEAM02_Wanna Oo</v>
      </c>
      <c r="C245" s="98" t="str">
        <f>IFERROR(__xludf.DUMMYFUNCTION("""COMPUTED_VALUE"""),"TNI0280-TNI0352_Myeik_24 FO : 12.02_Pyi Kyaw Aung")</f>
        <v>TNI0280-TNI0352_Myeik_24 FO : 12.02_Pyi Kyaw Aung</v>
      </c>
      <c r="D245" s="98" t="str">
        <f>IFERROR(__xludf.DUMMYFUNCTION("""COMPUTED_VALUE"""),"")</f>
        <v/>
      </c>
      <c r="E245" s="98" t="str">
        <f>IFERROR(__xludf.DUMMYFUNCTION("""COMPUTED_VALUE""")," Solar M: TNI0352 MYT_Maintenacne_Solar _ myt_zinmin.shein : 21/04/2026 15:07 : 674.47 _ Close + TNI0352 MYT_Maintenacne_Solar _ myt_wanna.oo2 : 07/04/2026 14:26 : 159.69 _ Close Solar Power:  Maintenance DG:  +  +  + MW Link: ")</f>
        <v> Solar M: TNI0352 MYT_Maintenacne_Solar _ myt_zinmin.shein : 21/04/2026 15:07 : 674.47 _ Close + TNI0352 MYT_Maintenacne_Solar _ myt_wanna.oo2 : 07/04/2026 14:26 : 159.69 _ Close Solar Power:  Maintenance DG:  +  +  + MW Link: </v>
      </c>
    </row>
    <row r="246">
      <c r="A246" s="98" t="str">
        <f>IFERROR(__xludf.DUMMYFUNCTION("""COMPUTED_VALUE"""),"TNI0354")</f>
        <v>TNI0354</v>
      </c>
      <c r="B246" s="98" t="str">
        <f>IFERROR(__xludf.DUMMYFUNCTION("""COMPUTED_VALUE"""),"TNI0354: Myeik_PAT_C_MYT_TNI_TEAM02_Ye Lin")</f>
        <v>TNI0354: Myeik_PAT_C_MYT_TNI_TEAM02_Ye Lin</v>
      </c>
      <c r="C246" s="98" t="str">
        <f>IFERROR(__xludf.DUMMYFUNCTION("""COMPUTED_VALUE"""),"TNI0324-TNI0354_Myeik_24 FO : 15.49_Maung Maung")</f>
        <v>TNI0324-TNI0354_Myeik_24 FO : 15.49_Maung Maung</v>
      </c>
      <c r="D246" s="98" t="str">
        <f>IFERROR(__xludf.DUMMYFUNCTION("""COMPUTED_VALUE"""),"")</f>
        <v/>
      </c>
      <c r="E246" s="98" t="str">
        <f>IFERROR(__xludf.DUMMYFUNCTION("""COMPUTED_VALUE""")," Solar M:  Solar Power:  Maintenance DG:  +  +  + MW Link: TNI0354-TNI0519")</f>
        <v> Solar M:  Solar Power:  Maintenance DG:  +  +  + MW Link: TNI0354-TNI0519</v>
      </c>
    </row>
    <row r="247">
      <c r="A247" s="98" t="str">
        <f>IFERROR(__xludf.DUMMYFUNCTION("""COMPUTED_VALUE"""),"TNI0355")</f>
        <v>TNI0355</v>
      </c>
      <c r="B247" s="98" t="str">
        <f>IFERROR(__xludf.DUMMYFUNCTION("""COMPUTED_VALUE"""),"TNI0355: Kawthoung_MEC.PNC_C_MYT_TNI_TEAM04_Aung Myint Myat")</f>
        <v>TNI0355: Kawthoung_MEC.PNC_C_MYT_TNI_TEAM04_Aung Myint Myat</v>
      </c>
      <c r="C247" s="98" t="str">
        <f>IFERROR(__xludf.DUMMYFUNCTION("""COMPUTED_VALUE"""),"TNI0355-JB(TNI0012-TNI0015)_Kawthaung_24 FO : 3.5_Tin Maung Win")</f>
        <v>TNI0355-JB(TNI0012-TNI0015)_Kawthaung_24 FO : 3.5_Tin Maung Win</v>
      </c>
      <c r="D247" s="98" t="str">
        <f>IFERROR(__xludf.DUMMYFUNCTION("""COMPUTED_VALUE"""),"")</f>
        <v/>
      </c>
      <c r="E247" s="98" t="str">
        <f>IFERROR(__xludf.DUMMYFUNCTION("""COMPUTED_VALUE""")," Solar M: TNI0355 MYT_Maintenacne_Solar _ myt_kyawnyein.thu : 20/05/2026 12:49 : 676.94 _ Close + TNI0355 MYT_Maintenacne_Solar _ myt_khantchaw.nyo : 20/05/2026 12:44 : -19.05 _ Close + TNI0355 MYT_Maintenacne_Solar _ myt_kyawnyein.thu : 11/04/2026 12:19 "&amp;": 7.76 _ Close Solar Power:  Maintenance DG:  +  +  + MW Link: ")</f>
        <v> Solar M: TNI0355 MYT_Maintenacne_Solar _ myt_kyawnyein.thu : 20/05/2026 12:49 : 676.94 _ Close + TNI0355 MYT_Maintenacne_Solar _ myt_khantchaw.nyo : 20/05/2026 12:44 : -19.05 _ Close + TNI0355 MYT_Maintenacne_Solar _ myt_kyawnyein.thu : 11/04/2026 12:19 : 7.76 _ Close Solar Power:  Maintenance DG:  +  +  + MW Link: </v>
      </c>
    </row>
    <row r="248">
      <c r="A248" s="98" t="str">
        <f>IFERROR(__xludf.DUMMYFUNCTION("""COMPUTED_VALUE"""),"TNI0356")</f>
        <v>TNI0356</v>
      </c>
      <c r="B248" s="98" t="str">
        <f>IFERROR(__xludf.DUMMYFUNCTION("""COMPUTED_VALUE"""),"TNI0356: Launglon_IGT_B_MYT_TNI_TEAM01_Bone Myat Naing")</f>
        <v>TNI0356: Launglon_IGT_B_MYT_TNI_TEAM01_Bone Myat Naing</v>
      </c>
      <c r="C248" s="98" t="str">
        <f>IFERROR(__xludf.DUMMYFUNCTION("""COMPUTED_VALUE"""),"TNI0356-JB(TNI0147-TNI0170)_LaungLon_24 FO : 1.38_Win Htet Aung")</f>
        <v>TNI0356-JB(TNI0147-TNI0170)_LaungLon_24 FO : 1.38_Win Htet Aung</v>
      </c>
      <c r="D248" s="98" t="str">
        <f>IFERROR(__xludf.DUMMYFUNCTION("""COMPUTED_VALUE"""),"+ OLT: Bone Myat Naing")</f>
        <v>+ OLT: Bone Myat Naing</v>
      </c>
      <c r="E248" s="98" t="str">
        <f>IFERROR(__xludf.DUMMYFUNCTION("""COMPUTED_VALUE""")," Solar M:  Solar Power:  Maintenance DG:  +  +  + MW Link: ")</f>
        <v> Solar M:  Solar Power:  Maintenance DG:  +  +  + MW Link: </v>
      </c>
    </row>
    <row r="249">
      <c r="A249" s="98" t="str">
        <f>IFERROR(__xludf.DUMMYFUNCTION("""COMPUTED_VALUE"""),"TNI0360")</f>
        <v>TNI0360</v>
      </c>
      <c r="B249" s="98" t="str">
        <f>IFERROR(__xludf.DUMMYFUNCTION("""COMPUTED_VALUE"""),"TNI0360: Launglon_EFT_C_MYT_TNI_TEAM01_Bone Myat Naing")</f>
        <v>TNI0360: Launglon_EFT_C_MYT_TNI_TEAM01_Bone Myat Naing</v>
      </c>
      <c r="C249" s="98" t="str">
        <f>IFERROR(__xludf.DUMMYFUNCTION("""COMPUTED_VALUE"""),"")</f>
        <v/>
      </c>
      <c r="D249" s="98" t="str">
        <f>IFERROR(__xludf.DUMMYFUNCTION("""COMPUTED_VALUE"""),"")</f>
        <v/>
      </c>
      <c r="E249" s="98" t="str">
        <f>IFERROR(__xludf.DUMMYFUNCTION("""COMPUTED_VALUE""")," Solar M: TNI0360 MYT_Maintenacne_Solar _ myt_bonemyat.naing1 : 23/04/2026 16:15 : 611.68 _ Close + TNI0360 MYT_Maintenacne_Solar _ myt_bonemyat.naing1 : 10/04/2026 14:15 : -115.39 _ Close Solar Power:  Maintenance DG:  +  +  + MW Link: TNI0360-TNI0210")</f>
        <v> Solar M: TNI0360 MYT_Maintenacne_Solar _ myt_bonemyat.naing1 : 23/04/2026 16:15 : 611.68 _ Close + TNI0360 MYT_Maintenacne_Solar _ myt_bonemyat.naing1 : 10/04/2026 14:15 : -115.39 _ Close Solar Power:  Maintenance DG:  +  +  + MW Link: TNI0360-TNI0210</v>
      </c>
    </row>
    <row r="250">
      <c r="A250" s="98" t="str">
        <f>IFERROR(__xludf.DUMMYFUNCTION("""COMPUTED_VALUE"""),"TNI0361")</f>
        <v>TNI0361</v>
      </c>
      <c r="B250" s="98" t="str">
        <f>IFERROR(__xludf.DUMMYFUNCTION("""COMPUTED_VALUE"""),"TNI0361: Launglon_TIP_B_MYT_TNI_TEAM01_Bone Myat Naing")</f>
        <v>TNI0361: Launglon_TIP_B_MYT_TNI_TEAM01_Bone Myat Naing</v>
      </c>
      <c r="C250" s="98" t="str">
        <f>IFERROR(__xludf.DUMMYFUNCTION("""COMPUTED_VALUE"""),"")</f>
        <v/>
      </c>
      <c r="D250" s="98" t="str">
        <f>IFERROR(__xludf.DUMMYFUNCTION("""COMPUTED_VALUE"""),"")</f>
        <v/>
      </c>
      <c r="E250" s="98" t="str">
        <f>IFERROR(__xludf.DUMMYFUNCTION("""COMPUTED_VALUE""")," Solar M: TNI0361 MYT_Maintenacne_Solar _ myt_bonemyat.naing1 : 23/04/2026 16:12 : 611.68 _ Close + TNI0361 MYT_Maintenacne_Solar _ myt_bonemyat.naing1 : 10/04/2026 14:18 : -115.38 _ Close Solar Power:  Maintenance DG:  +  +  + MW Link: ")</f>
        <v> Solar M: TNI0361 MYT_Maintenacne_Solar _ myt_bonemyat.naing1 : 23/04/2026 16:12 : 611.68 _ Close + TNI0361 MYT_Maintenacne_Solar _ myt_bonemyat.naing1 : 10/04/2026 14:18 : -115.38 _ Close Solar Power:  Maintenance DG:  +  +  + MW Link: </v>
      </c>
    </row>
    <row r="251">
      <c r="A251" s="98" t="str">
        <f>IFERROR(__xludf.DUMMYFUNCTION("""COMPUTED_VALUE"""),"TNI0365")</f>
        <v>TNI0365</v>
      </c>
      <c r="B251" s="98" t="str">
        <f>IFERROR(__xludf.DUMMYFUNCTION("""COMPUTED_VALUE"""),"TNI0365: Kyunsu_OCK_C_MYT_TNI_TEAM02_Ye Lin")</f>
        <v>TNI0365: Kyunsu_OCK_C_MYT_TNI_TEAM02_Ye Lin</v>
      </c>
      <c r="C251" s="98" t="str">
        <f>IFERROR(__xludf.DUMMYFUNCTION("""COMPUTED_VALUE"""),"")</f>
        <v/>
      </c>
      <c r="D251" s="98" t="str">
        <f>IFERROR(__xludf.DUMMYFUNCTION("""COMPUTED_VALUE"""),"")</f>
        <v/>
      </c>
      <c r="E251" s="98" t="str">
        <f>IFERROR(__xludf.DUMMYFUNCTION("""COMPUTED_VALUE""")," Solar M:  Solar Power:  Maintenance DG:  +  +  + MW Link: TNI0365-TNI0308")</f>
        <v> Solar M:  Solar Power:  Maintenance DG:  +  +  + MW Link: TNI0365-TNI0308</v>
      </c>
    </row>
    <row r="252">
      <c r="A252" s="98" t="str">
        <f>IFERROR(__xludf.DUMMYFUNCTION("""COMPUTED_VALUE"""),"TNI0366")</f>
        <v>TNI0366</v>
      </c>
      <c r="B252" s="98" t="str">
        <f>IFERROR(__xludf.DUMMYFUNCTION("""COMPUTED_VALUE"""),"TNI0366: Launglon_MEC.PNC_C_MYT_TNI_TEAM01_Win Htet Aung")</f>
        <v>TNI0366: Launglon_MEC.PNC_C_MYT_TNI_TEAM01_Win Htet Aung</v>
      </c>
      <c r="C252" s="98" t="str">
        <f>IFERROR(__xludf.DUMMYFUNCTION("""COMPUTED_VALUE"""),"TNI0216-TNI0366_LaungLon_48 FO : 7.2_Win Htet Aung")</f>
        <v>TNI0216-TNI0366_LaungLon_48 FO : 7.2_Win Htet Aung</v>
      </c>
      <c r="D252" s="98" t="str">
        <f>IFERROR(__xludf.DUMMYFUNCTION("""COMPUTED_VALUE"""),"")</f>
        <v/>
      </c>
      <c r="E252" s="98" t="str">
        <f>IFERROR(__xludf.DUMMYFUNCTION("""COMPUTED_VALUE""")," Solar M:  Solar Power:  Maintenance DG:  +  +  + MW Link: ")</f>
        <v> Solar M:  Solar Power:  Maintenance DG:  +  +  + MW Link: </v>
      </c>
    </row>
    <row r="253">
      <c r="A253" s="98" t="str">
        <f>IFERROR(__xludf.DUMMYFUNCTION("""COMPUTED_VALUE"""),"TNI0370")</f>
        <v>TNI0370</v>
      </c>
      <c r="B253" s="98" t="str">
        <f>IFERROR(__xludf.DUMMYFUNCTION("""COMPUTED_VALUE"""),"TNI0370: Kyunsu_NTD_C_MYT_TNI_TEAM02_Wanna Oo")</f>
        <v>TNI0370: Kyunsu_NTD_C_MYT_TNI_TEAM02_Wanna Oo</v>
      </c>
      <c r="C253" s="98" t="str">
        <f>IFERROR(__xludf.DUMMYFUNCTION("""COMPUTED_VALUE"""),"")</f>
        <v/>
      </c>
      <c r="D253" s="98" t="str">
        <f>IFERROR(__xludf.DUMMYFUNCTION("""COMPUTED_VALUE"""),"")</f>
        <v/>
      </c>
      <c r="E253" s="98" t="str">
        <f>IFERROR(__xludf.DUMMYFUNCTION("""COMPUTED_VALUE""")," Solar M: TNI0370 MYT_Maintenacne_Solar _ myt_wanna.oo2 : 30/12/1899 00:00 :  _ Close + TNI0370 MYT_Maintenacne_Solar _ myt_wanna.oo2 : 07/04/2026 14:28 : 159.68 _ Close Solar Power:  Maintenance DG:  +  +  + MW Link: TNI0370-TNI0267")</f>
        <v> Solar M: TNI0370 MYT_Maintenacne_Solar _ myt_wanna.oo2 : 30/12/1899 00:00 :  _ Close + TNI0370 MYT_Maintenacne_Solar _ myt_wanna.oo2 : 07/04/2026 14:28 : 159.68 _ Close Solar Power:  Maintenance DG:  +  +  + MW Link: TNI0370-TNI0267</v>
      </c>
    </row>
    <row r="254">
      <c r="A254" s="98" t="str">
        <f>IFERROR(__xludf.DUMMYFUNCTION("""COMPUTED_VALUE"""),"TNI0371")</f>
        <v>TNI0371</v>
      </c>
      <c r="B254" s="98" t="str">
        <f>IFERROR(__xludf.DUMMYFUNCTION("""COMPUTED_VALUE"""),"TNI0371: Kyunsu_OCK_C_MYT_TNI_TEAM02_Ye Lin")</f>
        <v>TNI0371: Kyunsu_OCK_C_MYT_TNI_TEAM02_Ye Lin</v>
      </c>
      <c r="C254" s="98" t="str">
        <f>IFERROR(__xludf.DUMMYFUNCTION("""COMPUTED_VALUE"""),"")</f>
        <v/>
      </c>
      <c r="D254" s="98" t="str">
        <f>IFERROR(__xludf.DUMMYFUNCTION("""COMPUTED_VALUE"""),"")</f>
        <v/>
      </c>
      <c r="E254" s="98" t="str">
        <f>IFERROR(__xludf.DUMMYFUNCTION("""COMPUTED_VALUE""")," Solar M:  Solar Power:  Maintenance DG:  +  +  + MW Link: TNI0371-TNI0324")</f>
        <v> Solar M:  Solar Power:  Maintenance DG:  +  +  + MW Link: TNI0371-TNI0324</v>
      </c>
    </row>
    <row r="255">
      <c r="A255" s="98" t="str">
        <f>IFERROR(__xludf.DUMMYFUNCTION("""COMPUTED_VALUE"""),"TNI0372")</f>
        <v>TNI0372</v>
      </c>
      <c r="B255" s="98" t="str">
        <f>IFERROR(__xludf.DUMMYFUNCTION("""COMPUTED_VALUE"""),"TNI0372: Kawthoung_IGT_C_MYT_TNI_TEAM04_Tin Maung Win")</f>
        <v>TNI0372: Kawthoung_IGT_C_MYT_TNI_TEAM04_Tin Maung Win</v>
      </c>
      <c r="C255" s="98" t="str">
        <f>IFERROR(__xludf.DUMMYFUNCTION("""COMPUTED_VALUE"""),"TNI0229-TNI0372_Kawthoung_24 FO : 1.5_Khant Chaw Nyo")</f>
        <v>TNI0229-TNI0372_Kawthoung_24 FO : 1.5_Khant Chaw Nyo</v>
      </c>
      <c r="D255" s="98" t="str">
        <f>IFERROR(__xludf.DUMMYFUNCTION("""COMPUTED_VALUE"""),"")</f>
        <v/>
      </c>
      <c r="E255" s="98" t="str">
        <f>IFERROR(__xludf.DUMMYFUNCTION("""COMPUTED_VALUE""")," Solar M:  Solar Power:  Maintenance DG:  +  +  + MW Link: TNI0372-TNI0011")</f>
        <v> Solar M:  Solar Power:  Maintenance DG:  +  +  + MW Link: TNI0372-TNI0011</v>
      </c>
    </row>
    <row r="256">
      <c r="A256" s="98" t="str">
        <f>IFERROR(__xludf.DUMMYFUNCTION("""COMPUTED_VALUE"""),"TNI0379")</f>
        <v>TNI0379</v>
      </c>
      <c r="B256" s="98" t="str">
        <f>IFERROR(__xludf.DUMMYFUNCTION("""COMPUTED_VALUE"""),"TNI0379: Kyunsu_TIP_C_MYT_TNI_TEAM02_Zin Min Shein")</f>
        <v>TNI0379: Kyunsu_TIP_C_MYT_TNI_TEAM02_Zin Min Shein</v>
      </c>
      <c r="C256" s="98" t="str">
        <f>IFERROR(__xludf.DUMMYFUNCTION("""COMPUTED_VALUE"""),"")</f>
        <v/>
      </c>
      <c r="D256" s="98" t="str">
        <f>IFERROR(__xludf.DUMMYFUNCTION("""COMPUTED_VALUE"""),"")</f>
        <v/>
      </c>
      <c r="E256" s="98" t="str">
        <f>IFERROR(__xludf.DUMMYFUNCTION("""COMPUTED_VALUE""")," Solar M:  Solar Power:  Maintenance DG:  +  +  + MW Link: TNI0379-TNI0001")</f>
        <v> Solar M:  Solar Power:  Maintenance DG:  +  +  + MW Link: TNI0379-TNI0001</v>
      </c>
    </row>
    <row r="257">
      <c r="A257" s="98" t="str">
        <f>IFERROR(__xludf.DUMMYFUNCTION("""COMPUTED_VALUE"""),"TNI0380")</f>
        <v>TNI0380</v>
      </c>
      <c r="B257" s="98" t="str">
        <f>IFERROR(__xludf.DUMMYFUNCTION("""COMPUTED_VALUE"""),"TNI0380: Kyunsu_TIP_C_MYT_TNI_TEAM02_Pyi Kyaw Aung")</f>
        <v>TNI0380: Kyunsu_TIP_C_MYT_TNI_TEAM02_Pyi Kyaw Aung</v>
      </c>
      <c r="C257" s="98" t="str">
        <f>IFERROR(__xludf.DUMMYFUNCTION("""COMPUTED_VALUE"""),"")</f>
        <v/>
      </c>
      <c r="D257" s="98" t="str">
        <f>IFERROR(__xludf.DUMMYFUNCTION("""COMPUTED_VALUE"""),"")</f>
        <v/>
      </c>
      <c r="E257" s="98" t="str">
        <f>IFERROR(__xludf.DUMMYFUNCTION("""COMPUTED_VALUE""")," Solar M:  Solar Power:  Maintenance DG:  +  +  + MW Link: TNI0380-TNI0137")</f>
        <v> Solar M:  Solar Power:  Maintenance DG:  +  +  + MW Link: TNI0380-TNI0137</v>
      </c>
    </row>
    <row r="258">
      <c r="A258" s="98" t="str">
        <f>IFERROR(__xludf.DUMMYFUNCTION("""COMPUTED_VALUE"""),"TNI0381")</f>
        <v>TNI0381</v>
      </c>
      <c r="B258" s="98" t="str">
        <f>IFERROR(__xludf.DUMMYFUNCTION("""COMPUTED_VALUE"""),"TNI0381: Kyunsu_TIP_C_MYT_TNI_TEAM02_Ye Lin")</f>
        <v>TNI0381: Kyunsu_TIP_C_MYT_TNI_TEAM02_Ye Lin</v>
      </c>
      <c r="C258" s="98" t="str">
        <f>IFERROR(__xludf.DUMMYFUNCTION("""COMPUTED_VALUE"""),"")</f>
        <v/>
      </c>
      <c r="D258" s="98" t="str">
        <f>IFERROR(__xludf.DUMMYFUNCTION("""COMPUTED_VALUE"""),"")</f>
        <v/>
      </c>
      <c r="E258" s="98" t="str">
        <f>IFERROR(__xludf.DUMMYFUNCTION("""COMPUTED_VALUE""")," Solar M:  Solar Power:  Maintenance DG:  +  +  + MW Link: TNI0381-TNI0209")</f>
        <v> Solar M:  Solar Power:  Maintenance DG:  +  +  + MW Link: TNI0381-TNI0209</v>
      </c>
    </row>
    <row r="259">
      <c r="A259" s="98" t="str">
        <f>IFERROR(__xludf.DUMMYFUNCTION("""COMPUTED_VALUE"""),"TNI0382")</f>
        <v>TNI0382</v>
      </c>
      <c r="B259" s="98" t="str">
        <f>IFERROR(__xludf.DUMMYFUNCTION("""COMPUTED_VALUE"""),"TNI0382: Bokpyin_TIP_C_MYT_TNI_TEAM02_Pyi Kyaw Aung")</f>
        <v>TNI0382: Bokpyin_TIP_C_MYT_TNI_TEAM02_Pyi Kyaw Aung</v>
      </c>
      <c r="C259" s="98" t="str">
        <f>IFERROR(__xludf.DUMMYFUNCTION("""COMPUTED_VALUE"""),"")</f>
        <v/>
      </c>
      <c r="D259" s="98" t="str">
        <f>IFERROR(__xludf.DUMMYFUNCTION("""COMPUTED_VALUE"""),"")</f>
        <v/>
      </c>
      <c r="E259" s="98" t="str">
        <f>IFERROR(__xludf.DUMMYFUNCTION("""COMPUTED_VALUE""")," Solar M:  Solar Power:  Maintenance DG:  +  +  + MW Link: TNI0382-TNI0381")</f>
        <v> Solar M:  Solar Power:  Maintenance DG:  +  +  + MW Link: TNI0382-TNI0381</v>
      </c>
    </row>
    <row r="260">
      <c r="A260" s="98" t="str">
        <f>IFERROR(__xludf.DUMMYFUNCTION("""COMPUTED_VALUE"""),"TNI0383")</f>
        <v>TNI0383</v>
      </c>
      <c r="B260" s="98" t="str">
        <f>IFERROR(__xludf.DUMMYFUNCTION("""COMPUTED_VALUE"""),"TNI0383: Bokpyin_TIP_C_MYT_TNI_TEAM03_Khant Si Thu")</f>
        <v>TNI0383: Bokpyin_TIP_C_MYT_TNI_TEAM03_Khant Si Thu</v>
      </c>
      <c r="C260" s="98" t="str">
        <f>IFERROR(__xludf.DUMMYFUNCTION("""COMPUTED_VALUE"""),"")</f>
        <v/>
      </c>
      <c r="D260" s="98" t="str">
        <f>IFERROR(__xludf.DUMMYFUNCTION("""COMPUTED_VALUE"""),"")</f>
        <v/>
      </c>
      <c r="E260" s="98" t="str">
        <f>IFERROR(__xludf.DUMMYFUNCTION("""COMPUTED_VALUE""")," Solar M:  Solar Power:  Maintenance DG:  +  +  + MW Link: TNI0383-TNI0124")</f>
        <v> Solar M:  Solar Power:  Maintenance DG:  +  +  + MW Link: TNI0383-TNI0124</v>
      </c>
    </row>
    <row r="261">
      <c r="A261" s="98" t="str">
        <f>IFERROR(__xludf.DUMMYFUNCTION("""COMPUTED_VALUE"""),"TNI0384")</f>
        <v>TNI0384</v>
      </c>
      <c r="B261" s="98" t="str">
        <f>IFERROR(__xludf.DUMMYFUNCTION("""COMPUTED_VALUE"""),"TNI0384: Kyunsu_TIP_C_MYT_TNI_TEAM02_Ye Lin")</f>
        <v>TNI0384: Kyunsu_TIP_C_MYT_TNI_TEAM02_Ye Lin</v>
      </c>
      <c r="C261" s="98" t="str">
        <f>IFERROR(__xludf.DUMMYFUNCTION("""COMPUTED_VALUE"""),"")</f>
        <v/>
      </c>
      <c r="D261" s="98" t="str">
        <f>IFERROR(__xludf.DUMMYFUNCTION("""COMPUTED_VALUE"""),"")</f>
        <v/>
      </c>
      <c r="E261" s="98" t="str">
        <f>IFERROR(__xludf.DUMMYFUNCTION("""COMPUTED_VALUE""")," Solar M:  Solar Power:  Maintenance DG:  +  +  + MW Link: TNI0384-TNI0380")</f>
        <v> Solar M:  Solar Power:  Maintenance DG:  +  +  + MW Link: TNI0384-TNI0380</v>
      </c>
    </row>
    <row r="262">
      <c r="A262" s="98" t="str">
        <f>IFERROR(__xludf.DUMMYFUNCTION("""COMPUTED_VALUE"""),"TNI0385")</f>
        <v>TNI0385</v>
      </c>
      <c r="B262" s="98" t="str">
        <f>IFERROR(__xludf.DUMMYFUNCTION("""COMPUTED_VALUE"""),"TNI0385: Kyunsu_TIP_C_MYT_TNI_TEAM02_Ye Lin")</f>
        <v>TNI0385: Kyunsu_TIP_C_MYT_TNI_TEAM02_Ye Lin</v>
      </c>
      <c r="C262" s="98" t="str">
        <f>IFERROR(__xludf.DUMMYFUNCTION("""COMPUTED_VALUE"""),"")</f>
        <v/>
      </c>
      <c r="D262" s="98" t="str">
        <f>IFERROR(__xludf.DUMMYFUNCTION("""COMPUTED_VALUE"""),"")</f>
        <v/>
      </c>
      <c r="E262" s="98" t="str">
        <f>IFERROR(__xludf.DUMMYFUNCTION("""COMPUTED_VALUE""")," Solar M:  Solar Power:  Maintenance DG:  +  +  + MW Link: TNI0385-TNI0384")</f>
        <v> Solar M:  Solar Power:  Maintenance DG:  +  +  + MW Link: TNI0385-TNI0384</v>
      </c>
    </row>
    <row r="263">
      <c r="A263" s="98" t="str">
        <f>IFERROR(__xludf.DUMMYFUNCTION("""COMPUTED_VALUE"""),"TNI0386")</f>
        <v>TNI0386</v>
      </c>
      <c r="B263" s="98" t="str">
        <f>IFERROR(__xludf.DUMMYFUNCTION("""COMPUTED_VALUE"""),"TNI0386: Kyunsu_TIP_C_MYT_TNI_TEAM02_Ye Lin")</f>
        <v>TNI0386: Kyunsu_TIP_C_MYT_TNI_TEAM02_Ye Lin</v>
      </c>
      <c r="C263" s="98" t="str">
        <f>IFERROR(__xludf.DUMMYFUNCTION("""COMPUTED_VALUE"""),"")</f>
        <v/>
      </c>
      <c r="D263" s="98" t="str">
        <f>IFERROR(__xludf.DUMMYFUNCTION("""COMPUTED_VALUE"""),"")</f>
        <v/>
      </c>
      <c r="E263" s="98" t="str">
        <f>IFERROR(__xludf.DUMMYFUNCTION("""COMPUTED_VALUE""")," Solar M:  Solar Power:  Maintenance DG:  +  +  + MW Link: TNI0386-TNI0380")</f>
        <v> Solar M:  Solar Power:  Maintenance DG:  +  +  + MW Link: TNI0386-TNI0380</v>
      </c>
    </row>
    <row r="264">
      <c r="A264" s="98" t="str">
        <f>IFERROR(__xludf.DUMMYFUNCTION("""COMPUTED_VALUE"""),"TNI0388")</f>
        <v>TNI0388</v>
      </c>
      <c r="B264" s="98" t="str">
        <f>IFERROR(__xludf.DUMMYFUNCTION("""COMPUTED_VALUE"""),"TNI0388: Palaw_TIP_C_MYT_TNI_TEAM02_Min Paing Oo")</f>
        <v>TNI0388: Palaw_TIP_C_MYT_TNI_TEAM02_Min Paing Oo</v>
      </c>
      <c r="C264" s="98" t="str">
        <f>IFERROR(__xludf.DUMMYFUNCTION("""COMPUTED_VALUE"""),"")</f>
        <v/>
      </c>
      <c r="D264" s="98" t="str">
        <f>IFERROR(__xludf.DUMMYFUNCTION("""COMPUTED_VALUE"""),"")</f>
        <v/>
      </c>
      <c r="E264" s="98" t="str">
        <f>IFERROR(__xludf.DUMMYFUNCTION("""COMPUTED_VALUE""")," Solar M:  Solar Power:  Maintenance DG:  +  +  + MW Link: TNI0388-TNI0122")</f>
        <v> Solar M:  Solar Power:  Maintenance DG:  +  +  + MW Link: TNI0388-TNI0122</v>
      </c>
    </row>
    <row r="265">
      <c r="A265" s="98" t="str">
        <f>IFERROR(__xludf.DUMMYFUNCTION("""COMPUTED_VALUE"""),"TNI0390")</f>
        <v>TNI0390</v>
      </c>
      <c r="B265" s="98" t="str">
        <f>IFERROR(__xludf.DUMMYFUNCTION("""COMPUTED_VALUE"""),"TNI0390: Yebyu_TIP_C_MYT_TNI_TEAM01_Thu Rain Niang")</f>
        <v>TNI0390: Yebyu_TIP_C_MYT_TNI_TEAM01_Thu Rain Niang</v>
      </c>
      <c r="C265" s="98" t="str">
        <f>IFERROR(__xludf.DUMMYFUNCTION("""COMPUTED_VALUE"""),"TNI0390-JB(MON0002-TNI0006)_Yebyu_48 FO : 0.8_Thar Htoo Aung")</f>
        <v>TNI0390-JB(MON0002-TNI0006)_Yebyu_48 FO : 0.8_Thar Htoo Aung</v>
      </c>
      <c r="D265" s="98" t="str">
        <f>IFERROR(__xludf.DUMMYFUNCTION("""COMPUTED_VALUE"""),"")</f>
        <v/>
      </c>
      <c r="E265" s="98" t="str">
        <f>IFERROR(__xludf.DUMMYFUNCTION("""COMPUTED_VALUE""")," Solar M:  Solar Power:  Maintenance DG:  +  +  + MW Link: ")</f>
        <v> Solar M:  Solar Power:  Maintenance DG:  +  +  + MW Link: </v>
      </c>
    </row>
    <row r="266">
      <c r="A266" s="98" t="str">
        <f>IFERROR(__xludf.DUMMYFUNCTION("""COMPUTED_VALUE"""),"TNI0391")</f>
        <v>TNI0391</v>
      </c>
      <c r="B266" s="98" t="str">
        <f>IFERROR(__xludf.DUMMYFUNCTION("""COMPUTED_VALUE"""),"TNI0391: Palaw_OCK_C_MYT_TNI_TEAM02_Min Paing Oo")</f>
        <v>TNI0391: Palaw_OCK_C_MYT_TNI_TEAM02_Min Paing Oo</v>
      </c>
      <c r="C266" s="98" t="str">
        <f>IFERROR(__xludf.DUMMYFUNCTION("""COMPUTED_VALUE"""),"")</f>
        <v/>
      </c>
      <c r="D266" s="98" t="str">
        <f>IFERROR(__xludf.DUMMYFUNCTION("""COMPUTED_VALUE"""),"")</f>
        <v/>
      </c>
      <c r="E266" s="98" t="str">
        <f>IFERROR(__xludf.DUMMYFUNCTION("""COMPUTED_VALUE""")," Solar M:  Solar Power:  Maintenance DG:  +  +  + MW Link: TNI0391-TNI0007")</f>
        <v> Solar M:  Solar Power:  Maintenance DG:  +  +  + MW Link: TNI0391-TNI0007</v>
      </c>
    </row>
    <row r="267">
      <c r="A267" s="98" t="str">
        <f>IFERROR(__xludf.DUMMYFUNCTION("""COMPUTED_VALUE"""),"TNI0392")</f>
        <v>TNI0392</v>
      </c>
      <c r="B267" s="98" t="str">
        <f>IFERROR(__xludf.DUMMYFUNCTION("""COMPUTED_VALUE"""),"TNI0392: Kawthoung_MEC_C_MYT_TNI_TEAM04_Tin Maung Win")</f>
        <v>TNI0392: Kawthoung_MEC_C_MYT_TNI_TEAM04_Tin Maung Win</v>
      </c>
      <c r="C267" s="98" t="str">
        <f>IFERROR(__xludf.DUMMYFUNCTION("""COMPUTED_VALUE"""),"")</f>
        <v/>
      </c>
      <c r="D267" s="98" t="str">
        <f>IFERROR(__xludf.DUMMYFUNCTION("""COMPUTED_VALUE"""),"")</f>
        <v/>
      </c>
      <c r="E267" s="98" t="str">
        <f>IFERROR(__xludf.DUMMYFUNCTION("""COMPUTED_VALUE"""),"TZK Co.ltd : tni_dia_victoria_cliff  Km TNI0392 MYT_Routine_Maintenance_Mytel_Station_VCM _ myt_tinmaung.win : 31/05/2026 14:41 : 807.25 _ Close Solar M: TNI0392 MYT_Maintenacne_Solar _ myt_tinmaung.win : 30/12/1899 00:00 :  _ Close + TNI0392 MYT_Maintena"&amp;"cne_Solar _ myt_tinmaung.win : 08/05/2026 15:57 : 207.9 _ Close + TNI0392 MYT_Maintenacne_Solar _ myt_tinmaung.win : 08/05/2026 15:22 : -570.2 _ Close Solar Power:  Maintenance DG:  +  +  + MW Link: TNI0392-TNI0404")</f>
        <v>TZK Co.ltd : tni_dia_victoria_cliff  Km TNI0392 MYT_Routine_Maintenance_Mytel_Station_VCM _ myt_tinmaung.win : 31/05/2026 14:41 : 807.25 _ Close Solar M: TNI0392 MYT_Maintenacne_Solar _ myt_tinmaung.win : 30/12/1899 00:00 :  _ Close + TNI0392 MYT_Maintenacne_Solar _ myt_tinmaung.win : 08/05/2026 15:57 : 207.9 _ Close + TNI0392 MYT_Maintenacne_Solar _ myt_tinmaung.win : 08/05/2026 15:22 : -570.2 _ Close Solar Power:  Maintenance DG:  +  +  + MW Link: TNI0392-TNI0404</v>
      </c>
    </row>
    <row r="268">
      <c r="A268" s="98" t="str">
        <f>IFERROR(__xludf.DUMMYFUNCTION("""COMPUTED_VALUE"""),"TNI0394")</f>
        <v>TNI0394</v>
      </c>
      <c r="B268" s="98" t="str">
        <f>IFERROR(__xludf.DUMMYFUNCTION("""COMPUTED_VALUE"""),"TNI0394: Launglon_Mytel_B_MYT_TNI_TEAM01_Thar Htoo Aung")</f>
        <v>TNI0394: Launglon_Mytel_B_MYT_TNI_TEAM01_Thar Htoo Aung</v>
      </c>
      <c r="C268" s="98" t="str">
        <f>IFERROR(__xludf.DUMMYFUNCTION("""COMPUTED_VALUE"""),"")</f>
        <v/>
      </c>
      <c r="D268" s="98" t="str">
        <f>IFERROR(__xludf.DUMMYFUNCTION("""COMPUTED_VALUE"""),"")</f>
        <v/>
      </c>
      <c r="E268" s="98" t="str">
        <f>IFERROR(__xludf.DUMMYFUNCTION("""COMPUTED_VALUE"""),"TNI0394 MYT_Routine_Maintenance_Mytel_Station MYT_RTE_MTE_SB_STN _ myt_paingaung.soe : 30/12/1899 00:00 : 886.64 _ FT assigned Solar M:  Solar Power:  Maintenance DG:  +  +  + MW Link: TNI0394-TNI0210")</f>
        <v>TNI0394 MYT_Routine_Maintenance_Mytel_Station MYT_RTE_MTE_SB_STN _ myt_paingaung.soe : 30/12/1899 00:00 : 886.64 _ FT assigned Solar M:  Solar Power:  Maintenance DG:  +  +  + MW Link: TNI0394-TNI0210</v>
      </c>
    </row>
    <row r="269">
      <c r="A269" s="98" t="str">
        <f>IFERROR(__xludf.DUMMYFUNCTION("""COMPUTED_VALUE"""),"TNI0398")</f>
        <v>TNI0398</v>
      </c>
      <c r="B269" s="98" t="str">
        <f>IFERROR(__xludf.DUMMYFUNCTION("""COMPUTED_VALUE"""),"TNI0398: Kyunsu_NTD_C_MYT_TNI_TEAM02_Maung Maung")</f>
        <v>TNI0398: Kyunsu_NTD_C_MYT_TNI_TEAM02_Maung Maung</v>
      </c>
      <c r="C269" s="98" t="str">
        <f>IFERROR(__xludf.DUMMYFUNCTION("""COMPUTED_VALUE"""),"")</f>
        <v/>
      </c>
      <c r="D269" s="98" t="str">
        <f>IFERROR(__xludf.DUMMYFUNCTION("""COMPUTED_VALUE"""),"")</f>
        <v/>
      </c>
      <c r="E269" s="98" t="str">
        <f>IFERROR(__xludf.DUMMYFUNCTION("""COMPUTED_VALUE""")," Solar M:  Solar Power:  Maintenance DG:  +  +  + MW Link: TNI0398-TNI0399")</f>
        <v> Solar M:  Solar Power:  Maintenance DG:  +  +  + MW Link: TNI0398-TNI0399</v>
      </c>
    </row>
    <row r="270">
      <c r="A270" s="98" t="str">
        <f>IFERROR(__xludf.DUMMYFUNCTION("""COMPUTED_VALUE"""),"TNI0399")</f>
        <v>TNI0399</v>
      </c>
      <c r="B270" s="98" t="str">
        <f>IFERROR(__xludf.DUMMYFUNCTION("""COMPUTED_VALUE"""),"TNI0399: Kyunsu_NTD_C_MYT_TNI_TEAM02_Maung Maung")</f>
        <v>TNI0399: Kyunsu_NTD_C_MYT_TNI_TEAM02_Maung Maung</v>
      </c>
      <c r="C270" s="98" t="str">
        <f>IFERROR(__xludf.DUMMYFUNCTION("""COMPUTED_VALUE"""),"")</f>
        <v/>
      </c>
      <c r="D270" s="98" t="str">
        <f>IFERROR(__xludf.DUMMYFUNCTION("""COMPUTED_VALUE"""),"")</f>
        <v/>
      </c>
      <c r="E270" s="98" t="str">
        <f>IFERROR(__xludf.DUMMYFUNCTION("""COMPUTED_VALUE""")," Solar M:  Solar Power:  Maintenance DG:  +  +  + MW Link: TNI0399-TNI0386")</f>
        <v> Solar M:  Solar Power:  Maintenance DG:  +  +  + MW Link: TNI0399-TNI0386</v>
      </c>
    </row>
    <row r="271">
      <c r="A271" s="98" t="str">
        <f>IFERROR(__xludf.DUMMYFUNCTION("""COMPUTED_VALUE"""),"TNI0401")</f>
        <v>TNI0401</v>
      </c>
      <c r="B271" s="98" t="str">
        <f>IFERROR(__xludf.DUMMYFUNCTION("""COMPUTED_VALUE"""),"TNI0401: Kawthoung_OCK_C_MYT_TNI_TEAM04_Aung Myint Myat")</f>
        <v>TNI0401: Kawthoung_OCK_C_MYT_TNI_TEAM04_Aung Myint Myat</v>
      </c>
      <c r="C271" s="98" t="str">
        <f>IFERROR(__xludf.DUMMYFUNCTION("""COMPUTED_VALUE"""),"TNI0401-JB(TNI0012-TNI0015)_Tanintharyi_24 FO : 12.6_Tin Maung Win")</f>
        <v>TNI0401-JB(TNI0012-TNI0015)_Tanintharyi_24 FO : 12.6_Tin Maung Win</v>
      </c>
      <c r="D271" s="98" t="str">
        <f>IFERROR(__xludf.DUMMYFUNCTION("""COMPUTED_VALUE"""),"")</f>
        <v/>
      </c>
      <c r="E271" s="98" t="str">
        <f>IFERROR(__xludf.DUMMYFUNCTION("""COMPUTED_VALUE""")," Solar M:  Solar Power:  Maintenance DG:  +  +  + MW Link: ")</f>
        <v> Solar M:  Solar Power:  Maintenance DG:  +  +  + MW Link: </v>
      </c>
    </row>
    <row r="272">
      <c r="A272" s="98" t="str">
        <f>IFERROR(__xludf.DUMMYFUNCTION("""COMPUTED_VALUE"""),"TNI0402")</f>
        <v>TNI0402</v>
      </c>
      <c r="B272" s="98" t="str">
        <f>IFERROR(__xludf.DUMMYFUNCTION("""COMPUTED_VALUE"""),"TNI0402: Bokpyin_TIP_C_MYT_TNI_TEAM03_Khant Si Thu")</f>
        <v>TNI0402: Bokpyin_TIP_C_MYT_TNI_TEAM03_Khant Si Thu</v>
      </c>
      <c r="C272" s="98" t="str">
        <f>IFERROR(__xludf.DUMMYFUNCTION("""COMPUTED_VALUE"""),"")</f>
        <v/>
      </c>
      <c r="D272" s="98" t="str">
        <f>IFERROR(__xludf.DUMMYFUNCTION("""COMPUTED_VALUE"""),"")</f>
        <v/>
      </c>
      <c r="E272" s="98" t="str">
        <f>IFERROR(__xludf.DUMMYFUNCTION("""COMPUTED_VALUE""")," Solar M:  Solar Power:  Maintenance DG:  +  +  + MW Link: TNI0402-TNI0417")</f>
        <v> Solar M:  Solar Power:  Maintenance DG:  +  +  + MW Link: TNI0402-TNI0417</v>
      </c>
    </row>
    <row r="273">
      <c r="A273" s="98" t="str">
        <f>IFERROR(__xludf.DUMMYFUNCTION("""COMPUTED_VALUE"""),"TNI0404")</f>
        <v>TNI0404</v>
      </c>
      <c r="B273" s="98" t="str">
        <f>IFERROR(__xludf.DUMMYFUNCTION("""COMPUTED_VALUE"""),"TNI0404: Kawthoung_MEC_C_MYT_TNI_TEAM04_Tin Maung Win")</f>
        <v>TNI0404: Kawthoung_MEC_C_MYT_TNI_TEAM04_Tin Maung Win</v>
      </c>
      <c r="C273" s="98" t="str">
        <f>IFERROR(__xludf.DUMMYFUNCTION("""COMPUTED_VALUE"""),"TNI0120-TNI0404_Kawthoung_24 FO : 7_Khant Chaw Nyo")</f>
        <v>TNI0120-TNI0404_Kawthoung_24 FO : 7_Khant Chaw Nyo</v>
      </c>
      <c r="D273" s="98" t="str">
        <f>IFERROR(__xludf.DUMMYFUNCTION("""COMPUTED_VALUE"""),"")</f>
        <v/>
      </c>
      <c r="E273" s="98" t="str">
        <f>IFERROR(__xludf.DUMMYFUNCTION("""COMPUTED_VALUE""")," Solar M: TNI0404 MYT_Maintenacne_Solar _ myt_tinmaung.win : 30/12/1899 00:00 :  _ Close + TNI0404 MYT_Maintenacne_Solar _ myt_tinmaung.win : 11/05/2026 12:05 : 175.55 _ Close Solar Power:  Maintenance DG:  +  +  + MW Link: TNI0404-TNI0022")</f>
        <v> Solar M: TNI0404 MYT_Maintenacne_Solar _ myt_tinmaung.win : 30/12/1899 00:00 :  _ Close + TNI0404 MYT_Maintenacne_Solar _ myt_tinmaung.win : 11/05/2026 12:05 : 175.55 _ Close Solar Power:  Maintenance DG:  +  +  + MW Link: TNI0404-TNI0022</v>
      </c>
    </row>
    <row r="274">
      <c r="A274" s="98" t="str">
        <f>IFERROR(__xludf.DUMMYFUNCTION("""COMPUTED_VALUE"""),"TNI0406")</f>
        <v>TNI0406</v>
      </c>
      <c r="B274" s="98" t="str">
        <f>IFERROR(__xludf.DUMMYFUNCTION("""COMPUTED_VALUE"""),"TNI0406: Kyunsu_OCK_C_MYT_TNI_TEAM02_Zin Min Shein")</f>
        <v>TNI0406: Kyunsu_OCK_C_MYT_TNI_TEAM02_Zin Min Shein</v>
      </c>
      <c r="C274" s="98" t="str">
        <f>IFERROR(__xludf.DUMMYFUNCTION("""COMPUTED_VALUE"""),"")</f>
        <v/>
      </c>
      <c r="D274" s="98" t="str">
        <f>IFERROR(__xludf.DUMMYFUNCTION("""COMPUTED_VALUE"""),"")</f>
        <v/>
      </c>
      <c r="E274" s="98" t="str">
        <f>IFERROR(__xludf.DUMMYFUNCTION("""COMPUTED_VALUE""")," Solar M:  Solar Power:  Maintenance DG:  +  +  + MW Link: TNI0406-TNI0379")</f>
        <v> Solar M:  Solar Power:  Maintenance DG:  +  +  + MW Link: TNI0406-TNI0379</v>
      </c>
    </row>
    <row r="275">
      <c r="A275" s="98" t="str">
        <f>IFERROR(__xludf.DUMMYFUNCTION("""COMPUTED_VALUE"""),"TNI0410")</f>
        <v>TNI0410</v>
      </c>
      <c r="B275" s="98" t="str">
        <f>IFERROR(__xludf.DUMMYFUNCTION("""COMPUTED_VALUE"""),"TNI0410: Palaw_OCK_C_MYT_TNI_TEAM02_Min Paing Oo")</f>
        <v>TNI0410: Palaw_OCK_C_MYT_TNI_TEAM02_Min Paing Oo</v>
      </c>
      <c r="C275" s="98" t="str">
        <f>IFERROR(__xludf.DUMMYFUNCTION("""COMPUTED_VALUE"""),"")</f>
        <v/>
      </c>
      <c r="D275" s="98" t="str">
        <f>IFERROR(__xludf.DUMMYFUNCTION("""COMPUTED_VALUE"""),"")</f>
        <v/>
      </c>
      <c r="E275" s="98" t="str">
        <f>IFERROR(__xludf.DUMMYFUNCTION("""COMPUTED_VALUE""")," Solar M:  Solar Power:  Maintenance DG:  +  +  + MW Link: TNI0410-TNI0388")</f>
        <v> Solar M:  Solar Power:  Maintenance DG:  +  +  + MW Link: TNI0410-TNI0388</v>
      </c>
    </row>
    <row r="276">
      <c r="A276" s="98" t="str">
        <f>IFERROR(__xludf.DUMMYFUNCTION("""COMPUTED_VALUE"""),"TNI0411")</f>
        <v>TNI0411</v>
      </c>
      <c r="B276" s="98" t="str">
        <f>IFERROR(__xludf.DUMMYFUNCTION("""COMPUTED_VALUE"""),"TNI0411: Kyunsu_OCK_C_MYT_TNI_TEAM02_Wanna Oo")</f>
        <v>TNI0411: Kyunsu_OCK_C_MYT_TNI_TEAM02_Wanna Oo</v>
      </c>
      <c r="C276" s="98" t="str">
        <f>IFERROR(__xludf.DUMMYFUNCTION("""COMPUTED_VALUE"""),"")</f>
        <v/>
      </c>
      <c r="D276" s="98" t="str">
        <f>IFERROR(__xludf.DUMMYFUNCTION("""COMPUTED_VALUE"""),"")</f>
        <v/>
      </c>
      <c r="E276" s="98" t="str">
        <f>IFERROR(__xludf.DUMMYFUNCTION("""COMPUTED_VALUE""")," Solar M: TNI0411 MYT_Maintenacne_Solar _ myt_zinmin.shein : 21/04/2026 15:13 : 674.5 _ Close + TNI0411 MYT_Maintenacne_Solar _ myt_wanna.oo2 : 07/04/2026 14:30 : 159.68 _ Close Solar Power:  Maintenance DG:  +  +  + MW Link: TNI0411-TNI0137")</f>
        <v> Solar M: TNI0411 MYT_Maintenacne_Solar _ myt_zinmin.shein : 21/04/2026 15:13 : 674.5 _ Close + TNI0411 MYT_Maintenacne_Solar _ myt_wanna.oo2 : 07/04/2026 14:30 : 159.68 _ Close Solar Power:  Maintenance DG:  +  +  + MW Link: TNI0411-TNI0137</v>
      </c>
    </row>
    <row r="277">
      <c r="A277" s="98" t="str">
        <f>IFERROR(__xludf.DUMMYFUNCTION("""COMPUTED_VALUE"""),"TNI0412")</f>
        <v>TNI0412</v>
      </c>
      <c r="B277" s="98" t="str">
        <f>IFERROR(__xludf.DUMMYFUNCTION("""COMPUTED_VALUE"""),"TNI0412: Kyunsu_NTD_C_MYT_TNI_TEAM02_Wanna Oo")</f>
        <v>TNI0412: Kyunsu_NTD_C_MYT_TNI_TEAM02_Wanna Oo</v>
      </c>
      <c r="C277" s="98" t="str">
        <f>IFERROR(__xludf.DUMMYFUNCTION("""COMPUTED_VALUE"""),"")</f>
        <v/>
      </c>
      <c r="D277" s="98" t="str">
        <f>IFERROR(__xludf.DUMMYFUNCTION("""COMPUTED_VALUE"""),"")</f>
        <v/>
      </c>
      <c r="E277" s="98" t="str">
        <f>IFERROR(__xludf.DUMMYFUNCTION("""COMPUTED_VALUE""")," Solar M:  Solar Power:  Maintenance DG:  +  +  + MW Link: TNI0412-TNI0411")</f>
        <v> Solar M:  Solar Power:  Maintenance DG:  +  +  + MW Link: TNI0412-TNI0411</v>
      </c>
    </row>
    <row r="278">
      <c r="A278" s="98" t="str">
        <f>IFERROR(__xludf.DUMMYFUNCTION("""COMPUTED_VALUE"""),"TNI0413")</f>
        <v>TNI0413</v>
      </c>
      <c r="B278" s="98" t="str">
        <f>IFERROR(__xludf.DUMMYFUNCTION("""COMPUTED_VALUE"""),"TNI0413: Kyunsu_Mytel_C_MYT_TNI_TEAM02_Pyi Kyaw Aung")</f>
        <v>TNI0413: Kyunsu_Mytel_C_MYT_TNI_TEAM02_Pyi Kyaw Aung</v>
      </c>
      <c r="C278" s="98" t="str">
        <f>IFERROR(__xludf.DUMMYFUNCTION("""COMPUTED_VALUE"""),"")</f>
        <v/>
      </c>
      <c r="D278" s="98" t="str">
        <f>IFERROR(__xludf.DUMMYFUNCTION("""COMPUTED_VALUE"""),"")</f>
        <v/>
      </c>
      <c r="E278" s="98" t="str">
        <f>IFERROR(__xludf.DUMMYFUNCTION("""COMPUTED_VALUE"""),"TNI0413 MYT_Routine_Maintenance_Mytel_Station MYT_RTE_MTE_SB_STN _ myt_ye.lin22 : 30/12/1899 00:00 : 886.64 _ FT assigned + TNI0413 MYT_Routine_Maintenance_Mytel_Station_VCM _ myt_pyikyaw.aung : 10/06/2026 13:01 : 733.98 _ Close + TNI0413 MYT_Routine_Main"&amp;"tenance_Mytel_Station_VCM _ myt_ye.lin22 : 18/04/2026 09:15 : 589.24 _ Close Solar M: TNI0413 MYT_Maintenacne_Solar _ myt_pyikyaw.aung : 20/05/2026 12:13 : 677.37 _ Close + TNI0413 MYT_Maintenacne_Solar _ myt_zinmin.shein : 20/05/2026 11:47 : -18.69 _ Clo"&amp;"se Solar Power:  Maintenance DG:  +  + TNI0413 MYT_Generator Fuel Monitoring Abnormal Checking _ myt_pyikyaw.aung : 30/12/1899 00:00 : -280.95 _ FT Inprocessing + MW Link: TNI0413-TNI0423")</f>
        <v>TNI0413 MYT_Routine_Maintenance_Mytel_Station MYT_RTE_MTE_SB_STN _ myt_ye.lin22 : 30/12/1899 00:00 : 886.64 _ FT assigned + TNI0413 MYT_Routine_Maintenance_Mytel_Station_VCM _ myt_pyikyaw.aung : 10/06/2026 13:01 : 733.98 _ Close + TNI0413 MYT_Routine_Maintenance_Mytel_Station_VCM _ myt_ye.lin22 : 18/04/2026 09:15 : 589.24 _ Close Solar M: TNI0413 MYT_Maintenacne_Solar _ myt_pyikyaw.aung : 20/05/2026 12:13 : 677.37 _ Close + TNI0413 MYT_Maintenacne_Solar _ myt_zinmin.shein : 20/05/2026 11:47 : -18.69 _ Close Solar Power:  Maintenance DG:  +  + TNI0413 MYT_Generator Fuel Monitoring Abnormal Checking _ myt_pyikyaw.aung : 30/12/1899 00:00 : -280.95 _ FT Inprocessing + MW Link: TNI0413-TNI0423</v>
      </c>
    </row>
    <row r="279">
      <c r="A279" s="98" t="str">
        <f>IFERROR(__xludf.DUMMYFUNCTION("""COMPUTED_VALUE"""),"TNI0415")</f>
        <v>TNI0415</v>
      </c>
      <c r="B279" s="98" t="str">
        <f>IFERROR(__xludf.DUMMYFUNCTION("""COMPUTED_VALUE"""),"TNI0415: Kyunsu_OCK_C_MYT_TNI_TEAM02_Pyi Kyaw Aung")</f>
        <v>TNI0415: Kyunsu_OCK_C_MYT_TNI_TEAM02_Pyi Kyaw Aung</v>
      </c>
      <c r="C279" s="98" t="str">
        <f>IFERROR(__xludf.DUMMYFUNCTION("""COMPUTED_VALUE"""),"")</f>
        <v/>
      </c>
      <c r="D279" s="98" t="str">
        <f>IFERROR(__xludf.DUMMYFUNCTION("""COMPUTED_VALUE"""),"")</f>
        <v/>
      </c>
      <c r="E279" s="98" t="str">
        <f>IFERROR(__xludf.DUMMYFUNCTION("""COMPUTED_VALUE""")," Solar M: TNI0415 MYT_Maintenacne_Solar _ myt_zinmin.shein : 21/04/2026 15:16 : 674.47 _ Close + TNI0415 MYT_Maintenacne_Solar _ myt_maung.maung11 : 07/04/2026 16:21 : 159.67 _ Close Solar Power:  Maintenance DG:  +  +  + MW Link: TNI0415-TNI0381")</f>
        <v> Solar M: TNI0415 MYT_Maintenacne_Solar _ myt_zinmin.shein : 21/04/2026 15:16 : 674.47 _ Close + TNI0415 MYT_Maintenacne_Solar _ myt_maung.maung11 : 07/04/2026 16:21 : 159.67 _ Close Solar Power:  Maintenance DG:  +  +  + MW Link: TNI0415-TNI0381</v>
      </c>
    </row>
    <row r="280">
      <c r="A280" s="98" t="str">
        <f>IFERROR(__xludf.DUMMYFUNCTION("""COMPUTED_VALUE"""),"TNI0416")</f>
        <v>TNI0416</v>
      </c>
      <c r="B280" s="98" t="str">
        <f>IFERROR(__xludf.DUMMYFUNCTION("""COMPUTED_VALUE"""),"TNI0416: Bokpyin_NTD_C_MYT_TNI_TEAM03_Khant Si Thu")</f>
        <v>TNI0416: Bokpyin_NTD_C_MYT_TNI_TEAM03_Khant Si Thu</v>
      </c>
      <c r="C280" s="98" t="str">
        <f>IFERROR(__xludf.DUMMYFUNCTION("""COMPUTED_VALUE"""),"")</f>
        <v/>
      </c>
      <c r="D280" s="98" t="str">
        <f>IFERROR(__xludf.DUMMYFUNCTION("""COMPUTED_VALUE"""),"")</f>
        <v/>
      </c>
      <c r="E280" s="98" t="str">
        <f>IFERROR(__xludf.DUMMYFUNCTION("""COMPUTED_VALUE""")," Solar M:  Solar Power:  Maintenance DG:  +  +  + MW Link: TNI0416-TNI0417")</f>
        <v> Solar M:  Solar Power:  Maintenance DG:  +  +  + MW Link: TNI0416-TNI0417</v>
      </c>
    </row>
    <row r="281">
      <c r="A281" s="98" t="str">
        <f>IFERROR(__xludf.DUMMYFUNCTION("""COMPUTED_VALUE"""),"TNI0417")</f>
        <v>TNI0417</v>
      </c>
      <c r="B281" s="98" t="str">
        <f>IFERROR(__xludf.DUMMYFUNCTION("""COMPUTED_VALUE"""),"TNI0417: Bokpyin_OCK_C_MYT_TNI_TEAM03_Khant Si Thu")</f>
        <v>TNI0417: Bokpyin_OCK_C_MYT_TNI_TEAM03_Khant Si Thu</v>
      </c>
      <c r="C281" s="98" t="str">
        <f>IFERROR(__xludf.DUMMYFUNCTION("""COMPUTED_VALUE"""),"")</f>
        <v/>
      </c>
      <c r="D281" s="98" t="str">
        <f>IFERROR(__xludf.DUMMYFUNCTION("""COMPUTED_VALUE"""),"")</f>
        <v/>
      </c>
      <c r="E281" s="98" t="str">
        <f>IFERROR(__xludf.DUMMYFUNCTION("""COMPUTED_VALUE""")," Solar M: TNI0417 MYT_Maintenacne_Solar _ myt_tinnaing.lin11 : 30/12/1899 00:00 :  _ Close + TNI0417 MYT_Maintenacne_Solar _ myt_tinnaing.lin11 : 04/04/2026 09:13 : 246.27 _ Close Solar Power:  Maintenance DG:  +  +  + MW Link: TNI0417-TNI0009")</f>
        <v> Solar M: TNI0417 MYT_Maintenacne_Solar _ myt_tinnaing.lin11 : 30/12/1899 00:00 :  _ Close + TNI0417 MYT_Maintenacne_Solar _ myt_tinnaing.lin11 : 04/04/2026 09:13 : 246.27 _ Close Solar Power:  Maintenance DG:  +  +  + MW Link: TNI0417-TNI0009</v>
      </c>
    </row>
    <row r="282">
      <c r="A282" s="98" t="str">
        <f>IFERROR(__xludf.DUMMYFUNCTION("""COMPUTED_VALUE"""),"TNI0418")</f>
        <v>TNI0418</v>
      </c>
      <c r="B282" s="98" t="str">
        <f>IFERROR(__xludf.DUMMYFUNCTION("""COMPUTED_VALUE"""),"TNI0418: Bokpyin_TIP_C_MYT_TNI_TEAM03_Myint Ko Ko Aung")</f>
        <v>TNI0418: Bokpyin_TIP_C_MYT_TNI_TEAM03_Myint Ko Ko Aung</v>
      </c>
      <c r="C282" s="98" t="str">
        <f>IFERROR(__xludf.DUMMYFUNCTION("""COMPUTED_VALUE"""),"TNI0103-TNI0418_Bokpyin_24 FO : 6_Khant Si Thu")</f>
        <v>TNI0103-TNI0418_Bokpyin_24 FO : 6_Khant Si Thu</v>
      </c>
      <c r="D282" s="98" t="str">
        <f>IFERROR(__xludf.DUMMYFUNCTION("""COMPUTED_VALUE"""),"")</f>
        <v/>
      </c>
      <c r="E282" s="98" t="str">
        <f>IFERROR(__xludf.DUMMYFUNCTION("""COMPUTED_VALUE""")," Solar M:  Solar Power:  Maintenance DG:  +  +  + MW Link: ")</f>
        <v> Solar M:  Solar Power:  Maintenance DG:  +  +  + MW Link: </v>
      </c>
    </row>
    <row r="283">
      <c r="A283" s="98" t="str">
        <f>IFERROR(__xludf.DUMMYFUNCTION("""COMPUTED_VALUE"""),"TNI0422")</f>
        <v>TNI0422</v>
      </c>
      <c r="B283" s="98" t="str">
        <f>IFERROR(__xludf.DUMMYFUNCTION("""COMPUTED_VALUE"""),"TNI0422: Kyunsu_NTD_C_MYT_TNI_TEAM02_Zin Min Shein")</f>
        <v>TNI0422: Kyunsu_NTD_C_MYT_TNI_TEAM02_Zin Min Shein</v>
      </c>
      <c r="C283" s="98" t="str">
        <f>IFERROR(__xludf.DUMMYFUNCTION("""COMPUTED_VALUE"""),"")</f>
        <v/>
      </c>
      <c r="D283" s="98" t="str">
        <f>IFERROR(__xludf.DUMMYFUNCTION("""COMPUTED_VALUE"""),"")</f>
        <v/>
      </c>
      <c r="E283" s="98" t="str">
        <f>IFERROR(__xludf.DUMMYFUNCTION("""COMPUTED_VALUE""")," Solar M:  Solar Power:  Maintenance DG:  +  +  + MW Link: TNI0422-TNI0023")</f>
        <v> Solar M:  Solar Power:  Maintenance DG:  +  +  + MW Link: TNI0422-TNI0023</v>
      </c>
    </row>
    <row r="284">
      <c r="A284" s="98" t="str">
        <f>IFERROR(__xludf.DUMMYFUNCTION("""COMPUTED_VALUE"""),"TNI0423")</f>
        <v>TNI0423</v>
      </c>
      <c r="B284" s="98" t="str">
        <f>IFERROR(__xludf.DUMMYFUNCTION("""COMPUTED_VALUE"""),"TNI0423: Kyunsu_NTD_C_MYT_TNI_TEAM02_Ye Lin")</f>
        <v>TNI0423: Kyunsu_NTD_C_MYT_TNI_TEAM02_Ye Lin</v>
      </c>
      <c r="C284" s="98" t="str">
        <f>IFERROR(__xludf.DUMMYFUNCTION("""COMPUTED_VALUE"""),"")</f>
        <v/>
      </c>
      <c r="D284" s="98" t="str">
        <f>IFERROR(__xludf.DUMMYFUNCTION("""COMPUTED_VALUE"""),"")</f>
        <v/>
      </c>
      <c r="E284" s="98" t="str">
        <f>IFERROR(__xludf.DUMMYFUNCTION("""COMPUTED_VALUE""")," Solar M:  Solar Power:  Maintenance DG:  +  +  + MW Link: TNI0423-TNI0386")</f>
        <v> Solar M:  Solar Power:  Maintenance DG:  +  +  + MW Link: TNI0423-TNI0386</v>
      </c>
    </row>
    <row r="285">
      <c r="A285" s="98" t="str">
        <f>IFERROR(__xludf.DUMMYFUNCTION("""COMPUTED_VALUE"""),"TNI0424")</f>
        <v>TNI0424</v>
      </c>
      <c r="B285" s="98" t="str">
        <f>IFERROR(__xludf.DUMMYFUNCTION("""COMPUTED_VALUE"""),"TNI0424: Thayetchaung_OCK_C_MYT_TNI_TEAM01_Bone Myat Naing")</f>
        <v>TNI0424: Thayetchaung_OCK_C_MYT_TNI_TEAM01_Bone Myat Naing</v>
      </c>
      <c r="C285" s="98" t="str">
        <f>IFERROR(__xludf.DUMMYFUNCTION("""COMPUTED_VALUE"""),"TNI0424-TNIM034_Thayetchaung_24 FO : 2_Aung Lwin Phyo")</f>
        <v>TNI0424-TNIM034_Thayetchaung_24 FO : 2_Aung Lwin Phyo</v>
      </c>
      <c r="D285" s="98" t="str">
        <f>IFERROR(__xludf.DUMMYFUNCTION("""COMPUTED_VALUE"""),"+ OLT: Bone Myat Naing")</f>
        <v>+ OLT: Bone Myat Naing</v>
      </c>
      <c r="E285" s="98" t="str">
        <f>IFERROR(__xludf.DUMMYFUNCTION("""COMPUTED_VALUE""")," Solar M: TNI0424 MYT_Maintenacne_Solar _ myt_phyoko.ko44 : 30/12/1899 00:00 :  _ Close + TNI0424 MYT_Maintenacne_Solar _ myt_phyoko.ko44 : 16/05/2026 11:29 : -847.94 _ Close Solar Power:  Maintenance DG:  +  +  + MW Link: ")</f>
        <v> Solar M: TNI0424 MYT_Maintenacne_Solar _ myt_phyoko.ko44 : 30/12/1899 00:00 :  _ Close + TNI0424 MYT_Maintenacne_Solar _ myt_phyoko.ko44 : 16/05/2026 11:29 : -847.94 _ Close Solar Power:  Maintenance DG:  +  +  + MW Link: </v>
      </c>
    </row>
    <row r="286">
      <c r="A286" s="98" t="str">
        <f>IFERROR(__xludf.DUMMYFUNCTION("""COMPUTED_VALUE"""),"TNI0425")</f>
        <v>TNI0425</v>
      </c>
      <c r="B286" s="98" t="str">
        <f>IFERROR(__xludf.DUMMYFUNCTION("""COMPUTED_VALUE"""),"TNI0425: Bokpyin_NTD_C_MYT_TNI_TEAM03_Khant Si Thu")</f>
        <v>TNI0425: Bokpyin_NTD_C_MYT_TNI_TEAM03_Khant Si Thu</v>
      </c>
      <c r="C286" s="98" t="str">
        <f>IFERROR(__xludf.DUMMYFUNCTION("""COMPUTED_VALUE"""),"TNI0425-JB(TNI0008-TNI0009)_Bokpyin_12 FO : 3.8_Khant Si Thu")</f>
        <v>TNI0425-JB(TNI0008-TNI0009)_Bokpyin_12 FO : 3.8_Khant Si Thu</v>
      </c>
      <c r="D286" s="98" t="str">
        <f>IFERROR(__xludf.DUMMYFUNCTION("""COMPUTED_VALUE"""),"")</f>
        <v/>
      </c>
      <c r="E286" s="98" t="str">
        <f>IFERROR(__xludf.DUMMYFUNCTION("""COMPUTED_VALUE""")," Solar M:  Solar Power:  Maintenance DG:  +  +  + MW Link: ")</f>
        <v> Solar M:  Solar Power:  Maintenance DG:  +  +  + MW Link: </v>
      </c>
    </row>
    <row r="287">
      <c r="A287" s="98" t="str">
        <f>IFERROR(__xludf.DUMMYFUNCTION("""COMPUTED_VALUE"""),"TNI0426")</f>
        <v>TNI0426</v>
      </c>
      <c r="B287" s="98" t="str">
        <f>IFERROR(__xludf.DUMMYFUNCTION("""COMPUTED_VALUE"""),"TNI0426: Yebyu_Edotco_C_MYT_TNI_TEAM01_Bone Myat Naing")</f>
        <v>TNI0426: Yebyu_Edotco_C_MYT_TNI_TEAM01_Bone Myat Naing</v>
      </c>
      <c r="C287" s="98" t="str">
        <f>IFERROR(__xludf.DUMMYFUNCTION("""COMPUTED_VALUE"""),"")</f>
        <v/>
      </c>
      <c r="D287" s="98" t="str">
        <f>IFERROR(__xludf.DUMMYFUNCTION("""COMPUTED_VALUE"""),"")</f>
        <v/>
      </c>
      <c r="E287" s="98" t="str">
        <f>IFERROR(__xludf.DUMMYFUNCTION("""COMPUTED_VALUE""")," Solar M:  Solar Power:  Maintenance DG:  +  +  + MW Link: TNI0426-TNI0285")</f>
        <v> Solar M:  Solar Power:  Maintenance DG:  +  +  + MW Link: TNI0426-TNI0285</v>
      </c>
    </row>
    <row r="288">
      <c r="A288" s="98" t="str">
        <f>IFERROR(__xludf.DUMMYFUNCTION("""COMPUTED_VALUE"""),"TNI0430")</f>
        <v>TNI0430</v>
      </c>
      <c r="B288" s="98" t="str">
        <f>IFERROR(__xludf.DUMMYFUNCTION("""COMPUTED_VALUE"""),"TNI0430: Yebyu_EFT_C_MYT_TNI_TEAM01_Thu Rain Niang")</f>
        <v>TNI0430: Yebyu_EFT_C_MYT_TNI_TEAM01_Thu Rain Niang</v>
      </c>
      <c r="C288" s="98" t="str">
        <f>IFERROR(__xludf.DUMMYFUNCTION("""COMPUTED_VALUE"""),"TNI0213-TNI0430_Yebyu_24 FO : 9_Thu Rain Niang")</f>
        <v>TNI0213-TNI0430_Yebyu_24 FO : 9_Thu Rain Niang</v>
      </c>
      <c r="D288" s="98" t="str">
        <f>IFERROR(__xludf.DUMMYFUNCTION("""COMPUTED_VALUE"""),"")</f>
        <v/>
      </c>
      <c r="E288" s="98" t="str">
        <f>IFERROR(__xludf.DUMMYFUNCTION("""COMPUTED_VALUE""")," Solar M:  Solar Power:  Maintenance DG:  +  +  + MW Link: ")</f>
        <v> Solar M:  Solar Power:  Maintenance DG:  +  +  + MW Link: </v>
      </c>
    </row>
    <row r="289">
      <c r="A289" s="98" t="str">
        <f>IFERROR(__xludf.DUMMYFUNCTION("""COMPUTED_VALUE"""),"TNI0434")</f>
        <v>TNI0434</v>
      </c>
      <c r="B289" s="98" t="str">
        <f>IFERROR(__xludf.DUMMYFUNCTION("""COMPUTED_VALUE"""),"TNI0434: Kawthoung_OCK_C_MYT_TNI_TEAM04_Tin Maung Win")</f>
        <v>TNI0434: Kawthoung_OCK_C_MYT_TNI_TEAM04_Tin Maung Win</v>
      </c>
      <c r="C289" s="98" t="str">
        <f>IFERROR(__xludf.DUMMYFUNCTION("""COMPUTED_VALUE"""),"TNI0434-TNI0435_Kawthoung_24 FO : 14.7_Tin Maung Win")</f>
        <v>TNI0434-TNI0435_Kawthoung_24 FO : 14.7_Tin Maung Win</v>
      </c>
      <c r="D289" s="98" t="str">
        <f>IFERROR(__xludf.DUMMYFUNCTION("""COMPUTED_VALUE"""),"")</f>
        <v/>
      </c>
      <c r="E289" s="98" t="str">
        <f>IFERROR(__xludf.DUMMYFUNCTION("""COMPUTED_VALUE""")," Solar M:  Solar Power:  Maintenance DG:  +  +  + MW Link: ")</f>
        <v> Solar M:  Solar Power:  Maintenance DG:  +  +  + MW Link: </v>
      </c>
    </row>
    <row r="290">
      <c r="A290" s="98" t="str">
        <f>IFERROR(__xludf.DUMMYFUNCTION("""COMPUTED_VALUE"""),"TNI0435")</f>
        <v>TNI0435</v>
      </c>
      <c r="B290" s="98" t="str">
        <f>IFERROR(__xludf.DUMMYFUNCTION("""COMPUTED_VALUE"""),"TNI0435: Kawthoung_OCK_C_MYT_TNI_TEAM04_Tin Maung Win")</f>
        <v>TNI0435: Kawthoung_OCK_C_MYT_TNI_TEAM04_Tin Maung Win</v>
      </c>
      <c r="C290" s="98" t="str">
        <f>IFERROR(__xludf.DUMMYFUNCTION("""COMPUTED_VALUE"""),"TNI0434-TNI0435_Kawthoung_24 FO : 14.7_Tin Maung Win + TNI0435-JB(TNI0012-THAILAND)_Kawthoung_24 FO : 1.57_Tin Maung Win")</f>
        <v>TNI0434-TNI0435_Kawthoung_24 FO : 14.7_Tin Maung Win + TNI0435-JB(TNI0012-THAILAND)_Kawthoung_24 FO : 1.57_Tin Maung Win</v>
      </c>
      <c r="D290" s="98" t="str">
        <f>IFERROR(__xludf.DUMMYFUNCTION("""COMPUTED_VALUE"""),"")</f>
        <v/>
      </c>
      <c r="E290" s="98" t="str">
        <f>IFERROR(__xludf.DUMMYFUNCTION("""COMPUTED_VALUE""")," Solar M:  Solar Power:  Maintenance DG:  +  +  + MW Link: ")</f>
        <v> Solar M:  Solar Power:  Maintenance DG:  +  +  + MW Link: </v>
      </c>
    </row>
    <row r="291">
      <c r="A291" s="98" t="str">
        <f>IFERROR(__xludf.DUMMYFUNCTION("""COMPUTED_VALUE"""),"TNI0440")</f>
        <v>TNI0440</v>
      </c>
      <c r="B291" s="98" t="str">
        <f>IFERROR(__xludf.DUMMYFUNCTION("""COMPUTED_VALUE"""),"TNI0440: Kyunsu_OCK_C_MYT_TNI_TEAM02_Wanna Oo")</f>
        <v>TNI0440: Kyunsu_OCK_C_MYT_TNI_TEAM02_Wanna Oo</v>
      </c>
      <c r="C291" s="98" t="str">
        <f>IFERROR(__xludf.DUMMYFUNCTION("""COMPUTED_VALUE"""),"")</f>
        <v/>
      </c>
      <c r="D291" s="98" t="str">
        <f>IFERROR(__xludf.DUMMYFUNCTION("""COMPUTED_VALUE"""),"")</f>
        <v/>
      </c>
      <c r="E291" s="98" t="str">
        <f>IFERROR(__xludf.DUMMYFUNCTION("""COMPUTED_VALUE""")," Solar M:  Solar Power:  Maintenance DG:  +  +  + MW Link: TNI0440-TNI0324")</f>
        <v> Solar M:  Solar Power:  Maintenance DG:  +  +  + MW Link: TNI0440-TNI0324</v>
      </c>
    </row>
    <row r="292">
      <c r="A292" s="98" t="str">
        <f>IFERROR(__xludf.DUMMYFUNCTION("""COMPUTED_VALUE"""),"TNI0442")</f>
        <v>TNI0442</v>
      </c>
      <c r="B292" s="98" t="str">
        <f>IFERROR(__xludf.DUMMYFUNCTION("""COMPUTED_VALUE"""),"TNI0442: Palaw_TIP_C_MYT_TNI_TEAM02_Min Paing Oo")</f>
        <v>TNI0442: Palaw_TIP_C_MYT_TNI_TEAM02_Min Paing Oo</v>
      </c>
      <c r="C292" s="98" t="str">
        <f>IFERROR(__xludf.DUMMYFUNCTION("""COMPUTED_VALUE"""),"")</f>
        <v/>
      </c>
      <c r="D292" s="98" t="str">
        <f>IFERROR(__xludf.DUMMYFUNCTION("""COMPUTED_VALUE"""),"")</f>
        <v/>
      </c>
      <c r="E292" s="98" t="str">
        <f>IFERROR(__xludf.DUMMYFUNCTION("""COMPUTED_VALUE""")," Solar M:  Solar Power:  Maintenance DG:  +  +  + MW Link: TNI0442-TNI0127")</f>
        <v> Solar M:  Solar Power:  Maintenance DG:  +  +  + MW Link: TNI0442-TNI0127</v>
      </c>
    </row>
    <row r="293">
      <c r="A293" s="98" t="str">
        <f>IFERROR(__xludf.DUMMYFUNCTION("""COMPUTED_VALUE"""),"TNI0447")</f>
        <v>TNI0447</v>
      </c>
      <c r="B293" s="98" t="str">
        <f>IFERROR(__xludf.DUMMYFUNCTION("""COMPUTED_VALUE"""),"TNI0447: Myeik_OCK_C_MYT_TNI_TEAM02_Pyi Kyaw Aung")</f>
        <v>TNI0447: Myeik_OCK_C_MYT_TNI_TEAM02_Pyi Kyaw Aung</v>
      </c>
      <c r="C293" s="98" t="str">
        <f>IFERROR(__xludf.DUMMYFUNCTION("""COMPUTED_VALUE"""),"TNI0447-JB(TNI0003-TNI0007)_Myeik_24 FO : 3_Pyi Kyaw Aung")</f>
        <v>TNI0447-JB(TNI0003-TNI0007)_Myeik_24 FO : 3_Pyi Kyaw Aung</v>
      </c>
      <c r="D293" s="98" t="str">
        <f>IFERROR(__xludf.DUMMYFUNCTION("""COMPUTED_VALUE"""),"")</f>
        <v/>
      </c>
      <c r="E293" s="98" t="str">
        <f>IFERROR(__xludf.DUMMYFUNCTION("""COMPUTED_VALUE""")," Solar M:  Solar Power:  Maintenance DG:  +  +  + MW Link: ")</f>
        <v> Solar M:  Solar Power:  Maintenance DG:  +  +  + MW Link: </v>
      </c>
    </row>
    <row r="294">
      <c r="A294" s="98" t="str">
        <f>IFERROR(__xludf.DUMMYFUNCTION("""COMPUTED_VALUE"""),"TNI0448")</f>
        <v>TNI0448</v>
      </c>
      <c r="B294" s="98" t="str">
        <f>IFERROR(__xludf.DUMMYFUNCTION("""COMPUTED_VALUE"""),"TNI0448: Palaw_OCK_C_MYT_TNI_TEAM02_Min Paing Oo")</f>
        <v>TNI0448: Palaw_OCK_C_MYT_TNI_TEAM02_Min Paing Oo</v>
      </c>
      <c r="C294" s="98" t="str">
        <f>IFERROR(__xludf.DUMMYFUNCTION("""COMPUTED_VALUE"""),"")</f>
        <v/>
      </c>
      <c r="D294" s="98" t="str">
        <f>IFERROR(__xludf.DUMMYFUNCTION("""COMPUTED_VALUE"""),"")</f>
        <v/>
      </c>
      <c r="E294" s="98" t="str">
        <f>IFERROR(__xludf.DUMMYFUNCTION("""COMPUTED_VALUE""")," Solar M: TNI0448 MYT_Maintenacne_Solar _ myt_zinmin.shein : 21/04/2026 15:20 : 674.47 _ Close + TNI0448 MYT_Maintenacne_Solar _ myt_wanna.oo2 : 07/04/2026 14:23 : 159.67 _ Close Solar Power:  Maintenance DG:  +  +  + MW Link: TNI0448-TNI0109")</f>
        <v> Solar M: TNI0448 MYT_Maintenacne_Solar _ myt_zinmin.shein : 21/04/2026 15:20 : 674.47 _ Close + TNI0448 MYT_Maintenacne_Solar _ myt_wanna.oo2 : 07/04/2026 14:23 : 159.67 _ Close Solar Power:  Maintenance DG:  +  +  + MW Link: TNI0448-TNI0109</v>
      </c>
    </row>
    <row r="295">
      <c r="A295" s="98" t="str">
        <f>IFERROR(__xludf.DUMMYFUNCTION("""COMPUTED_VALUE"""),"TNI0449")</f>
        <v>TNI0449</v>
      </c>
      <c r="B295" s="98" t="str">
        <f>IFERROR(__xludf.DUMMYFUNCTION("""COMPUTED_VALUE"""),"TNI0449: Myeik_OCK_C_MYT_TNI_TEAM02_Pyi Kyaw Aung")</f>
        <v>TNI0449: Myeik_OCK_C_MYT_TNI_TEAM02_Pyi Kyaw Aung</v>
      </c>
      <c r="C295" s="98" t="str">
        <f>IFERROR(__xludf.DUMMYFUNCTION("""COMPUTED_VALUE"""),"")</f>
        <v/>
      </c>
      <c r="D295" s="98" t="str">
        <f>IFERROR(__xludf.DUMMYFUNCTION("""COMPUTED_VALUE"""),"")</f>
        <v/>
      </c>
      <c r="E295" s="98" t="str">
        <f>IFERROR(__xludf.DUMMYFUNCTION("""COMPUTED_VALUE""")," Solar M:  Solar Power:  Maintenance DG:  +  +  + MW Link: TNI0449-TNI0003")</f>
        <v> Solar M:  Solar Power:  Maintenance DG:  +  +  + MW Link: TNI0449-TNI0003</v>
      </c>
    </row>
    <row r="296">
      <c r="A296" s="98" t="str">
        <f>IFERROR(__xludf.DUMMYFUNCTION("""COMPUTED_VALUE"""),"TNI0454")</f>
        <v>TNI0454</v>
      </c>
      <c r="B296" s="98" t="str">
        <f>IFERROR(__xludf.DUMMYFUNCTION("""COMPUTED_VALUE"""),"TNI0454: Kawthoung_Apollo_C_MYT_TNI_TEAM04_Tin Maung Win")</f>
        <v>TNI0454: Kawthoung_Apollo_C_MYT_TNI_TEAM04_Tin Maung Win</v>
      </c>
      <c r="C296" s="98" t="str">
        <f>IFERROR(__xludf.DUMMYFUNCTION("""COMPUTED_VALUE"""),"TNI0064-TNI0454_Tanintharyi_24 FO : 3.19_Tin Maung Win")</f>
        <v>TNI0064-TNI0454_Tanintharyi_24 FO : 3.19_Tin Maung Win</v>
      </c>
      <c r="D296" s="98" t="str">
        <f>IFERROR(__xludf.DUMMYFUNCTION("""COMPUTED_VALUE"""),"")</f>
        <v/>
      </c>
      <c r="E296" s="98" t="str">
        <f>IFERROR(__xludf.DUMMYFUNCTION("""COMPUTED_VALUE""")," Solar M:  Solar Power:  Maintenance DG:  +  +  + MW Link: TNI0454-TNI0154")</f>
        <v> Solar M:  Solar Power:  Maintenance DG:  +  +  + MW Link: TNI0454-TNI0154</v>
      </c>
    </row>
    <row r="297">
      <c r="A297" s="98" t="str">
        <f>IFERROR(__xludf.DUMMYFUNCTION("""COMPUTED_VALUE"""),"TNI0498")</f>
        <v>TNI0498</v>
      </c>
      <c r="B297" s="98" t="str">
        <f>IFERROR(__xludf.DUMMYFUNCTION("""COMPUTED_VALUE"""),"TNI0498: Yebyu_Apollo_C_MYT_TNI_TEAM01_Thu Rain Niang")</f>
        <v>TNI0498: Yebyu_Apollo_C_MYT_TNI_TEAM01_Thu Rain Niang</v>
      </c>
      <c r="C297" s="98" t="str">
        <f>IFERROR(__xludf.DUMMYFUNCTION("""COMPUTED_VALUE"""),"")</f>
        <v/>
      </c>
      <c r="D297" s="98" t="str">
        <f>IFERROR(__xludf.DUMMYFUNCTION("""COMPUTED_VALUE"""),"")</f>
        <v/>
      </c>
      <c r="E297" s="98" t="str">
        <f>IFERROR(__xludf.DUMMYFUNCTION("""COMPUTED_VALUE""")," Solar M:  Solar Power:  Maintenance DG:  +  +  + MW Link: TNI0498-TNI0220")</f>
        <v> Solar M:  Solar Power:  Maintenance DG:  +  +  + MW Link: TNI0498-TNI0220</v>
      </c>
    </row>
    <row r="298">
      <c r="A298" s="98" t="str">
        <f>IFERROR(__xludf.DUMMYFUNCTION("""COMPUTED_VALUE"""),"TNI0505")</f>
        <v>TNI0505</v>
      </c>
      <c r="B298" s="98" t="str">
        <f>IFERROR(__xludf.DUMMYFUNCTION("""COMPUTED_VALUE"""),"TNI0505: Tanintharyi_Edotco_C_MYT_TNI_TEAM03_Myint Ko Ko Aung")</f>
        <v>TNI0505: Tanintharyi_Edotco_C_MYT_TNI_TEAM03_Myint Ko Ko Aung</v>
      </c>
      <c r="C298" s="98" t="str">
        <f>IFERROR(__xludf.DUMMYFUNCTION("""COMPUTED_VALUE"""),"TNI0505-TNIM077_Tanintharyi_24 FO : 2.5_Khant Si Thu")</f>
        <v>TNI0505-TNIM077_Tanintharyi_24 FO : 2.5_Khant Si Thu</v>
      </c>
      <c r="D298" s="98" t="str">
        <f>IFERROR(__xludf.DUMMYFUNCTION("""COMPUTED_VALUE"""),"")</f>
        <v/>
      </c>
      <c r="E298" s="98" t="str">
        <f>IFERROR(__xludf.DUMMYFUNCTION("""COMPUTED_VALUE""")," Solar M:  Solar Power:  Maintenance DG:  +  +  + MW Link: ")</f>
        <v> Solar M:  Solar Power:  Maintenance DG:  +  +  + MW Link: </v>
      </c>
    </row>
    <row r="299">
      <c r="A299" s="98" t="str">
        <f>IFERROR(__xludf.DUMMYFUNCTION("""COMPUTED_VALUE"""),"TNI0507")</f>
        <v>TNI0507</v>
      </c>
      <c r="B299" s="98" t="str">
        <f>IFERROR(__xludf.DUMMYFUNCTION("""COMPUTED_VALUE"""),"TNI0507: Bokpyin_OCK_C_MYT_TNI_TEAM03_Khant Si Thu")</f>
        <v>TNI0507: Bokpyin_OCK_C_MYT_TNI_TEAM03_Khant Si Thu</v>
      </c>
      <c r="C299" s="98" t="str">
        <f>IFERROR(__xludf.DUMMYFUNCTION("""COMPUTED_VALUE"""),"TNI0507-JB(TNI0004-TNI0008)_Bokpyin_24 FO : 1_Khant Si Thu")</f>
        <v>TNI0507-JB(TNI0004-TNI0008)_Bokpyin_24 FO : 1_Khant Si Thu</v>
      </c>
      <c r="D299" s="98" t="str">
        <f>IFERROR(__xludf.DUMMYFUNCTION("""COMPUTED_VALUE"""),"")</f>
        <v/>
      </c>
      <c r="E299" s="98" t="str">
        <f>IFERROR(__xludf.DUMMYFUNCTION("""COMPUTED_VALUE""")," Solar M:  Solar Power:  Maintenance DG:  +  +  + MW Link: ")</f>
        <v> Solar M:  Solar Power:  Maintenance DG:  +  +  + MW Link: </v>
      </c>
    </row>
    <row r="300">
      <c r="A300" s="98" t="str">
        <f>IFERROR(__xludf.DUMMYFUNCTION("""COMPUTED_VALUE"""),"TNI0509")</f>
        <v>TNI0509</v>
      </c>
      <c r="B300" s="98" t="str">
        <f>IFERROR(__xludf.DUMMYFUNCTION("""COMPUTED_VALUE"""),"TNI0509: Kawthoung_PAT_C_MYT_TNI_TEAM04_Khant Chaw Nyo")</f>
        <v>TNI0509: Kawthoung_PAT_C_MYT_TNI_TEAM04_Khant Chaw Nyo</v>
      </c>
      <c r="C300" s="98" t="str">
        <f>IFERROR(__xludf.DUMMYFUNCTION("""COMPUTED_VALUE"""),"")</f>
        <v/>
      </c>
      <c r="D300" s="98" t="str">
        <f>IFERROR(__xludf.DUMMYFUNCTION("""COMPUTED_VALUE"""),"")</f>
        <v/>
      </c>
      <c r="E300" s="98" t="str">
        <f>IFERROR(__xludf.DUMMYFUNCTION("""COMPUTED_VALUE""")," Solar M:  Solar Power:  Maintenance DG:  +  +  + MW Link: ")</f>
        <v> Solar M:  Solar Power:  Maintenance DG:  +  +  + MW Link: </v>
      </c>
    </row>
    <row r="301">
      <c r="A301" s="98" t="str">
        <f>IFERROR(__xludf.DUMMYFUNCTION("""COMPUTED_VALUE"""),"TNI0510")</f>
        <v>TNI0510</v>
      </c>
      <c r="B301" s="98" t="str">
        <f>IFERROR(__xludf.DUMMYFUNCTION("""COMPUTED_VALUE"""),"TNI0510: Kawthoung_IGT_C_MYT_TNI_TEAM04_Khant Chaw Nyo")</f>
        <v>TNI0510: Kawthoung_IGT_C_MYT_TNI_TEAM04_Khant Chaw Nyo</v>
      </c>
      <c r="C301" s="98" t="str">
        <f>IFERROR(__xludf.DUMMYFUNCTION("""COMPUTED_VALUE"""),"")</f>
        <v/>
      </c>
      <c r="D301" s="98" t="str">
        <f>IFERROR(__xludf.DUMMYFUNCTION("""COMPUTED_VALUE"""),"")</f>
        <v/>
      </c>
      <c r="E301" s="98" t="str">
        <f>IFERROR(__xludf.DUMMYFUNCTION("""COMPUTED_VALUE""")," Solar M:  Solar Power:  Maintenance DG:  +  +  + MW Link: ")</f>
        <v> Solar M:  Solar Power:  Maintenance DG:  +  +  + MW Link: </v>
      </c>
    </row>
    <row r="302">
      <c r="A302" s="98" t="str">
        <f>IFERROR(__xludf.DUMMYFUNCTION("""COMPUTED_VALUE"""),"TNI0511")</f>
        <v>TNI0511</v>
      </c>
      <c r="B302" s="98" t="str">
        <f>IFERROR(__xludf.DUMMYFUNCTION("""COMPUTED_VALUE"""),"TNI0511: Thayetchaung_IGT_C_MYT_TNI_TEAM01_Win Htet Aung")</f>
        <v>TNI0511: Thayetchaung_IGT_C_MYT_TNI_TEAM01_Win Htet Aung</v>
      </c>
      <c r="C302" s="98" t="str">
        <f>IFERROR(__xludf.DUMMYFUNCTION("""COMPUTED_VALUE"""),"")</f>
        <v/>
      </c>
      <c r="D302" s="98" t="str">
        <f>IFERROR(__xludf.DUMMYFUNCTION("""COMPUTED_VALUE"""),"")</f>
        <v/>
      </c>
      <c r="E302" s="98" t="str">
        <f>IFERROR(__xludf.DUMMYFUNCTION("""COMPUTED_VALUE""")," Solar M: TNI0511 MYT_Maintenacne_Solar _ myt_phyoko.ko44 : 30/12/1899 00:00 :  _ Close + TNI0511 MYT_Maintenacne_Solar _ myt_phyoko.ko44 : 15/05/2026 09:46 : -752.71 _ Close Solar Power:  Maintenance DG:  +  +  + MW Link: TNI0511-TNI0309")</f>
        <v> Solar M: TNI0511 MYT_Maintenacne_Solar _ myt_phyoko.ko44 : 30/12/1899 00:00 :  _ Close + TNI0511 MYT_Maintenacne_Solar _ myt_phyoko.ko44 : 15/05/2026 09:46 : -752.71 _ Close Solar Power:  Maintenance DG:  +  +  + MW Link: TNI0511-TNI0309</v>
      </c>
    </row>
    <row r="303">
      <c r="A303" s="98" t="str">
        <f>IFERROR(__xludf.DUMMYFUNCTION("""COMPUTED_VALUE"""),"TNI0515")</f>
        <v>TNI0515</v>
      </c>
      <c r="B303" s="98" t="str">
        <f>IFERROR(__xludf.DUMMYFUNCTION("""COMPUTED_VALUE"""),"TNI0515: Palauk_OCK_C_MYT_TNI_TEAM02_Min Paing Oo")</f>
        <v>TNI0515: Palauk_OCK_C_MYT_TNI_TEAM02_Min Paing Oo</v>
      </c>
      <c r="C303" s="98" t="str">
        <f>IFERROR(__xludf.DUMMYFUNCTION("""COMPUTED_VALUE"""),"")</f>
        <v/>
      </c>
      <c r="D303" s="98" t="str">
        <f>IFERROR(__xludf.DUMMYFUNCTION("""COMPUTED_VALUE"""),"")</f>
        <v/>
      </c>
      <c r="E303" s="98" t="str">
        <f>IFERROR(__xludf.DUMMYFUNCTION("""COMPUTED_VALUE""")," Solar M: TNI0515 MYT_Maintenacne_Solar _ myt_zinmin.shein : 21/04/2026 14:49 : 674.48 _ Close + TNI0515 MYT_Maintenacne_Solar _ myt_zinmin.shein : 08/04/2026 07:29 : 159.68 _ Close Solar Power:  Maintenance DG:  +  +  + MW Link: TNI0515-TNI0199")</f>
        <v> Solar M: TNI0515 MYT_Maintenacne_Solar _ myt_zinmin.shein : 21/04/2026 14:49 : 674.48 _ Close + TNI0515 MYT_Maintenacne_Solar _ myt_zinmin.shein : 08/04/2026 07:29 : 159.68 _ Close Solar Power:  Maintenance DG:  +  +  + MW Link: TNI0515-TNI0199</v>
      </c>
    </row>
    <row r="304">
      <c r="A304" s="98" t="str">
        <f>IFERROR(__xludf.DUMMYFUNCTION("""COMPUTED_VALUE"""),"TNI0516")</f>
        <v>TNI0516</v>
      </c>
      <c r="B304" s="98" t="str">
        <f>IFERROR(__xludf.DUMMYFUNCTION("""COMPUTED_VALUE"""),"TNI0516: Myeik_IGT_C_MYT_TNI_TEAM02_Wanna Oo")</f>
        <v>TNI0516: Myeik_IGT_C_MYT_TNI_TEAM02_Wanna Oo</v>
      </c>
      <c r="C304" s="98" t="str">
        <f>IFERROR(__xludf.DUMMYFUNCTION("""COMPUTED_VALUE"""),"")</f>
        <v/>
      </c>
      <c r="D304" s="98" t="str">
        <f>IFERROR(__xludf.DUMMYFUNCTION("""COMPUTED_VALUE"""),"")</f>
        <v/>
      </c>
      <c r="E304" s="98" t="str">
        <f>IFERROR(__xludf.DUMMYFUNCTION("""COMPUTED_VALUE""")," Solar M:  Solar Power:  Maintenance DG:  +  +  + MW Link: TNI0516-TNI0324")</f>
        <v> Solar M:  Solar Power:  Maintenance DG:  +  +  + MW Link: TNI0516-TNI0324</v>
      </c>
    </row>
    <row r="305">
      <c r="A305" s="98" t="str">
        <f>IFERROR(__xludf.DUMMYFUNCTION("""COMPUTED_VALUE"""),"TNI0517")</f>
        <v>TNI0517</v>
      </c>
      <c r="B305" s="98" t="str">
        <f>IFERROR(__xludf.DUMMYFUNCTION("""COMPUTED_VALUE"""),"TNI0517: Myeik_PAT_C_MYT_TNI_TEAM02_Zin Min Shein")</f>
        <v>TNI0517: Myeik_PAT_C_MYT_TNI_TEAM02_Zin Min Shein</v>
      </c>
      <c r="C305" s="98" t="str">
        <f>IFERROR(__xludf.DUMMYFUNCTION("""COMPUTED_VALUE"""),"TNI0003-TNI0517_Myeik_24 FO : 1.2_Ye Lin")</f>
        <v>TNI0003-TNI0517_Myeik_24 FO : 1.2_Ye Lin</v>
      </c>
      <c r="D305" s="98" t="str">
        <f>IFERROR(__xludf.DUMMYFUNCTION("""COMPUTED_VALUE"""),"")</f>
        <v/>
      </c>
      <c r="E305" s="98" t="str">
        <f>IFERROR(__xludf.DUMMYFUNCTION("""COMPUTED_VALUE""")," Solar M:  Solar Power:  Maintenance DG:  +  +  + MW Link: ")</f>
        <v> Solar M:  Solar Power:  Maintenance DG:  +  +  + MW Link: </v>
      </c>
    </row>
    <row r="306">
      <c r="A306" s="98" t="str">
        <f>IFERROR(__xludf.DUMMYFUNCTION("""COMPUTED_VALUE"""),"TNI0519")</f>
        <v>TNI0519</v>
      </c>
      <c r="B306" s="98" t="str">
        <f>IFERROR(__xludf.DUMMYFUNCTION("""COMPUTED_VALUE"""),"TNI0519: Myeik_Mytel_C_MYT_TNI_TEAM02_Zin Min Shein")</f>
        <v>TNI0519: Myeik_Mytel_C_MYT_TNI_TEAM02_Zin Min Shein</v>
      </c>
      <c r="C306" s="98" t="str">
        <f>IFERROR(__xludf.DUMMYFUNCTION("""COMPUTED_VALUE"""),"")</f>
        <v/>
      </c>
      <c r="D306" s="98" t="str">
        <f>IFERROR(__xludf.DUMMYFUNCTION("""COMPUTED_VALUE"""),"")</f>
        <v/>
      </c>
      <c r="E306" s="98" t="str">
        <f>IFERROR(__xludf.DUMMYFUNCTION("""COMPUTED_VALUE"""),"TNI0519 MYT_Routine_Maintenance_Mytel_Station MYT_RTE_MTE_SB_STN _ myt_wanna.oo2 : 30/12/1899 00:00 : 886.64 _ FT assigned + TNI0519 MYT_Routine_Maintenance_Mytel_Station_VCM _ myt_zinmin.shein : 03/06/2026 11:15 : 734.99 _ Close Solar M: TNI0519 MYT_Main"&amp;"tenacne_Solar _ myt_naythurain.oo : 30/12/1899 00:00 :  _ Close + TNI0519 MYT_Maintenacne_Solar _ myt_naythurain.oo : 30/04/2026 16:34 : 422.18 _ Close + TNI0519 MYT_Maintenacne_Solar _ myt_naythurain.oo : 30/04/2026 17:08 : -417.83 _ Close Solar Power:  "&amp;"Maintenance DG:  +  +  + MW Link: TNI0519-TNI0107")</f>
        <v>TNI0519 MYT_Routine_Maintenance_Mytel_Station MYT_RTE_MTE_SB_STN _ myt_wanna.oo2 : 30/12/1899 00:00 : 886.64 _ FT assigned + TNI0519 MYT_Routine_Maintenance_Mytel_Station_VCM _ myt_zinmin.shein : 03/06/2026 11:15 : 734.99 _ Close Solar M: TNI0519 MYT_Maintenacne_Solar _ myt_naythurain.oo : 30/12/1899 00:00 :  _ Close + TNI0519 MYT_Maintenacne_Solar _ myt_naythurain.oo : 30/04/2026 16:34 : 422.18 _ Close + TNI0519 MYT_Maintenacne_Solar _ myt_naythurain.oo : 30/04/2026 17:08 : -417.83 _ Close Solar Power:  Maintenance DG:  +  +  + MW Link: TNI0519-TNI0107</v>
      </c>
    </row>
    <row r="307">
      <c r="A307" s="98" t="str">
        <f>IFERROR(__xludf.DUMMYFUNCTION("""COMPUTED_VALUE"""),"TNI0520")</f>
        <v>TNI0520</v>
      </c>
      <c r="B307" s="98" t="str">
        <f>IFERROR(__xludf.DUMMYFUNCTION("""COMPUTED_VALUE"""),"TNI0520: Kyunsu_EFT_C_MYT_TNI_TEAM02_Maung Maung")</f>
        <v>TNI0520: Kyunsu_EFT_C_MYT_TNI_TEAM02_Maung Maung</v>
      </c>
      <c r="C307" s="98" t="str">
        <f>IFERROR(__xludf.DUMMYFUNCTION("""COMPUTED_VALUE"""),"")</f>
        <v/>
      </c>
      <c r="D307" s="98" t="str">
        <f>IFERROR(__xludf.DUMMYFUNCTION("""COMPUTED_VALUE"""),"")</f>
        <v/>
      </c>
      <c r="E307" s="98" t="str">
        <f>IFERROR(__xludf.DUMMYFUNCTION("""COMPUTED_VALUE""")," Solar M:  Solar Power:  Maintenance DG:  +  +  + MW Link: TNI0520-TNI0255")</f>
        <v> Solar M:  Solar Power:  Maintenance DG:  +  +  + MW Link: TNI0520-TNI0255</v>
      </c>
    </row>
    <row r="308">
      <c r="A308" s="98" t="str">
        <f>IFERROR(__xludf.DUMMYFUNCTION("""COMPUTED_VALUE"""),"TNI0521")</f>
        <v>TNI0521</v>
      </c>
      <c r="B308" s="98" t="str">
        <f>IFERROR(__xludf.DUMMYFUNCTION("""COMPUTED_VALUE"""),"TNI0521: Palaw_Mytel_C_MYT_TNI_TEAM02_Min Paing Oo")</f>
        <v>TNI0521: Palaw_Mytel_C_MYT_TNI_TEAM02_Min Paing Oo</v>
      </c>
      <c r="C308" s="98" t="str">
        <f>IFERROR(__xludf.DUMMYFUNCTION("""COMPUTED_VALUE"""),"")</f>
        <v/>
      </c>
      <c r="D308" s="98" t="str">
        <f>IFERROR(__xludf.DUMMYFUNCTION("""COMPUTED_VALUE"""),"")</f>
        <v/>
      </c>
      <c r="E308" s="98" t="str">
        <f>IFERROR(__xludf.DUMMYFUNCTION("""COMPUTED_VALUE"""),"TNI0521 MYT_Routine_Maintenance_Mytel_Station MYT_RTE_MTE_SB_STN _ myt_minpaing.oo : 30/12/1899 00:00 : 960.45 _ FT assigned Solar M:  Solar Power:  Maintenance DG:  +  +  + MW Link: ")</f>
        <v>TNI0521 MYT_Routine_Maintenance_Mytel_Station MYT_RTE_MTE_SB_STN _ myt_minpaing.oo : 30/12/1899 00:00 : 960.45 _ FT assigned Solar M:  Solar Power:  Maintenance DG:  +  +  + MW Link: </v>
      </c>
    </row>
    <row r="309">
      <c r="A309" s="98" t="str">
        <f>IFERROR(__xludf.DUMMYFUNCTION("""COMPUTED_VALUE"""),"TNI0276")</f>
        <v>TNI0276</v>
      </c>
      <c r="B309" s="98" t="str">
        <f>IFERROR(__xludf.DUMMYFUNCTION("""COMPUTED_VALUE"""),"TNI0276: Dawei_IGT_C_MYT_TNI_TEAM02_Aung Lwin Phyo")</f>
        <v>TNI0276: Dawei_IGT_C_MYT_TNI_TEAM02_Aung Lwin Phyo</v>
      </c>
      <c r="C309" s="98" t="str">
        <f>IFERROR(__xludf.DUMMYFUNCTION("""COMPUTED_VALUE"""),"TNI0276-TNI0276_01_Yebyu_12 FO : 4_Aung Lwin Phyo + TNI0276-TNIM064_Dawei_24 FO : 1.39_Bhone Htet Aung")</f>
        <v>TNI0276-TNI0276_01_Yebyu_12 FO : 4_Aung Lwin Phyo + TNI0276-TNIM064_Dawei_24 FO : 1.39_Bhone Htet Aung</v>
      </c>
      <c r="D309" s="98" t="str">
        <f>IFERROR(__xludf.DUMMYFUNCTION("""COMPUTED_VALUE"""),"")</f>
        <v/>
      </c>
      <c r="E309" s="98" t="str">
        <f>IFERROR(__xludf.DUMMYFUNCTION("""COMPUTED_VALUE""")," Solar M:  Solar Power:  Maintenance DG:  +  +  + MW Link: TNI0276-TNI0427")</f>
        <v> Solar M:  Solar Power:  Maintenance DG:  +  +  + MW Link: TNI0276-TNI0427</v>
      </c>
    </row>
    <row r="310">
      <c r="A310" s="264" t="str">
        <f>IFERROR(__xludf.DUMMYFUNCTION("""COMPUTED_VALUE"""),"TNI0014")</f>
        <v>TNI0014</v>
      </c>
      <c r="B310" s="98" t="str">
        <f>IFERROR(__xludf.DUMMYFUNCTION("""COMPUTED_VALUE"""),"")</f>
        <v/>
      </c>
      <c r="C310" s="98" t="str">
        <f>IFERROR(__xludf.DUMMYFUNCTION("""COMPUTED_VALUE"""),"TNI0014-JB(TNI0014-TNI0058)_Dawei_48 FO : 0.5_Aung Lwin Phyo + TNI0014-TNI0058_Dawei_24 FO : 2.05_Aung Lwin Phyo + TNI0014-TNI0250_Dawei_24 FO : 2.5_Aung Lwin Phyo")</f>
        <v>TNI0014-JB(TNI0014-TNI0058)_Dawei_48 FO : 0.5_Aung Lwin Phyo + TNI0014-TNI0058_Dawei_24 FO : 2.05_Aung Lwin Phyo + TNI0014-TNI0250_Dawei_24 FO : 2.5_Aung Lwin Phyo</v>
      </c>
      <c r="D310" s="98" t="str">
        <f>IFERROR(__xludf.DUMMYFUNCTION("""COMPUTED_VALUE"""),"")</f>
        <v/>
      </c>
      <c r="E310" s="98" t="str">
        <f>IFERROR(__xludf.DUMMYFUNCTION("""COMPUTED_VALUE""")," Solar M:  Solar Power:  Maintenance DG:  +  +  + MW Link: ")</f>
        <v> Solar M:  Solar Power:  Maintenance DG:  +  +  + MW Link: </v>
      </c>
    </row>
    <row r="311">
      <c r="A311" s="264" t="str">
        <f>IFERROR(__xludf.DUMMYFUNCTION("""COMPUTED_VALUE"""),"TNI0100")</f>
        <v>TNI0100</v>
      </c>
      <c r="B311" s="98" t="str">
        <f>IFERROR(__xludf.DUMMYFUNCTION("""COMPUTED_VALUE"""),"")</f>
        <v/>
      </c>
      <c r="C311" s="98" t="str">
        <f>IFERROR(__xludf.DUMMYFUNCTION("""COMPUTED_VALUE"""),"TNI0100-TNIM037_Thayetchaung_24 FO : 1.34_Bhone Htet Aung")</f>
        <v>TNI0100-TNIM037_Thayetchaung_24 FO : 1.34_Bhone Htet Aung</v>
      </c>
      <c r="D311" s="98" t="str">
        <f>IFERROR(__xludf.DUMMYFUNCTION("""COMPUTED_VALUE"""),"")</f>
        <v/>
      </c>
      <c r="E311" s="98" t="str">
        <f>IFERROR(__xludf.DUMMYFUNCTION("""COMPUTED_VALUE""")," Solar M:  Solar Power:  Maintenance DG:  +  +  + MW Link: ")</f>
        <v> Solar M:  Solar Power:  Maintenance DG:  +  +  + MW Link: </v>
      </c>
    </row>
    <row r="312">
      <c r="A312" s="264" t="str">
        <f>IFERROR(__xludf.DUMMYFUNCTION("""COMPUTED_VALUE"""),"JB(TNI0146-TNI0366)")</f>
        <v>JB(TNI0146-TNI0366)</v>
      </c>
      <c r="B312" s="98" t="str">
        <f>IFERROR(__xludf.DUMMYFUNCTION("""COMPUTED_VALUE"""),"")</f>
        <v/>
      </c>
      <c r="C312" s="98" t="str">
        <f>IFERROR(__xludf.DUMMYFUNCTION("""COMPUTED_VALUE"""),"JB(TNI0146-TNI0366)-JB(TNI0013-TNI0006)_Yebyu_24 FO : 12_Thar Htoo Aung")</f>
        <v>JB(TNI0146-TNI0366)-JB(TNI0013-TNI0006)_Yebyu_24 FO : 12_Thar Htoo Aung</v>
      </c>
      <c r="D312" s="98" t="str">
        <f>IFERROR(__xludf.DUMMYFUNCTION("""COMPUTED_VALUE"""),"")</f>
        <v/>
      </c>
      <c r="E312" s="98" t="str">
        <f>IFERROR(__xludf.DUMMYFUNCTION("""COMPUTED_VALUE""")," Solar M:  Solar Power:  Maintenance DG:  +  +  + MW Link: ")</f>
        <v> Solar M:  Solar Power:  Maintenance DG:  +  +  + MW Link: </v>
      </c>
    </row>
    <row r="313">
      <c r="A313" s="264" t="str">
        <f>IFERROR(__xludf.DUMMYFUNCTION("""COMPUTED_VALUE"""),"JB1(TNI0006-MON0002)")</f>
        <v>JB1(TNI0006-MON0002)</v>
      </c>
      <c r="B313" s="98" t="str">
        <f>IFERROR(__xludf.DUMMYFUNCTION("""COMPUTED_VALUE"""),"")</f>
        <v/>
      </c>
      <c r="C313" s="98" t="str">
        <f>IFERROR(__xludf.DUMMYFUNCTION("""COMPUTED_VALUE"""),"JB1(TNI0006-MON0002)-JB2(TNI0006-MON0002)_Yebyu_48 FO : 1.48_Thu Rain Niang")</f>
        <v>JB1(TNI0006-MON0002)-JB2(TNI0006-MON0002)_Yebyu_48 FO : 1.48_Thu Rain Niang</v>
      </c>
      <c r="D313" s="98" t="str">
        <f>IFERROR(__xludf.DUMMYFUNCTION("""COMPUTED_VALUE"""),"")</f>
        <v/>
      </c>
      <c r="E313" s="98" t="str">
        <f>IFERROR(__xludf.DUMMYFUNCTION("""COMPUTED_VALUE""")," Solar M:  Solar Power:  Maintenance DG:  +  +  + MW Link: ")</f>
        <v> Solar M:  Solar Power:  Maintenance DG:  +  +  + MW Link: </v>
      </c>
    </row>
    <row r="314">
      <c r="A314" s="264" t="str">
        <f>IFERROR(__xludf.DUMMYFUNCTION("""COMPUTED_VALUE"""),"TNI0451")</f>
        <v>TNI0451</v>
      </c>
      <c r="B314" s="98" t="str">
        <f>IFERROR(__xludf.DUMMYFUNCTION("""COMPUTED_VALUE"""),"")</f>
        <v/>
      </c>
      <c r="C314" s="98" t="str">
        <f>IFERROR(__xludf.DUMMYFUNCTION("""COMPUTED_VALUE"""),"TNI0451-JB(TNI0170-TNI0357)_dawei_12 FO : 0.85_Win Htet Aung")</f>
        <v>TNI0451-JB(TNI0170-TNI0357)_dawei_12 FO : 0.85_Win Htet Aung</v>
      </c>
      <c r="D314" s="98" t="str">
        <f>IFERROR(__xludf.DUMMYFUNCTION("""COMPUTED_VALUE"""),"")</f>
        <v/>
      </c>
      <c r="E314" s="98" t="str">
        <f>IFERROR(__xludf.DUMMYFUNCTION("""COMPUTED_VALUE""")," Solar M:  Solar Power:  Maintenance DG:  +  +  + MW Link: ")</f>
        <v> Solar M:  Solar Power:  Maintenance DG:  +  +  + MW Link: </v>
      </c>
    </row>
    <row r="315">
      <c r="A315" s="264" t="str">
        <f>IFERROR(__xludf.DUMMYFUNCTION("""COMPUTED_VALUE"""),"TNI0357")</f>
        <v>TNI0357</v>
      </c>
      <c r="B315" s="98" t="str">
        <f>IFERROR(__xludf.DUMMYFUNCTION("""COMPUTED_VALUE"""),"")</f>
        <v/>
      </c>
      <c r="C315" s="98" t="str">
        <f>IFERROR(__xludf.DUMMYFUNCTION("""COMPUTED_VALUE"""),"TNI0170-TNI0357_Yebyu_24 FO : 13.7_Win Htet Aung")</f>
        <v>TNI0170-TNI0357_Yebyu_24 FO : 13.7_Win Htet Aung</v>
      </c>
      <c r="D315" s="98" t="str">
        <f>IFERROR(__xludf.DUMMYFUNCTION("""COMPUTED_VALUE"""),"")</f>
        <v/>
      </c>
      <c r="E315" s="98" t="str">
        <f>IFERROR(__xludf.DUMMYFUNCTION("""COMPUTED_VALUE""")," Solar M:  Solar Power:  Maintenance DG:  +  +  + MW Link: ")</f>
        <v> Solar M:  Solar Power:  Maintenance DG:  +  +  + MW Link: </v>
      </c>
    </row>
    <row r="316">
      <c r="A316" s="264" t="str">
        <f>IFERROR(__xludf.DUMMYFUNCTION("""COMPUTED_VALUE"""),"TNI0091")</f>
        <v>TNI0091</v>
      </c>
      <c r="B316" s="98" t="str">
        <f>IFERROR(__xludf.DUMMYFUNCTION("""COMPUTED_VALUE"""),"")</f>
        <v/>
      </c>
      <c r="C316" s="98" t="str">
        <f>IFERROR(__xludf.DUMMYFUNCTION("""COMPUTED_VALUE"""),"TNI0091-TNI0159_Palaw_24 FO : 5.34_Min Paing Oo")</f>
        <v>TNI0091-TNI0159_Palaw_24 FO : 5.34_Min Paing Oo</v>
      </c>
      <c r="D316" s="98" t="str">
        <f>IFERROR(__xludf.DUMMYFUNCTION("""COMPUTED_VALUE"""),"")</f>
        <v/>
      </c>
      <c r="E316" s="98" t="str">
        <f>IFERROR(__xludf.DUMMYFUNCTION("""COMPUTED_VALUE""")," Solar M:  Solar Power:  Maintenance DG:  +  +  + MW Link: ")</f>
        <v> Solar M:  Solar Power:  Maintenance DG:  +  +  + MW Link: </v>
      </c>
    </row>
    <row r="317">
      <c r="A317" s="264" t="str">
        <f>IFERROR(__xludf.DUMMYFUNCTION("""COMPUTED_VALUE"""),"TNI0218")</f>
        <v>TNI0218</v>
      </c>
      <c r="B317" s="98" t="str">
        <f>IFERROR(__xludf.DUMMYFUNCTION("""COMPUTED_VALUE"""),"")</f>
        <v/>
      </c>
      <c r="C317" s="98" t="str">
        <f>IFERROR(__xludf.DUMMYFUNCTION("""COMPUTED_VALUE"""),"TNI0218-TNIM061_Thayetchaung_24 FO : 1_Min Paing Oo")</f>
        <v>TNI0218-TNIM061_Thayetchaung_24 FO : 1_Min Paing Oo</v>
      </c>
      <c r="D317" s="98" t="str">
        <f>IFERROR(__xludf.DUMMYFUNCTION("""COMPUTED_VALUE"""),"")</f>
        <v/>
      </c>
      <c r="E317" s="98" t="str">
        <f>IFERROR(__xludf.DUMMYFUNCTION("""COMPUTED_VALUE""")," Solar M: TNI0218 MYT_Maintenacne_Solar _ myt_naymyo.thu : 30/12/1899 00:00 :  _ Close + TNI0218 MYT_Maintenacne_Solar _ myt_zinmin.shein : 20/05/2026 11:37 : -858.69 _ Close Solar Power:  Maintenance DG:  +  +  + MW Link: ")</f>
        <v> Solar M: TNI0218 MYT_Maintenacne_Solar _ myt_naymyo.thu : 30/12/1899 00:00 :  _ Close + TNI0218 MYT_Maintenacne_Solar _ myt_zinmin.shein : 20/05/2026 11:37 : -858.69 _ Close Solar Power:  Maintenance DG:  +  +  + MW Link: </v>
      </c>
    </row>
    <row r="318">
      <c r="A318" s="264" t="str">
        <f>IFERROR(__xludf.DUMMYFUNCTION("""COMPUTED_VALUE"""),"TNI0450")</f>
        <v>TNI0450</v>
      </c>
      <c r="B318" s="98" t="str">
        <f>IFERROR(__xludf.DUMMYFUNCTION("""COMPUTED_VALUE"""),"")</f>
        <v/>
      </c>
      <c r="C318" s="98" t="str">
        <f>IFERROR(__xludf.DUMMYFUNCTION("""COMPUTED_VALUE"""),"TNI0281-TNI0450_Myeik_24 FO : 3.5_Maung Maung")</f>
        <v>TNI0281-TNI0450_Myeik_24 FO : 3.5_Maung Maung</v>
      </c>
      <c r="D318" s="98" t="str">
        <f>IFERROR(__xludf.DUMMYFUNCTION("""COMPUTED_VALUE"""),"")</f>
        <v/>
      </c>
      <c r="E318" s="98" t="str">
        <f>IFERROR(__xludf.DUMMYFUNCTION("""COMPUTED_VALUE""")," Solar M:  Solar Power:  Maintenance DG:  +  +  + MW Link: ")</f>
        <v> Solar M:  Solar Power:  Maintenance DG:  +  +  + MW Link: </v>
      </c>
    </row>
    <row r="319">
      <c r="A319" s="264" t="str">
        <f>IFERROR(__xludf.DUMMYFUNCTION("""COMPUTED_VALUE"""),"TNI0097")</f>
        <v>TNI0097</v>
      </c>
      <c r="B319" s="98" t="str">
        <f>IFERROR(__xludf.DUMMYFUNCTION("""COMPUTED_VALUE"""),"")</f>
        <v/>
      </c>
      <c r="C319" s="98" t="str">
        <f>IFERROR(__xludf.DUMMYFUNCTION("""COMPUTED_VALUE"""),"TNI0097-TNIM036_Palaw_24 FO : 1.99_Min Paing Oo")</f>
        <v>TNI0097-TNIM036_Palaw_24 FO : 1.99_Min Paing Oo</v>
      </c>
      <c r="D319" s="98" t="str">
        <f>IFERROR(__xludf.DUMMYFUNCTION("""COMPUTED_VALUE"""),"")</f>
        <v/>
      </c>
      <c r="E319" s="98" t="str">
        <f>IFERROR(__xludf.DUMMYFUNCTION("""COMPUTED_VALUE""")," Solar M:  Solar Power:  Maintenance DG:  +  +  + MW Link: ")</f>
        <v> Solar M:  Solar Power:  Maintenance DG:  +  +  + MW Link: </v>
      </c>
    </row>
    <row r="320">
      <c r="A320" s="265" t="str">
        <f>IFERROR(__xludf.DUMMYFUNCTION("""COMPUTED_VALUE"""),"TNI0074")</f>
        <v>TNI0074</v>
      </c>
      <c r="B320" s="98" t="str">
        <f>IFERROR(__xludf.DUMMYFUNCTION("""COMPUTED_VALUE"""),"")</f>
        <v/>
      </c>
      <c r="C320" s="98" t="str">
        <f>IFERROR(__xludf.DUMMYFUNCTION("""COMPUTED_VALUE"""),"TNI0074-TNI0294_Myeik_24 FO : 1_Zin Min Shein")</f>
        <v>TNI0074-TNI0294_Myeik_24 FO : 1_Zin Min Shein</v>
      </c>
      <c r="D320" s="98" t="str">
        <f>IFERROR(__xludf.DUMMYFUNCTION("""COMPUTED_VALUE"""),"")</f>
        <v/>
      </c>
      <c r="E320" s="98" t="str">
        <f>IFERROR(__xludf.DUMMYFUNCTION("""COMPUTED_VALUE""")," Solar M:  Solar Power:  Maintenance DG:  +  +  + MW Link: ")</f>
        <v> Solar M:  Solar Power:  Maintenance DG:  +  +  + MW Link: </v>
      </c>
    </row>
    <row r="321">
      <c r="A321" s="264" t="str">
        <f>IFERROR(__xludf.DUMMYFUNCTION("""COMPUTED_VALUE"""),"AU1(TNI0003-TNI0004)")</f>
        <v>AU1(TNI0003-TNI0004)</v>
      </c>
      <c r="B321" s="98" t="str">
        <f>IFERROR(__xludf.DUMMYFUNCTION("""COMPUTED_VALUE"""),"")</f>
        <v/>
      </c>
      <c r="C321" s="98" t="str">
        <f>IFERROR(__xludf.DUMMYFUNCTION("""COMPUTED_VALUE"""),"AU1(TNI0003-TNI0004)-UA1(TNI0003-TNI0004)_Bokpyin_48 FO : 3_Khant Si Thu")</f>
        <v>AU1(TNI0003-TNI0004)-UA1(TNI0003-TNI0004)_Bokpyin_48 FO : 3_Khant Si Thu</v>
      </c>
      <c r="D321" s="98" t="str">
        <f>IFERROR(__xludf.DUMMYFUNCTION("""COMPUTED_VALUE"""),"")</f>
        <v/>
      </c>
      <c r="E321" s="98" t="str">
        <f>IFERROR(__xludf.DUMMYFUNCTION("""COMPUTED_VALUE""")," Solar M:  Solar Power:  Maintenance DG:  +  +  + MW Link: ")</f>
        <v> Solar M:  Solar Power:  Maintenance DG:  +  +  + MW Link: </v>
      </c>
    </row>
    <row r="322">
      <c r="A322" s="264" t="str">
        <f>IFERROR(__xludf.DUMMYFUNCTION("""COMPUTED_VALUE"""),"TNI0338")</f>
        <v>TNI0338</v>
      </c>
      <c r="B322" s="98" t="str">
        <f>IFERROR(__xludf.DUMMYFUNCTION("""COMPUTED_VALUE"""),"")</f>
        <v/>
      </c>
      <c r="C322" s="98" t="str">
        <f>IFERROR(__xludf.DUMMYFUNCTION("""COMPUTED_VALUE"""),"TNI0338-JB(TNI0009-TNI0015)_Bokpyin_24 FO : 1.18_Khant Si Thu")</f>
        <v>TNI0338-JB(TNI0009-TNI0015)_Bokpyin_24 FO : 1.18_Khant Si Thu</v>
      </c>
      <c r="D322" s="98" t="str">
        <f>IFERROR(__xludf.DUMMYFUNCTION("""COMPUTED_VALUE"""),"")</f>
        <v/>
      </c>
      <c r="E322" s="98" t="str">
        <f>IFERROR(__xludf.DUMMYFUNCTION("""COMPUTED_VALUE""")," Solar M:  Solar Power:  Maintenance DG:  +  +  + MW Link: ")</f>
        <v> Solar M:  Solar Power:  Maintenance DG:  +  +  + MW Link: </v>
      </c>
    </row>
    <row r="323">
      <c r="A323" s="264" t="str">
        <f>IFERROR(__xludf.DUMMYFUNCTION("""COMPUTED_VALUE"""),"TNI0010")</f>
        <v>TNI0010</v>
      </c>
      <c r="B323" s="98" t="str">
        <f>IFERROR(__xludf.DUMMYFUNCTION("""COMPUTED_VALUE"""),"")</f>
        <v/>
      </c>
      <c r="C323" s="98" t="str">
        <f>IFERROR(__xludf.DUMMYFUNCTION("""COMPUTED_VALUE"""),"TNI0010-THAILAND_Bokpyin_48 FO : 2.47_Myint Ko Ko Aung")</f>
        <v>TNI0010-THAILAND_Bokpyin_48 FO : 2.47_Myint Ko Ko Aung</v>
      </c>
      <c r="D323" s="98" t="str">
        <f>IFERROR(__xludf.DUMMYFUNCTION("""COMPUTED_VALUE"""),"")</f>
        <v/>
      </c>
      <c r="E323" s="98" t="str">
        <f>IFERROR(__xludf.DUMMYFUNCTION("""COMPUTED_VALUE""")," Solar M:  Solar Power:  Maintenance DG:  +  +  + MW Link: ")</f>
        <v> Solar M:  Solar Power:  Maintenance DG:  +  +  + MW Link: </v>
      </c>
    </row>
    <row r="324">
      <c r="A324" s="264" t="str">
        <f>IFERROR(__xludf.DUMMYFUNCTION("""COMPUTED_VALUE"""),"TNI0151")</f>
        <v>TNI0151</v>
      </c>
      <c r="B324" s="98" t="str">
        <f>IFERROR(__xludf.DUMMYFUNCTION("""COMPUTED_VALUE"""),"")</f>
        <v/>
      </c>
      <c r="C324" s="98" t="str">
        <f>IFERROR(__xludf.DUMMYFUNCTION("""COMPUTED_VALUE"""),"TNI0151-JB(TNI0010-TNI0004)_Bokpyin_24 FO : 1.58_Myint Ko Ko Aung")</f>
        <v>TNI0151-JB(TNI0010-TNI0004)_Bokpyin_24 FO : 1.58_Myint Ko Ko Aung</v>
      </c>
      <c r="D324" s="98" t="str">
        <f>IFERROR(__xludf.DUMMYFUNCTION("""COMPUTED_VALUE"""),"")</f>
        <v/>
      </c>
      <c r="E324" s="98" t="str">
        <f>IFERROR(__xludf.DUMMYFUNCTION("""COMPUTED_VALUE""")," Solar M:  Solar Power:  Maintenance DG:  +  +  + MW Link: ")</f>
        <v> Solar M:  Solar Power:  Maintenance DG:  +  +  + MW Link: </v>
      </c>
    </row>
    <row r="325">
      <c r="A325" s="264" t="str">
        <f>IFERROR(__xludf.DUMMYFUNCTION("""COMPUTED_VALUE"""),"TNI0179")</f>
        <v>TNI0179</v>
      </c>
      <c r="B325" s="98" t="str">
        <f>IFERROR(__xludf.DUMMYFUNCTION("""COMPUTED_VALUE"""),"")</f>
        <v/>
      </c>
      <c r="C325" s="98" t="str">
        <f>IFERROR(__xludf.DUMMYFUNCTION("""COMPUTED_VALUE"""),"TNI0179-TNI0221_Tanintharyi_24 FO : 19.94_Myint Ko Ko Aung")</f>
        <v>TNI0179-TNI0221_Tanintharyi_24 FO : 19.94_Myint Ko Ko Aung</v>
      </c>
      <c r="D325" s="98" t="str">
        <f>IFERROR(__xludf.DUMMYFUNCTION("""COMPUTED_VALUE"""),"")</f>
        <v/>
      </c>
      <c r="E325" s="98" t="str">
        <f>IFERROR(__xludf.DUMMYFUNCTION("""COMPUTED_VALUE""")," Solar M:  Solar Power:  Maintenance DG:  +  +  + MW Link: ")</f>
        <v> Solar M:  Solar Power:  Maintenance DG:  +  +  + MW Link: </v>
      </c>
    </row>
    <row r="326">
      <c r="A326" s="264" t="str">
        <f>IFERROR(__xludf.DUMMYFUNCTION("""COMPUTED_VALUE"""),"TNI0292")</f>
        <v>TNI0292</v>
      </c>
      <c r="B326" s="98" t="str">
        <f>IFERROR(__xludf.DUMMYFUNCTION("""COMPUTED_VALUE"""),"")</f>
        <v/>
      </c>
      <c r="C326" s="98" t="str">
        <f>IFERROR(__xludf.DUMMYFUNCTION("""COMPUTED_VALUE"""),"TNI0292-TNIM077_Tanintharyi_24 FO : 1.95_Myint Ko Ko Aung")</f>
        <v>TNI0292-TNIM077_Tanintharyi_24 FO : 1.95_Myint Ko Ko Aung</v>
      </c>
      <c r="D326" s="98" t="str">
        <f>IFERROR(__xludf.DUMMYFUNCTION("""COMPUTED_VALUE"""),"")</f>
        <v/>
      </c>
      <c r="E326" s="98" t="str">
        <f>IFERROR(__xludf.DUMMYFUNCTION("""COMPUTED_VALUE""")," Solar M:  Solar Power:  Maintenance DG:  +  +  + MW Link: ")</f>
        <v> Solar M:  Solar Power:  Maintenance DG:  +  +  + MW Link: </v>
      </c>
    </row>
    <row r="327">
      <c r="A327" s="264" t="str">
        <f>IFERROR(__xludf.DUMMYFUNCTION("""COMPUTED_VALUE"""),"AU2(TNI0004-TNI0008)")</f>
        <v>AU2(TNI0004-TNI0008)</v>
      </c>
      <c r="B327" s="98" t="str">
        <f>IFERROR(__xludf.DUMMYFUNCTION("""COMPUTED_VALUE"""),"")</f>
        <v/>
      </c>
      <c r="C327" s="98" t="str">
        <f>IFERROR(__xludf.DUMMYFUNCTION("""COMPUTED_VALUE"""),"AU2(TNI0004-TNI0008)-UA2(TNI0004-TNI0008)_Tanintharyi_48 FO : 4.5_Myint Ko Ko Aung")</f>
        <v>AU2(TNI0004-TNI0008)-UA2(TNI0004-TNI0008)_Tanintharyi_48 FO : 4.5_Myint Ko Ko Aung</v>
      </c>
      <c r="D327" s="98" t="str">
        <f>IFERROR(__xludf.DUMMYFUNCTION("""COMPUTED_VALUE"""),"")</f>
        <v/>
      </c>
      <c r="E327" s="98" t="str">
        <f>IFERROR(__xludf.DUMMYFUNCTION("""COMPUTED_VALUE""")," Solar M:  Solar Power:  Maintenance DG:  +  +  + MW Link: ")</f>
        <v> Solar M:  Solar Power:  Maintenance DG:  +  +  + MW Link: </v>
      </c>
    </row>
    <row r="328">
      <c r="A328" s="264" t="str">
        <f>IFERROR(__xludf.DUMMYFUNCTION("""COMPUTED_VALUE"""),"AU3(TNI0004-TNI0008)")</f>
        <v>AU3(TNI0004-TNI0008)</v>
      </c>
      <c r="B328" s="98" t="str">
        <f>IFERROR(__xludf.DUMMYFUNCTION("""COMPUTED_VALUE"""),"")</f>
        <v/>
      </c>
      <c r="C328" s="98" t="str">
        <f>IFERROR(__xludf.DUMMYFUNCTION("""COMPUTED_VALUE"""),"AU3(TNI0004-TNI0008)-UA3(TNI0004-TNI0008)_Tanintharyi_48 FO : 3_Myint Ko Ko Aung")</f>
        <v>AU3(TNI0004-TNI0008)-UA3(TNI0004-TNI0008)_Tanintharyi_48 FO : 3_Myint Ko Ko Aung</v>
      </c>
      <c r="D328" s="98" t="str">
        <f>IFERROR(__xludf.DUMMYFUNCTION("""COMPUTED_VALUE"""),"")</f>
        <v/>
      </c>
      <c r="E328" s="98" t="str">
        <f>IFERROR(__xludf.DUMMYFUNCTION("""COMPUTED_VALUE""")," Solar M:  Solar Power:  Maintenance DG:  +  +  + MW Link: ")</f>
        <v> Solar M:  Solar Power:  Maintenance DG:  +  +  + MW Link: </v>
      </c>
    </row>
    <row r="329">
      <c r="A329" s="264" t="str">
        <f>IFERROR(__xludf.DUMMYFUNCTION("""COMPUTED_VALUE"""),"TNI0230")</f>
        <v>TNI0230</v>
      </c>
      <c r="B329" s="98" t="str">
        <f>IFERROR(__xludf.DUMMYFUNCTION("""COMPUTED_VALUE"""),"")</f>
        <v/>
      </c>
      <c r="C329" s="98" t="str">
        <f>IFERROR(__xludf.DUMMYFUNCTION("""COMPUTED_VALUE"""),"TNI0037-TNI0230_Kawthaung_24 FO : 3.02_Khant Chaw Nyo + TNI0011-TNI0230_Kawthoung_24 FO : 1.42_Tin Maung Win + TNI0230-TNI0235_Kawthaung_24 FO : 1.11_Tin Maung Win")</f>
        <v>TNI0037-TNI0230_Kawthaung_24 FO : 3.02_Khant Chaw Nyo + TNI0011-TNI0230_Kawthoung_24 FO : 1.42_Tin Maung Win + TNI0230-TNI0235_Kawthaung_24 FO : 1.11_Tin Maung Win</v>
      </c>
      <c r="D329" s="98" t="str">
        <f>IFERROR(__xludf.DUMMYFUNCTION("""COMPUTED_VALUE"""),"")</f>
        <v/>
      </c>
      <c r="E329" s="98" t="str">
        <f>IFERROR(__xludf.DUMMYFUNCTION("""COMPUTED_VALUE""")," Solar M:  Solar Power:  Maintenance DG:  +  +  + MW Link: ")</f>
        <v> Solar M:  Solar Power:  Maintenance DG:  +  +  + MW Link: </v>
      </c>
    </row>
    <row r="330">
      <c r="A330" s="98" t="str">
        <f>IFERROR(__xludf.DUMMYFUNCTION("""COMPUTED_VALUE"""),"UA1(TNI0012-THAILAND)")</f>
        <v>UA1(TNI0012-THAILAND)</v>
      </c>
      <c r="B330" s="98" t="str">
        <f>IFERROR(__xludf.DUMMYFUNCTION("""COMPUTED_VALUE"""),"")</f>
        <v/>
      </c>
      <c r="C330" s="98" t="str">
        <f>IFERROR(__xludf.DUMMYFUNCTION("""COMPUTED_VALUE"""),"UA1(TNI0012-THAILAND)-AU1(TNI0012-THAILAND)_Kawthoung_48 FO : 6.64_Tin Maung Win")</f>
        <v>UA1(TNI0012-THAILAND)-AU1(TNI0012-THAILAND)_Kawthoung_48 FO : 6.64_Tin Maung Win</v>
      </c>
      <c r="D330" s="98" t="str">
        <f>IFERROR(__xludf.DUMMYFUNCTION("""COMPUTED_VALUE"""),"")</f>
        <v/>
      </c>
      <c r="E330" s="98" t="str">
        <f>IFERROR(__xludf.DUMMYFUNCTION("""COMPUTED_VALUE""")," Solar M:  Solar Power:  Maintenance DG:  +  +  + MW Link: ")</f>
        <v> Solar M:  Solar Power:  Maintenance DG:  +  +  + MW Link: </v>
      </c>
    </row>
    <row r="331">
      <c r="A331" s="98" t="str">
        <f>IFERROR(__xludf.DUMMYFUNCTION("""COMPUTED_VALUE"""),"#N/A")</f>
        <v>#N/A</v>
      </c>
      <c r="B331" s="98" t="str">
        <f>IFERROR(__xludf.DUMMYFUNCTION("""COMPUTED_VALUE"""),"")</f>
        <v/>
      </c>
      <c r="C331" s="98" t="str">
        <f>IFERROR(__xludf.DUMMYFUNCTION("""COMPUTED_VALUE"""),"#N/A")</f>
        <v>#N/A</v>
      </c>
      <c r="D331" s="98" t="str">
        <f>IFERROR(__xludf.DUMMYFUNCTION("""COMPUTED_VALUE"""),"#N/A")</f>
        <v>#N/A</v>
      </c>
      <c r="E331" s="98" t="str">
        <f>IFERROR(__xludf.DUMMYFUNCTION("""COMPUTED_VALUE"""),"#N/A")</f>
        <v>#N/A</v>
      </c>
    </row>
    <row r="332">
      <c r="A332" s="98"/>
      <c r="B332" s="98" t="str">
        <f>IFERROR(__xludf.DUMMYFUNCTION("""COMPUTED_VALUE"""),"")</f>
        <v/>
      </c>
      <c r="C332" s="98" t="str">
        <f>IFERROR(__xludf.DUMMYFUNCTION("""COMPUTED_VALUE"""),"-")</f>
        <v>-</v>
      </c>
      <c r="D332" s="98" t="str">
        <f>IFERROR(__xludf.DUMMYFUNCTION("""COMPUTED_VALUE"""),"")</f>
        <v/>
      </c>
      <c r="E332" s="98" t="str">
        <f>IFERROR(__xludf.DUMMYFUNCTION("""COMPUTED_VALUE""")," Solar M:  Solar Power:  Maintenance DG:  +  +  + MW Link: Link Name")</f>
        <v> Solar M:  Solar Power:  Maintenance DG:  +  +  + MW Link: Link Name</v>
      </c>
    </row>
    <row r="333">
      <c r="A333" s="98"/>
      <c r="B333" s="98" t="str">
        <f>IFERROR(__xludf.DUMMYFUNCTION("""COMPUTED_VALUE"""),"")</f>
        <v/>
      </c>
      <c r="C333" s="98" t="str">
        <f>IFERROR(__xludf.DUMMYFUNCTION("""COMPUTED_VALUE"""),"-")</f>
        <v>-</v>
      </c>
      <c r="D333" s="98" t="str">
        <f>IFERROR(__xludf.DUMMYFUNCTION("""COMPUTED_VALUE"""),"")</f>
        <v/>
      </c>
      <c r="E333" s="98" t="str">
        <f>IFERROR(__xludf.DUMMYFUNCTION("""COMPUTED_VALUE""")," Solar M:  Solar Power:  Maintenance DG:  +  +  + MW Link: Link Name")</f>
        <v> Solar M:  Solar Power:  Maintenance DG:  +  +  + MW Link: Link Name</v>
      </c>
    </row>
    <row r="334">
      <c r="A334" s="98"/>
      <c r="B334" s="98" t="str">
        <f>IFERROR(__xludf.DUMMYFUNCTION("""COMPUTED_VALUE"""),"")</f>
        <v/>
      </c>
      <c r="C334" s="98" t="str">
        <f>IFERROR(__xludf.DUMMYFUNCTION("""COMPUTED_VALUE"""),"-")</f>
        <v>-</v>
      </c>
      <c r="D334" s="98" t="str">
        <f>IFERROR(__xludf.DUMMYFUNCTION("""COMPUTED_VALUE"""),"")</f>
        <v/>
      </c>
      <c r="E334" s="98" t="str">
        <f>IFERROR(__xludf.DUMMYFUNCTION("""COMPUTED_VALUE""")," Solar M:  Solar Power:  Maintenance DG:  +  +  + MW Link: Link Name")</f>
        <v> Solar M:  Solar Power:  Maintenance DG:  +  +  + MW Link: Link Name</v>
      </c>
    </row>
    <row r="335">
      <c r="A335" s="98"/>
      <c r="B335" s="98" t="str">
        <f>IFERROR(__xludf.DUMMYFUNCTION("""COMPUTED_VALUE"""),"")</f>
        <v/>
      </c>
      <c r="C335" s="98" t="str">
        <f>IFERROR(__xludf.DUMMYFUNCTION("""COMPUTED_VALUE"""),"-")</f>
        <v>-</v>
      </c>
      <c r="D335" s="98" t="str">
        <f>IFERROR(__xludf.DUMMYFUNCTION("""COMPUTED_VALUE"""),"")</f>
        <v/>
      </c>
      <c r="E335" s="98" t="str">
        <f>IFERROR(__xludf.DUMMYFUNCTION("""COMPUTED_VALUE""")," Solar M:  Solar Power:  Maintenance DG:  +  +  + MW Link: Link Name")</f>
        <v> Solar M:  Solar Power:  Maintenance DG:  +  +  + MW Link: Link Name</v>
      </c>
    </row>
    <row r="336">
      <c r="A336" s="98"/>
      <c r="B336" s="98" t="str">
        <f>IFERROR(__xludf.DUMMYFUNCTION("""COMPUTED_VALUE"""),"")</f>
        <v/>
      </c>
      <c r="C336" s="98" t="str">
        <f>IFERROR(__xludf.DUMMYFUNCTION("""COMPUTED_VALUE"""),"-")</f>
        <v>-</v>
      </c>
      <c r="D336" s="98" t="str">
        <f>IFERROR(__xludf.DUMMYFUNCTION("""COMPUTED_VALUE"""),"")</f>
        <v/>
      </c>
      <c r="E336" s="98" t="str">
        <f>IFERROR(__xludf.DUMMYFUNCTION("""COMPUTED_VALUE""")," Solar M:  Solar Power:  Maintenance DG:  +  +  + MW Link: Link Name")</f>
        <v> Solar M:  Solar Power:  Maintenance DG:  +  +  + MW Link: Link Name</v>
      </c>
    </row>
    <row r="337">
      <c r="A337" s="98"/>
      <c r="B337" s="98" t="str">
        <f>IFERROR(__xludf.DUMMYFUNCTION("""COMPUTED_VALUE"""),"")</f>
        <v/>
      </c>
      <c r="C337" s="98" t="str">
        <f>IFERROR(__xludf.DUMMYFUNCTION("""COMPUTED_VALUE"""),"-")</f>
        <v>-</v>
      </c>
      <c r="D337" s="98" t="str">
        <f>IFERROR(__xludf.DUMMYFUNCTION("""COMPUTED_VALUE"""),"")</f>
        <v/>
      </c>
      <c r="E337" s="98" t="str">
        <f>IFERROR(__xludf.DUMMYFUNCTION("""COMPUTED_VALUE""")," Solar M:  Solar Power:  Maintenance DG:  +  +  + MW Link: Link Name")</f>
        <v> Solar M:  Solar Power:  Maintenance DG:  +  +  + MW Link: Link Name</v>
      </c>
    </row>
    <row r="338">
      <c r="A338" s="98"/>
      <c r="B338" s="98"/>
      <c r="C338" s="98"/>
      <c r="D338" s="98"/>
      <c r="E338" s="98" t="str">
        <f>IFERROR(__xludf.DUMMYFUNCTION("""COMPUTED_VALUE""")," Solar M:  Solar Power:  Maintenance DG:  +  +  + MW Link: Link Name")</f>
        <v> Solar M:  Solar Power:  Maintenance DG:  +  +  + MW Link: Link Name</v>
      </c>
    </row>
    <row r="339">
      <c r="A339" s="98"/>
      <c r="B339" s="98"/>
      <c r="C339" s="98"/>
      <c r="D339" s="98"/>
      <c r="E339" s="98" t="str">
        <f>IFERROR(__xludf.DUMMYFUNCTION("""COMPUTED_VALUE""")," Solar M:  Solar Power:  Maintenance DG:  +  +  + MW Link: Link Name")</f>
        <v> Solar M:  Solar Power:  Maintenance DG:  +  +  + MW Link: Link Name</v>
      </c>
    </row>
    <row r="340">
      <c r="A340" s="98"/>
      <c r="B340" s="98"/>
      <c r="C340" s="98"/>
      <c r="D340" s="98"/>
      <c r="E340" s="98" t="str">
        <f>IFERROR(__xludf.DUMMYFUNCTION("""COMPUTED_VALUE""")," Solar M:  Solar Power:  Maintenance DG:  +  +  + MW Link: Link Name")</f>
        <v> Solar M:  Solar Power:  Maintenance DG:  +  +  + MW Link: Link Name</v>
      </c>
    </row>
    <row r="341">
      <c r="A341" s="98"/>
      <c r="B341" s="98"/>
      <c r="C341" s="98"/>
      <c r="D341" s="98"/>
      <c r="E341" s="98" t="str">
        <f>IFERROR(__xludf.DUMMYFUNCTION("""COMPUTED_VALUE""")," Solar M:  Solar Power:  Maintenance DG:  +  +  + MW Link: Link Name")</f>
        <v> Solar M:  Solar Power:  Maintenance DG:  +  +  + MW Link: Link Name</v>
      </c>
    </row>
    <row r="342">
      <c r="A342" s="98"/>
      <c r="B342" s="98"/>
      <c r="C342" s="98"/>
      <c r="D342" s="98"/>
      <c r="E342" s="98" t="str">
        <f>IFERROR(__xludf.DUMMYFUNCTION("""COMPUTED_VALUE""")," Solar M:  Solar Power:  Maintenance DG:  +  +  + MW Link: Link Name")</f>
        <v> Solar M:  Solar Power:  Maintenance DG:  +  +  + MW Link: Link Name</v>
      </c>
    </row>
    <row r="343">
      <c r="A343" s="98"/>
      <c r="B343" s="98"/>
      <c r="C343" s="98"/>
      <c r="D343" s="98"/>
      <c r="E343" s="98" t="str">
        <f>IFERROR(__xludf.DUMMYFUNCTION("""COMPUTED_VALUE""")," Solar M:  Solar Power:  Maintenance DG:  +  +  + MW Link: Link Name")</f>
        <v> Solar M:  Solar Power:  Maintenance DG:  +  +  + MW Link: Link Name</v>
      </c>
    </row>
    <row r="344">
      <c r="A344" s="98"/>
      <c r="B344" s="98"/>
      <c r="C344" s="98"/>
      <c r="D344" s="98"/>
      <c r="E344" s="98" t="str">
        <f>IFERROR(__xludf.DUMMYFUNCTION("""COMPUTED_VALUE""")," Solar M:  Solar Power:  Maintenance DG:  +  +  + MW Link: Link Name")</f>
        <v> Solar M:  Solar Power:  Maintenance DG:  +  +  + MW Link: Link Name</v>
      </c>
    </row>
    <row r="345">
      <c r="A345" s="98"/>
      <c r="B345" s="98"/>
      <c r="C345" s="98"/>
      <c r="D345" s="98"/>
      <c r="E345" s="98" t="str">
        <f>IFERROR(__xludf.DUMMYFUNCTION("""COMPUTED_VALUE""")," Solar M:  Solar Power:  Maintenance DG:  +  +  + MW Link: Link Name")</f>
        <v> Solar M:  Solar Power:  Maintenance DG:  +  +  + MW Link: Link Name</v>
      </c>
    </row>
    <row r="346">
      <c r="A346" s="98"/>
      <c r="B346" s="98"/>
      <c r="C346" s="98"/>
      <c r="D346" s="98"/>
      <c r="E346" s="98" t="str">
        <f>IFERROR(__xludf.DUMMYFUNCTION("""COMPUTED_VALUE""")," Solar M:  Solar Power:  Maintenance DG:  +  +  + MW Link: Link Name")</f>
        <v> Solar M:  Solar Power:  Maintenance DG:  +  +  + MW Link: Link Name</v>
      </c>
    </row>
    <row r="347">
      <c r="A347" s="98"/>
      <c r="B347" s="98"/>
      <c r="C347" s="98"/>
      <c r="D347" s="98"/>
      <c r="E347" s="98" t="str">
        <f>IFERROR(__xludf.DUMMYFUNCTION("""COMPUTED_VALUE""")," Solar M:  Solar Power:  Maintenance DG:  +  +  + MW Link: Link Name")</f>
        <v> Solar M:  Solar Power:  Maintenance DG:  +  +  + MW Link: Link Name</v>
      </c>
    </row>
    <row r="348">
      <c r="A348" s="98"/>
      <c r="B348" s="98"/>
      <c r="C348" s="98"/>
      <c r="D348" s="98"/>
      <c r="E348" s="98" t="str">
        <f>IFERROR(__xludf.DUMMYFUNCTION("""COMPUTED_VALUE""")," Solar M:  Solar Power:  Maintenance DG:  +  +  + MW Link: Link Name")</f>
        <v> Solar M:  Solar Power:  Maintenance DG:  +  +  + MW Link: Link Name</v>
      </c>
    </row>
    <row r="349">
      <c r="A349" s="98"/>
      <c r="B349" s="98"/>
      <c r="C349" s="98"/>
      <c r="D349" s="98"/>
      <c r="E349" s="98" t="str">
        <f>IFERROR(__xludf.DUMMYFUNCTION("""COMPUTED_VALUE""")," Solar M:  Solar Power:  Maintenance DG:  +  +  + MW Link: Link Name")</f>
        <v> Solar M:  Solar Power:  Maintenance DG:  +  +  + MW Link: Link Name</v>
      </c>
    </row>
    <row r="350">
      <c r="A350" s="98"/>
      <c r="B350" s="98"/>
      <c r="C350" s="98"/>
      <c r="D350" s="98"/>
      <c r="E350" s="98" t="str">
        <f>IFERROR(__xludf.DUMMYFUNCTION("""COMPUTED_VALUE""")," Solar M:  Solar Power:  Maintenance DG:  +  +  + MW Link: Link Name")</f>
        <v> Solar M:  Solar Power:  Maintenance DG:  +  +  + MW Link: Link Name</v>
      </c>
    </row>
    <row r="351">
      <c r="A351" s="98"/>
      <c r="B351" s="98"/>
      <c r="C351" s="98"/>
      <c r="D351" s="98"/>
      <c r="E351" s="98" t="str">
        <f>IFERROR(__xludf.DUMMYFUNCTION("""COMPUTED_VALUE""")," Solar M:  Solar Power:  Maintenance DG:  +  +  + MW Link: Link Name")</f>
        <v> Solar M:  Solar Power:  Maintenance DG:  +  +  + MW Link: Link Name</v>
      </c>
    </row>
    <row r="352">
      <c r="A352" s="98"/>
      <c r="B352" s="98"/>
      <c r="C352" s="98"/>
      <c r="D352" s="98"/>
      <c r="E352" s="98" t="str">
        <f>IFERROR(__xludf.DUMMYFUNCTION("""COMPUTED_VALUE""")," Solar M:  Solar Power:  Maintenance DG:  +  +  + MW Link: Link Name")</f>
        <v> Solar M:  Solar Power:  Maintenance DG:  +  +  + MW Link: Link Name</v>
      </c>
    </row>
    <row r="353">
      <c r="A353" s="98"/>
      <c r="B353" s="98"/>
      <c r="C353" s="98"/>
      <c r="D353" s="98"/>
      <c r="E353" s="98" t="str">
        <f>IFERROR(__xludf.DUMMYFUNCTION("""COMPUTED_VALUE""")," Solar M:  Solar Power:  Maintenance DG:  +  +  + MW Link: Link Name")</f>
        <v> Solar M:  Solar Power:  Maintenance DG:  +  +  + MW Link: Link Name</v>
      </c>
    </row>
    <row r="354">
      <c r="A354" s="98"/>
      <c r="B354" s="98"/>
      <c r="C354" s="98"/>
      <c r="D354" s="98"/>
      <c r="E354" s="98" t="str">
        <f>IFERROR(__xludf.DUMMYFUNCTION("""COMPUTED_VALUE""")," Solar M:  Solar Power:  Maintenance DG:  +  +  + MW Link: Link Name")</f>
        <v> Solar M:  Solar Power:  Maintenance DG:  +  +  + MW Link: Link Name</v>
      </c>
    </row>
    <row r="355">
      <c r="A355" s="98"/>
      <c r="B355" s="98"/>
      <c r="C355" s="98"/>
      <c r="D355" s="98"/>
      <c r="E355" s="98" t="str">
        <f>IFERROR(__xludf.DUMMYFUNCTION("""COMPUTED_VALUE""")," Solar M:  Solar Power:  Maintenance DG:  +  +  + MW Link: Link Name")</f>
        <v> Solar M:  Solar Power:  Maintenance DG:  +  +  + MW Link: Link Name</v>
      </c>
    </row>
    <row r="356">
      <c r="A356" s="98"/>
      <c r="B356" s="98"/>
      <c r="C356" s="98"/>
      <c r="D356" s="98"/>
      <c r="E356" s="98" t="str">
        <f>IFERROR(__xludf.DUMMYFUNCTION("""COMPUTED_VALUE""")," Solar M:  Solar Power:  Maintenance DG:  +  +  + MW Link: Link Name")</f>
        <v> Solar M:  Solar Power:  Maintenance DG:  +  +  + MW Link: Link Name</v>
      </c>
    </row>
    <row r="357">
      <c r="A357" s="98"/>
      <c r="B357" s="98"/>
      <c r="C357" s="98"/>
      <c r="D357" s="98"/>
      <c r="E357" s="98" t="str">
        <f>IFERROR(__xludf.DUMMYFUNCTION("""COMPUTED_VALUE""")," Solar M:  Solar Power:  Maintenance DG:  +  +  + MW Link: Link Name")</f>
        <v> Solar M:  Solar Power:  Maintenance DG:  +  +  + MW Link: Link Name</v>
      </c>
    </row>
    <row r="358">
      <c r="A358" s="98"/>
      <c r="B358" s="98"/>
      <c r="C358" s="98"/>
      <c r="D358" s="98"/>
      <c r="E358" s="98" t="str">
        <f>IFERROR(__xludf.DUMMYFUNCTION("""COMPUTED_VALUE""")," Solar M:  Solar Power:  Maintenance DG:  +  +  + MW Link: Link Name")</f>
        <v> Solar M:  Solar Power:  Maintenance DG:  +  +  + MW Link: Link Name</v>
      </c>
    </row>
    <row r="359">
      <c r="A359" s="98"/>
      <c r="B359" s="98"/>
      <c r="C359" s="98"/>
      <c r="D359" s="98"/>
      <c r="E359" s="98" t="str">
        <f>IFERROR(__xludf.DUMMYFUNCTION("""COMPUTED_VALUE""")," Solar M:  Solar Power:  Maintenance DG:  +  +  + MW Link: Link Name")</f>
        <v> Solar M:  Solar Power:  Maintenance DG:  +  +  + MW Link: Link Name</v>
      </c>
    </row>
    <row r="360">
      <c r="A360" s="98"/>
      <c r="B360" s="98"/>
      <c r="C360" s="98"/>
      <c r="D360" s="98"/>
      <c r="E360" s="98" t="str">
        <f>IFERROR(__xludf.DUMMYFUNCTION("""COMPUTED_VALUE""")," Solar M:  Solar Power:  Maintenance DG:  +  +  + MW Link: Link Name")</f>
        <v> Solar M:  Solar Power:  Maintenance DG:  +  +  + MW Link: Link Name</v>
      </c>
    </row>
    <row r="361">
      <c r="A361" s="98"/>
      <c r="B361" s="98"/>
      <c r="C361" s="98"/>
      <c r="D361" s="98"/>
      <c r="E361" s="98" t="str">
        <f>IFERROR(__xludf.DUMMYFUNCTION("""COMPUTED_VALUE""")," Solar M:  Solar Power:  Maintenance DG:  +  +  + MW Link: Link Name")</f>
        <v> Solar M:  Solar Power:  Maintenance DG:  +  +  + MW Link: Link Name</v>
      </c>
    </row>
    <row r="362">
      <c r="A362" s="98"/>
      <c r="B362" s="98"/>
      <c r="C362" s="98"/>
      <c r="D362" s="98"/>
      <c r="E362" s="98" t="str">
        <f>IFERROR(__xludf.DUMMYFUNCTION("""COMPUTED_VALUE""")," Solar M:  Solar Power:  Maintenance DG:  +  +  + MW Link: Link Name")</f>
        <v> Solar M:  Solar Power:  Maintenance DG:  +  +  + MW Link: Link Name</v>
      </c>
    </row>
    <row r="363">
      <c r="A363" s="98"/>
      <c r="B363" s="98"/>
      <c r="C363" s="98"/>
      <c r="D363" s="98"/>
      <c r="E363" s="98" t="str">
        <f>IFERROR(__xludf.DUMMYFUNCTION("""COMPUTED_VALUE""")," Solar M:  Solar Power:  Maintenance DG:  +  +  + MW Link: Link Name")</f>
        <v> Solar M:  Solar Power:  Maintenance DG:  +  +  + MW Link: Link Name</v>
      </c>
    </row>
    <row r="364">
      <c r="A364" s="98"/>
      <c r="B364" s="98"/>
      <c r="C364" s="98"/>
      <c r="D364" s="98"/>
      <c r="E364" s="98" t="str">
        <f>IFERROR(__xludf.DUMMYFUNCTION("""COMPUTED_VALUE""")," Solar M:  Solar Power:  Maintenance DG:  +  +  + MW Link: Link Name")</f>
        <v> Solar M:  Solar Power:  Maintenance DG:  +  +  + MW Link: Link Name</v>
      </c>
    </row>
    <row r="365">
      <c r="A365" s="98"/>
      <c r="B365" s="98"/>
      <c r="C365" s="98"/>
      <c r="D365" s="98"/>
      <c r="E365" s="98" t="str">
        <f>IFERROR(__xludf.DUMMYFUNCTION("""COMPUTED_VALUE""")," Solar M:  Solar Power:  Maintenance DG:  +  +  + MW Link: Link Name")</f>
        <v> Solar M:  Solar Power:  Maintenance DG:  +  +  + MW Link: Link Name</v>
      </c>
    </row>
    <row r="366">
      <c r="A366" s="98"/>
      <c r="B366" s="98"/>
      <c r="C366" s="98"/>
      <c r="D366" s="98"/>
      <c r="E366" s="98" t="str">
        <f>IFERROR(__xludf.DUMMYFUNCTION("""COMPUTED_VALUE""")," Solar M:  Solar Power:  Maintenance DG:  +  +  + MW Link: Link Name")</f>
        <v> Solar M:  Solar Power:  Maintenance DG:  +  +  + MW Link: Link Name</v>
      </c>
    </row>
    <row r="367">
      <c r="A367" s="98"/>
      <c r="B367" s="98"/>
      <c r="C367" s="98"/>
      <c r="D367" s="98"/>
      <c r="E367" s="98" t="str">
        <f>IFERROR(__xludf.DUMMYFUNCTION("""COMPUTED_VALUE""")," Solar M:  Solar Power:  Maintenance DG:  +  +  + MW Link: Link Name")</f>
        <v> Solar M:  Solar Power:  Maintenance DG:  +  +  + MW Link: Link Name</v>
      </c>
    </row>
    <row r="368">
      <c r="A368" s="98"/>
      <c r="B368" s="98"/>
      <c r="C368" s="98"/>
      <c r="D368" s="98"/>
      <c r="E368" s="98" t="str">
        <f>IFERROR(__xludf.DUMMYFUNCTION("""COMPUTED_VALUE""")," Solar M:  Solar Power:  Maintenance DG:  +  +  + MW Link: Link Name")</f>
        <v> Solar M:  Solar Power:  Maintenance DG:  +  +  + MW Link: Link Name</v>
      </c>
    </row>
    <row r="369">
      <c r="A369" s="98"/>
      <c r="B369" s="98"/>
      <c r="C369" s="98"/>
      <c r="D369" s="98"/>
      <c r="E369" s="98" t="str">
        <f>IFERROR(__xludf.DUMMYFUNCTION("""COMPUTED_VALUE""")," Solar M:  Solar Power:  Maintenance DG:  +  +  + MW Link: Link Name")</f>
        <v> Solar M:  Solar Power:  Maintenance DG:  +  +  + MW Link: Link Name</v>
      </c>
    </row>
    <row r="370">
      <c r="A370" s="98"/>
      <c r="B370" s="98"/>
      <c r="C370" s="98"/>
      <c r="D370" s="98"/>
      <c r="E370" s="98" t="str">
        <f>IFERROR(__xludf.DUMMYFUNCTION("""COMPUTED_VALUE""")," Solar M:  Solar Power:  Maintenance DG:  +  +  + MW Link: Link Name")</f>
        <v> Solar M:  Solar Power:  Maintenance DG:  +  +  + MW Link: Link Name</v>
      </c>
    </row>
    <row r="371">
      <c r="A371" s="98"/>
      <c r="B371" s="98"/>
      <c r="C371" s="98"/>
      <c r="D371" s="98"/>
      <c r="E371" s="98" t="str">
        <f>IFERROR(__xludf.DUMMYFUNCTION("""COMPUTED_VALUE""")," Solar M:  Solar Power:  Maintenance DG:  +  +  + MW Link: Link Name")</f>
        <v> Solar M:  Solar Power:  Maintenance DG:  +  +  + MW Link: Link Name</v>
      </c>
    </row>
    <row r="372">
      <c r="A372" s="98"/>
      <c r="B372" s="98"/>
      <c r="C372" s="98"/>
      <c r="D372" s="98"/>
      <c r="E372" s="98" t="str">
        <f>IFERROR(__xludf.DUMMYFUNCTION("""COMPUTED_VALUE""")," Solar M:  Solar Power:  Maintenance DG:  +  +  + MW Link: Link Name")</f>
        <v> Solar M:  Solar Power:  Maintenance DG:  +  +  + MW Link: Link Name</v>
      </c>
    </row>
    <row r="373">
      <c r="A373" s="98"/>
      <c r="B373" s="98"/>
      <c r="C373" s="98"/>
      <c r="D373" s="98"/>
      <c r="E373" s="98" t="str">
        <f>IFERROR(__xludf.DUMMYFUNCTION("""COMPUTED_VALUE""")," Solar M:  Solar Power:  Maintenance DG:  +  +  + MW Link: Link Name")</f>
        <v> Solar M:  Solar Power:  Maintenance DG:  +  +  + MW Link: Link Name</v>
      </c>
    </row>
    <row r="374">
      <c r="A374" s="98"/>
      <c r="B374" s="98"/>
      <c r="C374" s="98"/>
      <c r="D374" s="98"/>
      <c r="E374" s="98" t="str">
        <f>IFERROR(__xludf.DUMMYFUNCTION("""COMPUTED_VALUE""")," Solar M:  Solar Power:  Maintenance DG:  +  +  + MW Link: Link Name")</f>
        <v> Solar M:  Solar Power:  Maintenance DG:  +  +  + MW Link: Link Name</v>
      </c>
    </row>
    <row r="375">
      <c r="A375" s="98"/>
      <c r="B375" s="98"/>
      <c r="C375" s="98"/>
      <c r="D375" s="98"/>
      <c r="E375" s="98" t="str">
        <f>IFERROR(__xludf.DUMMYFUNCTION("""COMPUTED_VALUE""")," Solar M:  Solar Power:  Maintenance DG:  +  +  + MW Link: Link Name")</f>
        <v> Solar M:  Solar Power:  Maintenance DG:  +  +  + MW Link: Link Name</v>
      </c>
    </row>
    <row r="376">
      <c r="A376" s="98"/>
      <c r="B376" s="98"/>
      <c r="C376" s="98"/>
      <c r="D376" s="98"/>
      <c r="E376" s="98" t="str">
        <f>IFERROR(__xludf.DUMMYFUNCTION("""COMPUTED_VALUE""")," Solar M:  Solar Power:  Maintenance DG:  +  +  + MW Link: Link Name")</f>
        <v> Solar M:  Solar Power:  Maintenance DG:  +  +  + MW Link: Link Name</v>
      </c>
    </row>
    <row r="377">
      <c r="A377" s="98"/>
      <c r="B377" s="98"/>
      <c r="C377" s="98"/>
      <c r="D377" s="98"/>
      <c r="E377" s="98" t="str">
        <f>IFERROR(__xludf.DUMMYFUNCTION("""COMPUTED_VALUE""")," Solar M:  Solar Power:  Maintenance DG:  +  +  + MW Link: Link Name")</f>
        <v> Solar M:  Solar Power:  Maintenance DG:  +  +  + MW Link: Link Name</v>
      </c>
    </row>
    <row r="378">
      <c r="A378" s="98"/>
      <c r="B378" s="98"/>
      <c r="C378" s="98"/>
      <c r="D378" s="98"/>
      <c r="E378" s="98" t="str">
        <f>IFERROR(__xludf.DUMMYFUNCTION("""COMPUTED_VALUE""")," Solar M:  Solar Power:  Maintenance DG:  +  +  + MW Link: Link Name")</f>
        <v> Solar M:  Solar Power:  Maintenance DG:  +  +  + MW Link: Link Name</v>
      </c>
    </row>
    <row r="379">
      <c r="A379" s="98"/>
      <c r="B379" s="98"/>
      <c r="C379" s="98"/>
      <c r="D379" s="98"/>
      <c r="E379" s="98" t="str">
        <f>IFERROR(__xludf.DUMMYFUNCTION("""COMPUTED_VALUE""")," Solar M:  Solar Power:  Maintenance DG:  +  +  + MW Link: Link Name")</f>
        <v> Solar M:  Solar Power:  Maintenance DG:  +  +  + MW Link: Link Name</v>
      </c>
    </row>
    <row r="380">
      <c r="A380" s="98"/>
      <c r="B380" s="98"/>
      <c r="C380" s="98"/>
      <c r="D380" s="98"/>
      <c r="E380" s="98" t="str">
        <f>IFERROR(__xludf.DUMMYFUNCTION("""COMPUTED_VALUE""")," Solar M:  Solar Power:  Maintenance DG:  +  +  + MW Link: Link Name")</f>
        <v> Solar M:  Solar Power:  Maintenance DG:  +  +  + MW Link: Link Name</v>
      </c>
    </row>
    <row r="381">
      <c r="A381" s="98"/>
      <c r="B381" s="98"/>
      <c r="C381" s="98"/>
      <c r="D381" s="98"/>
      <c r="E381" s="98" t="str">
        <f>IFERROR(__xludf.DUMMYFUNCTION("""COMPUTED_VALUE""")," Solar M:  Solar Power:  Maintenance DG:  +  +  + MW Link: Link Name")</f>
        <v> Solar M:  Solar Power:  Maintenance DG:  +  +  + MW Link: Link Name</v>
      </c>
    </row>
    <row r="382">
      <c r="A382" s="98"/>
      <c r="B382" s="98"/>
      <c r="C382" s="98"/>
      <c r="D382" s="98"/>
      <c r="E382" s="98" t="str">
        <f>IFERROR(__xludf.DUMMYFUNCTION("""COMPUTED_VALUE""")," Solar M:  Solar Power:  Maintenance DG:  +  +  + MW Link: Link Name")</f>
        <v> Solar M:  Solar Power:  Maintenance DG:  +  +  + MW Link: Link Name</v>
      </c>
    </row>
    <row r="383">
      <c r="A383" s="98"/>
      <c r="B383" s="98"/>
      <c r="C383" s="98"/>
      <c r="D383" s="98"/>
      <c r="E383" s="98" t="str">
        <f>IFERROR(__xludf.DUMMYFUNCTION("""COMPUTED_VALUE""")," Solar M:  Solar Power:  Maintenance DG:  +  +  + MW Link: Link Name")</f>
        <v> Solar M:  Solar Power:  Maintenance DG:  +  +  + MW Link: Link Name</v>
      </c>
    </row>
    <row r="384">
      <c r="A384" s="98"/>
      <c r="B384" s="98"/>
      <c r="C384" s="98"/>
      <c r="D384" s="98"/>
      <c r="E384" s="98" t="str">
        <f>IFERROR(__xludf.DUMMYFUNCTION("""COMPUTED_VALUE""")," Solar M:  Solar Power:  Maintenance DG:  +  +  + MW Link: Link Name")</f>
        <v> Solar M:  Solar Power:  Maintenance DG:  +  +  + MW Link: Link Name</v>
      </c>
    </row>
    <row r="385">
      <c r="A385" s="98"/>
      <c r="B385" s="98"/>
      <c r="C385" s="98"/>
      <c r="D385" s="98"/>
      <c r="E385" s="98" t="str">
        <f>IFERROR(__xludf.DUMMYFUNCTION("""COMPUTED_VALUE""")," Solar M:  Solar Power:  Maintenance DG:  +  +  + MW Link: Link Name")</f>
        <v> Solar M:  Solar Power:  Maintenance DG:  +  +  + MW Link: Link Name</v>
      </c>
    </row>
    <row r="386">
      <c r="A386" s="98"/>
      <c r="B386" s="98"/>
      <c r="C386" s="98"/>
      <c r="D386" s="98"/>
      <c r="E386" s="98" t="str">
        <f>IFERROR(__xludf.DUMMYFUNCTION("""COMPUTED_VALUE""")," Solar M:  Solar Power:  Maintenance DG:  +  +  + MW Link: Link Name")</f>
        <v> Solar M:  Solar Power:  Maintenance DG:  +  +  + MW Link: Link Name</v>
      </c>
    </row>
    <row r="387">
      <c r="A387" s="98"/>
      <c r="B387" s="98"/>
      <c r="C387" s="98"/>
      <c r="D387" s="98"/>
      <c r="E387" s="98" t="str">
        <f>IFERROR(__xludf.DUMMYFUNCTION("""COMPUTED_VALUE""")," Solar M:  Solar Power:  Maintenance DG:  +  +  + MW Link: Link Name")</f>
        <v> Solar M:  Solar Power:  Maintenance DG:  +  +  + MW Link: Link Name</v>
      </c>
    </row>
    <row r="388">
      <c r="A388" s="98"/>
      <c r="B388" s="98"/>
      <c r="C388" s="98"/>
      <c r="D388" s="98"/>
      <c r="E388" s="98" t="str">
        <f>IFERROR(__xludf.DUMMYFUNCTION("""COMPUTED_VALUE""")," Solar M:  Solar Power:  Maintenance DG:  +  +  + MW Link: Link Name")</f>
        <v> Solar M:  Solar Power:  Maintenance DG:  +  +  + MW Link: Link Name</v>
      </c>
    </row>
    <row r="389">
      <c r="A389" s="98"/>
      <c r="B389" s="98"/>
      <c r="C389" s="98"/>
      <c r="D389" s="98"/>
      <c r="E389" s="98" t="str">
        <f>IFERROR(__xludf.DUMMYFUNCTION("""COMPUTED_VALUE""")," Solar M:  Solar Power:  Maintenance DG:  +  +  + MW Link: Link Name")</f>
        <v> Solar M:  Solar Power:  Maintenance DG:  +  +  + MW Link: Link Name</v>
      </c>
    </row>
    <row r="390">
      <c r="A390" s="98"/>
      <c r="B390" s="98"/>
      <c r="C390" s="98"/>
      <c r="D390" s="98"/>
      <c r="E390" s="98" t="str">
        <f>IFERROR(__xludf.DUMMYFUNCTION("""COMPUTED_VALUE""")," Solar M:  Solar Power:  Maintenance DG:  +  +  + MW Link: Link Name")</f>
        <v> Solar M:  Solar Power:  Maintenance DG:  +  +  + MW Link: Link Name</v>
      </c>
    </row>
    <row r="391">
      <c r="A391" s="98"/>
      <c r="B391" s="98"/>
      <c r="C391" s="98"/>
      <c r="D391" s="98"/>
      <c r="E391" s="98" t="str">
        <f>IFERROR(__xludf.DUMMYFUNCTION("""COMPUTED_VALUE""")," Solar M:  Solar Power:  Maintenance DG:  +  +  + MW Link: Link Name")</f>
        <v> Solar M:  Solar Power:  Maintenance DG:  +  +  + MW Link: Link Name</v>
      </c>
    </row>
    <row r="392">
      <c r="A392" s="98"/>
      <c r="B392" s="98"/>
      <c r="C392" s="98"/>
      <c r="D392" s="98"/>
      <c r="E392" s="98" t="str">
        <f>IFERROR(__xludf.DUMMYFUNCTION("""COMPUTED_VALUE""")," Solar M:  Solar Power:  Maintenance DG:  +  +  + MW Link: Link Name")</f>
        <v> Solar M:  Solar Power:  Maintenance DG:  +  +  + MW Link: Link Name</v>
      </c>
    </row>
    <row r="393">
      <c r="A393" s="98"/>
      <c r="B393" s="98"/>
      <c r="C393" s="98"/>
      <c r="D393" s="98"/>
      <c r="E393" s="98" t="str">
        <f>IFERROR(__xludf.DUMMYFUNCTION("""COMPUTED_VALUE""")," Solar M:  Solar Power:  Maintenance DG:  +  +  + MW Link: Link Name")</f>
        <v> Solar M:  Solar Power:  Maintenance DG:  +  +  + MW Link: Link Name</v>
      </c>
    </row>
    <row r="394">
      <c r="A394" s="98"/>
      <c r="B394" s="98"/>
      <c r="C394" s="98"/>
      <c r="D394" s="98"/>
      <c r="E394" s="98" t="str">
        <f>IFERROR(__xludf.DUMMYFUNCTION("""COMPUTED_VALUE""")," Solar M:  Solar Power:  Maintenance DG:  +  +  + MW Link: Link Name")</f>
        <v> Solar M:  Solar Power:  Maintenance DG:  +  +  + MW Link: Link Name</v>
      </c>
    </row>
    <row r="395">
      <c r="A395" s="98"/>
      <c r="B395" s="98"/>
      <c r="C395" s="98"/>
      <c r="D395" s="98"/>
      <c r="E395" s="98" t="str">
        <f>IFERROR(__xludf.DUMMYFUNCTION("""COMPUTED_VALUE""")," Solar M:  Solar Power:  Maintenance DG:  +  +  + MW Link: Link Name")</f>
        <v> Solar M:  Solar Power:  Maintenance DG:  +  +  + MW Link: Link Name</v>
      </c>
    </row>
    <row r="396">
      <c r="A396" s="98"/>
      <c r="B396" s="98"/>
      <c r="C396" s="98"/>
      <c r="D396" s="98"/>
      <c r="E396" s="98" t="str">
        <f>IFERROR(__xludf.DUMMYFUNCTION("""COMPUTED_VALUE""")," Solar M:  Solar Power:  Maintenance DG:  +  +  + MW Link: Link Name")</f>
        <v> Solar M:  Solar Power:  Maintenance DG:  +  +  + MW Link: Link Name</v>
      </c>
    </row>
    <row r="397">
      <c r="A397" s="98"/>
      <c r="B397" s="98"/>
      <c r="C397" s="98"/>
      <c r="D397" s="98"/>
      <c r="E397" s="98" t="str">
        <f>IFERROR(__xludf.DUMMYFUNCTION("""COMPUTED_VALUE""")," Solar M:  Solar Power:  Maintenance DG:  +  +  + MW Link: Link Name")</f>
        <v> Solar M:  Solar Power:  Maintenance DG:  +  +  + MW Link: Link Name</v>
      </c>
    </row>
    <row r="398">
      <c r="A398" s="98"/>
      <c r="B398" s="98"/>
      <c r="C398" s="98"/>
      <c r="D398" s="98"/>
      <c r="E398" s="98" t="str">
        <f>IFERROR(__xludf.DUMMYFUNCTION("""COMPUTED_VALUE""")," Solar M:  Solar Power:  Maintenance DG:  +  +  + MW Link: Link Name")</f>
        <v> Solar M:  Solar Power:  Maintenance DG:  +  +  + MW Link: Link Name</v>
      </c>
    </row>
    <row r="399">
      <c r="A399" s="98"/>
      <c r="B399" s="98"/>
      <c r="C399" s="98"/>
      <c r="D399" s="98"/>
      <c r="E399" s="98" t="str">
        <f>IFERROR(__xludf.DUMMYFUNCTION("""COMPUTED_VALUE""")," Solar M:  Solar Power:  Maintenance DG:  +  +  + MW Link: Link Name")</f>
        <v> Solar M:  Solar Power:  Maintenance DG:  +  +  + MW Link: Link Name</v>
      </c>
    </row>
    <row r="400">
      <c r="A400" s="98"/>
      <c r="B400" s="98"/>
      <c r="C400" s="98"/>
      <c r="D400" s="98"/>
      <c r="E400" s="98" t="str">
        <f>IFERROR(__xludf.DUMMYFUNCTION("""COMPUTED_VALUE""")," Solar M:  Solar Power:  Maintenance DG:  +  +  + MW Link: Link Name")</f>
        <v> Solar M:  Solar Power:  Maintenance DG:  +  +  + MW Link: Link Name</v>
      </c>
    </row>
    <row r="401">
      <c r="A401" s="98"/>
      <c r="B401" s="98"/>
      <c r="C401" s="98"/>
      <c r="D401" s="98"/>
      <c r="E401" s="98" t="str">
        <f>IFERROR(__xludf.DUMMYFUNCTION("""COMPUTED_VALUE""")," Solar M:  Solar Power:  Maintenance DG:  +  +  + MW Link: Link Name")</f>
        <v> Solar M:  Solar Power:  Maintenance DG:  +  +  + MW Link: Link Name</v>
      </c>
    </row>
    <row r="402">
      <c r="A402" s="98"/>
      <c r="B402" s="98"/>
      <c r="C402" s="98"/>
      <c r="D402" s="98"/>
      <c r="E402" s="98" t="str">
        <f>IFERROR(__xludf.DUMMYFUNCTION("""COMPUTED_VALUE""")," Solar M:  Solar Power:  Maintenance DG:  +  +  + MW Link: Link Name")</f>
        <v> Solar M:  Solar Power:  Maintenance DG:  +  +  + MW Link: Link Name</v>
      </c>
    </row>
    <row r="403">
      <c r="A403" s="98"/>
      <c r="B403" s="98"/>
      <c r="C403" s="98"/>
      <c r="D403" s="98"/>
      <c r="E403" s="98" t="str">
        <f>IFERROR(__xludf.DUMMYFUNCTION("""COMPUTED_VALUE""")," Solar M:  Solar Power:  Maintenance DG:  +  +  + MW Link: Link Name")</f>
        <v> Solar M:  Solar Power:  Maintenance DG:  +  +  + MW Link: Link Name</v>
      </c>
    </row>
    <row r="404">
      <c r="A404" s="98"/>
      <c r="B404" s="98"/>
      <c r="C404" s="98"/>
      <c r="D404" s="98"/>
      <c r="E404" s="98" t="str">
        <f>IFERROR(__xludf.DUMMYFUNCTION("""COMPUTED_VALUE""")," Solar M:  Solar Power:  Maintenance DG:  +  +  + MW Link: Link Name")</f>
        <v> Solar M:  Solar Power:  Maintenance DG:  +  +  + MW Link: Link Name</v>
      </c>
    </row>
    <row r="405">
      <c r="A405" s="98"/>
      <c r="B405" s="98"/>
      <c r="C405" s="98"/>
      <c r="D405" s="98"/>
      <c r="E405" s="98" t="str">
        <f>IFERROR(__xludf.DUMMYFUNCTION("""COMPUTED_VALUE""")," Solar M:  Solar Power:  Maintenance DG:  +  +  + MW Link: Link Name")</f>
        <v> Solar M:  Solar Power:  Maintenance DG:  +  +  + MW Link: Link Name</v>
      </c>
    </row>
    <row r="406">
      <c r="A406" s="98"/>
      <c r="B406" s="98"/>
      <c r="C406" s="98"/>
      <c r="D406" s="98"/>
      <c r="E406" s="98" t="str">
        <f>IFERROR(__xludf.DUMMYFUNCTION("""COMPUTED_VALUE""")," Solar M:  Solar Power:  Maintenance DG:  +  +  + MW Link: Link Name")</f>
        <v> Solar M:  Solar Power:  Maintenance DG:  +  +  + MW Link: Link Name</v>
      </c>
    </row>
    <row r="407">
      <c r="A407" s="98"/>
      <c r="B407" s="98"/>
      <c r="C407" s="98"/>
      <c r="D407" s="98"/>
      <c r="E407" s="98" t="str">
        <f>IFERROR(__xludf.DUMMYFUNCTION("""COMPUTED_VALUE""")," Solar M:  Solar Power:  Maintenance DG:  +  +  + MW Link: Link Name")</f>
        <v> Solar M:  Solar Power:  Maintenance DG:  +  +  + MW Link: Link Name</v>
      </c>
    </row>
    <row r="408">
      <c r="A408" s="98"/>
      <c r="B408" s="98"/>
      <c r="C408" s="98"/>
      <c r="D408" s="98"/>
      <c r="E408" s="98" t="str">
        <f>IFERROR(__xludf.DUMMYFUNCTION("""COMPUTED_VALUE""")," Solar M:  Solar Power:  Maintenance DG:  +  +  + MW Link: Link Name")</f>
        <v> Solar M:  Solar Power:  Maintenance DG:  +  +  + MW Link: Link Name</v>
      </c>
    </row>
    <row r="409">
      <c r="A409" s="98"/>
      <c r="B409" s="98"/>
      <c r="C409" s="98"/>
      <c r="D409" s="98"/>
      <c r="E409" s="98" t="str">
        <f>IFERROR(__xludf.DUMMYFUNCTION("""COMPUTED_VALUE""")," Solar M:  Solar Power:  Maintenance DG:  +  +  + MW Link: Link Name")</f>
        <v> Solar M:  Solar Power:  Maintenance DG:  +  +  + MW Link: Link Name</v>
      </c>
    </row>
    <row r="410">
      <c r="A410" s="98"/>
      <c r="B410" s="98"/>
      <c r="C410" s="98"/>
      <c r="D410" s="98"/>
      <c r="E410" s="98" t="str">
        <f>IFERROR(__xludf.DUMMYFUNCTION("""COMPUTED_VALUE""")," Solar M:  Solar Power:  Maintenance DG:  +  +  + MW Link: Link Name")</f>
        <v> Solar M:  Solar Power:  Maintenance DG:  +  +  + MW Link: Link Name</v>
      </c>
    </row>
    <row r="411">
      <c r="A411" s="98"/>
      <c r="B411" s="98"/>
      <c r="C411" s="98"/>
      <c r="D411" s="98"/>
      <c r="E411" s="98" t="str">
        <f>IFERROR(__xludf.DUMMYFUNCTION("""COMPUTED_VALUE""")," Solar M:  Solar Power:  Maintenance DG:  +  +  + MW Link: Link Name")</f>
        <v> Solar M:  Solar Power:  Maintenance DG:  +  +  + MW Link: Link Name</v>
      </c>
    </row>
    <row r="412">
      <c r="A412" s="98"/>
      <c r="B412" s="98"/>
      <c r="C412" s="98"/>
      <c r="D412" s="98"/>
      <c r="E412" s="98" t="str">
        <f>IFERROR(__xludf.DUMMYFUNCTION("""COMPUTED_VALUE""")," Solar M:  Solar Power:  Maintenance DG:  +  +  + MW Link: Link Name")</f>
        <v> Solar M:  Solar Power:  Maintenance DG:  +  +  + MW Link: Link Name</v>
      </c>
    </row>
    <row r="413">
      <c r="A413" s="98"/>
      <c r="B413" s="98"/>
      <c r="C413" s="98"/>
      <c r="D413" s="98"/>
      <c r="E413" s="98" t="str">
        <f>IFERROR(__xludf.DUMMYFUNCTION("""COMPUTED_VALUE""")," Solar M:  Solar Power:  Maintenance DG:  +  +  + MW Link: Link Name")</f>
        <v> Solar M:  Solar Power:  Maintenance DG:  +  +  + MW Link: Link Name</v>
      </c>
    </row>
    <row r="414">
      <c r="A414" s="98"/>
      <c r="B414" s="98"/>
      <c r="C414" s="98"/>
      <c r="D414" s="98"/>
      <c r="E414" s="98" t="str">
        <f>IFERROR(__xludf.DUMMYFUNCTION("""COMPUTED_VALUE""")," Solar M:  Solar Power:  Maintenance DG:  +  +  + MW Link: Link Name")</f>
        <v> Solar M:  Solar Power:  Maintenance DG:  +  +  + MW Link: Link Name</v>
      </c>
    </row>
    <row r="415">
      <c r="A415" s="98"/>
      <c r="B415" s="98"/>
      <c r="C415" s="98"/>
      <c r="D415" s="98"/>
      <c r="E415" s="98" t="str">
        <f>IFERROR(__xludf.DUMMYFUNCTION("""COMPUTED_VALUE""")," Solar M:  Solar Power:  Maintenance DG:  +  +  + MW Link: Link Name")</f>
        <v> Solar M:  Solar Power:  Maintenance DG:  +  +  + MW Link: Link Name</v>
      </c>
    </row>
    <row r="416">
      <c r="A416" s="98"/>
      <c r="B416" s="98"/>
      <c r="C416" s="98"/>
      <c r="D416" s="98"/>
      <c r="E416" s="98" t="str">
        <f>IFERROR(__xludf.DUMMYFUNCTION("""COMPUTED_VALUE""")," Solar M:  Solar Power:  Maintenance DG:  +  +  + MW Link: Link Name")</f>
        <v> Solar M:  Solar Power:  Maintenance DG:  +  +  + MW Link: Link Name</v>
      </c>
    </row>
    <row r="417">
      <c r="A417" s="98"/>
      <c r="B417" s="98"/>
      <c r="C417" s="98"/>
      <c r="D417" s="98"/>
      <c r="E417" s="98" t="str">
        <f>IFERROR(__xludf.DUMMYFUNCTION("""COMPUTED_VALUE""")," Solar M:  Solar Power:  Maintenance DG:  +  +  + MW Link: Link Name")</f>
        <v> Solar M:  Solar Power:  Maintenance DG:  +  +  + MW Link: Link Name</v>
      </c>
    </row>
    <row r="418">
      <c r="A418" s="98"/>
      <c r="B418" s="98"/>
      <c r="C418" s="98"/>
      <c r="D418" s="98"/>
      <c r="E418" s="98" t="str">
        <f>IFERROR(__xludf.DUMMYFUNCTION("""COMPUTED_VALUE""")," Solar M:  Solar Power:  Maintenance DG:  +  +  + MW Link: Link Name")</f>
        <v> Solar M:  Solar Power:  Maintenance DG:  +  +  + MW Link: Link Name</v>
      </c>
    </row>
    <row r="419">
      <c r="A419" s="98"/>
      <c r="B419" s="98"/>
      <c r="C419" s="98"/>
      <c r="D419" s="98"/>
      <c r="E419" s="98" t="str">
        <f>IFERROR(__xludf.DUMMYFUNCTION("""COMPUTED_VALUE""")," Solar M:  Solar Power:  Maintenance DG:  +  +  + MW Link: Link Name")</f>
        <v> Solar M:  Solar Power:  Maintenance DG:  +  +  + MW Link: Link Name</v>
      </c>
    </row>
    <row r="420">
      <c r="A420" s="98"/>
      <c r="B420" s="98"/>
      <c r="C420" s="98"/>
      <c r="D420" s="98"/>
      <c r="E420" s="98" t="str">
        <f>IFERROR(__xludf.DUMMYFUNCTION("""COMPUTED_VALUE""")," Solar M:  Solar Power:  Maintenance DG:  +  +  + MW Link: Link Name")</f>
        <v> Solar M:  Solar Power:  Maintenance DG:  +  +  + MW Link: Link Name</v>
      </c>
    </row>
    <row r="421">
      <c r="A421" s="98"/>
      <c r="B421" s="98"/>
      <c r="C421" s="98"/>
      <c r="D421" s="98"/>
      <c r="E421" s="98" t="str">
        <f>IFERROR(__xludf.DUMMYFUNCTION("""COMPUTED_VALUE""")," Solar M:  Solar Power:  Maintenance DG:  +  +  + MW Link: Link Name")</f>
        <v> Solar M:  Solar Power:  Maintenance DG:  +  +  + MW Link: Link Name</v>
      </c>
    </row>
    <row r="422">
      <c r="A422" s="98"/>
      <c r="B422" s="98"/>
      <c r="C422" s="98"/>
      <c r="D422" s="98"/>
      <c r="E422" s="98" t="str">
        <f>IFERROR(__xludf.DUMMYFUNCTION("""COMPUTED_VALUE""")," Solar M:  Solar Power:  Maintenance DG:  +  +  + MW Link: Link Name")</f>
        <v> Solar M:  Solar Power:  Maintenance DG:  +  +  + MW Link: Link Name</v>
      </c>
    </row>
    <row r="423">
      <c r="A423" s="98"/>
      <c r="B423" s="98"/>
      <c r="C423" s="98"/>
      <c r="D423" s="98"/>
      <c r="E423" s="98" t="str">
        <f>IFERROR(__xludf.DUMMYFUNCTION("""COMPUTED_VALUE""")," Solar M:  Solar Power:  Maintenance DG:  +  +  + MW Link: Link Name")</f>
        <v> Solar M:  Solar Power:  Maintenance DG:  +  +  + MW Link: Link Name</v>
      </c>
    </row>
    <row r="424">
      <c r="A424" s="98"/>
      <c r="B424" s="98"/>
      <c r="C424" s="98"/>
      <c r="D424" s="98"/>
      <c r="E424" s="98" t="str">
        <f>IFERROR(__xludf.DUMMYFUNCTION("""COMPUTED_VALUE""")," Solar M:  Solar Power:  Maintenance DG:  +  +  + MW Link: Link Name")</f>
        <v> Solar M:  Solar Power:  Maintenance DG:  +  +  + MW Link: Link Name</v>
      </c>
    </row>
    <row r="425">
      <c r="A425" s="98"/>
      <c r="B425" s="98"/>
      <c r="C425" s="98"/>
      <c r="D425" s="98"/>
      <c r="E425" s="98" t="str">
        <f>IFERROR(__xludf.DUMMYFUNCTION("""COMPUTED_VALUE""")," Solar M:  Solar Power:  Maintenance DG:  +  +  + MW Link: Link Name")</f>
        <v> Solar M:  Solar Power:  Maintenance DG:  +  +  + MW Link: Link Name</v>
      </c>
    </row>
    <row r="426">
      <c r="A426" s="98"/>
      <c r="B426" s="98"/>
      <c r="C426" s="98"/>
      <c r="D426" s="98"/>
      <c r="E426" s="98" t="str">
        <f>IFERROR(__xludf.DUMMYFUNCTION("""COMPUTED_VALUE""")," Solar M:  Solar Power:  Maintenance DG:  +  +  + MW Link: Link Name")</f>
        <v> Solar M:  Solar Power:  Maintenance DG:  +  +  + MW Link: Link Name</v>
      </c>
    </row>
    <row r="427">
      <c r="A427" s="98"/>
      <c r="B427" s="98"/>
      <c r="C427" s="98"/>
      <c r="D427" s="98"/>
      <c r="E427" s="98" t="str">
        <f>IFERROR(__xludf.DUMMYFUNCTION("""COMPUTED_VALUE""")," Solar M:  Solar Power:  Maintenance DG:  +  +  + MW Link: Link Name")</f>
        <v> Solar M:  Solar Power:  Maintenance DG:  +  +  + MW Link: Link Name</v>
      </c>
    </row>
    <row r="428">
      <c r="A428" s="98"/>
      <c r="B428" s="98"/>
      <c r="C428" s="98"/>
      <c r="D428" s="98"/>
      <c r="E428" s="98" t="str">
        <f>IFERROR(__xludf.DUMMYFUNCTION("""COMPUTED_VALUE""")," Solar M:  Solar Power:  Maintenance DG:  +  +  + MW Link: Link Name")</f>
        <v> Solar M:  Solar Power:  Maintenance DG:  +  +  + MW Link: Link Name</v>
      </c>
    </row>
    <row r="429">
      <c r="A429" s="98"/>
      <c r="B429" s="98"/>
      <c r="C429" s="98"/>
      <c r="D429" s="98"/>
      <c r="E429" s="98" t="str">
        <f>IFERROR(__xludf.DUMMYFUNCTION("""COMPUTED_VALUE""")," Solar M:  Solar Power:  Maintenance DG:  +  +  + MW Link: Link Name")</f>
        <v> Solar M:  Solar Power:  Maintenance DG:  +  +  + MW Link: Link Name</v>
      </c>
    </row>
    <row r="430">
      <c r="A430" s="98"/>
      <c r="B430" s="98"/>
      <c r="C430" s="98"/>
      <c r="D430" s="98"/>
      <c r="E430" s="98" t="str">
        <f>IFERROR(__xludf.DUMMYFUNCTION("""COMPUTED_VALUE""")," Solar M:  Solar Power:  Maintenance DG:  +  +  + MW Link: Link Name")</f>
        <v> Solar M:  Solar Power:  Maintenance DG:  +  +  + MW Link: Link Name</v>
      </c>
    </row>
    <row r="431">
      <c r="A431" s="98"/>
      <c r="B431" s="98"/>
      <c r="C431" s="98"/>
      <c r="D431" s="98"/>
      <c r="E431" s="98" t="str">
        <f>IFERROR(__xludf.DUMMYFUNCTION("""COMPUTED_VALUE""")," Solar M:  Solar Power:  Maintenance DG:  +  +  + MW Link: Link Name")</f>
        <v> Solar M:  Solar Power:  Maintenance DG:  +  +  + MW Link: Link Name</v>
      </c>
    </row>
    <row r="432">
      <c r="A432" s="98"/>
      <c r="B432" s="98"/>
      <c r="C432" s="98"/>
      <c r="D432" s="98"/>
      <c r="E432" s="98" t="str">
        <f>IFERROR(__xludf.DUMMYFUNCTION("""COMPUTED_VALUE""")," Solar M:  Solar Power:  Maintenance DG:  +  +  + MW Link: Link Name")</f>
        <v> Solar M:  Solar Power:  Maintenance DG:  +  +  + MW Link: Link Name</v>
      </c>
    </row>
    <row r="433">
      <c r="A433" s="98"/>
      <c r="B433" s="98"/>
      <c r="C433" s="98"/>
      <c r="D433" s="98"/>
      <c r="E433" s="98" t="str">
        <f>IFERROR(__xludf.DUMMYFUNCTION("""COMPUTED_VALUE""")," Solar M:  Solar Power:  Maintenance DG:  +  +  + MW Link: Link Name")</f>
        <v> Solar M:  Solar Power:  Maintenance DG:  +  +  + MW Link: Link Name</v>
      </c>
    </row>
    <row r="434">
      <c r="A434" s="98"/>
      <c r="B434" s="98"/>
      <c r="C434" s="98"/>
      <c r="D434" s="98"/>
      <c r="E434" s="98" t="str">
        <f>IFERROR(__xludf.DUMMYFUNCTION("""COMPUTED_VALUE""")," Solar M:  Solar Power:  Maintenance DG:  +  +  + MW Link: Link Name")</f>
        <v> Solar M:  Solar Power:  Maintenance DG:  +  +  + MW Link: Link Name</v>
      </c>
    </row>
    <row r="435">
      <c r="A435" s="98"/>
      <c r="B435" s="98"/>
      <c r="C435" s="98"/>
      <c r="D435" s="98"/>
      <c r="E435" s="98" t="str">
        <f>IFERROR(__xludf.DUMMYFUNCTION("""COMPUTED_VALUE""")," Solar M:  Solar Power:  Maintenance DG:  +  +  + MW Link: Link Name")</f>
        <v> Solar M:  Solar Power:  Maintenance DG:  +  +  + MW Link: Link Name</v>
      </c>
    </row>
    <row r="436">
      <c r="A436" s="98"/>
      <c r="B436" s="98"/>
      <c r="C436" s="98"/>
      <c r="D436" s="98"/>
      <c r="E436" s="98" t="str">
        <f>IFERROR(__xludf.DUMMYFUNCTION("""COMPUTED_VALUE""")," Solar M:  Solar Power:  Maintenance DG:  +  +  + MW Link: Link Name")</f>
        <v> Solar M:  Solar Power:  Maintenance DG:  +  +  + MW Link: Link Name</v>
      </c>
    </row>
    <row r="437">
      <c r="A437" s="98"/>
      <c r="B437" s="98"/>
      <c r="C437" s="98"/>
      <c r="D437" s="98"/>
      <c r="E437" s="98" t="str">
        <f>IFERROR(__xludf.DUMMYFUNCTION("""COMPUTED_VALUE""")," Solar M:  Solar Power:  Maintenance DG:  +  +  + MW Link: Link Name")</f>
        <v> Solar M:  Solar Power:  Maintenance DG:  +  +  + MW Link: Link Name</v>
      </c>
    </row>
    <row r="438">
      <c r="A438" s="98"/>
      <c r="B438" s="98"/>
      <c r="C438" s="98"/>
      <c r="D438" s="98"/>
      <c r="E438" s="98" t="str">
        <f>IFERROR(__xludf.DUMMYFUNCTION("""COMPUTED_VALUE""")," Solar M:  Solar Power:  Maintenance DG:  +  +  + MW Link: Link Name")</f>
        <v> Solar M:  Solar Power:  Maintenance DG:  +  +  + MW Link: Link Name</v>
      </c>
    </row>
    <row r="439">
      <c r="A439" s="98"/>
      <c r="B439" s="98"/>
      <c r="C439" s="98"/>
      <c r="D439" s="98"/>
      <c r="E439" s="98" t="str">
        <f>IFERROR(__xludf.DUMMYFUNCTION("""COMPUTED_VALUE""")," Solar M:  Solar Power:  Maintenance DG:  +  +  + MW Link: Link Name")</f>
        <v> Solar M:  Solar Power:  Maintenance DG:  +  +  + MW Link: Link Name</v>
      </c>
    </row>
    <row r="440">
      <c r="A440" s="98"/>
      <c r="B440" s="98"/>
      <c r="C440" s="98"/>
      <c r="D440" s="98"/>
      <c r="E440" s="98" t="str">
        <f>IFERROR(__xludf.DUMMYFUNCTION("""COMPUTED_VALUE""")," Solar M:  Solar Power:  Maintenance DG:  +  +  + MW Link: Link Name")</f>
        <v> Solar M:  Solar Power:  Maintenance DG:  +  +  + MW Link: Link Name</v>
      </c>
    </row>
    <row r="441">
      <c r="A441" s="98"/>
      <c r="B441" s="98"/>
      <c r="C441" s="98"/>
      <c r="D441" s="98"/>
      <c r="E441" s="98" t="str">
        <f>IFERROR(__xludf.DUMMYFUNCTION("""COMPUTED_VALUE""")," Solar M:  Solar Power:  Maintenance DG:  +  +  + MW Link: Link Name")</f>
        <v> Solar M:  Solar Power:  Maintenance DG:  +  +  + MW Link: Link Name</v>
      </c>
    </row>
    <row r="442">
      <c r="A442" s="98"/>
      <c r="B442" s="98"/>
      <c r="C442" s="98"/>
      <c r="D442" s="98"/>
      <c r="E442" s="98" t="str">
        <f>IFERROR(__xludf.DUMMYFUNCTION("""COMPUTED_VALUE""")," Solar M:  Solar Power:  Maintenance DG:  +  +  + MW Link: Link Name")</f>
        <v> Solar M:  Solar Power:  Maintenance DG:  +  +  + MW Link: Link Name</v>
      </c>
    </row>
    <row r="443">
      <c r="A443" s="98"/>
      <c r="B443" s="98"/>
      <c r="C443" s="98"/>
      <c r="D443" s="98"/>
      <c r="E443" s="98" t="str">
        <f>IFERROR(__xludf.DUMMYFUNCTION("""COMPUTED_VALUE""")," Solar M:  Solar Power:  Maintenance DG:  +  +  + MW Link: Link Name")</f>
        <v> Solar M:  Solar Power:  Maintenance DG:  +  +  + MW Link: Link Name</v>
      </c>
    </row>
    <row r="444">
      <c r="A444" s="98"/>
      <c r="B444" s="98"/>
      <c r="C444" s="98"/>
      <c r="D444" s="98"/>
      <c r="E444" s="98" t="str">
        <f>IFERROR(__xludf.DUMMYFUNCTION("""COMPUTED_VALUE""")," Solar M:  Solar Power:  Maintenance DG:  +  +  + MW Link: Link Name")</f>
        <v> Solar M:  Solar Power:  Maintenance DG:  +  +  + MW Link: Link Name</v>
      </c>
    </row>
    <row r="445">
      <c r="A445" s="98"/>
      <c r="B445" s="98"/>
      <c r="C445" s="98"/>
      <c r="D445" s="98"/>
      <c r="E445" s="98" t="str">
        <f>IFERROR(__xludf.DUMMYFUNCTION("""COMPUTED_VALUE""")," Solar M:  Solar Power:  Maintenance DG:  +  +  + MW Link: Link Name")</f>
        <v> Solar M:  Solar Power:  Maintenance DG:  +  +  + MW Link: Link Name</v>
      </c>
    </row>
    <row r="446">
      <c r="A446" s="98"/>
      <c r="B446" s="98"/>
      <c r="C446" s="98"/>
      <c r="D446" s="98"/>
      <c r="E446" s="98" t="str">
        <f>IFERROR(__xludf.DUMMYFUNCTION("""COMPUTED_VALUE""")," Solar M:  Solar Power:  Maintenance DG:  +  +  + MW Link: Link Name")</f>
        <v> Solar M:  Solar Power:  Maintenance DG:  +  +  + MW Link: Link Name</v>
      </c>
    </row>
    <row r="447">
      <c r="A447" s="98"/>
      <c r="B447" s="98"/>
      <c r="C447" s="98"/>
      <c r="D447" s="98"/>
      <c r="E447" s="98" t="str">
        <f>IFERROR(__xludf.DUMMYFUNCTION("""COMPUTED_VALUE""")," Solar M:  Solar Power:  Maintenance DG:  +  +  + MW Link: Link Name")</f>
        <v> Solar M:  Solar Power:  Maintenance DG:  +  +  + MW Link: Link Name</v>
      </c>
    </row>
    <row r="448">
      <c r="A448" s="98"/>
      <c r="B448" s="98"/>
      <c r="C448" s="98"/>
      <c r="D448" s="98"/>
      <c r="E448" s="98" t="str">
        <f>IFERROR(__xludf.DUMMYFUNCTION("""COMPUTED_VALUE""")," Solar M:  Solar Power:  Maintenance DG:  +  +  + MW Link: Link Name")</f>
        <v> Solar M:  Solar Power:  Maintenance DG:  +  +  + MW Link: Link Name</v>
      </c>
    </row>
    <row r="449">
      <c r="A449" s="98"/>
      <c r="B449" s="98"/>
      <c r="C449" s="98"/>
      <c r="D449" s="98"/>
      <c r="E449" s="98" t="str">
        <f>IFERROR(__xludf.DUMMYFUNCTION("""COMPUTED_VALUE""")," Solar M:  Solar Power:  Maintenance DG:  +  +  + MW Link: Link Name")</f>
        <v> Solar M:  Solar Power:  Maintenance DG:  +  +  + MW Link: Link Name</v>
      </c>
    </row>
    <row r="450">
      <c r="A450" s="98"/>
      <c r="B450" s="98"/>
      <c r="C450" s="98"/>
      <c r="D450" s="98"/>
      <c r="E450" s="98" t="str">
        <f>IFERROR(__xludf.DUMMYFUNCTION("""COMPUTED_VALUE""")," Solar M:  Solar Power:  Maintenance DG:  +  +  + MW Link: Link Name")</f>
        <v> Solar M:  Solar Power:  Maintenance DG:  +  +  + MW Link: Link Name</v>
      </c>
    </row>
    <row r="451">
      <c r="A451" s="98"/>
      <c r="B451" s="98"/>
      <c r="C451" s="98"/>
      <c r="D451" s="98"/>
      <c r="E451" s="98" t="str">
        <f>IFERROR(__xludf.DUMMYFUNCTION("""COMPUTED_VALUE""")," Solar M:  Solar Power:  Maintenance DG:  +  +  + MW Link: Link Name")</f>
        <v> Solar M:  Solar Power:  Maintenance DG:  +  +  + MW Link: Link Name</v>
      </c>
    </row>
    <row r="452">
      <c r="A452" s="98"/>
      <c r="B452" s="98"/>
      <c r="C452" s="98"/>
      <c r="D452" s="98"/>
      <c r="E452" s="98" t="str">
        <f>IFERROR(__xludf.DUMMYFUNCTION("""COMPUTED_VALUE""")," Solar M:  Solar Power:  Maintenance DG:  +  +  + MW Link: Link Name")</f>
        <v> Solar M:  Solar Power:  Maintenance DG:  +  +  + MW Link: Link Name</v>
      </c>
    </row>
    <row r="453">
      <c r="A453" s="98"/>
      <c r="B453" s="98"/>
      <c r="C453" s="98"/>
      <c r="D453" s="98"/>
      <c r="E453" s="98" t="str">
        <f>IFERROR(__xludf.DUMMYFUNCTION("""COMPUTED_VALUE""")," Solar M:  Solar Power:  Maintenance DG:  +  +  + MW Link: Link Name")</f>
        <v> Solar M:  Solar Power:  Maintenance DG:  +  +  + MW Link: Link Name</v>
      </c>
    </row>
    <row r="454">
      <c r="A454" s="98"/>
      <c r="B454" s="98"/>
      <c r="C454" s="98"/>
      <c r="D454" s="98"/>
      <c r="E454" s="98" t="str">
        <f>IFERROR(__xludf.DUMMYFUNCTION("""COMPUTED_VALUE""")," Solar M:  Solar Power:  Maintenance DG:  +  +  + MW Link: Link Name")</f>
        <v> Solar M:  Solar Power:  Maintenance DG:  +  +  + MW Link: Link Name</v>
      </c>
    </row>
    <row r="455">
      <c r="A455" s="98"/>
      <c r="B455" s="98"/>
      <c r="C455" s="98"/>
      <c r="D455" s="98"/>
      <c r="E455" s="98" t="str">
        <f>IFERROR(__xludf.DUMMYFUNCTION("""COMPUTED_VALUE""")," Solar M:  Solar Power:  Maintenance DG:  +  +  + MW Link: Link Name")</f>
        <v> Solar M:  Solar Power:  Maintenance DG:  +  +  + MW Link: Link Name</v>
      </c>
    </row>
    <row r="456">
      <c r="A456" s="98"/>
      <c r="B456" s="98"/>
      <c r="C456" s="98"/>
      <c r="D456" s="98"/>
      <c r="E456" s="98" t="str">
        <f>IFERROR(__xludf.DUMMYFUNCTION("""COMPUTED_VALUE""")," Solar M:  Solar Power:  Maintenance DG:  +  +  + MW Link: Link Name")</f>
        <v> Solar M:  Solar Power:  Maintenance DG:  +  +  + MW Link: Link Name</v>
      </c>
    </row>
    <row r="457">
      <c r="A457" s="98"/>
      <c r="B457" s="98"/>
      <c r="C457" s="98"/>
      <c r="D457" s="98"/>
      <c r="E457" s="98" t="str">
        <f>IFERROR(__xludf.DUMMYFUNCTION("""COMPUTED_VALUE""")," Solar M:  Solar Power:  Maintenance DG:  +  +  + MW Link: Link Name")</f>
        <v> Solar M:  Solar Power:  Maintenance DG:  +  +  + MW Link: Link Name</v>
      </c>
    </row>
    <row r="458">
      <c r="A458" s="98"/>
      <c r="B458" s="98"/>
      <c r="C458" s="98"/>
      <c r="D458" s="98"/>
      <c r="E458" s="98" t="str">
        <f>IFERROR(__xludf.DUMMYFUNCTION("""COMPUTED_VALUE""")," Solar M:  Solar Power:  Maintenance DG:  +  +  + MW Link: Link Name")</f>
        <v> Solar M:  Solar Power:  Maintenance DG:  +  +  + MW Link: Link Name</v>
      </c>
    </row>
    <row r="459">
      <c r="A459" s="98"/>
      <c r="B459" s="98"/>
      <c r="C459" s="98"/>
      <c r="D459" s="98"/>
      <c r="E459" s="98" t="str">
        <f>IFERROR(__xludf.DUMMYFUNCTION("""COMPUTED_VALUE""")," Solar M:  Solar Power:  Maintenance DG:  +  +  + MW Link: Link Name")</f>
        <v> Solar M:  Solar Power:  Maintenance DG:  +  +  + MW Link: Link Name</v>
      </c>
    </row>
    <row r="460">
      <c r="A460" s="98"/>
      <c r="B460" s="98"/>
      <c r="C460" s="98"/>
      <c r="D460" s="98"/>
      <c r="E460" s="98" t="str">
        <f>IFERROR(__xludf.DUMMYFUNCTION("""COMPUTED_VALUE""")," Solar M:  Solar Power:  Maintenance DG:  +  +  + MW Link: Link Name")</f>
        <v> Solar M:  Solar Power:  Maintenance DG:  +  +  + MW Link: Link Name</v>
      </c>
    </row>
    <row r="461">
      <c r="A461" s="98"/>
      <c r="B461" s="98"/>
      <c r="C461" s="98"/>
      <c r="D461" s="98"/>
      <c r="E461" s="98" t="str">
        <f>IFERROR(__xludf.DUMMYFUNCTION("""COMPUTED_VALUE""")," Solar M:  Solar Power:  Maintenance DG:  +  +  + MW Link: Link Name")</f>
        <v> Solar M:  Solar Power:  Maintenance DG:  +  +  + MW Link: Link Name</v>
      </c>
    </row>
    <row r="462">
      <c r="A462" s="98"/>
      <c r="B462" s="98"/>
      <c r="C462" s="98"/>
      <c r="D462" s="98"/>
      <c r="E462" s="98" t="str">
        <f>IFERROR(__xludf.DUMMYFUNCTION("""COMPUTED_VALUE""")," Solar M:  Solar Power:  Maintenance DG:  +  +  + MW Link: Link Name")</f>
        <v> Solar M:  Solar Power:  Maintenance DG:  +  +  + MW Link: Link Name</v>
      </c>
    </row>
    <row r="463">
      <c r="A463" s="98"/>
      <c r="B463" s="98"/>
      <c r="C463" s="98"/>
      <c r="D463" s="98"/>
      <c r="E463" s="98" t="str">
        <f>IFERROR(__xludf.DUMMYFUNCTION("""COMPUTED_VALUE""")," Solar M:  Solar Power:  Maintenance DG:  +  +  + MW Link: Link Name")</f>
        <v> Solar M:  Solar Power:  Maintenance DG:  +  +  + MW Link: Link Name</v>
      </c>
    </row>
    <row r="464">
      <c r="A464" s="98"/>
      <c r="B464" s="98"/>
      <c r="C464" s="98"/>
      <c r="D464" s="98"/>
      <c r="E464" s="98" t="str">
        <f>IFERROR(__xludf.DUMMYFUNCTION("""COMPUTED_VALUE""")," Solar M:  Solar Power:  Maintenance DG:  +  +  + MW Link: Link Name")</f>
        <v> Solar M:  Solar Power:  Maintenance DG:  +  +  + MW Link: Link Name</v>
      </c>
    </row>
    <row r="465">
      <c r="A465" s="98"/>
      <c r="B465" s="98"/>
      <c r="C465" s="98"/>
      <c r="D465" s="98"/>
      <c r="E465" s="98" t="str">
        <f>IFERROR(__xludf.DUMMYFUNCTION("""COMPUTED_VALUE""")," Solar M:  Solar Power:  Maintenance DG:  +  +  + MW Link: Link Name")</f>
        <v> Solar M:  Solar Power:  Maintenance DG:  +  +  + MW Link: Link Name</v>
      </c>
    </row>
    <row r="466">
      <c r="A466" s="98"/>
      <c r="B466" s="98"/>
      <c r="C466" s="98"/>
      <c r="D466" s="98"/>
      <c r="E466" s="98" t="str">
        <f>IFERROR(__xludf.DUMMYFUNCTION("""COMPUTED_VALUE""")," Solar M:  Solar Power:  Maintenance DG:  +  +  + MW Link: Link Name")</f>
        <v> Solar M:  Solar Power:  Maintenance DG:  +  +  + MW Link: Link Name</v>
      </c>
    </row>
    <row r="467">
      <c r="A467" s="98"/>
      <c r="B467" s="98"/>
      <c r="C467" s="98"/>
      <c r="D467" s="98"/>
      <c r="E467" s="98" t="str">
        <f>IFERROR(__xludf.DUMMYFUNCTION("""COMPUTED_VALUE""")," Solar M:  Solar Power:  Maintenance DG:  +  +  + MW Link: Link Name")</f>
        <v> Solar M:  Solar Power:  Maintenance DG:  +  +  + MW Link: Link Name</v>
      </c>
    </row>
    <row r="468">
      <c r="A468" s="98"/>
      <c r="B468" s="98"/>
      <c r="C468" s="98"/>
      <c r="D468" s="98"/>
      <c r="E468" s="98" t="str">
        <f>IFERROR(__xludf.DUMMYFUNCTION("""COMPUTED_VALUE""")," Solar M:  Solar Power:  Maintenance DG:  +  +  + MW Link: Link Name")</f>
        <v> Solar M:  Solar Power:  Maintenance DG:  +  +  + MW Link: Link Name</v>
      </c>
    </row>
    <row r="469">
      <c r="A469" s="98"/>
      <c r="B469" s="98"/>
      <c r="C469" s="98"/>
      <c r="D469" s="98"/>
      <c r="E469" s="98" t="str">
        <f>IFERROR(__xludf.DUMMYFUNCTION("""COMPUTED_VALUE""")," Solar M:  Solar Power:  Maintenance DG:  +  +  + MW Link: Link Name")</f>
        <v> Solar M:  Solar Power:  Maintenance DG:  +  +  + MW Link: Link Name</v>
      </c>
    </row>
    <row r="470">
      <c r="A470" s="98"/>
      <c r="B470" s="98"/>
      <c r="C470" s="98"/>
      <c r="D470" s="98"/>
      <c r="E470" s="98" t="str">
        <f>IFERROR(__xludf.DUMMYFUNCTION("""COMPUTED_VALUE""")," Solar M:  Solar Power:  Maintenance DG:  +  +  + MW Link: Link Name")</f>
        <v> Solar M:  Solar Power:  Maintenance DG:  +  +  + MW Link: Link Name</v>
      </c>
    </row>
    <row r="471">
      <c r="A471" s="98"/>
      <c r="B471" s="98"/>
      <c r="C471" s="98"/>
      <c r="D471" s="98"/>
      <c r="E471" s="98" t="str">
        <f>IFERROR(__xludf.DUMMYFUNCTION("""COMPUTED_VALUE""")," Solar M:  Solar Power:  Maintenance DG:  +  +  + MW Link: Link Name")</f>
        <v> Solar M:  Solar Power:  Maintenance DG:  +  +  + MW Link: Link Name</v>
      </c>
    </row>
    <row r="472">
      <c r="A472" s="98"/>
      <c r="B472" s="98"/>
      <c r="C472" s="98"/>
      <c r="D472" s="98"/>
      <c r="E472" s="98" t="str">
        <f>IFERROR(__xludf.DUMMYFUNCTION("""COMPUTED_VALUE""")," Solar M:  Solar Power:  Maintenance DG:  +  +  + MW Link: Link Name")</f>
        <v> Solar M:  Solar Power:  Maintenance DG:  +  +  + MW Link: Link Name</v>
      </c>
    </row>
    <row r="473">
      <c r="A473" s="98"/>
      <c r="B473" s="98"/>
      <c r="C473" s="98"/>
      <c r="D473" s="98"/>
      <c r="E473" s="98" t="str">
        <f>IFERROR(__xludf.DUMMYFUNCTION("""COMPUTED_VALUE""")," Solar M:  Solar Power:  Maintenance DG:  +  +  + MW Link: Link Name")</f>
        <v> Solar M:  Solar Power:  Maintenance DG:  +  +  + MW Link: Link Name</v>
      </c>
    </row>
    <row r="474">
      <c r="A474" s="98"/>
      <c r="B474" s="98"/>
      <c r="C474" s="98"/>
      <c r="D474" s="98"/>
      <c r="E474" s="98" t="str">
        <f>IFERROR(__xludf.DUMMYFUNCTION("""COMPUTED_VALUE""")," Solar M:  Solar Power:  Maintenance DG:  +  +  + MW Link: Link Name")</f>
        <v> Solar M:  Solar Power:  Maintenance DG:  +  +  + MW Link: Link Name</v>
      </c>
    </row>
    <row r="475">
      <c r="A475" s="98"/>
      <c r="B475" s="98"/>
      <c r="C475" s="98"/>
      <c r="D475" s="98"/>
      <c r="E475" s="98" t="str">
        <f>IFERROR(__xludf.DUMMYFUNCTION("""COMPUTED_VALUE""")," Solar M:  Solar Power:  Maintenance DG:  +  +  + MW Link: Link Name")</f>
        <v> Solar M:  Solar Power:  Maintenance DG:  +  +  + MW Link: Link Name</v>
      </c>
    </row>
    <row r="476">
      <c r="A476" s="98"/>
      <c r="B476" s="98"/>
      <c r="C476" s="98"/>
      <c r="D476" s="98"/>
      <c r="E476" s="98" t="str">
        <f>IFERROR(__xludf.DUMMYFUNCTION("""COMPUTED_VALUE""")," Solar M:  Solar Power:  Maintenance DG:  +  +  + MW Link: Link Name")</f>
        <v> Solar M:  Solar Power:  Maintenance DG:  +  +  + MW Link: Link Name</v>
      </c>
    </row>
    <row r="477">
      <c r="A477" s="98"/>
      <c r="B477" s="98"/>
      <c r="C477" s="98"/>
      <c r="D477" s="98"/>
      <c r="E477" s="98" t="str">
        <f>IFERROR(__xludf.DUMMYFUNCTION("""COMPUTED_VALUE""")," Solar M:  Solar Power:  Maintenance DG:  +  +  + MW Link: Link Name")</f>
        <v> Solar M:  Solar Power:  Maintenance DG:  +  +  + MW Link: Link Name</v>
      </c>
    </row>
    <row r="478">
      <c r="A478" s="98"/>
      <c r="B478" s="98"/>
      <c r="C478" s="98"/>
      <c r="D478" s="98"/>
      <c r="E478" s="98" t="str">
        <f>IFERROR(__xludf.DUMMYFUNCTION("""COMPUTED_VALUE""")," Solar M:  Solar Power:  Maintenance DG:  +  +  + MW Link: Link Name")</f>
        <v> Solar M:  Solar Power:  Maintenance DG:  +  +  + MW Link: Link Name</v>
      </c>
    </row>
    <row r="479">
      <c r="A479" s="98"/>
      <c r="B479" s="98"/>
      <c r="C479" s="98"/>
      <c r="D479" s="98"/>
      <c r="E479" s="98" t="str">
        <f>IFERROR(__xludf.DUMMYFUNCTION("""COMPUTED_VALUE""")," Solar M:  Solar Power:  Maintenance DG:  +  +  + MW Link: Link Name")</f>
        <v> Solar M:  Solar Power:  Maintenance DG:  +  +  + MW Link: Link Name</v>
      </c>
    </row>
    <row r="480">
      <c r="A480" s="98"/>
      <c r="B480" s="98"/>
      <c r="C480" s="98"/>
      <c r="D480" s="98"/>
      <c r="E480" s="98" t="str">
        <f>IFERROR(__xludf.DUMMYFUNCTION("""COMPUTED_VALUE""")," Solar M:  Solar Power:  Maintenance DG:  +  +  + MW Link: Link Name")</f>
        <v> Solar M:  Solar Power:  Maintenance DG:  +  +  + MW Link: Link Name</v>
      </c>
    </row>
    <row r="481">
      <c r="A481" s="98"/>
      <c r="B481" s="98"/>
      <c r="C481" s="98"/>
      <c r="D481" s="98"/>
      <c r="E481" s="98" t="str">
        <f>IFERROR(__xludf.DUMMYFUNCTION("""COMPUTED_VALUE""")," Solar M:  Solar Power:  Maintenance DG:  +  +  + MW Link: Link Name")</f>
        <v> Solar M:  Solar Power:  Maintenance DG:  +  +  + MW Link: Link Name</v>
      </c>
    </row>
    <row r="482">
      <c r="A482" s="98"/>
      <c r="B482" s="98"/>
      <c r="C482" s="98"/>
      <c r="D482" s="98"/>
      <c r="E482" s="98" t="str">
        <f>IFERROR(__xludf.DUMMYFUNCTION("""COMPUTED_VALUE""")," Solar M:  Solar Power:  Maintenance DG:  +  +  + MW Link: Link Name")</f>
        <v> Solar M:  Solar Power:  Maintenance DG:  +  +  + MW Link: Link Name</v>
      </c>
    </row>
    <row r="483">
      <c r="A483" s="98"/>
      <c r="B483" s="98"/>
      <c r="C483" s="98"/>
      <c r="D483" s="98"/>
      <c r="E483" s="98" t="str">
        <f>IFERROR(__xludf.DUMMYFUNCTION("""COMPUTED_VALUE""")," Solar M:  Solar Power:  Maintenance DG:  +  +  + MW Link: Link Name")</f>
        <v> Solar M:  Solar Power:  Maintenance DG:  +  +  + MW Link: Link Name</v>
      </c>
    </row>
    <row r="484">
      <c r="A484" s="98"/>
      <c r="B484" s="98"/>
      <c r="C484" s="98"/>
      <c r="D484" s="98"/>
      <c r="E484" s="98" t="str">
        <f>IFERROR(__xludf.DUMMYFUNCTION("""COMPUTED_VALUE""")," Solar M:  Solar Power:  Maintenance DG:  +  +  + MW Link: Link Name")</f>
        <v> Solar M:  Solar Power:  Maintenance DG:  +  +  + MW Link: Link Name</v>
      </c>
    </row>
    <row r="485">
      <c r="A485" s="98"/>
      <c r="B485" s="98"/>
      <c r="C485" s="98"/>
      <c r="D485" s="98"/>
      <c r="E485" s="98" t="str">
        <f>IFERROR(__xludf.DUMMYFUNCTION("""COMPUTED_VALUE""")," Solar M:  Solar Power:  Maintenance DG:  +  +  + MW Link: Link Name")</f>
        <v> Solar M:  Solar Power:  Maintenance DG:  +  +  + MW Link: Link Name</v>
      </c>
    </row>
    <row r="486">
      <c r="A486" s="98"/>
      <c r="B486" s="98"/>
      <c r="C486" s="98"/>
      <c r="D486" s="98"/>
      <c r="E486" s="98" t="str">
        <f>IFERROR(__xludf.DUMMYFUNCTION("""COMPUTED_VALUE""")," Solar M:  Solar Power:  Maintenance DG:  +  +  + MW Link: Link Name")</f>
        <v> Solar M:  Solar Power:  Maintenance DG:  +  +  + MW Link: Link Name</v>
      </c>
    </row>
    <row r="487">
      <c r="A487" s="98"/>
      <c r="B487" s="98"/>
      <c r="C487" s="98"/>
      <c r="D487" s="98"/>
      <c r="E487" s="98" t="str">
        <f>IFERROR(__xludf.DUMMYFUNCTION("""COMPUTED_VALUE""")," Solar M:  Solar Power:  Maintenance DG:  +  +  + MW Link: Link Name")</f>
        <v> Solar M:  Solar Power:  Maintenance DG:  +  +  + MW Link: Link Name</v>
      </c>
    </row>
    <row r="488">
      <c r="A488" s="98"/>
      <c r="B488" s="98"/>
      <c r="C488" s="98"/>
      <c r="D488" s="98"/>
      <c r="E488" s="98" t="str">
        <f>IFERROR(__xludf.DUMMYFUNCTION("""COMPUTED_VALUE""")," Solar M:  Solar Power:  Maintenance DG:  +  +  + MW Link: Link Name")</f>
        <v> Solar M:  Solar Power:  Maintenance DG:  +  +  + MW Link: Link Name</v>
      </c>
    </row>
    <row r="489">
      <c r="A489" s="98"/>
      <c r="B489" s="98"/>
      <c r="C489" s="98"/>
      <c r="D489" s="98"/>
      <c r="E489" s="98" t="str">
        <f>IFERROR(__xludf.DUMMYFUNCTION("""COMPUTED_VALUE""")," Solar M:  Solar Power:  Maintenance DG:  +  +  + MW Link: Link Name")</f>
        <v> Solar M:  Solar Power:  Maintenance DG:  +  +  + MW Link: Link Name</v>
      </c>
    </row>
    <row r="490">
      <c r="A490" s="98"/>
      <c r="B490" s="98"/>
      <c r="C490" s="98"/>
      <c r="D490" s="98"/>
      <c r="E490" s="98" t="str">
        <f>IFERROR(__xludf.DUMMYFUNCTION("""COMPUTED_VALUE""")," Solar M:  Solar Power:  Maintenance DG:  +  +  + MW Link: Link Name")</f>
        <v> Solar M:  Solar Power:  Maintenance DG:  +  +  + MW Link: Link Name</v>
      </c>
    </row>
    <row r="491">
      <c r="A491" s="98"/>
      <c r="B491" s="98"/>
      <c r="C491" s="98"/>
      <c r="D491" s="98"/>
      <c r="E491" s="98" t="str">
        <f>IFERROR(__xludf.DUMMYFUNCTION("""COMPUTED_VALUE""")," Solar M:  Solar Power:  Maintenance DG:  +  +  + MW Link: Link Name")</f>
        <v> Solar M:  Solar Power:  Maintenance DG:  +  +  + MW Link: Link Name</v>
      </c>
    </row>
    <row r="492">
      <c r="A492" s="98"/>
      <c r="B492" s="98"/>
      <c r="C492" s="98"/>
      <c r="D492" s="98"/>
      <c r="E492" s="98" t="str">
        <f>IFERROR(__xludf.DUMMYFUNCTION("""COMPUTED_VALUE""")," Solar M:  Solar Power:  Maintenance DG:  +  +  + MW Link: Link Name")</f>
        <v> Solar M:  Solar Power:  Maintenance DG:  +  +  + MW Link: Link Name</v>
      </c>
    </row>
    <row r="493">
      <c r="A493" s="98"/>
      <c r="B493" s="98"/>
      <c r="C493" s="98"/>
      <c r="D493" s="98"/>
      <c r="E493" s="98" t="str">
        <f>IFERROR(__xludf.DUMMYFUNCTION("""COMPUTED_VALUE""")," Solar M:  Solar Power:  Maintenance DG:  +  +  + MW Link: Link Name")</f>
        <v> Solar M:  Solar Power:  Maintenance DG:  +  +  + MW Link: Link Name</v>
      </c>
    </row>
    <row r="494">
      <c r="A494" s="98"/>
      <c r="B494" s="98"/>
      <c r="C494" s="98"/>
      <c r="D494" s="98"/>
      <c r="E494" s="98" t="str">
        <f>IFERROR(__xludf.DUMMYFUNCTION("""COMPUTED_VALUE""")," Solar M:  Solar Power:  Maintenance DG:  +  +  + MW Link: Link Name")</f>
        <v> Solar M:  Solar Power:  Maintenance DG:  +  +  + MW Link: Link Name</v>
      </c>
    </row>
    <row r="495">
      <c r="A495" s="98"/>
      <c r="B495" s="98"/>
      <c r="C495" s="98"/>
      <c r="D495" s="98"/>
      <c r="E495" s="98" t="str">
        <f>IFERROR(__xludf.DUMMYFUNCTION("""COMPUTED_VALUE""")," Solar M:  Solar Power:  Maintenance DG:  +  +  + MW Link: Link Name")</f>
        <v> Solar M:  Solar Power:  Maintenance DG:  +  +  + MW Link: Link Name</v>
      </c>
    </row>
    <row r="496">
      <c r="A496" s="98"/>
      <c r="B496" s="98"/>
      <c r="C496" s="98"/>
      <c r="D496" s="98"/>
      <c r="E496" s="98" t="str">
        <f>IFERROR(__xludf.DUMMYFUNCTION("""COMPUTED_VALUE""")," Solar M:  Solar Power:  Maintenance DG:  +  +  + MW Link: Link Name")</f>
        <v> Solar M:  Solar Power:  Maintenance DG:  +  +  + MW Link: Link Name</v>
      </c>
    </row>
    <row r="497">
      <c r="A497" s="98"/>
      <c r="B497" s="98"/>
      <c r="C497" s="98"/>
      <c r="D497" s="98"/>
      <c r="E497" s="98" t="str">
        <f>IFERROR(__xludf.DUMMYFUNCTION("""COMPUTED_VALUE""")," Solar M:  Solar Power:  Maintenance DG:  +  +  + MW Link: Link Name")</f>
        <v> Solar M:  Solar Power:  Maintenance DG:  +  +  + MW Link: Link Name</v>
      </c>
    </row>
    <row r="498">
      <c r="A498" s="98"/>
      <c r="B498" s="98"/>
      <c r="C498" s="98"/>
      <c r="D498" s="98"/>
      <c r="E498" s="98" t="str">
        <f>IFERROR(__xludf.DUMMYFUNCTION("""COMPUTED_VALUE""")," Solar M:  Solar Power:  Maintenance DG:  +  +  + MW Link: Link Name")</f>
        <v> Solar M:  Solar Power:  Maintenance DG:  +  +  + MW Link: Link Name</v>
      </c>
    </row>
    <row r="499">
      <c r="A499" s="98"/>
      <c r="B499" s="98"/>
      <c r="C499" s="98"/>
      <c r="D499" s="98"/>
      <c r="E499" s="98" t="str">
        <f>IFERROR(__xludf.DUMMYFUNCTION("""COMPUTED_VALUE""")," Solar M:  Solar Power:  Maintenance DG:  +  +  + MW Link: Link Name")</f>
        <v> Solar M:  Solar Power:  Maintenance DG:  +  +  + MW Link: Link Name</v>
      </c>
    </row>
    <row r="500">
      <c r="A500" s="98"/>
      <c r="B500" s="98"/>
      <c r="C500" s="98"/>
      <c r="D500" s="98"/>
      <c r="E500" s="98" t="str">
        <f>IFERROR(__xludf.DUMMYFUNCTION("""COMPUTED_VALUE""")," Solar M:  Solar Power:  Maintenance DG:  +  +  + MW Link: Link Name")</f>
        <v> Solar M:  Solar Power:  Maintenance DG:  +  +  + MW Link: Link Name</v>
      </c>
    </row>
    <row r="501">
      <c r="A501" s="98"/>
      <c r="B501" s="98"/>
      <c r="C501" s="98"/>
      <c r="D501" s="98"/>
      <c r="E501" s="98" t="str">
        <f>IFERROR(__xludf.DUMMYFUNCTION("""COMPUTED_VALUE""")," Solar M:  Solar Power:  Maintenance DG:  +  +  + MW Link: Link Name")</f>
        <v> Solar M:  Solar Power:  Maintenance DG:  +  +  + MW Link: Link Name</v>
      </c>
    </row>
    <row r="502">
      <c r="A502" s="98"/>
      <c r="B502" s="98"/>
      <c r="C502" s="98"/>
      <c r="D502" s="98"/>
      <c r="E502" s="98" t="str">
        <f>IFERROR(__xludf.DUMMYFUNCTION("""COMPUTED_VALUE""")," Solar M:  Solar Power:  Maintenance DG:  +  +  + MW Link: Link Name")</f>
        <v> Solar M:  Solar Power:  Maintenance DG:  +  +  + MW Link: Link Name</v>
      </c>
    </row>
    <row r="503">
      <c r="A503" s="98"/>
      <c r="B503" s="98"/>
      <c r="C503" s="98"/>
      <c r="D503" s="98"/>
      <c r="E503" s="98" t="str">
        <f>IFERROR(__xludf.DUMMYFUNCTION("""COMPUTED_VALUE""")," Solar M:  Solar Power:  Maintenance DG:  +  +  + MW Link: Link Name")</f>
        <v> Solar M:  Solar Power:  Maintenance DG:  +  +  + MW Link: Link Name</v>
      </c>
    </row>
    <row r="504">
      <c r="A504" s="98"/>
      <c r="B504" s="98"/>
      <c r="C504" s="98"/>
      <c r="D504" s="98"/>
      <c r="E504" s="98" t="str">
        <f>IFERROR(__xludf.DUMMYFUNCTION("""COMPUTED_VALUE""")," Solar M:  Solar Power:  Maintenance DG:  +  +  + MW Link: Link Name")</f>
        <v> Solar M:  Solar Power:  Maintenance DG:  +  +  + MW Link: Link Name</v>
      </c>
    </row>
    <row r="505">
      <c r="A505" s="98"/>
      <c r="B505" s="98"/>
      <c r="C505" s="98"/>
      <c r="D505" s="98"/>
      <c r="E505" s="98" t="str">
        <f>IFERROR(__xludf.DUMMYFUNCTION("""COMPUTED_VALUE""")," Solar M:  Solar Power:  Maintenance DG:  +  +  + MW Link: Link Name")</f>
        <v> Solar M:  Solar Power:  Maintenance DG:  +  +  + MW Link: Link Name</v>
      </c>
    </row>
    <row r="506">
      <c r="A506" s="98"/>
      <c r="B506" s="98"/>
      <c r="C506" s="98"/>
      <c r="D506" s="98"/>
      <c r="E506" s="98" t="str">
        <f>IFERROR(__xludf.DUMMYFUNCTION("""COMPUTED_VALUE""")," Solar M:  Solar Power:  Maintenance DG:  +  +  + MW Link: Link Name")</f>
        <v> Solar M:  Solar Power:  Maintenance DG:  +  +  + MW Link: Link Name</v>
      </c>
    </row>
    <row r="507">
      <c r="A507" s="98"/>
      <c r="B507" s="98"/>
      <c r="C507" s="98"/>
      <c r="D507" s="98"/>
      <c r="E507" s="98" t="str">
        <f>IFERROR(__xludf.DUMMYFUNCTION("""COMPUTED_VALUE""")," Solar M:  Solar Power:  Maintenance DG:  +  +  + MW Link: Link Name")</f>
        <v> Solar M:  Solar Power:  Maintenance DG:  +  +  + MW Link: Link Name</v>
      </c>
    </row>
    <row r="508">
      <c r="A508" s="98"/>
      <c r="B508" s="98"/>
      <c r="C508" s="98"/>
      <c r="D508" s="98"/>
      <c r="E508" s="98" t="str">
        <f>IFERROR(__xludf.DUMMYFUNCTION("""COMPUTED_VALUE""")," Solar M:  Solar Power:  Maintenance DG:  +  +  + MW Link: Link Name")</f>
        <v> Solar M:  Solar Power:  Maintenance DG:  +  +  + MW Link: Link Name</v>
      </c>
    </row>
    <row r="509">
      <c r="A509" s="98"/>
      <c r="B509" s="98"/>
      <c r="C509" s="98"/>
      <c r="D509" s="98"/>
      <c r="E509" s="98" t="str">
        <f>IFERROR(__xludf.DUMMYFUNCTION("""COMPUTED_VALUE""")," Solar M:  Solar Power:  Maintenance DG:  +  +  + MW Link: Link Name")</f>
        <v> Solar M:  Solar Power:  Maintenance DG:  +  +  + MW Link: Link Name</v>
      </c>
    </row>
    <row r="510">
      <c r="A510" s="98"/>
      <c r="B510" s="98"/>
      <c r="C510" s="98"/>
      <c r="D510" s="98"/>
      <c r="E510" s="98" t="str">
        <f>IFERROR(__xludf.DUMMYFUNCTION("""COMPUTED_VALUE""")," Solar M:  Solar Power:  Maintenance DG:  +  +  + MW Link: Link Name")</f>
        <v> Solar M:  Solar Power:  Maintenance DG:  +  +  + MW Link: Link Name</v>
      </c>
    </row>
    <row r="511">
      <c r="A511" s="98"/>
      <c r="B511" s="98"/>
      <c r="C511" s="98"/>
      <c r="D511" s="98"/>
      <c r="E511" s="98" t="str">
        <f>IFERROR(__xludf.DUMMYFUNCTION("""COMPUTED_VALUE""")," Solar M:  Solar Power:  Maintenance DG:  +  +  + MW Link: Link Name")</f>
        <v> Solar M:  Solar Power:  Maintenance DG:  +  +  + MW Link: Link Name</v>
      </c>
    </row>
    <row r="512">
      <c r="A512" s="98"/>
      <c r="B512" s="98"/>
      <c r="C512" s="98"/>
      <c r="D512" s="98"/>
      <c r="E512" s="98" t="str">
        <f>IFERROR(__xludf.DUMMYFUNCTION("""COMPUTED_VALUE""")," Solar M:  Solar Power:  Maintenance DG:  +  +  + MW Link: Link Name")</f>
        <v> Solar M:  Solar Power:  Maintenance DG:  +  +  + MW Link: Link Name</v>
      </c>
    </row>
    <row r="513">
      <c r="A513" s="98"/>
      <c r="B513" s="98"/>
      <c r="C513" s="98"/>
      <c r="D513" s="98"/>
      <c r="E513" s="98" t="str">
        <f>IFERROR(__xludf.DUMMYFUNCTION("""COMPUTED_VALUE""")," Solar M:  Solar Power:  Maintenance DG:  +  +  + MW Link: Link Name")</f>
        <v> Solar M:  Solar Power:  Maintenance DG:  +  +  + MW Link: Link Name</v>
      </c>
    </row>
    <row r="514">
      <c r="A514" s="98"/>
      <c r="B514" s="98"/>
      <c r="C514" s="98"/>
      <c r="D514" s="98"/>
      <c r="E514" s="98" t="str">
        <f>IFERROR(__xludf.DUMMYFUNCTION("""COMPUTED_VALUE""")," Solar M:  Solar Power:  Maintenance DG:  +  +  + MW Link: Link Name")</f>
        <v> Solar M:  Solar Power:  Maintenance DG:  +  +  + MW Link: Link Name</v>
      </c>
    </row>
    <row r="515">
      <c r="A515" s="98"/>
      <c r="B515" s="98"/>
      <c r="C515" s="98"/>
      <c r="D515" s="98"/>
      <c r="E515" s="98" t="str">
        <f>IFERROR(__xludf.DUMMYFUNCTION("""COMPUTED_VALUE""")," Solar M:  Solar Power:  Maintenance DG:  +  +  + MW Link: Link Name")</f>
        <v> Solar M:  Solar Power:  Maintenance DG:  +  +  + MW Link: Link Name</v>
      </c>
    </row>
    <row r="516">
      <c r="A516" s="98"/>
      <c r="B516" s="98"/>
      <c r="C516" s="98"/>
      <c r="D516" s="98"/>
      <c r="E516" s="98" t="str">
        <f>IFERROR(__xludf.DUMMYFUNCTION("""COMPUTED_VALUE""")," Solar M:  Solar Power:  Maintenance DG:  +  +  + MW Link: Link Name")</f>
        <v> Solar M:  Solar Power:  Maintenance DG:  +  +  + MW Link: Link Name</v>
      </c>
    </row>
    <row r="517">
      <c r="A517" s="98"/>
      <c r="B517" s="98"/>
      <c r="C517" s="98"/>
      <c r="D517" s="98"/>
      <c r="E517" s="98" t="str">
        <f>IFERROR(__xludf.DUMMYFUNCTION("""COMPUTED_VALUE""")," Solar M:  Solar Power:  Maintenance DG:  +  +  + MW Link: Link Name")</f>
        <v> Solar M:  Solar Power:  Maintenance DG:  +  +  + MW Link: Link Name</v>
      </c>
    </row>
    <row r="518">
      <c r="A518" s="98"/>
      <c r="B518" s="98"/>
      <c r="C518" s="98"/>
      <c r="D518" s="98"/>
      <c r="E518" s="98" t="str">
        <f>IFERROR(__xludf.DUMMYFUNCTION("""COMPUTED_VALUE""")," Solar M:  Solar Power:  Maintenance DG:  +  +  + MW Link: Link Name")</f>
        <v> Solar M:  Solar Power:  Maintenance DG:  +  +  + MW Link: Link Name</v>
      </c>
    </row>
    <row r="519">
      <c r="A519" s="98"/>
      <c r="B519" s="98"/>
      <c r="C519" s="98"/>
      <c r="D519" s="98"/>
      <c r="E519" s="98" t="str">
        <f>IFERROR(__xludf.DUMMYFUNCTION("""COMPUTED_VALUE""")," Solar M:  Solar Power:  Maintenance DG:  +  +  + MW Link: Link Name")</f>
        <v> Solar M:  Solar Power:  Maintenance DG:  +  +  + MW Link: Link Name</v>
      </c>
    </row>
    <row r="520">
      <c r="A520" s="98"/>
      <c r="B520" s="98"/>
      <c r="C520" s="98"/>
      <c r="D520" s="98"/>
      <c r="E520" s="98" t="str">
        <f>IFERROR(__xludf.DUMMYFUNCTION("""COMPUTED_VALUE""")," Solar M:  Solar Power:  Maintenance DG:  +  +  + MW Link: Link Name")</f>
        <v> Solar M:  Solar Power:  Maintenance DG:  +  +  + MW Link: Link Name</v>
      </c>
    </row>
    <row r="521">
      <c r="A521" s="98"/>
      <c r="B521" s="98"/>
      <c r="C521" s="98"/>
      <c r="D521" s="98"/>
      <c r="E521" s="98" t="str">
        <f>IFERROR(__xludf.DUMMYFUNCTION("""COMPUTED_VALUE""")," Solar M:  Solar Power:  Maintenance DG:  +  +  + MW Link: Link Name")</f>
        <v> Solar M:  Solar Power:  Maintenance DG:  +  +  + MW Link: Link Name</v>
      </c>
    </row>
    <row r="522">
      <c r="A522" s="98"/>
      <c r="B522" s="98"/>
      <c r="C522" s="98"/>
      <c r="D522" s="98"/>
      <c r="E522" s="98" t="str">
        <f>IFERROR(__xludf.DUMMYFUNCTION("""COMPUTED_VALUE""")," Solar M:  Solar Power:  Maintenance DG:  +  +  + MW Link: Link Name")</f>
        <v> Solar M:  Solar Power:  Maintenance DG:  +  +  + MW Link: Link Name</v>
      </c>
    </row>
    <row r="523">
      <c r="A523" s="98"/>
      <c r="B523" s="98"/>
      <c r="C523" s="98"/>
      <c r="D523" s="98"/>
      <c r="E523" s="98" t="str">
        <f>IFERROR(__xludf.DUMMYFUNCTION("""COMPUTED_VALUE""")," Solar M:  Solar Power:  Maintenance DG:  +  +  + MW Link: Link Name")</f>
        <v> Solar M:  Solar Power:  Maintenance DG:  +  +  + MW Link: Link Name</v>
      </c>
    </row>
    <row r="524">
      <c r="A524" s="98"/>
      <c r="B524" s="98"/>
      <c r="C524" s="98"/>
      <c r="D524" s="98"/>
      <c r="E524" s="98" t="str">
        <f>IFERROR(__xludf.DUMMYFUNCTION("""COMPUTED_VALUE""")," Solar M:  Solar Power:  Maintenance DG:  +  +  + MW Link: Link Name")</f>
        <v> Solar M:  Solar Power:  Maintenance DG:  +  +  + MW Link: Link Name</v>
      </c>
    </row>
    <row r="525">
      <c r="A525" s="98"/>
      <c r="B525" s="98"/>
      <c r="C525" s="98"/>
      <c r="D525" s="98"/>
      <c r="E525" s="98" t="str">
        <f>IFERROR(__xludf.DUMMYFUNCTION("""COMPUTED_VALUE""")," Solar M:  Solar Power:  Maintenance DG:  +  +  + MW Link: Link Name")</f>
        <v> Solar M:  Solar Power:  Maintenance DG:  +  +  + MW Link: Link Name</v>
      </c>
    </row>
    <row r="526">
      <c r="A526" s="98"/>
      <c r="B526" s="98"/>
      <c r="C526" s="98"/>
      <c r="D526" s="98"/>
      <c r="E526" s="98" t="str">
        <f>IFERROR(__xludf.DUMMYFUNCTION("""COMPUTED_VALUE""")," Solar M:  Solar Power:  Maintenance DG:  +  +  + MW Link: Link Name")</f>
        <v> Solar M:  Solar Power:  Maintenance DG:  +  +  + MW Link: Link Name</v>
      </c>
    </row>
    <row r="527">
      <c r="A527" s="98"/>
      <c r="B527" s="98"/>
      <c r="C527" s="98"/>
      <c r="D527" s="98"/>
      <c r="E527" s="98" t="str">
        <f>IFERROR(__xludf.DUMMYFUNCTION("""COMPUTED_VALUE""")," Solar M:  Solar Power:  Maintenance DG:  +  +  + MW Link: Link Name")</f>
        <v> Solar M:  Solar Power:  Maintenance DG:  +  +  + MW Link: Link Name</v>
      </c>
    </row>
    <row r="528">
      <c r="A528" s="98"/>
      <c r="B528" s="98"/>
      <c r="C528" s="98"/>
      <c r="D528" s="98"/>
      <c r="E528" s="98" t="str">
        <f>IFERROR(__xludf.DUMMYFUNCTION("""COMPUTED_VALUE""")," Solar M:  Solar Power:  Maintenance DG:  +  +  + MW Link: Link Name")</f>
        <v> Solar M:  Solar Power:  Maintenance DG:  +  +  + MW Link: Link Name</v>
      </c>
    </row>
    <row r="529">
      <c r="A529" s="98"/>
      <c r="B529" s="98"/>
      <c r="C529" s="98"/>
      <c r="D529" s="98"/>
      <c r="E529" s="98" t="str">
        <f>IFERROR(__xludf.DUMMYFUNCTION("""COMPUTED_VALUE""")," Solar M:  Solar Power:  Maintenance DG:  +  +  + MW Link: Link Name")</f>
        <v> Solar M:  Solar Power:  Maintenance DG:  +  +  + MW Link: Link Name</v>
      </c>
    </row>
    <row r="530">
      <c r="A530" s="98"/>
      <c r="B530" s="98"/>
      <c r="C530" s="98"/>
      <c r="D530" s="98"/>
      <c r="E530" s="98" t="str">
        <f>IFERROR(__xludf.DUMMYFUNCTION("""COMPUTED_VALUE""")," Solar M:  Solar Power:  Maintenance DG:  +  +  + MW Link: Link Name")</f>
        <v> Solar M:  Solar Power:  Maintenance DG:  +  +  + MW Link: Link Name</v>
      </c>
    </row>
    <row r="531">
      <c r="A531" s="98"/>
      <c r="B531" s="98"/>
      <c r="C531" s="98"/>
      <c r="D531" s="98"/>
      <c r="E531" s="98" t="str">
        <f>IFERROR(__xludf.DUMMYFUNCTION("""COMPUTED_VALUE""")," Solar M:  Solar Power:  Maintenance DG:  +  +  + MW Link: Link Name")</f>
        <v> Solar M:  Solar Power:  Maintenance DG:  +  +  + MW Link: Link Name</v>
      </c>
    </row>
    <row r="532">
      <c r="A532" s="98"/>
      <c r="B532" s="98"/>
      <c r="C532" s="98"/>
      <c r="D532" s="98"/>
      <c r="E532" s="98" t="str">
        <f>IFERROR(__xludf.DUMMYFUNCTION("""COMPUTED_VALUE""")," Solar M:  Solar Power:  Maintenance DG:  +  +  + MW Link: Link Name")</f>
        <v> Solar M:  Solar Power:  Maintenance DG:  +  +  + MW Link: Link Name</v>
      </c>
    </row>
    <row r="533">
      <c r="A533" s="98"/>
      <c r="B533" s="98"/>
      <c r="C533" s="98"/>
      <c r="D533" s="98"/>
      <c r="E533" s="98" t="str">
        <f>IFERROR(__xludf.DUMMYFUNCTION("""COMPUTED_VALUE""")," Solar M:  Solar Power:  Maintenance DG:  +  +  + MW Link: Link Name")</f>
        <v> Solar M:  Solar Power:  Maintenance DG:  +  +  + MW Link: Link Name</v>
      </c>
    </row>
    <row r="534">
      <c r="A534" s="98"/>
      <c r="B534" s="98"/>
      <c r="C534" s="98"/>
      <c r="D534" s="98"/>
      <c r="E534" s="98" t="str">
        <f>IFERROR(__xludf.DUMMYFUNCTION("""COMPUTED_VALUE""")," Solar M:  Solar Power:  Maintenance DG:  +  +  + MW Link: Link Name")</f>
        <v> Solar M:  Solar Power:  Maintenance DG:  +  +  + MW Link: Link Name</v>
      </c>
    </row>
    <row r="535">
      <c r="A535" s="98"/>
      <c r="B535" s="98"/>
      <c r="C535" s="98"/>
      <c r="D535" s="98"/>
      <c r="E535" s="98" t="str">
        <f>IFERROR(__xludf.DUMMYFUNCTION("""COMPUTED_VALUE""")," Solar M:  Solar Power:  Maintenance DG:  +  +  + MW Link: Link Name")</f>
        <v> Solar M:  Solar Power:  Maintenance DG:  +  +  + MW Link: Link Name</v>
      </c>
    </row>
    <row r="536">
      <c r="A536" s="98"/>
      <c r="B536" s="98"/>
      <c r="C536" s="98"/>
      <c r="D536" s="98"/>
      <c r="E536" s="98" t="str">
        <f>IFERROR(__xludf.DUMMYFUNCTION("""COMPUTED_VALUE""")," Solar M:  Solar Power:  Maintenance DG:  +  +  + MW Link: Link Name")</f>
        <v> Solar M:  Solar Power:  Maintenance DG:  +  +  + MW Link: Link Name</v>
      </c>
    </row>
    <row r="537">
      <c r="A537" s="98"/>
      <c r="B537" s="98"/>
      <c r="C537" s="98"/>
      <c r="D537" s="98"/>
      <c r="E537" s="98" t="str">
        <f>IFERROR(__xludf.DUMMYFUNCTION("""COMPUTED_VALUE""")," Solar M:  Solar Power:  Maintenance DG:  +  +  + MW Link: Link Name")</f>
        <v> Solar M:  Solar Power:  Maintenance DG:  +  +  + MW Link: Link Name</v>
      </c>
    </row>
    <row r="538">
      <c r="A538" s="98"/>
      <c r="B538" s="98"/>
      <c r="C538" s="98"/>
      <c r="D538" s="98"/>
      <c r="E538" s="98" t="str">
        <f>IFERROR(__xludf.DUMMYFUNCTION("""COMPUTED_VALUE""")," Solar M:  Solar Power:  Maintenance DG:  +  +  + MW Link: Link Name")</f>
        <v> Solar M:  Solar Power:  Maintenance DG:  +  +  + MW Link: Link Name</v>
      </c>
    </row>
    <row r="539">
      <c r="A539" s="98"/>
      <c r="B539" s="98"/>
      <c r="C539" s="98"/>
      <c r="D539" s="98"/>
      <c r="E539" s="98" t="str">
        <f>IFERROR(__xludf.DUMMYFUNCTION("""COMPUTED_VALUE""")," Solar M:  Solar Power:  Maintenance DG:  +  +  + MW Link: Link Name")</f>
        <v> Solar M:  Solar Power:  Maintenance DG:  +  +  + MW Link: Link Name</v>
      </c>
    </row>
    <row r="540">
      <c r="A540" s="98"/>
      <c r="B540" s="98"/>
      <c r="C540" s="98"/>
      <c r="D540" s="98"/>
      <c r="E540" s="98" t="str">
        <f>IFERROR(__xludf.DUMMYFUNCTION("""COMPUTED_VALUE""")," Solar M:  Solar Power:  Maintenance DG:  +  +  + MW Link: Link Name")</f>
        <v> Solar M:  Solar Power:  Maintenance DG:  +  +  + MW Link: Link Name</v>
      </c>
    </row>
    <row r="541">
      <c r="A541" s="98"/>
      <c r="B541" s="98"/>
      <c r="C541" s="98"/>
      <c r="D541" s="98"/>
      <c r="E541" s="98" t="str">
        <f>IFERROR(__xludf.DUMMYFUNCTION("""COMPUTED_VALUE""")," Solar M:  Solar Power:  Maintenance DG:  +  +  + MW Link: Link Name")</f>
        <v> Solar M:  Solar Power:  Maintenance DG:  +  +  + MW Link: Link Name</v>
      </c>
    </row>
    <row r="542">
      <c r="A542" s="98"/>
      <c r="B542" s="98"/>
      <c r="C542" s="98"/>
      <c r="D542" s="98"/>
      <c r="E542" s="98" t="str">
        <f>IFERROR(__xludf.DUMMYFUNCTION("""COMPUTED_VALUE""")," Solar M:  Solar Power:  Maintenance DG:  +  +  + MW Link: Link Name")</f>
        <v> Solar M:  Solar Power:  Maintenance DG:  +  +  + MW Link: Link Name</v>
      </c>
    </row>
    <row r="543">
      <c r="A543" s="98"/>
      <c r="B543" s="98"/>
      <c r="C543" s="98"/>
      <c r="D543" s="98"/>
      <c r="E543" s="98" t="str">
        <f>IFERROR(__xludf.DUMMYFUNCTION("""COMPUTED_VALUE""")," Solar M:  Solar Power:  Maintenance DG:  +  +  + MW Link: Link Name")</f>
        <v> Solar M:  Solar Power:  Maintenance DG:  +  +  + MW Link: Link Name</v>
      </c>
    </row>
    <row r="544">
      <c r="A544" s="98"/>
      <c r="B544" s="98"/>
      <c r="C544" s="98"/>
      <c r="D544" s="98"/>
      <c r="E544" s="98" t="str">
        <f>IFERROR(__xludf.DUMMYFUNCTION("""COMPUTED_VALUE""")," Solar M:  Solar Power:  Maintenance DG:  +  +  + MW Link: Link Name")</f>
        <v> Solar M:  Solar Power:  Maintenance DG:  +  +  + MW Link: Link Name</v>
      </c>
    </row>
    <row r="545">
      <c r="A545" s="98"/>
      <c r="B545" s="98"/>
      <c r="C545" s="98"/>
      <c r="D545" s="98"/>
      <c r="E545" s="98" t="str">
        <f>IFERROR(__xludf.DUMMYFUNCTION("""COMPUTED_VALUE""")," Solar M:  Solar Power:  Maintenance DG:  +  +  + MW Link: Link Name")</f>
        <v> Solar M:  Solar Power:  Maintenance DG:  +  +  + MW Link: Link Name</v>
      </c>
    </row>
    <row r="546">
      <c r="A546" s="98"/>
      <c r="B546" s="98"/>
      <c r="C546" s="98"/>
      <c r="D546" s="98"/>
      <c r="E546" s="98" t="str">
        <f>IFERROR(__xludf.DUMMYFUNCTION("""COMPUTED_VALUE""")," Solar M:  Solar Power:  Maintenance DG:  +  +  + MW Link: Link Name")</f>
        <v> Solar M:  Solar Power:  Maintenance DG:  +  +  + MW Link: Link Name</v>
      </c>
    </row>
    <row r="547">
      <c r="A547" s="98"/>
      <c r="B547" s="98"/>
      <c r="C547" s="98"/>
      <c r="D547" s="98"/>
      <c r="E547" s="98" t="str">
        <f>IFERROR(__xludf.DUMMYFUNCTION("""COMPUTED_VALUE""")," Solar M:  Solar Power:  Maintenance DG:  +  +  + MW Link: Link Name")</f>
        <v> Solar M:  Solar Power:  Maintenance DG:  +  +  + MW Link: Link Name</v>
      </c>
    </row>
    <row r="548">
      <c r="A548" s="98"/>
      <c r="B548" s="98"/>
      <c r="C548" s="98"/>
      <c r="D548" s="98"/>
      <c r="E548" s="98" t="str">
        <f>IFERROR(__xludf.DUMMYFUNCTION("""COMPUTED_VALUE""")," Solar M:  Solar Power:  Maintenance DG:  +  +  + MW Link: Link Name")</f>
        <v> Solar M:  Solar Power:  Maintenance DG:  +  +  + MW Link: Link Name</v>
      </c>
    </row>
    <row r="549">
      <c r="A549" s="98"/>
      <c r="B549" s="98"/>
      <c r="C549" s="98"/>
      <c r="D549" s="98"/>
      <c r="E549" s="98" t="str">
        <f>IFERROR(__xludf.DUMMYFUNCTION("""COMPUTED_VALUE""")," Solar M:  Solar Power:  Maintenance DG:  +  +  + MW Link: Link Name")</f>
        <v> Solar M:  Solar Power:  Maintenance DG:  +  +  + MW Link: Link Name</v>
      </c>
    </row>
    <row r="550">
      <c r="A550" s="98"/>
      <c r="B550" s="98"/>
      <c r="C550" s="98"/>
      <c r="D550" s="98"/>
      <c r="E550" s="98" t="str">
        <f>IFERROR(__xludf.DUMMYFUNCTION("""COMPUTED_VALUE""")," Solar M:  Solar Power:  Maintenance DG:  +  +  + MW Link: Link Name")</f>
        <v> Solar M:  Solar Power:  Maintenance DG:  +  +  + MW Link: Link Name</v>
      </c>
    </row>
    <row r="551">
      <c r="A551" s="98"/>
      <c r="B551" s="98"/>
      <c r="C551" s="98"/>
      <c r="D551" s="98"/>
      <c r="E551" s="98" t="str">
        <f>IFERROR(__xludf.DUMMYFUNCTION("""COMPUTED_VALUE""")," Solar M:  Solar Power:  Maintenance DG:  +  +  + MW Link: Link Name")</f>
        <v> Solar M:  Solar Power:  Maintenance DG:  +  +  + MW Link: Link Name</v>
      </c>
    </row>
    <row r="552">
      <c r="A552" s="98"/>
      <c r="B552" s="98"/>
      <c r="C552" s="98"/>
      <c r="D552" s="98"/>
      <c r="E552" s="98" t="str">
        <f>IFERROR(__xludf.DUMMYFUNCTION("""COMPUTED_VALUE""")," Solar M:  Solar Power:  Maintenance DG:  +  +  + MW Link: Link Name")</f>
        <v> Solar M:  Solar Power:  Maintenance DG:  +  +  + MW Link: Link Name</v>
      </c>
    </row>
    <row r="553">
      <c r="A553" s="98"/>
      <c r="B553" s="98"/>
      <c r="C553" s="98"/>
      <c r="D553" s="98"/>
      <c r="E553" s="98" t="str">
        <f>IFERROR(__xludf.DUMMYFUNCTION("""COMPUTED_VALUE""")," Solar M:  Solar Power:  Maintenance DG:  +  +  + MW Link: Link Name")</f>
        <v> Solar M:  Solar Power:  Maintenance DG:  +  +  + MW Link: Link Name</v>
      </c>
    </row>
    <row r="554">
      <c r="A554" s="98"/>
      <c r="B554" s="98"/>
      <c r="C554" s="98"/>
      <c r="D554" s="98"/>
      <c r="E554" s="98" t="str">
        <f>IFERROR(__xludf.DUMMYFUNCTION("""COMPUTED_VALUE""")," Solar M:  Solar Power:  Maintenance DG:  +  +  + MW Link: Link Name")</f>
        <v> Solar M:  Solar Power:  Maintenance DG:  +  +  + MW Link: Link Name</v>
      </c>
    </row>
    <row r="555">
      <c r="A555" s="98"/>
      <c r="B555" s="98"/>
      <c r="C555" s="98"/>
      <c r="D555" s="98"/>
      <c r="E555" s="98" t="str">
        <f>IFERROR(__xludf.DUMMYFUNCTION("""COMPUTED_VALUE""")," Solar M:  Solar Power:  Maintenance DG:  +  +  + MW Link: Link Name")</f>
        <v> Solar M:  Solar Power:  Maintenance DG:  +  +  + MW Link: Link Name</v>
      </c>
    </row>
    <row r="556">
      <c r="A556" s="98"/>
      <c r="B556" s="98"/>
      <c r="C556" s="98"/>
      <c r="D556" s="98"/>
      <c r="E556" s="98" t="str">
        <f>IFERROR(__xludf.DUMMYFUNCTION("""COMPUTED_VALUE""")," Solar M:  Solar Power:  Maintenance DG:  +  +  + MW Link: Link Name")</f>
        <v> Solar M:  Solar Power:  Maintenance DG:  +  +  + MW Link: Link Name</v>
      </c>
    </row>
    <row r="557">
      <c r="A557" s="98"/>
      <c r="B557" s="98"/>
      <c r="C557" s="98"/>
      <c r="D557" s="98"/>
      <c r="E557" s="98" t="str">
        <f>IFERROR(__xludf.DUMMYFUNCTION("""COMPUTED_VALUE""")," Solar M:  Solar Power:  Maintenance DG:  +  +  + MW Link: Link Name")</f>
        <v> Solar M:  Solar Power:  Maintenance DG:  +  +  + MW Link: Link Name</v>
      </c>
    </row>
    <row r="558">
      <c r="A558" s="98"/>
      <c r="B558" s="98"/>
      <c r="C558" s="98"/>
      <c r="D558" s="98"/>
      <c r="E558" s="98" t="str">
        <f>IFERROR(__xludf.DUMMYFUNCTION("""COMPUTED_VALUE""")," Solar M:  Solar Power:  Maintenance DG:  +  +  + MW Link: Link Name")</f>
        <v> Solar M:  Solar Power:  Maintenance DG:  +  +  + MW Link: Link Name</v>
      </c>
    </row>
    <row r="559">
      <c r="A559" s="98"/>
      <c r="B559" s="98"/>
      <c r="C559" s="98"/>
      <c r="D559" s="98"/>
      <c r="E559" s="98" t="str">
        <f>IFERROR(__xludf.DUMMYFUNCTION("""COMPUTED_VALUE""")," Solar M:  Solar Power:  Maintenance DG:  +  +  + MW Link: Link Name")</f>
        <v> Solar M:  Solar Power:  Maintenance DG:  +  +  + MW Link: Link Name</v>
      </c>
    </row>
    <row r="560">
      <c r="A560" s="98"/>
      <c r="B560" s="98"/>
      <c r="C560" s="98"/>
      <c r="D560" s="98"/>
      <c r="E560" s="98" t="str">
        <f>IFERROR(__xludf.DUMMYFUNCTION("""COMPUTED_VALUE""")," Solar M:  Solar Power:  Maintenance DG:  +  +  + MW Link: Link Name")</f>
        <v> Solar M:  Solar Power:  Maintenance DG:  +  +  + MW Link: Link Name</v>
      </c>
    </row>
    <row r="561">
      <c r="A561" s="98"/>
      <c r="B561" s="98"/>
      <c r="C561" s="98"/>
      <c r="D561" s="98"/>
      <c r="E561" s="98" t="str">
        <f>IFERROR(__xludf.DUMMYFUNCTION("""COMPUTED_VALUE""")," Solar M:  Solar Power:  Maintenance DG:  +  +  + MW Link: Link Name")</f>
        <v> Solar M:  Solar Power:  Maintenance DG:  +  +  + MW Link: Link Name</v>
      </c>
    </row>
    <row r="562">
      <c r="A562" s="98"/>
      <c r="B562" s="98"/>
      <c r="C562" s="98"/>
      <c r="D562" s="98"/>
      <c r="E562" s="98" t="str">
        <f>IFERROR(__xludf.DUMMYFUNCTION("""COMPUTED_VALUE""")," Solar M:  Solar Power:  Maintenance DG:  +  +  + MW Link: Link Name")</f>
        <v> Solar M:  Solar Power:  Maintenance DG:  +  +  + MW Link: Link Name</v>
      </c>
    </row>
    <row r="563">
      <c r="A563" s="98"/>
      <c r="B563" s="98"/>
      <c r="C563" s="98"/>
      <c r="D563" s="98"/>
      <c r="E563" s="98" t="str">
        <f>IFERROR(__xludf.DUMMYFUNCTION("""COMPUTED_VALUE""")," Solar M:  Solar Power:  Maintenance DG:  +  +  + MW Link: Link Name")</f>
        <v> Solar M:  Solar Power:  Maintenance DG:  +  +  + MW Link: Link Name</v>
      </c>
    </row>
    <row r="564">
      <c r="A564" s="98"/>
      <c r="B564" s="98"/>
      <c r="C564" s="98"/>
      <c r="D564" s="98"/>
      <c r="E564" s="98" t="str">
        <f>IFERROR(__xludf.DUMMYFUNCTION("""COMPUTED_VALUE""")," Solar M:  Solar Power:  Maintenance DG:  +  +  + MW Link: Link Name")</f>
        <v> Solar M:  Solar Power:  Maintenance DG:  +  +  + MW Link: Link Name</v>
      </c>
    </row>
    <row r="565">
      <c r="A565" s="98"/>
      <c r="B565" s="98"/>
      <c r="C565" s="98"/>
      <c r="D565" s="98"/>
      <c r="E565" s="98" t="str">
        <f>IFERROR(__xludf.DUMMYFUNCTION("""COMPUTED_VALUE""")," Solar M:  Solar Power:  Maintenance DG:  +  +  + MW Link: Link Name")</f>
        <v> Solar M:  Solar Power:  Maintenance DG:  +  +  + MW Link: Link Name</v>
      </c>
    </row>
    <row r="566">
      <c r="A566" s="98"/>
      <c r="B566" s="98"/>
      <c r="C566" s="98"/>
      <c r="D566" s="98"/>
      <c r="E566" s="98" t="str">
        <f>IFERROR(__xludf.DUMMYFUNCTION("""COMPUTED_VALUE""")," Solar M:  Solar Power:  Maintenance DG:  +  +  + MW Link: Link Name")</f>
        <v> Solar M:  Solar Power:  Maintenance DG:  +  +  + MW Link: Link Name</v>
      </c>
    </row>
    <row r="567">
      <c r="A567" s="98"/>
      <c r="B567" s="98"/>
      <c r="C567" s="98"/>
      <c r="D567" s="98"/>
      <c r="E567" s="98" t="str">
        <f>IFERROR(__xludf.DUMMYFUNCTION("""COMPUTED_VALUE""")," Solar M:  Solar Power:  Maintenance DG:  +  +  + MW Link: Link Name")</f>
        <v> Solar M:  Solar Power:  Maintenance DG:  +  +  + MW Link: Link Name</v>
      </c>
    </row>
    <row r="568">
      <c r="A568" s="98"/>
      <c r="B568" s="98"/>
      <c r="C568" s="98"/>
      <c r="D568" s="98"/>
      <c r="E568" s="98" t="str">
        <f>IFERROR(__xludf.DUMMYFUNCTION("""COMPUTED_VALUE""")," Solar M:  Solar Power:  Maintenance DG:  +  +  + MW Link: Link Name")</f>
        <v> Solar M:  Solar Power:  Maintenance DG:  +  +  + MW Link: Link Name</v>
      </c>
    </row>
    <row r="569">
      <c r="A569" s="98"/>
      <c r="B569" s="98"/>
      <c r="C569" s="98"/>
      <c r="D569" s="98"/>
      <c r="E569" s="98" t="str">
        <f>IFERROR(__xludf.DUMMYFUNCTION("""COMPUTED_VALUE""")," Solar M:  Solar Power:  Maintenance DG:  +  +  + MW Link: Link Name")</f>
        <v> Solar M:  Solar Power:  Maintenance DG:  +  +  + MW Link: Link Name</v>
      </c>
    </row>
    <row r="570">
      <c r="A570" s="98"/>
      <c r="B570" s="98"/>
      <c r="C570" s="98"/>
      <c r="D570" s="98"/>
      <c r="E570" s="98" t="str">
        <f>IFERROR(__xludf.DUMMYFUNCTION("""COMPUTED_VALUE""")," Solar M:  Solar Power:  Maintenance DG:  +  +  + MW Link: Link Name")</f>
        <v> Solar M:  Solar Power:  Maintenance DG:  +  +  + MW Link: Link Name</v>
      </c>
    </row>
    <row r="571">
      <c r="A571" s="98"/>
      <c r="B571" s="98"/>
      <c r="C571" s="98"/>
      <c r="D571" s="98"/>
      <c r="E571" s="98" t="str">
        <f>IFERROR(__xludf.DUMMYFUNCTION("""COMPUTED_VALUE""")," Solar M:  Solar Power:  Maintenance DG:  +  +  + MW Link: Link Name")</f>
        <v> Solar M:  Solar Power:  Maintenance DG:  +  +  + MW Link: Link Name</v>
      </c>
    </row>
    <row r="572">
      <c r="A572" s="98"/>
      <c r="B572" s="98"/>
      <c r="C572" s="98"/>
      <c r="D572" s="98"/>
      <c r="E572" s="98" t="str">
        <f>IFERROR(__xludf.DUMMYFUNCTION("""COMPUTED_VALUE""")," Solar M:  Solar Power:  Maintenance DG:  +  +  + MW Link: Link Name")</f>
        <v> Solar M:  Solar Power:  Maintenance DG:  +  +  + MW Link: Link Name</v>
      </c>
    </row>
    <row r="573">
      <c r="A573" s="98"/>
      <c r="B573" s="98"/>
      <c r="C573" s="98"/>
      <c r="D573" s="98"/>
      <c r="E573" s="98" t="str">
        <f>IFERROR(__xludf.DUMMYFUNCTION("""COMPUTED_VALUE""")," Solar M:  Solar Power:  Maintenance DG:  +  +  + MW Link: Link Name")</f>
        <v> Solar M:  Solar Power:  Maintenance DG:  +  +  + MW Link: Link Name</v>
      </c>
    </row>
    <row r="574">
      <c r="A574" s="98"/>
      <c r="B574" s="98"/>
      <c r="C574" s="98"/>
      <c r="D574" s="98"/>
      <c r="E574" s="98" t="str">
        <f>IFERROR(__xludf.DUMMYFUNCTION("""COMPUTED_VALUE""")," Solar M:  Solar Power:  Maintenance DG:  +  +  + MW Link: Link Name")</f>
        <v> Solar M:  Solar Power:  Maintenance DG:  +  +  + MW Link: Link Name</v>
      </c>
    </row>
    <row r="575">
      <c r="A575" s="98"/>
      <c r="B575" s="98"/>
      <c r="C575" s="98"/>
      <c r="D575" s="98"/>
      <c r="E575" s="98" t="str">
        <f>IFERROR(__xludf.DUMMYFUNCTION("""COMPUTED_VALUE""")," Solar M:  Solar Power:  Maintenance DG:  +  +  + MW Link: Link Name")</f>
        <v> Solar M:  Solar Power:  Maintenance DG:  +  +  + MW Link: Link Name</v>
      </c>
    </row>
    <row r="576">
      <c r="A576" s="98"/>
      <c r="B576" s="98"/>
      <c r="C576" s="98"/>
      <c r="D576" s="98"/>
      <c r="E576" s="98" t="str">
        <f>IFERROR(__xludf.DUMMYFUNCTION("""COMPUTED_VALUE""")," Solar M:  Solar Power:  Maintenance DG:  +  +  + MW Link: Link Name")</f>
        <v> Solar M:  Solar Power:  Maintenance DG:  +  +  + MW Link: Link Name</v>
      </c>
    </row>
    <row r="577">
      <c r="A577" s="98"/>
      <c r="B577" s="98"/>
      <c r="C577" s="98"/>
      <c r="D577" s="98"/>
      <c r="E577" s="98" t="str">
        <f>IFERROR(__xludf.DUMMYFUNCTION("""COMPUTED_VALUE""")," Solar M:  Solar Power:  Maintenance DG:  +  +  + MW Link: Link Name")</f>
        <v> Solar M:  Solar Power:  Maintenance DG:  +  +  + MW Link: Link Name</v>
      </c>
    </row>
    <row r="578">
      <c r="A578" s="98"/>
      <c r="B578" s="98"/>
      <c r="C578" s="98"/>
      <c r="D578" s="98"/>
      <c r="E578" s="98" t="str">
        <f>IFERROR(__xludf.DUMMYFUNCTION("""COMPUTED_VALUE""")," Solar M:  Solar Power:  Maintenance DG:  +  +  + MW Link: Link Name")</f>
        <v> Solar M:  Solar Power:  Maintenance DG:  +  +  + MW Link: Link Name</v>
      </c>
    </row>
    <row r="579">
      <c r="A579" s="98"/>
      <c r="B579" s="98"/>
      <c r="C579" s="98"/>
      <c r="D579" s="98"/>
      <c r="E579" s="98" t="str">
        <f>IFERROR(__xludf.DUMMYFUNCTION("""COMPUTED_VALUE""")," Solar M:  Solar Power:  Maintenance DG:  +  +  + MW Link: Link Name")</f>
        <v> Solar M:  Solar Power:  Maintenance DG:  +  +  + MW Link: Link Name</v>
      </c>
    </row>
    <row r="580">
      <c r="A580" s="98"/>
      <c r="B580" s="98"/>
      <c r="C580" s="98"/>
      <c r="D580" s="98"/>
      <c r="E580" s="98" t="str">
        <f>IFERROR(__xludf.DUMMYFUNCTION("""COMPUTED_VALUE""")," Solar M:  Solar Power:  Maintenance DG:  +  +  + MW Link: Link Name")</f>
        <v> Solar M:  Solar Power:  Maintenance DG:  +  +  + MW Link: Link Name</v>
      </c>
    </row>
    <row r="581">
      <c r="A581" s="98"/>
      <c r="B581" s="98"/>
      <c r="C581" s="98"/>
      <c r="D581" s="98"/>
      <c r="E581" s="98" t="str">
        <f>IFERROR(__xludf.DUMMYFUNCTION("""COMPUTED_VALUE""")," Solar M:  Solar Power:  Maintenance DG:  +  +  + MW Link: Link Name")</f>
        <v> Solar M:  Solar Power:  Maintenance DG:  +  +  + MW Link: Link Name</v>
      </c>
    </row>
    <row r="582">
      <c r="A582" s="98"/>
      <c r="B582" s="98"/>
      <c r="C582" s="98"/>
      <c r="D582" s="98"/>
      <c r="E582" s="98" t="str">
        <f>IFERROR(__xludf.DUMMYFUNCTION("""COMPUTED_VALUE""")," Solar M:  Solar Power:  Maintenance DG:  +  +  + MW Link: Link Name")</f>
        <v> Solar M:  Solar Power:  Maintenance DG:  +  +  + MW Link: Link Name</v>
      </c>
    </row>
    <row r="583">
      <c r="A583" s="98"/>
      <c r="B583" s="98"/>
      <c r="C583" s="98"/>
      <c r="D583" s="98"/>
      <c r="E583" s="98" t="str">
        <f>IFERROR(__xludf.DUMMYFUNCTION("""COMPUTED_VALUE""")," Solar M:  Solar Power:  Maintenance DG:  +  +  + MW Link: Link Name")</f>
        <v> Solar M:  Solar Power:  Maintenance DG:  +  +  + MW Link: Link Name</v>
      </c>
    </row>
    <row r="584">
      <c r="A584" s="98"/>
      <c r="B584" s="98"/>
      <c r="C584" s="98"/>
      <c r="D584" s="98"/>
      <c r="E584" s="98" t="str">
        <f>IFERROR(__xludf.DUMMYFUNCTION("""COMPUTED_VALUE""")," Solar M:  Solar Power:  Maintenance DG:  +  +  + MW Link: Link Name")</f>
        <v> Solar M:  Solar Power:  Maintenance DG:  +  +  + MW Link: Link Name</v>
      </c>
    </row>
    <row r="585">
      <c r="A585" s="98"/>
      <c r="B585" s="98"/>
      <c r="C585" s="98"/>
      <c r="D585" s="98"/>
      <c r="E585" s="98" t="str">
        <f>IFERROR(__xludf.DUMMYFUNCTION("""COMPUTED_VALUE""")," Solar M:  Solar Power:  Maintenance DG:  +  +  + MW Link: Link Name")</f>
        <v> Solar M:  Solar Power:  Maintenance DG:  +  +  + MW Link: Link Name</v>
      </c>
    </row>
    <row r="586">
      <c r="A586" s="98"/>
      <c r="B586" s="98"/>
      <c r="C586" s="98"/>
      <c r="D586" s="98"/>
      <c r="E586" s="98" t="str">
        <f>IFERROR(__xludf.DUMMYFUNCTION("""COMPUTED_VALUE""")," Solar M:  Solar Power:  Maintenance DG:  +  +  + MW Link: Link Name")</f>
        <v> Solar M:  Solar Power:  Maintenance DG:  +  +  + MW Link: Link Name</v>
      </c>
    </row>
    <row r="587">
      <c r="A587" s="98"/>
      <c r="B587" s="98"/>
      <c r="C587" s="98"/>
      <c r="D587" s="98"/>
      <c r="E587" s="98" t="str">
        <f>IFERROR(__xludf.DUMMYFUNCTION("""COMPUTED_VALUE""")," Solar M:  Solar Power:  Maintenance DG:  +  +  + MW Link: Link Name")</f>
        <v> Solar M:  Solar Power:  Maintenance DG:  +  +  + MW Link: Link Name</v>
      </c>
    </row>
    <row r="588">
      <c r="A588" s="98"/>
      <c r="B588" s="98"/>
      <c r="C588" s="98"/>
      <c r="D588" s="98"/>
      <c r="E588" s="98" t="str">
        <f>IFERROR(__xludf.DUMMYFUNCTION("""COMPUTED_VALUE""")," Solar M:  Solar Power:  Maintenance DG:  +  +  + MW Link: Link Name")</f>
        <v> Solar M:  Solar Power:  Maintenance DG:  +  +  + MW Link: Link Name</v>
      </c>
    </row>
    <row r="589">
      <c r="A589" s="98"/>
      <c r="B589" s="98"/>
      <c r="C589" s="98"/>
      <c r="D589" s="98"/>
      <c r="E589" s="98" t="str">
        <f>IFERROR(__xludf.DUMMYFUNCTION("""COMPUTED_VALUE""")," Solar M:  Solar Power:  Maintenance DG:  +  +  + MW Link: Link Name")</f>
        <v> Solar M:  Solar Power:  Maintenance DG:  +  +  + MW Link: Link Name</v>
      </c>
    </row>
    <row r="590">
      <c r="A590" s="98"/>
      <c r="B590" s="98"/>
      <c r="C590" s="98"/>
      <c r="D590" s="98"/>
      <c r="E590" s="98" t="str">
        <f>IFERROR(__xludf.DUMMYFUNCTION("""COMPUTED_VALUE""")," Solar M:  Solar Power:  Maintenance DG:  +  +  + MW Link: Link Name")</f>
        <v> Solar M:  Solar Power:  Maintenance DG:  +  +  + MW Link: Link Name</v>
      </c>
    </row>
    <row r="591">
      <c r="A591" s="98"/>
      <c r="B591" s="98"/>
      <c r="C591" s="98"/>
      <c r="D591" s="98"/>
      <c r="E591" s="98" t="str">
        <f>IFERROR(__xludf.DUMMYFUNCTION("""COMPUTED_VALUE""")," Solar M:  Solar Power:  Maintenance DG:  +  +  + MW Link: Link Name")</f>
        <v> Solar M:  Solar Power:  Maintenance DG:  +  +  + MW Link: Link Name</v>
      </c>
    </row>
    <row r="592">
      <c r="A592" s="98"/>
      <c r="B592" s="98"/>
      <c r="C592" s="98"/>
      <c r="D592" s="98"/>
      <c r="E592" s="98" t="str">
        <f>IFERROR(__xludf.DUMMYFUNCTION("""COMPUTED_VALUE""")," Solar M:  Solar Power:  Maintenance DG:  +  +  + MW Link: Link Name")</f>
        <v> Solar M:  Solar Power:  Maintenance DG:  +  +  + MW Link: Link Name</v>
      </c>
    </row>
    <row r="593">
      <c r="A593" s="98"/>
      <c r="B593" s="98"/>
      <c r="C593" s="98"/>
      <c r="D593" s="98"/>
      <c r="E593" s="98" t="str">
        <f>IFERROR(__xludf.DUMMYFUNCTION("""COMPUTED_VALUE""")," Solar M:  Solar Power:  Maintenance DG:  +  +  + MW Link: Link Name")</f>
        <v> Solar M:  Solar Power:  Maintenance DG:  +  +  + MW Link: Link Name</v>
      </c>
    </row>
    <row r="594">
      <c r="A594" s="98"/>
      <c r="B594" s="98"/>
      <c r="C594" s="98"/>
      <c r="D594" s="98"/>
      <c r="E594" s="98" t="str">
        <f>IFERROR(__xludf.DUMMYFUNCTION("""COMPUTED_VALUE""")," Solar M:  Solar Power:  Maintenance DG:  +  +  + MW Link: Link Name")</f>
        <v> Solar M:  Solar Power:  Maintenance DG:  +  +  + MW Link: Link Name</v>
      </c>
    </row>
    <row r="595">
      <c r="A595" s="98"/>
      <c r="B595" s="98"/>
      <c r="C595" s="98"/>
      <c r="D595" s="98"/>
      <c r="E595" s="98" t="str">
        <f>IFERROR(__xludf.DUMMYFUNCTION("""COMPUTED_VALUE""")," Solar M:  Solar Power:  Maintenance DG:  +  +  + MW Link: Link Name")</f>
        <v> Solar M:  Solar Power:  Maintenance DG:  +  +  + MW Link: Link Name</v>
      </c>
    </row>
    <row r="596">
      <c r="A596" s="98"/>
      <c r="B596" s="98"/>
      <c r="C596" s="98"/>
      <c r="D596" s="98"/>
      <c r="E596" s="98" t="str">
        <f>IFERROR(__xludf.DUMMYFUNCTION("""COMPUTED_VALUE""")," Solar M:  Solar Power:  Maintenance DG:  +  +  + MW Link: Link Name")</f>
        <v> Solar M:  Solar Power:  Maintenance DG:  +  +  + MW Link: Link Name</v>
      </c>
    </row>
    <row r="597">
      <c r="A597" s="98"/>
      <c r="B597" s="98"/>
      <c r="C597" s="98"/>
      <c r="D597" s="98"/>
      <c r="E597" s="98" t="str">
        <f>IFERROR(__xludf.DUMMYFUNCTION("""COMPUTED_VALUE""")," Solar M:  Solar Power:  Maintenance DG:  +  +  + MW Link: Link Name")</f>
        <v> Solar M:  Solar Power:  Maintenance DG:  +  +  + MW Link: Link Name</v>
      </c>
    </row>
    <row r="598">
      <c r="A598" s="98"/>
      <c r="B598" s="98"/>
      <c r="C598" s="98"/>
      <c r="D598" s="98"/>
      <c r="E598" s="98" t="str">
        <f>IFERROR(__xludf.DUMMYFUNCTION("""COMPUTED_VALUE""")," Solar M:  Solar Power:  Maintenance DG:  +  +  + MW Link: Link Name")</f>
        <v> Solar M:  Solar Power:  Maintenance DG:  +  +  + MW Link: Link Name</v>
      </c>
    </row>
    <row r="599">
      <c r="A599" s="98"/>
      <c r="B599" s="98"/>
      <c r="C599" s="98"/>
      <c r="D599" s="98"/>
      <c r="E599" s="98" t="str">
        <f>IFERROR(__xludf.DUMMYFUNCTION("""COMPUTED_VALUE""")," Solar M:  Solar Power:  Maintenance DG:  +  +  + MW Link: Link Name")</f>
        <v> Solar M:  Solar Power:  Maintenance DG:  +  +  + MW Link: Link Name</v>
      </c>
    </row>
    <row r="600">
      <c r="A600" s="98"/>
      <c r="B600" s="98"/>
      <c r="C600" s="98"/>
      <c r="D600" s="98"/>
      <c r="E600" s="98" t="str">
        <f>IFERROR(__xludf.DUMMYFUNCTION("""COMPUTED_VALUE""")," Solar M:  Solar Power:  Maintenance DG:  +  +  + MW Link: Link Name")</f>
        <v> Solar M:  Solar Power:  Maintenance DG:  +  +  + MW Link: Link Name</v>
      </c>
    </row>
    <row r="601">
      <c r="A601" s="98"/>
      <c r="B601" s="98"/>
      <c r="C601" s="98"/>
      <c r="D601" s="98"/>
      <c r="E601" s="98" t="str">
        <f>IFERROR(__xludf.DUMMYFUNCTION("""COMPUTED_VALUE""")," Solar M:  Solar Power:  Maintenance DG:  +  +  + MW Link: Link Name")</f>
        <v> Solar M:  Solar Power:  Maintenance DG:  +  +  + MW Link: Link Name</v>
      </c>
    </row>
    <row r="602">
      <c r="A602" s="98"/>
      <c r="B602" s="98"/>
      <c r="C602" s="98"/>
      <c r="D602" s="98"/>
      <c r="E602" s="98" t="str">
        <f>IFERROR(__xludf.DUMMYFUNCTION("""COMPUTED_VALUE""")," Solar M:  Solar Power:  Maintenance DG:  +  +  + MW Link: Link Name")</f>
        <v> Solar M:  Solar Power:  Maintenance DG:  +  +  + MW Link: Link Name</v>
      </c>
    </row>
    <row r="603">
      <c r="A603" s="98"/>
      <c r="B603" s="98"/>
      <c r="C603" s="98"/>
      <c r="D603" s="98"/>
      <c r="E603" s="98" t="str">
        <f>IFERROR(__xludf.DUMMYFUNCTION("""COMPUTED_VALUE""")," Solar M:  Solar Power:  Maintenance DG:  +  +  + MW Link: Link Name")</f>
        <v> Solar M:  Solar Power:  Maintenance DG:  +  +  + MW Link: Link Name</v>
      </c>
    </row>
    <row r="604">
      <c r="A604" s="98"/>
      <c r="B604" s="98"/>
      <c r="C604" s="98"/>
      <c r="D604" s="98"/>
      <c r="E604" s="98" t="str">
        <f>IFERROR(__xludf.DUMMYFUNCTION("""COMPUTED_VALUE""")," Solar M:  Solar Power:  Maintenance DG:  +  +  + MW Link: Link Name")</f>
        <v> Solar M:  Solar Power:  Maintenance DG:  +  +  + MW Link: Link Name</v>
      </c>
    </row>
    <row r="605">
      <c r="A605" s="98"/>
      <c r="B605" s="98"/>
      <c r="C605" s="98"/>
      <c r="D605" s="98"/>
      <c r="E605" s="98" t="str">
        <f>IFERROR(__xludf.DUMMYFUNCTION("""COMPUTED_VALUE""")," Solar M:  Solar Power:  Maintenance DG:  +  +  + MW Link: Link Name")</f>
        <v> Solar M:  Solar Power:  Maintenance DG:  +  +  + MW Link: Link Name</v>
      </c>
    </row>
    <row r="606">
      <c r="A606" s="98"/>
      <c r="B606" s="98"/>
      <c r="C606" s="98"/>
      <c r="D606" s="98"/>
      <c r="E606" s="98" t="str">
        <f>IFERROR(__xludf.DUMMYFUNCTION("""COMPUTED_VALUE""")," Solar M:  Solar Power:  Maintenance DG:  +  +  + MW Link: Link Name")</f>
        <v> Solar M:  Solar Power:  Maintenance DG:  +  +  + MW Link: Link Name</v>
      </c>
    </row>
    <row r="607">
      <c r="A607" s="98"/>
      <c r="B607" s="98"/>
      <c r="C607" s="98"/>
      <c r="D607" s="98"/>
      <c r="E607" s="98" t="str">
        <f>IFERROR(__xludf.DUMMYFUNCTION("""COMPUTED_VALUE""")," Solar M:  Solar Power:  Maintenance DG:  +  +  + MW Link: Link Name")</f>
        <v> Solar M:  Solar Power:  Maintenance DG:  +  +  + MW Link: Link Name</v>
      </c>
    </row>
    <row r="608">
      <c r="A608" s="98"/>
      <c r="B608" s="98"/>
      <c r="C608" s="98"/>
      <c r="D608" s="98"/>
      <c r="E608" s="98" t="str">
        <f>IFERROR(__xludf.DUMMYFUNCTION("""COMPUTED_VALUE""")," Solar M:  Solar Power:  Maintenance DG:  +  +  + MW Link: Link Name")</f>
        <v> Solar M:  Solar Power:  Maintenance DG:  +  +  + MW Link: Link Name</v>
      </c>
    </row>
    <row r="609">
      <c r="A609" s="98"/>
      <c r="B609" s="98"/>
      <c r="C609" s="98"/>
      <c r="D609" s="98"/>
      <c r="E609" s="98" t="str">
        <f>IFERROR(__xludf.DUMMYFUNCTION("""COMPUTED_VALUE""")," Solar M:  Solar Power:  Maintenance DG:  +  +  + MW Link: Link Name")</f>
        <v> Solar M:  Solar Power:  Maintenance DG:  +  +  + MW Link: Link Name</v>
      </c>
    </row>
    <row r="610">
      <c r="A610" s="98"/>
      <c r="B610" s="98"/>
      <c r="C610" s="98"/>
      <c r="D610" s="98"/>
      <c r="E610" s="98" t="str">
        <f>IFERROR(__xludf.DUMMYFUNCTION("""COMPUTED_VALUE""")," Solar M:  Solar Power:  Maintenance DG:  +  +  + MW Link: Link Name")</f>
        <v> Solar M:  Solar Power:  Maintenance DG:  +  +  + MW Link: Link Name</v>
      </c>
    </row>
    <row r="611">
      <c r="A611" s="98"/>
      <c r="B611" s="98"/>
      <c r="C611" s="98"/>
      <c r="D611" s="98"/>
      <c r="E611" s="98" t="str">
        <f>IFERROR(__xludf.DUMMYFUNCTION("""COMPUTED_VALUE""")," Solar M:  Solar Power:  Maintenance DG:  +  +  + MW Link: Link Name")</f>
        <v> Solar M:  Solar Power:  Maintenance DG:  +  +  + MW Link: Link Name</v>
      </c>
    </row>
    <row r="612">
      <c r="A612" s="98"/>
      <c r="B612" s="98"/>
      <c r="C612" s="98"/>
      <c r="D612" s="98"/>
      <c r="E612" s="98" t="str">
        <f>IFERROR(__xludf.DUMMYFUNCTION("""COMPUTED_VALUE""")," Solar M:  Solar Power:  Maintenance DG:  +  +  + MW Link: Link Name")</f>
        <v> Solar M:  Solar Power:  Maintenance DG:  +  +  + MW Link: Link Name</v>
      </c>
    </row>
    <row r="613">
      <c r="A613" s="98"/>
      <c r="B613" s="98"/>
      <c r="C613" s="98"/>
      <c r="D613" s="98"/>
      <c r="E613" s="98" t="str">
        <f>IFERROR(__xludf.DUMMYFUNCTION("""COMPUTED_VALUE""")," Solar M:  Solar Power:  Maintenance DG:  +  +  + MW Link: Link Name")</f>
        <v> Solar M:  Solar Power:  Maintenance DG:  +  +  + MW Link: Link Name</v>
      </c>
    </row>
    <row r="614">
      <c r="A614" s="98"/>
      <c r="B614" s="98"/>
      <c r="C614" s="98"/>
      <c r="D614" s="98"/>
      <c r="E614" s="98" t="str">
        <f>IFERROR(__xludf.DUMMYFUNCTION("""COMPUTED_VALUE""")," Solar M:  Solar Power:  Maintenance DG:  +  +  + MW Link: Link Name")</f>
        <v> Solar M:  Solar Power:  Maintenance DG:  +  +  + MW Link: Link Name</v>
      </c>
    </row>
    <row r="615">
      <c r="A615" s="98"/>
      <c r="B615" s="98"/>
      <c r="C615" s="98"/>
      <c r="D615" s="98"/>
      <c r="E615" s="98" t="str">
        <f>IFERROR(__xludf.DUMMYFUNCTION("""COMPUTED_VALUE""")," Solar M:  Solar Power:  Maintenance DG:  +  +  + MW Link: Link Name")</f>
        <v> Solar M:  Solar Power:  Maintenance DG:  +  +  + MW Link: Link Name</v>
      </c>
    </row>
    <row r="616">
      <c r="A616" s="98"/>
      <c r="B616" s="98"/>
      <c r="C616" s="98"/>
      <c r="D616" s="98"/>
      <c r="E616" s="98" t="str">
        <f>IFERROR(__xludf.DUMMYFUNCTION("""COMPUTED_VALUE""")," Solar M:  Solar Power:  Maintenance DG:  +  +  + MW Link: Link Name")</f>
        <v> Solar M:  Solar Power:  Maintenance DG:  +  +  + MW Link: Link Name</v>
      </c>
    </row>
    <row r="617">
      <c r="A617" s="98"/>
      <c r="B617" s="98"/>
      <c r="C617" s="98"/>
      <c r="D617" s="98"/>
      <c r="E617" s="98" t="str">
        <f>IFERROR(__xludf.DUMMYFUNCTION("""COMPUTED_VALUE""")," Solar M:  Solar Power:  Maintenance DG:  +  +  + MW Link: Link Name")</f>
        <v> Solar M:  Solar Power:  Maintenance DG:  +  +  + MW Link: Link Name</v>
      </c>
    </row>
    <row r="618">
      <c r="A618" s="98"/>
      <c r="B618" s="98"/>
      <c r="C618" s="98"/>
      <c r="D618" s="98"/>
      <c r="E618" s="98" t="str">
        <f>IFERROR(__xludf.DUMMYFUNCTION("""COMPUTED_VALUE""")," Solar M:  Solar Power:  Maintenance DG:  +  +  + MW Link: Link Name")</f>
        <v> Solar M:  Solar Power:  Maintenance DG:  +  +  + MW Link: Link Name</v>
      </c>
    </row>
    <row r="619">
      <c r="A619" s="98"/>
      <c r="B619" s="98"/>
      <c r="C619" s="98"/>
      <c r="D619" s="98"/>
      <c r="E619" s="98" t="str">
        <f>IFERROR(__xludf.DUMMYFUNCTION("""COMPUTED_VALUE""")," Solar M:  Solar Power:  Maintenance DG:  +  +  + MW Link: Link Name")</f>
        <v> Solar M:  Solar Power:  Maintenance DG:  +  +  + MW Link: Link Name</v>
      </c>
    </row>
    <row r="620">
      <c r="A620" s="98"/>
      <c r="B620" s="98"/>
      <c r="C620" s="98"/>
      <c r="D620" s="98"/>
      <c r="E620" s="98" t="str">
        <f>IFERROR(__xludf.DUMMYFUNCTION("""COMPUTED_VALUE""")," Solar M:  Solar Power:  Maintenance DG:  +  +  + MW Link: Link Name")</f>
        <v> Solar M:  Solar Power:  Maintenance DG:  +  +  + MW Link: Link Name</v>
      </c>
    </row>
    <row r="621">
      <c r="A621" s="98"/>
      <c r="B621" s="98"/>
      <c r="C621" s="98"/>
      <c r="D621" s="98"/>
      <c r="E621" s="98" t="str">
        <f>IFERROR(__xludf.DUMMYFUNCTION("""COMPUTED_VALUE""")," Solar M:  Solar Power:  Maintenance DG:  +  +  + MW Link: Link Name")</f>
        <v> Solar M:  Solar Power:  Maintenance DG:  +  +  + MW Link: Link Name</v>
      </c>
    </row>
    <row r="622">
      <c r="A622" s="98"/>
      <c r="B622" s="98"/>
      <c r="C622" s="98"/>
      <c r="D622" s="98"/>
      <c r="E622" s="98" t="str">
        <f>IFERROR(__xludf.DUMMYFUNCTION("""COMPUTED_VALUE""")," Solar M:  Solar Power:  Maintenance DG:  +  +  + MW Link: Link Name")</f>
        <v> Solar M:  Solar Power:  Maintenance DG:  +  +  + MW Link: Link Name</v>
      </c>
    </row>
    <row r="623">
      <c r="A623" s="98"/>
      <c r="B623" s="98"/>
      <c r="C623" s="98"/>
      <c r="D623" s="98"/>
      <c r="E623" s="98" t="str">
        <f>IFERROR(__xludf.DUMMYFUNCTION("""COMPUTED_VALUE""")," Solar M:  Solar Power:  Maintenance DG:  +  +  + MW Link: Link Name")</f>
        <v> Solar M:  Solar Power:  Maintenance DG:  +  +  + MW Link: Link Name</v>
      </c>
    </row>
    <row r="624">
      <c r="A624" s="98"/>
      <c r="B624" s="98"/>
      <c r="C624" s="98"/>
      <c r="D624" s="98"/>
      <c r="E624" s="98" t="str">
        <f>IFERROR(__xludf.DUMMYFUNCTION("""COMPUTED_VALUE""")," Solar M:  Solar Power:  Maintenance DG:  +  +  + MW Link: Link Name")</f>
        <v> Solar M:  Solar Power:  Maintenance DG:  +  +  + MW Link: Link Name</v>
      </c>
    </row>
    <row r="625">
      <c r="A625" s="98"/>
      <c r="B625" s="98"/>
      <c r="C625" s="98"/>
      <c r="D625" s="98"/>
      <c r="E625" s="98" t="str">
        <f>IFERROR(__xludf.DUMMYFUNCTION("""COMPUTED_VALUE""")," Solar M:  Solar Power:  Maintenance DG:  +  +  + MW Link: Link Name")</f>
        <v> Solar M:  Solar Power:  Maintenance DG:  +  +  + MW Link: Link Name</v>
      </c>
    </row>
    <row r="626">
      <c r="A626" s="98"/>
      <c r="B626" s="98"/>
      <c r="C626" s="98"/>
      <c r="D626" s="98"/>
      <c r="E626" s="98" t="str">
        <f>IFERROR(__xludf.DUMMYFUNCTION("""COMPUTED_VALUE""")," Solar M:  Solar Power:  Maintenance DG:  +  +  + MW Link: Link Name")</f>
        <v> Solar M:  Solar Power:  Maintenance DG:  +  +  + MW Link: Link Name</v>
      </c>
    </row>
    <row r="627">
      <c r="A627" s="98"/>
      <c r="B627" s="98"/>
      <c r="C627" s="98"/>
      <c r="D627" s="98"/>
      <c r="E627" s="98" t="str">
        <f>IFERROR(__xludf.DUMMYFUNCTION("""COMPUTED_VALUE""")," Solar M:  Solar Power:  Maintenance DG:  +  +  + MW Link: Link Name")</f>
        <v> Solar M:  Solar Power:  Maintenance DG:  +  +  + MW Link: Link Name</v>
      </c>
    </row>
    <row r="628">
      <c r="A628" s="98"/>
      <c r="B628" s="98"/>
      <c r="C628" s="98"/>
      <c r="D628" s="98"/>
      <c r="E628" s="98" t="str">
        <f>IFERROR(__xludf.DUMMYFUNCTION("""COMPUTED_VALUE""")," Solar M:  Solar Power:  Maintenance DG:  +  +  + MW Link: Link Name")</f>
        <v> Solar M:  Solar Power:  Maintenance DG:  +  +  + MW Link: Link Name</v>
      </c>
    </row>
    <row r="629">
      <c r="A629" s="98"/>
      <c r="B629" s="98"/>
      <c r="C629" s="98"/>
      <c r="D629" s="98"/>
      <c r="E629" s="98" t="str">
        <f>IFERROR(__xludf.DUMMYFUNCTION("""COMPUTED_VALUE""")," Solar M:  Solar Power:  Maintenance DG:  +  +  + MW Link: Link Name")</f>
        <v> Solar M:  Solar Power:  Maintenance DG:  +  +  + MW Link: Link Name</v>
      </c>
    </row>
    <row r="630">
      <c r="A630" s="98"/>
      <c r="B630" s="98"/>
      <c r="C630" s="98"/>
      <c r="D630" s="98"/>
      <c r="E630" s="98" t="str">
        <f>IFERROR(__xludf.DUMMYFUNCTION("""COMPUTED_VALUE""")," Solar M:  Solar Power:  Maintenance DG:  +  +  + MW Link: Link Name")</f>
        <v> Solar M:  Solar Power:  Maintenance DG:  +  +  + MW Link: Link Name</v>
      </c>
    </row>
    <row r="631">
      <c r="A631" s="98"/>
      <c r="B631" s="98"/>
      <c r="C631" s="98"/>
      <c r="D631" s="98"/>
      <c r="E631" s="98" t="str">
        <f>IFERROR(__xludf.DUMMYFUNCTION("""COMPUTED_VALUE""")," Solar M:  Solar Power:  Maintenance DG:  +  +  + MW Link: Link Name")</f>
        <v> Solar M:  Solar Power:  Maintenance DG:  +  +  + MW Link: Link Name</v>
      </c>
    </row>
    <row r="632">
      <c r="A632" s="98"/>
      <c r="B632" s="98"/>
      <c r="C632" s="98"/>
      <c r="D632" s="98"/>
      <c r="E632" s="98" t="str">
        <f>IFERROR(__xludf.DUMMYFUNCTION("""COMPUTED_VALUE""")," Solar M:  Solar Power:  Maintenance DG:  +  +  + MW Link: Link Name")</f>
        <v> Solar M:  Solar Power:  Maintenance DG:  +  +  + MW Link: Link Name</v>
      </c>
    </row>
    <row r="633">
      <c r="A633" s="98"/>
      <c r="B633" s="98"/>
      <c r="C633" s="98"/>
      <c r="D633" s="98"/>
      <c r="E633" s="98" t="str">
        <f>IFERROR(__xludf.DUMMYFUNCTION("""COMPUTED_VALUE""")," Solar M:  Solar Power:  Maintenance DG:  +  +  + MW Link: Link Name")</f>
        <v> Solar M:  Solar Power:  Maintenance DG:  +  +  + MW Link: Link Name</v>
      </c>
    </row>
    <row r="634">
      <c r="A634" s="98"/>
      <c r="B634" s="98"/>
      <c r="C634" s="98"/>
      <c r="D634" s="98"/>
      <c r="E634" s="98" t="str">
        <f>IFERROR(__xludf.DUMMYFUNCTION("""COMPUTED_VALUE""")," Solar M:  Solar Power:  Maintenance DG:  +  +  + MW Link: Link Name")</f>
        <v> Solar M:  Solar Power:  Maintenance DG:  +  +  + MW Link: Link Name</v>
      </c>
    </row>
    <row r="635">
      <c r="A635" s="98"/>
      <c r="B635" s="98"/>
      <c r="C635" s="98"/>
      <c r="D635" s="98"/>
      <c r="E635" s="98" t="str">
        <f>IFERROR(__xludf.DUMMYFUNCTION("""COMPUTED_VALUE""")," Solar M:  Solar Power:  Maintenance DG:  +  +  + MW Link: Link Name")</f>
        <v> Solar M:  Solar Power:  Maintenance DG:  +  +  + MW Link: Link Name</v>
      </c>
    </row>
    <row r="636">
      <c r="A636" s="98"/>
      <c r="B636" s="98"/>
      <c r="C636" s="98"/>
      <c r="D636" s="98"/>
      <c r="E636" s="98" t="str">
        <f>IFERROR(__xludf.DUMMYFUNCTION("""COMPUTED_VALUE""")," Solar M:  Solar Power:  Maintenance DG:  +  +  + MW Link: Link Name")</f>
        <v> Solar M:  Solar Power:  Maintenance DG:  +  +  + MW Link: Link Name</v>
      </c>
    </row>
    <row r="637">
      <c r="A637" s="98"/>
      <c r="B637" s="98"/>
      <c r="C637" s="98"/>
      <c r="D637" s="98"/>
      <c r="E637" s="98" t="str">
        <f>IFERROR(__xludf.DUMMYFUNCTION("""COMPUTED_VALUE""")," Solar M:  Solar Power:  Maintenance DG:  +  +  + MW Link: Link Name")</f>
        <v> Solar M:  Solar Power:  Maintenance DG:  +  +  + MW Link: Link Name</v>
      </c>
    </row>
    <row r="638">
      <c r="A638" s="98"/>
      <c r="B638" s="98"/>
      <c r="C638" s="98"/>
      <c r="D638" s="98"/>
      <c r="E638" s="98" t="str">
        <f>IFERROR(__xludf.DUMMYFUNCTION("""COMPUTED_VALUE""")," Solar M:  Solar Power:  Maintenance DG:  +  +  + MW Link: Link Name")</f>
        <v> Solar M:  Solar Power:  Maintenance DG:  +  +  + MW Link: Link Name</v>
      </c>
    </row>
    <row r="639">
      <c r="A639" s="98"/>
      <c r="B639" s="98"/>
      <c r="C639" s="98"/>
      <c r="D639" s="98"/>
      <c r="E639" s="98" t="str">
        <f>IFERROR(__xludf.DUMMYFUNCTION("""COMPUTED_VALUE""")," Solar M:  Solar Power:  Maintenance DG:  +  +  + MW Link: Link Name")</f>
        <v> Solar M:  Solar Power:  Maintenance DG:  +  +  + MW Link: Link Name</v>
      </c>
    </row>
    <row r="640">
      <c r="A640" s="98"/>
      <c r="B640" s="98"/>
      <c r="C640" s="98"/>
      <c r="D640" s="98"/>
      <c r="E640" s="98" t="str">
        <f>IFERROR(__xludf.DUMMYFUNCTION("""COMPUTED_VALUE""")," Solar M:  Solar Power:  Maintenance DG:  +  +  + MW Link: Link Name")</f>
        <v> Solar M:  Solar Power:  Maintenance DG:  +  +  + MW Link: Link Name</v>
      </c>
    </row>
    <row r="641">
      <c r="A641" s="98"/>
      <c r="B641" s="98"/>
      <c r="C641" s="98"/>
      <c r="D641" s="98"/>
      <c r="E641" s="98" t="str">
        <f>IFERROR(__xludf.DUMMYFUNCTION("""COMPUTED_VALUE""")," Solar M:  Solar Power:  Maintenance DG:  +  +  + MW Link: Link Name")</f>
        <v> Solar M:  Solar Power:  Maintenance DG:  +  +  + MW Link: Link Name</v>
      </c>
    </row>
    <row r="642">
      <c r="A642" s="98"/>
      <c r="B642" s="98"/>
      <c r="C642" s="98"/>
      <c r="D642" s="98"/>
      <c r="E642" s="98" t="str">
        <f>IFERROR(__xludf.DUMMYFUNCTION("""COMPUTED_VALUE""")," Solar M:  Solar Power:  Maintenance DG:  +  +  + MW Link: Link Name")</f>
        <v> Solar M:  Solar Power:  Maintenance DG:  +  +  + MW Link: Link Name</v>
      </c>
    </row>
    <row r="643">
      <c r="A643" s="98"/>
      <c r="B643" s="98"/>
      <c r="C643" s="98"/>
      <c r="D643" s="98"/>
      <c r="E643" s="98" t="str">
        <f>IFERROR(__xludf.DUMMYFUNCTION("""COMPUTED_VALUE""")," Solar M:  Solar Power:  Maintenance DG:  +  +  + MW Link: Link Name")</f>
        <v> Solar M:  Solar Power:  Maintenance DG:  +  +  + MW Link: Link Name</v>
      </c>
    </row>
    <row r="644">
      <c r="A644" s="98"/>
      <c r="B644" s="98"/>
      <c r="C644" s="98"/>
      <c r="D644" s="98"/>
      <c r="E644" s="98" t="str">
        <f>IFERROR(__xludf.DUMMYFUNCTION("""COMPUTED_VALUE""")," Solar M:  Solar Power:  Maintenance DG:  +  +  + MW Link: Link Name")</f>
        <v> Solar M:  Solar Power:  Maintenance DG:  +  +  + MW Link: Link Name</v>
      </c>
    </row>
    <row r="645">
      <c r="A645" s="98"/>
      <c r="B645" s="98"/>
      <c r="C645" s="98"/>
      <c r="D645" s="98"/>
      <c r="E645" s="98" t="str">
        <f>IFERROR(__xludf.DUMMYFUNCTION("""COMPUTED_VALUE""")," Solar M:  Solar Power:  Maintenance DG:  +  +  + MW Link: Link Name")</f>
        <v> Solar M:  Solar Power:  Maintenance DG:  +  +  + MW Link: Link Name</v>
      </c>
    </row>
    <row r="646">
      <c r="A646" s="98"/>
      <c r="B646" s="98"/>
      <c r="C646" s="98"/>
      <c r="D646" s="98"/>
      <c r="E646" s="98" t="str">
        <f>IFERROR(__xludf.DUMMYFUNCTION("""COMPUTED_VALUE""")," Solar M:  Solar Power:  Maintenance DG:  +  +  + MW Link: Link Name")</f>
        <v> Solar M:  Solar Power:  Maintenance DG:  +  +  + MW Link: Link Name</v>
      </c>
    </row>
    <row r="647">
      <c r="A647" s="98"/>
      <c r="B647" s="98"/>
      <c r="C647" s="98"/>
      <c r="D647" s="98"/>
      <c r="E647" s="98" t="str">
        <f>IFERROR(__xludf.DUMMYFUNCTION("""COMPUTED_VALUE""")," Solar M:  Solar Power:  Maintenance DG:  +  +  + MW Link: Link Name")</f>
        <v> Solar M:  Solar Power:  Maintenance DG:  +  +  + MW Link: Link Name</v>
      </c>
    </row>
    <row r="648">
      <c r="A648" s="98"/>
      <c r="B648" s="98"/>
      <c r="C648" s="98"/>
      <c r="D648" s="98"/>
      <c r="E648" s="98" t="str">
        <f>IFERROR(__xludf.DUMMYFUNCTION("""COMPUTED_VALUE""")," Solar M:  Solar Power:  Maintenance DG:  +  +  + MW Link: Link Name")</f>
        <v> Solar M:  Solar Power:  Maintenance DG:  +  +  + MW Link: Link Name</v>
      </c>
    </row>
    <row r="649">
      <c r="A649" s="98"/>
      <c r="B649" s="98"/>
      <c r="C649" s="98"/>
      <c r="D649" s="98"/>
      <c r="E649" s="98" t="str">
        <f>IFERROR(__xludf.DUMMYFUNCTION("""COMPUTED_VALUE""")," Solar M:  Solar Power:  Maintenance DG:  +  +  + MW Link: Link Name")</f>
        <v> Solar M:  Solar Power:  Maintenance DG:  +  +  + MW Link: Link Name</v>
      </c>
    </row>
    <row r="650">
      <c r="A650" s="98"/>
      <c r="B650" s="98"/>
      <c r="C650" s="98"/>
      <c r="D650" s="98"/>
      <c r="E650" s="98" t="str">
        <f>IFERROR(__xludf.DUMMYFUNCTION("""COMPUTED_VALUE""")," Solar M:  Solar Power:  Maintenance DG:  +  +  + MW Link: Link Name")</f>
        <v> Solar M:  Solar Power:  Maintenance DG:  +  +  + MW Link: Link Name</v>
      </c>
    </row>
    <row r="651">
      <c r="A651" s="98"/>
      <c r="B651" s="98"/>
      <c r="C651" s="98"/>
      <c r="D651" s="98"/>
      <c r="E651" s="98" t="str">
        <f>IFERROR(__xludf.DUMMYFUNCTION("""COMPUTED_VALUE""")," Solar M:  Solar Power:  Maintenance DG:  +  +  + MW Link: Link Name")</f>
        <v> Solar M:  Solar Power:  Maintenance DG:  +  +  + MW Link: Link Name</v>
      </c>
    </row>
    <row r="652">
      <c r="A652" s="98"/>
      <c r="B652" s="98"/>
      <c r="C652" s="98"/>
      <c r="D652" s="98"/>
      <c r="E652" s="98" t="str">
        <f>IFERROR(__xludf.DUMMYFUNCTION("""COMPUTED_VALUE""")," Solar M:  Solar Power:  Maintenance DG:  +  +  + MW Link: Link Name")</f>
        <v> Solar M:  Solar Power:  Maintenance DG:  +  +  + MW Link: Link Name</v>
      </c>
    </row>
    <row r="653">
      <c r="A653" s="98"/>
      <c r="B653" s="98"/>
      <c r="C653" s="98"/>
      <c r="D653" s="98"/>
      <c r="E653" s="98" t="str">
        <f>IFERROR(__xludf.DUMMYFUNCTION("""COMPUTED_VALUE""")," Solar M:  Solar Power:  Maintenance DG:  +  +  + MW Link: Link Name")</f>
        <v> Solar M:  Solar Power:  Maintenance DG:  +  +  + MW Link: Link Name</v>
      </c>
    </row>
    <row r="654">
      <c r="A654" s="98"/>
      <c r="B654" s="98"/>
      <c r="C654" s="98"/>
      <c r="D654" s="98"/>
      <c r="E654" s="98" t="str">
        <f>IFERROR(__xludf.DUMMYFUNCTION("""COMPUTED_VALUE""")," Solar M:  Solar Power:  Maintenance DG:  +  +  + MW Link: Link Name")</f>
        <v> Solar M:  Solar Power:  Maintenance DG:  +  +  + MW Link: Link Name</v>
      </c>
    </row>
    <row r="655">
      <c r="A655" s="98"/>
      <c r="B655" s="98"/>
      <c r="C655" s="98"/>
      <c r="D655" s="98"/>
      <c r="E655" s="98" t="str">
        <f>IFERROR(__xludf.DUMMYFUNCTION("""COMPUTED_VALUE""")," Solar M:  Solar Power:  Maintenance DG:  +  +  + MW Link: Link Name")</f>
        <v> Solar M:  Solar Power:  Maintenance DG:  +  +  + MW Link: Link Name</v>
      </c>
    </row>
    <row r="656">
      <c r="A656" s="98"/>
      <c r="B656" s="98"/>
      <c r="C656" s="98"/>
      <c r="D656" s="98"/>
      <c r="E656" s="98" t="str">
        <f>IFERROR(__xludf.DUMMYFUNCTION("""COMPUTED_VALUE""")," Solar M:  Solar Power:  Maintenance DG:  +  +  + MW Link: Link Name")</f>
        <v> Solar M:  Solar Power:  Maintenance DG:  +  +  + MW Link: Link Name</v>
      </c>
    </row>
    <row r="657">
      <c r="A657" s="98"/>
      <c r="B657" s="98"/>
      <c r="C657" s="98"/>
      <c r="D657" s="98"/>
      <c r="E657" s="98" t="str">
        <f>IFERROR(__xludf.DUMMYFUNCTION("""COMPUTED_VALUE""")," Solar M:  Solar Power:  Maintenance DG:  +  +  + MW Link: Link Name")</f>
        <v> Solar M:  Solar Power:  Maintenance DG:  +  +  + MW Link: Link Name</v>
      </c>
    </row>
    <row r="658">
      <c r="A658" s="98"/>
      <c r="B658" s="98"/>
      <c r="C658" s="98"/>
      <c r="D658" s="98"/>
      <c r="E658" s="98" t="str">
        <f>IFERROR(__xludf.DUMMYFUNCTION("""COMPUTED_VALUE""")," Solar M:  Solar Power:  Maintenance DG:  +  +  + MW Link: Link Name")</f>
        <v> Solar M:  Solar Power:  Maintenance DG:  +  +  + MW Link: Link Name</v>
      </c>
    </row>
    <row r="659">
      <c r="A659" s="98"/>
      <c r="B659" s="98"/>
      <c r="C659" s="98"/>
      <c r="D659" s="98"/>
      <c r="E659" s="98" t="str">
        <f>IFERROR(__xludf.DUMMYFUNCTION("""COMPUTED_VALUE""")," Solar M:  Solar Power:  Maintenance DG:  +  +  + MW Link: Link Name")</f>
        <v> Solar M:  Solar Power:  Maintenance DG:  +  +  + MW Link: Link Name</v>
      </c>
    </row>
    <row r="660">
      <c r="A660" s="98"/>
      <c r="B660" s="98"/>
      <c r="C660" s="98"/>
      <c r="D660" s="98"/>
      <c r="E660" s="98" t="str">
        <f>IFERROR(__xludf.DUMMYFUNCTION("""COMPUTED_VALUE""")," Solar M:  Solar Power:  Maintenance DG:  +  +  + MW Link: Link Name")</f>
        <v> Solar M:  Solar Power:  Maintenance DG:  +  +  + MW Link: Link Name</v>
      </c>
    </row>
    <row r="661">
      <c r="A661" s="98"/>
      <c r="B661" s="98"/>
      <c r="C661" s="98"/>
      <c r="D661" s="98"/>
      <c r="E661" s="98" t="str">
        <f>IFERROR(__xludf.DUMMYFUNCTION("""COMPUTED_VALUE""")," Solar M:  Solar Power:  Maintenance DG:  +  +  + MW Link: Link Name")</f>
        <v> Solar M:  Solar Power:  Maintenance DG:  +  +  + MW Link: Link Name</v>
      </c>
    </row>
    <row r="662">
      <c r="A662" s="98"/>
      <c r="B662" s="98"/>
      <c r="C662" s="98"/>
      <c r="D662" s="98"/>
      <c r="E662" s="98" t="str">
        <f>IFERROR(__xludf.DUMMYFUNCTION("""COMPUTED_VALUE""")," Solar M:  Solar Power:  Maintenance DG:  +  +  + MW Link: Link Name")</f>
        <v> Solar M:  Solar Power:  Maintenance DG:  +  +  + MW Link: Link Name</v>
      </c>
    </row>
    <row r="663">
      <c r="A663" s="98"/>
      <c r="B663" s="98"/>
      <c r="C663" s="98"/>
      <c r="D663" s="98"/>
      <c r="E663" s="98" t="str">
        <f>IFERROR(__xludf.DUMMYFUNCTION("""COMPUTED_VALUE""")," Solar M:  Solar Power:  Maintenance DG:  +  +  + MW Link: Link Name")</f>
        <v> Solar M:  Solar Power:  Maintenance DG:  +  +  + MW Link: Link Name</v>
      </c>
    </row>
    <row r="664">
      <c r="A664" s="98"/>
      <c r="B664" s="98"/>
      <c r="C664" s="98"/>
      <c r="D664" s="98"/>
      <c r="E664" s="98" t="str">
        <f>IFERROR(__xludf.DUMMYFUNCTION("""COMPUTED_VALUE""")," Solar M:  Solar Power:  Maintenance DG:  +  +  + MW Link: Link Name")</f>
        <v> Solar M:  Solar Power:  Maintenance DG:  +  +  + MW Link: Link Name</v>
      </c>
    </row>
    <row r="665">
      <c r="A665" s="98"/>
      <c r="B665" s="98"/>
      <c r="C665" s="98"/>
      <c r="D665" s="98"/>
      <c r="E665" s="98" t="str">
        <f>IFERROR(__xludf.DUMMYFUNCTION("""COMPUTED_VALUE""")," Solar M:  Solar Power:  Maintenance DG:  +  +  + MW Link: Link Name")</f>
        <v> Solar M:  Solar Power:  Maintenance DG:  +  +  + MW Link: Link Name</v>
      </c>
    </row>
    <row r="666">
      <c r="A666" s="98"/>
      <c r="B666" s="98"/>
      <c r="C666" s="98"/>
      <c r="D666" s="98"/>
      <c r="E666" s="98" t="str">
        <f>IFERROR(__xludf.DUMMYFUNCTION("""COMPUTED_VALUE""")," Solar M:  Solar Power:  Maintenance DG:  +  +  + MW Link: Link Name")</f>
        <v> Solar M:  Solar Power:  Maintenance DG:  +  +  + MW Link: Link Name</v>
      </c>
    </row>
    <row r="667">
      <c r="A667" s="98"/>
      <c r="B667" s="98"/>
      <c r="C667" s="98"/>
      <c r="D667" s="98"/>
      <c r="E667" s="98" t="str">
        <f>IFERROR(__xludf.DUMMYFUNCTION("""COMPUTED_VALUE""")," Solar M:  Solar Power:  Maintenance DG:  +  +  + MW Link: Link Name")</f>
        <v> Solar M:  Solar Power:  Maintenance DG:  +  +  + MW Link: Link Name</v>
      </c>
    </row>
    <row r="668">
      <c r="A668" s="98"/>
      <c r="B668" s="98"/>
      <c r="C668" s="98"/>
      <c r="D668" s="98"/>
      <c r="E668" s="98" t="str">
        <f>IFERROR(__xludf.DUMMYFUNCTION("""COMPUTED_VALUE""")," Solar M:  Solar Power:  Maintenance DG:  +  +  + MW Link: Link Name")</f>
        <v> Solar M:  Solar Power:  Maintenance DG:  +  +  + MW Link: Link Name</v>
      </c>
    </row>
    <row r="669">
      <c r="A669" s="98"/>
      <c r="B669" s="98"/>
      <c r="C669" s="98"/>
      <c r="D669" s="98"/>
      <c r="E669" s="98" t="str">
        <f>IFERROR(__xludf.DUMMYFUNCTION("""COMPUTED_VALUE""")," Solar M:  Solar Power:  Maintenance DG:  +  +  + MW Link: Link Name")</f>
        <v> Solar M:  Solar Power:  Maintenance DG:  +  +  + MW Link: Link Name</v>
      </c>
    </row>
    <row r="670">
      <c r="A670" s="98"/>
      <c r="B670" s="98"/>
      <c r="C670" s="98"/>
      <c r="D670" s="98"/>
      <c r="E670" s="98" t="str">
        <f>IFERROR(__xludf.DUMMYFUNCTION("""COMPUTED_VALUE""")," Solar M:  Solar Power:  Maintenance DG:  +  +  + MW Link: Link Name")</f>
        <v> Solar M:  Solar Power:  Maintenance DG:  +  +  + MW Link: Link Name</v>
      </c>
    </row>
    <row r="671">
      <c r="A671" s="98"/>
      <c r="B671" s="98"/>
      <c r="C671" s="98"/>
      <c r="D671" s="98"/>
      <c r="E671" s="98" t="str">
        <f>IFERROR(__xludf.DUMMYFUNCTION("""COMPUTED_VALUE""")," Solar M:  Solar Power:  Maintenance DG:  +  +  + MW Link: Link Name")</f>
        <v> Solar M:  Solar Power:  Maintenance DG:  +  +  + MW Link: Link Name</v>
      </c>
    </row>
    <row r="672">
      <c r="A672" s="98"/>
      <c r="B672" s="98"/>
      <c r="C672" s="98"/>
      <c r="D672" s="98"/>
      <c r="E672" s="98" t="str">
        <f>IFERROR(__xludf.DUMMYFUNCTION("""COMPUTED_VALUE""")," Solar M:  Solar Power:  Maintenance DG:  +  +  + MW Link: Link Name")</f>
        <v> Solar M:  Solar Power:  Maintenance DG:  +  +  + MW Link: Link Name</v>
      </c>
    </row>
    <row r="673">
      <c r="A673" s="98"/>
      <c r="B673" s="98"/>
      <c r="C673" s="98"/>
      <c r="D673" s="98"/>
      <c r="E673" s="98" t="str">
        <f>IFERROR(__xludf.DUMMYFUNCTION("""COMPUTED_VALUE""")," Solar M:  Solar Power:  Maintenance DG:  +  +  + MW Link: Link Name")</f>
        <v> Solar M:  Solar Power:  Maintenance DG:  +  +  + MW Link: Link Name</v>
      </c>
    </row>
    <row r="674">
      <c r="A674" s="98"/>
      <c r="B674" s="98"/>
      <c r="C674" s="98"/>
      <c r="D674" s="98"/>
      <c r="E674" s="98" t="str">
        <f>IFERROR(__xludf.DUMMYFUNCTION("""COMPUTED_VALUE""")," Solar M:  Solar Power:  Maintenance DG:  +  +  + MW Link: Link Name")</f>
        <v> Solar M:  Solar Power:  Maintenance DG:  +  +  + MW Link: Link Name</v>
      </c>
    </row>
    <row r="675">
      <c r="A675" s="98"/>
      <c r="B675" s="98"/>
      <c r="C675" s="98"/>
      <c r="D675" s="98"/>
      <c r="E675" s="98" t="str">
        <f>IFERROR(__xludf.DUMMYFUNCTION("""COMPUTED_VALUE""")," Solar M:  Solar Power:  Maintenance DG:  +  +  + MW Link: Link Name")</f>
        <v> Solar M:  Solar Power:  Maintenance DG:  +  +  + MW Link: Link Name</v>
      </c>
    </row>
    <row r="676">
      <c r="A676" s="98"/>
      <c r="B676" s="98"/>
      <c r="C676" s="98"/>
      <c r="D676" s="98"/>
      <c r="E676" s="98" t="str">
        <f>IFERROR(__xludf.DUMMYFUNCTION("""COMPUTED_VALUE""")," Solar M:  Solar Power:  Maintenance DG:  +  +  + MW Link: Link Name")</f>
        <v> Solar M:  Solar Power:  Maintenance DG:  +  +  + MW Link: Link Name</v>
      </c>
    </row>
    <row r="677">
      <c r="A677" s="98"/>
      <c r="B677" s="98"/>
      <c r="C677" s="98"/>
      <c r="D677" s="98"/>
      <c r="E677" s="98" t="str">
        <f>IFERROR(__xludf.DUMMYFUNCTION("""COMPUTED_VALUE""")," Solar M:  Solar Power:  Maintenance DG:  +  +  + MW Link: Link Name")</f>
        <v> Solar M:  Solar Power:  Maintenance DG:  +  +  + MW Link: Link Name</v>
      </c>
    </row>
    <row r="678">
      <c r="A678" s="98"/>
      <c r="B678" s="98"/>
      <c r="C678" s="98"/>
      <c r="D678" s="98"/>
      <c r="E678" s="98" t="str">
        <f>IFERROR(__xludf.DUMMYFUNCTION("""COMPUTED_VALUE""")," Solar M:  Solar Power:  Maintenance DG:  +  +  + MW Link: Link Name")</f>
        <v> Solar M:  Solar Power:  Maintenance DG:  +  +  + MW Link: Link Name</v>
      </c>
    </row>
    <row r="679">
      <c r="A679" s="98"/>
      <c r="B679" s="98"/>
      <c r="C679" s="98"/>
      <c r="D679" s="98"/>
      <c r="E679" s="98" t="str">
        <f>IFERROR(__xludf.DUMMYFUNCTION("""COMPUTED_VALUE""")," Solar M:  Solar Power:  Maintenance DG:  +  +  + MW Link: Link Name")</f>
        <v> Solar M:  Solar Power:  Maintenance DG:  +  +  + MW Link: Link Name</v>
      </c>
    </row>
    <row r="680">
      <c r="A680" s="98"/>
      <c r="B680" s="98"/>
      <c r="C680" s="98"/>
      <c r="D680" s="98"/>
      <c r="E680" s="98" t="str">
        <f>IFERROR(__xludf.DUMMYFUNCTION("""COMPUTED_VALUE""")," Solar M:  Solar Power:  Maintenance DG:  +  +  + MW Link: Link Name")</f>
        <v> Solar M:  Solar Power:  Maintenance DG:  +  +  + MW Link: Link Name</v>
      </c>
    </row>
    <row r="681">
      <c r="A681" s="98"/>
      <c r="B681" s="98"/>
      <c r="C681" s="98"/>
      <c r="D681" s="98"/>
      <c r="E681" s="98" t="str">
        <f>IFERROR(__xludf.DUMMYFUNCTION("""COMPUTED_VALUE""")," Solar M:  Solar Power:  Maintenance DG:  +  +  + MW Link: Link Name")</f>
        <v> Solar M:  Solar Power:  Maintenance DG:  +  +  + MW Link: Link Name</v>
      </c>
    </row>
    <row r="682">
      <c r="A682" s="98"/>
      <c r="B682" s="98"/>
      <c r="C682" s="98"/>
      <c r="D682" s="98"/>
      <c r="E682" s="98" t="str">
        <f>IFERROR(__xludf.DUMMYFUNCTION("""COMPUTED_VALUE""")," Solar M:  Solar Power:  Maintenance DG:  +  +  + MW Link: Link Name")</f>
        <v> Solar M:  Solar Power:  Maintenance DG:  +  +  + MW Link: Link Name</v>
      </c>
    </row>
    <row r="683">
      <c r="A683" s="98"/>
      <c r="B683" s="98"/>
      <c r="C683" s="98"/>
      <c r="D683" s="98"/>
      <c r="E683" s="98" t="str">
        <f>IFERROR(__xludf.DUMMYFUNCTION("""COMPUTED_VALUE""")," Solar M:  Solar Power:  Maintenance DG:  +  +  + MW Link: Link Name")</f>
        <v> Solar M:  Solar Power:  Maintenance DG:  +  +  + MW Link: Link Name</v>
      </c>
    </row>
    <row r="684">
      <c r="A684" s="98"/>
      <c r="B684" s="98"/>
      <c r="C684" s="98"/>
      <c r="D684" s="98"/>
      <c r="E684" s="98" t="str">
        <f>IFERROR(__xludf.DUMMYFUNCTION("""COMPUTED_VALUE""")," Solar M:  Solar Power:  Maintenance DG:  +  +  + MW Link: Link Name")</f>
        <v> Solar M:  Solar Power:  Maintenance DG:  +  +  + MW Link: Link Name</v>
      </c>
    </row>
    <row r="685">
      <c r="A685" s="98"/>
      <c r="B685" s="98"/>
      <c r="C685" s="98"/>
      <c r="D685" s="98"/>
      <c r="E685" s="98" t="str">
        <f>IFERROR(__xludf.DUMMYFUNCTION("""COMPUTED_VALUE""")," Solar M:  Solar Power:  Maintenance DG:  +  +  + MW Link: Link Name")</f>
        <v> Solar M:  Solar Power:  Maintenance DG:  +  +  + MW Link: Link Name</v>
      </c>
    </row>
    <row r="686">
      <c r="A686" s="98"/>
      <c r="B686" s="98"/>
      <c r="C686" s="98"/>
      <c r="D686" s="98"/>
      <c r="E686" s="98" t="str">
        <f>IFERROR(__xludf.DUMMYFUNCTION("""COMPUTED_VALUE""")," Solar M:  Solar Power:  Maintenance DG:  +  +  + MW Link: Link Name")</f>
        <v> Solar M:  Solar Power:  Maintenance DG:  +  +  + MW Link: Link Name</v>
      </c>
    </row>
    <row r="687">
      <c r="A687" s="98"/>
      <c r="B687" s="98"/>
      <c r="C687" s="98"/>
      <c r="D687" s="98"/>
      <c r="E687" s="98" t="str">
        <f>IFERROR(__xludf.DUMMYFUNCTION("""COMPUTED_VALUE""")," Solar M:  Solar Power:  Maintenance DG:  +  +  + MW Link: Link Name")</f>
        <v> Solar M:  Solar Power:  Maintenance DG:  +  +  + MW Link: Link Name</v>
      </c>
    </row>
    <row r="688">
      <c r="A688" s="98"/>
      <c r="B688" s="98"/>
      <c r="C688" s="98"/>
      <c r="D688" s="98"/>
      <c r="E688" s="98" t="str">
        <f>IFERROR(__xludf.DUMMYFUNCTION("""COMPUTED_VALUE""")," Solar M:  Solar Power:  Maintenance DG:  +  +  + MW Link: Link Name")</f>
        <v> Solar M:  Solar Power:  Maintenance DG:  +  +  + MW Link: Link Name</v>
      </c>
    </row>
    <row r="689">
      <c r="A689" s="98"/>
      <c r="B689" s="98"/>
      <c r="C689" s="98"/>
      <c r="D689" s="98"/>
      <c r="E689" s="98" t="str">
        <f>IFERROR(__xludf.DUMMYFUNCTION("""COMPUTED_VALUE""")," Solar M:  Solar Power:  Maintenance DG:  +  +  + MW Link: Link Name")</f>
        <v> Solar M:  Solar Power:  Maintenance DG:  +  +  + MW Link: Link Name</v>
      </c>
    </row>
    <row r="690">
      <c r="A690" s="98"/>
      <c r="B690" s="98"/>
      <c r="C690" s="98"/>
      <c r="D690" s="98"/>
      <c r="E690" s="98" t="str">
        <f>IFERROR(__xludf.DUMMYFUNCTION("""COMPUTED_VALUE""")," Solar M:  Solar Power:  Maintenance DG:  +  +  + MW Link: Link Name")</f>
        <v> Solar M:  Solar Power:  Maintenance DG:  +  +  + MW Link: Link Name</v>
      </c>
    </row>
    <row r="691">
      <c r="A691" s="98"/>
      <c r="B691" s="98"/>
      <c r="C691" s="98"/>
      <c r="D691" s="98"/>
      <c r="E691" s="98" t="str">
        <f>IFERROR(__xludf.DUMMYFUNCTION("""COMPUTED_VALUE""")," Solar M:  Solar Power:  Maintenance DG:  +  +  + MW Link: Link Name")</f>
        <v> Solar M:  Solar Power:  Maintenance DG:  +  +  + MW Link: Link Name</v>
      </c>
    </row>
    <row r="692">
      <c r="A692" s="98"/>
      <c r="B692" s="98"/>
      <c r="C692" s="98"/>
      <c r="D692" s="98"/>
      <c r="E692" s="98" t="str">
        <f>IFERROR(__xludf.DUMMYFUNCTION("""COMPUTED_VALUE""")," Solar M:  Solar Power:  Maintenance DG:  +  +  + MW Link: Link Name")</f>
        <v> Solar M:  Solar Power:  Maintenance DG:  +  +  + MW Link: Link Name</v>
      </c>
    </row>
    <row r="693">
      <c r="A693" s="98"/>
      <c r="B693" s="98"/>
      <c r="C693" s="98"/>
      <c r="D693" s="98"/>
      <c r="E693" s="98" t="str">
        <f>IFERROR(__xludf.DUMMYFUNCTION("""COMPUTED_VALUE""")," Solar M:  Solar Power:  Maintenance DG:  +  +  + MW Link: Link Name")</f>
        <v> Solar M:  Solar Power:  Maintenance DG:  +  +  + MW Link: Link Name</v>
      </c>
    </row>
    <row r="694">
      <c r="A694" s="98"/>
      <c r="B694" s="98"/>
      <c r="C694" s="98"/>
      <c r="D694" s="98"/>
      <c r="E694" s="98" t="str">
        <f>IFERROR(__xludf.DUMMYFUNCTION("""COMPUTED_VALUE""")," Solar M:  Solar Power:  Maintenance DG:  +  +  + MW Link: Link Name")</f>
        <v> Solar M:  Solar Power:  Maintenance DG:  +  +  + MW Link: Link Name</v>
      </c>
    </row>
    <row r="695">
      <c r="A695" s="98"/>
      <c r="B695" s="98"/>
      <c r="C695" s="98"/>
      <c r="D695" s="98"/>
      <c r="E695" s="98" t="str">
        <f>IFERROR(__xludf.DUMMYFUNCTION("""COMPUTED_VALUE""")," Solar M:  Solar Power:  Maintenance DG:  +  +  + MW Link: Link Name")</f>
        <v> Solar M:  Solar Power:  Maintenance DG:  +  +  + MW Link: Link Name</v>
      </c>
    </row>
    <row r="696">
      <c r="A696" s="98"/>
      <c r="B696" s="98"/>
      <c r="C696" s="98"/>
      <c r="D696" s="98"/>
      <c r="E696" s="98" t="str">
        <f>IFERROR(__xludf.DUMMYFUNCTION("""COMPUTED_VALUE""")," Solar M:  Solar Power:  Maintenance DG:  +  +  + MW Link: Link Name")</f>
        <v> Solar M:  Solar Power:  Maintenance DG:  +  +  + MW Link: Link Name</v>
      </c>
    </row>
    <row r="697">
      <c r="A697" s="98"/>
      <c r="B697" s="98"/>
      <c r="C697" s="98"/>
      <c r="D697" s="98"/>
      <c r="E697" s="98" t="str">
        <f>IFERROR(__xludf.DUMMYFUNCTION("""COMPUTED_VALUE""")," Solar M:  Solar Power:  Maintenance DG:  +  +  + MW Link: Link Name")</f>
        <v> Solar M:  Solar Power:  Maintenance DG:  +  +  + MW Link: Link Name</v>
      </c>
    </row>
    <row r="698">
      <c r="A698" s="98"/>
      <c r="B698" s="98"/>
      <c r="C698" s="98"/>
      <c r="D698" s="98"/>
      <c r="E698" s="98" t="str">
        <f>IFERROR(__xludf.DUMMYFUNCTION("""COMPUTED_VALUE""")," Solar M:  Solar Power:  Maintenance DG:  +  +  + MW Link: Link Name")</f>
        <v> Solar M:  Solar Power:  Maintenance DG:  +  +  + MW Link: Link Name</v>
      </c>
    </row>
    <row r="699">
      <c r="A699" s="98"/>
      <c r="B699" s="98"/>
      <c r="C699" s="98"/>
      <c r="D699" s="98"/>
      <c r="E699" s="98" t="str">
        <f>IFERROR(__xludf.DUMMYFUNCTION("""COMPUTED_VALUE""")," Solar M:  Solar Power:  Maintenance DG:  +  +  + MW Link: Link Name")</f>
        <v> Solar M:  Solar Power:  Maintenance DG:  +  +  + MW Link: Link Name</v>
      </c>
    </row>
    <row r="700">
      <c r="A700" s="98"/>
      <c r="B700" s="98"/>
      <c r="C700" s="98"/>
      <c r="D700" s="98"/>
      <c r="E700" s="98" t="str">
        <f>IFERROR(__xludf.DUMMYFUNCTION("""COMPUTED_VALUE""")," Solar M:  Solar Power:  Maintenance DG:  +  +  + MW Link: Link Name")</f>
        <v> Solar M:  Solar Power:  Maintenance DG:  +  +  + MW Link: Link Name</v>
      </c>
    </row>
    <row r="701">
      <c r="A701" s="98"/>
      <c r="B701" s="98"/>
      <c r="C701" s="98"/>
      <c r="D701" s="98"/>
      <c r="E701" s="98" t="str">
        <f>IFERROR(__xludf.DUMMYFUNCTION("""COMPUTED_VALUE""")," Solar M:  Solar Power:  Maintenance DG:  +  +  + MW Link: Link Name")</f>
        <v> Solar M:  Solar Power:  Maintenance DG:  +  +  + MW Link: Link Name</v>
      </c>
    </row>
    <row r="702">
      <c r="A702" s="98"/>
      <c r="B702" s="98"/>
      <c r="C702" s="98"/>
      <c r="D702" s="98"/>
      <c r="E702" s="98" t="str">
        <f>IFERROR(__xludf.DUMMYFUNCTION("""COMPUTED_VALUE""")," Solar M:  Solar Power:  Maintenance DG:  +  +  + MW Link: Link Name")</f>
        <v> Solar M:  Solar Power:  Maintenance DG:  +  +  + MW Link: Link Name</v>
      </c>
    </row>
    <row r="703">
      <c r="A703" s="98"/>
      <c r="B703" s="98"/>
      <c r="C703" s="98"/>
      <c r="D703" s="98"/>
      <c r="E703" s="98" t="str">
        <f>IFERROR(__xludf.DUMMYFUNCTION("""COMPUTED_VALUE""")," Solar M:  Solar Power:  Maintenance DG:  +  +  + MW Link: Link Name")</f>
        <v> Solar M:  Solar Power:  Maintenance DG:  +  +  + MW Link: Link Name</v>
      </c>
    </row>
    <row r="704">
      <c r="A704" s="98"/>
      <c r="B704" s="98"/>
      <c r="C704" s="98"/>
      <c r="D704" s="98"/>
      <c r="E704" s="98" t="str">
        <f>IFERROR(__xludf.DUMMYFUNCTION("""COMPUTED_VALUE""")," Solar M:  Solar Power:  Maintenance DG:  +  +  + MW Link: Link Name")</f>
        <v> Solar M:  Solar Power:  Maintenance DG:  +  +  + MW Link: Link Name</v>
      </c>
    </row>
    <row r="705">
      <c r="A705" s="98"/>
      <c r="B705" s="98"/>
      <c r="C705" s="98"/>
      <c r="D705" s="98"/>
      <c r="E705" s="98" t="str">
        <f>IFERROR(__xludf.DUMMYFUNCTION("""COMPUTED_VALUE""")," Solar M:  Solar Power:  Maintenance DG:  +  +  + MW Link: Link Name")</f>
        <v> Solar M:  Solar Power:  Maintenance DG:  +  +  + MW Link: Link Name</v>
      </c>
    </row>
    <row r="706">
      <c r="A706" s="98"/>
      <c r="B706" s="98"/>
      <c r="C706" s="98"/>
      <c r="D706" s="98"/>
      <c r="E706" s="98" t="str">
        <f>IFERROR(__xludf.DUMMYFUNCTION("""COMPUTED_VALUE""")," Solar M:  Solar Power:  Maintenance DG:  +  +  + MW Link: Link Name")</f>
        <v> Solar M:  Solar Power:  Maintenance DG:  +  +  + MW Link: Link Name</v>
      </c>
    </row>
    <row r="707">
      <c r="A707" s="98"/>
      <c r="B707" s="98"/>
      <c r="C707" s="98"/>
      <c r="D707" s="98"/>
      <c r="E707" s="98" t="str">
        <f>IFERROR(__xludf.DUMMYFUNCTION("""COMPUTED_VALUE""")," Solar M:  Solar Power:  Maintenance DG:  +  +  + MW Link: Link Name")</f>
        <v> Solar M:  Solar Power:  Maintenance DG:  +  +  + MW Link: Link Name</v>
      </c>
    </row>
    <row r="708">
      <c r="A708" s="98"/>
      <c r="B708" s="98"/>
      <c r="C708" s="98"/>
      <c r="D708" s="98"/>
      <c r="E708" s="98" t="str">
        <f>IFERROR(__xludf.DUMMYFUNCTION("""COMPUTED_VALUE""")," Solar M:  Solar Power:  Maintenance DG:  +  +  + MW Link: Link Name")</f>
        <v> Solar M:  Solar Power:  Maintenance DG:  +  +  + MW Link: Link Name</v>
      </c>
    </row>
    <row r="709">
      <c r="A709" s="98"/>
      <c r="B709" s="98"/>
      <c r="C709" s="98"/>
      <c r="D709" s="98"/>
      <c r="E709" s="98" t="str">
        <f>IFERROR(__xludf.DUMMYFUNCTION("""COMPUTED_VALUE""")," Solar M:  Solar Power:  Maintenance DG:  +  +  + MW Link: Link Name")</f>
        <v> Solar M:  Solar Power:  Maintenance DG:  +  +  + MW Link: Link Name</v>
      </c>
    </row>
    <row r="710">
      <c r="A710" s="98"/>
      <c r="B710" s="98"/>
      <c r="C710" s="98"/>
      <c r="D710" s="98"/>
      <c r="E710" s="98" t="str">
        <f>IFERROR(__xludf.DUMMYFUNCTION("""COMPUTED_VALUE""")," Solar M:  Solar Power:  Maintenance DG:  +  +  + MW Link: Link Name")</f>
        <v> Solar M:  Solar Power:  Maintenance DG:  +  +  + MW Link: Link Name</v>
      </c>
    </row>
    <row r="711">
      <c r="A711" s="98"/>
      <c r="B711" s="98"/>
      <c r="C711" s="98"/>
      <c r="D711" s="98"/>
      <c r="E711" s="98" t="str">
        <f>IFERROR(__xludf.DUMMYFUNCTION("""COMPUTED_VALUE""")," Solar M:  Solar Power:  Maintenance DG:  +  +  + MW Link: Link Name")</f>
        <v> Solar M:  Solar Power:  Maintenance DG:  +  +  + MW Link: Link Name</v>
      </c>
    </row>
    <row r="712">
      <c r="A712" s="98"/>
      <c r="B712" s="98"/>
      <c r="C712" s="98"/>
      <c r="D712" s="98"/>
      <c r="E712" s="98" t="str">
        <f>IFERROR(__xludf.DUMMYFUNCTION("""COMPUTED_VALUE""")," Solar M:  Solar Power:  Maintenance DG:  +  +  + MW Link: Link Name")</f>
        <v> Solar M:  Solar Power:  Maintenance DG:  +  +  + MW Link: Link Name</v>
      </c>
    </row>
    <row r="713">
      <c r="A713" s="98"/>
      <c r="B713" s="98"/>
      <c r="C713" s="98"/>
      <c r="D713" s="98"/>
      <c r="E713" s="98" t="str">
        <f>IFERROR(__xludf.DUMMYFUNCTION("""COMPUTED_VALUE""")," Solar M:  Solar Power:  Maintenance DG:  +  +  + MW Link: Link Name")</f>
        <v> Solar M:  Solar Power:  Maintenance DG:  +  +  + MW Link: Link Name</v>
      </c>
    </row>
    <row r="714">
      <c r="A714" s="98"/>
      <c r="B714" s="98"/>
      <c r="C714" s="98"/>
      <c r="D714" s="98"/>
      <c r="E714" s="98" t="str">
        <f>IFERROR(__xludf.DUMMYFUNCTION("""COMPUTED_VALUE""")," Solar M:  Solar Power:  Maintenance DG:  +  +  + MW Link: Link Name")</f>
        <v> Solar M:  Solar Power:  Maintenance DG:  +  +  + MW Link: Link Name</v>
      </c>
    </row>
    <row r="715">
      <c r="A715" s="98"/>
      <c r="B715" s="98"/>
      <c r="C715" s="98"/>
      <c r="D715" s="98"/>
      <c r="E715" s="98" t="str">
        <f>IFERROR(__xludf.DUMMYFUNCTION("""COMPUTED_VALUE""")," Solar M:  Solar Power:  Maintenance DG:  +  +  + MW Link: Link Name")</f>
        <v> Solar M:  Solar Power:  Maintenance DG:  +  +  + MW Link: Link Name</v>
      </c>
    </row>
    <row r="716">
      <c r="A716" s="98"/>
      <c r="B716" s="98"/>
      <c r="C716" s="98"/>
      <c r="D716" s="98"/>
      <c r="E716" s="98" t="str">
        <f>IFERROR(__xludf.DUMMYFUNCTION("""COMPUTED_VALUE""")," Solar M:  Solar Power:  Maintenance DG:  +  +  + MW Link: Link Name")</f>
        <v> Solar M:  Solar Power:  Maintenance DG:  +  +  + MW Link: Link Name</v>
      </c>
    </row>
    <row r="717">
      <c r="A717" s="98"/>
      <c r="B717" s="98"/>
      <c r="C717" s="98"/>
      <c r="D717" s="98"/>
      <c r="E717" s="98" t="str">
        <f>IFERROR(__xludf.DUMMYFUNCTION("""COMPUTED_VALUE""")," Solar M:  Solar Power:  Maintenance DG:  +  +  + MW Link: Link Name")</f>
        <v> Solar M:  Solar Power:  Maintenance DG:  +  +  + MW Link: Link Name</v>
      </c>
    </row>
    <row r="718">
      <c r="A718" s="98"/>
      <c r="B718" s="98"/>
      <c r="C718" s="98"/>
      <c r="D718" s="98"/>
      <c r="E718" s="98" t="str">
        <f>IFERROR(__xludf.DUMMYFUNCTION("""COMPUTED_VALUE""")," Solar M:  Solar Power:  Maintenance DG:  +  +  + MW Link: Link Name")</f>
        <v> Solar M:  Solar Power:  Maintenance DG:  +  +  + MW Link: Link Name</v>
      </c>
    </row>
    <row r="719">
      <c r="A719" s="98"/>
      <c r="B719" s="98"/>
      <c r="C719" s="98"/>
      <c r="D719" s="98"/>
      <c r="E719" s="98" t="str">
        <f>IFERROR(__xludf.DUMMYFUNCTION("""COMPUTED_VALUE""")," Solar M:  Solar Power:  Maintenance DG:  +  +  + MW Link: Link Name")</f>
        <v> Solar M:  Solar Power:  Maintenance DG:  +  +  + MW Link: Link Name</v>
      </c>
    </row>
    <row r="720">
      <c r="A720" s="98"/>
      <c r="B720" s="98"/>
      <c r="C720" s="98"/>
      <c r="D720" s="98"/>
      <c r="E720" s="98" t="str">
        <f>IFERROR(__xludf.DUMMYFUNCTION("""COMPUTED_VALUE""")," Solar M:  Solar Power:  Maintenance DG:  +  +  + MW Link: Link Name")</f>
        <v> Solar M:  Solar Power:  Maintenance DG:  +  +  + MW Link: Link Name</v>
      </c>
    </row>
    <row r="721">
      <c r="A721" s="98"/>
      <c r="B721" s="98"/>
      <c r="C721" s="98"/>
      <c r="D721" s="98"/>
      <c r="E721" s="98" t="str">
        <f>IFERROR(__xludf.DUMMYFUNCTION("""COMPUTED_VALUE""")," Solar M:  Solar Power:  Maintenance DG:  +  +  + MW Link: Link Name")</f>
        <v> Solar M:  Solar Power:  Maintenance DG:  +  +  + MW Link: Link Name</v>
      </c>
    </row>
    <row r="722">
      <c r="A722" s="98"/>
      <c r="B722" s="98"/>
      <c r="C722" s="98"/>
      <c r="D722" s="98"/>
      <c r="E722" s="98" t="str">
        <f>IFERROR(__xludf.DUMMYFUNCTION("""COMPUTED_VALUE""")," Solar M:  Solar Power:  Maintenance DG:  +  +  + MW Link: Link Name")</f>
        <v> Solar M:  Solar Power:  Maintenance DG:  +  +  + MW Link: Link Name</v>
      </c>
    </row>
    <row r="723">
      <c r="A723" s="98"/>
      <c r="B723" s="98"/>
      <c r="C723" s="98"/>
      <c r="D723" s="98"/>
      <c r="E723" s="98" t="str">
        <f>IFERROR(__xludf.DUMMYFUNCTION("""COMPUTED_VALUE""")," Solar M:  Solar Power:  Maintenance DG:  +  +  + MW Link: Link Name")</f>
        <v> Solar M:  Solar Power:  Maintenance DG:  +  +  + MW Link: Link Name</v>
      </c>
    </row>
    <row r="724">
      <c r="A724" s="98"/>
      <c r="B724" s="98"/>
      <c r="C724" s="98"/>
      <c r="D724" s="98"/>
      <c r="E724" s="98" t="str">
        <f>IFERROR(__xludf.DUMMYFUNCTION("""COMPUTED_VALUE""")," Solar M:  Solar Power:  Maintenance DG:  +  +  + MW Link: Link Name")</f>
        <v> Solar M:  Solar Power:  Maintenance DG:  +  +  + MW Link: Link Name</v>
      </c>
    </row>
    <row r="725">
      <c r="A725" s="98"/>
      <c r="B725" s="98"/>
      <c r="C725" s="98"/>
      <c r="D725" s="98"/>
      <c r="E725" s="98" t="str">
        <f>IFERROR(__xludf.DUMMYFUNCTION("""COMPUTED_VALUE""")," Solar M:  Solar Power:  Maintenance DG:  +  +  + MW Link: Link Name")</f>
        <v> Solar M:  Solar Power:  Maintenance DG:  +  +  + MW Link: Link Name</v>
      </c>
    </row>
    <row r="726">
      <c r="A726" s="98"/>
      <c r="B726" s="98"/>
      <c r="C726" s="98"/>
      <c r="D726" s="98"/>
      <c r="E726" s="98" t="str">
        <f>IFERROR(__xludf.DUMMYFUNCTION("""COMPUTED_VALUE""")," Solar M:  Solar Power:  Maintenance DG:  +  +  + MW Link: Link Name")</f>
        <v> Solar M:  Solar Power:  Maintenance DG:  +  +  + MW Link: Link Name</v>
      </c>
    </row>
    <row r="727">
      <c r="A727" s="98"/>
      <c r="B727" s="98"/>
      <c r="C727" s="98"/>
      <c r="D727" s="98"/>
      <c r="E727" s="98" t="str">
        <f>IFERROR(__xludf.DUMMYFUNCTION("""COMPUTED_VALUE""")," Solar M:  Solar Power:  Maintenance DG:  +  +  + MW Link: Link Name")</f>
        <v> Solar M:  Solar Power:  Maintenance DG:  +  +  + MW Link: Link Name</v>
      </c>
    </row>
    <row r="728">
      <c r="A728" s="98"/>
      <c r="B728" s="98"/>
      <c r="C728" s="98"/>
      <c r="D728" s="98"/>
      <c r="E728" s="98" t="str">
        <f>IFERROR(__xludf.DUMMYFUNCTION("""COMPUTED_VALUE""")," Solar M:  Solar Power:  Maintenance DG:  +  +  + MW Link: Link Name")</f>
        <v> Solar M:  Solar Power:  Maintenance DG:  +  +  + MW Link: Link Name</v>
      </c>
    </row>
    <row r="729">
      <c r="A729" s="98"/>
      <c r="B729" s="98"/>
      <c r="C729" s="98"/>
      <c r="D729" s="98"/>
      <c r="E729" s="98" t="str">
        <f>IFERROR(__xludf.DUMMYFUNCTION("""COMPUTED_VALUE""")," Solar M:  Solar Power:  Maintenance DG:  +  +  + MW Link: Link Name")</f>
        <v> Solar M:  Solar Power:  Maintenance DG:  +  +  + MW Link: Link Name</v>
      </c>
    </row>
    <row r="730">
      <c r="A730" s="98"/>
      <c r="B730" s="98"/>
      <c r="C730" s="98"/>
      <c r="D730" s="98"/>
      <c r="E730" s="98" t="str">
        <f>IFERROR(__xludf.DUMMYFUNCTION("""COMPUTED_VALUE""")," Solar M:  Solar Power:  Maintenance DG:  +  +  + MW Link: Link Name")</f>
        <v> Solar M:  Solar Power:  Maintenance DG:  +  +  + MW Link: Link Name</v>
      </c>
    </row>
    <row r="731">
      <c r="A731" s="98"/>
      <c r="B731" s="98"/>
      <c r="C731" s="98"/>
      <c r="D731" s="98"/>
      <c r="E731" s="98" t="str">
        <f>IFERROR(__xludf.DUMMYFUNCTION("""COMPUTED_VALUE""")," Solar M:  Solar Power:  Maintenance DG:  +  +  + MW Link: Link Name")</f>
        <v> Solar M:  Solar Power:  Maintenance DG:  +  +  + MW Link: Link Name</v>
      </c>
    </row>
    <row r="732">
      <c r="A732" s="98"/>
      <c r="B732" s="98"/>
      <c r="C732" s="98"/>
      <c r="D732" s="98"/>
      <c r="E732" s="98" t="str">
        <f>IFERROR(__xludf.DUMMYFUNCTION("""COMPUTED_VALUE""")," Solar M:  Solar Power:  Maintenance DG:  +  +  + MW Link: Link Name")</f>
        <v> Solar M:  Solar Power:  Maintenance DG:  +  +  + MW Link: Link Name</v>
      </c>
    </row>
    <row r="733">
      <c r="A733" s="98"/>
      <c r="B733" s="98"/>
      <c r="C733" s="98"/>
      <c r="D733" s="98"/>
      <c r="E733" s="98" t="str">
        <f>IFERROR(__xludf.DUMMYFUNCTION("""COMPUTED_VALUE""")," Solar M:  Solar Power:  Maintenance DG:  +  +  + MW Link: Link Name")</f>
        <v> Solar M:  Solar Power:  Maintenance DG:  +  +  + MW Link: Link Name</v>
      </c>
    </row>
    <row r="734">
      <c r="A734" s="98"/>
      <c r="B734" s="98"/>
      <c r="C734" s="98"/>
      <c r="D734" s="98"/>
      <c r="E734" s="98" t="str">
        <f>IFERROR(__xludf.DUMMYFUNCTION("""COMPUTED_VALUE""")," Solar M:  Solar Power:  Maintenance DG:  +  +  + MW Link: Link Name")</f>
        <v> Solar M:  Solar Power:  Maintenance DG:  +  +  + MW Link: Link Name</v>
      </c>
    </row>
    <row r="735">
      <c r="A735" s="98"/>
      <c r="B735" s="98"/>
      <c r="C735" s="98"/>
      <c r="D735" s="98"/>
      <c r="E735" s="98" t="str">
        <f>IFERROR(__xludf.DUMMYFUNCTION("""COMPUTED_VALUE""")," Solar M:  Solar Power:  Maintenance DG:  +  +  + MW Link: Link Name")</f>
        <v> Solar M:  Solar Power:  Maintenance DG:  +  +  + MW Link: Link Name</v>
      </c>
    </row>
    <row r="736">
      <c r="A736" s="98"/>
      <c r="B736" s="98"/>
      <c r="C736" s="98"/>
      <c r="D736" s="98"/>
      <c r="E736" s="98" t="str">
        <f>IFERROR(__xludf.DUMMYFUNCTION("""COMPUTED_VALUE""")," Solar M:  Solar Power:  Maintenance DG:  +  +  + MW Link: Link Name")</f>
        <v> Solar M:  Solar Power:  Maintenance DG:  +  +  + MW Link: Link Name</v>
      </c>
    </row>
    <row r="737">
      <c r="A737" s="98"/>
      <c r="B737" s="98"/>
      <c r="C737" s="98"/>
      <c r="D737" s="98"/>
      <c r="E737" s="98" t="str">
        <f>IFERROR(__xludf.DUMMYFUNCTION("""COMPUTED_VALUE""")," Solar M:  Solar Power:  Maintenance DG:  +  +  + MW Link: Link Name")</f>
        <v> Solar M:  Solar Power:  Maintenance DG:  +  +  + MW Link: Link Name</v>
      </c>
    </row>
    <row r="738">
      <c r="A738" s="98"/>
      <c r="B738" s="98"/>
      <c r="C738" s="98"/>
      <c r="D738" s="98"/>
      <c r="E738" s="98" t="str">
        <f>IFERROR(__xludf.DUMMYFUNCTION("""COMPUTED_VALUE""")," Solar M:  Solar Power:  Maintenance DG:  +  +  + MW Link: Link Name")</f>
        <v> Solar M:  Solar Power:  Maintenance DG:  +  +  + MW Link: Link Name</v>
      </c>
    </row>
    <row r="739">
      <c r="A739" s="98"/>
      <c r="B739" s="98"/>
      <c r="C739" s="98"/>
      <c r="D739" s="98"/>
      <c r="E739" s="98" t="str">
        <f>IFERROR(__xludf.DUMMYFUNCTION("""COMPUTED_VALUE""")," Solar M:  Solar Power:  Maintenance DG:  +  +  + MW Link: Link Name")</f>
        <v> Solar M:  Solar Power:  Maintenance DG:  +  +  + MW Link: Link Name</v>
      </c>
    </row>
    <row r="740">
      <c r="A740" s="98"/>
      <c r="B740" s="98"/>
      <c r="C740" s="98"/>
      <c r="D740" s="98"/>
      <c r="E740" s="98" t="str">
        <f>IFERROR(__xludf.DUMMYFUNCTION("""COMPUTED_VALUE""")," Solar M:  Solar Power:  Maintenance DG:  +  +  + MW Link: Link Name")</f>
        <v> Solar M:  Solar Power:  Maintenance DG:  +  +  + MW Link: Link Name</v>
      </c>
    </row>
    <row r="741">
      <c r="A741" s="98"/>
      <c r="B741" s="98"/>
      <c r="C741" s="98"/>
      <c r="D741" s="98"/>
      <c r="E741" s="98" t="str">
        <f>IFERROR(__xludf.DUMMYFUNCTION("""COMPUTED_VALUE""")," Solar M:  Solar Power:  Maintenance DG:  +  +  + MW Link: Link Name")</f>
        <v> Solar M:  Solar Power:  Maintenance DG:  +  +  + MW Link: Link Name</v>
      </c>
    </row>
    <row r="742">
      <c r="A742" s="98"/>
      <c r="B742" s="98"/>
      <c r="C742" s="98"/>
      <c r="D742" s="98"/>
      <c r="E742" s="98" t="str">
        <f>IFERROR(__xludf.DUMMYFUNCTION("""COMPUTED_VALUE""")," Solar M:  Solar Power:  Maintenance DG:  +  +  + MW Link: Link Name")</f>
        <v> Solar M:  Solar Power:  Maintenance DG:  +  +  + MW Link: Link Name</v>
      </c>
    </row>
    <row r="743">
      <c r="A743" s="98"/>
      <c r="B743" s="98"/>
      <c r="C743" s="98"/>
      <c r="D743" s="98"/>
      <c r="E743" s="98" t="str">
        <f>IFERROR(__xludf.DUMMYFUNCTION("""COMPUTED_VALUE""")," Solar M:  Solar Power:  Maintenance DG:  +  +  + MW Link: Link Name")</f>
        <v> Solar M:  Solar Power:  Maintenance DG:  +  +  + MW Link: Link Name</v>
      </c>
    </row>
    <row r="744">
      <c r="A744" s="98"/>
      <c r="B744" s="98"/>
      <c r="C744" s="98"/>
      <c r="D744" s="98"/>
      <c r="E744" s="98" t="str">
        <f>IFERROR(__xludf.DUMMYFUNCTION("""COMPUTED_VALUE""")," Solar M:  Solar Power:  Maintenance DG:  +  +  + MW Link: Link Name")</f>
        <v> Solar M:  Solar Power:  Maintenance DG:  +  +  + MW Link: Link Name</v>
      </c>
    </row>
    <row r="745">
      <c r="A745" s="98"/>
      <c r="B745" s="98"/>
      <c r="C745" s="98"/>
      <c r="D745" s="98"/>
      <c r="E745" s="98" t="str">
        <f>IFERROR(__xludf.DUMMYFUNCTION("""COMPUTED_VALUE""")," Solar M:  Solar Power:  Maintenance DG:  +  +  + MW Link: Link Name")</f>
        <v> Solar M:  Solar Power:  Maintenance DG:  +  +  + MW Link: Link Name</v>
      </c>
    </row>
    <row r="746">
      <c r="A746" s="98"/>
      <c r="B746" s="98"/>
      <c r="C746" s="98"/>
      <c r="D746" s="98"/>
      <c r="E746" s="98" t="str">
        <f>IFERROR(__xludf.DUMMYFUNCTION("""COMPUTED_VALUE""")," Solar M:  Solar Power:  Maintenance DG:  +  +  + MW Link: Link Name")</f>
        <v> Solar M:  Solar Power:  Maintenance DG:  +  +  + MW Link: Link Name</v>
      </c>
    </row>
    <row r="747">
      <c r="A747" s="98"/>
      <c r="B747" s="98"/>
      <c r="C747" s="98"/>
      <c r="D747" s="98"/>
      <c r="E747" s="98" t="str">
        <f>IFERROR(__xludf.DUMMYFUNCTION("""COMPUTED_VALUE""")," Solar M:  Solar Power:  Maintenance DG:  +  +  + MW Link: Link Name")</f>
        <v> Solar M:  Solar Power:  Maintenance DG:  +  +  + MW Link: Link Name</v>
      </c>
    </row>
    <row r="748">
      <c r="A748" s="98"/>
      <c r="B748" s="98"/>
      <c r="C748" s="98"/>
      <c r="D748" s="98"/>
      <c r="E748" s="98" t="str">
        <f>IFERROR(__xludf.DUMMYFUNCTION("""COMPUTED_VALUE""")," Solar M:  Solar Power:  Maintenance DG:  +  +  + MW Link: Link Name")</f>
        <v> Solar M:  Solar Power:  Maintenance DG:  +  +  + MW Link: Link Name</v>
      </c>
    </row>
    <row r="749">
      <c r="A749" s="98"/>
      <c r="B749" s="98"/>
      <c r="C749" s="98"/>
      <c r="D749" s="98"/>
      <c r="E749" s="98" t="str">
        <f>IFERROR(__xludf.DUMMYFUNCTION("""COMPUTED_VALUE""")," Solar M:  Solar Power:  Maintenance DG:  +  +  + MW Link: Link Name")</f>
        <v> Solar M:  Solar Power:  Maintenance DG:  +  +  + MW Link: Link Name</v>
      </c>
    </row>
    <row r="750">
      <c r="A750" s="98"/>
      <c r="B750" s="98"/>
      <c r="C750" s="98"/>
      <c r="D750" s="98"/>
      <c r="E750" s="98" t="str">
        <f>IFERROR(__xludf.DUMMYFUNCTION("""COMPUTED_VALUE""")," Solar M:  Solar Power:  Maintenance DG:  +  +  + MW Link: Link Name")</f>
        <v> Solar M:  Solar Power:  Maintenance DG:  +  +  + MW Link: Link Name</v>
      </c>
    </row>
    <row r="751">
      <c r="A751" s="98"/>
      <c r="B751" s="98"/>
      <c r="C751" s="98"/>
      <c r="D751" s="98"/>
      <c r="E751" s="98" t="str">
        <f>IFERROR(__xludf.DUMMYFUNCTION("""COMPUTED_VALUE""")," Solar M:  Solar Power:  Maintenance DG:  +  +  + MW Link: Link Name")</f>
        <v> Solar M:  Solar Power:  Maintenance DG:  +  +  + MW Link: Link Name</v>
      </c>
    </row>
    <row r="752">
      <c r="A752" s="98"/>
      <c r="B752" s="98"/>
      <c r="C752" s="98"/>
      <c r="D752" s="98"/>
      <c r="E752" s="98" t="str">
        <f>IFERROR(__xludf.DUMMYFUNCTION("""COMPUTED_VALUE""")," Solar M:  Solar Power:  Maintenance DG:  +  +  + MW Link: Link Name")</f>
        <v> Solar M:  Solar Power:  Maintenance DG:  +  +  + MW Link: Link Name</v>
      </c>
    </row>
    <row r="753">
      <c r="A753" s="98"/>
      <c r="B753" s="98"/>
      <c r="C753" s="98"/>
      <c r="D753" s="98"/>
      <c r="E753" s="98" t="str">
        <f>IFERROR(__xludf.DUMMYFUNCTION("""COMPUTED_VALUE""")," Solar M:  Solar Power:  Maintenance DG:  +  +  + MW Link: Link Name")</f>
        <v> Solar M:  Solar Power:  Maintenance DG:  +  +  + MW Link: Link Name</v>
      </c>
    </row>
    <row r="754">
      <c r="A754" s="98"/>
      <c r="B754" s="98"/>
      <c r="C754" s="98"/>
      <c r="D754" s="98"/>
      <c r="E754" s="98" t="str">
        <f>IFERROR(__xludf.DUMMYFUNCTION("""COMPUTED_VALUE""")," Solar M:  Solar Power:  Maintenance DG:  +  +  + MW Link: Link Name")</f>
        <v> Solar M:  Solar Power:  Maintenance DG:  +  +  + MW Link: Link Name</v>
      </c>
    </row>
    <row r="755">
      <c r="A755" s="98"/>
      <c r="B755" s="98"/>
      <c r="C755" s="98"/>
      <c r="D755" s="98"/>
      <c r="E755" s="98" t="str">
        <f>IFERROR(__xludf.DUMMYFUNCTION("""COMPUTED_VALUE""")," Solar M:  Solar Power:  Maintenance DG:  +  +  + MW Link: Link Name")</f>
        <v> Solar M:  Solar Power:  Maintenance DG:  +  +  + MW Link: Link Name</v>
      </c>
    </row>
    <row r="756">
      <c r="A756" s="98"/>
      <c r="B756" s="98"/>
      <c r="C756" s="98"/>
      <c r="D756" s="98"/>
      <c r="E756" s="98" t="str">
        <f>IFERROR(__xludf.DUMMYFUNCTION("""COMPUTED_VALUE""")," Solar M:  Solar Power:  Maintenance DG:  +  +  + MW Link: Link Name")</f>
        <v> Solar M:  Solar Power:  Maintenance DG:  +  +  + MW Link: Link Name</v>
      </c>
    </row>
    <row r="757">
      <c r="A757" s="98"/>
      <c r="B757" s="98"/>
      <c r="C757" s="98"/>
      <c r="D757" s="98"/>
      <c r="E757" s="98" t="str">
        <f>IFERROR(__xludf.DUMMYFUNCTION("""COMPUTED_VALUE""")," Solar M:  Solar Power:  Maintenance DG:  +  +  + MW Link: Link Name")</f>
        <v> Solar M:  Solar Power:  Maintenance DG:  +  +  + MW Link: Link Name</v>
      </c>
    </row>
    <row r="758">
      <c r="A758" s="98"/>
      <c r="B758" s="98"/>
      <c r="C758" s="98"/>
      <c r="D758" s="98"/>
      <c r="E758" s="98" t="str">
        <f>IFERROR(__xludf.DUMMYFUNCTION("""COMPUTED_VALUE""")," Solar M:  Solar Power:  Maintenance DG:  +  +  + MW Link: Link Name")</f>
        <v> Solar M:  Solar Power:  Maintenance DG:  +  +  + MW Link: Link Name</v>
      </c>
    </row>
    <row r="759">
      <c r="A759" s="98"/>
      <c r="B759" s="98"/>
      <c r="C759" s="98"/>
      <c r="D759" s="98"/>
      <c r="E759" s="98" t="str">
        <f>IFERROR(__xludf.DUMMYFUNCTION("""COMPUTED_VALUE""")," Solar M:  Solar Power:  Maintenance DG:  +  +  + MW Link: Link Name")</f>
        <v> Solar M:  Solar Power:  Maintenance DG:  +  +  + MW Link: Link Name</v>
      </c>
    </row>
    <row r="760">
      <c r="A760" s="98"/>
      <c r="B760" s="98"/>
      <c r="C760" s="98"/>
      <c r="D760" s="98"/>
      <c r="E760" s="98" t="str">
        <f>IFERROR(__xludf.DUMMYFUNCTION("""COMPUTED_VALUE""")," Solar M:  Solar Power:  Maintenance DG:  +  +  + MW Link: Link Name")</f>
        <v> Solar M:  Solar Power:  Maintenance DG:  +  +  + MW Link: Link Name</v>
      </c>
    </row>
    <row r="761">
      <c r="A761" s="98"/>
      <c r="B761" s="98"/>
      <c r="C761" s="98"/>
      <c r="D761" s="98"/>
      <c r="E761" s="98" t="str">
        <f>IFERROR(__xludf.DUMMYFUNCTION("""COMPUTED_VALUE""")," Solar M:  Solar Power:  Maintenance DG:  +  +  + MW Link: Link Name")</f>
        <v> Solar M:  Solar Power:  Maintenance DG:  +  +  + MW Link: Link Name</v>
      </c>
    </row>
    <row r="762">
      <c r="A762" s="98"/>
      <c r="B762" s="98"/>
      <c r="C762" s="98"/>
      <c r="D762" s="98"/>
      <c r="E762" s="98" t="str">
        <f>IFERROR(__xludf.DUMMYFUNCTION("""COMPUTED_VALUE""")," Solar M:  Solar Power:  Maintenance DG:  +  +  + MW Link: Link Name")</f>
        <v> Solar M:  Solar Power:  Maintenance DG:  +  +  + MW Link: Link Name</v>
      </c>
    </row>
    <row r="763">
      <c r="A763" s="98"/>
      <c r="B763" s="98"/>
      <c r="C763" s="98"/>
      <c r="D763" s="98"/>
      <c r="E763" s="98" t="str">
        <f>IFERROR(__xludf.DUMMYFUNCTION("""COMPUTED_VALUE""")," Solar M:  Solar Power:  Maintenance DG:  +  +  + MW Link: Link Name")</f>
        <v> Solar M:  Solar Power:  Maintenance DG:  +  +  + MW Link: Link Name</v>
      </c>
    </row>
    <row r="764">
      <c r="A764" s="98"/>
      <c r="B764" s="98"/>
      <c r="C764" s="98"/>
      <c r="D764" s="98"/>
      <c r="E764" s="98" t="str">
        <f>IFERROR(__xludf.DUMMYFUNCTION("""COMPUTED_VALUE""")," Solar M:  Solar Power:  Maintenance DG:  +  +  + MW Link: Link Name")</f>
        <v> Solar M:  Solar Power:  Maintenance DG:  +  +  + MW Link: Link Name</v>
      </c>
    </row>
    <row r="765">
      <c r="A765" s="98"/>
      <c r="B765" s="98"/>
      <c r="C765" s="98"/>
      <c r="D765" s="98"/>
      <c r="E765" s="98" t="str">
        <f>IFERROR(__xludf.DUMMYFUNCTION("""COMPUTED_VALUE""")," Solar M:  Solar Power:  Maintenance DG:  +  +  + MW Link: Link Name")</f>
        <v> Solar M:  Solar Power:  Maintenance DG:  +  +  + MW Link: Link Name</v>
      </c>
    </row>
    <row r="766">
      <c r="A766" s="98"/>
      <c r="B766" s="98"/>
      <c r="C766" s="98"/>
      <c r="D766" s="98"/>
      <c r="E766" s="98" t="str">
        <f>IFERROR(__xludf.DUMMYFUNCTION("""COMPUTED_VALUE""")," Solar M:  Solar Power:  Maintenance DG:  +  +  + MW Link: Link Name")</f>
        <v> Solar M:  Solar Power:  Maintenance DG:  +  +  + MW Link: Link Name</v>
      </c>
    </row>
    <row r="767">
      <c r="A767" s="98"/>
      <c r="B767" s="98"/>
      <c r="C767" s="98"/>
      <c r="D767" s="98"/>
      <c r="E767" s="98" t="str">
        <f>IFERROR(__xludf.DUMMYFUNCTION("""COMPUTED_VALUE""")," Solar M:  Solar Power:  Maintenance DG:  +  +  + MW Link: Link Name")</f>
        <v> Solar M:  Solar Power:  Maintenance DG:  +  +  + MW Link: Link Name</v>
      </c>
    </row>
    <row r="768">
      <c r="A768" s="98"/>
      <c r="B768" s="98"/>
      <c r="C768" s="98"/>
      <c r="D768" s="98"/>
      <c r="E768" s="98" t="str">
        <f>IFERROR(__xludf.DUMMYFUNCTION("""COMPUTED_VALUE""")," Solar M:  Solar Power:  Maintenance DG:  +  +  + MW Link: Link Name")</f>
        <v> Solar M:  Solar Power:  Maintenance DG:  +  +  + MW Link: Link Name</v>
      </c>
    </row>
    <row r="769">
      <c r="A769" s="98"/>
      <c r="B769" s="98"/>
      <c r="C769" s="98"/>
      <c r="D769" s="98"/>
      <c r="E769" s="98" t="str">
        <f>IFERROR(__xludf.DUMMYFUNCTION("""COMPUTED_VALUE""")," Solar M:  Solar Power:  Maintenance DG:  +  +  + MW Link: Link Name")</f>
        <v> Solar M:  Solar Power:  Maintenance DG:  +  +  + MW Link: Link Name</v>
      </c>
    </row>
    <row r="770">
      <c r="A770" s="98"/>
      <c r="B770" s="98"/>
      <c r="C770" s="98"/>
      <c r="D770" s="98"/>
      <c r="E770" s="98" t="str">
        <f>IFERROR(__xludf.DUMMYFUNCTION("""COMPUTED_VALUE""")," Solar M:  Solar Power:  Maintenance DG:  +  +  + MW Link: Link Name")</f>
        <v> Solar M:  Solar Power:  Maintenance DG:  +  +  + MW Link: Link Name</v>
      </c>
    </row>
    <row r="771">
      <c r="A771" s="98"/>
      <c r="B771" s="98"/>
      <c r="C771" s="98"/>
      <c r="D771" s="98"/>
      <c r="E771" s="98" t="str">
        <f>IFERROR(__xludf.DUMMYFUNCTION("""COMPUTED_VALUE""")," Solar M:  Solar Power:  Maintenance DG:  +  +  + MW Link: Link Name")</f>
        <v> Solar M:  Solar Power:  Maintenance DG:  +  +  + MW Link: Link Name</v>
      </c>
    </row>
    <row r="772">
      <c r="A772" s="98"/>
      <c r="B772" s="98"/>
      <c r="C772" s="98"/>
      <c r="D772" s="98"/>
      <c r="E772" s="98" t="str">
        <f>IFERROR(__xludf.DUMMYFUNCTION("""COMPUTED_VALUE""")," Solar M:  Solar Power:  Maintenance DG:  +  +  + MW Link: Link Name")</f>
        <v> Solar M:  Solar Power:  Maintenance DG:  +  +  + MW Link: Link Name</v>
      </c>
    </row>
    <row r="773">
      <c r="A773" s="98"/>
      <c r="B773" s="98"/>
      <c r="C773" s="98"/>
      <c r="D773" s="98"/>
      <c r="E773" s="98" t="str">
        <f>IFERROR(__xludf.DUMMYFUNCTION("""COMPUTED_VALUE""")," Solar M:  Solar Power:  Maintenance DG:  +  +  + MW Link: Link Name")</f>
        <v> Solar M:  Solar Power:  Maintenance DG:  +  +  + MW Link: Link Name</v>
      </c>
    </row>
    <row r="774">
      <c r="A774" s="98"/>
      <c r="B774" s="98"/>
      <c r="C774" s="98"/>
      <c r="D774" s="98"/>
      <c r="E774" s="98" t="str">
        <f>IFERROR(__xludf.DUMMYFUNCTION("""COMPUTED_VALUE""")," Solar M:  Solar Power:  Maintenance DG:  +  +  + MW Link: Link Name")</f>
        <v> Solar M:  Solar Power:  Maintenance DG:  +  +  + MW Link: Link Name</v>
      </c>
    </row>
    <row r="775">
      <c r="A775" s="98"/>
      <c r="B775" s="98"/>
      <c r="C775" s="98"/>
      <c r="D775" s="98"/>
      <c r="E775" s="98" t="str">
        <f>IFERROR(__xludf.DUMMYFUNCTION("""COMPUTED_VALUE""")," Solar M:  Solar Power:  Maintenance DG:  +  +  + MW Link: Link Name")</f>
        <v> Solar M:  Solar Power:  Maintenance DG:  +  +  + MW Link: Link Name</v>
      </c>
    </row>
    <row r="776">
      <c r="A776" s="98"/>
      <c r="B776" s="98"/>
      <c r="C776" s="98"/>
      <c r="D776" s="98"/>
      <c r="E776" s="98" t="str">
        <f>IFERROR(__xludf.DUMMYFUNCTION("""COMPUTED_VALUE""")," Solar M:  Solar Power:  Maintenance DG:  +  +  + MW Link: Link Name")</f>
        <v> Solar M:  Solar Power:  Maintenance DG:  +  +  + MW Link: Link Name</v>
      </c>
    </row>
    <row r="777">
      <c r="A777" s="98"/>
      <c r="B777" s="98"/>
      <c r="C777" s="98"/>
      <c r="D777" s="98"/>
      <c r="E777" s="98" t="str">
        <f>IFERROR(__xludf.DUMMYFUNCTION("""COMPUTED_VALUE""")," Solar M:  Solar Power:  Maintenance DG:  +  +  + MW Link: Link Name")</f>
        <v> Solar M:  Solar Power:  Maintenance DG:  +  +  + MW Link: Link Name</v>
      </c>
    </row>
    <row r="778">
      <c r="A778" s="98"/>
      <c r="B778" s="98"/>
      <c r="C778" s="98"/>
      <c r="D778" s="98"/>
      <c r="E778" s="98" t="str">
        <f>IFERROR(__xludf.DUMMYFUNCTION("""COMPUTED_VALUE""")," Solar M:  Solar Power:  Maintenance DG:  +  +  + MW Link: Link Name")</f>
        <v> Solar M:  Solar Power:  Maintenance DG:  +  +  + MW Link: Link Name</v>
      </c>
    </row>
    <row r="779">
      <c r="A779" s="98"/>
      <c r="B779" s="98"/>
      <c r="C779" s="98"/>
      <c r="D779" s="98"/>
      <c r="E779" s="98" t="str">
        <f>IFERROR(__xludf.DUMMYFUNCTION("""COMPUTED_VALUE""")," Solar M:  Solar Power:  Maintenance DG:  +  +  + MW Link: Link Name")</f>
        <v> Solar M:  Solar Power:  Maintenance DG:  +  +  + MW Link: Link Name</v>
      </c>
    </row>
    <row r="780">
      <c r="A780" s="98"/>
      <c r="B780" s="98"/>
      <c r="C780" s="98"/>
      <c r="D780" s="98"/>
      <c r="E780" s="98" t="str">
        <f>IFERROR(__xludf.DUMMYFUNCTION("""COMPUTED_VALUE""")," Solar M:  Solar Power:  Maintenance DG:  +  +  + MW Link: Link Name")</f>
        <v> Solar M:  Solar Power:  Maintenance DG:  +  +  + MW Link: Link Name</v>
      </c>
    </row>
    <row r="781">
      <c r="A781" s="98"/>
      <c r="B781" s="98"/>
      <c r="C781" s="98"/>
      <c r="D781" s="98"/>
      <c r="E781" s="98" t="str">
        <f>IFERROR(__xludf.DUMMYFUNCTION("""COMPUTED_VALUE""")," Solar M:  Solar Power:  Maintenance DG:  +  +  + MW Link: Link Name")</f>
        <v> Solar M:  Solar Power:  Maintenance DG:  +  +  + MW Link: Link Name</v>
      </c>
    </row>
    <row r="782">
      <c r="A782" s="98"/>
      <c r="B782" s="98"/>
      <c r="C782" s="98"/>
      <c r="D782" s="98"/>
      <c r="E782" s="98" t="str">
        <f>IFERROR(__xludf.DUMMYFUNCTION("""COMPUTED_VALUE""")," Solar M:  Solar Power:  Maintenance DG:  +  +  + MW Link: Link Name")</f>
        <v> Solar M:  Solar Power:  Maintenance DG:  +  +  + MW Link: Link Name</v>
      </c>
    </row>
    <row r="783">
      <c r="A783" s="98"/>
      <c r="B783" s="98"/>
      <c r="C783" s="98"/>
      <c r="D783" s="98"/>
      <c r="E783" s="98" t="str">
        <f>IFERROR(__xludf.DUMMYFUNCTION("""COMPUTED_VALUE""")," Solar M:  Solar Power:  Maintenance DG:  +  +  + MW Link: Link Name")</f>
        <v> Solar M:  Solar Power:  Maintenance DG:  +  +  + MW Link: Link Name</v>
      </c>
    </row>
    <row r="784">
      <c r="A784" s="98"/>
      <c r="B784" s="98"/>
      <c r="C784" s="98"/>
      <c r="D784" s="98"/>
      <c r="E784" s="98" t="str">
        <f>IFERROR(__xludf.DUMMYFUNCTION("""COMPUTED_VALUE""")," Solar M:  Solar Power:  Maintenance DG:  +  +  + MW Link: Link Name")</f>
        <v> Solar M:  Solar Power:  Maintenance DG:  +  +  + MW Link: Link Name</v>
      </c>
    </row>
    <row r="785">
      <c r="A785" s="98"/>
      <c r="B785" s="98"/>
      <c r="C785" s="98"/>
      <c r="D785" s="98"/>
      <c r="E785" s="98" t="str">
        <f>IFERROR(__xludf.DUMMYFUNCTION("""COMPUTED_VALUE""")," Solar M:  Solar Power:  Maintenance DG:  +  +  + MW Link: Link Name")</f>
        <v> Solar M:  Solar Power:  Maintenance DG:  +  +  + MW Link: Link Name</v>
      </c>
    </row>
    <row r="786">
      <c r="A786" s="98"/>
      <c r="B786" s="98"/>
      <c r="C786" s="98"/>
      <c r="D786" s="98"/>
      <c r="E786" s="98" t="str">
        <f>IFERROR(__xludf.DUMMYFUNCTION("""COMPUTED_VALUE""")," Solar M:  Solar Power:  Maintenance DG:  +  +  + MW Link: Link Name")</f>
        <v> Solar M:  Solar Power:  Maintenance DG:  +  +  + MW Link: Link Name</v>
      </c>
    </row>
    <row r="787">
      <c r="A787" s="98"/>
      <c r="B787" s="98"/>
      <c r="C787" s="98"/>
      <c r="D787" s="98"/>
      <c r="E787" s="98" t="str">
        <f>IFERROR(__xludf.DUMMYFUNCTION("""COMPUTED_VALUE""")," Solar M:  Solar Power:  Maintenance DG:  +  +  + MW Link: Link Name")</f>
        <v> Solar M:  Solar Power:  Maintenance DG:  +  +  + MW Link: Link Name</v>
      </c>
    </row>
    <row r="788">
      <c r="A788" s="98"/>
      <c r="B788" s="98"/>
      <c r="C788" s="98"/>
      <c r="D788" s="98"/>
      <c r="E788" s="98" t="str">
        <f>IFERROR(__xludf.DUMMYFUNCTION("""COMPUTED_VALUE""")," Solar M:  Solar Power:  Maintenance DG:  +  +  + MW Link: Link Name")</f>
        <v> Solar M:  Solar Power:  Maintenance DG:  +  +  + MW Link: Link Name</v>
      </c>
    </row>
    <row r="789">
      <c r="A789" s="98"/>
      <c r="B789" s="98"/>
      <c r="C789" s="98"/>
      <c r="D789" s="98"/>
      <c r="E789" s="98" t="str">
        <f>IFERROR(__xludf.DUMMYFUNCTION("""COMPUTED_VALUE""")," Solar M:  Solar Power:  Maintenance DG:  +  +  + MW Link: Link Name")</f>
        <v> Solar M:  Solar Power:  Maintenance DG:  +  +  + MW Link: Link Name</v>
      </c>
    </row>
    <row r="790">
      <c r="A790" s="98"/>
      <c r="B790" s="98"/>
      <c r="C790" s="98"/>
      <c r="D790" s="98"/>
      <c r="E790" s="98" t="str">
        <f>IFERROR(__xludf.DUMMYFUNCTION("""COMPUTED_VALUE""")," Solar M:  Solar Power:  Maintenance DG:  +  +  + MW Link: Link Name")</f>
        <v> Solar M:  Solar Power:  Maintenance DG:  +  +  + MW Link: Link Name</v>
      </c>
    </row>
    <row r="791">
      <c r="A791" s="98"/>
      <c r="B791" s="98"/>
      <c r="C791" s="98"/>
      <c r="D791" s="98"/>
      <c r="E791" s="98" t="str">
        <f>IFERROR(__xludf.DUMMYFUNCTION("""COMPUTED_VALUE""")," Solar M:  Solar Power:  Maintenance DG:  +  +  + MW Link: Link Name")</f>
        <v> Solar M:  Solar Power:  Maintenance DG:  +  +  + MW Link: Link Name</v>
      </c>
    </row>
    <row r="792">
      <c r="A792" s="98"/>
      <c r="B792" s="98"/>
      <c r="C792" s="98"/>
      <c r="D792" s="98"/>
      <c r="E792" s="98" t="str">
        <f>IFERROR(__xludf.DUMMYFUNCTION("""COMPUTED_VALUE""")," Solar M:  Solar Power:  Maintenance DG:  +  +  + MW Link: Link Name")</f>
        <v> Solar M:  Solar Power:  Maintenance DG:  +  +  + MW Link: Link Name</v>
      </c>
    </row>
    <row r="793">
      <c r="A793" s="98"/>
      <c r="B793" s="98"/>
      <c r="C793" s="98"/>
      <c r="D793" s="98"/>
      <c r="E793" s="98" t="str">
        <f>IFERROR(__xludf.DUMMYFUNCTION("""COMPUTED_VALUE""")," Solar M:  Solar Power:  Maintenance DG:  +  +  + MW Link: Link Name")</f>
        <v> Solar M:  Solar Power:  Maintenance DG:  +  +  + MW Link: Link Name</v>
      </c>
    </row>
    <row r="794">
      <c r="A794" s="98"/>
      <c r="B794" s="98"/>
      <c r="C794" s="98"/>
      <c r="D794" s="98"/>
      <c r="E794" s="98" t="str">
        <f>IFERROR(__xludf.DUMMYFUNCTION("""COMPUTED_VALUE""")," Solar M:  Solar Power:  Maintenance DG:  +  +  + MW Link: Link Name")</f>
        <v> Solar M:  Solar Power:  Maintenance DG:  +  +  + MW Link: Link Name</v>
      </c>
    </row>
    <row r="795">
      <c r="A795" s="98"/>
      <c r="B795" s="98"/>
      <c r="C795" s="98"/>
      <c r="D795" s="98"/>
      <c r="E795" s="98" t="str">
        <f>IFERROR(__xludf.DUMMYFUNCTION("""COMPUTED_VALUE""")," Solar M:  Solar Power:  Maintenance DG:  +  +  + MW Link: Link Name")</f>
        <v> Solar M:  Solar Power:  Maintenance DG:  +  +  + MW Link: Link Name</v>
      </c>
    </row>
    <row r="796">
      <c r="A796" s="98"/>
      <c r="B796" s="98"/>
      <c r="C796" s="98"/>
      <c r="D796" s="98"/>
      <c r="E796" s="98" t="str">
        <f>IFERROR(__xludf.DUMMYFUNCTION("""COMPUTED_VALUE""")," Solar M:  Solar Power:  Maintenance DG:  +  +  + MW Link: Link Name")</f>
        <v> Solar M:  Solar Power:  Maintenance DG:  +  +  + MW Link: Link Name</v>
      </c>
    </row>
    <row r="797">
      <c r="A797" s="98"/>
      <c r="B797" s="98"/>
      <c r="C797" s="98"/>
      <c r="D797" s="98"/>
      <c r="E797" s="98" t="str">
        <f>IFERROR(__xludf.DUMMYFUNCTION("""COMPUTED_VALUE""")," Solar M:  Solar Power:  Maintenance DG:  +  +  + MW Link: Link Name")</f>
        <v> Solar M:  Solar Power:  Maintenance DG:  +  +  + MW Link: Link Name</v>
      </c>
    </row>
    <row r="798">
      <c r="A798" s="98"/>
      <c r="B798" s="98"/>
      <c r="C798" s="98"/>
      <c r="D798" s="98"/>
      <c r="E798" s="98" t="str">
        <f>IFERROR(__xludf.DUMMYFUNCTION("""COMPUTED_VALUE""")," Solar M:  Solar Power:  Maintenance DG:  +  +  + MW Link: Link Name")</f>
        <v> Solar M:  Solar Power:  Maintenance DG:  +  +  + MW Link: Link Name</v>
      </c>
    </row>
    <row r="799">
      <c r="A799" s="98"/>
      <c r="B799" s="98"/>
      <c r="C799" s="98"/>
      <c r="D799" s="98"/>
      <c r="E799" s="98" t="str">
        <f>IFERROR(__xludf.DUMMYFUNCTION("""COMPUTED_VALUE""")," Solar M:  Solar Power:  Maintenance DG:  +  +  + MW Link: Link Name")</f>
        <v> Solar M:  Solar Power:  Maintenance DG:  +  +  + MW Link: Link Name</v>
      </c>
    </row>
    <row r="800">
      <c r="A800" s="98"/>
      <c r="B800" s="98"/>
      <c r="C800" s="98"/>
      <c r="D800" s="98"/>
      <c r="E800" s="98" t="str">
        <f>IFERROR(__xludf.DUMMYFUNCTION("""COMPUTED_VALUE""")," Solar M:  Solar Power:  Maintenance DG:  +  +  + MW Link: Link Name")</f>
        <v> Solar M:  Solar Power:  Maintenance DG:  +  +  + MW Link: Link Name</v>
      </c>
    </row>
    <row r="801">
      <c r="A801" s="98"/>
      <c r="B801" s="98"/>
      <c r="C801" s="98"/>
      <c r="D801" s="98"/>
      <c r="E801" s="98" t="str">
        <f>IFERROR(__xludf.DUMMYFUNCTION("""COMPUTED_VALUE""")," Solar M:  Solar Power:  Maintenance DG:  +  +  + MW Link: Link Name")</f>
        <v> Solar M:  Solar Power:  Maintenance DG:  +  +  + MW Link: Link Name</v>
      </c>
    </row>
    <row r="802">
      <c r="A802" s="98"/>
      <c r="B802" s="98"/>
      <c r="C802" s="98"/>
      <c r="D802" s="98"/>
      <c r="E802" s="98" t="str">
        <f>IFERROR(__xludf.DUMMYFUNCTION("""COMPUTED_VALUE""")," Solar M:  Solar Power:  Maintenance DG:  +  +  + MW Link: Link Name")</f>
        <v> Solar M:  Solar Power:  Maintenance DG:  +  +  + MW Link: Link Name</v>
      </c>
    </row>
    <row r="803">
      <c r="A803" s="98"/>
      <c r="B803" s="98"/>
      <c r="C803" s="98"/>
      <c r="D803" s="98"/>
      <c r="E803" s="98" t="str">
        <f>IFERROR(__xludf.DUMMYFUNCTION("""COMPUTED_VALUE""")," Solar M:  Solar Power:  Maintenance DG:  +  +  + MW Link: Link Name")</f>
        <v> Solar M:  Solar Power:  Maintenance DG:  +  +  + MW Link: Link Name</v>
      </c>
    </row>
    <row r="804">
      <c r="A804" s="98"/>
      <c r="B804" s="98"/>
      <c r="C804" s="98"/>
      <c r="D804" s="98"/>
      <c r="E804" s="98" t="str">
        <f>IFERROR(__xludf.DUMMYFUNCTION("""COMPUTED_VALUE""")," Solar M:  Solar Power:  Maintenance DG:  +  +  + MW Link: Link Name")</f>
        <v> Solar M:  Solar Power:  Maintenance DG:  +  +  + MW Link: Link Name</v>
      </c>
    </row>
    <row r="805">
      <c r="A805" s="98"/>
      <c r="B805" s="98"/>
      <c r="C805" s="98"/>
      <c r="D805" s="98"/>
      <c r="E805" s="98" t="str">
        <f>IFERROR(__xludf.DUMMYFUNCTION("""COMPUTED_VALUE""")," Solar M:  Solar Power:  Maintenance DG:  +  +  + MW Link: Link Name")</f>
        <v> Solar M:  Solar Power:  Maintenance DG:  +  +  + MW Link: Link Name</v>
      </c>
    </row>
    <row r="806">
      <c r="A806" s="98"/>
      <c r="B806" s="98"/>
      <c r="C806" s="98"/>
      <c r="D806" s="98"/>
      <c r="E806" s="98" t="str">
        <f>IFERROR(__xludf.DUMMYFUNCTION("""COMPUTED_VALUE""")," Solar M:  Solar Power:  Maintenance DG:  +  +  + MW Link: Link Name")</f>
        <v> Solar M:  Solar Power:  Maintenance DG:  +  +  + MW Link: Link Name</v>
      </c>
    </row>
    <row r="807">
      <c r="A807" s="98"/>
      <c r="B807" s="98"/>
      <c r="C807" s="98"/>
      <c r="D807" s="98"/>
      <c r="E807" s="98" t="str">
        <f>IFERROR(__xludf.DUMMYFUNCTION("""COMPUTED_VALUE""")," Solar M:  Solar Power:  Maintenance DG:  +  +  + MW Link: Link Name")</f>
        <v> Solar M:  Solar Power:  Maintenance DG:  +  +  + MW Link: Link Name</v>
      </c>
    </row>
    <row r="808">
      <c r="A808" s="98"/>
      <c r="B808" s="98"/>
      <c r="C808" s="98"/>
      <c r="D808" s="98"/>
      <c r="E808" s="98" t="str">
        <f>IFERROR(__xludf.DUMMYFUNCTION("""COMPUTED_VALUE""")," Solar M:  Solar Power:  Maintenance DG:  +  +  + MW Link: Link Name")</f>
        <v> Solar M:  Solar Power:  Maintenance DG:  +  +  + MW Link: Link Name</v>
      </c>
    </row>
    <row r="809">
      <c r="A809" s="98"/>
      <c r="B809" s="98"/>
      <c r="C809" s="98"/>
      <c r="D809" s="98"/>
      <c r="E809" s="98" t="str">
        <f>IFERROR(__xludf.DUMMYFUNCTION("""COMPUTED_VALUE""")," Solar M:  Solar Power:  Maintenance DG:  +  +  + MW Link: Link Name")</f>
        <v> Solar M:  Solar Power:  Maintenance DG:  +  +  + MW Link: Link Name</v>
      </c>
    </row>
    <row r="810">
      <c r="A810" s="98"/>
      <c r="B810" s="98"/>
      <c r="C810" s="98"/>
      <c r="D810" s="98"/>
      <c r="E810" s="98" t="str">
        <f>IFERROR(__xludf.DUMMYFUNCTION("""COMPUTED_VALUE""")," Solar M:  Solar Power:  Maintenance DG:  +  +  + MW Link: Link Name")</f>
        <v> Solar M:  Solar Power:  Maintenance DG:  +  +  + MW Link: Link Name</v>
      </c>
    </row>
    <row r="811">
      <c r="A811" s="98"/>
      <c r="B811" s="98"/>
      <c r="C811" s="98"/>
      <c r="D811" s="98"/>
      <c r="E811" s="98" t="str">
        <f>IFERROR(__xludf.DUMMYFUNCTION("""COMPUTED_VALUE""")," Solar M:  Solar Power:  Maintenance DG:  +  +  + MW Link: Link Name")</f>
        <v> Solar M:  Solar Power:  Maintenance DG:  +  +  + MW Link: Link Name</v>
      </c>
    </row>
    <row r="812">
      <c r="A812" s="98"/>
      <c r="B812" s="98"/>
      <c r="C812" s="98"/>
      <c r="D812" s="98"/>
      <c r="E812" s="98" t="str">
        <f>IFERROR(__xludf.DUMMYFUNCTION("""COMPUTED_VALUE""")," Solar M:  Solar Power:  Maintenance DG:  +  +  + MW Link: Link Name")</f>
        <v> Solar M:  Solar Power:  Maintenance DG:  +  +  + MW Link: Link Name</v>
      </c>
    </row>
    <row r="813">
      <c r="A813" s="98"/>
      <c r="B813" s="98"/>
      <c r="C813" s="98"/>
      <c r="D813" s="98"/>
      <c r="E813" s="98" t="str">
        <f>IFERROR(__xludf.DUMMYFUNCTION("""COMPUTED_VALUE""")," Solar M:  Solar Power:  Maintenance DG:  +  +  + MW Link: Link Name")</f>
        <v> Solar M:  Solar Power:  Maintenance DG:  +  +  + MW Link: Link Name</v>
      </c>
    </row>
    <row r="814">
      <c r="A814" s="98"/>
      <c r="B814" s="98"/>
      <c r="C814" s="98"/>
      <c r="D814" s="98"/>
      <c r="E814" s="98" t="str">
        <f>IFERROR(__xludf.DUMMYFUNCTION("""COMPUTED_VALUE""")," Solar M:  Solar Power:  Maintenance DG:  +  +  + MW Link: Link Name")</f>
        <v> Solar M:  Solar Power:  Maintenance DG:  +  +  + MW Link: Link Name</v>
      </c>
    </row>
    <row r="815">
      <c r="A815" s="98"/>
      <c r="B815" s="98"/>
      <c r="C815" s="98"/>
      <c r="D815" s="98"/>
      <c r="E815" s="98" t="str">
        <f>IFERROR(__xludf.DUMMYFUNCTION("""COMPUTED_VALUE""")," Solar M:  Solar Power:  Maintenance DG:  +  +  + MW Link: Link Name")</f>
        <v> Solar M:  Solar Power:  Maintenance DG:  +  +  + MW Link: Link Name</v>
      </c>
    </row>
    <row r="816">
      <c r="A816" s="98"/>
      <c r="B816" s="98"/>
      <c r="C816" s="98"/>
      <c r="D816" s="98"/>
      <c r="E816" s="98" t="str">
        <f>IFERROR(__xludf.DUMMYFUNCTION("""COMPUTED_VALUE""")," Solar M:  Solar Power:  Maintenance DG:  +  +  + MW Link: Link Name")</f>
        <v> Solar M:  Solar Power:  Maintenance DG:  +  +  + MW Link: Link Name</v>
      </c>
    </row>
    <row r="817">
      <c r="A817" s="98"/>
      <c r="B817" s="98"/>
      <c r="C817" s="98"/>
      <c r="D817" s="98"/>
      <c r="E817" s="98" t="str">
        <f>IFERROR(__xludf.DUMMYFUNCTION("""COMPUTED_VALUE""")," Solar M:  Solar Power:  Maintenance DG:  +  +  + MW Link: Link Name")</f>
        <v> Solar M:  Solar Power:  Maintenance DG:  +  +  + MW Link: Link Name</v>
      </c>
    </row>
    <row r="818">
      <c r="A818" s="98"/>
      <c r="B818" s="98"/>
      <c r="C818" s="98"/>
      <c r="D818" s="98"/>
      <c r="E818" s="98" t="str">
        <f>IFERROR(__xludf.DUMMYFUNCTION("""COMPUTED_VALUE""")," Solar M:  Solar Power:  Maintenance DG:  +  +  + MW Link: Link Name")</f>
        <v> Solar M:  Solar Power:  Maintenance DG:  +  +  + MW Link: Link Name</v>
      </c>
    </row>
    <row r="819">
      <c r="A819" s="98"/>
      <c r="B819" s="98"/>
      <c r="C819" s="98"/>
      <c r="D819" s="98"/>
      <c r="E819" s="98" t="str">
        <f>IFERROR(__xludf.DUMMYFUNCTION("""COMPUTED_VALUE""")," Solar M:  Solar Power:  Maintenance DG:  +  +  + MW Link: Link Name")</f>
        <v> Solar M:  Solar Power:  Maintenance DG:  +  +  + MW Link: Link Name</v>
      </c>
    </row>
    <row r="820">
      <c r="A820" s="98"/>
      <c r="B820" s="98"/>
      <c r="C820" s="98"/>
      <c r="D820" s="98"/>
      <c r="E820" s="98" t="str">
        <f>IFERROR(__xludf.DUMMYFUNCTION("""COMPUTED_VALUE""")," Solar M:  Solar Power:  Maintenance DG:  +  +  + MW Link: Link Name")</f>
        <v> Solar M:  Solar Power:  Maintenance DG:  +  +  + MW Link: Link Name</v>
      </c>
    </row>
    <row r="821">
      <c r="A821" s="98"/>
      <c r="B821" s="98"/>
      <c r="C821" s="98"/>
      <c r="D821" s="98"/>
      <c r="E821" s="98" t="str">
        <f>IFERROR(__xludf.DUMMYFUNCTION("""COMPUTED_VALUE""")," Solar M:  Solar Power:  Maintenance DG:  +  +  + MW Link: Link Name")</f>
        <v> Solar M:  Solar Power:  Maintenance DG:  +  +  + MW Link: Link Name</v>
      </c>
    </row>
    <row r="822">
      <c r="A822" s="98"/>
      <c r="B822" s="98"/>
      <c r="C822" s="98"/>
      <c r="D822" s="98"/>
      <c r="E822" s="98" t="str">
        <f>IFERROR(__xludf.DUMMYFUNCTION("""COMPUTED_VALUE""")," Solar M:  Solar Power:  Maintenance DG:  +  +  + MW Link: Link Name")</f>
        <v> Solar M:  Solar Power:  Maintenance DG:  +  +  + MW Link: Link Name</v>
      </c>
    </row>
    <row r="823">
      <c r="A823" s="98"/>
      <c r="B823" s="98"/>
      <c r="C823" s="98"/>
      <c r="D823" s="98"/>
      <c r="E823" s="98" t="str">
        <f>IFERROR(__xludf.DUMMYFUNCTION("""COMPUTED_VALUE""")," Solar M:  Solar Power:  Maintenance DG:  +  +  + MW Link: Link Name")</f>
        <v> Solar M:  Solar Power:  Maintenance DG:  +  +  + MW Link: Link Name</v>
      </c>
    </row>
    <row r="824">
      <c r="A824" s="98"/>
      <c r="B824" s="98"/>
      <c r="C824" s="98"/>
      <c r="D824" s="98"/>
      <c r="E824" s="98" t="str">
        <f>IFERROR(__xludf.DUMMYFUNCTION("""COMPUTED_VALUE""")," Solar M:  Solar Power:  Maintenance DG:  +  +  + MW Link: Link Name")</f>
        <v> Solar M:  Solar Power:  Maintenance DG:  +  +  + MW Link: Link Name</v>
      </c>
    </row>
    <row r="825">
      <c r="A825" s="98"/>
      <c r="B825" s="98"/>
      <c r="C825" s="98"/>
      <c r="D825" s="98"/>
      <c r="E825" s="98" t="str">
        <f>IFERROR(__xludf.DUMMYFUNCTION("""COMPUTED_VALUE""")," Solar M:  Solar Power:  Maintenance DG:  +  +  + MW Link: Link Name")</f>
        <v> Solar M:  Solar Power:  Maintenance DG:  +  +  + MW Link: Link Name</v>
      </c>
    </row>
    <row r="826">
      <c r="A826" s="98"/>
      <c r="B826" s="98"/>
      <c r="C826" s="98"/>
      <c r="D826" s="98"/>
      <c r="E826" s="98" t="str">
        <f>IFERROR(__xludf.DUMMYFUNCTION("""COMPUTED_VALUE""")," Solar M:  Solar Power:  Maintenance DG:  +  +  + MW Link: Link Name")</f>
        <v> Solar M:  Solar Power:  Maintenance DG:  +  +  + MW Link: Link Name</v>
      </c>
    </row>
    <row r="827">
      <c r="A827" s="98"/>
      <c r="B827" s="98"/>
      <c r="C827" s="98"/>
      <c r="D827" s="98"/>
      <c r="E827" s="98" t="str">
        <f>IFERROR(__xludf.DUMMYFUNCTION("""COMPUTED_VALUE""")," Solar M:  Solar Power:  Maintenance DG:  +  +  + MW Link: Link Name")</f>
        <v> Solar M:  Solar Power:  Maintenance DG:  +  +  + MW Link: Link Name</v>
      </c>
    </row>
    <row r="828">
      <c r="A828" s="98"/>
      <c r="B828" s="98"/>
      <c r="C828" s="98"/>
      <c r="D828" s="98"/>
      <c r="E828" s="98" t="str">
        <f>IFERROR(__xludf.DUMMYFUNCTION("""COMPUTED_VALUE""")," Solar M:  Solar Power:  Maintenance DG:  +  +  + MW Link: Link Name")</f>
        <v> Solar M:  Solar Power:  Maintenance DG:  +  +  + MW Link: Link Name</v>
      </c>
    </row>
    <row r="829">
      <c r="A829" s="98"/>
      <c r="B829" s="98"/>
      <c r="C829" s="98"/>
      <c r="D829" s="98"/>
      <c r="E829" s="98" t="str">
        <f>IFERROR(__xludf.DUMMYFUNCTION("""COMPUTED_VALUE""")," Solar M:  Solar Power:  Maintenance DG:  +  +  + MW Link: Link Name")</f>
        <v> Solar M:  Solar Power:  Maintenance DG:  +  +  + MW Link: Link Name</v>
      </c>
    </row>
    <row r="830">
      <c r="A830" s="98"/>
      <c r="B830" s="98"/>
      <c r="C830" s="98"/>
      <c r="D830" s="98"/>
      <c r="E830" s="98" t="str">
        <f>IFERROR(__xludf.DUMMYFUNCTION("""COMPUTED_VALUE""")," Solar M:  Solar Power:  Maintenance DG:  +  +  + MW Link: Link Name")</f>
        <v> Solar M:  Solar Power:  Maintenance DG:  +  +  + MW Link: Link Name</v>
      </c>
    </row>
    <row r="831">
      <c r="A831" s="98"/>
      <c r="B831" s="98"/>
      <c r="C831" s="98"/>
      <c r="D831" s="98"/>
      <c r="E831" s="98" t="str">
        <f>IFERROR(__xludf.DUMMYFUNCTION("""COMPUTED_VALUE""")," Solar M:  Solar Power:  Maintenance DG:  +  +  + MW Link: Link Name")</f>
        <v> Solar M:  Solar Power:  Maintenance DG:  +  +  + MW Link: Link Name</v>
      </c>
    </row>
    <row r="832">
      <c r="A832" s="98"/>
      <c r="B832" s="98"/>
      <c r="C832" s="98"/>
      <c r="D832" s="98"/>
      <c r="E832" s="98" t="str">
        <f>IFERROR(__xludf.DUMMYFUNCTION("""COMPUTED_VALUE""")," Solar M:  Solar Power:  Maintenance DG:  +  +  + MW Link: Link Name")</f>
        <v> Solar M:  Solar Power:  Maintenance DG:  +  +  + MW Link: Link Name</v>
      </c>
    </row>
    <row r="833">
      <c r="A833" s="98"/>
      <c r="B833" s="98"/>
      <c r="C833" s="98"/>
      <c r="D833" s="98"/>
      <c r="E833" s="98" t="str">
        <f>IFERROR(__xludf.DUMMYFUNCTION("""COMPUTED_VALUE""")," Solar M:  Solar Power:  Maintenance DG:  +  +  + MW Link: Link Name")</f>
        <v> Solar M:  Solar Power:  Maintenance DG:  +  +  + MW Link: Link Name</v>
      </c>
    </row>
    <row r="834">
      <c r="A834" s="98"/>
      <c r="B834" s="98"/>
      <c r="C834" s="98"/>
      <c r="D834" s="98"/>
      <c r="E834" s="98" t="str">
        <f>IFERROR(__xludf.DUMMYFUNCTION("""COMPUTED_VALUE""")," Solar M:  Solar Power:  Maintenance DG:  +  +  + MW Link: Link Name")</f>
        <v> Solar M:  Solar Power:  Maintenance DG:  +  +  + MW Link: Link Name</v>
      </c>
    </row>
    <row r="835">
      <c r="A835" s="98"/>
      <c r="B835" s="98"/>
      <c r="C835" s="98"/>
      <c r="D835" s="98"/>
      <c r="E835" s="98" t="str">
        <f>IFERROR(__xludf.DUMMYFUNCTION("""COMPUTED_VALUE""")," Solar M:  Solar Power:  Maintenance DG:  +  +  + MW Link: Link Name")</f>
        <v> Solar M:  Solar Power:  Maintenance DG:  +  +  + MW Link: Link Name</v>
      </c>
    </row>
    <row r="836">
      <c r="A836" s="98"/>
      <c r="B836" s="98"/>
      <c r="C836" s="98"/>
      <c r="D836" s="98"/>
      <c r="E836" s="98" t="str">
        <f>IFERROR(__xludf.DUMMYFUNCTION("""COMPUTED_VALUE""")," Solar M:  Solar Power:  Maintenance DG:  +  +  + MW Link: Link Name")</f>
        <v> Solar M:  Solar Power:  Maintenance DG:  +  +  + MW Link: Link Name</v>
      </c>
    </row>
    <row r="837">
      <c r="A837" s="98"/>
      <c r="B837" s="98"/>
      <c r="C837" s="98"/>
      <c r="D837" s="98"/>
      <c r="E837" s="98" t="str">
        <f>IFERROR(__xludf.DUMMYFUNCTION("""COMPUTED_VALUE""")," Solar M:  Solar Power:  Maintenance DG:  +  +  + MW Link: Link Name")</f>
        <v> Solar M:  Solar Power:  Maintenance DG:  +  +  + MW Link: Link Name</v>
      </c>
    </row>
    <row r="838">
      <c r="A838" s="98"/>
      <c r="B838" s="98"/>
      <c r="C838" s="98"/>
      <c r="D838" s="98"/>
      <c r="E838" s="98" t="str">
        <f>IFERROR(__xludf.DUMMYFUNCTION("""COMPUTED_VALUE""")," Solar M:  Solar Power:  Maintenance DG:  +  +  + MW Link: Link Name")</f>
        <v> Solar M:  Solar Power:  Maintenance DG:  +  +  + MW Link: Link Name</v>
      </c>
    </row>
    <row r="839">
      <c r="A839" s="98"/>
      <c r="B839" s="98"/>
      <c r="C839" s="98"/>
      <c r="D839" s="98"/>
      <c r="E839" s="98" t="str">
        <f>IFERROR(__xludf.DUMMYFUNCTION("""COMPUTED_VALUE""")," Solar M:  Solar Power:  Maintenance DG:  +  +  + MW Link: Link Name")</f>
        <v> Solar M:  Solar Power:  Maintenance DG:  +  +  + MW Link: Link Name</v>
      </c>
    </row>
    <row r="840">
      <c r="A840" s="98"/>
      <c r="B840" s="98"/>
      <c r="C840" s="98"/>
      <c r="D840" s="98"/>
      <c r="E840" s="98" t="str">
        <f>IFERROR(__xludf.DUMMYFUNCTION("""COMPUTED_VALUE""")," Solar M:  Solar Power:  Maintenance DG:  +  +  + MW Link: Link Name")</f>
        <v> Solar M:  Solar Power:  Maintenance DG:  +  +  + MW Link: Link Name</v>
      </c>
    </row>
    <row r="841">
      <c r="A841" s="98"/>
      <c r="B841" s="98"/>
      <c r="C841" s="98"/>
      <c r="D841" s="98"/>
      <c r="E841" s="98" t="str">
        <f>IFERROR(__xludf.DUMMYFUNCTION("""COMPUTED_VALUE""")," Solar M:  Solar Power:  Maintenance DG:  +  +  + MW Link: Link Name")</f>
        <v> Solar M:  Solar Power:  Maintenance DG:  +  +  + MW Link: Link Name</v>
      </c>
    </row>
    <row r="842">
      <c r="A842" s="98"/>
      <c r="B842" s="98"/>
      <c r="C842" s="98"/>
      <c r="D842" s="98"/>
      <c r="E842" s="98" t="str">
        <f>IFERROR(__xludf.DUMMYFUNCTION("""COMPUTED_VALUE""")," Solar M:  Solar Power:  Maintenance DG:  +  +  + MW Link: Link Name")</f>
        <v> Solar M:  Solar Power:  Maintenance DG:  +  +  + MW Link: Link Name</v>
      </c>
    </row>
    <row r="843">
      <c r="A843" s="98"/>
      <c r="B843" s="98"/>
      <c r="C843" s="98"/>
      <c r="D843" s="98"/>
      <c r="E843" s="98" t="str">
        <f>IFERROR(__xludf.DUMMYFUNCTION("""COMPUTED_VALUE""")," Solar M:  Solar Power:  Maintenance DG:  +  +  + MW Link: Link Name")</f>
        <v> Solar M:  Solar Power:  Maintenance DG:  +  +  + MW Link: Link Name</v>
      </c>
    </row>
    <row r="844">
      <c r="A844" s="98"/>
      <c r="B844" s="98"/>
      <c r="C844" s="98"/>
      <c r="D844" s="98"/>
      <c r="E844" s="98" t="str">
        <f>IFERROR(__xludf.DUMMYFUNCTION("""COMPUTED_VALUE""")," Solar M:  Solar Power:  Maintenance DG:  +  +  + MW Link: Link Name")</f>
        <v> Solar M:  Solar Power:  Maintenance DG:  +  +  + MW Link: Link Name</v>
      </c>
    </row>
    <row r="845">
      <c r="A845" s="98"/>
      <c r="B845" s="98"/>
      <c r="C845" s="98"/>
      <c r="D845" s="98"/>
      <c r="E845" s="98" t="str">
        <f>IFERROR(__xludf.DUMMYFUNCTION("""COMPUTED_VALUE""")," Solar M:  Solar Power:  Maintenance DG:  +  +  + MW Link: Link Name")</f>
        <v> Solar M:  Solar Power:  Maintenance DG:  +  +  + MW Link: Link Name</v>
      </c>
    </row>
    <row r="846">
      <c r="A846" s="98"/>
      <c r="B846" s="98"/>
      <c r="C846" s="98"/>
      <c r="D846" s="98"/>
      <c r="E846" s="98" t="str">
        <f>IFERROR(__xludf.DUMMYFUNCTION("""COMPUTED_VALUE""")," Solar M:  Solar Power:  Maintenance DG:  +  +  + MW Link: Link Name")</f>
        <v> Solar M:  Solar Power:  Maintenance DG:  +  +  + MW Link: Link Name</v>
      </c>
    </row>
    <row r="847">
      <c r="A847" s="98"/>
      <c r="B847" s="98"/>
      <c r="C847" s="98"/>
      <c r="D847" s="98"/>
      <c r="E847" s="98" t="str">
        <f>IFERROR(__xludf.DUMMYFUNCTION("""COMPUTED_VALUE""")," Solar M:  Solar Power:  Maintenance DG:  +  +  + MW Link: Link Name")</f>
        <v> Solar M:  Solar Power:  Maintenance DG:  +  +  + MW Link: Link Name</v>
      </c>
    </row>
    <row r="848">
      <c r="A848" s="98"/>
      <c r="B848" s="98"/>
      <c r="C848" s="98"/>
      <c r="D848" s="98"/>
      <c r="E848" s="98" t="str">
        <f>IFERROR(__xludf.DUMMYFUNCTION("""COMPUTED_VALUE""")," Solar M:  Solar Power:  Maintenance DG:  +  +  + MW Link: Link Name")</f>
        <v> Solar M:  Solar Power:  Maintenance DG:  +  +  + MW Link: Link Name</v>
      </c>
    </row>
    <row r="849">
      <c r="A849" s="98"/>
      <c r="B849" s="98"/>
      <c r="C849" s="98"/>
      <c r="D849" s="98"/>
      <c r="E849" s="98" t="str">
        <f>IFERROR(__xludf.DUMMYFUNCTION("""COMPUTED_VALUE""")," Solar M:  Solar Power:  Maintenance DG:  +  +  + MW Link: Link Name")</f>
        <v> Solar M:  Solar Power:  Maintenance DG:  +  +  + MW Link: Link Name</v>
      </c>
    </row>
    <row r="850">
      <c r="A850" s="98"/>
      <c r="B850" s="98"/>
      <c r="C850" s="98"/>
      <c r="D850" s="98"/>
      <c r="E850" s="98" t="str">
        <f>IFERROR(__xludf.DUMMYFUNCTION("""COMPUTED_VALUE""")," Solar M:  Solar Power:  Maintenance DG:  +  +  + MW Link: Link Name")</f>
        <v> Solar M:  Solar Power:  Maintenance DG:  +  +  + MW Link: Link Name</v>
      </c>
    </row>
    <row r="851">
      <c r="A851" s="98"/>
      <c r="B851" s="98"/>
      <c r="C851" s="98"/>
      <c r="D851" s="98"/>
      <c r="E851" s="98" t="str">
        <f>IFERROR(__xludf.DUMMYFUNCTION("""COMPUTED_VALUE""")," Solar M:  Solar Power:  Maintenance DG:  +  +  + MW Link: Link Name")</f>
        <v> Solar M:  Solar Power:  Maintenance DG:  +  +  + MW Link: Link Name</v>
      </c>
    </row>
    <row r="852">
      <c r="A852" s="98"/>
      <c r="B852" s="98"/>
      <c r="C852" s="98"/>
      <c r="D852" s="98"/>
      <c r="E852" s="98" t="str">
        <f>IFERROR(__xludf.DUMMYFUNCTION("""COMPUTED_VALUE""")," Solar M:  Solar Power:  Maintenance DG:  +  +  + MW Link: Link Name")</f>
        <v> Solar M:  Solar Power:  Maintenance DG:  +  +  + MW Link: Link Name</v>
      </c>
    </row>
    <row r="853">
      <c r="A853" s="98"/>
      <c r="B853" s="98"/>
      <c r="C853" s="98"/>
      <c r="D853" s="98"/>
      <c r="E853" s="98" t="str">
        <f>IFERROR(__xludf.DUMMYFUNCTION("""COMPUTED_VALUE""")," Solar M:  Solar Power:  Maintenance DG:  +  +  + MW Link: Link Name")</f>
        <v> Solar M:  Solar Power:  Maintenance DG:  +  +  + MW Link: Link Name</v>
      </c>
    </row>
    <row r="854">
      <c r="A854" s="98"/>
      <c r="B854" s="98"/>
      <c r="C854" s="98"/>
      <c r="D854" s="98"/>
      <c r="E854" s="98" t="str">
        <f>IFERROR(__xludf.DUMMYFUNCTION("""COMPUTED_VALUE""")," Solar M:  Solar Power:  Maintenance DG:  +  +  + MW Link: Link Name")</f>
        <v> Solar M:  Solar Power:  Maintenance DG:  +  +  + MW Link: Link Name</v>
      </c>
    </row>
    <row r="855">
      <c r="A855" s="98"/>
      <c r="B855" s="98"/>
      <c r="C855" s="98"/>
      <c r="D855" s="98"/>
      <c r="E855" s="98" t="str">
        <f>IFERROR(__xludf.DUMMYFUNCTION("""COMPUTED_VALUE""")," Solar M:  Solar Power:  Maintenance DG:  +  +  + MW Link: Link Name")</f>
        <v> Solar M:  Solar Power:  Maintenance DG:  +  +  + MW Link: Link Name</v>
      </c>
    </row>
    <row r="856">
      <c r="A856" s="98"/>
      <c r="B856" s="98"/>
      <c r="C856" s="98"/>
      <c r="D856" s="98"/>
      <c r="E856" s="98" t="str">
        <f>IFERROR(__xludf.DUMMYFUNCTION("""COMPUTED_VALUE""")," Solar M:  Solar Power:  Maintenance DG:  +  +  + MW Link: Link Name")</f>
        <v> Solar M:  Solar Power:  Maintenance DG:  +  +  + MW Link: Link Name</v>
      </c>
    </row>
    <row r="857">
      <c r="A857" s="98"/>
      <c r="B857" s="98"/>
      <c r="C857" s="98"/>
      <c r="D857" s="98"/>
      <c r="E857" s="98" t="str">
        <f>IFERROR(__xludf.DUMMYFUNCTION("""COMPUTED_VALUE""")," Solar M:  Solar Power:  Maintenance DG:  +  +  + MW Link: Link Name")</f>
        <v> Solar M:  Solar Power:  Maintenance DG:  +  +  + MW Link: Link Name</v>
      </c>
    </row>
    <row r="858">
      <c r="A858" s="98"/>
      <c r="B858" s="98"/>
      <c r="C858" s="98"/>
      <c r="D858" s="98"/>
      <c r="E858" s="98" t="str">
        <f>IFERROR(__xludf.DUMMYFUNCTION("""COMPUTED_VALUE""")," Solar M:  Solar Power:  Maintenance DG:  +  +  + MW Link: Link Name")</f>
        <v> Solar M:  Solar Power:  Maintenance DG:  +  +  + MW Link: Link Name</v>
      </c>
    </row>
    <row r="859">
      <c r="A859" s="98"/>
      <c r="B859" s="98"/>
      <c r="C859" s="98"/>
      <c r="D859" s="98"/>
      <c r="E859" s="98" t="str">
        <f>IFERROR(__xludf.DUMMYFUNCTION("""COMPUTED_VALUE""")," Solar M:  Solar Power:  Maintenance DG:  +  +  + MW Link: Link Name")</f>
        <v> Solar M:  Solar Power:  Maintenance DG:  +  +  + MW Link: Link Name</v>
      </c>
    </row>
    <row r="860">
      <c r="A860" s="98"/>
      <c r="B860" s="98"/>
      <c r="C860" s="98"/>
      <c r="D860" s="98"/>
      <c r="E860" s="98" t="str">
        <f>IFERROR(__xludf.DUMMYFUNCTION("""COMPUTED_VALUE""")," Solar M:  Solar Power:  Maintenance DG:  +  +  + MW Link: Link Name")</f>
        <v> Solar M:  Solar Power:  Maintenance DG:  +  +  + MW Link: Link Name</v>
      </c>
    </row>
    <row r="861">
      <c r="A861" s="98"/>
      <c r="B861" s="98"/>
      <c r="C861" s="98"/>
      <c r="D861" s="98"/>
      <c r="E861" s="98" t="str">
        <f>IFERROR(__xludf.DUMMYFUNCTION("""COMPUTED_VALUE""")," Solar M:  Solar Power:  Maintenance DG:  +  +  + MW Link: Link Name")</f>
        <v> Solar M:  Solar Power:  Maintenance DG:  +  +  + MW Link: Link Name</v>
      </c>
    </row>
    <row r="862">
      <c r="A862" s="98"/>
      <c r="B862" s="98"/>
      <c r="C862" s="98"/>
      <c r="D862" s="98"/>
      <c r="E862" s="98" t="str">
        <f>IFERROR(__xludf.DUMMYFUNCTION("""COMPUTED_VALUE""")," Solar M:  Solar Power:  Maintenance DG:  +  +  + MW Link: Link Name")</f>
        <v> Solar M:  Solar Power:  Maintenance DG:  +  +  + MW Link: Link Name</v>
      </c>
    </row>
    <row r="863">
      <c r="A863" s="98"/>
      <c r="B863" s="98"/>
      <c r="C863" s="98"/>
      <c r="D863" s="98"/>
      <c r="E863" s="98" t="str">
        <f>IFERROR(__xludf.DUMMYFUNCTION("""COMPUTED_VALUE""")," Solar M:  Solar Power:  Maintenance DG:  +  +  + MW Link: Link Name")</f>
        <v> Solar M:  Solar Power:  Maintenance DG:  +  +  + MW Link: Link Name</v>
      </c>
    </row>
    <row r="864">
      <c r="A864" s="98"/>
      <c r="B864" s="98"/>
      <c r="C864" s="98"/>
      <c r="D864" s="98"/>
      <c r="E864" s="98" t="str">
        <f>IFERROR(__xludf.DUMMYFUNCTION("""COMPUTED_VALUE""")," Solar M:  Solar Power:  Maintenance DG:  +  +  + MW Link: Link Name")</f>
        <v> Solar M:  Solar Power:  Maintenance DG:  +  +  + MW Link: Link Name</v>
      </c>
    </row>
    <row r="865">
      <c r="A865" s="98"/>
      <c r="B865" s="98"/>
      <c r="C865" s="98"/>
      <c r="D865" s="98"/>
      <c r="E865" s="98" t="str">
        <f>IFERROR(__xludf.DUMMYFUNCTION("""COMPUTED_VALUE""")," Solar M:  Solar Power:  Maintenance DG:  +  +  + MW Link: Link Name")</f>
        <v> Solar M:  Solar Power:  Maintenance DG:  +  +  + MW Link: Link Name</v>
      </c>
    </row>
    <row r="866">
      <c r="A866" s="98"/>
      <c r="B866" s="98"/>
      <c r="C866" s="98"/>
      <c r="D866" s="98"/>
      <c r="E866" s="98" t="str">
        <f>IFERROR(__xludf.DUMMYFUNCTION("""COMPUTED_VALUE""")," Solar M:  Solar Power:  Maintenance DG:  +  +  + MW Link: Link Name")</f>
        <v> Solar M:  Solar Power:  Maintenance DG:  +  +  + MW Link: Link Name</v>
      </c>
    </row>
    <row r="867">
      <c r="A867" s="98"/>
      <c r="B867" s="98"/>
      <c r="C867" s="98"/>
      <c r="D867" s="98"/>
      <c r="E867" s="98" t="str">
        <f>IFERROR(__xludf.DUMMYFUNCTION("""COMPUTED_VALUE""")," Solar M:  Solar Power:  Maintenance DG:  +  +  + MW Link: Link Name")</f>
        <v> Solar M:  Solar Power:  Maintenance DG:  +  +  + MW Link: Link Name</v>
      </c>
    </row>
    <row r="868">
      <c r="A868" s="98"/>
      <c r="B868" s="98"/>
      <c r="C868" s="98"/>
      <c r="D868" s="98"/>
      <c r="E868" s="98" t="str">
        <f>IFERROR(__xludf.DUMMYFUNCTION("""COMPUTED_VALUE""")," Solar M:  Solar Power:  Maintenance DG:  +  +  + MW Link: Link Name")</f>
        <v> Solar M:  Solar Power:  Maintenance DG:  +  +  + MW Link: Link Name</v>
      </c>
    </row>
    <row r="869">
      <c r="A869" s="98"/>
      <c r="B869" s="98"/>
      <c r="C869" s="98"/>
      <c r="D869" s="98"/>
      <c r="E869" s="98" t="str">
        <f>IFERROR(__xludf.DUMMYFUNCTION("""COMPUTED_VALUE""")," Solar M:  Solar Power:  Maintenance DG:  +  +  + MW Link: Link Name")</f>
        <v> Solar M:  Solar Power:  Maintenance DG:  +  +  + MW Link: Link Name</v>
      </c>
    </row>
    <row r="870">
      <c r="A870" s="98"/>
      <c r="B870" s="98"/>
      <c r="C870" s="98"/>
      <c r="D870" s="98"/>
      <c r="E870" s="98" t="str">
        <f>IFERROR(__xludf.DUMMYFUNCTION("""COMPUTED_VALUE""")," Solar M:  Solar Power:  Maintenance DG:  +  +  + MW Link: Link Name")</f>
        <v> Solar M:  Solar Power:  Maintenance DG:  +  +  + MW Link: Link Name</v>
      </c>
    </row>
    <row r="871">
      <c r="A871" s="98"/>
      <c r="B871" s="98"/>
      <c r="C871" s="98"/>
      <c r="D871" s="98"/>
      <c r="E871" s="98" t="str">
        <f>IFERROR(__xludf.DUMMYFUNCTION("""COMPUTED_VALUE""")," Solar M:  Solar Power:  Maintenance DG:  +  +  + MW Link: Link Name")</f>
        <v> Solar M:  Solar Power:  Maintenance DG:  +  +  + MW Link: Link Name</v>
      </c>
    </row>
    <row r="872">
      <c r="A872" s="98"/>
      <c r="B872" s="98"/>
      <c r="C872" s="98"/>
      <c r="D872" s="98"/>
      <c r="E872" s="98" t="str">
        <f>IFERROR(__xludf.DUMMYFUNCTION("""COMPUTED_VALUE""")," Solar M:  Solar Power:  Maintenance DG:  +  +  + MW Link: Link Name")</f>
        <v> Solar M:  Solar Power:  Maintenance DG:  +  +  + MW Link: Link Name</v>
      </c>
    </row>
    <row r="873">
      <c r="A873" s="98"/>
      <c r="B873" s="98"/>
      <c r="C873" s="98"/>
      <c r="D873" s="98"/>
      <c r="E873" s="98" t="str">
        <f>IFERROR(__xludf.DUMMYFUNCTION("""COMPUTED_VALUE""")," Solar M:  Solar Power:  Maintenance DG:  +  +  + MW Link: Link Name")</f>
        <v> Solar M:  Solar Power:  Maintenance DG:  +  +  + MW Link: Link Name</v>
      </c>
    </row>
    <row r="874">
      <c r="A874" s="98"/>
      <c r="B874" s="98"/>
      <c r="C874" s="98"/>
      <c r="D874" s="98"/>
      <c r="E874" s="98" t="str">
        <f>IFERROR(__xludf.DUMMYFUNCTION("""COMPUTED_VALUE""")," Solar M:  Solar Power:  Maintenance DG:  +  +  + MW Link: Link Name")</f>
        <v> Solar M:  Solar Power:  Maintenance DG:  +  +  + MW Link: Link Name</v>
      </c>
    </row>
    <row r="875">
      <c r="A875" s="98"/>
      <c r="B875" s="98"/>
      <c r="C875" s="98"/>
      <c r="D875" s="98"/>
      <c r="E875" s="98" t="str">
        <f>IFERROR(__xludf.DUMMYFUNCTION("""COMPUTED_VALUE""")," Solar M:  Solar Power:  Maintenance DG:  +  +  + MW Link: Link Name")</f>
        <v> Solar M:  Solar Power:  Maintenance DG:  +  +  + MW Link: Link Name</v>
      </c>
    </row>
    <row r="876">
      <c r="A876" s="98"/>
      <c r="B876" s="98"/>
      <c r="C876" s="98"/>
      <c r="D876" s="98"/>
      <c r="E876" s="98" t="str">
        <f>IFERROR(__xludf.DUMMYFUNCTION("""COMPUTED_VALUE""")," Solar M:  Solar Power:  Maintenance DG:  +  +  + MW Link: Link Name")</f>
        <v> Solar M:  Solar Power:  Maintenance DG:  +  +  + MW Link: Link Name</v>
      </c>
    </row>
    <row r="877">
      <c r="A877" s="98"/>
      <c r="B877" s="98"/>
      <c r="C877" s="98"/>
      <c r="D877" s="98"/>
      <c r="E877" s="98" t="str">
        <f>IFERROR(__xludf.DUMMYFUNCTION("""COMPUTED_VALUE""")," Solar M:  Solar Power:  Maintenance DG:  +  +  + MW Link: Link Name")</f>
        <v> Solar M:  Solar Power:  Maintenance DG:  +  +  + MW Link: Link Name</v>
      </c>
    </row>
    <row r="878">
      <c r="A878" s="98"/>
      <c r="B878" s="98"/>
      <c r="C878" s="98"/>
      <c r="D878" s="98"/>
      <c r="E878" s="98" t="str">
        <f>IFERROR(__xludf.DUMMYFUNCTION("""COMPUTED_VALUE""")," Solar M:  Solar Power:  Maintenance DG:  +  +  + MW Link: Link Name")</f>
        <v> Solar M:  Solar Power:  Maintenance DG:  +  +  + MW Link: Link Name</v>
      </c>
    </row>
    <row r="879">
      <c r="A879" s="98"/>
      <c r="B879" s="98"/>
      <c r="C879" s="98"/>
      <c r="D879" s="98"/>
      <c r="E879" s="98" t="str">
        <f>IFERROR(__xludf.DUMMYFUNCTION("""COMPUTED_VALUE""")," Solar M:  Solar Power:  Maintenance DG:  +  +  + MW Link: Link Name")</f>
        <v> Solar M:  Solar Power:  Maintenance DG:  +  +  + MW Link: Link Name</v>
      </c>
    </row>
    <row r="880">
      <c r="A880" s="98"/>
      <c r="B880" s="98"/>
      <c r="C880" s="98"/>
      <c r="D880" s="98"/>
      <c r="E880" s="98" t="str">
        <f>IFERROR(__xludf.DUMMYFUNCTION("""COMPUTED_VALUE""")," Solar M:  Solar Power:  Maintenance DG:  +  +  + MW Link: Link Name")</f>
        <v> Solar M:  Solar Power:  Maintenance DG:  +  +  + MW Link: Link Name</v>
      </c>
    </row>
    <row r="881">
      <c r="A881" s="98"/>
      <c r="B881" s="98"/>
      <c r="C881" s="98"/>
      <c r="D881" s="98"/>
      <c r="E881" s="98" t="str">
        <f>IFERROR(__xludf.DUMMYFUNCTION("""COMPUTED_VALUE""")," Solar M:  Solar Power:  Maintenance DG:  +  +  + MW Link: Link Name")</f>
        <v> Solar M:  Solar Power:  Maintenance DG:  +  +  + MW Link: Link Name</v>
      </c>
    </row>
    <row r="882">
      <c r="A882" s="98"/>
      <c r="B882" s="98"/>
      <c r="C882" s="98"/>
      <c r="D882" s="98"/>
      <c r="E882" s="98" t="str">
        <f>IFERROR(__xludf.DUMMYFUNCTION("""COMPUTED_VALUE""")," Solar M:  Solar Power:  Maintenance DG:  +  +  + MW Link: Link Name")</f>
        <v> Solar M:  Solar Power:  Maintenance DG:  +  +  + MW Link: Link Name</v>
      </c>
    </row>
    <row r="883">
      <c r="A883" s="98"/>
      <c r="B883" s="98"/>
      <c r="C883" s="98"/>
      <c r="D883" s="98"/>
      <c r="E883" s="98" t="str">
        <f>IFERROR(__xludf.DUMMYFUNCTION("""COMPUTED_VALUE""")," Solar M:  Solar Power:  Maintenance DG:  +  +  + MW Link: Link Name")</f>
        <v> Solar M:  Solar Power:  Maintenance DG:  +  +  + MW Link: Link Name</v>
      </c>
    </row>
    <row r="884">
      <c r="A884" s="98"/>
      <c r="B884" s="98"/>
      <c r="C884" s="98"/>
      <c r="D884" s="98"/>
      <c r="E884" s="98" t="str">
        <f>IFERROR(__xludf.DUMMYFUNCTION("""COMPUTED_VALUE""")," Solar M:  Solar Power:  Maintenance DG:  +  +  + MW Link: Link Name")</f>
        <v> Solar M:  Solar Power:  Maintenance DG:  +  +  + MW Link: Link Name</v>
      </c>
    </row>
    <row r="885">
      <c r="A885" s="98"/>
      <c r="B885" s="98"/>
      <c r="C885" s="98"/>
      <c r="D885" s="98"/>
      <c r="E885" s="98" t="str">
        <f>IFERROR(__xludf.DUMMYFUNCTION("""COMPUTED_VALUE""")," Solar M:  Solar Power:  Maintenance DG:  +  +  + MW Link: Link Name")</f>
        <v> Solar M:  Solar Power:  Maintenance DG:  +  +  + MW Link: Link Name</v>
      </c>
    </row>
    <row r="886">
      <c r="A886" s="98"/>
      <c r="B886" s="98"/>
      <c r="C886" s="98"/>
      <c r="D886" s="98"/>
      <c r="E886" s="98" t="str">
        <f>IFERROR(__xludf.DUMMYFUNCTION("""COMPUTED_VALUE""")," Solar M:  Solar Power:  Maintenance DG:  +  +  + MW Link: Link Name")</f>
        <v> Solar M:  Solar Power:  Maintenance DG:  +  +  + MW Link: Link Name</v>
      </c>
    </row>
    <row r="887">
      <c r="A887" s="98"/>
      <c r="B887" s="98"/>
      <c r="C887" s="98"/>
      <c r="D887" s="98"/>
      <c r="E887" s="98" t="str">
        <f>IFERROR(__xludf.DUMMYFUNCTION("""COMPUTED_VALUE""")," Solar M:  Solar Power:  Maintenance DG:  +  +  + MW Link: Link Name")</f>
        <v> Solar M:  Solar Power:  Maintenance DG:  +  +  + MW Link: Link Name</v>
      </c>
    </row>
    <row r="888">
      <c r="A888" s="98"/>
      <c r="B888" s="98"/>
      <c r="C888" s="98"/>
      <c r="D888" s="98"/>
      <c r="E888" s="98" t="str">
        <f>IFERROR(__xludf.DUMMYFUNCTION("""COMPUTED_VALUE""")," Solar M:  Solar Power:  Maintenance DG:  +  +  + MW Link: Link Name")</f>
        <v> Solar M:  Solar Power:  Maintenance DG:  +  +  + MW Link: Link Name</v>
      </c>
    </row>
    <row r="889">
      <c r="A889" s="98"/>
      <c r="B889" s="98"/>
      <c r="C889" s="98"/>
      <c r="D889" s="98"/>
      <c r="E889" s="98" t="str">
        <f>IFERROR(__xludf.DUMMYFUNCTION("""COMPUTED_VALUE""")," Solar M:  Solar Power:  Maintenance DG:  +  +  + MW Link: Link Name")</f>
        <v> Solar M:  Solar Power:  Maintenance DG:  +  +  + MW Link: Link Name</v>
      </c>
    </row>
    <row r="890">
      <c r="A890" s="98"/>
      <c r="B890" s="98"/>
      <c r="C890" s="98"/>
      <c r="D890" s="98"/>
      <c r="E890" s="98" t="str">
        <f>IFERROR(__xludf.DUMMYFUNCTION("""COMPUTED_VALUE""")," Solar M:  Solar Power:  Maintenance DG:  +  +  + MW Link: Link Name")</f>
        <v> Solar M:  Solar Power:  Maintenance DG:  +  +  + MW Link: Link Name</v>
      </c>
    </row>
    <row r="891">
      <c r="A891" s="98"/>
      <c r="B891" s="98"/>
      <c r="C891" s="98"/>
      <c r="D891" s="98"/>
      <c r="E891" s="98" t="str">
        <f>IFERROR(__xludf.DUMMYFUNCTION("""COMPUTED_VALUE""")," Solar M:  Solar Power:  Maintenance DG:  +  +  + MW Link: Link Name")</f>
        <v> Solar M:  Solar Power:  Maintenance DG:  +  +  + MW Link: Link Name</v>
      </c>
    </row>
    <row r="892">
      <c r="A892" s="98"/>
      <c r="B892" s="98"/>
      <c r="C892" s="98"/>
      <c r="D892" s="98"/>
      <c r="E892" s="98" t="str">
        <f>IFERROR(__xludf.DUMMYFUNCTION("""COMPUTED_VALUE""")," Solar M:  Solar Power:  Maintenance DG:  +  +  + MW Link: Link Name")</f>
        <v> Solar M:  Solar Power:  Maintenance DG:  +  +  + MW Link: Link Name</v>
      </c>
    </row>
    <row r="893">
      <c r="A893" s="98"/>
      <c r="B893" s="98"/>
      <c r="C893" s="98"/>
      <c r="D893" s="98"/>
      <c r="E893" s="98" t="str">
        <f>IFERROR(__xludf.DUMMYFUNCTION("""COMPUTED_VALUE""")," Solar M:  Solar Power:  Maintenance DG:  +  +  + MW Link: Link Name")</f>
        <v> Solar M:  Solar Power:  Maintenance DG:  +  +  + MW Link: Link Name</v>
      </c>
    </row>
    <row r="894">
      <c r="A894" s="98"/>
      <c r="B894" s="98"/>
      <c r="C894" s="98"/>
      <c r="D894" s="98"/>
      <c r="E894" s="98" t="str">
        <f>IFERROR(__xludf.DUMMYFUNCTION("""COMPUTED_VALUE""")," Solar M:  Solar Power:  Maintenance DG:  +  +  + MW Link: Link Name")</f>
        <v> Solar M:  Solar Power:  Maintenance DG:  +  +  + MW Link: Link Name</v>
      </c>
    </row>
    <row r="895">
      <c r="A895" s="98"/>
      <c r="B895" s="98"/>
      <c r="C895" s="98"/>
      <c r="D895" s="98"/>
      <c r="E895" s="98" t="str">
        <f>IFERROR(__xludf.DUMMYFUNCTION("""COMPUTED_VALUE""")," Solar M:  Solar Power:  Maintenance DG:  +  +  + MW Link: Link Name")</f>
        <v> Solar M:  Solar Power:  Maintenance DG:  +  +  + MW Link: Link Name</v>
      </c>
    </row>
    <row r="896">
      <c r="A896" s="98"/>
      <c r="B896" s="98"/>
      <c r="C896" s="98"/>
      <c r="D896" s="98"/>
      <c r="E896" s="98" t="str">
        <f>IFERROR(__xludf.DUMMYFUNCTION("""COMPUTED_VALUE""")," Solar M:  Solar Power:  Maintenance DG:  +  +  + MW Link: Link Name")</f>
        <v> Solar M:  Solar Power:  Maintenance DG:  +  +  + MW Link: Link Name</v>
      </c>
    </row>
    <row r="897">
      <c r="A897" s="98"/>
      <c r="B897" s="98"/>
      <c r="C897" s="98"/>
      <c r="D897" s="98"/>
      <c r="E897" s="98" t="str">
        <f>IFERROR(__xludf.DUMMYFUNCTION("""COMPUTED_VALUE""")," Solar M:  Solar Power:  Maintenance DG:  +  +  + MW Link: Link Name")</f>
        <v> Solar M:  Solar Power:  Maintenance DG:  +  +  + MW Link: Link Name</v>
      </c>
    </row>
    <row r="898">
      <c r="A898" s="98"/>
      <c r="B898" s="98"/>
      <c r="C898" s="98"/>
      <c r="D898" s="98"/>
      <c r="E898" s="98" t="str">
        <f>IFERROR(__xludf.DUMMYFUNCTION("""COMPUTED_VALUE""")," Solar M:  Solar Power:  Maintenance DG:  +  +  + MW Link: Link Name")</f>
        <v> Solar M:  Solar Power:  Maintenance DG:  +  +  + MW Link: Link Name</v>
      </c>
    </row>
    <row r="899">
      <c r="A899" s="98"/>
      <c r="B899" s="98"/>
      <c r="C899" s="98"/>
      <c r="D899" s="98"/>
      <c r="E899" s="98" t="str">
        <f>IFERROR(__xludf.DUMMYFUNCTION("""COMPUTED_VALUE""")," Solar M:  Solar Power:  Maintenance DG:  +  +  + MW Link: Link Name")</f>
        <v> Solar M:  Solar Power:  Maintenance DG:  +  +  + MW Link: Link Name</v>
      </c>
    </row>
    <row r="900">
      <c r="A900" s="98"/>
      <c r="B900" s="98"/>
      <c r="C900" s="98"/>
      <c r="D900" s="98"/>
      <c r="E900" s="98" t="str">
        <f>IFERROR(__xludf.DUMMYFUNCTION("""COMPUTED_VALUE""")," Solar M:  Solar Power:  Maintenance DG:  +  +  + MW Link: Link Name")</f>
        <v> Solar M:  Solar Power:  Maintenance DG:  +  +  + MW Link: Link Name</v>
      </c>
    </row>
    <row r="901">
      <c r="A901" s="98"/>
      <c r="B901" s="98"/>
      <c r="C901" s="98"/>
      <c r="D901" s="98"/>
      <c r="E901" s="98" t="str">
        <f>IFERROR(__xludf.DUMMYFUNCTION("""COMPUTED_VALUE""")," Solar M:  Solar Power:  Maintenance DG:  +  +  + MW Link: Link Name")</f>
        <v> Solar M:  Solar Power:  Maintenance DG:  +  +  + MW Link: Link Name</v>
      </c>
    </row>
    <row r="902">
      <c r="A902" s="98"/>
      <c r="B902" s="98"/>
      <c r="C902" s="98"/>
      <c r="D902" s="98"/>
      <c r="E902" s="98" t="str">
        <f>IFERROR(__xludf.DUMMYFUNCTION("""COMPUTED_VALUE""")," Solar M:  Solar Power:  Maintenance DG:  +  +  + MW Link: Link Name")</f>
        <v> Solar M:  Solar Power:  Maintenance DG:  +  +  + MW Link: Link Name</v>
      </c>
    </row>
    <row r="903">
      <c r="A903" s="98"/>
      <c r="B903" s="98"/>
      <c r="C903" s="98"/>
      <c r="D903" s="98"/>
      <c r="E903" s="98" t="str">
        <f>IFERROR(__xludf.DUMMYFUNCTION("""COMPUTED_VALUE""")," Solar M:  Solar Power:  Maintenance DG:  +  +  + MW Link: Link Name")</f>
        <v> Solar M:  Solar Power:  Maintenance DG:  +  +  + MW Link: Link Name</v>
      </c>
    </row>
    <row r="904">
      <c r="A904" s="98"/>
      <c r="B904" s="98"/>
      <c r="C904" s="98"/>
      <c r="D904" s="98"/>
      <c r="E904" s="98" t="str">
        <f>IFERROR(__xludf.DUMMYFUNCTION("""COMPUTED_VALUE""")," Solar M:  Solar Power:  Maintenance DG:  +  +  + MW Link: Link Name")</f>
        <v> Solar M:  Solar Power:  Maintenance DG:  +  +  + MW Link: Link Name</v>
      </c>
    </row>
    <row r="905">
      <c r="A905" s="98"/>
      <c r="B905" s="98"/>
      <c r="C905" s="98"/>
      <c r="D905" s="98"/>
      <c r="E905" s="98" t="str">
        <f>IFERROR(__xludf.DUMMYFUNCTION("""COMPUTED_VALUE""")," Solar M:  Solar Power:  Maintenance DG:  +  +  + MW Link: Link Name")</f>
        <v> Solar M:  Solar Power:  Maintenance DG:  +  +  + MW Link: Link Name</v>
      </c>
    </row>
    <row r="906">
      <c r="A906" s="98"/>
      <c r="B906" s="98"/>
      <c r="C906" s="98"/>
      <c r="D906" s="98"/>
      <c r="E906" s="98" t="str">
        <f>IFERROR(__xludf.DUMMYFUNCTION("""COMPUTED_VALUE""")," Solar M:  Solar Power:  Maintenance DG:  +  +  + MW Link: Link Name")</f>
        <v> Solar M:  Solar Power:  Maintenance DG:  +  +  + MW Link: Link Name</v>
      </c>
    </row>
    <row r="907">
      <c r="A907" s="98"/>
      <c r="B907" s="98"/>
      <c r="C907" s="98"/>
      <c r="D907" s="98"/>
      <c r="E907" s="98" t="str">
        <f>IFERROR(__xludf.DUMMYFUNCTION("""COMPUTED_VALUE""")," Solar M:  Solar Power:  Maintenance DG:  +  +  + MW Link: Link Name")</f>
        <v> Solar M:  Solar Power:  Maintenance DG:  +  +  + MW Link: Link Name</v>
      </c>
    </row>
    <row r="908">
      <c r="A908" s="98"/>
      <c r="B908" s="98"/>
      <c r="C908" s="98"/>
      <c r="D908" s="98"/>
      <c r="E908" s="98" t="str">
        <f>IFERROR(__xludf.DUMMYFUNCTION("""COMPUTED_VALUE""")," Solar M:  Solar Power:  Maintenance DG:  +  +  + MW Link: Link Name")</f>
        <v> Solar M:  Solar Power:  Maintenance DG:  +  +  + MW Link: Link Name</v>
      </c>
    </row>
    <row r="909">
      <c r="A909" s="98"/>
      <c r="B909" s="98"/>
      <c r="C909" s="98"/>
      <c r="D909" s="98"/>
      <c r="E909" s="98" t="str">
        <f>IFERROR(__xludf.DUMMYFUNCTION("""COMPUTED_VALUE""")," Solar M:  Solar Power:  Maintenance DG:  +  +  + MW Link: Link Name")</f>
        <v> Solar M:  Solar Power:  Maintenance DG:  +  +  + MW Link: Link Name</v>
      </c>
    </row>
    <row r="910">
      <c r="A910" s="98"/>
      <c r="B910" s="98"/>
      <c r="C910" s="98"/>
      <c r="D910" s="98"/>
      <c r="E910" s="98" t="str">
        <f>IFERROR(__xludf.DUMMYFUNCTION("""COMPUTED_VALUE""")," Solar M:  Solar Power:  Maintenance DG:  +  +  + MW Link: Link Name")</f>
        <v> Solar M:  Solar Power:  Maintenance DG:  +  +  + MW Link: Link Name</v>
      </c>
    </row>
    <row r="911">
      <c r="A911" s="98"/>
      <c r="B911" s="98"/>
      <c r="C911" s="98"/>
      <c r="D911" s="98"/>
      <c r="E911" s="98" t="str">
        <f>IFERROR(__xludf.DUMMYFUNCTION("""COMPUTED_VALUE""")," Solar M:  Solar Power:  Maintenance DG:  +  +  + MW Link: Link Name")</f>
        <v> Solar M:  Solar Power:  Maintenance DG:  +  +  + MW Link: Link Name</v>
      </c>
    </row>
    <row r="912">
      <c r="A912" s="98"/>
      <c r="B912" s="98"/>
      <c r="C912" s="98"/>
      <c r="D912" s="98"/>
      <c r="E912" s="98" t="str">
        <f>IFERROR(__xludf.DUMMYFUNCTION("""COMPUTED_VALUE""")," Solar M:  Solar Power:  Maintenance DG:  +  +  + MW Link: Link Name")</f>
        <v> Solar M:  Solar Power:  Maintenance DG:  +  +  + MW Link: Link Name</v>
      </c>
    </row>
    <row r="913">
      <c r="A913" s="98"/>
      <c r="B913" s="98"/>
      <c r="C913" s="98"/>
      <c r="D913" s="98"/>
      <c r="E913" s="98" t="str">
        <f>IFERROR(__xludf.DUMMYFUNCTION("""COMPUTED_VALUE""")," Solar M:  Solar Power:  Maintenance DG:  +  +  + MW Link: Link Name")</f>
        <v> Solar M:  Solar Power:  Maintenance DG:  +  +  + MW Link: Link Name</v>
      </c>
    </row>
    <row r="914">
      <c r="A914" s="98"/>
      <c r="B914" s="98"/>
      <c r="C914" s="98"/>
      <c r="D914" s="98"/>
      <c r="E914" s="98" t="str">
        <f>IFERROR(__xludf.DUMMYFUNCTION("""COMPUTED_VALUE""")," Solar M:  Solar Power:  Maintenance DG:  +  +  + MW Link: Link Name")</f>
        <v> Solar M:  Solar Power:  Maintenance DG:  +  +  + MW Link: Link Name</v>
      </c>
    </row>
    <row r="915">
      <c r="A915" s="98"/>
      <c r="B915" s="98"/>
      <c r="C915" s="98"/>
      <c r="D915" s="98"/>
      <c r="E915" s="98" t="str">
        <f>IFERROR(__xludf.DUMMYFUNCTION("""COMPUTED_VALUE""")," Solar M:  Solar Power:  Maintenance DG:  +  +  + MW Link: Link Name")</f>
        <v> Solar M:  Solar Power:  Maintenance DG:  +  +  + MW Link: Link Name</v>
      </c>
    </row>
    <row r="916">
      <c r="A916" s="98"/>
      <c r="B916" s="98"/>
      <c r="C916" s="98"/>
      <c r="D916" s="98"/>
      <c r="E916" s="98" t="str">
        <f>IFERROR(__xludf.DUMMYFUNCTION("""COMPUTED_VALUE""")," Solar M:  Solar Power:  Maintenance DG:  +  +  + MW Link: Link Name")</f>
        <v> Solar M:  Solar Power:  Maintenance DG:  +  +  + MW Link: Link Name</v>
      </c>
    </row>
    <row r="917">
      <c r="A917" s="98"/>
      <c r="B917" s="98"/>
      <c r="C917" s="98"/>
      <c r="D917" s="98"/>
      <c r="E917" s="98" t="str">
        <f>IFERROR(__xludf.DUMMYFUNCTION("""COMPUTED_VALUE""")," Solar M:  Solar Power:  Maintenance DG:  +  +  + MW Link: Link Name")</f>
        <v> Solar M:  Solar Power:  Maintenance DG:  +  +  + MW Link: Link Name</v>
      </c>
    </row>
    <row r="918">
      <c r="A918" s="98"/>
      <c r="B918" s="98"/>
      <c r="C918" s="98"/>
      <c r="D918" s="98"/>
      <c r="E918" s="98" t="str">
        <f>IFERROR(__xludf.DUMMYFUNCTION("""COMPUTED_VALUE""")," Solar M:  Solar Power:  Maintenance DG:  +  +  + MW Link: Link Name")</f>
        <v> Solar M:  Solar Power:  Maintenance DG:  +  +  + MW Link: Link Name</v>
      </c>
    </row>
    <row r="919">
      <c r="A919" s="98"/>
      <c r="B919" s="98"/>
      <c r="C919" s="98"/>
      <c r="D919" s="98"/>
      <c r="E919" s="98" t="str">
        <f>IFERROR(__xludf.DUMMYFUNCTION("""COMPUTED_VALUE""")," Solar M:  Solar Power:  Maintenance DG:  +  +  + MW Link: Link Name")</f>
        <v> Solar M:  Solar Power:  Maintenance DG:  +  +  + MW Link: Link Name</v>
      </c>
    </row>
    <row r="920">
      <c r="A920" s="98"/>
      <c r="B920" s="98"/>
      <c r="C920" s="98"/>
      <c r="D920" s="98"/>
      <c r="E920" s="98" t="str">
        <f>IFERROR(__xludf.DUMMYFUNCTION("""COMPUTED_VALUE""")," Solar M:  Solar Power:  Maintenance DG:  +  +  + MW Link: Link Name")</f>
        <v> Solar M:  Solar Power:  Maintenance DG:  +  +  + MW Link: Link Name</v>
      </c>
    </row>
    <row r="921">
      <c r="A921" s="98"/>
      <c r="B921" s="98"/>
      <c r="C921" s="98"/>
      <c r="D921" s="98"/>
      <c r="E921" s="98" t="str">
        <f>IFERROR(__xludf.DUMMYFUNCTION("""COMPUTED_VALUE""")," Solar M:  Solar Power:  Maintenance DG:  +  +  + MW Link: Link Name")</f>
        <v> Solar M:  Solar Power:  Maintenance DG:  +  +  + MW Link: Link Name</v>
      </c>
    </row>
    <row r="922">
      <c r="A922" s="98"/>
      <c r="B922" s="98"/>
      <c r="C922" s="98"/>
      <c r="D922" s="98"/>
      <c r="E922" s="98" t="str">
        <f>IFERROR(__xludf.DUMMYFUNCTION("""COMPUTED_VALUE""")," Solar M:  Solar Power:  Maintenance DG:  +  +  + MW Link: Link Name")</f>
        <v> Solar M:  Solar Power:  Maintenance DG:  +  +  + MW Link: Link Name</v>
      </c>
    </row>
    <row r="923">
      <c r="A923" s="98"/>
      <c r="B923" s="98"/>
      <c r="C923" s="98"/>
      <c r="D923" s="98"/>
      <c r="E923" s="98" t="str">
        <f>IFERROR(__xludf.DUMMYFUNCTION("""COMPUTED_VALUE""")," Solar M:  Solar Power:  Maintenance DG:  +  +  + MW Link: Link Name")</f>
        <v> Solar M:  Solar Power:  Maintenance DG:  +  +  + MW Link: Link Name</v>
      </c>
    </row>
    <row r="924">
      <c r="A924" s="98"/>
      <c r="B924" s="98"/>
      <c r="C924" s="98"/>
      <c r="D924" s="98"/>
      <c r="E924" s="98" t="str">
        <f>IFERROR(__xludf.DUMMYFUNCTION("""COMPUTED_VALUE""")," Solar M:  Solar Power:  Maintenance DG:  +  +  + MW Link: Link Name")</f>
        <v> Solar M:  Solar Power:  Maintenance DG:  +  +  + MW Link: Link Name</v>
      </c>
    </row>
    <row r="925">
      <c r="A925" s="98"/>
      <c r="B925" s="98"/>
      <c r="C925" s="98"/>
      <c r="D925" s="98"/>
      <c r="E925" s="98" t="str">
        <f>IFERROR(__xludf.DUMMYFUNCTION("""COMPUTED_VALUE""")," Solar M:  Solar Power:  Maintenance DG:  +  +  + MW Link: Link Name")</f>
        <v> Solar M:  Solar Power:  Maintenance DG:  +  +  + MW Link: Link Name</v>
      </c>
    </row>
    <row r="926">
      <c r="A926" s="98"/>
      <c r="B926" s="98"/>
      <c r="C926" s="98"/>
      <c r="D926" s="98"/>
      <c r="E926" s="98" t="str">
        <f>IFERROR(__xludf.DUMMYFUNCTION("""COMPUTED_VALUE""")," Solar M:  Solar Power:  Maintenance DG:  +  +  + MW Link: Link Name")</f>
        <v> Solar M:  Solar Power:  Maintenance DG:  +  +  + MW Link: Link Name</v>
      </c>
    </row>
    <row r="927">
      <c r="A927" s="98"/>
      <c r="B927" s="98"/>
      <c r="C927" s="98"/>
      <c r="D927" s="98"/>
      <c r="E927" s="98" t="str">
        <f>IFERROR(__xludf.DUMMYFUNCTION("""COMPUTED_VALUE""")," Solar M:  Solar Power:  Maintenance DG:  +  +  + MW Link: Link Name")</f>
        <v> Solar M:  Solar Power:  Maintenance DG:  +  +  + MW Link: Link Name</v>
      </c>
    </row>
    <row r="928">
      <c r="A928" s="98"/>
      <c r="B928" s="98"/>
      <c r="C928" s="98"/>
      <c r="D928" s="98"/>
      <c r="E928" s="98" t="str">
        <f>IFERROR(__xludf.DUMMYFUNCTION("""COMPUTED_VALUE""")," Solar M:  Solar Power:  Maintenance DG:  +  +  + MW Link: Link Name")</f>
        <v> Solar M:  Solar Power:  Maintenance DG:  +  +  + MW Link: Link Name</v>
      </c>
    </row>
    <row r="929">
      <c r="A929" s="98"/>
      <c r="B929" s="98"/>
      <c r="C929" s="98"/>
      <c r="D929" s="98"/>
      <c r="E929" s="98" t="str">
        <f>IFERROR(__xludf.DUMMYFUNCTION("""COMPUTED_VALUE""")," Solar M:  Solar Power:  Maintenance DG:  +  +  + MW Link: Link Name")</f>
        <v> Solar M:  Solar Power:  Maintenance DG:  +  +  + MW Link: Link Name</v>
      </c>
    </row>
    <row r="930">
      <c r="A930" s="98"/>
      <c r="B930" s="98"/>
      <c r="C930" s="98"/>
      <c r="D930" s="98"/>
      <c r="E930" s="98" t="str">
        <f>IFERROR(__xludf.DUMMYFUNCTION("""COMPUTED_VALUE""")," Solar M:  Solar Power:  Maintenance DG:  +  +  + MW Link: Link Name")</f>
        <v> Solar M:  Solar Power:  Maintenance DG:  +  +  + MW Link: Link Name</v>
      </c>
    </row>
    <row r="931">
      <c r="A931" s="98"/>
      <c r="B931" s="98"/>
      <c r="C931" s="98"/>
      <c r="D931" s="98"/>
      <c r="E931" s="98" t="str">
        <f>IFERROR(__xludf.DUMMYFUNCTION("""COMPUTED_VALUE""")," Solar M:  Solar Power:  Maintenance DG:  +  +  + MW Link: Link Name")</f>
        <v> Solar M:  Solar Power:  Maintenance DG:  +  +  + MW Link: Link Name</v>
      </c>
    </row>
    <row r="932">
      <c r="A932" s="98"/>
      <c r="B932" s="98"/>
      <c r="C932" s="98"/>
      <c r="D932" s="98"/>
      <c r="E932" s="98" t="str">
        <f>IFERROR(__xludf.DUMMYFUNCTION("""COMPUTED_VALUE""")," Solar M:  Solar Power:  Maintenance DG:  +  +  + MW Link: Link Name")</f>
        <v> Solar M:  Solar Power:  Maintenance DG:  +  +  + MW Link: Link Name</v>
      </c>
    </row>
    <row r="933">
      <c r="A933" s="98"/>
      <c r="B933" s="98"/>
      <c r="C933" s="98"/>
      <c r="D933" s="98"/>
      <c r="E933" s="98" t="str">
        <f>IFERROR(__xludf.DUMMYFUNCTION("""COMPUTED_VALUE""")," Solar M:  Solar Power:  Maintenance DG:  +  +  + MW Link: Link Name")</f>
        <v> Solar M:  Solar Power:  Maintenance DG:  +  +  + MW Link: Link Name</v>
      </c>
    </row>
    <row r="934">
      <c r="A934" s="98"/>
      <c r="B934" s="98"/>
      <c r="C934" s="98"/>
      <c r="D934" s="98"/>
      <c r="E934" s="98" t="str">
        <f>IFERROR(__xludf.DUMMYFUNCTION("""COMPUTED_VALUE""")," Solar M:  Solar Power:  Maintenance DG:  +  +  + MW Link: Link Name")</f>
        <v> Solar M:  Solar Power:  Maintenance DG:  +  +  + MW Link: Link Name</v>
      </c>
    </row>
    <row r="935">
      <c r="A935" s="98"/>
      <c r="B935" s="98"/>
      <c r="C935" s="98"/>
      <c r="D935" s="98"/>
      <c r="E935" s="98" t="str">
        <f>IFERROR(__xludf.DUMMYFUNCTION("""COMPUTED_VALUE""")," Solar M:  Solar Power:  Maintenance DG:  +  +  + MW Link: Link Name")</f>
        <v> Solar M:  Solar Power:  Maintenance DG:  +  +  + MW Link: Link Name</v>
      </c>
    </row>
    <row r="936">
      <c r="A936" s="98"/>
      <c r="B936" s="98"/>
      <c r="C936" s="98"/>
      <c r="D936" s="98"/>
      <c r="E936" s="98" t="str">
        <f>IFERROR(__xludf.DUMMYFUNCTION("""COMPUTED_VALUE""")," Solar M:  Solar Power:  Maintenance DG:  +  +  + MW Link: Link Name")</f>
        <v> Solar M:  Solar Power:  Maintenance DG:  +  +  + MW Link: Link Name</v>
      </c>
    </row>
    <row r="937">
      <c r="A937" s="98"/>
      <c r="B937" s="98"/>
      <c r="C937" s="98"/>
      <c r="D937" s="98"/>
      <c r="E937" s="98" t="str">
        <f>IFERROR(__xludf.DUMMYFUNCTION("""COMPUTED_VALUE""")," Solar M:  Solar Power:  Maintenance DG:  +  +  + MW Link: Link Name")</f>
        <v> Solar M:  Solar Power:  Maintenance DG:  +  +  + MW Link: Link Name</v>
      </c>
    </row>
    <row r="938">
      <c r="A938" s="98"/>
      <c r="B938" s="98"/>
      <c r="C938" s="98"/>
      <c r="D938" s="98"/>
      <c r="E938" s="98" t="str">
        <f>IFERROR(__xludf.DUMMYFUNCTION("""COMPUTED_VALUE""")," Solar M:  Solar Power:  Maintenance DG:  +  +  + MW Link: Link Name")</f>
        <v> Solar M:  Solar Power:  Maintenance DG:  +  +  + MW Link: Link Name</v>
      </c>
    </row>
    <row r="939">
      <c r="A939" s="98"/>
      <c r="B939" s="98"/>
      <c r="C939" s="98"/>
      <c r="D939" s="98"/>
      <c r="E939" s="98" t="str">
        <f>IFERROR(__xludf.DUMMYFUNCTION("""COMPUTED_VALUE""")," Solar M:  Solar Power:  Maintenance DG:  +  +  + MW Link: Link Name")</f>
        <v> Solar M:  Solar Power:  Maintenance DG:  +  +  + MW Link: Link Name</v>
      </c>
    </row>
    <row r="940">
      <c r="A940" s="98"/>
      <c r="B940" s="98"/>
      <c r="C940" s="98"/>
      <c r="D940" s="98"/>
      <c r="E940" s="98" t="str">
        <f>IFERROR(__xludf.DUMMYFUNCTION("""COMPUTED_VALUE""")," Solar M:  Solar Power:  Maintenance DG:  +  +  + MW Link: Link Name")</f>
        <v> Solar M:  Solar Power:  Maintenance DG:  +  +  + MW Link: Link Name</v>
      </c>
    </row>
    <row r="941">
      <c r="A941" s="98"/>
      <c r="B941" s="98"/>
      <c r="C941" s="98"/>
      <c r="D941" s="98"/>
      <c r="E941" s="98" t="str">
        <f>IFERROR(__xludf.DUMMYFUNCTION("""COMPUTED_VALUE""")," Solar M:  Solar Power:  Maintenance DG:  +  +  + MW Link: Link Name")</f>
        <v> Solar M:  Solar Power:  Maintenance DG:  +  +  + MW Link: Link Name</v>
      </c>
    </row>
    <row r="942">
      <c r="A942" s="98"/>
      <c r="B942" s="98"/>
      <c r="C942" s="98"/>
      <c r="D942" s="98"/>
      <c r="E942" s="98" t="str">
        <f>IFERROR(__xludf.DUMMYFUNCTION("""COMPUTED_VALUE""")," Solar M:  Solar Power:  Maintenance DG:  +  +  + MW Link: Link Name")</f>
        <v> Solar M:  Solar Power:  Maintenance DG:  +  +  + MW Link: Link Name</v>
      </c>
    </row>
    <row r="943">
      <c r="A943" s="98"/>
      <c r="B943" s="98"/>
      <c r="C943" s="98"/>
      <c r="D943" s="98"/>
      <c r="E943" s="98" t="str">
        <f>IFERROR(__xludf.DUMMYFUNCTION("""COMPUTED_VALUE""")," Solar M:  Solar Power:  Maintenance DG:  +  +  + MW Link: Link Name")</f>
        <v> Solar M:  Solar Power:  Maintenance DG:  +  +  + MW Link: Link Name</v>
      </c>
    </row>
    <row r="944">
      <c r="A944" s="98"/>
      <c r="B944" s="98"/>
      <c r="C944" s="98"/>
      <c r="D944" s="98"/>
      <c r="E944" s="98" t="str">
        <f>IFERROR(__xludf.DUMMYFUNCTION("""COMPUTED_VALUE""")," Solar M:  Solar Power:  Maintenance DG:  +  +  + MW Link: Link Name")</f>
        <v> Solar M:  Solar Power:  Maintenance DG:  +  +  + MW Link: Link Name</v>
      </c>
    </row>
    <row r="945">
      <c r="A945" s="98"/>
      <c r="B945" s="98"/>
      <c r="C945" s="98"/>
      <c r="D945" s="98"/>
      <c r="E945" s="98" t="str">
        <f>IFERROR(__xludf.DUMMYFUNCTION("""COMPUTED_VALUE""")," Solar M:  Solar Power:  Maintenance DG:  +  +  + MW Link: Link Name")</f>
        <v> Solar M:  Solar Power:  Maintenance DG:  +  +  + MW Link: Link Name</v>
      </c>
    </row>
    <row r="946">
      <c r="A946" s="98"/>
      <c r="B946" s="98"/>
      <c r="C946" s="98"/>
      <c r="D946" s="98"/>
      <c r="E946" s="98" t="str">
        <f>IFERROR(__xludf.DUMMYFUNCTION("""COMPUTED_VALUE""")," Solar M:  Solar Power:  Maintenance DG:  +  +  + MW Link: Link Name")</f>
        <v> Solar M:  Solar Power:  Maintenance DG:  +  +  + MW Link: Link Name</v>
      </c>
    </row>
    <row r="947">
      <c r="A947" s="98"/>
      <c r="B947" s="98"/>
      <c r="C947" s="98"/>
      <c r="D947" s="98"/>
      <c r="E947" s="98" t="str">
        <f>IFERROR(__xludf.DUMMYFUNCTION("""COMPUTED_VALUE""")," Solar M:  Solar Power:  Maintenance DG:  +  +  + MW Link: Link Name")</f>
        <v> Solar M:  Solar Power:  Maintenance DG:  +  +  + MW Link: Link Name</v>
      </c>
    </row>
    <row r="948">
      <c r="A948" s="98"/>
      <c r="B948" s="98"/>
      <c r="C948" s="98"/>
      <c r="D948" s="98"/>
      <c r="E948" s="98" t="str">
        <f>IFERROR(__xludf.DUMMYFUNCTION("""COMPUTED_VALUE""")," Solar M:  Solar Power:  Maintenance DG:  +  +  + MW Link: Link Name")</f>
        <v> Solar M:  Solar Power:  Maintenance DG:  +  +  + MW Link: Link Name</v>
      </c>
    </row>
    <row r="949">
      <c r="A949" s="98"/>
      <c r="B949" s="98"/>
      <c r="C949" s="98"/>
      <c r="D949" s="98"/>
      <c r="E949" s="98" t="str">
        <f>IFERROR(__xludf.DUMMYFUNCTION("""COMPUTED_VALUE""")," Solar M:  Solar Power:  Maintenance DG:  +  +  + MW Link: Link Name")</f>
        <v> Solar M:  Solar Power:  Maintenance DG:  +  +  + MW Link: Link Name</v>
      </c>
    </row>
    <row r="950">
      <c r="A950" s="98"/>
      <c r="B950" s="98"/>
      <c r="C950" s="98"/>
      <c r="D950" s="98"/>
      <c r="E950" s="98" t="str">
        <f>IFERROR(__xludf.DUMMYFUNCTION("""COMPUTED_VALUE""")," Solar M:  Solar Power:  Maintenance DG:  +  +  + MW Link: Link Name")</f>
        <v> Solar M:  Solar Power:  Maintenance DG:  +  +  + MW Link: Link Name</v>
      </c>
    </row>
    <row r="951">
      <c r="A951" s="98"/>
      <c r="B951" s="98"/>
      <c r="C951" s="98"/>
      <c r="D951" s="98"/>
      <c r="E951" s="98" t="str">
        <f>IFERROR(__xludf.DUMMYFUNCTION("""COMPUTED_VALUE""")," Solar M:  Solar Power:  Maintenance DG:  +  +  + MW Link: Link Name")</f>
        <v> Solar M:  Solar Power:  Maintenance DG:  +  +  + MW Link: Link Name</v>
      </c>
    </row>
    <row r="952">
      <c r="A952" s="98"/>
      <c r="B952" s="98"/>
      <c r="C952" s="98"/>
      <c r="D952" s="98"/>
      <c r="E952" s="98" t="str">
        <f>IFERROR(__xludf.DUMMYFUNCTION("""COMPUTED_VALUE""")," Solar M:  Solar Power:  Maintenance DG:  +  +  + MW Link: Link Name")</f>
        <v> Solar M:  Solar Power:  Maintenance DG:  +  +  + MW Link: Link Name</v>
      </c>
    </row>
    <row r="953">
      <c r="A953" s="98"/>
      <c r="B953" s="98"/>
      <c r="C953" s="98"/>
      <c r="D953" s="98"/>
      <c r="E953" s="98" t="str">
        <f>IFERROR(__xludf.DUMMYFUNCTION("""COMPUTED_VALUE""")," Solar M:  Solar Power:  Maintenance DG:  +  +  + MW Link: Link Name")</f>
        <v> Solar M:  Solar Power:  Maintenance DG:  +  +  + MW Link: Link Name</v>
      </c>
    </row>
    <row r="954">
      <c r="A954" s="98"/>
      <c r="B954" s="98"/>
      <c r="C954" s="98"/>
      <c r="D954" s="98"/>
      <c r="E954" s="98" t="str">
        <f>IFERROR(__xludf.DUMMYFUNCTION("""COMPUTED_VALUE""")," Solar M:  Solar Power:  Maintenance DG:  +  +  + MW Link: Link Name")</f>
        <v> Solar M:  Solar Power:  Maintenance DG:  +  +  + MW Link: Link Name</v>
      </c>
    </row>
    <row r="955">
      <c r="A955" s="98"/>
      <c r="B955" s="98"/>
      <c r="C955" s="98"/>
      <c r="D955" s="98"/>
      <c r="E955" s="98" t="str">
        <f>IFERROR(__xludf.DUMMYFUNCTION("""COMPUTED_VALUE""")," Solar M:  Solar Power:  Maintenance DG:  +  +  + MW Link: Link Name")</f>
        <v> Solar M:  Solar Power:  Maintenance DG:  +  +  + MW Link: Link Name</v>
      </c>
    </row>
    <row r="956">
      <c r="A956" s="98"/>
      <c r="B956" s="98"/>
      <c r="C956" s="98"/>
      <c r="D956" s="98"/>
      <c r="E956" s="98" t="str">
        <f>IFERROR(__xludf.DUMMYFUNCTION("""COMPUTED_VALUE""")," Solar M:  Solar Power:  Maintenance DG:  +  +  + MW Link: Link Name")</f>
        <v> Solar M:  Solar Power:  Maintenance DG:  +  +  + MW Link: Link Name</v>
      </c>
    </row>
    <row r="957">
      <c r="A957" s="98"/>
      <c r="B957" s="98"/>
      <c r="C957" s="98"/>
      <c r="D957" s="98"/>
      <c r="E957" s="98" t="str">
        <f>IFERROR(__xludf.DUMMYFUNCTION("""COMPUTED_VALUE""")," Solar M:  Solar Power:  Maintenance DG:  +  +  + MW Link: Link Name")</f>
        <v> Solar M:  Solar Power:  Maintenance DG:  +  +  + MW Link: Link Name</v>
      </c>
    </row>
    <row r="958">
      <c r="A958" s="98"/>
      <c r="B958" s="98"/>
      <c r="C958" s="98"/>
      <c r="D958" s="98"/>
      <c r="E958" s="98" t="str">
        <f>IFERROR(__xludf.DUMMYFUNCTION("""COMPUTED_VALUE""")," Solar M:  Solar Power:  Maintenance DG:  +  +  + MW Link: Link Name")</f>
        <v> Solar M:  Solar Power:  Maintenance DG:  +  +  + MW Link: Link Name</v>
      </c>
    </row>
    <row r="959">
      <c r="A959" s="98"/>
      <c r="B959" s="98"/>
      <c r="C959" s="98"/>
      <c r="D959" s="98"/>
      <c r="E959" s="98" t="str">
        <f>IFERROR(__xludf.DUMMYFUNCTION("""COMPUTED_VALUE""")," Solar M:  Solar Power:  Maintenance DG:  +  +  + MW Link: Link Name")</f>
        <v> Solar M:  Solar Power:  Maintenance DG:  +  +  + MW Link: Link Name</v>
      </c>
    </row>
    <row r="960">
      <c r="A960" s="98"/>
      <c r="B960" s="98"/>
      <c r="C960" s="98"/>
      <c r="D960" s="98"/>
      <c r="E960" s="98" t="str">
        <f>IFERROR(__xludf.DUMMYFUNCTION("""COMPUTED_VALUE""")," Solar M:  Solar Power:  Maintenance DG:  +  +  + MW Link: Link Name")</f>
        <v> Solar M:  Solar Power:  Maintenance DG:  +  +  + MW Link: Link Name</v>
      </c>
    </row>
    <row r="961">
      <c r="A961" s="98"/>
      <c r="B961" s="98"/>
      <c r="C961" s="98"/>
      <c r="D961" s="98"/>
      <c r="E961" s="98" t="str">
        <f>IFERROR(__xludf.DUMMYFUNCTION("""COMPUTED_VALUE""")," Solar M:  Solar Power:  Maintenance DG:  +  +  + MW Link: Link Name")</f>
        <v> Solar M:  Solar Power:  Maintenance DG:  +  +  + MW Link: Link Name</v>
      </c>
    </row>
    <row r="962">
      <c r="A962" s="98"/>
      <c r="B962" s="98"/>
      <c r="C962" s="98"/>
      <c r="D962" s="98"/>
      <c r="E962" s="98" t="str">
        <f>IFERROR(__xludf.DUMMYFUNCTION("""COMPUTED_VALUE""")," Solar M:  Solar Power:  Maintenance DG:  +  +  + MW Link: Link Name")</f>
        <v> Solar M:  Solar Power:  Maintenance DG:  +  +  + MW Link: Link Name</v>
      </c>
    </row>
    <row r="963">
      <c r="A963" s="98"/>
      <c r="B963" s="98"/>
      <c r="C963" s="98"/>
      <c r="D963" s="98"/>
      <c r="E963" s="98" t="str">
        <f>IFERROR(__xludf.DUMMYFUNCTION("""COMPUTED_VALUE""")," Solar M:  Solar Power:  Maintenance DG:  +  +  + MW Link: Link Name")</f>
        <v> Solar M:  Solar Power:  Maintenance DG:  +  +  + MW Link: Link Name</v>
      </c>
    </row>
    <row r="964">
      <c r="A964" s="98"/>
      <c r="B964" s="98"/>
      <c r="C964" s="98"/>
      <c r="D964" s="98"/>
      <c r="E964" s="98" t="str">
        <f>IFERROR(__xludf.DUMMYFUNCTION("""COMPUTED_VALUE""")," Solar M:  Solar Power:  Maintenance DG:  +  +  + MW Link: Link Name")</f>
        <v> Solar M:  Solar Power:  Maintenance DG:  +  +  + MW Link: Link Name</v>
      </c>
    </row>
    <row r="965">
      <c r="A965" s="98"/>
      <c r="B965" s="98"/>
      <c r="C965" s="98"/>
      <c r="D965" s="98"/>
      <c r="E965" s="98" t="str">
        <f>IFERROR(__xludf.DUMMYFUNCTION("""COMPUTED_VALUE""")," Solar M:  Solar Power:  Maintenance DG:  +  +  + MW Link: Link Name")</f>
        <v> Solar M:  Solar Power:  Maintenance DG:  +  +  + MW Link: Link Name</v>
      </c>
    </row>
    <row r="966">
      <c r="A966" s="98"/>
      <c r="B966" s="98"/>
      <c r="C966" s="98"/>
      <c r="D966" s="98"/>
      <c r="E966" s="98" t="str">
        <f>IFERROR(__xludf.DUMMYFUNCTION("""COMPUTED_VALUE""")," Solar M:  Solar Power:  Maintenance DG:  +  +  + MW Link: Link Name")</f>
        <v> Solar M:  Solar Power:  Maintenance DG:  +  +  + MW Link: Link Name</v>
      </c>
    </row>
    <row r="967">
      <c r="A967" s="98"/>
      <c r="B967" s="98"/>
      <c r="C967" s="98"/>
      <c r="D967" s="98"/>
      <c r="E967" s="98" t="str">
        <f>IFERROR(__xludf.DUMMYFUNCTION("""COMPUTED_VALUE""")," Solar M:  Solar Power:  Maintenance DG:  +  +  + MW Link: Link Name")</f>
        <v> Solar M:  Solar Power:  Maintenance DG:  +  +  + MW Link: Link Name</v>
      </c>
    </row>
    <row r="968">
      <c r="A968" s="98"/>
      <c r="B968" s="98"/>
      <c r="C968" s="98"/>
      <c r="D968" s="98"/>
      <c r="E968" s="98" t="str">
        <f>IFERROR(__xludf.DUMMYFUNCTION("""COMPUTED_VALUE""")," Solar M:  Solar Power:  Maintenance DG:  +  +  + MW Link: Link Name")</f>
        <v> Solar M:  Solar Power:  Maintenance DG:  +  +  + MW Link: Link Name</v>
      </c>
    </row>
    <row r="969">
      <c r="A969" s="98"/>
      <c r="B969" s="98"/>
      <c r="C969" s="98"/>
      <c r="D969" s="98"/>
      <c r="E969" s="98" t="str">
        <f>IFERROR(__xludf.DUMMYFUNCTION("""COMPUTED_VALUE""")," Solar M:  Solar Power:  Maintenance DG:  +  +  + MW Link: Link Name")</f>
        <v> Solar M:  Solar Power:  Maintenance DG:  +  +  + MW Link: Link Name</v>
      </c>
    </row>
    <row r="970">
      <c r="A970" s="98"/>
      <c r="B970" s="98"/>
      <c r="C970" s="98"/>
      <c r="D970" s="98"/>
      <c r="E970" s="98" t="str">
        <f>IFERROR(__xludf.DUMMYFUNCTION("""COMPUTED_VALUE""")," Solar M:  Solar Power:  Maintenance DG:  +  +  + MW Link: Link Name")</f>
        <v> Solar M:  Solar Power:  Maintenance DG:  +  +  + MW Link: Link Name</v>
      </c>
    </row>
    <row r="971">
      <c r="A971" s="98"/>
      <c r="B971" s="98"/>
      <c r="C971" s="98"/>
      <c r="D971" s="98"/>
      <c r="E971" s="98" t="str">
        <f>IFERROR(__xludf.DUMMYFUNCTION("""COMPUTED_VALUE""")," Solar M:  Solar Power:  Maintenance DG:  +  +  + MW Link: Link Name")</f>
        <v> Solar M:  Solar Power:  Maintenance DG:  +  +  + MW Link: Link Name</v>
      </c>
    </row>
    <row r="972">
      <c r="A972" s="98"/>
      <c r="B972" s="98"/>
      <c r="C972" s="98"/>
      <c r="D972" s="98"/>
      <c r="E972" s="98" t="str">
        <f>IFERROR(__xludf.DUMMYFUNCTION("""COMPUTED_VALUE""")," Solar M:  Solar Power:  Maintenance DG:  +  +  + MW Link: Link Name")</f>
        <v> Solar M:  Solar Power:  Maintenance DG:  +  +  + MW Link: Link Name</v>
      </c>
    </row>
    <row r="973">
      <c r="A973" s="98"/>
      <c r="B973" s="98"/>
      <c r="C973" s="98"/>
      <c r="D973" s="98"/>
      <c r="E973" s="98" t="str">
        <f>IFERROR(__xludf.DUMMYFUNCTION("""COMPUTED_VALUE""")," Solar M:  Solar Power:  Maintenance DG:  +  +  + MW Link: Link Name")</f>
        <v> Solar M:  Solar Power:  Maintenance DG:  +  +  + MW Link: Link Name</v>
      </c>
    </row>
    <row r="974">
      <c r="A974" s="98"/>
      <c r="B974" s="98"/>
      <c r="C974" s="98"/>
      <c r="D974" s="98"/>
      <c r="E974" s="98" t="str">
        <f>IFERROR(__xludf.DUMMYFUNCTION("""COMPUTED_VALUE""")," Solar M:  Solar Power:  Maintenance DG:  +  +  + MW Link: Link Name")</f>
        <v> Solar M:  Solar Power:  Maintenance DG:  +  +  + MW Link: Link Name</v>
      </c>
    </row>
    <row r="975">
      <c r="A975" s="98"/>
      <c r="B975" s="98"/>
      <c r="C975" s="98"/>
      <c r="D975" s="98"/>
      <c r="E975" s="98" t="str">
        <f>IFERROR(__xludf.DUMMYFUNCTION("""COMPUTED_VALUE""")," Solar M:  Solar Power:  Maintenance DG:  +  +  + MW Link: Link Name")</f>
        <v> Solar M:  Solar Power:  Maintenance DG:  +  +  + MW Link: Link Name</v>
      </c>
    </row>
    <row r="976">
      <c r="A976" s="98"/>
      <c r="B976" s="98"/>
      <c r="C976" s="98"/>
      <c r="D976" s="98"/>
      <c r="E976" s="98" t="str">
        <f>IFERROR(__xludf.DUMMYFUNCTION("""COMPUTED_VALUE""")," Solar M:  Solar Power:  Maintenance DG:  +  +  + MW Link: Link Name")</f>
        <v> Solar M:  Solar Power:  Maintenance DG:  +  +  + MW Link: Link Name</v>
      </c>
    </row>
    <row r="977">
      <c r="A977" s="98"/>
      <c r="B977" s="98"/>
      <c r="C977" s="98"/>
      <c r="D977" s="98"/>
      <c r="E977" s="98" t="str">
        <f>IFERROR(__xludf.DUMMYFUNCTION("""COMPUTED_VALUE""")," Solar M:  Solar Power:  Maintenance DG:  +  +  + MW Link: Link Name")</f>
        <v> Solar M:  Solar Power:  Maintenance DG:  +  +  + MW Link: Link Name</v>
      </c>
    </row>
    <row r="978">
      <c r="A978" s="98"/>
      <c r="B978" s="98"/>
      <c r="C978" s="98"/>
      <c r="D978" s="98"/>
      <c r="E978" s="98" t="str">
        <f>IFERROR(__xludf.DUMMYFUNCTION("""COMPUTED_VALUE""")," Solar M:  Solar Power:  Maintenance DG:  +  +  + MW Link: Link Name")</f>
        <v> Solar M:  Solar Power:  Maintenance DG:  +  +  + MW Link: Link Name</v>
      </c>
    </row>
    <row r="979">
      <c r="A979" s="98"/>
      <c r="B979" s="98"/>
      <c r="C979" s="98"/>
      <c r="D979" s="98"/>
      <c r="E979" s="98" t="str">
        <f>IFERROR(__xludf.DUMMYFUNCTION("""COMPUTED_VALUE""")," Solar M:  Solar Power:  Maintenance DG:  +  +  + MW Link: Link Name")</f>
        <v> Solar M:  Solar Power:  Maintenance DG:  +  +  + MW Link: Link Name</v>
      </c>
    </row>
    <row r="980">
      <c r="A980" s="98"/>
      <c r="B980" s="98"/>
      <c r="C980" s="98"/>
      <c r="D980" s="98"/>
      <c r="E980" s="98" t="str">
        <f>IFERROR(__xludf.DUMMYFUNCTION("""COMPUTED_VALUE""")," Solar M:  Solar Power:  Maintenance DG:  +  +  + MW Link: Link Name")</f>
        <v> Solar M:  Solar Power:  Maintenance DG:  +  +  + MW Link: Link Name</v>
      </c>
    </row>
    <row r="981">
      <c r="A981" s="98"/>
      <c r="B981" s="98"/>
      <c r="C981" s="98"/>
      <c r="D981" s="98"/>
      <c r="E981" s="98" t="str">
        <f>IFERROR(__xludf.DUMMYFUNCTION("""COMPUTED_VALUE""")," Solar M:  Solar Power:  Maintenance DG:  +  +  + MW Link: Link Name")</f>
        <v> Solar M:  Solar Power:  Maintenance DG:  +  +  + MW Link: Link Name</v>
      </c>
    </row>
    <row r="982">
      <c r="A982" s="98"/>
      <c r="B982" s="98"/>
      <c r="C982" s="98"/>
      <c r="D982" s="98"/>
      <c r="E982" s="98" t="str">
        <f>IFERROR(__xludf.DUMMYFUNCTION("""COMPUTED_VALUE""")," Solar M:  Solar Power:  Maintenance DG:  +  +  + MW Link: Link Name")</f>
        <v> Solar M:  Solar Power:  Maintenance DG:  +  +  + MW Link: Link Name</v>
      </c>
    </row>
    <row r="983">
      <c r="A983" s="98"/>
      <c r="B983" s="98"/>
      <c r="C983" s="98"/>
      <c r="D983" s="98"/>
      <c r="E983" s="98" t="str">
        <f>IFERROR(__xludf.DUMMYFUNCTION("""COMPUTED_VALUE""")," Solar M:  Solar Power:  Maintenance DG:  +  +  + MW Link: Link Name")</f>
        <v> Solar M:  Solar Power:  Maintenance DG:  +  +  + MW Link: Link Name</v>
      </c>
    </row>
    <row r="984">
      <c r="A984" s="98"/>
      <c r="B984" s="98"/>
      <c r="C984" s="98"/>
      <c r="D984" s="98"/>
      <c r="E984" s="98" t="str">
        <f>IFERROR(__xludf.DUMMYFUNCTION("""COMPUTED_VALUE""")," Solar M:  Solar Power:  Maintenance DG:  +  +  + MW Link: Link Name")</f>
        <v> Solar M:  Solar Power:  Maintenance DG:  +  +  + MW Link: Link Name</v>
      </c>
    </row>
    <row r="985">
      <c r="A985" s="98"/>
      <c r="B985" s="98"/>
      <c r="C985" s="98"/>
      <c r="D985" s="98"/>
      <c r="E985" s="98" t="str">
        <f>IFERROR(__xludf.DUMMYFUNCTION("""COMPUTED_VALUE""")," Solar M:  Solar Power:  Maintenance DG:  +  +  + MW Link: Link Name")</f>
        <v> Solar M:  Solar Power:  Maintenance DG:  +  +  + MW Link: Link Name</v>
      </c>
    </row>
    <row r="986">
      <c r="A986" s="98"/>
      <c r="B986" s="98"/>
      <c r="C986" s="98"/>
      <c r="D986" s="98"/>
      <c r="E986" s="98" t="str">
        <f>IFERROR(__xludf.DUMMYFUNCTION("""COMPUTED_VALUE""")," Solar M:  Solar Power:  Maintenance DG:  +  +  + MW Link: Link Name")</f>
        <v> Solar M:  Solar Power:  Maintenance DG:  +  +  + MW Link: Link Name</v>
      </c>
    </row>
    <row r="987">
      <c r="A987" s="98"/>
      <c r="B987" s="98"/>
      <c r="C987" s="98"/>
      <c r="D987" s="98"/>
      <c r="E987" s="98" t="str">
        <f>IFERROR(__xludf.DUMMYFUNCTION("""COMPUTED_VALUE""")," Solar M:  Solar Power:  Maintenance DG:  +  +  + MW Link: Link Name")</f>
        <v> Solar M:  Solar Power:  Maintenance DG:  +  +  + MW Link: Link Name</v>
      </c>
    </row>
    <row r="988">
      <c r="A988" s="98"/>
      <c r="B988" s="98"/>
      <c r="C988" s="98"/>
      <c r="D988" s="98"/>
      <c r="E988" s="98" t="str">
        <f>IFERROR(__xludf.DUMMYFUNCTION("""COMPUTED_VALUE""")," Solar M:  Solar Power:  Maintenance DG:  +  +  + MW Link: Link Name")</f>
        <v> Solar M:  Solar Power:  Maintenance DG:  +  +  + MW Link: Link Name</v>
      </c>
    </row>
    <row r="989">
      <c r="A989" s="98"/>
      <c r="B989" s="98"/>
      <c r="C989" s="98"/>
      <c r="D989" s="98"/>
      <c r="E989" s="98" t="str">
        <f>IFERROR(__xludf.DUMMYFUNCTION("""COMPUTED_VALUE""")," Solar M:  Solar Power:  Maintenance DG:  +  +  + MW Link: Link Name")</f>
        <v> Solar M:  Solar Power:  Maintenance DG:  +  +  + MW Link: Link Name</v>
      </c>
    </row>
    <row r="990">
      <c r="A990" s="98"/>
      <c r="B990" s="98"/>
      <c r="C990" s="98"/>
      <c r="D990" s="98"/>
      <c r="E990" s="98" t="str">
        <f>IFERROR(__xludf.DUMMYFUNCTION("""COMPUTED_VALUE""")," Solar M:  Solar Power:  Maintenance DG:  +  +  + MW Link: Link Name")</f>
        <v> Solar M:  Solar Power:  Maintenance DG:  +  +  + MW Link: Link Name</v>
      </c>
    </row>
    <row r="991">
      <c r="A991" s="98"/>
      <c r="B991" s="98"/>
      <c r="C991" s="98"/>
      <c r="D991" s="98"/>
      <c r="E991" s="98" t="str">
        <f>IFERROR(__xludf.DUMMYFUNCTION("""COMPUTED_VALUE""")," Solar M:  Solar Power:  Maintenance DG:  +  +  + MW Link: Link Name")</f>
        <v> Solar M:  Solar Power:  Maintenance DG:  +  +  + MW Link: Link Name</v>
      </c>
    </row>
    <row r="992">
      <c r="A992" s="98"/>
      <c r="B992" s="98"/>
      <c r="C992" s="98"/>
      <c r="D992" s="98"/>
      <c r="E992" s="98" t="str">
        <f>IFERROR(__xludf.DUMMYFUNCTION("""COMPUTED_VALUE""")," Solar M:  Solar Power:  Maintenance DG:  +  +  + MW Link: Link Name")</f>
        <v> Solar M:  Solar Power:  Maintenance DG:  +  +  + MW Link: Link Name</v>
      </c>
    </row>
    <row r="993">
      <c r="A993" s="98"/>
      <c r="B993" s="98"/>
      <c r="C993" s="98"/>
      <c r="D993" s="98"/>
      <c r="E993" s="98" t="str">
        <f>IFERROR(__xludf.DUMMYFUNCTION("""COMPUTED_VALUE""")," Solar M:  Solar Power:  Maintenance DG:  +  +  + MW Link: Link Name")</f>
        <v> Solar M:  Solar Power:  Maintenance DG:  +  +  + MW Link: Link Name</v>
      </c>
    </row>
    <row r="994">
      <c r="A994" s="98"/>
      <c r="B994" s="98"/>
      <c r="C994" s="98"/>
      <c r="D994" s="98"/>
      <c r="E994" s="98" t="str">
        <f>IFERROR(__xludf.DUMMYFUNCTION("""COMPUTED_VALUE""")," Solar M:  Solar Power:  Maintenance DG:  +  +  + MW Link: Link Name")</f>
        <v> Solar M:  Solar Power:  Maintenance DG:  +  +  + MW Link: Link Name</v>
      </c>
    </row>
    <row r="995">
      <c r="A995" s="98"/>
      <c r="B995" s="98"/>
      <c r="C995" s="98"/>
      <c r="D995" s="98"/>
      <c r="E995" s="98" t="str">
        <f>IFERROR(__xludf.DUMMYFUNCTION("""COMPUTED_VALUE""")," Solar M:  Solar Power:  Maintenance DG:  +  +  + MW Link: Link Name")</f>
        <v> Solar M:  Solar Power:  Maintenance DG:  +  +  + MW Link: Link Name</v>
      </c>
    </row>
    <row r="996">
      <c r="A996" s="98"/>
      <c r="B996" s="98"/>
      <c r="C996" s="98"/>
      <c r="D996" s="98"/>
      <c r="E996" s="98" t="str">
        <f>IFERROR(__xludf.DUMMYFUNCTION("""COMPUTED_VALUE""")," Solar M:  Solar Power:  Maintenance DG:  +  +  + MW Link: Link Name")</f>
        <v> Solar M:  Solar Power:  Maintenance DG:  +  +  + MW Link: Link Name</v>
      </c>
    </row>
    <row r="997">
      <c r="A997" s="98"/>
      <c r="B997" s="98"/>
      <c r="C997" s="98"/>
      <c r="D997" s="98"/>
      <c r="E997" s="98" t="str">
        <f>IFERROR(__xludf.DUMMYFUNCTION("""COMPUTED_VALUE""")," Solar M:  Solar Power:  Maintenance DG:  +  +  + MW Link: Link Name")</f>
        <v> Solar M:  Solar Power:  Maintenance DG:  +  +  + MW Link: Link Name</v>
      </c>
    </row>
    <row r="998">
      <c r="A998" s="98"/>
      <c r="B998" s="98"/>
      <c r="C998" s="98"/>
      <c r="D998" s="98"/>
      <c r="E998" s="98" t="str">
        <f>IFERROR(__xludf.DUMMYFUNCTION("""COMPUTED_VALUE""")," Solar M:  Solar Power:  Maintenance DG:  +  +  + MW Link: Link Name")</f>
        <v> Solar M:  Solar Power:  Maintenance DG:  +  +  + MW Link: Link Name</v>
      </c>
    </row>
    <row r="999">
      <c r="A999" s="98"/>
      <c r="B999" s="98"/>
      <c r="C999" s="98"/>
      <c r="D999" s="98"/>
      <c r="E999" s="98" t="str">
        <f>IFERROR(__xludf.DUMMYFUNCTION("""COMPUTED_VALUE""")," Solar M:  Solar Power:  Maintenance DG:  +  +  + MW Link: Link Name")</f>
        <v> Solar M:  Solar Power:  Maintenance DG:  +  +  + MW Link: Link Name</v>
      </c>
    </row>
    <row r="1000">
      <c r="A1000" s="98"/>
      <c r="B1000" s="98"/>
      <c r="C1000" s="98"/>
      <c r="D1000" s="98"/>
      <c r="E1000" s="98" t="str">
        <f>IFERROR(__xludf.DUMMYFUNCTION("""COMPUTED_VALUE""")," Solar M:  Solar Power:  Maintenance DG:  +  +  + MW Link: Link Name")</f>
        <v> Solar M:  Solar Power:  Maintenance DG:  +  +  + MW Link: Link Name</v>
      </c>
    </row>
    <row r="1001">
      <c r="A1001" s="98"/>
      <c r="B1001" s="98"/>
      <c r="C1001" s="98"/>
      <c r="D1001" s="98"/>
      <c r="E1001" s="98" t="str">
        <f>IFERROR(__xludf.DUMMYFUNCTION("""COMPUTED_VALUE""")," Solar M:  Solar Power:  Maintenance DG:  +  +  + MW Link: Link Name")</f>
        <v> Solar M:  Solar Power:  Maintenance DG:  +  +  + MW Link: Link Name</v>
      </c>
    </row>
    <row r="1002">
      <c r="A1002" s="98"/>
      <c r="B1002" s="98"/>
      <c r="C1002" s="98"/>
      <c r="D1002" s="98"/>
      <c r="E1002" s="98" t="str">
        <f>IFERROR(__xludf.DUMMYFUNCTION("""COMPUTED_VALUE""")," Solar M:  Solar Power:  Maintenance DG:  +  +  + MW Link: Link Name")</f>
        <v> Solar M:  Solar Power:  Maintenance DG:  +  +  + MW Link: Link Name</v>
      </c>
    </row>
    <row r="1003">
      <c r="A1003" s="98"/>
      <c r="B1003" s="98"/>
      <c r="C1003" s="98"/>
      <c r="D1003" s="98"/>
      <c r="E1003" s="98" t="str">
        <f>IFERROR(__xludf.DUMMYFUNCTION("""COMPUTED_VALUE""")," Solar M:  Solar Power:  Maintenance DG:  +  +  + MW Link: Link Name")</f>
        <v> Solar M:  Solar Power:  Maintenance DG:  +  +  + MW Link: Link Name</v>
      </c>
    </row>
    <row r="1004">
      <c r="A1004" s="98"/>
      <c r="B1004" s="98"/>
      <c r="C1004" s="98"/>
      <c r="D1004" s="98"/>
      <c r="E1004" s="98" t="str">
        <f>IFERROR(__xludf.DUMMYFUNCTION("""COMPUTED_VALUE""")," Solar M:  Solar Power:  Maintenance DG:  +  +  + MW Link: Link Name")</f>
        <v> Solar M:  Solar Power:  Maintenance DG:  +  +  + MW Link: Link Name</v>
      </c>
    </row>
    <row r="1005">
      <c r="A1005" s="98"/>
      <c r="B1005" s="98"/>
      <c r="C1005" s="98"/>
      <c r="D1005" s="98"/>
      <c r="E1005" s="98" t="str">
        <f>IFERROR(__xludf.DUMMYFUNCTION("""COMPUTED_VALUE""")," Solar M:  Solar Power:  Maintenance DG:  +  +  + MW Link: Link Name")</f>
        <v> Solar M:  Solar Power:  Maintenance DG:  +  +  + MW Link: Link Name</v>
      </c>
    </row>
    <row r="1006">
      <c r="A1006" s="98"/>
      <c r="B1006" s="98"/>
      <c r="C1006" s="98"/>
      <c r="D1006" s="98"/>
      <c r="E1006" s="98" t="str">
        <f>IFERROR(__xludf.DUMMYFUNCTION("""COMPUTED_VALUE""")," Solar M:  Solar Power:  Maintenance DG:  +  +  + MW Link: Link Name")</f>
        <v> Solar M:  Solar Power:  Maintenance DG:  +  +  + MW Link: Link Name</v>
      </c>
    </row>
    <row r="1007">
      <c r="A1007" s="98"/>
      <c r="B1007" s="98"/>
      <c r="C1007" s="98"/>
      <c r="D1007" s="98"/>
      <c r="E1007" s="98" t="str">
        <f>IFERROR(__xludf.DUMMYFUNCTION("""COMPUTED_VALUE""")," Solar M:  Solar Power:  Maintenance DG:  +  +  + MW Link: Link Name")</f>
        <v> Solar M:  Solar Power:  Maintenance DG:  +  +  + MW Link: Link Name</v>
      </c>
    </row>
    <row r="1008">
      <c r="A1008" s="98"/>
      <c r="B1008" s="98"/>
      <c r="C1008" s="98"/>
      <c r="D1008" s="98"/>
      <c r="E1008" s="98" t="str">
        <f>IFERROR(__xludf.DUMMYFUNCTION("""COMPUTED_VALUE""")," Solar M:  Solar Power:  Maintenance DG:  +  +  + MW Link: Link Name")</f>
        <v> Solar M:  Solar Power:  Maintenance DG:  +  +  + MW Link: Link Name</v>
      </c>
    </row>
    <row r="1009">
      <c r="A1009" s="98"/>
      <c r="B1009" s="98"/>
      <c r="C1009" s="98"/>
      <c r="D1009" s="98"/>
      <c r="E1009" s="98" t="str">
        <f>IFERROR(__xludf.DUMMYFUNCTION("""COMPUTED_VALUE""")," Solar M:  Solar Power:  Maintenance DG:  +  +  + MW Link: Link Name")</f>
        <v> Solar M:  Solar Power:  Maintenance DG:  +  +  + MW Link: Link Name</v>
      </c>
    </row>
    <row r="1010">
      <c r="A1010" s="98"/>
      <c r="B1010" s="98"/>
      <c r="C1010" s="98"/>
      <c r="D1010" s="98"/>
      <c r="E1010" s="98" t="str">
        <f>IFERROR(__xludf.DUMMYFUNCTION("""COMPUTED_VALUE""")," Solar M:  Solar Power:  Maintenance DG:  +  +  + MW Link: Link Name")</f>
        <v> Solar M:  Solar Power:  Maintenance DG:  +  +  + MW Link: Link Name</v>
      </c>
    </row>
    <row r="1011">
      <c r="A1011" s="98"/>
      <c r="B1011" s="98"/>
      <c r="C1011" s="98"/>
      <c r="D1011" s="98"/>
      <c r="E1011" s="98" t="str">
        <f>IFERROR(__xludf.DUMMYFUNCTION("""COMPUTED_VALUE""")," Solar M:  Solar Power:  Maintenance DG:  +  +  + MW Link: Link Name")</f>
        <v> Solar M:  Solar Power:  Maintenance DG:  +  +  + MW Link: Link Name</v>
      </c>
    </row>
    <row r="1012">
      <c r="A1012" s="98"/>
      <c r="B1012" s="98"/>
      <c r="C1012" s="98"/>
      <c r="D1012" s="98"/>
      <c r="E1012" s="98" t="str">
        <f>IFERROR(__xludf.DUMMYFUNCTION("""COMPUTED_VALUE""")," Solar M:  Solar Power:  Maintenance DG:  +  +  + MW Link: Link Name")</f>
        <v> Solar M:  Solar Power:  Maintenance DG:  +  +  + MW Link: Link Name</v>
      </c>
    </row>
    <row r="1013">
      <c r="A1013" s="98"/>
      <c r="B1013" s="98"/>
      <c r="C1013" s="98"/>
      <c r="D1013" s="98"/>
      <c r="E1013" s="98" t="str">
        <f>IFERROR(__xludf.DUMMYFUNCTION("""COMPUTED_VALUE""")," Solar M:  Solar Power:  Maintenance DG:  +  +  + MW Link: Link Name")</f>
        <v> Solar M:  Solar Power:  Maintenance DG:  +  +  + MW Link: Link Name</v>
      </c>
    </row>
    <row r="1014">
      <c r="A1014" s="98"/>
      <c r="B1014" s="98"/>
      <c r="C1014" s="98"/>
      <c r="D1014" s="98"/>
      <c r="E1014" s="98" t="str">
        <f>IFERROR(__xludf.DUMMYFUNCTION("""COMPUTED_VALUE""")," Solar M:  Solar Power:  Maintenance DG:  +  +  + MW Link: Link Name")</f>
        <v> Solar M:  Solar Power:  Maintenance DG:  +  +  + MW Link: Link Name</v>
      </c>
    </row>
    <row r="1015">
      <c r="A1015" s="98"/>
      <c r="B1015" s="98"/>
      <c r="C1015" s="98"/>
      <c r="D1015" s="98"/>
      <c r="E1015" s="98" t="str">
        <f>IFERROR(__xludf.DUMMYFUNCTION("""COMPUTED_VALUE""")," Solar M:  Solar Power:  Maintenance DG:  +  +  + MW Link: Link Name")</f>
        <v> Solar M:  Solar Power:  Maintenance DG:  +  +  + MW Link: Link Name</v>
      </c>
    </row>
    <row r="1016">
      <c r="A1016" s="98"/>
      <c r="B1016" s="98"/>
      <c r="C1016" s="98"/>
      <c r="D1016" s="98"/>
      <c r="E1016" s="98" t="str">
        <f>IFERROR(__xludf.DUMMYFUNCTION("""COMPUTED_VALUE""")," Solar M:  Solar Power:  Maintenance DG:  +  +  + MW Link: Link Name")</f>
        <v> Solar M:  Solar Power:  Maintenance DG:  +  +  + MW Link: Link Name</v>
      </c>
    </row>
    <row r="1017">
      <c r="A1017" s="98"/>
      <c r="B1017" s="98"/>
      <c r="C1017" s="98"/>
      <c r="D1017" s="98"/>
      <c r="E1017" s="98" t="str">
        <f>IFERROR(__xludf.DUMMYFUNCTION("""COMPUTED_VALUE""")," Solar M:  Solar Power:  Maintenance DG:  +  +  + MW Link: Link Name")</f>
        <v> Solar M:  Solar Power:  Maintenance DG:  +  +  + MW Link: Link Name</v>
      </c>
    </row>
    <row r="1018">
      <c r="A1018" s="98"/>
      <c r="B1018" s="98"/>
      <c r="C1018" s="98"/>
      <c r="D1018" s="98"/>
      <c r="E1018" s="98" t="str">
        <f>IFERROR(__xludf.DUMMYFUNCTION("""COMPUTED_VALUE""")," Solar M:  Solar Power:  Maintenance DG:  +  +  + MW Link: Link Name")</f>
        <v> Solar M:  Solar Power:  Maintenance DG:  +  +  + MW Link: Link Name</v>
      </c>
    </row>
    <row r="1019">
      <c r="A1019" s="98"/>
      <c r="B1019" s="98"/>
      <c r="C1019" s="98"/>
      <c r="D1019" s="98"/>
      <c r="E1019" s="98" t="str">
        <f>IFERROR(__xludf.DUMMYFUNCTION("""COMPUTED_VALUE""")," Solar M:  Solar Power:  Maintenance DG:  +  +  + MW Link: Link Name")</f>
        <v> Solar M:  Solar Power:  Maintenance DG:  +  +  + MW Link: Link Name</v>
      </c>
    </row>
    <row r="1020">
      <c r="A1020" s="98"/>
      <c r="B1020" s="98"/>
      <c r="C1020" s="98"/>
      <c r="D1020" s="98"/>
      <c r="E1020" s="98" t="str">
        <f>IFERROR(__xludf.DUMMYFUNCTION("""COMPUTED_VALUE""")," Solar M:  Solar Power:  Maintenance DG:  +  +  + MW Link: Link Name")</f>
        <v> Solar M:  Solar Power:  Maintenance DG:  +  +  + MW Link: Link Name</v>
      </c>
    </row>
    <row r="1021">
      <c r="A1021" s="98"/>
      <c r="B1021" s="98"/>
      <c r="C1021" s="98"/>
      <c r="D1021" s="98"/>
      <c r="E1021" s="98" t="str">
        <f>IFERROR(__xludf.DUMMYFUNCTION("""COMPUTED_VALUE""")," Solar M:  Solar Power:  Maintenance DG:  +  +  + MW Link: Link Name")</f>
        <v> Solar M:  Solar Power:  Maintenance DG:  +  +  + MW Link: Link Name</v>
      </c>
    </row>
    <row r="1022">
      <c r="A1022" s="98"/>
      <c r="B1022" s="98"/>
      <c r="C1022" s="98"/>
      <c r="D1022" s="98"/>
      <c r="E1022" s="98" t="str">
        <f>IFERROR(__xludf.DUMMYFUNCTION("""COMPUTED_VALUE""")," Solar M:  Solar Power:  Maintenance DG:  +  +  + MW Link: Link Name")</f>
        <v> Solar M:  Solar Power:  Maintenance DG:  +  +  + MW Link: Link Name</v>
      </c>
    </row>
    <row r="1023">
      <c r="A1023" s="98"/>
      <c r="B1023" s="98"/>
      <c r="C1023" s="98"/>
      <c r="D1023" s="98"/>
      <c r="E1023" s="98" t="str">
        <f>IFERROR(__xludf.DUMMYFUNCTION("""COMPUTED_VALUE""")," Solar M:  Solar Power:  Maintenance DG:  +  +  + MW Link: Link Name")</f>
        <v> Solar M:  Solar Power:  Maintenance DG:  +  +  + MW Link: Link Name</v>
      </c>
    </row>
    <row r="1024">
      <c r="A1024" s="98"/>
      <c r="B1024" s="98"/>
      <c r="C1024" s="98"/>
      <c r="D1024" s="98"/>
      <c r="E1024" s="98" t="str">
        <f>IFERROR(__xludf.DUMMYFUNCTION("""COMPUTED_VALUE""")," Solar M:  Solar Power:  Maintenance DG:  +  +  + MW Link: Link Name")</f>
        <v> Solar M:  Solar Power:  Maintenance DG:  +  +  + MW Link: Link Name</v>
      </c>
    </row>
    <row r="1025">
      <c r="A1025" s="98"/>
      <c r="B1025" s="98"/>
      <c r="C1025" s="98"/>
      <c r="D1025" s="98"/>
      <c r="E1025" s="98" t="str">
        <f>IFERROR(__xludf.DUMMYFUNCTION("""COMPUTED_VALUE""")," Solar M:  Solar Power:  Maintenance DG:  +  +  + MW Link: Link Name")</f>
        <v> Solar M:  Solar Power:  Maintenance DG:  +  +  + MW Link: Link Name</v>
      </c>
    </row>
    <row r="1026">
      <c r="A1026" s="98"/>
      <c r="B1026" s="98"/>
      <c r="C1026" s="98"/>
      <c r="D1026" s="98"/>
      <c r="E1026" s="98" t="str">
        <f>IFERROR(__xludf.DUMMYFUNCTION("""COMPUTED_VALUE""")," Solar M:  Solar Power:  Maintenance DG:  +  +  + MW Link: Link Name")</f>
        <v> Solar M:  Solar Power:  Maintenance DG:  +  +  + MW Link: Link Name</v>
      </c>
    </row>
    <row r="1027">
      <c r="A1027" s="98"/>
      <c r="B1027" s="98"/>
      <c r="C1027" s="98"/>
      <c r="D1027" s="98"/>
      <c r="E1027" s="98" t="str">
        <f>IFERROR(__xludf.DUMMYFUNCTION("""COMPUTED_VALUE""")," Solar M:  Solar Power:  Maintenance DG:  +  +  + MW Link: Link Name")</f>
        <v> Solar M:  Solar Power:  Maintenance DG:  +  +  + MW Link: Link Name</v>
      </c>
    </row>
    <row r="1028">
      <c r="A1028" s="98"/>
      <c r="B1028" s="98"/>
      <c r="C1028" s="98"/>
      <c r="D1028" s="98"/>
      <c r="E1028" s="98" t="str">
        <f>IFERROR(__xludf.DUMMYFUNCTION("""COMPUTED_VALUE""")," Solar M:  Solar Power:  Maintenance DG:  +  +  + MW Link: Link Name")</f>
        <v> Solar M:  Solar Power:  Maintenance DG:  +  +  + MW Link: Link Name</v>
      </c>
    </row>
    <row r="1029">
      <c r="A1029" s="98"/>
      <c r="B1029" s="98"/>
      <c r="C1029" s="98"/>
      <c r="D1029" s="98"/>
      <c r="E1029" s="98" t="str">
        <f>IFERROR(__xludf.DUMMYFUNCTION("""COMPUTED_VALUE""")," Solar M:  Solar Power:  Maintenance DG:  +  +  + MW Link: Link Name")</f>
        <v> Solar M:  Solar Power:  Maintenance DG:  +  +  + MW Link: Link Name</v>
      </c>
    </row>
    <row r="1030">
      <c r="A1030" s="98"/>
      <c r="B1030" s="98"/>
      <c r="C1030" s="98"/>
      <c r="D1030" s="98"/>
      <c r="E1030" s="98" t="str">
        <f>IFERROR(__xludf.DUMMYFUNCTION("""COMPUTED_VALUE""")," Solar M:  Solar Power:  Maintenance DG:  +  +  + MW Link: Link Name")</f>
        <v> Solar M:  Solar Power:  Maintenance DG:  +  +  + MW Link: Link Name</v>
      </c>
    </row>
    <row r="1031">
      <c r="A1031" s="98"/>
      <c r="B1031" s="98"/>
      <c r="C1031" s="98"/>
      <c r="D1031" s="98"/>
      <c r="E1031" s="98" t="str">
        <f>IFERROR(__xludf.DUMMYFUNCTION("""COMPUTED_VALUE""")," Solar M:  Solar Power:  Maintenance DG:  +  +  + MW Link: Link Name")</f>
        <v> Solar M:  Solar Power:  Maintenance DG:  +  +  + MW Link: Link Name</v>
      </c>
    </row>
    <row r="1032">
      <c r="A1032" s="98"/>
      <c r="B1032" s="98"/>
      <c r="C1032" s="98"/>
      <c r="D1032" s="98"/>
      <c r="E1032" s="98" t="str">
        <f>IFERROR(__xludf.DUMMYFUNCTION("""COMPUTED_VALUE""")," Solar M:  Solar Power:  Maintenance DG:  +  +  + MW Link: Link Name")</f>
        <v> Solar M:  Solar Power:  Maintenance DG:  +  +  + MW Link: Link Name</v>
      </c>
    </row>
    <row r="1033">
      <c r="A1033" s="98"/>
      <c r="B1033" s="98"/>
      <c r="C1033" s="98"/>
      <c r="D1033" s="98"/>
      <c r="E1033" s="98" t="str">
        <f>IFERROR(__xludf.DUMMYFUNCTION("""COMPUTED_VALUE""")," Solar M:  Solar Power:  Maintenance DG:  +  +  + MW Link: Link Name")</f>
        <v> Solar M:  Solar Power:  Maintenance DG:  +  +  + MW Link: Link Name</v>
      </c>
    </row>
    <row r="1034">
      <c r="A1034" s="98"/>
      <c r="B1034" s="98"/>
      <c r="C1034" s="98"/>
      <c r="D1034" s="98"/>
      <c r="E1034" s="98" t="str">
        <f>IFERROR(__xludf.DUMMYFUNCTION("""COMPUTED_VALUE""")," Solar M:  Solar Power:  Maintenance DG:  +  +  + MW Link: Link Name")</f>
        <v> Solar M:  Solar Power:  Maintenance DG:  +  +  + MW Link: Link Name</v>
      </c>
    </row>
    <row r="1035">
      <c r="A1035" s="98"/>
      <c r="B1035" s="98"/>
      <c r="C1035" s="98"/>
      <c r="D1035" s="98"/>
      <c r="E1035" s="98" t="str">
        <f>IFERROR(__xludf.DUMMYFUNCTION("""COMPUTED_VALUE""")," Solar M:  Solar Power:  Maintenance DG:  +  +  + MW Link: Link Name")</f>
        <v> Solar M:  Solar Power:  Maintenance DG:  +  +  + MW Link: Link Name</v>
      </c>
    </row>
    <row r="1036">
      <c r="A1036" s="98"/>
      <c r="B1036" s="98"/>
      <c r="C1036" s="98"/>
      <c r="D1036" s="98"/>
      <c r="E1036" s="98" t="str">
        <f>IFERROR(__xludf.DUMMYFUNCTION("""COMPUTED_VALUE""")," Solar M:  Solar Power:  Maintenance DG:  +  +  + MW Link: Link Name")</f>
        <v> Solar M:  Solar Power:  Maintenance DG:  +  +  + MW Link: Link Name</v>
      </c>
    </row>
    <row r="1037">
      <c r="A1037" s="98"/>
      <c r="B1037" s="98"/>
      <c r="C1037" s="98"/>
      <c r="D1037" s="98"/>
      <c r="E1037" s="98" t="str">
        <f>IFERROR(__xludf.DUMMYFUNCTION("""COMPUTED_VALUE""")," Solar M:  Solar Power:  Maintenance DG:  +  +  + MW Link: Link Name")</f>
        <v> Solar M:  Solar Power:  Maintenance DG:  +  +  + MW Link: Link Name</v>
      </c>
    </row>
    <row r="1038">
      <c r="A1038" s="98"/>
      <c r="B1038" s="98"/>
      <c r="C1038" s="98"/>
      <c r="D1038" s="98"/>
      <c r="E1038" s="98" t="str">
        <f>IFERROR(__xludf.DUMMYFUNCTION("""COMPUTED_VALUE""")," Solar M:  Solar Power:  Maintenance DG:  +  +  + MW Link: Link Name")</f>
        <v> Solar M:  Solar Power:  Maintenance DG:  +  +  + MW Link: Link Name</v>
      </c>
    </row>
    <row r="1039">
      <c r="A1039" s="98"/>
      <c r="B1039" s="98"/>
      <c r="C1039" s="98"/>
      <c r="D1039" s="98"/>
      <c r="E1039" s="98" t="str">
        <f>IFERROR(__xludf.DUMMYFUNCTION("""COMPUTED_VALUE""")," Solar M:  Solar Power:  Maintenance DG:  +  +  + MW Link: Link Name")</f>
        <v> Solar M:  Solar Power:  Maintenance DG:  +  +  + MW Link: Link Name</v>
      </c>
    </row>
    <row r="1040">
      <c r="A1040" s="98"/>
      <c r="B1040" s="98"/>
      <c r="C1040" s="98"/>
      <c r="D1040" s="98"/>
      <c r="E1040" s="98" t="str">
        <f>IFERROR(__xludf.DUMMYFUNCTION("""COMPUTED_VALUE""")," Solar M:  Solar Power:  Maintenance DG:  +  +  + MW Link: Link Name")</f>
        <v> Solar M:  Solar Power:  Maintenance DG:  +  +  + MW Link: Link Name</v>
      </c>
    </row>
    <row r="1041">
      <c r="A1041" s="98"/>
      <c r="B1041" s="98"/>
      <c r="C1041" s="98"/>
      <c r="D1041" s="98"/>
      <c r="E1041" s="98" t="str">
        <f>IFERROR(__xludf.DUMMYFUNCTION("""COMPUTED_VALUE""")," Solar M:  Solar Power:  Maintenance DG:  +  +  + MW Link: Link Name")</f>
        <v> Solar M:  Solar Power:  Maintenance DG:  +  +  + MW Link: Link Name</v>
      </c>
    </row>
    <row r="1042">
      <c r="A1042" s="98"/>
      <c r="B1042" s="98"/>
      <c r="C1042" s="98"/>
      <c r="D1042" s="98"/>
      <c r="E1042" s="98" t="str">
        <f>IFERROR(__xludf.DUMMYFUNCTION("""COMPUTED_VALUE""")," Solar M:  Solar Power:  Maintenance DG:  +  +  + MW Link: Link Name")</f>
        <v> Solar M:  Solar Power:  Maintenance DG:  +  +  + MW Link: Link Name</v>
      </c>
    </row>
    <row r="1043">
      <c r="A1043" s="98"/>
      <c r="B1043" s="98"/>
      <c r="C1043" s="98"/>
      <c r="D1043" s="98"/>
      <c r="E1043" s="98" t="str">
        <f>IFERROR(__xludf.DUMMYFUNCTION("""COMPUTED_VALUE""")," Solar M:  Solar Power:  Maintenance DG:  +  +  + MW Link: Link Name")</f>
        <v> Solar M:  Solar Power:  Maintenance DG:  +  +  + MW Link: Link Name</v>
      </c>
    </row>
    <row r="1044">
      <c r="A1044" s="98"/>
      <c r="B1044" s="98"/>
      <c r="C1044" s="98"/>
      <c r="D1044" s="98"/>
      <c r="E1044" s="98" t="str">
        <f>IFERROR(__xludf.DUMMYFUNCTION("""COMPUTED_VALUE""")," Solar M:  Solar Power:  Maintenance DG:  +  +  + MW Link: Link Name")</f>
        <v> Solar M:  Solar Power:  Maintenance DG:  +  +  + MW Link: Link Name</v>
      </c>
    </row>
    <row r="1045">
      <c r="A1045" s="98"/>
      <c r="B1045" s="98"/>
      <c r="C1045" s="98"/>
      <c r="D1045" s="98"/>
      <c r="E1045" s="98" t="str">
        <f>IFERROR(__xludf.DUMMYFUNCTION("""COMPUTED_VALUE""")," Solar M:  Solar Power:  Maintenance DG:  +  +  + MW Link: Link Name")</f>
        <v> Solar M:  Solar Power:  Maintenance DG:  +  +  + MW Link: Link Name</v>
      </c>
    </row>
    <row r="1046">
      <c r="A1046" s="98"/>
      <c r="B1046" s="98"/>
      <c r="C1046" s="98"/>
      <c r="D1046" s="98"/>
      <c r="E1046" s="98" t="str">
        <f>IFERROR(__xludf.DUMMYFUNCTION("""COMPUTED_VALUE""")," Solar M:  Solar Power:  Maintenance DG:  +  +  + MW Link: Link Name")</f>
        <v> Solar M:  Solar Power:  Maintenance DG:  +  +  + MW Link: Link Name</v>
      </c>
    </row>
    <row r="1047">
      <c r="A1047" s="98"/>
      <c r="B1047" s="98"/>
      <c r="C1047" s="98"/>
      <c r="D1047" s="98"/>
      <c r="E1047" s="98" t="str">
        <f>IFERROR(__xludf.DUMMYFUNCTION("""COMPUTED_VALUE""")," Solar M:  Solar Power:  Maintenance DG:  +  +  + MW Link: Link Name")</f>
        <v> Solar M:  Solar Power:  Maintenance DG:  +  +  + MW Link: Link Name</v>
      </c>
    </row>
    <row r="1048">
      <c r="A1048" s="98"/>
      <c r="B1048" s="98"/>
      <c r="C1048" s="98"/>
      <c r="D1048" s="98"/>
      <c r="E1048" s="98" t="str">
        <f>IFERROR(__xludf.DUMMYFUNCTION("""COMPUTED_VALUE""")," Solar M:  Solar Power:  Maintenance DG:  +  +  + MW Link: Link Name")</f>
        <v> Solar M:  Solar Power:  Maintenance DG:  +  +  + MW Link: Link Name</v>
      </c>
    </row>
    <row r="1049">
      <c r="A1049" s="98"/>
      <c r="B1049" s="98"/>
      <c r="C1049" s="98"/>
      <c r="D1049" s="98"/>
      <c r="E1049" s="98" t="str">
        <f>IFERROR(__xludf.DUMMYFUNCTION("""COMPUTED_VALUE""")," Solar M:  Solar Power:  Maintenance DG:  +  +  + MW Link: Link Name")</f>
        <v> Solar M:  Solar Power:  Maintenance DG:  +  +  + MW Link: Link Name</v>
      </c>
    </row>
    <row r="1050">
      <c r="A1050" s="98"/>
      <c r="B1050" s="98"/>
      <c r="C1050" s="98"/>
      <c r="D1050" s="98"/>
      <c r="E1050" s="98" t="str">
        <f>IFERROR(__xludf.DUMMYFUNCTION("""COMPUTED_VALUE""")," Solar M:  Solar Power:  Maintenance DG:  +  +  + MW Link: Link Name")</f>
        <v> Solar M:  Solar Power:  Maintenance DG:  +  +  + MW Link: Link Name</v>
      </c>
    </row>
    <row r="1051">
      <c r="A1051" s="98"/>
      <c r="B1051" s="98"/>
      <c r="C1051" s="98"/>
      <c r="D1051" s="98"/>
      <c r="E1051" s="98" t="str">
        <f>IFERROR(__xludf.DUMMYFUNCTION("""COMPUTED_VALUE""")," Solar M:  Solar Power:  Maintenance DG:  +  +  + MW Link: Link Name")</f>
        <v> Solar M:  Solar Power:  Maintenance DG:  +  +  + MW Link: Link Name</v>
      </c>
    </row>
    <row r="1052">
      <c r="A1052" s="98"/>
      <c r="B1052" s="98"/>
      <c r="C1052" s="98"/>
      <c r="D1052" s="98"/>
      <c r="E1052" s="98" t="str">
        <f>IFERROR(__xludf.DUMMYFUNCTION("""COMPUTED_VALUE""")," Solar M:  Solar Power:  Maintenance DG:  +  +  + MW Link: Link Name")</f>
        <v> Solar M:  Solar Power:  Maintenance DG:  +  +  + MW Link: Link Name</v>
      </c>
    </row>
    <row r="1053">
      <c r="A1053" s="98"/>
      <c r="B1053" s="98"/>
      <c r="C1053" s="98"/>
      <c r="D1053" s="98"/>
      <c r="E1053" s="98" t="str">
        <f>IFERROR(__xludf.DUMMYFUNCTION("""COMPUTED_VALUE""")," Solar M:  Solar Power:  Maintenance DG:  +  +  + MW Link: Link Name")</f>
        <v> Solar M:  Solar Power:  Maintenance DG:  +  +  + MW Link: Link Name</v>
      </c>
    </row>
    <row r="1054">
      <c r="A1054" s="98"/>
      <c r="B1054" s="98"/>
      <c r="C1054" s="98"/>
      <c r="D1054" s="98"/>
      <c r="E1054" s="98" t="str">
        <f>IFERROR(__xludf.DUMMYFUNCTION("""COMPUTED_VALUE""")," Solar M:  Solar Power:  Maintenance DG:  +  +  + MW Link: Link Name")</f>
        <v> Solar M:  Solar Power:  Maintenance DG:  +  +  + MW Link: Link Name</v>
      </c>
    </row>
    <row r="1055">
      <c r="A1055" s="98"/>
      <c r="B1055" s="98"/>
      <c r="C1055" s="98"/>
      <c r="D1055" s="98"/>
      <c r="E1055" s="98" t="str">
        <f>IFERROR(__xludf.DUMMYFUNCTION("""COMPUTED_VALUE""")," Solar M:  Solar Power:  Maintenance DG:  +  +  + MW Link: Link Name")</f>
        <v> Solar M:  Solar Power:  Maintenance DG:  +  +  + MW Link: Link Name</v>
      </c>
    </row>
    <row r="1056">
      <c r="A1056" s="98"/>
      <c r="B1056" s="98"/>
      <c r="C1056" s="98"/>
      <c r="D1056" s="98"/>
      <c r="E1056" s="98" t="str">
        <f>IFERROR(__xludf.DUMMYFUNCTION("""COMPUTED_VALUE""")," Solar M:  Solar Power:  Maintenance DG:  +  +  + MW Link: Link Name")</f>
        <v> Solar M:  Solar Power:  Maintenance DG:  +  +  + MW Link: Link Name</v>
      </c>
    </row>
    <row r="1057">
      <c r="A1057" s="98"/>
      <c r="B1057" s="98"/>
      <c r="C1057" s="98"/>
      <c r="D1057" s="98"/>
      <c r="E1057" s="98" t="str">
        <f>IFERROR(__xludf.DUMMYFUNCTION("""COMPUTED_VALUE""")," Solar M:  Solar Power:  Maintenance DG:  +  +  + MW Link: Link Name")</f>
        <v> Solar M:  Solar Power:  Maintenance DG:  +  +  + MW Link: Link Name</v>
      </c>
    </row>
    <row r="1058">
      <c r="A1058" s="98"/>
      <c r="B1058" s="98"/>
      <c r="C1058" s="98"/>
      <c r="D1058" s="98"/>
      <c r="E1058" s="98" t="str">
        <f>IFERROR(__xludf.DUMMYFUNCTION("""COMPUTED_VALUE""")," Solar M:  Solar Power:  Maintenance DG:  +  +  + MW Link: Link Name")</f>
        <v> Solar M:  Solar Power:  Maintenance DG:  +  +  + MW Link: Link Name</v>
      </c>
    </row>
    <row r="1059">
      <c r="A1059" s="98"/>
      <c r="B1059" s="98"/>
      <c r="C1059" s="98"/>
      <c r="D1059" s="98"/>
      <c r="E1059" s="98" t="str">
        <f>IFERROR(__xludf.DUMMYFUNCTION("""COMPUTED_VALUE""")," Solar M:  Solar Power:  Maintenance DG:  +  +  + MW Link: Link Name")</f>
        <v> Solar M:  Solar Power:  Maintenance DG:  +  +  + MW Link: Link Name</v>
      </c>
    </row>
    <row r="1060">
      <c r="A1060" s="98"/>
      <c r="B1060" s="98"/>
      <c r="C1060" s="98"/>
      <c r="D1060" s="98"/>
      <c r="E1060" s="98" t="str">
        <f>IFERROR(__xludf.DUMMYFUNCTION("""COMPUTED_VALUE""")," Solar M:  Solar Power:  Maintenance DG:  +  +  + MW Link: Link Name")</f>
        <v> Solar M:  Solar Power:  Maintenance DG:  +  +  + MW Link: Link Name</v>
      </c>
    </row>
    <row r="1061">
      <c r="A1061" s="98"/>
      <c r="B1061" s="98"/>
      <c r="C1061" s="98"/>
      <c r="D1061" s="98"/>
      <c r="E1061" s="98" t="str">
        <f>IFERROR(__xludf.DUMMYFUNCTION("""COMPUTED_VALUE""")," Solar M:  Solar Power:  Maintenance DG:  +  +  + MW Link: Link Name")</f>
        <v> Solar M:  Solar Power:  Maintenance DG:  +  +  + MW Link: Link Name</v>
      </c>
    </row>
    <row r="1062">
      <c r="A1062" s="98"/>
      <c r="B1062" s="98"/>
      <c r="C1062" s="98"/>
      <c r="D1062" s="98"/>
      <c r="E1062" s="98" t="str">
        <f>IFERROR(__xludf.DUMMYFUNCTION("""COMPUTED_VALUE""")," Solar M:  Solar Power:  Maintenance DG:  +  +  + MW Link: Link Name")</f>
        <v> Solar M:  Solar Power:  Maintenance DG:  +  +  + MW Link: Link Name</v>
      </c>
    </row>
    <row r="1063">
      <c r="A1063" s="98"/>
      <c r="B1063" s="98"/>
      <c r="C1063" s="98"/>
      <c r="D1063" s="98"/>
      <c r="E1063" s="98" t="str">
        <f>IFERROR(__xludf.DUMMYFUNCTION("""COMPUTED_VALUE""")," Solar M:  Solar Power:  Maintenance DG:  +  +  + MW Link: Link Name")</f>
        <v> Solar M:  Solar Power:  Maintenance DG:  +  +  + MW Link: Link Name</v>
      </c>
    </row>
    <row r="1064">
      <c r="A1064" s="98"/>
      <c r="B1064" s="98"/>
      <c r="C1064" s="98"/>
      <c r="D1064" s="98"/>
      <c r="E1064" s="98" t="str">
        <f>IFERROR(__xludf.DUMMYFUNCTION("""COMPUTED_VALUE""")," Solar M:  Solar Power:  Maintenance DG:  +  +  + MW Link: Link Name")</f>
        <v> Solar M:  Solar Power:  Maintenance DG:  +  +  + MW Link: Link Name</v>
      </c>
    </row>
    <row r="1065">
      <c r="A1065" s="98"/>
      <c r="B1065" s="98"/>
      <c r="C1065" s="98"/>
      <c r="D1065" s="98"/>
      <c r="E1065" s="98" t="str">
        <f>IFERROR(__xludf.DUMMYFUNCTION("""COMPUTED_VALUE""")," Solar M:  Solar Power:  Maintenance DG:  +  +  + MW Link: Link Name")</f>
        <v> Solar M:  Solar Power:  Maintenance DG:  +  +  + MW Link: Link Name</v>
      </c>
    </row>
    <row r="1066">
      <c r="A1066" s="98"/>
      <c r="B1066" s="98"/>
      <c r="C1066" s="98"/>
      <c r="D1066" s="98"/>
      <c r="E1066" s="98" t="str">
        <f>IFERROR(__xludf.DUMMYFUNCTION("""COMPUTED_VALUE""")," Solar M:  Solar Power:  Maintenance DG:  +  +  + MW Link: Link Name")</f>
        <v> Solar M:  Solar Power:  Maintenance DG:  +  +  + MW Link: Link Name</v>
      </c>
    </row>
    <row r="1067">
      <c r="A1067" s="98"/>
      <c r="B1067" s="98"/>
      <c r="C1067" s="98"/>
      <c r="D1067" s="98"/>
      <c r="E1067" s="98" t="str">
        <f>IFERROR(__xludf.DUMMYFUNCTION("""COMPUTED_VALUE""")," Solar M:  Solar Power:  Maintenance DG:  +  +  + MW Link: Link Name")</f>
        <v> Solar M:  Solar Power:  Maintenance DG:  +  +  + MW Link: Link Name</v>
      </c>
    </row>
    <row r="1068">
      <c r="A1068" s="98"/>
      <c r="B1068" s="98"/>
      <c r="C1068" s="98"/>
      <c r="D1068" s="98"/>
      <c r="E1068" s="98" t="str">
        <f>IFERROR(__xludf.DUMMYFUNCTION("""COMPUTED_VALUE""")," Solar M:  Solar Power:  Maintenance DG:  +  +  + MW Link: Link Name")</f>
        <v> Solar M:  Solar Power:  Maintenance DG:  +  +  + MW Link: Link Name</v>
      </c>
    </row>
    <row r="1069">
      <c r="A1069" s="98"/>
      <c r="B1069" s="98"/>
      <c r="C1069" s="98"/>
      <c r="D1069" s="98"/>
      <c r="E1069" s="98" t="str">
        <f>IFERROR(__xludf.DUMMYFUNCTION("""COMPUTED_VALUE""")," Solar M:  Solar Power:  Maintenance DG:  +  +  + MW Link: Link Name")</f>
        <v> Solar M:  Solar Power:  Maintenance DG:  +  +  + MW Link: Link Name</v>
      </c>
    </row>
    <row r="1070">
      <c r="A1070" s="98"/>
      <c r="B1070" s="98"/>
      <c r="C1070" s="98"/>
      <c r="D1070" s="98"/>
      <c r="E1070" s="98" t="str">
        <f>IFERROR(__xludf.DUMMYFUNCTION("""COMPUTED_VALUE""")," Solar M:  Solar Power:  Maintenance DG:  +  +  + MW Link: Link Name")</f>
        <v> Solar M:  Solar Power:  Maintenance DG:  +  +  + MW Link: Link Name</v>
      </c>
    </row>
    <row r="1071">
      <c r="A1071" s="98"/>
      <c r="B1071" s="98"/>
      <c r="C1071" s="98"/>
      <c r="D1071" s="98"/>
      <c r="E1071" s="98" t="str">
        <f>IFERROR(__xludf.DUMMYFUNCTION("""COMPUTED_VALUE""")," Solar M:  Solar Power:  Maintenance DG:  +  +  + MW Link: Link Name")</f>
        <v> Solar M:  Solar Power:  Maintenance DG:  +  +  + MW Link: Link Name</v>
      </c>
    </row>
    <row r="1072">
      <c r="A1072" s="98"/>
      <c r="B1072" s="98"/>
      <c r="C1072" s="98"/>
      <c r="D1072" s="98"/>
      <c r="E1072" s="98" t="str">
        <f>IFERROR(__xludf.DUMMYFUNCTION("""COMPUTED_VALUE""")," Solar M:  Solar Power:  Maintenance DG:  +  +  + MW Link: Link Name")</f>
        <v> Solar M:  Solar Power:  Maintenance DG:  +  +  + MW Link: Link Name</v>
      </c>
    </row>
    <row r="1073">
      <c r="A1073" s="98"/>
      <c r="B1073" s="98"/>
      <c r="C1073" s="98"/>
      <c r="D1073" s="98"/>
      <c r="E1073" s="98" t="str">
        <f>IFERROR(__xludf.DUMMYFUNCTION("""COMPUTED_VALUE""")," Solar M:  Solar Power:  Maintenance DG:  +  +  + MW Link: Link Name")</f>
        <v> Solar M:  Solar Power:  Maintenance DG:  +  +  + MW Link: Link Name</v>
      </c>
    </row>
    <row r="1074">
      <c r="A1074" s="98"/>
      <c r="B1074" s="98"/>
      <c r="C1074" s="98"/>
      <c r="D1074" s="98"/>
      <c r="E1074" s="98" t="str">
        <f>IFERROR(__xludf.DUMMYFUNCTION("""COMPUTED_VALUE""")," Solar M:  Solar Power:  Maintenance DG:  +  +  + MW Link: Link Name")</f>
        <v> Solar M:  Solar Power:  Maintenance DG:  +  +  + MW Link: Link Name</v>
      </c>
    </row>
    <row r="1075">
      <c r="A1075" s="98"/>
      <c r="B1075" s="98"/>
      <c r="C1075" s="98"/>
      <c r="D1075" s="98"/>
      <c r="E1075" s="98" t="str">
        <f>IFERROR(__xludf.DUMMYFUNCTION("""COMPUTED_VALUE""")," Solar M:  Solar Power:  Maintenance DG:  +  +  + MW Link: Link Name")</f>
        <v> Solar M:  Solar Power:  Maintenance DG:  +  +  + MW Link: Link Name</v>
      </c>
    </row>
    <row r="1076">
      <c r="A1076" s="98"/>
      <c r="B1076" s="98"/>
      <c r="C1076" s="98"/>
      <c r="D1076" s="98"/>
      <c r="E1076" s="98" t="str">
        <f>IFERROR(__xludf.DUMMYFUNCTION("""COMPUTED_VALUE""")," Solar M:  Solar Power:  Maintenance DG:  +  +  + MW Link: Link Name")</f>
        <v> Solar M:  Solar Power:  Maintenance DG:  +  +  + MW Link: Link Name</v>
      </c>
    </row>
    <row r="1077">
      <c r="A1077" s="98"/>
      <c r="B1077" s="98"/>
      <c r="C1077" s="98"/>
      <c r="D1077" s="98"/>
      <c r="E1077" s="98" t="str">
        <f>IFERROR(__xludf.DUMMYFUNCTION("""COMPUTED_VALUE""")," Solar M:  Solar Power:  Maintenance DG:  +  +  + MW Link: Link Name")</f>
        <v> Solar M:  Solar Power:  Maintenance DG:  +  +  + MW Link: Link Name</v>
      </c>
    </row>
    <row r="1078">
      <c r="A1078" s="98"/>
      <c r="B1078" s="98"/>
      <c r="C1078" s="98"/>
      <c r="D1078" s="98"/>
      <c r="E1078" s="98" t="str">
        <f>IFERROR(__xludf.DUMMYFUNCTION("""COMPUTED_VALUE""")," Solar M:  Solar Power:  Maintenance DG:  +  +  + MW Link: Link Name")</f>
        <v> Solar M:  Solar Power:  Maintenance DG:  +  +  + MW Link: Link Name</v>
      </c>
    </row>
    <row r="1079">
      <c r="A1079" s="98"/>
      <c r="B1079" s="98"/>
      <c r="C1079" s="98"/>
      <c r="D1079" s="98"/>
      <c r="E1079" s="98" t="str">
        <f>IFERROR(__xludf.DUMMYFUNCTION("""COMPUTED_VALUE""")," Solar M:  Solar Power:  Maintenance DG:  +  +  + MW Link: Link Name")</f>
        <v> Solar M:  Solar Power:  Maintenance DG:  +  +  + MW Link: Link Name</v>
      </c>
    </row>
    <row r="1080">
      <c r="A1080" s="98"/>
      <c r="B1080" s="98"/>
      <c r="C1080" s="98"/>
      <c r="D1080" s="98"/>
      <c r="E1080" s="98" t="str">
        <f>IFERROR(__xludf.DUMMYFUNCTION("""COMPUTED_VALUE""")," Solar M:  Solar Power:  Maintenance DG:  +  +  + MW Link: Link Name")</f>
        <v> Solar M:  Solar Power:  Maintenance DG:  +  +  + MW Link: Link Name</v>
      </c>
    </row>
    <row r="1081">
      <c r="A1081" s="98"/>
      <c r="B1081" s="98"/>
      <c r="C1081" s="98"/>
      <c r="D1081" s="98"/>
      <c r="E1081" s="98" t="str">
        <f>IFERROR(__xludf.DUMMYFUNCTION("""COMPUTED_VALUE""")," Solar M:  Solar Power:  Maintenance DG:  +  +  + MW Link: Link Name")</f>
        <v> Solar M:  Solar Power:  Maintenance DG:  +  +  + MW Link: Link Name</v>
      </c>
    </row>
    <row r="1082">
      <c r="A1082" s="98"/>
      <c r="B1082" s="98"/>
      <c r="C1082" s="98"/>
      <c r="D1082" s="98"/>
      <c r="E1082" s="98" t="str">
        <f>IFERROR(__xludf.DUMMYFUNCTION("""COMPUTED_VALUE""")," Solar M:  Solar Power:  Maintenance DG:  +  +  + MW Link: Link Name")</f>
        <v> Solar M:  Solar Power:  Maintenance DG:  +  +  + MW Link: Link Name</v>
      </c>
    </row>
    <row r="1083">
      <c r="A1083" s="98"/>
      <c r="B1083" s="98"/>
      <c r="C1083" s="98"/>
      <c r="D1083" s="98"/>
      <c r="E1083" s="98" t="str">
        <f>IFERROR(__xludf.DUMMYFUNCTION("""COMPUTED_VALUE""")," Solar M:  Solar Power:  Maintenance DG:  +  +  + MW Link: Link Name")</f>
        <v> Solar M:  Solar Power:  Maintenance DG:  +  +  + MW Link: Link Name</v>
      </c>
    </row>
    <row r="1084">
      <c r="A1084" s="98"/>
      <c r="B1084" s="98"/>
      <c r="C1084" s="98"/>
      <c r="D1084" s="98"/>
      <c r="E1084" s="98" t="str">
        <f>IFERROR(__xludf.DUMMYFUNCTION("""COMPUTED_VALUE""")," Solar M:  Solar Power:  Maintenance DG:  +  +  + MW Link: Link Name")</f>
        <v> Solar M:  Solar Power:  Maintenance DG:  +  +  + MW Link: Link Name</v>
      </c>
    </row>
    <row r="1085">
      <c r="A1085" s="98"/>
      <c r="B1085" s="98"/>
      <c r="C1085" s="98"/>
      <c r="D1085" s="98"/>
      <c r="E1085" s="98" t="str">
        <f>IFERROR(__xludf.DUMMYFUNCTION("""COMPUTED_VALUE""")," Solar M:  Solar Power:  Maintenance DG:  +  +  + MW Link: Link Name")</f>
        <v> Solar M:  Solar Power:  Maintenance DG:  +  +  + MW Link: Link Name</v>
      </c>
    </row>
    <row r="1086">
      <c r="A1086" s="98"/>
      <c r="B1086" s="98"/>
      <c r="C1086" s="98"/>
      <c r="D1086" s="98"/>
      <c r="E1086" s="98" t="str">
        <f>IFERROR(__xludf.DUMMYFUNCTION("""COMPUTED_VALUE""")," Solar M:  Solar Power:  Maintenance DG:  +  +  + MW Link: Link Name")</f>
        <v> Solar M:  Solar Power:  Maintenance DG:  +  +  + MW Link: Link Name</v>
      </c>
    </row>
    <row r="1087">
      <c r="A1087" s="98"/>
      <c r="B1087" s="98"/>
      <c r="C1087" s="98"/>
      <c r="D1087" s="98"/>
      <c r="E1087" s="98" t="str">
        <f>IFERROR(__xludf.DUMMYFUNCTION("""COMPUTED_VALUE""")," Solar M:  Solar Power:  Maintenance DG:  +  +  + MW Link: Link Name")</f>
        <v> Solar M:  Solar Power:  Maintenance DG:  +  +  + MW Link: Link Name</v>
      </c>
    </row>
    <row r="1088">
      <c r="A1088" s="98"/>
      <c r="B1088" s="98"/>
      <c r="C1088" s="98"/>
      <c r="D1088" s="98"/>
      <c r="E1088" s="98" t="str">
        <f>IFERROR(__xludf.DUMMYFUNCTION("""COMPUTED_VALUE""")," Solar M:  Solar Power:  Maintenance DG:  +  +  + MW Link: Link Name")</f>
        <v> Solar M:  Solar Power:  Maintenance DG:  +  +  + MW Link: Link Name</v>
      </c>
    </row>
    <row r="1089">
      <c r="A1089" s="98"/>
      <c r="B1089" s="98"/>
      <c r="C1089" s="98"/>
      <c r="D1089" s="98"/>
      <c r="E1089" s="98" t="str">
        <f>IFERROR(__xludf.DUMMYFUNCTION("""COMPUTED_VALUE""")," Solar M:  Solar Power:  Maintenance DG:  +  +  + MW Link: Link Name")</f>
        <v> Solar M:  Solar Power:  Maintenance DG:  +  +  + MW Link: Link Name</v>
      </c>
    </row>
    <row r="1090">
      <c r="A1090" s="98"/>
      <c r="B1090" s="98"/>
      <c r="C1090" s="98"/>
      <c r="D1090" s="98"/>
      <c r="E1090" s="98" t="str">
        <f>IFERROR(__xludf.DUMMYFUNCTION("""COMPUTED_VALUE""")," Solar M:  Solar Power:  Maintenance DG:  +  +  + MW Link: Link Name")</f>
        <v> Solar M:  Solar Power:  Maintenance DG:  +  +  + MW Link: Link Name</v>
      </c>
    </row>
    <row r="1091">
      <c r="A1091" s="98"/>
      <c r="B1091" s="98"/>
      <c r="C1091" s="98"/>
      <c r="D1091" s="98"/>
      <c r="E1091" s="98" t="str">
        <f>IFERROR(__xludf.DUMMYFUNCTION("""COMPUTED_VALUE""")," Solar M:  Solar Power:  Maintenance DG:  +  +  + MW Link: Link Name")</f>
        <v> Solar M:  Solar Power:  Maintenance DG:  +  +  + MW Link: Link Name</v>
      </c>
    </row>
    <row r="1092">
      <c r="A1092" s="98"/>
      <c r="B1092" s="98"/>
      <c r="C1092" s="98"/>
      <c r="D1092" s="98"/>
      <c r="E1092" s="98" t="str">
        <f>IFERROR(__xludf.DUMMYFUNCTION("""COMPUTED_VALUE""")," Solar M:  Solar Power:  Maintenance DG:  +  +  + MW Link: Link Name")</f>
        <v> Solar M:  Solar Power:  Maintenance DG:  +  +  + MW Link: Link Name</v>
      </c>
    </row>
    <row r="1093">
      <c r="A1093" s="98"/>
      <c r="B1093" s="98"/>
      <c r="C1093" s="98"/>
      <c r="D1093" s="98"/>
      <c r="E1093" s="98" t="str">
        <f>IFERROR(__xludf.DUMMYFUNCTION("""COMPUTED_VALUE""")," Solar M:  Solar Power:  Maintenance DG:  +  +  + MW Link: Link Name")</f>
        <v> Solar M:  Solar Power:  Maintenance DG:  +  +  + MW Link: Link Name</v>
      </c>
    </row>
    <row r="1094">
      <c r="A1094" s="98"/>
      <c r="B1094" s="98"/>
      <c r="C1094" s="98"/>
      <c r="D1094" s="98"/>
      <c r="E1094" s="98" t="str">
        <f>IFERROR(__xludf.DUMMYFUNCTION("""COMPUTED_VALUE""")," Solar M:  Solar Power:  Maintenance DG:  +  +  + MW Link: Link Name")</f>
        <v> Solar M:  Solar Power:  Maintenance DG:  +  +  + MW Link: Link Name</v>
      </c>
    </row>
    <row r="1095">
      <c r="A1095" s="98"/>
      <c r="B1095" s="98"/>
      <c r="C1095" s="98"/>
      <c r="D1095" s="98"/>
      <c r="E1095" s="98" t="str">
        <f>IFERROR(__xludf.DUMMYFUNCTION("""COMPUTED_VALUE""")," Solar M:  Solar Power:  Maintenance DG:  +  +  + MW Link: Link Name")</f>
        <v> Solar M:  Solar Power:  Maintenance DG:  +  +  + MW Link: Link Name</v>
      </c>
    </row>
    <row r="1096">
      <c r="A1096" s="98"/>
      <c r="B1096" s="98"/>
      <c r="C1096" s="98"/>
      <c r="D1096" s="98"/>
      <c r="E1096" s="98" t="str">
        <f>IFERROR(__xludf.DUMMYFUNCTION("""COMPUTED_VALUE""")," Solar M:  Solar Power:  Maintenance DG:  +  +  + MW Link: Link Name")</f>
        <v> Solar M:  Solar Power:  Maintenance DG:  +  +  + MW Link: Link Name</v>
      </c>
    </row>
    <row r="1097">
      <c r="A1097" s="98"/>
      <c r="B1097" s="98"/>
      <c r="C1097" s="98"/>
      <c r="D1097" s="98"/>
      <c r="E1097" s="98" t="str">
        <f>IFERROR(__xludf.DUMMYFUNCTION("""COMPUTED_VALUE""")," Solar M:  Solar Power:  Maintenance DG:  +  +  + MW Link: Link Name")</f>
        <v> Solar M:  Solar Power:  Maintenance DG:  +  +  + MW Link: Link Name</v>
      </c>
    </row>
    <row r="1098">
      <c r="A1098" s="98"/>
      <c r="B1098" s="98"/>
      <c r="C1098" s="98"/>
      <c r="D1098" s="98"/>
      <c r="E1098" s="98" t="str">
        <f>IFERROR(__xludf.DUMMYFUNCTION("""COMPUTED_VALUE""")," Solar M:  Solar Power:  Maintenance DG:  +  +  + MW Link: Link Name")</f>
        <v> Solar M:  Solar Power:  Maintenance DG:  +  +  + MW Link: Link Name</v>
      </c>
    </row>
    <row r="1099">
      <c r="A1099" s="98"/>
      <c r="B1099" s="98"/>
      <c r="C1099" s="98"/>
      <c r="D1099" s="98"/>
      <c r="E1099" s="98" t="str">
        <f>IFERROR(__xludf.DUMMYFUNCTION("""COMPUTED_VALUE""")," Solar M:  Solar Power:  Maintenance DG:  +  +  + MW Link: Link Name")</f>
        <v> Solar M:  Solar Power:  Maintenance DG:  +  +  + MW Link: Link Name</v>
      </c>
    </row>
    <row r="1100">
      <c r="A1100" s="98"/>
      <c r="B1100" s="98"/>
      <c r="C1100" s="98"/>
      <c r="D1100" s="98"/>
      <c r="E1100" s="98" t="str">
        <f>IFERROR(__xludf.DUMMYFUNCTION("""COMPUTED_VALUE""")," Solar M:  Solar Power:  Maintenance DG:  +  +  + MW Link: Link Name")</f>
        <v> Solar M:  Solar Power:  Maintenance DG:  +  +  + MW Link: Link Name</v>
      </c>
    </row>
    <row r="1101">
      <c r="A1101" s="98"/>
      <c r="B1101" s="98"/>
      <c r="C1101" s="98"/>
      <c r="D1101" s="98"/>
      <c r="E1101" s="98" t="str">
        <f>IFERROR(__xludf.DUMMYFUNCTION("""COMPUTED_VALUE""")," Solar M:  Solar Power:  Maintenance DG:  +  +  + MW Link: Link Name")</f>
        <v> Solar M:  Solar Power:  Maintenance DG:  +  +  + MW Link: Link Name</v>
      </c>
    </row>
    <row r="1102">
      <c r="A1102" s="98"/>
      <c r="B1102" s="98"/>
      <c r="C1102" s="98"/>
      <c r="D1102" s="98"/>
      <c r="E1102" s="98" t="str">
        <f>IFERROR(__xludf.DUMMYFUNCTION("""COMPUTED_VALUE""")," Solar M:  Solar Power:  Maintenance DG:  +  +  + MW Link: Link Name")</f>
        <v> Solar M:  Solar Power:  Maintenance DG:  +  +  + MW Link: Link Name</v>
      </c>
    </row>
    <row r="1103">
      <c r="A1103" s="98"/>
      <c r="B1103" s="98"/>
      <c r="C1103" s="98"/>
      <c r="D1103" s="98"/>
      <c r="E1103" s="98" t="str">
        <f>IFERROR(__xludf.DUMMYFUNCTION("""COMPUTED_VALUE""")," Solar M:  Solar Power:  Maintenance DG:  +  +  + MW Link: Link Name")</f>
        <v> Solar M:  Solar Power:  Maintenance DG:  +  +  + MW Link: Link Name</v>
      </c>
    </row>
    <row r="1104">
      <c r="A1104" s="98"/>
      <c r="B1104" s="98"/>
      <c r="C1104" s="98"/>
      <c r="D1104" s="98"/>
      <c r="E1104" s="98" t="str">
        <f>IFERROR(__xludf.DUMMYFUNCTION("""COMPUTED_VALUE""")," Solar M:  Solar Power:  Maintenance DG:  +  +  + MW Link: Link Name")</f>
        <v> Solar M:  Solar Power:  Maintenance DG:  +  +  + MW Link: Link Name</v>
      </c>
    </row>
    <row r="1105">
      <c r="A1105" s="98"/>
      <c r="B1105" s="98"/>
      <c r="C1105" s="98"/>
      <c r="D1105" s="98"/>
      <c r="E1105" s="98" t="str">
        <f>IFERROR(__xludf.DUMMYFUNCTION("""COMPUTED_VALUE""")," Solar M:  Solar Power:  Maintenance DG:  +  +  + MW Link: Link Name")</f>
        <v> Solar M:  Solar Power:  Maintenance DG:  +  +  + MW Link: Link Name</v>
      </c>
    </row>
    <row r="1106">
      <c r="A1106" s="98"/>
      <c r="B1106" s="98"/>
      <c r="C1106" s="98"/>
      <c r="D1106" s="98"/>
      <c r="E1106" s="98" t="str">
        <f>IFERROR(__xludf.DUMMYFUNCTION("""COMPUTED_VALUE""")," Solar M:  Solar Power:  Maintenance DG:  +  +  + MW Link: Link Name")</f>
        <v> Solar M:  Solar Power:  Maintenance DG:  +  +  + MW Link: Link Name</v>
      </c>
    </row>
    <row r="1107">
      <c r="A1107" s="98"/>
      <c r="B1107" s="98"/>
      <c r="C1107" s="98"/>
      <c r="D1107" s="98"/>
      <c r="E1107" s="98" t="str">
        <f>IFERROR(__xludf.DUMMYFUNCTION("""COMPUTED_VALUE""")," Solar M:  Solar Power:  Maintenance DG:  +  +  + MW Link: Link Name")</f>
        <v> Solar M:  Solar Power:  Maintenance DG:  +  +  + MW Link: Link Name</v>
      </c>
    </row>
    <row r="1108">
      <c r="A1108" s="98"/>
      <c r="B1108" s="98"/>
      <c r="C1108" s="98"/>
      <c r="D1108" s="98"/>
      <c r="E1108" s="98" t="str">
        <f>IFERROR(__xludf.DUMMYFUNCTION("""COMPUTED_VALUE""")," Solar M:  Solar Power:  Maintenance DG:  +  +  + MW Link: Link Name")</f>
        <v> Solar M:  Solar Power:  Maintenance DG:  +  +  + MW Link: Link Name</v>
      </c>
    </row>
    <row r="1109">
      <c r="A1109" s="98"/>
      <c r="B1109" s="98"/>
      <c r="C1109" s="98"/>
      <c r="D1109" s="98"/>
      <c r="E1109" s="98" t="str">
        <f>IFERROR(__xludf.DUMMYFUNCTION("""COMPUTED_VALUE""")," Solar M:  Solar Power:  Maintenance DG:  +  +  + MW Link: Link Name")</f>
        <v> Solar M:  Solar Power:  Maintenance DG:  +  +  + MW Link: Link Name</v>
      </c>
    </row>
    <row r="1110">
      <c r="A1110" s="98"/>
      <c r="B1110" s="98"/>
      <c r="C1110" s="98"/>
      <c r="D1110" s="98"/>
      <c r="E1110" s="98" t="str">
        <f>IFERROR(__xludf.DUMMYFUNCTION("""COMPUTED_VALUE""")," Solar M:  Solar Power:  Maintenance DG:  +  +  + MW Link: Link Name")</f>
        <v> Solar M:  Solar Power:  Maintenance DG:  +  +  + MW Link: Link Name</v>
      </c>
    </row>
    <row r="1111">
      <c r="A1111" s="98"/>
      <c r="B1111" s="98"/>
      <c r="C1111" s="98"/>
      <c r="D1111" s="98"/>
      <c r="E1111" s="98" t="str">
        <f>IFERROR(__xludf.DUMMYFUNCTION("""COMPUTED_VALUE""")," Solar M:  Solar Power:  Maintenance DG:  +  +  + MW Link: Link Name")</f>
        <v> Solar M:  Solar Power:  Maintenance DG:  +  +  + MW Link: Link Name</v>
      </c>
    </row>
    <row r="1112">
      <c r="A1112" s="98"/>
      <c r="B1112" s="98"/>
      <c r="C1112" s="98"/>
      <c r="D1112" s="98"/>
      <c r="E1112" s="98" t="str">
        <f>IFERROR(__xludf.DUMMYFUNCTION("""COMPUTED_VALUE""")," Solar M:  Solar Power:  Maintenance DG:  +  +  + MW Link: Link Name")</f>
        <v> Solar M:  Solar Power:  Maintenance DG:  +  +  + MW Link: Link Name</v>
      </c>
    </row>
    <row r="1113">
      <c r="A1113" s="98"/>
      <c r="B1113" s="98"/>
      <c r="C1113" s="98"/>
      <c r="D1113" s="98"/>
      <c r="E1113" s="98" t="str">
        <f>IFERROR(__xludf.DUMMYFUNCTION("""COMPUTED_VALUE""")," Solar M:  Solar Power:  Maintenance DG:  +  +  + MW Link: Link Name")</f>
        <v> Solar M:  Solar Power:  Maintenance DG:  +  +  + MW Link: Link Name</v>
      </c>
    </row>
    <row r="1114">
      <c r="A1114" s="98"/>
      <c r="B1114" s="98"/>
      <c r="C1114" s="98"/>
      <c r="D1114" s="98"/>
      <c r="E1114" s="98" t="str">
        <f>IFERROR(__xludf.DUMMYFUNCTION("""COMPUTED_VALUE""")," Solar M:  Solar Power:  Maintenance DG:  +  +  + MW Link: Link Name")</f>
        <v> Solar M:  Solar Power:  Maintenance DG:  +  +  + MW Link: Link Name</v>
      </c>
    </row>
    <row r="1115">
      <c r="A1115" s="98"/>
      <c r="B1115" s="98"/>
      <c r="C1115" s="98"/>
      <c r="D1115" s="98"/>
      <c r="E1115" s="98" t="str">
        <f>IFERROR(__xludf.DUMMYFUNCTION("""COMPUTED_VALUE""")," Solar M:  Solar Power:  Maintenance DG:  +  +  + MW Link: Link Name")</f>
        <v> Solar M:  Solar Power:  Maintenance DG:  +  +  + MW Link: Link Name</v>
      </c>
    </row>
    <row r="1116">
      <c r="A1116" s="98"/>
      <c r="B1116" s="98"/>
      <c r="C1116" s="98"/>
      <c r="D1116" s="98"/>
      <c r="E1116" s="98" t="str">
        <f>IFERROR(__xludf.DUMMYFUNCTION("""COMPUTED_VALUE""")," Solar M:  Solar Power:  Maintenance DG:  +  +  + MW Link: Link Name")</f>
        <v> Solar M:  Solar Power:  Maintenance DG:  +  +  + MW Link: Link Name</v>
      </c>
    </row>
    <row r="1117">
      <c r="A1117" s="98"/>
      <c r="B1117" s="98"/>
      <c r="C1117" s="98"/>
      <c r="D1117" s="98"/>
      <c r="E1117" s="98" t="str">
        <f>IFERROR(__xludf.DUMMYFUNCTION("""COMPUTED_VALUE""")," Solar M:  Solar Power:  Maintenance DG:  +  +  + MW Link: Link Name")</f>
        <v> Solar M:  Solar Power:  Maintenance DG:  +  +  + MW Link: Link Name</v>
      </c>
    </row>
    <row r="1118">
      <c r="A1118" s="98"/>
      <c r="B1118" s="98"/>
      <c r="C1118" s="98"/>
      <c r="D1118" s="98"/>
      <c r="E1118" s="98" t="str">
        <f>IFERROR(__xludf.DUMMYFUNCTION("""COMPUTED_VALUE""")," Solar M:  Solar Power:  Maintenance DG:  +  +  + MW Link: Link Name")</f>
        <v> Solar M:  Solar Power:  Maintenance DG:  +  +  + MW Link: Link Name</v>
      </c>
    </row>
    <row r="1119">
      <c r="A1119" s="98"/>
      <c r="B1119" s="98"/>
      <c r="C1119" s="98"/>
      <c r="D1119" s="98"/>
      <c r="E1119" s="98" t="str">
        <f>IFERROR(__xludf.DUMMYFUNCTION("""COMPUTED_VALUE""")," Solar M:  Solar Power:  Maintenance DG:  +  +  + MW Link: Link Name")</f>
        <v> Solar M:  Solar Power:  Maintenance DG:  +  +  + MW Link: Link Name</v>
      </c>
    </row>
    <row r="1120">
      <c r="A1120" s="98"/>
      <c r="B1120" s="98"/>
      <c r="C1120" s="98"/>
      <c r="D1120" s="98"/>
      <c r="E1120" s="98" t="str">
        <f>IFERROR(__xludf.DUMMYFUNCTION("""COMPUTED_VALUE""")," Solar M:  Solar Power:  Maintenance DG:  +  +  + MW Link: Link Name")</f>
        <v> Solar M:  Solar Power:  Maintenance DG:  +  +  + MW Link: Link Name</v>
      </c>
    </row>
    <row r="1121">
      <c r="A1121" s="98"/>
      <c r="B1121" s="98"/>
      <c r="C1121" s="98"/>
      <c r="D1121" s="98"/>
      <c r="E1121" s="98" t="str">
        <f>IFERROR(__xludf.DUMMYFUNCTION("""COMPUTED_VALUE""")," Solar M:  Solar Power:  Maintenance DG:  +  +  + MW Link: Link Name")</f>
        <v> Solar M:  Solar Power:  Maintenance DG:  +  +  + MW Link: Link Name</v>
      </c>
    </row>
    <row r="1122">
      <c r="A1122" s="98"/>
      <c r="B1122" s="98"/>
      <c r="C1122" s="98"/>
      <c r="D1122" s="98"/>
      <c r="E1122" s="98" t="str">
        <f>IFERROR(__xludf.DUMMYFUNCTION("""COMPUTED_VALUE""")," Solar M:  Solar Power:  Maintenance DG:  +  +  + MW Link: Link Name")</f>
        <v> Solar M:  Solar Power:  Maintenance DG:  +  +  + MW Link: Link Name</v>
      </c>
    </row>
    <row r="1123">
      <c r="A1123" s="98"/>
      <c r="B1123" s="98"/>
      <c r="C1123" s="98"/>
      <c r="D1123" s="98"/>
      <c r="E1123" s="98" t="str">
        <f>IFERROR(__xludf.DUMMYFUNCTION("""COMPUTED_VALUE""")," Solar M:  Solar Power:  Maintenance DG:  +  +  + MW Link: Link Name")</f>
        <v> Solar M:  Solar Power:  Maintenance DG:  +  +  + MW Link: Link Name</v>
      </c>
    </row>
    <row r="1124">
      <c r="A1124" s="98"/>
      <c r="B1124" s="98"/>
      <c r="C1124" s="98"/>
      <c r="D1124" s="98"/>
      <c r="E1124" s="98" t="str">
        <f>IFERROR(__xludf.DUMMYFUNCTION("""COMPUTED_VALUE""")," Solar M:  Solar Power:  Maintenance DG:  +  +  + MW Link: Link Name")</f>
        <v> Solar M:  Solar Power:  Maintenance DG:  +  +  + MW Link: Link Name</v>
      </c>
    </row>
    <row r="1125">
      <c r="A1125" s="98"/>
      <c r="B1125" s="98"/>
      <c r="C1125" s="98"/>
      <c r="D1125" s="98"/>
      <c r="E1125" s="98" t="str">
        <f>IFERROR(__xludf.DUMMYFUNCTION("""COMPUTED_VALUE""")," Solar M:  Solar Power:  Maintenance DG:  +  +  + MW Link: Link Name")</f>
        <v> Solar M:  Solar Power:  Maintenance DG:  +  +  + MW Link: Link Name</v>
      </c>
    </row>
    <row r="1126">
      <c r="A1126" s="98"/>
      <c r="B1126" s="98"/>
      <c r="C1126" s="98"/>
      <c r="D1126" s="98"/>
      <c r="E1126" s="98" t="str">
        <f>IFERROR(__xludf.DUMMYFUNCTION("""COMPUTED_VALUE""")," Solar M:  Solar Power:  Maintenance DG:  +  +  + MW Link: Link Name")</f>
        <v> Solar M:  Solar Power:  Maintenance DG:  +  +  + MW Link: Link Name</v>
      </c>
    </row>
    <row r="1127">
      <c r="A1127" s="98"/>
      <c r="B1127" s="98"/>
      <c r="C1127" s="98"/>
      <c r="D1127" s="98"/>
      <c r="E1127" s="98" t="str">
        <f>IFERROR(__xludf.DUMMYFUNCTION("""COMPUTED_VALUE""")," Solar M:  Solar Power:  Maintenance DG:  +  +  + MW Link: Link Name")</f>
        <v> Solar M:  Solar Power:  Maintenance DG:  +  +  + MW Link: Link Name</v>
      </c>
    </row>
    <row r="1128">
      <c r="A1128" s="98"/>
      <c r="B1128" s="98"/>
      <c r="C1128" s="98"/>
      <c r="D1128" s="98"/>
      <c r="E1128" s="98" t="str">
        <f>IFERROR(__xludf.DUMMYFUNCTION("""COMPUTED_VALUE""")," Solar M:  Solar Power:  Maintenance DG:  +  +  + MW Link: Link Name")</f>
        <v> Solar M:  Solar Power:  Maintenance DG:  +  +  + MW Link: Link Name</v>
      </c>
    </row>
    <row r="1129">
      <c r="A1129" s="98"/>
      <c r="B1129" s="98"/>
      <c r="C1129" s="98"/>
      <c r="D1129" s="98"/>
      <c r="E1129" s="98" t="str">
        <f>IFERROR(__xludf.DUMMYFUNCTION("""COMPUTED_VALUE""")," Solar M:  Solar Power:  Maintenance DG:  +  +  + MW Link: Link Name")</f>
        <v> Solar M:  Solar Power:  Maintenance DG:  +  +  + MW Link: Link Name</v>
      </c>
    </row>
    <row r="1130">
      <c r="A1130" s="98"/>
      <c r="B1130" s="98"/>
      <c r="C1130" s="98"/>
      <c r="D1130" s="98"/>
      <c r="E1130" s="98" t="str">
        <f>IFERROR(__xludf.DUMMYFUNCTION("""COMPUTED_VALUE""")," Solar M:  Solar Power:  Maintenance DG:  +  +  + MW Link: Link Name")</f>
        <v> Solar M:  Solar Power:  Maintenance DG:  +  +  + MW Link: Link Name</v>
      </c>
    </row>
    <row r="1131">
      <c r="A1131" s="98"/>
      <c r="B1131" s="98"/>
      <c r="C1131" s="98"/>
      <c r="D1131" s="98"/>
      <c r="E1131" s="98" t="str">
        <f>IFERROR(__xludf.DUMMYFUNCTION("""COMPUTED_VALUE""")," Solar M:  Solar Power:  Maintenance DG:  +  +  + MW Link: Link Name")</f>
        <v> Solar M:  Solar Power:  Maintenance DG:  +  +  + MW Link: Link Name</v>
      </c>
    </row>
    <row r="1132">
      <c r="A1132" s="98"/>
      <c r="B1132" s="98"/>
      <c r="C1132" s="98"/>
      <c r="D1132" s="98"/>
      <c r="E1132" s="98" t="str">
        <f>IFERROR(__xludf.DUMMYFUNCTION("""COMPUTED_VALUE""")," Solar M:  Solar Power:  Maintenance DG:  +  +  + MW Link: Link Name")</f>
        <v> Solar M:  Solar Power:  Maintenance DG:  +  +  + MW Link: Link Name</v>
      </c>
    </row>
    <row r="1133">
      <c r="A1133" s="98"/>
      <c r="B1133" s="98"/>
      <c r="C1133" s="98"/>
      <c r="D1133" s="98"/>
      <c r="E1133" s="98" t="str">
        <f>IFERROR(__xludf.DUMMYFUNCTION("""COMPUTED_VALUE""")," Solar M:  Solar Power:  Maintenance DG:  +  +  + MW Link: Link Name")</f>
        <v> Solar M:  Solar Power:  Maintenance DG:  +  +  + MW Link: Link Name</v>
      </c>
    </row>
    <row r="1134">
      <c r="A1134" s="98"/>
      <c r="B1134" s="98"/>
      <c r="C1134" s="98"/>
      <c r="D1134" s="98"/>
      <c r="E1134" s="98" t="str">
        <f>IFERROR(__xludf.DUMMYFUNCTION("""COMPUTED_VALUE""")," Solar M:  Solar Power:  Maintenance DG:  +  +  + MW Link: Link Name")</f>
        <v> Solar M:  Solar Power:  Maintenance DG:  +  +  + MW Link: Link Name</v>
      </c>
    </row>
    <row r="1135">
      <c r="A1135" s="98"/>
      <c r="B1135" s="98"/>
      <c r="C1135" s="98"/>
      <c r="D1135" s="98"/>
      <c r="E1135" s="98" t="str">
        <f>IFERROR(__xludf.DUMMYFUNCTION("""COMPUTED_VALUE""")," Solar M:  Solar Power:  Maintenance DG:  +  +  + MW Link: Link Name")</f>
        <v> Solar M:  Solar Power:  Maintenance DG:  +  +  + MW Link: Link Name</v>
      </c>
    </row>
    <row r="1136">
      <c r="A1136" s="98"/>
      <c r="B1136" s="98"/>
      <c r="C1136" s="98"/>
      <c r="D1136" s="98"/>
      <c r="E1136" s="98" t="str">
        <f>IFERROR(__xludf.DUMMYFUNCTION("""COMPUTED_VALUE""")," Solar M:  Solar Power:  Maintenance DG:  +  +  + MW Link: Link Name")</f>
        <v> Solar M:  Solar Power:  Maintenance DG:  +  +  + MW Link: Link Name</v>
      </c>
    </row>
    <row r="1137">
      <c r="A1137" s="98"/>
      <c r="B1137" s="98"/>
      <c r="C1137" s="98"/>
      <c r="D1137" s="98"/>
      <c r="E1137" s="98" t="str">
        <f>IFERROR(__xludf.DUMMYFUNCTION("""COMPUTED_VALUE""")," Solar M:  Solar Power:  Maintenance DG:  +  +  + MW Link: Link Name")</f>
        <v> Solar M:  Solar Power:  Maintenance DG:  +  +  + MW Link: Link Name</v>
      </c>
    </row>
    <row r="1138">
      <c r="A1138" s="98"/>
      <c r="B1138" s="98"/>
      <c r="C1138" s="98"/>
      <c r="D1138" s="98"/>
      <c r="E1138" s="98" t="str">
        <f>IFERROR(__xludf.DUMMYFUNCTION("""COMPUTED_VALUE""")," Solar M:  Solar Power:  Maintenance DG:  +  +  + MW Link: Link Name")</f>
        <v> Solar M:  Solar Power:  Maintenance DG:  +  +  + MW Link: Link Name</v>
      </c>
    </row>
    <row r="1139">
      <c r="A1139" s="98"/>
      <c r="B1139" s="98"/>
      <c r="C1139" s="98"/>
      <c r="D1139" s="98"/>
      <c r="E1139" s="98" t="str">
        <f>IFERROR(__xludf.DUMMYFUNCTION("""COMPUTED_VALUE""")," Solar M:  Solar Power:  Maintenance DG:  +  +  + MW Link: Link Name")</f>
        <v> Solar M:  Solar Power:  Maintenance DG:  +  +  + MW Link: Link Name</v>
      </c>
    </row>
    <row r="1140">
      <c r="A1140" s="98"/>
      <c r="B1140" s="98"/>
      <c r="C1140" s="98"/>
      <c r="D1140" s="98"/>
      <c r="E1140" s="98" t="str">
        <f>IFERROR(__xludf.DUMMYFUNCTION("""COMPUTED_VALUE""")," Solar M:  Solar Power:  Maintenance DG:  +  +  + MW Link: Link Name")</f>
        <v> Solar M:  Solar Power:  Maintenance DG:  +  +  + MW Link: Link Name</v>
      </c>
    </row>
    <row r="1141">
      <c r="A1141" s="98"/>
      <c r="B1141" s="98"/>
      <c r="C1141" s="98"/>
      <c r="D1141" s="98"/>
      <c r="E1141" s="98" t="str">
        <f>IFERROR(__xludf.DUMMYFUNCTION("""COMPUTED_VALUE""")," Solar M:  Solar Power:  Maintenance DG:  +  +  + MW Link: Link Name")</f>
        <v> Solar M:  Solar Power:  Maintenance DG:  +  +  + MW Link: Link Name</v>
      </c>
    </row>
    <row r="1142">
      <c r="A1142" s="98"/>
      <c r="B1142" s="98"/>
      <c r="C1142" s="98"/>
      <c r="D1142" s="98"/>
      <c r="E1142" s="98" t="str">
        <f>IFERROR(__xludf.DUMMYFUNCTION("""COMPUTED_VALUE""")," Solar M:  Solar Power:  Maintenance DG:  +  +  + MW Link: Link Name")</f>
        <v> Solar M:  Solar Power:  Maintenance DG:  +  +  + MW Link: Link Name</v>
      </c>
    </row>
    <row r="1143">
      <c r="A1143" s="98"/>
      <c r="B1143" s="98"/>
      <c r="C1143" s="98"/>
      <c r="D1143" s="98"/>
      <c r="E1143" s="98" t="str">
        <f>IFERROR(__xludf.DUMMYFUNCTION("""COMPUTED_VALUE""")," Solar M:  Solar Power:  Maintenance DG:  +  +  + MW Link: Link Name")</f>
        <v> Solar M:  Solar Power:  Maintenance DG:  +  +  + MW Link: Link Name</v>
      </c>
    </row>
    <row r="1144">
      <c r="A1144" s="98"/>
      <c r="B1144" s="98"/>
      <c r="C1144" s="98"/>
      <c r="D1144" s="98"/>
      <c r="E1144" s="98" t="str">
        <f>IFERROR(__xludf.DUMMYFUNCTION("""COMPUTED_VALUE""")," Solar M:  Solar Power:  Maintenance DG:  +  +  + MW Link: Link Name")</f>
        <v> Solar M:  Solar Power:  Maintenance DG:  +  +  + MW Link: Link Name</v>
      </c>
    </row>
    <row r="1145">
      <c r="A1145" s="98"/>
      <c r="B1145" s="98"/>
      <c r="C1145" s="98"/>
      <c r="D1145" s="98"/>
      <c r="E1145" s="98" t="str">
        <f>IFERROR(__xludf.DUMMYFUNCTION("""COMPUTED_VALUE""")," Solar M:  Solar Power:  Maintenance DG:  +  +  + MW Link: Link Name")</f>
        <v> Solar M:  Solar Power:  Maintenance DG:  +  +  + MW Link: Link Name</v>
      </c>
    </row>
    <row r="1146">
      <c r="A1146" s="98"/>
      <c r="B1146" s="98"/>
      <c r="C1146" s="98"/>
      <c r="D1146" s="98"/>
      <c r="E1146" s="98" t="str">
        <f>IFERROR(__xludf.DUMMYFUNCTION("""COMPUTED_VALUE""")," Solar M:  Solar Power:  Maintenance DG:  +  +  + MW Link: Link Name")</f>
        <v> Solar M:  Solar Power:  Maintenance DG:  +  +  + MW Link: Link Name</v>
      </c>
    </row>
    <row r="1147">
      <c r="A1147" s="98"/>
      <c r="B1147" s="98"/>
      <c r="C1147" s="98"/>
      <c r="D1147" s="98"/>
      <c r="E1147" s="98" t="str">
        <f>IFERROR(__xludf.DUMMYFUNCTION("""COMPUTED_VALUE""")," Solar M:  Solar Power:  Maintenance DG:  +  +  + MW Link: Link Name")</f>
        <v> Solar M:  Solar Power:  Maintenance DG:  +  +  + MW Link: Link Name</v>
      </c>
    </row>
    <row r="1148">
      <c r="A1148" s="98"/>
      <c r="B1148" s="98"/>
      <c r="C1148" s="98"/>
      <c r="D1148" s="98"/>
      <c r="E1148" s="98" t="str">
        <f>IFERROR(__xludf.DUMMYFUNCTION("""COMPUTED_VALUE""")," Solar M:  Solar Power:  Maintenance DG:  +  +  + MW Link: Link Name")</f>
        <v> Solar M:  Solar Power:  Maintenance DG:  +  +  + MW Link: Link Name</v>
      </c>
    </row>
    <row r="1149">
      <c r="A1149" s="98"/>
      <c r="B1149" s="98"/>
      <c r="C1149" s="98"/>
      <c r="D1149" s="98"/>
      <c r="E1149" s="98" t="str">
        <f>IFERROR(__xludf.DUMMYFUNCTION("""COMPUTED_VALUE""")," Solar M:  Solar Power:  Maintenance DG:  +  +  + MW Link: Link Name")</f>
        <v> Solar M:  Solar Power:  Maintenance DG:  +  +  + MW Link: Link Name</v>
      </c>
    </row>
    <row r="1150">
      <c r="A1150" s="98"/>
      <c r="B1150" s="98"/>
      <c r="C1150" s="98"/>
      <c r="D1150" s="98"/>
      <c r="E1150" s="98" t="str">
        <f>IFERROR(__xludf.DUMMYFUNCTION("""COMPUTED_VALUE""")," Solar M:  Solar Power:  Maintenance DG:  +  +  + MW Link: Link Name")</f>
        <v> Solar M:  Solar Power:  Maintenance DG:  +  +  + MW Link: Link Name</v>
      </c>
    </row>
    <row r="1151">
      <c r="A1151" s="98"/>
      <c r="B1151" s="98"/>
      <c r="C1151" s="98"/>
      <c r="D1151" s="98"/>
      <c r="E1151" s="98" t="str">
        <f>IFERROR(__xludf.DUMMYFUNCTION("""COMPUTED_VALUE""")," Solar M:  Solar Power:  Maintenance DG:  +  +  + MW Link: Link Name")</f>
        <v> Solar M:  Solar Power:  Maintenance DG:  +  +  + MW Link: Link Name</v>
      </c>
    </row>
    <row r="1152">
      <c r="A1152" s="98"/>
      <c r="B1152" s="98"/>
      <c r="C1152" s="98"/>
      <c r="D1152" s="98"/>
      <c r="E1152" s="98" t="str">
        <f>IFERROR(__xludf.DUMMYFUNCTION("""COMPUTED_VALUE""")," Solar M:  Solar Power:  Maintenance DG:  +  +  + MW Link: Link Name")</f>
        <v> Solar M:  Solar Power:  Maintenance DG:  +  +  + MW Link: Link Name</v>
      </c>
    </row>
    <row r="1153">
      <c r="A1153" s="98"/>
      <c r="B1153" s="98"/>
      <c r="C1153" s="98"/>
      <c r="D1153" s="98"/>
      <c r="E1153" s="98" t="str">
        <f>IFERROR(__xludf.DUMMYFUNCTION("""COMPUTED_VALUE""")," Solar M:  Solar Power:  Maintenance DG:  +  +  + MW Link: Link Name")</f>
        <v> Solar M:  Solar Power:  Maintenance DG:  +  +  + MW Link: Link Name</v>
      </c>
    </row>
    <row r="1154">
      <c r="A1154" s="98"/>
      <c r="B1154" s="98"/>
      <c r="C1154" s="98"/>
      <c r="D1154" s="98"/>
      <c r="E1154" s="98" t="str">
        <f>IFERROR(__xludf.DUMMYFUNCTION("""COMPUTED_VALUE""")," Solar M:  Solar Power:  Maintenance DG:  +  +  + MW Link: Link Name")</f>
        <v> Solar M:  Solar Power:  Maintenance DG:  +  +  + MW Link: Link Name</v>
      </c>
    </row>
    <row r="1155">
      <c r="A1155" s="98"/>
      <c r="B1155" s="98"/>
      <c r="C1155" s="98"/>
      <c r="D1155" s="98"/>
      <c r="E1155" s="98" t="str">
        <f>IFERROR(__xludf.DUMMYFUNCTION("""COMPUTED_VALUE""")," Solar M:  Solar Power:  Maintenance DG:  +  +  + MW Link: Link Name")</f>
        <v> Solar M:  Solar Power:  Maintenance DG:  +  +  + MW Link: Link Name</v>
      </c>
    </row>
    <row r="1156">
      <c r="A1156" s="98"/>
      <c r="B1156" s="98"/>
      <c r="C1156" s="98"/>
      <c r="D1156" s="98"/>
      <c r="E1156" s="98" t="str">
        <f>IFERROR(__xludf.DUMMYFUNCTION("""COMPUTED_VALUE""")," Solar M:  Solar Power:  Maintenance DG:  +  +  + MW Link: Link Name")</f>
        <v> Solar M:  Solar Power:  Maintenance DG:  +  +  + MW Link: Link Name</v>
      </c>
    </row>
    <row r="1157">
      <c r="A1157" s="98"/>
      <c r="B1157" s="98"/>
      <c r="C1157" s="98"/>
      <c r="D1157" s="98"/>
      <c r="E1157" s="98" t="str">
        <f>IFERROR(__xludf.DUMMYFUNCTION("""COMPUTED_VALUE""")," Solar M:  Solar Power:  Maintenance DG:  +  +  + MW Link: Link Name")</f>
        <v> Solar M:  Solar Power:  Maintenance DG:  +  +  + MW Link: Link Name</v>
      </c>
    </row>
    <row r="1158">
      <c r="A1158" s="98"/>
      <c r="B1158" s="98"/>
      <c r="C1158" s="98"/>
      <c r="D1158" s="98"/>
      <c r="E1158" s="98" t="str">
        <f>IFERROR(__xludf.DUMMYFUNCTION("""COMPUTED_VALUE""")," Solar M:  Solar Power:  Maintenance DG:  +  +  + MW Link: Link Name")</f>
        <v> Solar M:  Solar Power:  Maintenance DG:  +  +  + MW Link: Link Name</v>
      </c>
    </row>
    <row r="1159">
      <c r="A1159" s="98"/>
      <c r="B1159" s="98"/>
      <c r="C1159" s="98"/>
      <c r="D1159" s="98"/>
      <c r="E1159" s="98" t="str">
        <f>IFERROR(__xludf.DUMMYFUNCTION("""COMPUTED_VALUE""")," Solar M:  Solar Power:  Maintenance DG:  +  +  + MW Link: Link Name")</f>
        <v> Solar M:  Solar Power:  Maintenance DG:  +  +  + MW Link: Link Name</v>
      </c>
    </row>
    <row r="1160">
      <c r="A1160" s="98"/>
      <c r="B1160" s="98"/>
      <c r="C1160" s="98"/>
      <c r="D1160" s="98"/>
      <c r="E1160" s="98" t="str">
        <f>IFERROR(__xludf.DUMMYFUNCTION("""COMPUTED_VALUE""")," Solar M:  Solar Power:  Maintenance DG:  +  +  + MW Link: Link Name")</f>
        <v> Solar M:  Solar Power:  Maintenance DG:  +  +  + MW Link: Link Name</v>
      </c>
    </row>
    <row r="1161">
      <c r="A1161" s="98"/>
      <c r="B1161" s="98"/>
      <c r="C1161" s="98"/>
      <c r="D1161" s="98"/>
      <c r="E1161" s="98" t="str">
        <f>IFERROR(__xludf.DUMMYFUNCTION("""COMPUTED_VALUE""")," Solar M:  Solar Power:  Maintenance DG:  +  +  + MW Link: Link Name")</f>
        <v> Solar M:  Solar Power:  Maintenance DG:  +  +  + MW Link: Link Name</v>
      </c>
    </row>
    <row r="1162">
      <c r="A1162" s="98"/>
      <c r="B1162" s="98"/>
      <c r="C1162" s="98"/>
      <c r="D1162" s="98"/>
      <c r="E1162" s="98" t="str">
        <f>IFERROR(__xludf.DUMMYFUNCTION("""COMPUTED_VALUE""")," Solar M:  Solar Power:  Maintenance DG:  +  +  + MW Link: Link Name")</f>
        <v> Solar M:  Solar Power:  Maintenance DG:  +  +  + MW Link: Link Name</v>
      </c>
    </row>
    <row r="1163">
      <c r="A1163" s="98"/>
      <c r="B1163" s="98"/>
      <c r="C1163" s="98"/>
      <c r="D1163" s="98"/>
      <c r="E1163" s="98" t="str">
        <f>IFERROR(__xludf.DUMMYFUNCTION("""COMPUTED_VALUE""")," Solar M:  Solar Power:  Maintenance DG:  +  +  + MW Link: Link Name")</f>
        <v> Solar M:  Solar Power:  Maintenance DG:  +  +  + MW Link: Link Name</v>
      </c>
    </row>
    <row r="1164">
      <c r="A1164" s="98"/>
      <c r="B1164" s="98"/>
      <c r="C1164" s="98"/>
      <c r="D1164" s="98"/>
      <c r="E1164" s="98" t="str">
        <f>IFERROR(__xludf.DUMMYFUNCTION("""COMPUTED_VALUE""")," Solar M:  Solar Power:  Maintenance DG:  +  +  + MW Link: Link Name")</f>
        <v> Solar M:  Solar Power:  Maintenance DG:  +  +  + MW Link: Link Name</v>
      </c>
    </row>
    <row r="1165">
      <c r="A1165" s="98"/>
      <c r="B1165" s="98"/>
      <c r="C1165" s="98"/>
      <c r="D1165" s="98"/>
      <c r="E1165" s="98" t="str">
        <f>IFERROR(__xludf.DUMMYFUNCTION("""COMPUTED_VALUE""")," Solar M:  Solar Power:  Maintenance DG:  +  +  + MW Link: Link Name")</f>
        <v> Solar M:  Solar Power:  Maintenance DG:  +  +  + MW Link: Link Name</v>
      </c>
    </row>
    <row r="1166">
      <c r="A1166" s="98"/>
      <c r="B1166" s="98"/>
      <c r="C1166" s="98"/>
      <c r="D1166" s="98"/>
      <c r="E1166" s="98" t="str">
        <f>IFERROR(__xludf.DUMMYFUNCTION("""COMPUTED_VALUE""")," Solar M:  Solar Power:  Maintenance DG:  +  +  + MW Link: Link Name")</f>
        <v> Solar M:  Solar Power:  Maintenance DG:  +  +  + MW Link: Link Name</v>
      </c>
    </row>
    <row r="1167">
      <c r="A1167" s="98"/>
      <c r="B1167" s="98"/>
      <c r="C1167" s="98"/>
      <c r="D1167" s="98"/>
      <c r="E1167" s="98" t="str">
        <f>IFERROR(__xludf.DUMMYFUNCTION("""COMPUTED_VALUE""")," Solar M:  Solar Power:  Maintenance DG:  +  +  + MW Link: Link Name")</f>
        <v> Solar M:  Solar Power:  Maintenance DG:  +  +  + MW Link: Link Name</v>
      </c>
    </row>
    <row r="1168">
      <c r="A1168" s="98"/>
      <c r="B1168" s="98"/>
      <c r="C1168" s="98"/>
      <c r="D1168" s="98"/>
      <c r="E1168" s="98" t="str">
        <f>IFERROR(__xludf.DUMMYFUNCTION("""COMPUTED_VALUE""")," Solar M:  Solar Power:  Maintenance DG:  +  +  + MW Link: Link Name")</f>
        <v> Solar M:  Solar Power:  Maintenance DG:  +  +  + MW Link: Link Name</v>
      </c>
    </row>
    <row r="1169">
      <c r="A1169" s="98"/>
      <c r="B1169" s="98"/>
      <c r="C1169" s="98"/>
      <c r="D1169" s="98"/>
      <c r="E1169" s="98" t="str">
        <f>IFERROR(__xludf.DUMMYFUNCTION("""COMPUTED_VALUE""")," Solar M:  Solar Power:  Maintenance DG:  +  +  + MW Link: Link Name")</f>
        <v> Solar M:  Solar Power:  Maintenance DG:  +  +  + MW Link: Link Name</v>
      </c>
    </row>
    <row r="1170">
      <c r="A1170" s="98"/>
      <c r="B1170" s="98"/>
      <c r="C1170" s="98"/>
      <c r="D1170" s="98"/>
      <c r="E1170" s="98" t="str">
        <f>IFERROR(__xludf.DUMMYFUNCTION("""COMPUTED_VALUE""")," Solar M:  Solar Power:  Maintenance DG:  +  +  + MW Link: Link Name")</f>
        <v> Solar M:  Solar Power:  Maintenance DG:  +  +  + MW Link: Link Name</v>
      </c>
    </row>
    <row r="1171">
      <c r="A1171" s="98"/>
      <c r="B1171" s="98"/>
      <c r="C1171" s="98"/>
      <c r="D1171" s="98"/>
      <c r="E1171" s="98" t="str">
        <f>IFERROR(__xludf.DUMMYFUNCTION("""COMPUTED_VALUE""")," Solar M:  Solar Power:  Maintenance DG:  +  +  + MW Link: Link Name")</f>
        <v> Solar M:  Solar Power:  Maintenance DG:  +  +  + MW Link: Link Name</v>
      </c>
    </row>
    <row r="1172">
      <c r="A1172" s="98"/>
      <c r="B1172" s="98"/>
      <c r="C1172" s="98"/>
      <c r="D1172" s="98"/>
      <c r="E1172" s="98" t="str">
        <f>IFERROR(__xludf.DUMMYFUNCTION("""COMPUTED_VALUE""")," Solar M:  Solar Power:  Maintenance DG:  +  +  + MW Link: Link Name")</f>
        <v> Solar M:  Solar Power:  Maintenance DG:  +  +  + MW Link: Link Name</v>
      </c>
    </row>
    <row r="1173">
      <c r="A1173" s="98"/>
      <c r="B1173" s="98"/>
      <c r="C1173" s="98"/>
      <c r="D1173" s="98"/>
      <c r="E1173" s="98" t="str">
        <f>IFERROR(__xludf.DUMMYFUNCTION("""COMPUTED_VALUE""")," Solar M:  Solar Power:  Maintenance DG:  +  +  + MW Link: Link Name")</f>
        <v> Solar M:  Solar Power:  Maintenance DG:  +  +  + MW Link: Link Name</v>
      </c>
    </row>
    <row r="1174">
      <c r="A1174" s="98"/>
      <c r="B1174" s="98"/>
      <c r="C1174" s="98"/>
      <c r="D1174" s="98"/>
      <c r="E1174" s="98" t="str">
        <f>IFERROR(__xludf.DUMMYFUNCTION("""COMPUTED_VALUE""")," Solar M:  Solar Power:  Maintenance DG:  +  +  + MW Link: Link Name")</f>
        <v> Solar M:  Solar Power:  Maintenance DG:  +  +  + MW Link: Link Name</v>
      </c>
    </row>
    <row r="1175">
      <c r="A1175" s="98"/>
      <c r="B1175" s="98"/>
      <c r="C1175" s="98"/>
      <c r="D1175" s="98"/>
      <c r="E1175" s="98" t="str">
        <f>IFERROR(__xludf.DUMMYFUNCTION("""COMPUTED_VALUE""")," Solar M:  Solar Power:  Maintenance DG:  +  +  + MW Link: Link Name")</f>
        <v> Solar M:  Solar Power:  Maintenance DG:  +  +  + MW Link: Link Name</v>
      </c>
    </row>
    <row r="1176">
      <c r="A1176" s="98"/>
      <c r="B1176" s="98"/>
      <c r="C1176" s="98"/>
      <c r="D1176" s="98"/>
      <c r="E1176" s="98" t="str">
        <f>IFERROR(__xludf.DUMMYFUNCTION("""COMPUTED_VALUE""")," Solar M:  Solar Power:  Maintenance DG:  +  +  + MW Link: Link Name")</f>
        <v> Solar M:  Solar Power:  Maintenance DG:  +  +  + MW Link: Link Name</v>
      </c>
    </row>
    <row r="1177">
      <c r="A1177" s="98"/>
      <c r="B1177" s="98"/>
      <c r="C1177" s="98"/>
      <c r="D1177" s="98"/>
      <c r="E1177" s="98" t="str">
        <f>IFERROR(__xludf.DUMMYFUNCTION("""COMPUTED_VALUE""")," Solar M:  Solar Power:  Maintenance DG:  +  +  + MW Link: Link Name")</f>
        <v> Solar M:  Solar Power:  Maintenance DG:  +  +  + MW Link: Link Name</v>
      </c>
    </row>
    <row r="1178">
      <c r="A1178" s="98"/>
      <c r="B1178" s="98"/>
      <c r="C1178" s="98"/>
      <c r="D1178" s="98"/>
      <c r="E1178" s="98" t="str">
        <f>IFERROR(__xludf.DUMMYFUNCTION("""COMPUTED_VALUE""")," Solar M:  Solar Power:  Maintenance DG:  +  +  + MW Link: Link Name")</f>
        <v> Solar M:  Solar Power:  Maintenance DG:  +  +  + MW Link: Link Name</v>
      </c>
    </row>
    <row r="1179">
      <c r="A1179" s="98"/>
      <c r="B1179" s="98"/>
      <c r="C1179" s="98"/>
      <c r="D1179" s="98"/>
      <c r="E1179" s="98" t="str">
        <f>IFERROR(__xludf.DUMMYFUNCTION("""COMPUTED_VALUE""")," Solar M:  Solar Power:  Maintenance DG:  +  +  + MW Link: Link Name")</f>
        <v> Solar M:  Solar Power:  Maintenance DG:  +  +  + MW Link: Link Name</v>
      </c>
    </row>
    <row r="1180">
      <c r="A1180" s="98"/>
      <c r="B1180" s="98"/>
      <c r="C1180" s="98"/>
      <c r="D1180" s="98"/>
      <c r="E1180" s="98" t="str">
        <f>IFERROR(__xludf.DUMMYFUNCTION("""COMPUTED_VALUE""")," Solar M:  Solar Power:  Maintenance DG:  +  +  + MW Link: Link Name")</f>
        <v> Solar M:  Solar Power:  Maintenance DG:  +  +  + MW Link: Link Name</v>
      </c>
    </row>
    <row r="1181">
      <c r="A1181" s="98"/>
      <c r="B1181" s="98"/>
      <c r="C1181" s="98"/>
      <c r="D1181" s="98"/>
      <c r="E1181" s="98" t="str">
        <f>IFERROR(__xludf.DUMMYFUNCTION("""COMPUTED_VALUE""")," Solar M:  Solar Power:  Maintenance DG:  +  +  + MW Link: Link Name")</f>
        <v> Solar M:  Solar Power:  Maintenance DG:  +  +  + MW Link: Link Name</v>
      </c>
    </row>
    <row r="1182">
      <c r="A1182" s="98"/>
      <c r="B1182" s="98"/>
      <c r="C1182" s="98"/>
      <c r="D1182" s="98"/>
      <c r="E1182" s="98" t="str">
        <f>IFERROR(__xludf.DUMMYFUNCTION("""COMPUTED_VALUE""")," Solar M:  Solar Power:  Maintenance DG:  +  +  + MW Link: Link Name")</f>
        <v> Solar M:  Solar Power:  Maintenance DG:  +  +  + MW Link: Link Name</v>
      </c>
    </row>
    <row r="1183">
      <c r="A1183" s="98"/>
      <c r="B1183" s="98"/>
      <c r="C1183" s="98"/>
      <c r="D1183" s="98"/>
      <c r="E1183" s="98" t="str">
        <f>IFERROR(__xludf.DUMMYFUNCTION("""COMPUTED_VALUE""")," Solar M:  Solar Power:  Maintenance DG:  +  +  + MW Link: Link Name")</f>
        <v> Solar M:  Solar Power:  Maintenance DG:  +  +  + MW Link: Link Name</v>
      </c>
    </row>
    <row r="1184">
      <c r="A1184" s="98"/>
      <c r="B1184" s="98"/>
      <c r="C1184" s="98"/>
      <c r="D1184" s="98"/>
      <c r="E1184" s="98" t="str">
        <f>IFERROR(__xludf.DUMMYFUNCTION("""COMPUTED_VALUE""")," Solar M:  Solar Power:  Maintenance DG:  +  +  + MW Link: Link Name")</f>
        <v> Solar M:  Solar Power:  Maintenance DG:  +  +  + MW Link: Link Name</v>
      </c>
    </row>
    <row r="1185">
      <c r="A1185" s="98"/>
      <c r="B1185" s="98"/>
      <c r="C1185" s="98"/>
      <c r="D1185" s="98"/>
      <c r="E1185" s="98" t="str">
        <f>IFERROR(__xludf.DUMMYFUNCTION("""COMPUTED_VALUE""")," Solar M:  Solar Power:  Maintenance DG:  +  +  + MW Link: Link Name")</f>
        <v> Solar M:  Solar Power:  Maintenance DG:  +  +  + MW Link: Link Name</v>
      </c>
    </row>
    <row r="1186">
      <c r="A1186" s="98"/>
      <c r="B1186" s="98"/>
      <c r="C1186" s="98"/>
      <c r="D1186" s="98"/>
      <c r="E1186" s="98" t="str">
        <f>IFERROR(__xludf.DUMMYFUNCTION("""COMPUTED_VALUE""")," Solar M:  Solar Power:  Maintenance DG:  +  +  + MW Link: Link Name")</f>
        <v> Solar M:  Solar Power:  Maintenance DG:  +  +  + MW Link: Link Name</v>
      </c>
    </row>
    <row r="1187">
      <c r="A1187" s="98"/>
      <c r="B1187" s="98"/>
      <c r="C1187" s="98"/>
      <c r="D1187" s="98"/>
      <c r="E1187" s="98" t="str">
        <f>IFERROR(__xludf.DUMMYFUNCTION("""COMPUTED_VALUE""")," Solar M:  Solar Power:  Maintenance DG:  +  +  + MW Link: Link Name")</f>
        <v> Solar M:  Solar Power:  Maintenance DG:  +  +  + MW Link: Link Name</v>
      </c>
    </row>
    <row r="1188">
      <c r="A1188" s="98"/>
      <c r="B1188" s="98"/>
      <c r="C1188" s="98"/>
      <c r="D1188" s="98"/>
      <c r="E1188" s="98" t="str">
        <f>IFERROR(__xludf.DUMMYFUNCTION("""COMPUTED_VALUE""")," Solar M:  Solar Power:  Maintenance DG:  +  +  + MW Link: Link Name")</f>
        <v> Solar M:  Solar Power:  Maintenance DG:  +  +  + MW Link: Link Name</v>
      </c>
    </row>
    <row r="1189">
      <c r="A1189" s="98"/>
      <c r="B1189" s="98"/>
      <c r="C1189" s="98"/>
      <c r="D1189" s="98"/>
      <c r="E1189" s="98" t="str">
        <f>IFERROR(__xludf.DUMMYFUNCTION("""COMPUTED_VALUE""")," Solar M:  Solar Power:  Maintenance DG:  +  +  + MW Link: Link Name")</f>
        <v> Solar M:  Solar Power:  Maintenance DG:  +  +  + MW Link: Link Name</v>
      </c>
    </row>
    <row r="1190">
      <c r="A1190" s="98"/>
      <c r="B1190" s="98"/>
      <c r="C1190" s="98"/>
      <c r="D1190" s="98"/>
      <c r="E1190" s="98" t="str">
        <f>IFERROR(__xludf.DUMMYFUNCTION("""COMPUTED_VALUE""")," Solar M:  Solar Power:  Maintenance DG:  +  +  + MW Link: Link Name")</f>
        <v> Solar M:  Solar Power:  Maintenance DG:  +  +  + MW Link: Link Name</v>
      </c>
    </row>
    <row r="1191">
      <c r="A1191" s="98"/>
      <c r="B1191" s="98"/>
      <c r="C1191" s="98"/>
      <c r="D1191" s="98"/>
      <c r="E1191" s="98" t="str">
        <f>IFERROR(__xludf.DUMMYFUNCTION("""COMPUTED_VALUE""")," Solar M:  Solar Power:  Maintenance DG:  +  +  + MW Link: Link Name")</f>
        <v> Solar M:  Solar Power:  Maintenance DG:  +  +  + MW Link: Link Name</v>
      </c>
    </row>
    <row r="1192">
      <c r="A1192" s="98"/>
      <c r="B1192" s="98"/>
      <c r="C1192" s="98"/>
      <c r="D1192" s="98"/>
      <c r="E1192" s="98" t="str">
        <f>IFERROR(__xludf.DUMMYFUNCTION("""COMPUTED_VALUE""")," Solar M:  Solar Power:  Maintenance DG:  +  +  + MW Link: Link Name")</f>
        <v> Solar M:  Solar Power:  Maintenance DG:  +  +  + MW Link: Link Name</v>
      </c>
    </row>
    <row r="1193">
      <c r="A1193" s="98"/>
      <c r="B1193" s="98"/>
      <c r="C1193" s="98"/>
      <c r="D1193" s="98"/>
      <c r="E1193" s="98" t="str">
        <f>IFERROR(__xludf.DUMMYFUNCTION("""COMPUTED_VALUE""")," Solar M:  Solar Power:  Maintenance DG:  +  +  + MW Link: Link Name")</f>
        <v> Solar M:  Solar Power:  Maintenance DG:  +  +  + MW Link: Link Name</v>
      </c>
    </row>
    <row r="1194">
      <c r="A1194" s="98"/>
      <c r="B1194" s="98"/>
      <c r="C1194" s="98"/>
      <c r="D1194" s="98"/>
      <c r="E1194" s="98" t="str">
        <f>IFERROR(__xludf.DUMMYFUNCTION("""COMPUTED_VALUE""")," Solar M:  Solar Power:  Maintenance DG:  +  +  + MW Link: Link Name")</f>
        <v> Solar M:  Solar Power:  Maintenance DG:  +  +  + MW Link: Link Name</v>
      </c>
    </row>
    <row r="1195">
      <c r="A1195" s="98"/>
      <c r="B1195" s="98"/>
      <c r="C1195" s="98"/>
      <c r="D1195" s="98"/>
      <c r="E1195" s="98" t="str">
        <f>IFERROR(__xludf.DUMMYFUNCTION("""COMPUTED_VALUE""")," Solar M:  Solar Power:  Maintenance DG:  +  +  + MW Link: Link Name")</f>
        <v> Solar M:  Solar Power:  Maintenance DG:  +  +  + MW Link: Link Name</v>
      </c>
    </row>
    <row r="1196">
      <c r="A1196" s="98"/>
      <c r="B1196" s="98"/>
      <c r="C1196" s="98"/>
      <c r="D1196" s="98"/>
      <c r="E1196" s="98" t="str">
        <f>IFERROR(__xludf.DUMMYFUNCTION("""COMPUTED_VALUE""")," Solar M:  Solar Power:  Maintenance DG:  +  +  + MW Link: Link Name")</f>
        <v> Solar M:  Solar Power:  Maintenance DG:  +  +  + MW Link: Link Name</v>
      </c>
    </row>
    <row r="1197">
      <c r="A1197" s="98"/>
      <c r="B1197" s="98"/>
      <c r="C1197" s="98"/>
      <c r="D1197" s="98"/>
      <c r="E1197" s="98" t="str">
        <f>IFERROR(__xludf.DUMMYFUNCTION("""COMPUTED_VALUE""")," Solar M:  Solar Power:  Maintenance DG:  +  +  + MW Link: Link Name")</f>
        <v> Solar M:  Solar Power:  Maintenance DG:  +  +  + MW Link: Link Name</v>
      </c>
    </row>
    <row r="1198">
      <c r="A1198" s="98"/>
      <c r="B1198" s="98"/>
      <c r="C1198" s="98"/>
      <c r="D1198" s="98"/>
      <c r="E1198" s="98" t="str">
        <f>IFERROR(__xludf.DUMMYFUNCTION("""COMPUTED_VALUE""")," Solar M:  Solar Power:  Maintenance DG:  +  +  + MW Link: Link Name")</f>
        <v> Solar M:  Solar Power:  Maintenance DG:  +  +  + MW Link: Link Name</v>
      </c>
    </row>
    <row r="1199">
      <c r="A1199" s="98"/>
      <c r="B1199" s="98"/>
      <c r="C1199" s="98"/>
      <c r="D1199" s="98"/>
      <c r="E1199" s="98" t="str">
        <f>IFERROR(__xludf.DUMMYFUNCTION("""COMPUTED_VALUE""")," Solar M:  Solar Power:  Maintenance DG:  +  +  + MW Link: Link Name")</f>
        <v> Solar M:  Solar Power:  Maintenance DG:  +  +  + MW Link: Link Name</v>
      </c>
    </row>
    <row r="1200">
      <c r="A1200" s="98"/>
      <c r="B1200" s="98"/>
      <c r="C1200" s="98"/>
      <c r="D1200" s="98"/>
      <c r="E1200" s="98" t="str">
        <f>IFERROR(__xludf.DUMMYFUNCTION("""COMPUTED_VALUE""")," Solar M:  Solar Power:  Maintenance DG:  +  +  + MW Link: Link Name")</f>
        <v> Solar M:  Solar Power:  Maintenance DG:  +  +  + MW Link: Link Name</v>
      </c>
    </row>
    <row r="1201">
      <c r="A1201" s="98"/>
      <c r="B1201" s="98"/>
      <c r="C1201" s="98"/>
      <c r="D1201" s="98"/>
      <c r="E1201" s="98" t="str">
        <f>IFERROR(__xludf.DUMMYFUNCTION("""COMPUTED_VALUE""")," Solar M:  Solar Power:  Maintenance DG:  +  +  + MW Link: Link Name")</f>
        <v> Solar M:  Solar Power:  Maintenance DG:  +  +  + MW Link: Link Name</v>
      </c>
    </row>
    <row r="1202">
      <c r="A1202" s="98"/>
      <c r="B1202" s="98"/>
      <c r="C1202" s="98"/>
      <c r="D1202" s="98"/>
      <c r="E1202" s="98" t="str">
        <f>IFERROR(__xludf.DUMMYFUNCTION("""COMPUTED_VALUE""")," Solar M:  Solar Power:  Maintenance DG:  +  +  + MW Link: Link Name")</f>
        <v> Solar M:  Solar Power:  Maintenance DG:  +  +  + MW Link: Link Name</v>
      </c>
    </row>
    <row r="1203">
      <c r="A1203" s="98"/>
      <c r="B1203" s="98"/>
      <c r="C1203" s="98"/>
      <c r="D1203" s="98"/>
      <c r="E1203" s="98" t="str">
        <f>IFERROR(__xludf.DUMMYFUNCTION("""COMPUTED_VALUE""")," Solar M:  Solar Power:  Maintenance DG:  +  +  + MW Link: Link Name")</f>
        <v> Solar M:  Solar Power:  Maintenance DG:  +  +  + MW Link: Link Name</v>
      </c>
    </row>
    <row r="1204">
      <c r="A1204" s="98"/>
      <c r="B1204" s="98"/>
      <c r="C1204" s="98"/>
      <c r="D1204" s="98"/>
      <c r="E1204" s="98" t="str">
        <f>IFERROR(__xludf.DUMMYFUNCTION("""COMPUTED_VALUE""")," Solar M:  Solar Power:  Maintenance DG:  +  +  + MW Link: Link Name")</f>
        <v> Solar M:  Solar Power:  Maintenance DG:  +  +  + MW Link: Link Name</v>
      </c>
    </row>
    <row r="1205">
      <c r="A1205" s="98"/>
      <c r="B1205" s="98"/>
      <c r="C1205" s="98"/>
      <c r="D1205" s="98"/>
      <c r="E1205" s="98" t="str">
        <f>IFERROR(__xludf.DUMMYFUNCTION("""COMPUTED_VALUE""")," Solar M:  Solar Power:  Maintenance DG:  +  +  + MW Link: Link Name")</f>
        <v> Solar M:  Solar Power:  Maintenance DG:  +  +  + MW Link: Link Name</v>
      </c>
    </row>
    <row r="1206">
      <c r="A1206" s="98"/>
      <c r="B1206" s="98"/>
      <c r="C1206" s="98"/>
      <c r="D1206" s="98"/>
      <c r="E1206" s="98" t="str">
        <f>IFERROR(__xludf.DUMMYFUNCTION("""COMPUTED_VALUE""")," Solar M:  Solar Power:  Maintenance DG:  +  +  + MW Link: Link Name")</f>
        <v> Solar M:  Solar Power:  Maintenance DG:  +  +  + MW Link: Link Name</v>
      </c>
    </row>
    <row r="1207">
      <c r="A1207" s="98"/>
      <c r="B1207" s="98"/>
      <c r="C1207" s="98"/>
      <c r="D1207" s="98"/>
      <c r="E1207" s="98" t="str">
        <f>IFERROR(__xludf.DUMMYFUNCTION("""COMPUTED_VALUE""")," Solar M:  Solar Power:  Maintenance DG:  +  +  + MW Link: Link Name")</f>
        <v> Solar M:  Solar Power:  Maintenance DG:  +  +  + MW Link: Link Name</v>
      </c>
    </row>
    <row r="1208">
      <c r="A1208" s="98"/>
      <c r="B1208" s="98"/>
      <c r="C1208" s="98"/>
      <c r="D1208" s="98"/>
      <c r="E1208" s="98" t="str">
        <f>IFERROR(__xludf.DUMMYFUNCTION("""COMPUTED_VALUE""")," Solar M:  Solar Power:  Maintenance DG:  +  +  + MW Link: Link Name")</f>
        <v> Solar M:  Solar Power:  Maintenance DG:  +  +  + MW Link: Link Name</v>
      </c>
    </row>
    <row r="1209">
      <c r="A1209" s="98"/>
      <c r="B1209" s="98"/>
      <c r="C1209" s="98"/>
      <c r="D1209" s="98"/>
      <c r="E1209" s="98" t="str">
        <f>IFERROR(__xludf.DUMMYFUNCTION("""COMPUTED_VALUE""")," Solar M:  Solar Power:  Maintenance DG:  +  +  + MW Link: Link Name")</f>
        <v> Solar M:  Solar Power:  Maintenance DG:  +  +  + MW Link: Link Name</v>
      </c>
    </row>
    <row r="1210">
      <c r="A1210" s="98"/>
      <c r="B1210" s="98"/>
      <c r="C1210" s="98"/>
      <c r="D1210" s="98"/>
      <c r="E1210" s="98" t="str">
        <f>IFERROR(__xludf.DUMMYFUNCTION("""COMPUTED_VALUE""")," Solar M:  Solar Power:  Maintenance DG:  +  +  + MW Link: Link Name")</f>
        <v> Solar M:  Solar Power:  Maintenance DG:  +  +  + MW Link: Link Name</v>
      </c>
    </row>
    <row r="1211">
      <c r="A1211" s="98"/>
      <c r="B1211" s="98"/>
      <c r="C1211" s="98"/>
      <c r="D1211" s="98"/>
      <c r="E1211" s="98" t="str">
        <f>IFERROR(__xludf.DUMMYFUNCTION("""COMPUTED_VALUE""")," Solar M:  Solar Power:  Maintenance DG:  +  +  + MW Link: Link Name")</f>
        <v> Solar M:  Solar Power:  Maintenance DG:  +  +  + MW Link: Link Name</v>
      </c>
    </row>
    <row r="1212">
      <c r="A1212" s="98"/>
      <c r="B1212" s="98"/>
      <c r="C1212" s="98"/>
      <c r="D1212" s="98"/>
      <c r="E1212" s="98" t="str">
        <f>IFERROR(__xludf.DUMMYFUNCTION("""COMPUTED_VALUE""")," Solar M:  Solar Power:  Maintenance DG:  +  +  + MW Link: Link Name")</f>
        <v> Solar M:  Solar Power:  Maintenance DG:  +  +  + MW Link: Link Name</v>
      </c>
    </row>
    <row r="1213">
      <c r="A1213" s="98"/>
      <c r="B1213" s="98"/>
      <c r="C1213" s="98"/>
      <c r="D1213" s="98"/>
      <c r="E1213" s="98" t="str">
        <f>IFERROR(__xludf.DUMMYFUNCTION("""COMPUTED_VALUE""")," Solar M:  Solar Power:  Maintenance DG:  +  +  + MW Link: Link Name")</f>
        <v> Solar M:  Solar Power:  Maintenance DG:  +  +  + MW Link: Link Name</v>
      </c>
    </row>
    <row r="1214">
      <c r="A1214" s="98"/>
      <c r="B1214" s="98"/>
      <c r="C1214" s="98"/>
      <c r="D1214" s="98"/>
      <c r="E1214" s="98" t="str">
        <f>IFERROR(__xludf.DUMMYFUNCTION("""COMPUTED_VALUE""")," Solar M:  Solar Power:  Maintenance DG:  +  +  + MW Link: Link Name")</f>
        <v> Solar M:  Solar Power:  Maintenance DG:  +  +  + MW Link: Link Name</v>
      </c>
    </row>
    <row r="1215">
      <c r="A1215" s="98"/>
      <c r="B1215" s="98"/>
      <c r="C1215" s="98"/>
      <c r="D1215" s="98"/>
      <c r="E1215" s="98" t="str">
        <f>IFERROR(__xludf.DUMMYFUNCTION("""COMPUTED_VALUE""")," Solar M:  Solar Power:  Maintenance DG:  +  +  + MW Link: Link Name")</f>
        <v> Solar M:  Solar Power:  Maintenance DG:  +  +  + MW Link: Link Name</v>
      </c>
    </row>
    <row r="1216">
      <c r="A1216" s="98"/>
      <c r="B1216" s="98"/>
      <c r="C1216" s="98"/>
      <c r="D1216" s="98"/>
      <c r="E1216" s="98" t="str">
        <f>IFERROR(__xludf.DUMMYFUNCTION("""COMPUTED_VALUE""")," Solar M:  Solar Power:  Maintenance DG:  +  +  + MW Link: Link Name")</f>
        <v> Solar M:  Solar Power:  Maintenance DG:  +  +  + MW Link: Link Name</v>
      </c>
    </row>
    <row r="1217">
      <c r="A1217" s="98"/>
      <c r="B1217" s="98"/>
      <c r="C1217" s="98"/>
      <c r="D1217" s="98"/>
      <c r="E1217" s="98" t="str">
        <f>IFERROR(__xludf.DUMMYFUNCTION("""COMPUTED_VALUE""")," Solar M:  Solar Power:  Maintenance DG:  +  +  + MW Link: Link Name")</f>
        <v> Solar M:  Solar Power:  Maintenance DG:  +  +  + MW Link: Link Name</v>
      </c>
    </row>
    <row r="1218">
      <c r="A1218" s="98"/>
      <c r="B1218" s="98"/>
      <c r="C1218" s="98"/>
      <c r="D1218" s="98"/>
      <c r="E1218" s="98" t="str">
        <f>IFERROR(__xludf.DUMMYFUNCTION("""COMPUTED_VALUE""")," Solar M:  Solar Power:  Maintenance DG:  +  +  + MW Link: Link Name")</f>
        <v> Solar M:  Solar Power:  Maintenance DG:  +  +  + MW Link: Link Name</v>
      </c>
    </row>
    <row r="1219">
      <c r="A1219" s="98"/>
      <c r="B1219" s="98"/>
      <c r="C1219" s="98"/>
      <c r="D1219" s="98"/>
      <c r="E1219" s="98" t="str">
        <f>IFERROR(__xludf.DUMMYFUNCTION("""COMPUTED_VALUE""")," Solar M:  Solar Power:  Maintenance DG:  +  +  + MW Link: Link Name")</f>
        <v> Solar M:  Solar Power:  Maintenance DG:  +  +  + MW Link: Link Name</v>
      </c>
    </row>
    <row r="1220">
      <c r="A1220" s="98"/>
      <c r="B1220" s="98"/>
      <c r="C1220" s="98"/>
      <c r="D1220" s="98"/>
      <c r="E1220" s="98" t="str">
        <f>IFERROR(__xludf.DUMMYFUNCTION("""COMPUTED_VALUE""")," Solar M:  Solar Power:  Maintenance DG:  +  +  + MW Link: Link Name")</f>
        <v> Solar M:  Solar Power:  Maintenance DG:  +  +  + MW Link: Link Name</v>
      </c>
    </row>
    <row r="1221">
      <c r="A1221" s="98"/>
      <c r="B1221" s="98"/>
      <c r="C1221" s="98"/>
      <c r="D1221" s="98"/>
      <c r="E1221" s="98" t="str">
        <f>IFERROR(__xludf.DUMMYFUNCTION("""COMPUTED_VALUE""")," Solar M:  Solar Power:  Maintenance DG:  +  +  + MW Link: Link Name")</f>
        <v> Solar M:  Solar Power:  Maintenance DG:  +  +  + MW Link: Link Name</v>
      </c>
    </row>
    <row r="1222">
      <c r="A1222" s="98"/>
      <c r="B1222" s="98"/>
      <c r="C1222" s="98"/>
      <c r="D1222" s="98"/>
      <c r="E1222" s="98" t="str">
        <f>IFERROR(__xludf.DUMMYFUNCTION("""COMPUTED_VALUE""")," Solar M:  Solar Power:  Maintenance DG:  +  +  + MW Link: Link Name")</f>
        <v> Solar M:  Solar Power:  Maintenance DG:  +  +  + MW Link: Link Name</v>
      </c>
    </row>
    <row r="1223">
      <c r="A1223" s="98"/>
      <c r="B1223" s="98"/>
      <c r="C1223" s="98"/>
      <c r="D1223" s="98"/>
      <c r="E1223" s="98" t="str">
        <f>IFERROR(__xludf.DUMMYFUNCTION("""COMPUTED_VALUE""")," Solar M:  Solar Power:  Maintenance DG:  +  +  + MW Link: Link Name")</f>
        <v> Solar M:  Solar Power:  Maintenance DG:  +  +  + MW Link: Link Name</v>
      </c>
    </row>
    <row r="1224">
      <c r="A1224" s="98"/>
      <c r="B1224" s="98"/>
      <c r="C1224" s="98"/>
      <c r="D1224" s="98"/>
      <c r="E1224" s="98" t="str">
        <f>IFERROR(__xludf.DUMMYFUNCTION("""COMPUTED_VALUE""")," Solar M:  Solar Power:  Maintenance DG:  +  +  + MW Link: Link Name")</f>
        <v> Solar M:  Solar Power:  Maintenance DG:  +  +  + MW Link: Link Name</v>
      </c>
    </row>
    <row r="1225">
      <c r="A1225" s="98"/>
      <c r="B1225" s="98"/>
      <c r="C1225" s="98"/>
      <c r="D1225" s="98"/>
      <c r="E1225" s="98" t="str">
        <f>IFERROR(__xludf.DUMMYFUNCTION("""COMPUTED_VALUE""")," Solar M:  Solar Power:  Maintenance DG:  +  +  + MW Link: Link Name")</f>
        <v> Solar M:  Solar Power:  Maintenance DG:  +  +  + MW Link: Link Name</v>
      </c>
    </row>
    <row r="1226">
      <c r="A1226" s="98"/>
      <c r="B1226" s="98"/>
      <c r="C1226" s="98"/>
      <c r="D1226" s="98"/>
      <c r="E1226" s="98" t="str">
        <f>IFERROR(__xludf.DUMMYFUNCTION("""COMPUTED_VALUE""")," Solar M:  Solar Power:  Maintenance DG:  +  +  + MW Link: Link Name")</f>
        <v> Solar M:  Solar Power:  Maintenance DG:  +  +  + MW Link: Link Name</v>
      </c>
    </row>
    <row r="1227">
      <c r="A1227" s="98"/>
      <c r="B1227" s="98"/>
      <c r="C1227" s="98"/>
      <c r="D1227" s="98"/>
      <c r="E1227" s="98" t="str">
        <f>IFERROR(__xludf.DUMMYFUNCTION("""COMPUTED_VALUE""")," Solar M:  Solar Power:  Maintenance DG:  +  +  + MW Link: Link Name")</f>
        <v> Solar M:  Solar Power:  Maintenance DG:  +  +  + MW Link: Link Name</v>
      </c>
    </row>
    <row r="1228">
      <c r="A1228" s="98"/>
      <c r="B1228" s="98"/>
      <c r="C1228" s="98"/>
      <c r="D1228" s="98"/>
      <c r="E1228" s="98" t="str">
        <f>IFERROR(__xludf.DUMMYFUNCTION("""COMPUTED_VALUE""")," Solar M:  Solar Power:  Maintenance DG:  +  +  + MW Link: Link Name")</f>
        <v> Solar M:  Solar Power:  Maintenance DG:  +  +  + MW Link: Link Name</v>
      </c>
    </row>
    <row r="1229">
      <c r="A1229" s="98"/>
      <c r="B1229" s="98"/>
      <c r="C1229" s="98"/>
      <c r="D1229" s="98"/>
      <c r="E1229" s="98" t="str">
        <f>IFERROR(__xludf.DUMMYFUNCTION("""COMPUTED_VALUE""")," Solar M:  Solar Power:  Maintenance DG:  +  +  + MW Link: Link Name")</f>
        <v> Solar M:  Solar Power:  Maintenance DG:  +  +  + MW Link: Link Name</v>
      </c>
    </row>
    <row r="1230">
      <c r="A1230" s="98"/>
      <c r="B1230" s="98"/>
      <c r="C1230" s="98"/>
      <c r="D1230" s="98"/>
      <c r="E1230" s="98" t="str">
        <f>IFERROR(__xludf.DUMMYFUNCTION("""COMPUTED_VALUE""")," Solar M:  Solar Power:  Maintenance DG:  +  +  + MW Link: Link Name")</f>
        <v> Solar M:  Solar Power:  Maintenance DG:  +  +  + MW Link: Link Name</v>
      </c>
    </row>
    <row r="1231">
      <c r="A1231" s="98"/>
      <c r="B1231" s="98"/>
      <c r="C1231" s="98"/>
      <c r="D1231" s="98"/>
      <c r="E1231" s="98" t="str">
        <f>IFERROR(__xludf.DUMMYFUNCTION("""COMPUTED_VALUE""")," Solar M:  Solar Power:  Maintenance DG:  +  +  + MW Link: Link Name")</f>
        <v> Solar M:  Solar Power:  Maintenance DG:  +  +  + MW Link: Link Name</v>
      </c>
    </row>
    <row r="1232">
      <c r="A1232" s="98"/>
      <c r="B1232" s="98"/>
      <c r="C1232" s="98"/>
      <c r="D1232" s="98"/>
      <c r="E1232" s="98" t="str">
        <f>IFERROR(__xludf.DUMMYFUNCTION("""COMPUTED_VALUE""")," Solar M:  Solar Power:  Maintenance DG:  +  +  + MW Link: Link Name")</f>
        <v> Solar M:  Solar Power:  Maintenance DG:  +  +  + MW Link: Link Name</v>
      </c>
    </row>
    <row r="1233">
      <c r="A1233" s="98"/>
      <c r="B1233" s="98"/>
      <c r="C1233" s="98"/>
      <c r="D1233" s="98"/>
      <c r="E1233" s="98" t="str">
        <f>IFERROR(__xludf.DUMMYFUNCTION("""COMPUTED_VALUE""")," Solar M:  Solar Power:  Maintenance DG:  +  +  + MW Link: Link Name")</f>
        <v> Solar M:  Solar Power:  Maintenance DG:  +  +  + MW Link: Link Name</v>
      </c>
    </row>
    <row r="1234">
      <c r="A1234" s="98"/>
      <c r="B1234" s="98"/>
      <c r="C1234" s="98"/>
      <c r="D1234" s="98"/>
      <c r="E1234" s="98" t="str">
        <f>IFERROR(__xludf.DUMMYFUNCTION("""COMPUTED_VALUE""")," Solar M:  Solar Power:  Maintenance DG:  +  +  + MW Link: Link Name")</f>
        <v> Solar M:  Solar Power:  Maintenance DG:  +  +  + MW Link: Link Name</v>
      </c>
    </row>
    <row r="1235">
      <c r="A1235" s="98"/>
      <c r="B1235" s="98"/>
      <c r="C1235" s="98"/>
      <c r="D1235" s="98"/>
      <c r="E1235" s="98" t="str">
        <f>IFERROR(__xludf.DUMMYFUNCTION("""COMPUTED_VALUE""")," Solar M:  Solar Power:  Maintenance DG:  +  +  + MW Link: Link Name")</f>
        <v> Solar M:  Solar Power:  Maintenance DG:  +  +  + MW Link: Link Name</v>
      </c>
    </row>
    <row r="1236">
      <c r="A1236" s="98"/>
      <c r="B1236" s="98"/>
      <c r="C1236" s="98"/>
      <c r="D1236" s="98"/>
      <c r="E1236" s="98" t="str">
        <f>IFERROR(__xludf.DUMMYFUNCTION("""COMPUTED_VALUE""")," Solar M:  Solar Power:  Maintenance DG:  +  +  + MW Link: Link Name")</f>
        <v> Solar M:  Solar Power:  Maintenance DG:  +  +  + MW Link: Link Name</v>
      </c>
    </row>
    <row r="1237">
      <c r="A1237" s="98"/>
      <c r="B1237" s="98"/>
      <c r="C1237" s="98"/>
      <c r="D1237" s="98"/>
      <c r="E1237" s="98" t="str">
        <f>IFERROR(__xludf.DUMMYFUNCTION("""COMPUTED_VALUE""")," Solar M:  Solar Power:  Maintenance DG:  +  +  + MW Link: Link Name")</f>
        <v> Solar M:  Solar Power:  Maintenance DG:  +  +  + MW Link: Link Name</v>
      </c>
    </row>
    <row r="1238">
      <c r="A1238" s="98"/>
      <c r="B1238" s="98"/>
      <c r="C1238" s="98"/>
      <c r="D1238" s="98"/>
      <c r="E1238" s="98" t="str">
        <f>IFERROR(__xludf.DUMMYFUNCTION("""COMPUTED_VALUE""")," Solar M:  Solar Power:  Maintenance DG:  +  +  + MW Link: Link Name")</f>
        <v> Solar M:  Solar Power:  Maintenance DG:  +  +  + MW Link: Link Name</v>
      </c>
    </row>
    <row r="1239">
      <c r="A1239" s="98"/>
      <c r="B1239" s="98"/>
      <c r="C1239" s="98"/>
      <c r="D1239" s="98"/>
      <c r="E1239" s="98" t="str">
        <f>IFERROR(__xludf.DUMMYFUNCTION("""COMPUTED_VALUE""")," Solar M:  Solar Power:  Maintenance DG:  +  +  + MW Link: Link Name")</f>
        <v> Solar M:  Solar Power:  Maintenance DG:  +  +  + MW Link: Link Name</v>
      </c>
    </row>
    <row r="1240">
      <c r="A1240" s="98"/>
      <c r="B1240" s="98"/>
      <c r="C1240" s="98"/>
      <c r="D1240" s="98"/>
      <c r="E1240" s="98" t="str">
        <f>IFERROR(__xludf.DUMMYFUNCTION("""COMPUTED_VALUE""")," Solar M:  Solar Power:  Maintenance DG:  +  +  + MW Link: Link Name")</f>
        <v> Solar M:  Solar Power:  Maintenance DG:  +  +  + MW Link: Link Name</v>
      </c>
    </row>
    <row r="1241">
      <c r="A1241" s="98"/>
      <c r="B1241" s="98"/>
      <c r="C1241" s="98"/>
      <c r="D1241" s="98"/>
      <c r="E1241" s="98" t="str">
        <f>IFERROR(__xludf.DUMMYFUNCTION("""COMPUTED_VALUE""")," Solar M:  Solar Power:  Maintenance DG:  +  +  + MW Link: Link Name")</f>
        <v> Solar M:  Solar Power:  Maintenance DG:  +  +  + MW Link: Link Name</v>
      </c>
    </row>
    <row r="1242">
      <c r="A1242" s="98"/>
      <c r="B1242" s="98"/>
      <c r="C1242" s="98"/>
      <c r="D1242" s="98"/>
      <c r="E1242" s="98" t="str">
        <f>IFERROR(__xludf.DUMMYFUNCTION("""COMPUTED_VALUE""")," Solar M:  Solar Power:  Maintenance DG:  +  +  + MW Link: Link Name")</f>
        <v> Solar M:  Solar Power:  Maintenance DG:  +  +  + MW Link: Link Name</v>
      </c>
    </row>
    <row r="1243">
      <c r="A1243" s="98"/>
      <c r="B1243" s="98"/>
      <c r="C1243" s="98"/>
      <c r="D1243" s="98"/>
      <c r="E1243" s="98" t="str">
        <f>IFERROR(__xludf.DUMMYFUNCTION("""COMPUTED_VALUE""")," Solar M:  Solar Power:  Maintenance DG:  +  +  + MW Link: Link Name")</f>
        <v> Solar M:  Solar Power:  Maintenance DG:  +  +  + MW Link: Link Name</v>
      </c>
    </row>
    <row r="1244">
      <c r="A1244" s="98"/>
      <c r="B1244" s="98"/>
      <c r="C1244" s="98"/>
      <c r="D1244" s="98"/>
      <c r="E1244" s="98" t="str">
        <f>IFERROR(__xludf.DUMMYFUNCTION("""COMPUTED_VALUE""")," Solar M:  Solar Power:  Maintenance DG:  +  +  + MW Link: Link Name")</f>
        <v> Solar M:  Solar Power:  Maintenance DG:  +  +  + MW Link: Link Name</v>
      </c>
    </row>
    <row r="1245">
      <c r="A1245" s="98"/>
      <c r="B1245" s="98"/>
      <c r="C1245" s="98"/>
      <c r="D1245" s="98"/>
      <c r="E1245" s="98" t="str">
        <f>IFERROR(__xludf.DUMMYFUNCTION("""COMPUTED_VALUE""")," Solar M:  Solar Power:  Maintenance DG:  +  +  + MW Link: Link Name")</f>
        <v> Solar M:  Solar Power:  Maintenance DG:  +  +  + MW Link: Link Name</v>
      </c>
    </row>
    <row r="1246">
      <c r="A1246" s="98"/>
      <c r="B1246" s="98"/>
      <c r="C1246" s="98"/>
      <c r="D1246" s="98"/>
      <c r="E1246" s="98" t="str">
        <f>IFERROR(__xludf.DUMMYFUNCTION("""COMPUTED_VALUE""")," Solar M:  Solar Power:  Maintenance DG:  +  +  + MW Link: Link Name")</f>
        <v> Solar M:  Solar Power:  Maintenance DG:  +  +  + MW Link: Link Name</v>
      </c>
    </row>
    <row r="1247">
      <c r="A1247" s="98"/>
      <c r="B1247" s="98"/>
      <c r="C1247" s="98"/>
      <c r="D1247" s="98"/>
      <c r="E1247" s="98" t="str">
        <f>IFERROR(__xludf.DUMMYFUNCTION("""COMPUTED_VALUE""")," Solar M:  Solar Power:  Maintenance DG:  +  +  + MW Link: Link Name")</f>
        <v> Solar M:  Solar Power:  Maintenance DG:  +  +  + MW Link: Link Name</v>
      </c>
    </row>
    <row r="1248">
      <c r="A1248" s="98"/>
      <c r="B1248" s="98"/>
      <c r="C1248" s="98"/>
      <c r="D1248" s="98"/>
      <c r="E1248" s="98" t="str">
        <f>IFERROR(__xludf.DUMMYFUNCTION("""COMPUTED_VALUE""")," Solar M:  Solar Power:  Maintenance DG:  +  +  + MW Link: Link Name")</f>
        <v> Solar M:  Solar Power:  Maintenance DG:  +  +  + MW Link: Link Name</v>
      </c>
    </row>
    <row r="1249">
      <c r="A1249" s="98"/>
      <c r="B1249" s="98"/>
      <c r="C1249" s="98"/>
      <c r="D1249" s="98"/>
      <c r="E1249" s="98" t="str">
        <f>IFERROR(__xludf.DUMMYFUNCTION("""COMPUTED_VALUE""")," Solar M:  Solar Power:  Maintenance DG:  +  +  + MW Link: Link Name")</f>
        <v> Solar M:  Solar Power:  Maintenance DG:  +  +  + MW Link: Link Name</v>
      </c>
    </row>
    <row r="1250">
      <c r="A1250" s="98"/>
      <c r="B1250" s="98"/>
      <c r="C1250" s="98"/>
      <c r="D1250" s="98"/>
      <c r="E1250" s="98" t="str">
        <f>IFERROR(__xludf.DUMMYFUNCTION("""COMPUTED_VALUE""")," Solar M:  Solar Power:  Maintenance DG:  +  +  + MW Link: Link Name")</f>
        <v> Solar M:  Solar Power:  Maintenance DG:  +  +  + MW Link: Link Name</v>
      </c>
    </row>
    <row r="1251">
      <c r="A1251" s="98"/>
      <c r="B1251" s="98"/>
      <c r="C1251" s="98"/>
      <c r="D1251" s="98"/>
      <c r="E1251" s="98" t="str">
        <f>IFERROR(__xludf.DUMMYFUNCTION("""COMPUTED_VALUE""")," Solar M:  Solar Power:  Maintenance DG:  +  +  + MW Link: Link Name")</f>
        <v> Solar M:  Solar Power:  Maintenance DG:  +  +  + MW Link: Link Name</v>
      </c>
    </row>
    <row r="1252">
      <c r="A1252" s="98"/>
      <c r="B1252" s="98"/>
      <c r="C1252" s="98"/>
      <c r="D1252" s="98"/>
      <c r="E1252" s="98" t="str">
        <f>IFERROR(__xludf.DUMMYFUNCTION("""COMPUTED_VALUE""")," Solar M:  Solar Power:  Maintenance DG:  +  +  + MW Link: Link Name")</f>
        <v> Solar M:  Solar Power:  Maintenance DG:  +  +  + MW Link: Link Name</v>
      </c>
    </row>
    <row r="1253">
      <c r="A1253" s="98"/>
      <c r="B1253" s="98"/>
      <c r="C1253" s="98"/>
      <c r="D1253" s="98"/>
      <c r="E1253" s="98" t="str">
        <f>IFERROR(__xludf.DUMMYFUNCTION("""COMPUTED_VALUE""")," Solar M:  Solar Power:  Maintenance DG:  +  +  + MW Link: Link Name")</f>
        <v> Solar M:  Solar Power:  Maintenance DG:  +  +  + MW Link: Link Name</v>
      </c>
    </row>
    <row r="1254">
      <c r="A1254" s="98"/>
      <c r="B1254" s="98"/>
      <c r="C1254" s="98"/>
      <c r="D1254" s="98"/>
      <c r="E1254" s="98" t="str">
        <f>IFERROR(__xludf.DUMMYFUNCTION("""COMPUTED_VALUE""")," Solar M:  Solar Power:  Maintenance DG:  +  +  + MW Link: Link Name")</f>
        <v> Solar M:  Solar Power:  Maintenance DG:  +  +  + MW Link: Link Name</v>
      </c>
    </row>
    <row r="1255">
      <c r="A1255" s="98"/>
      <c r="B1255" s="98"/>
      <c r="C1255" s="98"/>
      <c r="D1255" s="98"/>
      <c r="E1255" s="98" t="str">
        <f>IFERROR(__xludf.DUMMYFUNCTION("""COMPUTED_VALUE""")," Solar M:  Solar Power:  Maintenance DG:  +  +  + MW Link: Link Name")</f>
        <v> Solar M:  Solar Power:  Maintenance DG:  +  +  + MW Link: Link Name</v>
      </c>
    </row>
    <row r="1256">
      <c r="A1256" s="98"/>
      <c r="B1256" s="98"/>
      <c r="C1256" s="98"/>
      <c r="D1256" s="98"/>
      <c r="E1256" s="98" t="str">
        <f>IFERROR(__xludf.DUMMYFUNCTION("""COMPUTED_VALUE""")," Solar M:  Solar Power:  Maintenance DG:  +  +  + MW Link: Link Name")</f>
        <v> Solar M:  Solar Power:  Maintenance DG:  +  +  + MW Link: Link Name</v>
      </c>
    </row>
    <row r="1257">
      <c r="A1257" s="98"/>
      <c r="B1257" s="98"/>
      <c r="C1257" s="98"/>
      <c r="D1257" s="98"/>
      <c r="E1257" s="98" t="str">
        <f>IFERROR(__xludf.DUMMYFUNCTION("""COMPUTED_VALUE""")," Solar M:  Solar Power:  Maintenance DG:  +  +  + MW Link: Link Name")</f>
        <v> Solar M:  Solar Power:  Maintenance DG:  +  +  + MW Link: Link Name</v>
      </c>
    </row>
    <row r="1258">
      <c r="A1258" s="98"/>
      <c r="B1258" s="98"/>
      <c r="C1258" s="98"/>
      <c r="D1258" s="98"/>
      <c r="E1258" s="98" t="str">
        <f>IFERROR(__xludf.DUMMYFUNCTION("""COMPUTED_VALUE""")," Solar M:  Solar Power:  Maintenance DG:  +  +  + MW Link: Link Name")</f>
        <v> Solar M:  Solar Power:  Maintenance DG:  +  +  + MW Link: Link Name</v>
      </c>
    </row>
    <row r="1259">
      <c r="A1259" s="98"/>
      <c r="B1259" s="98"/>
      <c r="C1259" s="98"/>
      <c r="D1259" s="98"/>
      <c r="E1259" s="98" t="str">
        <f>IFERROR(__xludf.DUMMYFUNCTION("""COMPUTED_VALUE""")," Solar M:  Solar Power:  Maintenance DG:  +  +  + MW Link: Link Name")</f>
        <v> Solar M:  Solar Power:  Maintenance DG:  +  +  + MW Link: Link Name</v>
      </c>
    </row>
    <row r="1260">
      <c r="A1260" s="98"/>
      <c r="B1260" s="98"/>
      <c r="C1260" s="98"/>
      <c r="D1260" s="98"/>
      <c r="E1260" s="98" t="str">
        <f>IFERROR(__xludf.DUMMYFUNCTION("""COMPUTED_VALUE""")," Solar M:  Solar Power:  Maintenance DG:  +  +  + MW Link: Link Name")</f>
        <v> Solar M:  Solar Power:  Maintenance DG:  +  +  + MW Link: Link Name</v>
      </c>
    </row>
    <row r="1261">
      <c r="A1261" s="98"/>
      <c r="B1261" s="98"/>
      <c r="C1261" s="98"/>
      <c r="D1261" s="98"/>
      <c r="E1261" s="98" t="str">
        <f>IFERROR(__xludf.DUMMYFUNCTION("""COMPUTED_VALUE""")," Solar M:  Solar Power:  Maintenance DG:  +  +  + MW Link: Link Name")</f>
        <v> Solar M:  Solar Power:  Maintenance DG:  +  +  + MW Link: Link Name</v>
      </c>
    </row>
    <row r="1262">
      <c r="A1262" s="98"/>
      <c r="B1262" s="98"/>
      <c r="C1262" s="98"/>
      <c r="D1262" s="98"/>
      <c r="E1262" s="98" t="str">
        <f>IFERROR(__xludf.DUMMYFUNCTION("""COMPUTED_VALUE""")," Solar M:  Solar Power:  Maintenance DG:  +  +  + MW Link: Link Name")</f>
        <v> Solar M:  Solar Power:  Maintenance DG:  +  +  + MW Link: Link Name</v>
      </c>
    </row>
    <row r="1263">
      <c r="A1263" s="98"/>
      <c r="B1263" s="98"/>
      <c r="C1263" s="98"/>
      <c r="D1263" s="98"/>
      <c r="E1263" s="98" t="str">
        <f>IFERROR(__xludf.DUMMYFUNCTION("""COMPUTED_VALUE""")," Solar M:  Solar Power:  Maintenance DG:  +  +  + MW Link: Link Name")</f>
        <v> Solar M:  Solar Power:  Maintenance DG:  +  +  + MW Link: Link Name</v>
      </c>
    </row>
    <row r="1264">
      <c r="A1264" s="98"/>
      <c r="B1264" s="98"/>
      <c r="C1264" s="98"/>
      <c r="D1264" s="98"/>
      <c r="E1264" s="98" t="str">
        <f>IFERROR(__xludf.DUMMYFUNCTION("""COMPUTED_VALUE""")," Solar M:  Solar Power:  Maintenance DG:  +  +  + MW Link: Link Name")</f>
        <v> Solar M:  Solar Power:  Maintenance DG:  +  +  + MW Link: Link Name</v>
      </c>
    </row>
    <row r="1265">
      <c r="A1265" s="98"/>
      <c r="B1265" s="98"/>
      <c r="C1265" s="98"/>
      <c r="D1265" s="98"/>
      <c r="E1265" s="98" t="str">
        <f>IFERROR(__xludf.DUMMYFUNCTION("""COMPUTED_VALUE""")," Solar M:  Solar Power:  Maintenance DG:  +  +  + MW Link: Link Name")</f>
        <v> Solar M:  Solar Power:  Maintenance DG:  +  +  + MW Link: Link Name</v>
      </c>
    </row>
    <row r="1266">
      <c r="A1266" s="98"/>
      <c r="B1266" s="98"/>
      <c r="C1266" s="98"/>
      <c r="D1266" s="98"/>
      <c r="E1266" s="98" t="str">
        <f>IFERROR(__xludf.DUMMYFUNCTION("""COMPUTED_VALUE""")," Solar M:  Solar Power:  Maintenance DG:  +  +  + MW Link: Link Name")</f>
        <v> Solar M:  Solar Power:  Maintenance DG:  +  +  + MW Link: Link Name</v>
      </c>
    </row>
    <row r="1267">
      <c r="A1267" s="98"/>
      <c r="B1267" s="98"/>
      <c r="C1267" s="98"/>
      <c r="D1267" s="98"/>
      <c r="E1267" s="98" t="str">
        <f>IFERROR(__xludf.DUMMYFUNCTION("""COMPUTED_VALUE""")," Solar M:  Solar Power:  Maintenance DG:  +  +  + MW Link: Link Name")</f>
        <v> Solar M:  Solar Power:  Maintenance DG:  +  +  + MW Link: Link Name</v>
      </c>
    </row>
    <row r="1268">
      <c r="A1268" s="98"/>
      <c r="B1268" s="98"/>
      <c r="C1268" s="98"/>
      <c r="D1268" s="98"/>
      <c r="E1268" s="98" t="str">
        <f>IFERROR(__xludf.DUMMYFUNCTION("""COMPUTED_VALUE""")," Solar M:  Solar Power:  Maintenance DG:  +  +  + MW Link: Link Name")</f>
        <v> Solar M:  Solar Power:  Maintenance DG:  +  +  + MW Link: Link Name</v>
      </c>
    </row>
    <row r="1269">
      <c r="A1269" s="98"/>
      <c r="B1269" s="98"/>
      <c r="C1269" s="98"/>
      <c r="D1269" s="98"/>
      <c r="E1269" s="98" t="str">
        <f>IFERROR(__xludf.DUMMYFUNCTION("""COMPUTED_VALUE""")," Solar M:  Solar Power:  Maintenance DG:  +  +  + MW Link: Link Name")</f>
        <v> Solar M:  Solar Power:  Maintenance DG:  +  +  + MW Link: Link Name</v>
      </c>
    </row>
    <row r="1270">
      <c r="A1270" s="98"/>
      <c r="B1270" s="98"/>
      <c r="C1270" s="98"/>
      <c r="D1270" s="98"/>
      <c r="E1270" s="98" t="str">
        <f>IFERROR(__xludf.DUMMYFUNCTION("""COMPUTED_VALUE""")," Solar M:  Solar Power:  Maintenance DG:  +  +  + MW Link: Link Name")</f>
        <v> Solar M:  Solar Power:  Maintenance DG:  +  +  + MW Link: Link Name</v>
      </c>
    </row>
    <row r="1271">
      <c r="A1271" s="98"/>
      <c r="B1271" s="98"/>
      <c r="C1271" s="98"/>
      <c r="D1271" s="98"/>
      <c r="E1271" s="98" t="str">
        <f>IFERROR(__xludf.DUMMYFUNCTION("""COMPUTED_VALUE""")," Solar M:  Solar Power:  Maintenance DG:  +  +  + MW Link: Link Name")</f>
        <v> Solar M:  Solar Power:  Maintenance DG:  +  +  + MW Link: Link Name</v>
      </c>
    </row>
    <row r="1272">
      <c r="A1272" s="98"/>
      <c r="B1272" s="98"/>
      <c r="C1272" s="98"/>
      <c r="D1272" s="98"/>
      <c r="E1272" s="98" t="str">
        <f>IFERROR(__xludf.DUMMYFUNCTION("""COMPUTED_VALUE""")," Solar M:  Solar Power:  Maintenance DG:  +  +  + MW Link: Link Name")</f>
        <v> Solar M:  Solar Power:  Maintenance DG:  +  +  + MW Link: Link Name</v>
      </c>
    </row>
    <row r="1273">
      <c r="A1273" s="98"/>
      <c r="B1273" s="98"/>
      <c r="C1273" s="98"/>
      <c r="D1273" s="98"/>
      <c r="E1273" s="98" t="str">
        <f>IFERROR(__xludf.DUMMYFUNCTION("""COMPUTED_VALUE""")," Solar M:  Solar Power:  Maintenance DG:  +  +  + MW Link: Link Name")</f>
        <v> Solar M:  Solar Power:  Maintenance DG:  +  +  + MW Link: Link Name</v>
      </c>
    </row>
    <row r="1274">
      <c r="A1274" s="98"/>
      <c r="B1274" s="98"/>
      <c r="C1274" s="98"/>
      <c r="D1274" s="98"/>
      <c r="E1274" s="98" t="str">
        <f>IFERROR(__xludf.DUMMYFUNCTION("""COMPUTED_VALUE""")," Solar M:  Solar Power:  Maintenance DG:  +  +  + MW Link: Link Name")</f>
        <v> Solar M:  Solar Power:  Maintenance DG:  +  +  + MW Link: Link Name</v>
      </c>
    </row>
    <row r="1275">
      <c r="A1275" s="98"/>
      <c r="B1275" s="98"/>
      <c r="C1275" s="98"/>
      <c r="D1275" s="98"/>
      <c r="E1275" s="98" t="str">
        <f>IFERROR(__xludf.DUMMYFUNCTION("""COMPUTED_VALUE""")," Solar M:  Solar Power:  Maintenance DG:  +  +  + MW Link: Link Name")</f>
        <v> Solar M:  Solar Power:  Maintenance DG:  +  +  + MW Link: Link Name</v>
      </c>
    </row>
    <row r="1276">
      <c r="A1276" s="98"/>
      <c r="B1276" s="98"/>
      <c r="C1276" s="98"/>
      <c r="D1276" s="98"/>
      <c r="E1276" s="98" t="str">
        <f>IFERROR(__xludf.DUMMYFUNCTION("""COMPUTED_VALUE""")," Solar M:  Solar Power:  Maintenance DG:  +  +  + MW Link: Link Name")</f>
        <v> Solar M:  Solar Power:  Maintenance DG:  +  +  + MW Link: Link Name</v>
      </c>
    </row>
    <row r="1277">
      <c r="A1277" s="98"/>
      <c r="B1277" s="98"/>
      <c r="C1277" s="98"/>
      <c r="D1277" s="98"/>
      <c r="E1277" s="98" t="str">
        <f>IFERROR(__xludf.DUMMYFUNCTION("""COMPUTED_VALUE""")," Solar M:  Solar Power:  Maintenance DG:  +  +  + MW Link: Link Name")</f>
        <v> Solar M:  Solar Power:  Maintenance DG:  +  +  + MW Link: Link Name</v>
      </c>
    </row>
    <row r="1278">
      <c r="A1278" s="98"/>
      <c r="B1278" s="98"/>
      <c r="C1278" s="98"/>
      <c r="D1278" s="98"/>
      <c r="E1278" s="98" t="str">
        <f>IFERROR(__xludf.DUMMYFUNCTION("""COMPUTED_VALUE""")," Solar M:  Solar Power:  Maintenance DG:  +  +  + MW Link: Link Name")</f>
        <v> Solar M:  Solar Power:  Maintenance DG:  +  +  + MW Link: Link Name</v>
      </c>
    </row>
    <row r="1279">
      <c r="A1279" s="98"/>
      <c r="B1279" s="98"/>
      <c r="C1279" s="98"/>
      <c r="D1279" s="98"/>
      <c r="E1279" s="98" t="str">
        <f>IFERROR(__xludf.DUMMYFUNCTION("""COMPUTED_VALUE""")," Solar M:  Solar Power:  Maintenance DG:  +  +  + MW Link: Link Name")</f>
        <v> Solar M:  Solar Power:  Maintenance DG:  +  +  + MW Link: Link Name</v>
      </c>
    </row>
    <row r="1280">
      <c r="A1280" s="98"/>
      <c r="B1280" s="98"/>
      <c r="C1280" s="98"/>
      <c r="D1280" s="98"/>
      <c r="E1280" s="98" t="str">
        <f>IFERROR(__xludf.DUMMYFUNCTION("""COMPUTED_VALUE""")," Solar M:  Solar Power:  Maintenance DG:  +  +  + MW Link: Link Name")</f>
        <v> Solar M:  Solar Power:  Maintenance DG:  +  +  + MW Link: Link Name</v>
      </c>
    </row>
    <row r="1281">
      <c r="A1281" s="98"/>
      <c r="B1281" s="98"/>
      <c r="C1281" s="98"/>
      <c r="D1281" s="98"/>
      <c r="E1281" s="98" t="str">
        <f>IFERROR(__xludf.DUMMYFUNCTION("""COMPUTED_VALUE""")," Solar M:  Solar Power:  Maintenance DG:  +  +  + MW Link: Link Name")</f>
        <v> Solar M:  Solar Power:  Maintenance DG:  +  +  + MW Link: Link Name</v>
      </c>
    </row>
    <row r="1282">
      <c r="A1282" s="98"/>
      <c r="B1282" s="98"/>
      <c r="C1282" s="98"/>
      <c r="D1282" s="98"/>
      <c r="E1282" s="98" t="str">
        <f>IFERROR(__xludf.DUMMYFUNCTION("""COMPUTED_VALUE""")," Solar M:  Solar Power:  Maintenance DG:  +  +  + MW Link: Link Name")</f>
        <v> Solar M:  Solar Power:  Maintenance DG:  +  +  + MW Link: Link Name</v>
      </c>
    </row>
    <row r="1283">
      <c r="A1283" s="98"/>
      <c r="B1283" s="98"/>
      <c r="C1283" s="98"/>
      <c r="D1283" s="98"/>
      <c r="E1283" s="98" t="str">
        <f>IFERROR(__xludf.DUMMYFUNCTION("""COMPUTED_VALUE""")," Solar M:  Solar Power:  Maintenance DG:  +  +  + MW Link: Link Name")</f>
        <v> Solar M:  Solar Power:  Maintenance DG:  +  +  + MW Link: Link Name</v>
      </c>
    </row>
    <row r="1284">
      <c r="A1284" s="98"/>
      <c r="B1284" s="98"/>
      <c r="C1284" s="98"/>
      <c r="D1284" s="98"/>
      <c r="E1284" s="98" t="str">
        <f>IFERROR(__xludf.DUMMYFUNCTION("""COMPUTED_VALUE""")," Solar M:  Solar Power:  Maintenance DG:  +  +  + MW Link: Link Name")</f>
        <v> Solar M:  Solar Power:  Maintenance DG:  +  +  + MW Link: Link Name</v>
      </c>
    </row>
    <row r="1285">
      <c r="A1285" s="98"/>
      <c r="B1285" s="98"/>
      <c r="C1285" s="98"/>
      <c r="D1285" s="98"/>
      <c r="E1285" s="98" t="str">
        <f>IFERROR(__xludf.DUMMYFUNCTION("""COMPUTED_VALUE""")," Solar M:  Solar Power:  Maintenance DG:  +  +  + MW Link: Link Name")</f>
        <v> Solar M:  Solar Power:  Maintenance DG:  +  +  + MW Link: Link Name</v>
      </c>
    </row>
    <row r="1286">
      <c r="A1286" s="98"/>
      <c r="B1286" s="98"/>
      <c r="C1286" s="98"/>
      <c r="D1286" s="98"/>
      <c r="E1286" s="98" t="str">
        <f>IFERROR(__xludf.DUMMYFUNCTION("""COMPUTED_VALUE""")," Solar M:  Solar Power:  Maintenance DG:  +  +  + MW Link: Link Name")</f>
        <v> Solar M:  Solar Power:  Maintenance DG:  +  +  + MW Link: Link Name</v>
      </c>
    </row>
    <row r="1287">
      <c r="A1287" s="98"/>
      <c r="B1287" s="98"/>
      <c r="C1287" s="98"/>
      <c r="D1287" s="98"/>
      <c r="E1287" s="98" t="str">
        <f>IFERROR(__xludf.DUMMYFUNCTION("""COMPUTED_VALUE""")," Solar M:  Solar Power:  Maintenance DG:  +  +  + MW Link: Link Name")</f>
        <v> Solar M:  Solar Power:  Maintenance DG:  +  +  + MW Link: Link Name</v>
      </c>
    </row>
    <row r="1288">
      <c r="A1288" s="98"/>
      <c r="B1288" s="98"/>
      <c r="C1288" s="98"/>
      <c r="D1288" s="98"/>
      <c r="E1288" s="98" t="str">
        <f>IFERROR(__xludf.DUMMYFUNCTION("""COMPUTED_VALUE""")," Solar M:  Solar Power:  Maintenance DG:  +  +  + MW Link: Link Name")</f>
        <v> Solar M:  Solar Power:  Maintenance DG:  +  +  + MW Link: Link Name</v>
      </c>
    </row>
    <row r="1289">
      <c r="A1289" s="98"/>
      <c r="B1289" s="98"/>
      <c r="C1289" s="98"/>
      <c r="D1289" s="98"/>
      <c r="E1289" s="98" t="str">
        <f>IFERROR(__xludf.DUMMYFUNCTION("""COMPUTED_VALUE""")," Solar M:  Solar Power:  Maintenance DG:  +  +  + MW Link: Link Name")</f>
        <v> Solar M:  Solar Power:  Maintenance DG:  +  +  + MW Link: Link Name</v>
      </c>
    </row>
    <row r="1290">
      <c r="A1290" s="98"/>
      <c r="B1290" s="98"/>
      <c r="C1290" s="98"/>
      <c r="D1290" s="98"/>
      <c r="E1290" s="98" t="str">
        <f>IFERROR(__xludf.DUMMYFUNCTION("""COMPUTED_VALUE""")," Solar M:  Solar Power:  Maintenance DG:  +  +  + MW Link: Link Name")</f>
        <v> Solar M:  Solar Power:  Maintenance DG:  +  +  + MW Link: Link Name</v>
      </c>
    </row>
    <row r="1291">
      <c r="A1291" s="98"/>
      <c r="B1291" s="98"/>
      <c r="C1291" s="98"/>
      <c r="D1291" s="98"/>
      <c r="E1291" s="98"/>
    </row>
    <row r="1292">
      <c r="A1292" s="98"/>
      <c r="B1292" s="98"/>
      <c r="C1292" s="98"/>
      <c r="D1292" s="98"/>
      <c r="E1292" s="98"/>
    </row>
    <row r="1293">
      <c r="A1293" s="98"/>
      <c r="B1293" s="98"/>
      <c r="C1293" s="98"/>
      <c r="D1293" s="98"/>
      <c r="E1293" s="98"/>
    </row>
    <row r="1294">
      <c r="A1294" s="98"/>
      <c r="B1294" s="98"/>
      <c r="C1294" s="98"/>
      <c r="D1294" s="98"/>
      <c r="E1294" s="98"/>
    </row>
    <row r="1295">
      <c r="A1295" s="98"/>
      <c r="B1295" s="98"/>
      <c r="C1295" s="98"/>
      <c r="D1295" s="98"/>
      <c r="E1295" s="98"/>
    </row>
    <row r="1296">
      <c r="A1296" s="98"/>
      <c r="B1296" s="98"/>
      <c r="C1296" s="98"/>
      <c r="D1296" s="98"/>
      <c r="E1296" s="98"/>
    </row>
    <row r="1297">
      <c r="A1297" s="98"/>
      <c r="B1297" s="98"/>
      <c r="C1297" s="98"/>
      <c r="D1297" s="98"/>
      <c r="E1297" s="98"/>
    </row>
    <row r="1298">
      <c r="A1298" s="98"/>
      <c r="B1298" s="98"/>
      <c r="C1298" s="98"/>
      <c r="D1298" s="98"/>
      <c r="E1298" s="98"/>
    </row>
    <row r="1299">
      <c r="A1299" s="98"/>
      <c r="B1299" s="98"/>
      <c r="C1299" s="98"/>
      <c r="D1299" s="98"/>
      <c r="E1299" s="98"/>
    </row>
    <row r="1300">
      <c r="A1300" s="98"/>
      <c r="B1300" s="98"/>
      <c r="C1300" s="98"/>
      <c r="D1300" s="98"/>
      <c r="E1300" s="98"/>
    </row>
    <row r="1301">
      <c r="A1301" s="98"/>
      <c r="B1301" s="98"/>
      <c r="C1301" s="98"/>
      <c r="D1301" s="98"/>
      <c r="E1301" s="98"/>
    </row>
    <row r="1302">
      <c r="A1302" s="98"/>
      <c r="B1302" s="98"/>
      <c r="C1302" s="98"/>
      <c r="D1302" s="98"/>
      <c r="E1302" s="98"/>
    </row>
    <row r="1303">
      <c r="A1303" s="98"/>
      <c r="B1303" s="98"/>
      <c r="C1303" s="98"/>
      <c r="D1303" s="98"/>
      <c r="E1303" s="98"/>
    </row>
    <row r="1304">
      <c r="A1304" s="98"/>
      <c r="B1304" s="98"/>
      <c r="C1304" s="98"/>
      <c r="D1304" s="98"/>
      <c r="E1304" s="98"/>
    </row>
    <row r="1305">
      <c r="A1305" s="98"/>
      <c r="B1305" s="98"/>
      <c r="C1305" s="98"/>
      <c r="D1305" s="98"/>
      <c r="E1305" s="98"/>
    </row>
    <row r="1306">
      <c r="A1306" s="98"/>
      <c r="B1306" s="98"/>
      <c r="C1306" s="98"/>
      <c r="D1306" s="98"/>
      <c r="E1306" s="98"/>
    </row>
    <row r="1307">
      <c r="A1307" s="98"/>
      <c r="B1307" s="98"/>
      <c r="C1307" s="98"/>
      <c r="D1307" s="98"/>
      <c r="E1307" s="98"/>
    </row>
    <row r="1308">
      <c r="A1308" s="98"/>
      <c r="B1308" s="98"/>
      <c r="C1308" s="98"/>
      <c r="D1308" s="98"/>
      <c r="E1308" s="98"/>
    </row>
    <row r="1309">
      <c r="A1309" s="98"/>
      <c r="B1309" s="98"/>
      <c r="C1309" s="98"/>
      <c r="D1309" s="98"/>
      <c r="E1309" s="98"/>
    </row>
    <row r="1310">
      <c r="A1310" s="98"/>
      <c r="B1310" s="98"/>
      <c r="C1310" s="98"/>
      <c r="D1310" s="98"/>
      <c r="E1310" s="98"/>
    </row>
    <row r="1311">
      <c r="A1311" s="98"/>
      <c r="B1311" s="98"/>
      <c r="C1311" s="98"/>
      <c r="D1311" s="98"/>
      <c r="E1311" s="98"/>
    </row>
    <row r="1312">
      <c r="A1312" s="98"/>
      <c r="B1312" s="98"/>
      <c r="C1312" s="98"/>
      <c r="D1312" s="98"/>
      <c r="E1312" s="98"/>
    </row>
    <row r="1313">
      <c r="A1313" s="98"/>
      <c r="B1313" s="98"/>
      <c r="C1313" s="98"/>
      <c r="D1313" s="98"/>
      <c r="E1313" s="98"/>
    </row>
    <row r="1314">
      <c r="A1314" s="98"/>
      <c r="B1314" s="98"/>
      <c r="C1314" s="98"/>
      <c r="D1314" s="98"/>
      <c r="E1314" s="98"/>
    </row>
    <row r="1315">
      <c r="A1315" s="98"/>
      <c r="B1315" s="98"/>
      <c r="C1315" s="98"/>
      <c r="D1315" s="98"/>
      <c r="E1315" s="98"/>
    </row>
    <row r="1316">
      <c r="A1316" s="98"/>
      <c r="B1316" s="98"/>
      <c r="C1316" s="98"/>
      <c r="D1316" s="98"/>
      <c r="E1316" s="98"/>
    </row>
    <row r="1317">
      <c r="A1317" s="98"/>
      <c r="B1317" s="98"/>
      <c r="C1317" s="98"/>
      <c r="D1317" s="98"/>
      <c r="E1317" s="98"/>
    </row>
    <row r="1318">
      <c r="A1318" s="98"/>
      <c r="B1318" s="98"/>
      <c r="C1318" s="98"/>
      <c r="D1318" s="98"/>
      <c r="E1318" s="98"/>
    </row>
    <row r="1319">
      <c r="A1319" s="98"/>
      <c r="B1319" s="98"/>
      <c r="C1319" s="98"/>
      <c r="D1319" s="98"/>
      <c r="E1319" s="98"/>
    </row>
    <row r="1320">
      <c r="A1320" s="98"/>
      <c r="B1320" s="98"/>
      <c r="C1320" s="98"/>
      <c r="D1320" s="98"/>
      <c r="E1320" s="98"/>
    </row>
    <row r="1321">
      <c r="A1321" s="98"/>
      <c r="B1321" s="98"/>
      <c r="C1321" s="98"/>
      <c r="D1321" s="98"/>
      <c r="E1321" s="98"/>
    </row>
    <row r="1322">
      <c r="A1322" s="98"/>
      <c r="B1322" s="98"/>
      <c r="C1322" s="98"/>
      <c r="D1322" s="98"/>
      <c r="E1322" s="98"/>
    </row>
    <row r="1323">
      <c r="A1323" s="98"/>
      <c r="B1323" s="98"/>
      <c r="C1323" s="98"/>
      <c r="D1323" s="98"/>
      <c r="E1323" s="98"/>
    </row>
    <row r="1324">
      <c r="A1324" s="98"/>
      <c r="B1324" s="98"/>
      <c r="C1324" s="98"/>
      <c r="D1324" s="98"/>
      <c r="E1324" s="98"/>
    </row>
    <row r="1325">
      <c r="A1325" s="98"/>
      <c r="B1325" s="98"/>
      <c r="C1325" s="98"/>
      <c r="D1325" s="98"/>
      <c r="E1325" s="98"/>
    </row>
    <row r="1326">
      <c r="A1326" s="98"/>
      <c r="B1326" s="98"/>
      <c r="C1326" s="98"/>
      <c r="D1326" s="98"/>
      <c r="E1326" s="98"/>
    </row>
    <row r="1327">
      <c r="A1327" s="98"/>
      <c r="B1327" s="98"/>
      <c r="C1327" s="98"/>
      <c r="D1327" s="98"/>
      <c r="E1327" s="98"/>
    </row>
    <row r="1328">
      <c r="A1328" s="98"/>
      <c r="B1328" s="98"/>
      <c r="C1328" s="98"/>
      <c r="D1328" s="98"/>
      <c r="E1328" s="98"/>
    </row>
    <row r="1329">
      <c r="A1329" s="98"/>
      <c r="B1329" s="98"/>
      <c r="C1329" s="98"/>
      <c r="D1329" s="98"/>
      <c r="E1329" s="98"/>
    </row>
    <row r="1330">
      <c r="A1330" s="98"/>
      <c r="B1330" s="98"/>
      <c r="C1330" s="98"/>
      <c r="D1330" s="98"/>
      <c r="E1330" s="98"/>
    </row>
    <row r="1331">
      <c r="A1331" s="98"/>
      <c r="B1331" s="98"/>
      <c r="C1331" s="98"/>
      <c r="D1331" s="98"/>
      <c r="E1331" s="98"/>
    </row>
    <row r="1332">
      <c r="A1332" s="98"/>
      <c r="B1332" s="98"/>
      <c r="C1332" s="98"/>
      <c r="D1332" s="98"/>
      <c r="E1332" s="98"/>
    </row>
    <row r="1333">
      <c r="A1333" s="98"/>
      <c r="B1333" s="98"/>
      <c r="C1333" s="98"/>
      <c r="D1333" s="98"/>
      <c r="E1333" s="98"/>
    </row>
    <row r="1334">
      <c r="A1334" s="98"/>
      <c r="B1334" s="98"/>
      <c r="C1334" s="98"/>
      <c r="D1334" s="98"/>
      <c r="E1334" s="98"/>
    </row>
    <row r="1335">
      <c r="A1335" s="98"/>
      <c r="B1335" s="98"/>
      <c r="C1335" s="98"/>
      <c r="D1335" s="98"/>
      <c r="E1335" s="98"/>
    </row>
    <row r="1336">
      <c r="A1336" s="98"/>
      <c r="B1336" s="98"/>
      <c r="C1336" s="98"/>
      <c r="D1336" s="98"/>
      <c r="E1336" s="98"/>
    </row>
    <row r="1337">
      <c r="A1337" s="98"/>
      <c r="B1337" s="98"/>
      <c r="C1337" s="98"/>
      <c r="D1337" s="98"/>
      <c r="E1337" s="98"/>
    </row>
    <row r="1338">
      <c r="A1338" s="98"/>
      <c r="B1338" s="98"/>
      <c r="C1338" s="98"/>
      <c r="D1338" s="98"/>
      <c r="E1338" s="98"/>
    </row>
    <row r="1339">
      <c r="A1339" s="98"/>
      <c r="B1339" s="98"/>
      <c r="C1339" s="98"/>
      <c r="D1339" s="98"/>
      <c r="E1339" s="98"/>
    </row>
    <row r="1340">
      <c r="A1340" s="98"/>
      <c r="B1340" s="98"/>
      <c r="C1340" s="98"/>
      <c r="D1340" s="98"/>
      <c r="E1340" s="98"/>
    </row>
    <row r="1341">
      <c r="A1341" s="98"/>
      <c r="B1341" s="98"/>
      <c r="C1341" s="98"/>
      <c r="D1341" s="98"/>
      <c r="E1341" s="98"/>
    </row>
    <row r="1342">
      <c r="A1342" s="98"/>
      <c r="B1342" s="98"/>
      <c r="C1342" s="98"/>
      <c r="D1342" s="98"/>
      <c r="E1342" s="98"/>
    </row>
    <row r="1343">
      <c r="A1343" s="98"/>
      <c r="B1343" s="98"/>
      <c r="C1343" s="98"/>
      <c r="D1343" s="98"/>
      <c r="E1343" s="98"/>
    </row>
    <row r="1344">
      <c r="A1344" s="98"/>
      <c r="B1344" s="98"/>
      <c r="C1344" s="98"/>
      <c r="D1344" s="98"/>
      <c r="E1344" s="98"/>
    </row>
    <row r="1345">
      <c r="A1345" s="98"/>
      <c r="B1345" s="98"/>
      <c r="C1345" s="98"/>
      <c r="D1345" s="98"/>
      <c r="E1345" s="98"/>
    </row>
    <row r="1346">
      <c r="A1346" s="98"/>
      <c r="B1346" s="98"/>
      <c r="C1346" s="98"/>
      <c r="D1346" s="98"/>
      <c r="E1346" s="98"/>
    </row>
    <row r="1347">
      <c r="A1347" s="98"/>
      <c r="B1347" s="98"/>
      <c r="C1347" s="98"/>
      <c r="D1347" s="98"/>
      <c r="E1347" s="98"/>
    </row>
    <row r="1348">
      <c r="A1348" s="98"/>
      <c r="B1348" s="98"/>
      <c r="C1348" s="98"/>
      <c r="D1348" s="98"/>
      <c r="E1348" s="98"/>
    </row>
    <row r="1349">
      <c r="A1349" s="98"/>
      <c r="B1349" s="98"/>
      <c r="C1349" s="98"/>
      <c r="D1349" s="98"/>
      <c r="E1349" s="98"/>
    </row>
    <row r="1350">
      <c r="A1350" s="98"/>
      <c r="B1350" s="98"/>
      <c r="C1350" s="98"/>
      <c r="D1350" s="98"/>
      <c r="E1350" s="98"/>
    </row>
    <row r="1351">
      <c r="A1351" s="98"/>
      <c r="B1351" s="98"/>
      <c r="C1351" s="98"/>
      <c r="D1351" s="98"/>
      <c r="E1351" s="98"/>
    </row>
    <row r="1352">
      <c r="A1352" s="98"/>
      <c r="B1352" s="98"/>
      <c r="C1352" s="98"/>
      <c r="D1352" s="98"/>
      <c r="E1352" s="98"/>
    </row>
    <row r="1353">
      <c r="A1353" s="98"/>
      <c r="B1353" s="98"/>
      <c r="C1353" s="98"/>
      <c r="D1353" s="98"/>
      <c r="E1353" s="98"/>
    </row>
    <row r="1354">
      <c r="A1354" s="98"/>
      <c r="B1354" s="98"/>
      <c r="C1354" s="98"/>
      <c r="D1354" s="98"/>
      <c r="E1354" s="98"/>
    </row>
    <row r="1355">
      <c r="A1355" s="98"/>
      <c r="B1355" s="98"/>
      <c r="C1355" s="98"/>
      <c r="D1355" s="98"/>
      <c r="E1355" s="98"/>
    </row>
    <row r="1356">
      <c r="A1356" s="98"/>
      <c r="B1356" s="98"/>
      <c r="C1356" s="98"/>
      <c r="D1356" s="98"/>
      <c r="E1356" s="98"/>
    </row>
    <row r="1357">
      <c r="A1357" s="98"/>
      <c r="B1357" s="98"/>
      <c r="C1357" s="98"/>
      <c r="D1357" s="98"/>
      <c r="E1357" s="98"/>
    </row>
    <row r="1358">
      <c r="A1358" s="98"/>
      <c r="B1358" s="98"/>
      <c r="C1358" s="98"/>
      <c r="D1358" s="98"/>
      <c r="E1358" s="98"/>
    </row>
    <row r="1359">
      <c r="A1359" s="98"/>
      <c r="B1359" s="98"/>
      <c r="C1359" s="98"/>
      <c r="D1359" s="98"/>
      <c r="E1359" s="98"/>
    </row>
    <row r="1360">
      <c r="A1360" s="98"/>
      <c r="B1360" s="98"/>
      <c r="C1360" s="98"/>
      <c r="D1360" s="98"/>
      <c r="E1360" s="98"/>
    </row>
    <row r="1361">
      <c r="A1361" s="98"/>
      <c r="B1361" s="98"/>
      <c r="C1361" s="98"/>
      <c r="D1361" s="98"/>
      <c r="E1361" s="98"/>
    </row>
    <row r="1362">
      <c r="A1362" s="98"/>
      <c r="B1362" s="98"/>
      <c r="C1362" s="98"/>
      <c r="D1362" s="98"/>
      <c r="E1362" s="98"/>
    </row>
    <row r="1363">
      <c r="A1363" s="98"/>
      <c r="B1363" s="98"/>
      <c r="C1363" s="98"/>
      <c r="D1363" s="98"/>
      <c r="E1363" s="98"/>
    </row>
    <row r="1364">
      <c r="A1364" s="98"/>
      <c r="B1364" s="98"/>
      <c r="C1364" s="98"/>
      <c r="D1364" s="98"/>
      <c r="E1364" s="98"/>
    </row>
    <row r="1365">
      <c r="A1365" s="98"/>
      <c r="B1365" s="98"/>
      <c r="C1365" s="98"/>
      <c r="D1365" s="98"/>
      <c r="E1365" s="98"/>
    </row>
    <row r="1366">
      <c r="A1366" s="98"/>
      <c r="B1366" s="98"/>
      <c r="C1366" s="98"/>
      <c r="D1366" s="98"/>
      <c r="E1366" s="98"/>
    </row>
    <row r="1367">
      <c r="A1367" s="98"/>
      <c r="B1367" s="98"/>
      <c r="C1367" s="98"/>
      <c r="D1367" s="98"/>
      <c r="E1367" s="98"/>
    </row>
    <row r="1368">
      <c r="A1368" s="98"/>
      <c r="B1368" s="98"/>
      <c r="C1368" s="98"/>
      <c r="D1368" s="98"/>
      <c r="E1368" s="98"/>
    </row>
    <row r="1369">
      <c r="A1369" s="98"/>
      <c r="B1369" s="98"/>
      <c r="C1369" s="98"/>
      <c r="D1369" s="98"/>
      <c r="E1369" s="98"/>
    </row>
    <row r="1370">
      <c r="A1370" s="98"/>
      <c r="B1370" s="98"/>
      <c r="C1370" s="98"/>
      <c r="D1370" s="98"/>
      <c r="E1370" s="98"/>
    </row>
    <row r="1371">
      <c r="A1371" s="98"/>
      <c r="B1371" s="98"/>
      <c r="C1371" s="98"/>
      <c r="D1371" s="98"/>
      <c r="E1371" s="98"/>
    </row>
    <row r="1372">
      <c r="A1372" s="98"/>
      <c r="B1372" s="98"/>
      <c r="C1372" s="98"/>
      <c r="D1372" s="98"/>
      <c r="E1372" s="98"/>
    </row>
    <row r="1373">
      <c r="A1373" s="98"/>
      <c r="B1373" s="98"/>
      <c r="C1373" s="98"/>
      <c r="D1373" s="98"/>
      <c r="E1373" s="98"/>
    </row>
    <row r="1374">
      <c r="A1374" s="98"/>
      <c r="B1374" s="98"/>
      <c r="C1374" s="98"/>
      <c r="D1374" s="98"/>
      <c r="E1374" s="98"/>
    </row>
    <row r="1375">
      <c r="A1375" s="98"/>
      <c r="B1375" s="98"/>
      <c r="C1375" s="98"/>
      <c r="D1375" s="98"/>
      <c r="E1375" s="98"/>
    </row>
    <row r="1376">
      <c r="A1376" s="98"/>
      <c r="B1376" s="98"/>
      <c r="C1376" s="98"/>
      <c r="D1376" s="98"/>
      <c r="E1376" s="98"/>
    </row>
    <row r="1377">
      <c r="A1377" s="98"/>
      <c r="B1377" s="98"/>
      <c r="C1377" s="98"/>
      <c r="D1377" s="98"/>
      <c r="E1377" s="98"/>
    </row>
    <row r="1378">
      <c r="A1378" s="98"/>
      <c r="B1378" s="98"/>
      <c r="C1378" s="98"/>
      <c r="D1378" s="98"/>
      <c r="E1378" s="98"/>
    </row>
    <row r="1379">
      <c r="A1379" s="98"/>
      <c r="B1379" s="98"/>
      <c r="C1379" s="98"/>
      <c r="D1379" s="98"/>
      <c r="E1379" s="98"/>
    </row>
    <row r="1380">
      <c r="A1380" s="98"/>
      <c r="B1380" s="98"/>
      <c r="C1380" s="98"/>
      <c r="D1380" s="98"/>
      <c r="E1380" s="98"/>
    </row>
    <row r="1381">
      <c r="A1381" s="98"/>
      <c r="B1381" s="98"/>
      <c r="C1381" s="98"/>
      <c r="D1381" s="98"/>
      <c r="E1381" s="98"/>
    </row>
    <row r="1382">
      <c r="A1382" s="98"/>
      <c r="B1382" s="98"/>
      <c r="C1382" s="98"/>
      <c r="D1382" s="98"/>
      <c r="E1382" s="98"/>
    </row>
    <row r="1383">
      <c r="A1383" s="98"/>
      <c r="B1383" s="98"/>
      <c r="C1383" s="98"/>
      <c r="D1383" s="98"/>
      <c r="E1383" s="98"/>
    </row>
    <row r="1384">
      <c r="A1384" s="98"/>
      <c r="B1384" s="98"/>
      <c r="C1384" s="98"/>
      <c r="D1384" s="98"/>
      <c r="E1384" s="98"/>
    </row>
    <row r="1385">
      <c r="A1385" s="98"/>
      <c r="B1385" s="98"/>
      <c r="C1385" s="98"/>
      <c r="D1385" s="98"/>
      <c r="E1385" s="98"/>
    </row>
    <row r="1386">
      <c r="A1386" s="98"/>
      <c r="B1386" s="98"/>
      <c r="C1386" s="98"/>
      <c r="D1386" s="98"/>
      <c r="E1386" s="98"/>
    </row>
    <row r="1387">
      <c r="A1387" s="98"/>
      <c r="B1387" s="98"/>
      <c r="C1387" s="98"/>
      <c r="D1387" s="98"/>
      <c r="E1387" s="98"/>
    </row>
    <row r="1388">
      <c r="A1388" s="98"/>
      <c r="B1388" s="98"/>
      <c r="C1388" s="98"/>
      <c r="D1388" s="98"/>
      <c r="E1388" s="98"/>
    </row>
    <row r="1389">
      <c r="A1389" s="98"/>
      <c r="B1389" s="98"/>
      <c r="C1389" s="98"/>
      <c r="D1389" s="98"/>
      <c r="E1389" s="98"/>
    </row>
    <row r="1390">
      <c r="A1390" s="98"/>
      <c r="B1390" s="98"/>
      <c r="C1390" s="98"/>
      <c r="D1390" s="98"/>
      <c r="E1390" s="98"/>
    </row>
    <row r="1391">
      <c r="A1391" s="98"/>
      <c r="B1391" s="98"/>
      <c r="C1391" s="98"/>
      <c r="D1391" s="98"/>
      <c r="E1391" s="98"/>
    </row>
    <row r="1392">
      <c r="A1392" s="98"/>
      <c r="B1392" s="98"/>
      <c r="C1392" s="98"/>
      <c r="D1392" s="98"/>
      <c r="E1392" s="98"/>
    </row>
    <row r="1393">
      <c r="A1393" s="98"/>
      <c r="B1393" s="98"/>
      <c r="C1393" s="98"/>
      <c r="D1393" s="98"/>
      <c r="E1393" s="98"/>
    </row>
    <row r="1394">
      <c r="A1394" s="98"/>
      <c r="B1394" s="98"/>
      <c r="C1394" s="98"/>
      <c r="D1394" s="98"/>
      <c r="E1394" s="98"/>
    </row>
    <row r="1395">
      <c r="A1395" s="98"/>
      <c r="B1395" s="98"/>
      <c r="C1395" s="98"/>
      <c r="D1395" s="98"/>
      <c r="E1395" s="98"/>
    </row>
    <row r="1396">
      <c r="A1396" s="98"/>
      <c r="B1396" s="98"/>
      <c r="C1396" s="98"/>
      <c r="D1396" s="98"/>
      <c r="E1396" s="98"/>
    </row>
    <row r="1397">
      <c r="A1397" s="98"/>
      <c r="B1397" s="98"/>
      <c r="C1397" s="98"/>
      <c r="D1397" s="98"/>
      <c r="E1397" s="98"/>
    </row>
    <row r="1398">
      <c r="A1398" s="98"/>
      <c r="B1398" s="98"/>
      <c r="C1398" s="98"/>
      <c r="D1398" s="98"/>
      <c r="E1398" s="98"/>
    </row>
    <row r="1399">
      <c r="A1399" s="98"/>
      <c r="B1399" s="98"/>
      <c r="C1399" s="98"/>
      <c r="D1399" s="98"/>
      <c r="E1399" s="98"/>
    </row>
    <row r="1400">
      <c r="A1400" s="98"/>
      <c r="B1400" s="98"/>
      <c r="C1400" s="98"/>
      <c r="D1400" s="98"/>
      <c r="E1400" s="98"/>
    </row>
    <row r="1401">
      <c r="A1401" s="98"/>
      <c r="B1401" s="98"/>
      <c r="C1401" s="98"/>
      <c r="D1401" s="98"/>
      <c r="E1401" s="98"/>
    </row>
    <row r="1402">
      <c r="A1402" s="98"/>
      <c r="B1402" s="98"/>
      <c r="C1402" s="98"/>
      <c r="D1402" s="98"/>
      <c r="E1402" s="98"/>
    </row>
    <row r="1403">
      <c r="A1403" s="98"/>
      <c r="B1403" s="98"/>
      <c r="C1403" s="98"/>
      <c r="D1403" s="98"/>
      <c r="E1403" s="98"/>
    </row>
    <row r="1404">
      <c r="A1404" s="98"/>
      <c r="B1404" s="98"/>
      <c r="C1404" s="98"/>
      <c r="D1404" s="98"/>
      <c r="E1404" s="98"/>
    </row>
    <row r="1405">
      <c r="A1405" s="98"/>
      <c r="B1405" s="98"/>
      <c r="C1405" s="98"/>
      <c r="D1405" s="98"/>
      <c r="E1405" s="98"/>
    </row>
    <row r="1406">
      <c r="A1406" s="98"/>
      <c r="B1406" s="98"/>
      <c r="C1406" s="98"/>
      <c r="D1406" s="98"/>
      <c r="E1406" s="98"/>
    </row>
    <row r="1407">
      <c r="A1407" s="98"/>
      <c r="B1407" s="98"/>
      <c r="C1407" s="98"/>
      <c r="D1407" s="98"/>
      <c r="E1407" s="98"/>
    </row>
    <row r="1408">
      <c r="A1408" s="98"/>
      <c r="B1408" s="98"/>
      <c r="C1408" s="98"/>
      <c r="D1408" s="98"/>
      <c r="E1408" s="98"/>
    </row>
    <row r="1409">
      <c r="A1409" s="98"/>
      <c r="B1409" s="98"/>
      <c r="C1409" s="98"/>
      <c r="D1409" s="98"/>
      <c r="E1409" s="98"/>
    </row>
    <row r="1410">
      <c r="A1410" s="98"/>
      <c r="B1410" s="98"/>
      <c r="C1410" s="98"/>
      <c r="D1410" s="98"/>
      <c r="E1410" s="98"/>
    </row>
    <row r="1411">
      <c r="A1411" s="98"/>
      <c r="B1411" s="98"/>
      <c r="C1411" s="98"/>
      <c r="D1411" s="98"/>
      <c r="E1411" s="98"/>
    </row>
    <row r="1412">
      <c r="A1412" s="98"/>
      <c r="B1412" s="98"/>
      <c r="C1412" s="98"/>
      <c r="D1412" s="98"/>
      <c r="E1412" s="98"/>
    </row>
    <row r="1413">
      <c r="A1413" s="98"/>
      <c r="B1413" s="98"/>
      <c r="C1413" s="98"/>
      <c r="D1413" s="98"/>
      <c r="E1413" s="98"/>
    </row>
    <row r="1414">
      <c r="A1414" s="98"/>
      <c r="B1414" s="98"/>
      <c r="C1414" s="98"/>
      <c r="D1414" s="98"/>
      <c r="E1414" s="98"/>
    </row>
    <row r="1415">
      <c r="A1415" s="98"/>
      <c r="B1415" s="98"/>
      <c r="C1415" s="98"/>
      <c r="D1415" s="98"/>
      <c r="E1415" s="98"/>
    </row>
    <row r="1416">
      <c r="A1416" s="98"/>
      <c r="B1416" s="98"/>
      <c r="C1416" s="98"/>
      <c r="D1416" s="98"/>
      <c r="E1416" s="98"/>
    </row>
    <row r="1417">
      <c r="A1417" s="98"/>
      <c r="B1417" s="98"/>
      <c r="C1417" s="98"/>
      <c r="D1417" s="98"/>
      <c r="E1417" s="98"/>
    </row>
    <row r="1418">
      <c r="A1418" s="98"/>
      <c r="B1418" s="98"/>
      <c r="C1418" s="98"/>
      <c r="D1418" s="98"/>
      <c r="E1418" s="98"/>
    </row>
    <row r="1419">
      <c r="A1419" s="98"/>
      <c r="B1419" s="98"/>
      <c r="C1419" s="98"/>
      <c r="D1419" s="98"/>
      <c r="E1419" s="98"/>
    </row>
    <row r="1420">
      <c r="A1420" s="98"/>
      <c r="B1420" s="98"/>
      <c r="C1420" s="98"/>
      <c r="D1420" s="98"/>
      <c r="E1420" s="98"/>
    </row>
    <row r="1421">
      <c r="A1421" s="98"/>
      <c r="B1421" s="98"/>
      <c r="C1421" s="98"/>
      <c r="D1421" s="98"/>
      <c r="E1421" s="98"/>
    </row>
    <row r="1422">
      <c r="A1422" s="98"/>
      <c r="B1422" s="98"/>
      <c r="C1422" s="98"/>
      <c r="D1422" s="98"/>
      <c r="E1422" s="98"/>
    </row>
    <row r="1423">
      <c r="A1423" s="98"/>
      <c r="B1423" s="98"/>
      <c r="C1423" s="98"/>
      <c r="D1423" s="98"/>
      <c r="E1423" s="98"/>
    </row>
    <row r="1424">
      <c r="A1424" s="98"/>
      <c r="B1424" s="98"/>
      <c r="C1424" s="98"/>
      <c r="D1424" s="98"/>
      <c r="E1424" s="98"/>
    </row>
    <row r="1425">
      <c r="A1425" s="98"/>
      <c r="B1425" s="98"/>
      <c r="C1425" s="98"/>
      <c r="D1425" s="98"/>
      <c r="E1425" s="98"/>
    </row>
    <row r="1426">
      <c r="A1426" s="98"/>
      <c r="B1426" s="98"/>
      <c r="C1426" s="98"/>
      <c r="D1426" s="98"/>
      <c r="E1426" s="98"/>
    </row>
    <row r="1427">
      <c r="A1427" s="98"/>
      <c r="B1427" s="98"/>
      <c r="C1427" s="98"/>
      <c r="D1427" s="98"/>
      <c r="E1427" s="98"/>
    </row>
    <row r="1428">
      <c r="A1428" s="98"/>
      <c r="B1428" s="98"/>
      <c r="C1428" s="98"/>
      <c r="D1428" s="98"/>
      <c r="E1428" s="98"/>
    </row>
    <row r="1429">
      <c r="A1429" s="98"/>
      <c r="B1429" s="98"/>
      <c r="C1429" s="98"/>
      <c r="D1429" s="98"/>
      <c r="E1429" s="98"/>
    </row>
    <row r="1430">
      <c r="A1430" s="98"/>
      <c r="B1430" s="98"/>
      <c r="C1430" s="98"/>
      <c r="D1430" s="98"/>
      <c r="E1430" s="98"/>
    </row>
    <row r="1431">
      <c r="A1431" s="98"/>
      <c r="B1431" s="98"/>
      <c r="C1431" s="98"/>
      <c r="D1431" s="98"/>
      <c r="E1431" s="98"/>
    </row>
    <row r="1432">
      <c r="A1432" s="98"/>
      <c r="B1432" s="98"/>
      <c r="C1432" s="98"/>
      <c r="D1432" s="98"/>
      <c r="E1432" s="98"/>
    </row>
    <row r="1433">
      <c r="A1433" s="98"/>
      <c r="B1433" s="98"/>
      <c r="C1433" s="98"/>
      <c r="D1433" s="98"/>
      <c r="E1433" s="98"/>
    </row>
    <row r="1434">
      <c r="A1434" s="98"/>
      <c r="B1434" s="98"/>
      <c r="C1434" s="98"/>
      <c r="D1434" s="98"/>
      <c r="E1434" s="98"/>
    </row>
    <row r="1435">
      <c r="A1435" s="98"/>
      <c r="B1435" s="98"/>
      <c r="C1435" s="98"/>
      <c r="D1435" s="98"/>
      <c r="E1435" s="98"/>
    </row>
    <row r="1436">
      <c r="A1436" s="98"/>
      <c r="B1436" s="98"/>
      <c r="C1436" s="98"/>
      <c r="D1436" s="98"/>
      <c r="E1436" s="98"/>
    </row>
    <row r="1437">
      <c r="A1437" s="98"/>
      <c r="B1437" s="98"/>
      <c r="C1437" s="98"/>
      <c r="D1437" s="98"/>
      <c r="E1437" s="98"/>
    </row>
    <row r="1438">
      <c r="A1438" s="98"/>
      <c r="B1438" s="98"/>
      <c r="C1438" s="98"/>
      <c r="D1438" s="98"/>
      <c r="E1438" s="98"/>
    </row>
    <row r="1439">
      <c r="A1439" s="98"/>
      <c r="B1439" s="98"/>
      <c r="C1439" s="98"/>
      <c r="D1439" s="98"/>
      <c r="E1439" s="98"/>
    </row>
    <row r="1440">
      <c r="A1440" s="98"/>
      <c r="B1440" s="98"/>
      <c r="C1440" s="98"/>
      <c r="D1440" s="98"/>
      <c r="E1440" s="98"/>
    </row>
    <row r="1441">
      <c r="A1441" s="98"/>
      <c r="B1441" s="98"/>
      <c r="C1441" s="98"/>
      <c r="D1441" s="98"/>
      <c r="E1441" s="98"/>
    </row>
    <row r="1442">
      <c r="A1442" s="98"/>
      <c r="B1442" s="98"/>
      <c r="C1442" s="98"/>
      <c r="D1442" s="98"/>
      <c r="E1442" s="98"/>
    </row>
    <row r="1443">
      <c r="A1443" s="98"/>
      <c r="B1443" s="98"/>
      <c r="C1443" s="98"/>
      <c r="D1443" s="98"/>
      <c r="E1443" s="98"/>
    </row>
    <row r="1444">
      <c r="A1444" s="98"/>
      <c r="B1444" s="98"/>
      <c r="C1444" s="98"/>
      <c r="D1444" s="98"/>
      <c r="E1444" s="98"/>
    </row>
    <row r="1445">
      <c r="A1445" s="98"/>
      <c r="B1445" s="98"/>
      <c r="C1445" s="98"/>
      <c r="D1445" s="98"/>
      <c r="E1445" s="98"/>
    </row>
    <row r="1446">
      <c r="A1446" s="98"/>
      <c r="B1446" s="98"/>
      <c r="C1446" s="98"/>
      <c r="D1446" s="98"/>
      <c r="E1446" s="98"/>
    </row>
    <row r="1447">
      <c r="A1447" s="98"/>
      <c r="B1447" s="98"/>
      <c r="C1447" s="98"/>
      <c r="D1447" s="98"/>
      <c r="E1447" s="98"/>
    </row>
    <row r="1448">
      <c r="A1448" s="98"/>
      <c r="B1448" s="98"/>
      <c r="C1448" s="98"/>
      <c r="D1448" s="98"/>
      <c r="E1448" s="98"/>
    </row>
    <row r="1449">
      <c r="A1449" s="98"/>
      <c r="B1449" s="98"/>
      <c r="C1449" s="98"/>
      <c r="D1449" s="98"/>
      <c r="E1449" s="98"/>
    </row>
    <row r="1450">
      <c r="A1450" s="98"/>
      <c r="B1450" s="98"/>
      <c r="C1450" s="98"/>
      <c r="D1450" s="98"/>
      <c r="E1450" s="98"/>
    </row>
    <row r="1451">
      <c r="A1451" s="98"/>
      <c r="B1451" s="98"/>
      <c r="C1451" s="98"/>
      <c r="D1451" s="98"/>
      <c r="E1451" s="98"/>
    </row>
    <row r="1452">
      <c r="A1452" s="98"/>
      <c r="B1452" s="98"/>
      <c r="C1452" s="98"/>
      <c r="D1452" s="98"/>
      <c r="E1452" s="98"/>
    </row>
    <row r="1453">
      <c r="A1453" s="98"/>
      <c r="B1453" s="98"/>
      <c r="C1453" s="98"/>
      <c r="D1453" s="98"/>
      <c r="E1453" s="98"/>
    </row>
    <row r="1454">
      <c r="A1454" s="98"/>
      <c r="B1454" s="98"/>
      <c r="C1454" s="98"/>
      <c r="D1454" s="98"/>
      <c r="E1454" s="98"/>
    </row>
    <row r="1455">
      <c r="A1455" s="98"/>
      <c r="B1455" s="98"/>
      <c r="C1455" s="98"/>
      <c r="D1455" s="98"/>
      <c r="E1455" s="98"/>
    </row>
    <row r="1456">
      <c r="A1456" s="98"/>
      <c r="B1456" s="98"/>
      <c r="C1456" s="98"/>
      <c r="D1456" s="98"/>
      <c r="E1456" s="98"/>
    </row>
    <row r="1457">
      <c r="A1457" s="98"/>
      <c r="B1457" s="98"/>
      <c r="C1457" s="98"/>
      <c r="D1457" s="98"/>
      <c r="E1457" s="98"/>
    </row>
    <row r="1458">
      <c r="A1458" s="98"/>
      <c r="B1458" s="98"/>
      <c r="C1458" s="98"/>
      <c r="D1458" s="98"/>
      <c r="E1458" s="98"/>
    </row>
    <row r="1459">
      <c r="A1459" s="98"/>
      <c r="B1459" s="98"/>
      <c r="C1459" s="98"/>
      <c r="D1459" s="98"/>
      <c r="E1459" s="98"/>
    </row>
    <row r="1460">
      <c r="A1460" s="98"/>
      <c r="B1460" s="98"/>
      <c r="C1460" s="98"/>
      <c r="D1460" s="98"/>
      <c r="E1460" s="98"/>
    </row>
    <row r="1461">
      <c r="A1461" s="98"/>
      <c r="B1461" s="98"/>
      <c r="C1461" s="98"/>
      <c r="D1461" s="98"/>
      <c r="E1461" s="98"/>
    </row>
    <row r="1462">
      <c r="A1462" s="98"/>
      <c r="B1462" s="98"/>
      <c r="C1462" s="98"/>
      <c r="D1462" s="98"/>
      <c r="E1462" s="98"/>
    </row>
    <row r="1463">
      <c r="A1463" s="98"/>
      <c r="B1463" s="98"/>
      <c r="C1463" s="98"/>
      <c r="D1463" s="98"/>
      <c r="E1463" s="98"/>
    </row>
    <row r="1464">
      <c r="A1464" s="98"/>
      <c r="B1464" s="98"/>
      <c r="C1464" s="98"/>
      <c r="D1464" s="98"/>
      <c r="E1464" s="98"/>
    </row>
    <row r="1465">
      <c r="A1465" s="98"/>
      <c r="B1465" s="98"/>
      <c r="C1465" s="98"/>
      <c r="D1465" s="98"/>
      <c r="E1465" s="98"/>
    </row>
    <row r="1466">
      <c r="A1466" s="98"/>
      <c r="B1466" s="98"/>
      <c r="C1466" s="98"/>
      <c r="D1466" s="98"/>
      <c r="E1466" s="98"/>
    </row>
    <row r="1467">
      <c r="A1467" s="98"/>
      <c r="B1467" s="98"/>
      <c r="C1467" s="98"/>
      <c r="D1467" s="98"/>
      <c r="E1467" s="98"/>
    </row>
    <row r="1468">
      <c r="A1468" s="98"/>
      <c r="B1468" s="98"/>
      <c r="C1468" s="98"/>
      <c r="D1468" s="98"/>
      <c r="E1468" s="98"/>
    </row>
    <row r="1469">
      <c r="A1469" s="98"/>
      <c r="B1469" s="98"/>
      <c r="C1469" s="98"/>
      <c r="D1469" s="98"/>
      <c r="E1469" s="98"/>
    </row>
    <row r="1470">
      <c r="A1470" s="98"/>
      <c r="B1470" s="98"/>
      <c r="C1470" s="98"/>
      <c r="D1470" s="98"/>
      <c r="E1470" s="98"/>
    </row>
    <row r="1471">
      <c r="A1471" s="98"/>
      <c r="B1471" s="98"/>
      <c r="C1471" s="98"/>
      <c r="D1471" s="98"/>
      <c r="E1471" s="98"/>
    </row>
    <row r="1472">
      <c r="A1472" s="98"/>
      <c r="B1472" s="98"/>
      <c r="C1472" s="98"/>
      <c r="D1472" s="98"/>
      <c r="E1472" s="98"/>
    </row>
    <row r="1473">
      <c r="A1473" s="98"/>
      <c r="B1473" s="98"/>
      <c r="C1473" s="98"/>
      <c r="D1473" s="98"/>
      <c r="E1473" s="98"/>
    </row>
    <row r="1474">
      <c r="A1474" s="98"/>
      <c r="B1474" s="98"/>
      <c r="C1474" s="98"/>
      <c r="D1474" s="98"/>
      <c r="E1474" s="98"/>
    </row>
    <row r="1475">
      <c r="A1475" s="98"/>
      <c r="B1475" s="98"/>
      <c r="C1475" s="98"/>
      <c r="D1475" s="98"/>
      <c r="E1475" s="98"/>
    </row>
    <row r="1476">
      <c r="A1476" s="98"/>
      <c r="B1476" s="98"/>
      <c r="C1476" s="98"/>
      <c r="D1476" s="98"/>
      <c r="E1476" s="98"/>
    </row>
    <row r="1477">
      <c r="A1477" s="98"/>
      <c r="B1477" s="98"/>
      <c r="C1477" s="98"/>
      <c r="D1477" s="98"/>
      <c r="E1477" s="98"/>
    </row>
    <row r="1478">
      <c r="A1478" s="98"/>
      <c r="B1478" s="98"/>
      <c r="C1478" s="98"/>
      <c r="D1478" s="98"/>
      <c r="E1478" s="98"/>
    </row>
    <row r="1479">
      <c r="A1479" s="98"/>
      <c r="B1479" s="98"/>
      <c r="C1479" s="98"/>
      <c r="D1479" s="98"/>
      <c r="E1479" s="98"/>
    </row>
    <row r="1480">
      <c r="A1480" s="98"/>
      <c r="B1480" s="98"/>
      <c r="C1480" s="98"/>
      <c r="D1480" s="98"/>
      <c r="E1480" s="98"/>
    </row>
    <row r="1481">
      <c r="A1481" s="98"/>
      <c r="B1481" s="98"/>
      <c r="C1481" s="98"/>
      <c r="D1481" s="98"/>
      <c r="E1481" s="98"/>
    </row>
    <row r="1482">
      <c r="A1482" s="98"/>
      <c r="B1482" s="98"/>
      <c r="C1482" s="98"/>
      <c r="D1482" s="98"/>
      <c r="E1482" s="98"/>
    </row>
    <row r="1483">
      <c r="A1483" s="98"/>
      <c r="B1483" s="98"/>
      <c r="C1483" s="98"/>
      <c r="D1483" s="98"/>
      <c r="E1483" s="98"/>
    </row>
    <row r="1484">
      <c r="A1484" s="98"/>
      <c r="B1484" s="98"/>
      <c r="C1484" s="98"/>
      <c r="D1484" s="98"/>
      <c r="E1484" s="98"/>
    </row>
    <row r="1485">
      <c r="A1485" s="98"/>
      <c r="B1485" s="98"/>
      <c r="C1485" s="98"/>
      <c r="D1485" s="98"/>
      <c r="E1485" s="98"/>
    </row>
    <row r="1486">
      <c r="A1486" s="98"/>
      <c r="B1486" s="98"/>
      <c r="C1486" s="98"/>
      <c r="D1486" s="98"/>
      <c r="E1486" s="98"/>
    </row>
    <row r="1487">
      <c r="A1487" s="98"/>
      <c r="B1487" s="98"/>
      <c r="C1487" s="98"/>
      <c r="D1487" s="98"/>
      <c r="E1487" s="98"/>
    </row>
    <row r="1488">
      <c r="A1488" s="98"/>
      <c r="B1488" s="98"/>
      <c r="C1488" s="98"/>
      <c r="D1488" s="98"/>
      <c r="E1488" s="98"/>
    </row>
    <row r="1489">
      <c r="A1489" s="98"/>
      <c r="B1489" s="98"/>
      <c r="C1489" s="98"/>
      <c r="D1489" s="98"/>
      <c r="E1489" s="98"/>
    </row>
    <row r="1490">
      <c r="A1490" s="98"/>
      <c r="B1490" s="98"/>
      <c r="C1490" s="98"/>
      <c r="D1490" s="98"/>
      <c r="E1490" s="98"/>
    </row>
    <row r="1491">
      <c r="A1491" s="98"/>
      <c r="B1491" s="98"/>
      <c r="C1491" s="98"/>
      <c r="D1491" s="98"/>
      <c r="E1491" s="98"/>
    </row>
    <row r="1492">
      <c r="A1492" s="98"/>
      <c r="B1492" s="98"/>
      <c r="C1492" s="98"/>
      <c r="D1492" s="98"/>
      <c r="E1492" s="98"/>
    </row>
    <row r="1493">
      <c r="A1493" s="98"/>
      <c r="B1493" s="98"/>
      <c r="C1493" s="98"/>
      <c r="D1493" s="98"/>
      <c r="E1493" s="98"/>
    </row>
    <row r="1494">
      <c r="A1494" s="98"/>
      <c r="B1494" s="98"/>
      <c r="C1494" s="98"/>
      <c r="D1494" s="98"/>
      <c r="E1494" s="98"/>
    </row>
    <row r="1495">
      <c r="A1495" s="98"/>
      <c r="B1495" s="98"/>
      <c r="C1495" s="98"/>
      <c r="D1495" s="98"/>
      <c r="E1495" s="98"/>
    </row>
    <row r="1496">
      <c r="A1496" s="98"/>
      <c r="B1496" s="98"/>
      <c r="C1496" s="98"/>
      <c r="D1496" s="98"/>
      <c r="E1496" s="98"/>
    </row>
    <row r="1497">
      <c r="A1497" s="98"/>
      <c r="B1497" s="98"/>
      <c r="C1497" s="98"/>
      <c r="D1497" s="98"/>
      <c r="E1497" s="98"/>
    </row>
    <row r="1498">
      <c r="A1498" s="98"/>
      <c r="B1498" s="98"/>
      <c r="C1498" s="98"/>
      <c r="D1498" s="98"/>
      <c r="E1498" s="98"/>
    </row>
    <row r="1499">
      <c r="A1499" s="98"/>
      <c r="B1499" s="98"/>
      <c r="C1499" s="98"/>
      <c r="D1499" s="98"/>
      <c r="E1499" s="98"/>
    </row>
    <row r="1500">
      <c r="A1500" s="98"/>
      <c r="B1500" s="98"/>
      <c r="C1500" s="98"/>
      <c r="D1500" s="98"/>
      <c r="E1500" s="98"/>
    </row>
    <row r="1501">
      <c r="A1501" s="98"/>
      <c r="B1501" s="98"/>
      <c r="C1501" s="98"/>
      <c r="D1501" s="98"/>
      <c r="E1501" s="98"/>
    </row>
    <row r="1502">
      <c r="A1502" s="98"/>
      <c r="B1502" s="98"/>
      <c r="C1502" s="98"/>
      <c r="D1502" s="98"/>
      <c r="E1502" s="98"/>
    </row>
    <row r="1503">
      <c r="A1503" s="98"/>
      <c r="B1503" s="98"/>
      <c r="C1503" s="98"/>
      <c r="D1503" s="98"/>
      <c r="E1503" s="98"/>
    </row>
    <row r="1504">
      <c r="A1504" s="98"/>
      <c r="B1504" s="98"/>
      <c r="C1504" s="98"/>
      <c r="D1504" s="98"/>
      <c r="E1504" s="98"/>
    </row>
    <row r="1505">
      <c r="A1505" s="98"/>
      <c r="B1505" s="98"/>
      <c r="C1505" s="98"/>
      <c r="D1505" s="98"/>
      <c r="E1505" s="98"/>
    </row>
    <row r="1506">
      <c r="A1506" s="98"/>
      <c r="B1506" s="98"/>
      <c r="C1506" s="98"/>
      <c r="D1506" s="98"/>
      <c r="E1506" s="98"/>
    </row>
    <row r="1507">
      <c r="A1507" s="98"/>
      <c r="B1507" s="98"/>
      <c r="C1507" s="98"/>
      <c r="D1507" s="98"/>
      <c r="E1507" s="98"/>
    </row>
    <row r="1508">
      <c r="A1508" s="98"/>
      <c r="B1508" s="98"/>
      <c r="C1508" s="98"/>
      <c r="D1508" s="98"/>
      <c r="E1508" s="98"/>
    </row>
    <row r="1509">
      <c r="A1509" s="98"/>
      <c r="B1509" s="98"/>
      <c r="C1509" s="98"/>
      <c r="D1509" s="98"/>
      <c r="E1509" s="98"/>
    </row>
    <row r="1510">
      <c r="A1510" s="98"/>
      <c r="B1510" s="98"/>
      <c r="C1510" s="98"/>
      <c r="D1510" s="98"/>
      <c r="E1510" s="98"/>
    </row>
    <row r="1511">
      <c r="A1511" s="98"/>
      <c r="B1511" s="98"/>
      <c r="C1511" s="98"/>
      <c r="D1511" s="98"/>
      <c r="E1511" s="98"/>
    </row>
    <row r="1512">
      <c r="A1512" s="98"/>
      <c r="B1512" s="98"/>
      <c r="C1512" s="98"/>
      <c r="D1512" s="98"/>
      <c r="E1512" s="98"/>
    </row>
    <row r="1513">
      <c r="A1513" s="98"/>
      <c r="B1513" s="98"/>
      <c r="C1513" s="98"/>
      <c r="D1513" s="98"/>
      <c r="E1513" s="98"/>
    </row>
    <row r="1514">
      <c r="A1514" s="98"/>
      <c r="B1514" s="98"/>
      <c r="C1514" s="98"/>
      <c r="D1514" s="98"/>
      <c r="E1514" s="98"/>
    </row>
    <row r="1515">
      <c r="A1515" s="98"/>
      <c r="B1515" s="98"/>
      <c r="C1515" s="98"/>
      <c r="D1515" s="98"/>
      <c r="E1515" s="98"/>
    </row>
    <row r="1516">
      <c r="A1516" s="98"/>
      <c r="B1516" s="98"/>
      <c r="C1516" s="98"/>
      <c r="D1516" s="98"/>
      <c r="E1516" s="98"/>
    </row>
    <row r="1517">
      <c r="A1517" s="98"/>
      <c r="B1517" s="98"/>
      <c r="C1517" s="98"/>
      <c r="D1517" s="98"/>
      <c r="E1517" s="98"/>
    </row>
    <row r="1518">
      <c r="A1518" s="98"/>
      <c r="B1518" s="98"/>
      <c r="C1518" s="98"/>
      <c r="D1518" s="98"/>
      <c r="E1518" s="98"/>
    </row>
    <row r="1519">
      <c r="A1519" s="98"/>
      <c r="B1519" s="98"/>
      <c r="C1519" s="98"/>
      <c r="D1519" s="98"/>
      <c r="E1519" s="98"/>
    </row>
    <row r="1520">
      <c r="A1520" s="98"/>
      <c r="B1520" s="98"/>
      <c r="C1520" s="98"/>
      <c r="D1520" s="98"/>
      <c r="E1520" s="98"/>
    </row>
    <row r="1521">
      <c r="A1521" s="98"/>
      <c r="B1521" s="98"/>
      <c r="C1521" s="98"/>
      <c r="D1521" s="98"/>
      <c r="E1521" s="98"/>
    </row>
    <row r="1522">
      <c r="A1522" s="98"/>
      <c r="B1522" s="98"/>
      <c r="C1522" s="98"/>
      <c r="D1522" s="98"/>
      <c r="E1522" s="98"/>
    </row>
    <row r="1523">
      <c r="A1523" s="98"/>
      <c r="B1523" s="98"/>
      <c r="C1523" s="98"/>
      <c r="D1523" s="98"/>
      <c r="E1523" s="98"/>
    </row>
    <row r="1524">
      <c r="A1524" s="98"/>
      <c r="B1524" s="98"/>
      <c r="C1524" s="98"/>
      <c r="D1524" s="98"/>
      <c r="E1524" s="98"/>
    </row>
    <row r="1525">
      <c r="A1525" s="98"/>
      <c r="B1525" s="98"/>
      <c r="C1525" s="98"/>
      <c r="D1525" s="98"/>
      <c r="E1525" s="98"/>
    </row>
    <row r="1526">
      <c r="A1526" s="98"/>
      <c r="B1526" s="98"/>
      <c r="C1526" s="98"/>
      <c r="D1526" s="98"/>
      <c r="E1526" s="98"/>
    </row>
    <row r="1527">
      <c r="A1527" s="98"/>
      <c r="B1527" s="98"/>
      <c r="C1527" s="98"/>
      <c r="D1527" s="98"/>
      <c r="E1527" s="98"/>
    </row>
    <row r="1528">
      <c r="A1528" s="98"/>
      <c r="B1528" s="98"/>
      <c r="C1528" s="98"/>
      <c r="D1528" s="98"/>
      <c r="E1528" s="98"/>
    </row>
    <row r="1529">
      <c r="A1529" s="98"/>
      <c r="B1529" s="98"/>
      <c r="C1529" s="98"/>
      <c r="D1529" s="98"/>
      <c r="E1529" s="98"/>
    </row>
    <row r="1530">
      <c r="A1530" s="98"/>
      <c r="B1530" s="98"/>
      <c r="C1530" s="98"/>
      <c r="D1530" s="98"/>
      <c r="E1530" s="98"/>
    </row>
    <row r="1531">
      <c r="A1531" s="98"/>
      <c r="B1531" s="98"/>
      <c r="C1531" s="98"/>
      <c r="D1531" s="98"/>
      <c r="E1531" s="98"/>
    </row>
    <row r="1532">
      <c r="A1532" s="98"/>
      <c r="B1532" s="98"/>
      <c r="C1532" s="98"/>
      <c r="D1532" s="98"/>
      <c r="E1532" s="98"/>
    </row>
    <row r="1533">
      <c r="A1533" s="98"/>
      <c r="B1533" s="98"/>
      <c r="C1533" s="98"/>
      <c r="D1533" s="98"/>
      <c r="E1533" s="98"/>
    </row>
    <row r="1534">
      <c r="A1534" s="98"/>
      <c r="B1534" s="98"/>
      <c r="C1534" s="98"/>
      <c r="D1534" s="98"/>
      <c r="E1534" s="98"/>
    </row>
    <row r="1535">
      <c r="A1535" s="98"/>
      <c r="B1535" s="98"/>
      <c r="C1535" s="98"/>
      <c r="D1535" s="98"/>
      <c r="E1535" s="98"/>
    </row>
    <row r="1536">
      <c r="A1536" s="98"/>
      <c r="B1536" s="98"/>
      <c r="C1536" s="98"/>
      <c r="D1536" s="98"/>
      <c r="E1536" s="98"/>
    </row>
    <row r="1537">
      <c r="A1537" s="98"/>
      <c r="B1537" s="98"/>
      <c r="C1537" s="98"/>
      <c r="D1537" s="98"/>
      <c r="E1537" s="98"/>
    </row>
    <row r="1538">
      <c r="A1538" s="98"/>
      <c r="B1538" s="98"/>
      <c r="C1538" s="98"/>
      <c r="D1538" s="98"/>
      <c r="E1538" s="98"/>
    </row>
    <row r="1539">
      <c r="A1539" s="98"/>
      <c r="B1539" s="98"/>
      <c r="C1539" s="98"/>
      <c r="D1539" s="98"/>
      <c r="E1539" s="98"/>
    </row>
    <row r="1540">
      <c r="A1540" s="98"/>
      <c r="B1540" s="98"/>
      <c r="C1540" s="98"/>
      <c r="D1540" s="98"/>
      <c r="E1540" s="98"/>
    </row>
    <row r="1541">
      <c r="A1541" s="98"/>
      <c r="B1541" s="98"/>
      <c r="C1541" s="98"/>
      <c r="D1541" s="98"/>
      <c r="E1541" s="98"/>
    </row>
    <row r="1542">
      <c r="A1542" s="98"/>
      <c r="B1542" s="98"/>
      <c r="C1542" s="98"/>
      <c r="D1542" s="98"/>
      <c r="E1542" s="98"/>
    </row>
    <row r="1543">
      <c r="A1543" s="98"/>
      <c r="B1543" s="98"/>
      <c r="C1543" s="98"/>
      <c r="D1543" s="98"/>
      <c r="E1543" s="98"/>
    </row>
    <row r="1544">
      <c r="A1544" s="98"/>
      <c r="B1544" s="98"/>
      <c r="C1544" s="98"/>
      <c r="D1544" s="98"/>
      <c r="E1544" s="98"/>
    </row>
    <row r="1545">
      <c r="A1545" s="98"/>
      <c r="B1545" s="98"/>
      <c r="C1545" s="98"/>
      <c r="D1545" s="98"/>
      <c r="E1545" s="98"/>
    </row>
    <row r="1546">
      <c r="A1546" s="98"/>
      <c r="B1546" s="98"/>
      <c r="C1546" s="98"/>
      <c r="D1546" s="98"/>
      <c r="E1546" s="98"/>
    </row>
    <row r="1547">
      <c r="A1547" s="98"/>
      <c r="B1547" s="98"/>
      <c r="C1547" s="98"/>
      <c r="D1547" s="98"/>
      <c r="E1547" s="98"/>
    </row>
    <row r="1548">
      <c r="A1548" s="98"/>
      <c r="B1548" s="98"/>
      <c r="C1548" s="98"/>
      <c r="D1548" s="98"/>
      <c r="E1548" s="98"/>
    </row>
    <row r="1549">
      <c r="A1549" s="98"/>
      <c r="B1549" s="98"/>
      <c r="C1549" s="98"/>
      <c r="D1549" s="98"/>
      <c r="E1549" s="98"/>
    </row>
    <row r="1550">
      <c r="A1550" s="98"/>
      <c r="B1550" s="98"/>
      <c r="C1550" s="98"/>
      <c r="D1550" s="98"/>
      <c r="E1550" s="98"/>
    </row>
    <row r="1551">
      <c r="A1551" s="98"/>
      <c r="B1551" s="98"/>
      <c r="C1551" s="98"/>
      <c r="D1551" s="98"/>
      <c r="E1551" s="98"/>
    </row>
    <row r="1552">
      <c r="A1552" s="98"/>
      <c r="B1552" s="98"/>
      <c r="C1552" s="98"/>
      <c r="D1552" s="98"/>
      <c r="E1552" s="98"/>
    </row>
    <row r="1553">
      <c r="A1553" s="98"/>
      <c r="B1553" s="98"/>
      <c r="C1553" s="98"/>
      <c r="D1553" s="98"/>
      <c r="E1553" s="98"/>
    </row>
    <row r="1554">
      <c r="A1554" s="98"/>
      <c r="B1554" s="98"/>
      <c r="C1554" s="98"/>
      <c r="D1554" s="98"/>
      <c r="E1554" s="98"/>
    </row>
    <row r="1555">
      <c r="A1555" s="98"/>
      <c r="B1555" s="98"/>
      <c r="C1555" s="98"/>
      <c r="D1555" s="98"/>
      <c r="E1555" s="98"/>
    </row>
    <row r="1556">
      <c r="A1556" s="98"/>
      <c r="B1556" s="98"/>
      <c r="C1556" s="98"/>
      <c r="D1556" s="98"/>
      <c r="E1556" s="98"/>
    </row>
    <row r="1557">
      <c r="A1557" s="98"/>
      <c r="B1557" s="98"/>
      <c r="C1557" s="98"/>
      <c r="D1557" s="98"/>
      <c r="E1557" s="98"/>
    </row>
    <row r="1558">
      <c r="A1558" s="98"/>
      <c r="B1558" s="98"/>
      <c r="C1558" s="98"/>
      <c r="D1558" s="98"/>
      <c r="E1558" s="98"/>
    </row>
    <row r="1559">
      <c r="A1559" s="98"/>
      <c r="B1559" s="98"/>
      <c r="C1559" s="98"/>
      <c r="D1559" s="98"/>
      <c r="E1559" s="98"/>
    </row>
    <row r="1560">
      <c r="A1560" s="98"/>
      <c r="B1560" s="98"/>
      <c r="C1560" s="98"/>
      <c r="D1560" s="98"/>
      <c r="E1560" s="98"/>
    </row>
    <row r="1561">
      <c r="A1561" s="98"/>
      <c r="B1561" s="98"/>
      <c r="C1561" s="98"/>
      <c r="D1561" s="98"/>
      <c r="E1561" s="98"/>
    </row>
    <row r="1562">
      <c r="A1562" s="98"/>
      <c r="B1562" s="98"/>
      <c r="C1562" s="98"/>
      <c r="D1562" s="98"/>
      <c r="E1562" s="98"/>
    </row>
    <row r="1563">
      <c r="A1563" s="98"/>
      <c r="B1563" s="98"/>
      <c r="C1563" s="98"/>
      <c r="D1563" s="98"/>
      <c r="E1563" s="98"/>
    </row>
    <row r="1564">
      <c r="A1564" s="98"/>
      <c r="B1564" s="98"/>
      <c r="C1564" s="98"/>
      <c r="D1564" s="98"/>
      <c r="E1564" s="98"/>
    </row>
    <row r="1565">
      <c r="A1565" s="98"/>
      <c r="B1565" s="98"/>
      <c r="C1565" s="98"/>
      <c r="D1565" s="98"/>
      <c r="E1565" s="98"/>
    </row>
    <row r="1566">
      <c r="A1566" s="98"/>
      <c r="B1566" s="98"/>
      <c r="C1566" s="98"/>
      <c r="D1566" s="98"/>
      <c r="E1566" s="98"/>
    </row>
    <row r="1567">
      <c r="A1567" s="98"/>
      <c r="B1567" s="98"/>
      <c r="C1567" s="98"/>
      <c r="D1567" s="98"/>
      <c r="E1567" s="98"/>
    </row>
    <row r="1568">
      <c r="A1568" s="98"/>
      <c r="B1568" s="98"/>
      <c r="C1568" s="98"/>
      <c r="D1568" s="98"/>
      <c r="E1568" s="98"/>
    </row>
    <row r="1569">
      <c r="A1569" s="98"/>
      <c r="B1569" s="98"/>
      <c r="C1569" s="98"/>
      <c r="D1569" s="98"/>
      <c r="E1569" s="98"/>
    </row>
    <row r="1570">
      <c r="A1570" s="98"/>
      <c r="B1570" s="98"/>
      <c r="C1570" s="98"/>
      <c r="D1570" s="98"/>
      <c r="E1570" s="98"/>
    </row>
    <row r="1571">
      <c r="A1571" s="98"/>
      <c r="B1571" s="98"/>
      <c r="C1571" s="98"/>
      <c r="D1571" s="98"/>
      <c r="E1571" s="98"/>
    </row>
    <row r="1572">
      <c r="A1572" s="98"/>
      <c r="B1572" s="98"/>
      <c r="C1572" s="98"/>
      <c r="D1572" s="98"/>
      <c r="E1572" s="98"/>
    </row>
    <row r="1573">
      <c r="A1573" s="98"/>
      <c r="B1573" s="98"/>
      <c r="C1573" s="98"/>
      <c r="D1573" s="98"/>
      <c r="E1573" s="98"/>
    </row>
    <row r="1574">
      <c r="A1574" s="98"/>
      <c r="B1574" s="98"/>
      <c r="C1574" s="98"/>
      <c r="D1574" s="98"/>
      <c r="E1574" s="98"/>
    </row>
    <row r="1575">
      <c r="A1575" s="98"/>
      <c r="B1575" s="98"/>
      <c r="C1575" s="98"/>
      <c r="D1575" s="98"/>
      <c r="E1575" s="98"/>
    </row>
    <row r="1576">
      <c r="A1576" s="98"/>
      <c r="B1576" s="98"/>
      <c r="C1576" s="98"/>
      <c r="D1576" s="98"/>
      <c r="E1576" s="98"/>
    </row>
    <row r="1577">
      <c r="A1577" s="98"/>
      <c r="B1577" s="98"/>
      <c r="C1577" s="98"/>
      <c r="D1577" s="98"/>
      <c r="E1577" s="98"/>
    </row>
    <row r="1578">
      <c r="A1578" s="98"/>
      <c r="B1578" s="98"/>
      <c r="C1578" s="98"/>
      <c r="D1578" s="98"/>
      <c r="E1578" s="98"/>
    </row>
    <row r="1579">
      <c r="A1579" s="98"/>
      <c r="B1579" s="98"/>
      <c r="C1579" s="98"/>
      <c r="D1579" s="98"/>
      <c r="E1579" s="98"/>
    </row>
    <row r="1580">
      <c r="A1580" s="98"/>
      <c r="B1580" s="98"/>
      <c r="C1580" s="98"/>
      <c r="D1580" s="98"/>
      <c r="E1580" s="98"/>
    </row>
    <row r="1581">
      <c r="A1581" s="98"/>
      <c r="B1581" s="98"/>
      <c r="C1581" s="98"/>
      <c r="D1581" s="98"/>
      <c r="E1581" s="98"/>
    </row>
    <row r="1582">
      <c r="A1582" s="98"/>
      <c r="B1582" s="98"/>
      <c r="C1582" s="98"/>
      <c r="D1582" s="98"/>
      <c r="E1582" s="98"/>
    </row>
    <row r="1583">
      <c r="A1583" s="98"/>
      <c r="B1583" s="98"/>
      <c r="C1583" s="98"/>
      <c r="D1583" s="98"/>
      <c r="E1583" s="98"/>
    </row>
    <row r="1584">
      <c r="A1584" s="98"/>
      <c r="B1584" s="98"/>
      <c r="C1584" s="98"/>
      <c r="D1584" s="98"/>
      <c r="E1584" s="98"/>
    </row>
    <row r="1585">
      <c r="A1585" s="98"/>
      <c r="B1585" s="98"/>
      <c r="C1585" s="98"/>
      <c r="D1585" s="98"/>
      <c r="E1585" s="98"/>
    </row>
    <row r="1586">
      <c r="A1586" s="98"/>
      <c r="B1586" s="98"/>
      <c r="C1586" s="98"/>
      <c r="D1586" s="98"/>
      <c r="E1586" s="98"/>
    </row>
    <row r="1587">
      <c r="A1587" s="98"/>
      <c r="B1587" s="98"/>
      <c r="C1587" s="98"/>
      <c r="D1587" s="98"/>
      <c r="E1587" s="98"/>
    </row>
    <row r="1588">
      <c r="A1588" s="98"/>
      <c r="B1588" s="98"/>
      <c r="C1588" s="98"/>
      <c r="D1588" s="98"/>
      <c r="E1588" s="98"/>
    </row>
    <row r="1589">
      <c r="A1589" s="98"/>
      <c r="B1589" s="98"/>
      <c r="C1589" s="98"/>
      <c r="D1589" s="98"/>
      <c r="E1589" s="98"/>
    </row>
    <row r="1590">
      <c r="A1590" s="98"/>
      <c r="B1590" s="98"/>
      <c r="C1590" s="98"/>
      <c r="D1590" s="98"/>
      <c r="E1590" s="98"/>
    </row>
    <row r="1591">
      <c r="A1591" s="98"/>
      <c r="B1591" s="98"/>
      <c r="C1591" s="98"/>
      <c r="D1591" s="98"/>
      <c r="E1591" s="98"/>
    </row>
    <row r="1592">
      <c r="A1592" s="98"/>
      <c r="B1592" s="98"/>
      <c r="C1592" s="98"/>
      <c r="D1592" s="98"/>
      <c r="E1592" s="98"/>
    </row>
    <row r="1593">
      <c r="A1593" s="98"/>
      <c r="B1593" s="98"/>
      <c r="C1593" s="98"/>
      <c r="D1593" s="98"/>
      <c r="E1593" s="98"/>
    </row>
    <row r="1594">
      <c r="A1594" s="98"/>
      <c r="B1594" s="98"/>
      <c r="C1594" s="98"/>
      <c r="D1594" s="98"/>
      <c r="E1594" s="98"/>
    </row>
    <row r="1595">
      <c r="A1595" s="98"/>
      <c r="B1595" s="98"/>
      <c r="C1595" s="98"/>
      <c r="D1595" s="98"/>
      <c r="E1595" s="98"/>
    </row>
    <row r="1596">
      <c r="A1596" s="98"/>
      <c r="B1596" s="98"/>
      <c r="C1596" s="98"/>
      <c r="D1596" s="98"/>
      <c r="E1596" s="98"/>
    </row>
    <row r="1597">
      <c r="A1597" s="98"/>
      <c r="B1597" s="98"/>
      <c r="C1597" s="98"/>
      <c r="D1597" s="98"/>
      <c r="E1597" s="98"/>
    </row>
    <row r="1598">
      <c r="A1598" s="98"/>
      <c r="B1598" s="98"/>
      <c r="C1598" s="98"/>
      <c r="D1598" s="98"/>
      <c r="E1598" s="98"/>
    </row>
    <row r="1599">
      <c r="A1599" s="98"/>
      <c r="B1599" s="98"/>
      <c r="C1599" s="98"/>
      <c r="D1599" s="98"/>
      <c r="E1599" s="98"/>
    </row>
    <row r="1600">
      <c r="A1600" s="98"/>
      <c r="B1600" s="98"/>
      <c r="C1600" s="98"/>
      <c r="D1600" s="98"/>
      <c r="E1600" s="98"/>
    </row>
    <row r="1601">
      <c r="A1601" s="98"/>
      <c r="B1601" s="98"/>
      <c r="C1601" s="98"/>
      <c r="D1601" s="98"/>
      <c r="E1601" s="98"/>
    </row>
    <row r="1602">
      <c r="A1602" s="98"/>
      <c r="B1602" s="98"/>
      <c r="C1602" s="98"/>
      <c r="D1602" s="98"/>
      <c r="E1602" s="98"/>
    </row>
    <row r="1603">
      <c r="A1603" s="98"/>
      <c r="B1603" s="98"/>
      <c r="C1603" s="98"/>
      <c r="D1603" s="98"/>
      <c r="E1603" s="98"/>
    </row>
    <row r="1604">
      <c r="A1604" s="98"/>
      <c r="B1604" s="98"/>
      <c r="C1604" s="98"/>
      <c r="D1604" s="98"/>
      <c r="E1604" s="98"/>
    </row>
    <row r="1605">
      <c r="A1605" s="98"/>
      <c r="B1605" s="98"/>
      <c r="C1605" s="98"/>
      <c r="D1605" s="98"/>
      <c r="E1605" s="98"/>
    </row>
    <row r="1606">
      <c r="A1606" s="98"/>
      <c r="B1606" s="98"/>
      <c r="C1606" s="98"/>
      <c r="D1606" s="98"/>
      <c r="E1606" s="98"/>
    </row>
    <row r="1607">
      <c r="A1607" s="98"/>
      <c r="B1607" s="98"/>
      <c r="C1607" s="98"/>
      <c r="D1607" s="98"/>
      <c r="E1607" s="98"/>
    </row>
    <row r="1608">
      <c r="A1608" s="98"/>
      <c r="B1608" s="98"/>
      <c r="C1608" s="98"/>
      <c r="D1608" s="98"/>
      <c r="E1608" s="98"/>
    </row>
    <row r="1609">
      <c r="A1609" s="98"/>
      <c r="B1609" s="98"/>
      <c r="C1609" s="98"/>
      <c r="D1609" s="98"/>
      <c r="E1609" s="98"/>
    </row>
    <row r="1610">
      <c r="A1610" s="98"/>
      <c r="B1610" s="98"/>
      <c r="C1610" s="98"/>
      <c r="D1610" s="98"/>
      <c r="E1610" s="98"/>
    </row>
    <row r="1611">
      <c r="A1611" s="98"/>
      <c r="B1611" s="98"/>
      <c r="C1611" s="98"/>
      <c r="D1611" s="98"/>
      <c r="E1611" s="98"/>
    </row>
    <row r="1612">
      <c r="A1612" s="98"/>
      <c r="B1612" s="98"/>
      <c r="C1612" s="98"/>
      <c r="D1612" s="98"/>
      <c r="E1612" s="98"/>
    </row>
    <row r="1613">
      <c r="A1613" s="98"/>
      <c r="B1613" s="98"/>
      <c r="C1613" s="98"/>
      <c r="D1613" s="98"/>
      <c r="E1613" s="98"/>
    </row>
    <row r="1614">
      <c r="A1614" s="98"/>
      <c r="B1614" s="98"/>
      <c r="C1614" s="98"/>
      <c r="D1614" s="98"/>
      <c r="E1614" s="98"/>
    </row>
    <row r="1615">
      <c r="A1615" s="98"/>
      <c r="B1615" s="98"/>
      <c r="C1615" s="98"/>
      <c r="D1615" s="98"/>
      <c r="E1615" s="98"/>
    </row>
    <row r="1616">
      <c r="A1616" s="98"/>
      <c r="B1616" s="98"/>
      <c r="C1616" s="98"/>
      <c r="D1616" s="98"/>
      <c r="E1616" s="98"/>
    </row>
    <row r="1617">
      <c r="A1617" s="98"/>
      <c r="B1617" s="98"/>
      <c r="C1617" s="98"/>
      <c r="D1617" s="98"/>
      <c r="E1617" s="98"/>
    </row>
    <row r="1618">
      <c r="A1618" s="98"/>
      <c r="B1618" s="98"/>
      <c r="C1618" s="98"/>
      <c r="D1618" s="98"/>
      <c r="E1618" s="98"/>
    </row>
    <row r="1619">
      <c r="A1619" s="98"/>
      <c r="B1619" s="98"/>
      <c r="C1619" s="98"/>
      <c r="D1619" s="98"/>
      <c r="E1619" s="98"/>
    </row>
    <row r="1620">
      <c r="A1620" s="98"/>
      <c r="B1620" s="98"/>
      <c r="C1620" s="98"/>
      <c r="D1620" s="98"/>
      <c r="E1620" s="98"/>
    </row>
    <row r="1621">
      <c r="A1621" s="98"/>
      <c r="B1621" s="98"/>
      <c r="C1621" s="98"/>
      <c r="D1621" s="98"/>
      <c r="E1621" s="98"/>
    </row>
    <row r="1622">
      <c r="A1622" s="98"/>
      <c r="B1622" s="98"/>
      <c r="C1622" s="98"/>
      <c r="D1622" s="98"/>
      <c r="E1622" s="98"/>
    </row>
    <row r="1623">
      <c r="A1623" s="98"/>
      <c r="B1623" s="98"/>
      <c r="C1623" s="98"/>
      <c r="D1623" s="98"/>
      <c r="E1623" s="98"/>
    </row>
    <row r="1624">
      <c r="A1624" s="98"/>
      <c r="B1624" s="98"/>
      <c r="C1624" s="98"/>
      <c r="D1624" s="98"/>
      <c r="E1624" s="98"/>
    </row>
    <row r="1625">
      <c r="A1625" s="98"/>
      <c r="B1625" s="98"/>
      <c r="C1625" s="98"/>
      <c r="D1625" s="98"/>
      <c r="E1625" s="98"/>
    </row>
    <row r="1626">
      <c r="A1626" s="98"/>
      <c r="B1626" s="98"/>
      <c r="C1626" s="98"/>
      <c r="D1626" s="98"/>
      <c r="E1626" s="98"/>
    </row>
    <row r="1627">
      <c r="A1627" s="98"/>
      <c r="B1627" s="98"/>
      <c r="C1627" s="98"/>
      <c r="D1627" s="98"/>
      <c r="E1627" s="98"/>
    </row>
    <row r="1628">
      <c r="A1628" s="98"/>
      <c r="B1628" s="98"/>
      <c r="C1628" s="98"/>
      <c r="D1628" s="98"/>
      <c r="E1628" s="98"/>
    </row>
    <row r="1629">
      <c r="A1629" s="98"/>
      <c r="B1629" s="98"/>
      <c r="C1629" s="98"/>
      <c r="D1629" s="98"/>
      <c r="E1629" s="98"/>
    </row>
    <row r="1630">
      <c r="A1630" s="98"/>
      <c r="B1630" s="98"/>
      <c r="C1630" s="98"/>
      <c r="D1630" s="98"/>
      <c r="E1630" s="98"/>
    </row>
    <row r="1631">
      <c r="A1631" s="98"/>
      <c r="B1631" s="98"/>
      <c r="C1631" s="98"/>
      <c r="D1631" s="98"/>
      <c r="E1631" s="98"/>
    </row>
    <row r="1632">
      <c r="A1632" s="98"/>
      <c r="B1632" s="98"/>
      <c r="C1632" s="98"/>
      <c r="D1632" s="98"/>
      <c r="E1632" s="98"/>
    </row>
    <row r="1633">
      <c r="A1633" s="98"/>
      <c r="B1633" s="98"/>
      <c r="C1633" s="98"/>
      <c r="D1633" s="98"/>
      <c r="E1633" s="98"/>
    </row>
    <row r="1634">
      <c r="A1634" s="98"/>
      <c r="B1634" s="98"/>
      <c r="C1634" s="98"/>
      <c r="D1634" s="98"/>
      <c r="E1634" s="98"/>
    </row>
    <row r="1635">
      <c r="A1635" s="98"/>
      <c r="B1635" s="98"/>
      <c r="C1635" s="98"/>
      <c r="D1635" s="98"/>
      <c r="E1635" s="98"/>
    </row>
    <row r="1636">
      <c r="A1636" s="98"/>
      <c r="B1636" s="98"/>
      <c r="C1636" s="98"/>
      <c r="D1636" s="98"/>
      <c r="E1636" s="98"/>
    </row>
    <row r="1637">
      <c r="A1637" s="98"/>
      <c r="B1637" s="98"/>
      <c r="C1637" s="98"/>
      <c r="D1637" s="98"/>
      <c r="E1637" s="98"/>
    </row>
    <row r="1638">
      <c r="A1638" s="98"/>
      <c r="B1638" s="98"/>
      <c r="C1638" s="98"/>
      <c r="D1638" s="98"/>
      <c r="E1638" s="98"/>
    </row>
    <row r="1639">
      <c r="A1639" s="98"/>
      <c r="B1639" s="98"/>
      <c r="C1639" s="98"/>
      <c r="D1639" s="98"/>
      <c r="E1639" s="98"/>
    </row>
    <row r="1640">
      <c r="A1640" s="98"/>
      <c r="B1640" s="98"/>
      <c r="C1640" s="98"/>
      <c r="D1640" s="98"/>
      <c r="E1640" s="98"/>
    </row>
    <row r="1641">
      <c r="A1641" s="98"/>
      <c r="B1641" s="98"/>
      <c r="C1641" s="98"/>
      <c r="D1641" s="98"/>
      <c r="E1641" s="98"/>
    </row>
    <row r="1642">
      <c r="A1642" s="98"/>
      <c r="B1642" s="98"/>
      <c r="C1642" s="98"/>
      <c r="D1642" s="98"/>
      <c r="E1642" s="98"/>
    </row>
    <row r="1643">
      <c r="A1643" s="98"/>
      <c r="B1643" s="98"/>
      <c r="C1643" s="98"/>
      <c r="D1643" s="98"/>
      <c r="E1643" s="98"/>
    </row>
    <row r="1644">
      <c r="A1644" s="98"/>
      <c r="B1644" s="98"/>
      <c r="C1644" s="98"/>
      <c r="D1644" s="98"/>
      <c r="E1644" s="98"/>
    </row>
    <row r="1645">
      <c r="A1645" s="98"/>
      <c r="B1645" s="98"/>
      <c r="C1645" s="98"/>
      <c r="D1645" s="98"/>
      <c r="E1645" s="98"/>
    </row>
    <row r="1646">
      <c r="A1646" s="98"/>
      <c r="B1646" s="98"/>
      <c r="C1646" s="98"/>
      <c r="D1646" s="98"/>
      <c r="E1646" s="98"/>
    </row>
    <row r="1647">
      <c r="A1647" s="98"/>
      <c r="B1647" s="98"/>
      <c r="C1647" s="98"/>
      <c r="D1647" s="98"/>
      <c r="E1647" s="98"/>
    </row>
    <row r="1648">
      <c r="A1648" s="98"/>
      <c r="B1648" s="98"/>
      <c r="C1648" s="98"/>
      <c r="D1648" s="98"/>
      <c r="E1648" s="98"/>
    </row>
    <row r="1649">
      <c r="A1649" s="98"/>
      <c r="B1649" s="98"/>
      <c r="C1649" s="98"/>
      <c r="D1649" s="98"/>
      <c r="E1649" s="98"/>
    </row>
    <row r="1650">
      <c r="A1650" s="98"/>
      <c r="B1650" s="98"/>
      <c r="C1650" s="98"/>
      <c r="D1650" s="98"/>
      <c r="E1650" s="98"/>
    </row>
    <row r="1651">
      <c r="A1651" s="98"/>
      <c r="B1651" s="98"/>
      <c r="C1651" s="98"/>
      <c r="D1651" s="98"/>
      <c r="E1651" s="98"/>
    </row>
    <row r="1652">
      <c r="A1652" s="98"/>
      <c r="B1652" s="98"/>
      <c r="C1652" s="98"/>
      <c r="D1652" s="98"/>
      <c r="E1652" s="98"/>
    </row>
    <row r="1653">
      <c r="A1653" s="98"/>
      <c r="B1653" s="98"/>
      <c r="C1653" s="98"/>
      <c r="D1653" s="98"/>
      <c r="E1653" s="98"/>
    </row>
    <row r="1654">
      <c r="A1654" s="98"/>
      <c r="B1654" s="98"/>
      <c r="C1654" s="98"/>
      <c r="D1654" s="98"/>
      <c r="E1654" s="98"/>
    </row>
    <row r="1655">
      <c r="A1655" s="98"/>
      <c r="B1655" s="98"/>
      <c r="C1655" s="98"/>
      <c r="D1655" s="98"/>
      <c r="E1655" s="98"/>
    </row>
    <row r="1656">
      <c r="A1656" s="98"/>
      <c r="B1656" s="98"/>
      <c r="C1656" s="98"/>
      <c r="D1656" s="98"/>
      <c r="E1656" s="98"/>
    </row>
    <row r="1657">
      <c r="A1657" s="98"/>
      <c r="B1657" s="98"/>
      <c r="C1657" s="98"/>
      <c r="D1657" s="98"/>
      <c r="E1657" s="98"/>
    </row>
    <row r="1658">
      <c r="A1658" s="98"/>
      <c r="B1658" s="98"/>
      <c r="C1658" s="98"/>
      <c r="D1658" s="98"/>
      <c r="E1658" s="98"/>
    </row>
    <row r="1659">
      <c r="A1659" s="98"/>
      <c r="B1659" s="98"/>
      <c r="C1659" s="98"/>
      <c r="D1659" s="98"/>
      <c r="E1659" s="98"/>
    </row>
    <row r="1660">
      <c r="A1660" s="98"/>
      <c r="B1660" s="98"/>
      <c r="C1660" s="98"/>
      <c r="D1660" s="98"/>
      <c r="E1660" s="98"/>
    </row>
    <row r="1661">
      <c r="A1661" s="98"/>
      <c r="B1661" s="98"/>
      <c r="C1661" s="98"/>
      <c r="D1661" s="98"/>
      <c r="E1661" s="98"/>
    </row>
    <row r="1662">
      <c r="A1662" s="98"/>
      <c r="B1662" s="98"/>
      <c r="C1662" s="98"/>
      <c r="D1662" s="98"/>
      <c r="E1662" s="98"/>
    </row>
    <row r="1663">
      <c r="A1663" s="98"/>
      <c r="B1663" s="98"/>
      <c r="C1663" s="98"/>
      <c r="D1663" s="98"/>
      <c r="E1663" s="98"/>
    </row>
    <row r="1664">
      <c r="A1664" s="98"/>
      <c r="B1664" s="98"/>
      <c r="C1664" s="98"/>
      <c r="D1664" s="98"/>
      <c r="E1664" s="98"/>
    </row>
    <row r="1665">
      <c r="A1665" s="98"/>
      <c r="B1665" s="98"/>
      <c r="C1665" s="98"/>
      <c r="D1665" s="98"/>
      <c r="E1665" s="98"/>
    </row>
    <row r="1666">
      <c r="A1666" s="98"/>
      <c r="B1666" s="98"/>
      <c r="C1666" s="98"/>
      <c r="D1666" s="98"/>
      <c r="E1666" s="98"/>
    </row>
    <row r="1667">
      <c r="A1667" s="98"/>
      <c r="B1667" s="98"/>
      <c r="C1667" s="98"/>
      <c r="D1667" s="98"/>
      <c r="E1667" s="98"/>
    </row>
    <row r="1668">
      <c r="A1668" s="98"/>
      <c r="B1668" s="98"/>
      <c r="C1668" s="98"/>
      <c r="D1668" s="98"/>
      <c r="E1668" s="98"/>
    </row>
    <row r="1669">
      <c r="A1669" s="98"/>
      <c r="B1669" s="98"/>
      <c r="C1669" s="98"/>
      <c r="D1669" s="98"/>
      <c r="E1669" s="98"/>
    </row>
    <row r="1670">
      <c r="A1670" s="98"/>
      <c r="B1670" s="98"/>
      <c r="C1670" s="98"/>
      <c r="D1670" s="98"/>
      <c r="E1670" s="98"/>
    </row>
    <row r="1671">
      <c r="A1671" s="98"/>
      <c r="B1671" s="98"/>
      <c r="C1671" s="98"/>
      <c r="D1671" s="98"/>
      <c r="E1671" s="98"/>
    </row>
    <row r="1672">
      <c r="A1672" s="98"/>
      <c r="B1672" s="98"/>
      <c r="C1672" s="98"/>
      <c r="D1672" s="98"/>
      <c r="E1672" s="98"/>
    </row>
    <row r="1673">
      <c r="A1673" s="98"/>
      <c r="B1673" s="98"/>
      <c r="C1673" s="98"/>
      <c r="D1673" s="98"/>
      <c r="E1673" s="98"/>
    </row>
    <row r="1674">
      <c r="A1674" s="98"/>
      <c r="B1674" s="98"/>
      <c r="C1674" s="98"/>
      <c r="D1674" s="98"/>
      <c r="E1674" s="98"/>
    </row>
    <row r="1675">
      <c r="A1675" s="98"/>
      <c r="B1675" s="98"/>
      <c r="C1675" s="98"/>
      <c r="D1675" s="98"/>
      <c r="E1675" s="98"/>
    </row>
    <row r="1676">
      <c r="A1676" s="98"/>
      <c r="B1676" s="98"/>
      <c r="C1676" s="98"/>
      <c r="D1676" s="98"/>
      <c r="E1676" s="98"/>
    </row>
    <row r="1677">
      <c r="A1677" s="98"/>
      <c r="B1677" s="98"/>
      <c r="C1677" s="98"/>
      <c r="D1677" s="98"/>
      <c r="E1677" s="98"/>
    </row>
    <row r="1678">
      <c r="A1678" s="98"/>
      <c r="B1678" s="98"/>
      <c r="C1678" s="98"/>
      <c r="D1678" s="98"/>
      <c r="E1678" s="98"/>
    </row>
    <row r="1679">
      <c r="A1679" s="98"/>
      <c r="B1679" s="98"/>
      <c r="C1679" s="98"/>
      <c r="D1679" s="98"/>
      <c r="E1679" s="98"/>
    </row>
    <row r="1680">
      <c r="A1680" s="98"/>
      <c r="B1680" s="98"/>
      <c r="C1680" s="98"/>
      <c r="D1680" s="98"/>
      <c r="E1680" s="98"/>
    </row>
    <row r="1681">
      <c r="A1681" s="98"/>
      <c r="B1681" s="98"/>
      <c r="C1681" s="98"/>
      <c r="D1681" s="98"/>
      <c r="E1681" s="98"/>
    </row>
    <row r="1682">
      <c r="A1682" s="98"/>
      <c r="B1682" s="98"/>
      <c r="C1682" s="98"/>
      <c r="D1682" s="98"/>
      <c r="E1682" s="98"/>
    </row>
    <row r="1683">
      <c r="A1683" s="98"/>
      <c r="B1683" s="98"/>
      <c r="C1683" s="98"/>
      <c r="D1683" s="98"/>
      <c r="E1683" s="98"/>
    </row>
    <row r="1684">
      <c r="A1684" s="98"/>
      <c r="B1684" s="98"/>
      <c r="C1684" s="98"/>
      <c r="D1684" s="98"/>
      <c r="E1684" s="98"/>
    </row>
    <row r="1685">
      <c r="A1685" s="98"/>
      <c r="B1685" s="98"/>
      <c r="C1685" s="98"/>
      <c r="D1685" s="98"/>
      <c r="E1685" s="98"/>
    </row>
    <row r="1686">
      <c r="A1686" s="98"/>
      <c r="B1686" s="98"/>
      <c r="C1686" s="98"/>
      <c r="D1686" s="98"/>
      <c r="E1686" s="98"/>
    </row>
    <row r="1687">
      <c r="A1687" s="98"/>
      <c r="B1687" s="98"/>
      <c r="C1687" s="98"/>
      <c r="D1687" s="98"/>
      <c r="E1687" s="98"/>
    </row>
    <row r="1688">
      <c r="A1688" s="98"/>
      <c r="B1688" s="98"/>
      <c r="C1688" s="98"/>
      <c r="D1688" s="98"/>
      <c r="E1688" s="98"/>
    </row>
    <row r="1689">
      <c r="A1689" s="98"/>
      <c r="B1689" s="98"/>
      <c r="C1689" s="98"/>
      <c r="D1689" s="98"/>
      <c r="E1689" s="98"/>
    </row>
    <row r="1690">
      <c r="A1690" s="98"/>
      <c r="B1690" s="98"/>
      <c r="C1690" s="98"/>
      <c r="D1690" s="98"/>
      <c r="E1690" s="98"/>
    </row>
    <row r="1691">
      <c r="A1691" s="98"/>
      <c r="B1691" s="98"/>
      <c r="C1691" s="98"/>
      <c r="D1691" s="98"/>
      <c r="E1691" s="98"/>
    </row>
    <row r="1692">
      <c r="A1692" s="98"/>
      <c r="B1692" s="98"/>
      <c r="C1692" s="98"/>
      <c r="D1692" s="98"/>
      <c r="E1692" s="98"/>
    </row>
    <row r="1693">
      <c r="A1693" s="98"/>
      <c r="B1693" s="98"/>
      <c r="C1693" s="98"/>
      <c r="D1693" s="98"/>
      <c r="E1693" s="98"/>
    </row>
    <row r="1694">
      <c r="A1694" s="98"/>
      <c r="B1694" s="98"/>
      <c r="C1694" s="98"/>
      <c r="D1694" s="98"/>
      <c r="E1694" s="98"/>
    </row>
    <row r="1695">
      <c r="A1695" s="98"/>
      <c r="B1695" s="98"/>
      <c r="C1695" s="98"/>
      <c r="D1695" s="98"/>
      <c r="E1695" s="98"/>
    </row>
    <row r="1696">
      <c r="A1696" s="98"/>
      <c r="B1696" s="98"/>
      <c r="C1696" s="98"/>
      <c r="D1696" s="98"/>
      <c r="E1696" s="98"/>
    </row>
    <row r="1697">
      <c r="A1697" s="98"/>
      <c r="B1697" s="98"/>
      <c r="C1697" s="98"/>
      <c r="D1697" s="98"/>
      <c r="E1697" s="98"/>
    </row>
    <row r="1698">
      <c r="A1698" s="98"/>
      <c r="B1698" s="98"/>
      <c r="C1698" s="98"/>
      <c r="D1698" s="98"/>
      <c r="E1698" s="98"/>
    </row>
    <row r="1699">
      <c r="A1699" s="98"/>
      <c r="B1699" s="98"/>
      <c r="C1699" s="98"/>
      <c r="D1699" s="98"/>
      <c r="E1699" s="98"/>
    </row>
    <row r="1700">
      <c r="A1700" s="98"/>
      <c r="B1700" s="98"/>
      <c r="C1700" s="98"/>
      <c r="D1700" s="98"/>
      <c r="E1700" s="98"/>
    </row>
    <row r="1701">
      <c r="A1701" s="98"/>
      <c r="B1701" s="98"/>
      <c r="C1701" s="98"/>
      <c r="D1701" s="98"/>
      <c r="E1701" s="98"/>
    </row>
    <row r="1702">
      <c r="A1702" s="98"/>
      <c r="B1702" s="98"/>
      <c r="C1702" s="98"/>
      <c r="D1702" s="98"/>
      <c r="E1702" s="98"/>
    </row>
    <row r="1703">
      <c r="A1703" s="98"/>
      <c r="B1703" s="98"/>
      <c r="C1703" s="98"/>
      <c r="D1703" s="98"/>
      <c r="E1703" s="98"/>
    </row>
    <row r="1704">
      <c r="A1704" s="98"/>
      <c r="B1704" s="98"/>
      <c r="C1704" s="98"/>
      <c r="D1704" s="98"/>
      <c r="E1704" s="98"/>
    </row>
    <row r="1705">
      <c r="A1705" s="98"/>
      <c r="B1705" s="98"/>
      <c r="C1705" s="98"/>
      <c r="D1705" s="98"/>
      <c r="E1705" s="98"/>
    </row>
    <row r="1706">
      <c r="A1706" s="98"/>
      <c r="B1706" s="98"/>
      <c r="C1706" s="98"/>
      <c r="D1706" s="98"/>
      <c r="E1706" s="98"/>
    </row>
    <row r="1707">
      <c r="A1707" s="98"/>
      <c r="B1707" s="98"/>
      <c r="C1707" s="98"/>
      <c r="D1707" s="98"/>
      <c r="E1707" s="98"/>
    </row>
    <row r="1708">
      <c r="A1708" s="98"/>
      <c r="B1708" s="98"/>
      <c r="C1708" s="98"/>
      <c r="D1708" s="98"/>
      <c r="E1708" s="98"/>
    </row>
    <row r="1709">
      <c r="A1709" s="98"/>
      <c r="B1709" s="98"/>
      <c r="C1709" s="98"/>
      <c r="D1709" s="98"/>
      <c r="E1709" s="98"/>
    </row>
    <row r="1710">
      <c r="A1710" s="98"/>
      <c r="B1710" s="98"/>
      <c r="C1710" s="98"/>
      <c r="D1710" s="98"/>
      <c r="E1710" s="98"/>
    </row>
    <row r="1711">
      <c r="A1711" s="98"/>
      <c r="B1711" s="98"/>
      <c r="C1711" s="98"/>
      <c r="D1711" s="98"/>
      <c r="E1711" s="98"/>
    </row>
    <row r="1712">
      <c r="A1712" s="98"/>
      <c r="B1712" s="98"/>
      <c r="C1712" s="98"/>
      <c r="D1712" s="98"/>
      <c r="E1712" s="98"/>
    </row>
    <row r="1713">
      <c r="A1713" s="98"/>
      <c r="B1713" s="98"/>
      <c r="C1713" s="98"/>
      <c r="D1713" s="98"/>
      <c r="E1713" s="98"/>
    </row>
    <row r="1714">
      <c r="A1714" s="98"/>
      <c r="B1714" s="98"/>
      <c r="C1714" s="98"/>
      <c r="D1714" s="98"/>
      <c r="E1714" s="98"/>
    </row>
    <row r="1715">
      <c r="A1715" s="98"/>
      <c r="B1715" s="98"/>
      <c r="C1715" s="98"/>
      <c r="D1715" s="98"/>
      <c r="E1715" s="98"/>
    </row>
    <row r="1716">
      <c r="A1716" s="98"/>
      <c r="B1716" s="98"/>
      <c r="C1716" s="98"/>
      <c r="D1716" s="98"/>
      <c r="E1716" s="98"/>
    </row>
    <row r="1717">
      <c r="A1717" s="98"/>
      <c r="B1717" s="98"/>
      <c r="C1717" s="98"/>
      <c r="D1717" s="98"/>
      <c r="E1717" s="98"/>
    </row>
    <row r="1718">
      <c r="A1718" s="98"/>
      <c r="B1718" s="98"/>
      <c r="C1718" s="98"/>
      <c r="D1718" s="98"/>
      <c r="E1718" s="98"/>
    </row>
    <row r="1719">
      <c r="A1719" s="98"/>
      <c r="B1719" s="98"/>
      <c r="C1719" s="98"/>
      <c r="D1719" s="98"/>
      <c r="E1719" s="98"/>
    </row>
    <row r="1720">
      <c r="A1720" s="98"/>
      <c r="B1720" s="98"/>
      <c r="C1720" s="98"/>
      <c r="D1720" s="98"/>
      <c r="E1720" s="98"/>
    </row>
    <row r="1721">
      <c r="A1721" s="98"/>
      <c r="B1721" s="98"/>
      <c r="C1721" s="98"/>
      <c r="D1721" s="98"/>
      <c r="E1721" s="98"/>
    </row>
    <row r="1722">
      <c r="A1722" s="98"/>
      <c r="B1722" s="98"/>
      <c r="C1722" s="98"/>
      <c r="D1722" s="98"/>
      <c r="E1722" s="98"/>
    </row>
    <row r="1723">
      <c r="A1723" s="98"/>
      <c r="B1723" s="98"/>
      <c r="C1723" s="98"/>
      <c r="D1723" s="98"/>
      <c r="E1723" s="98"/>
    </row>
    <row r="1724">
      <c r="A1724" s="98"/>
      <c r="B1724" s="98"/>
      <c r="C1724" s="98"/>
      <c r="D1724" s="98"/>
      <c r="E1724" s="98"/>
    </row>
    <row r="1725">
      <c r="A1725" s="98"/>
      <c r="B1725" s="98"/>
      <c r="C1725" s="98"/>
      <c r="D1725" s="98"/>
      <c r="E1725" s="98"/>
    </row>
    <row r="1726">
      <c r="A1726" s="98"/>
      <c r="B1726" s="98"/>
      <c r="C1726" s="98"/>
      <c r="D1726" s="98"/>
      <c r="E1726" s="98"/>
    </row>
    <row r="1727">
      <c r="A1727" s="98"/>
      <c r="B1727" s="98"/>
      <c r="C1727" s="98"/>
      <c r="D1727" s="98"/>
      <c r="E1727" s="98"/>
    </row>
    <row r="1728">
      <c r="A1728" s="98"/>
      <c r="B1728" s="98"/>
      <c r="C1728" s="98"/>
      <c r="D1728" s="98"/>
      <c r="E1728" s="98"/>
    </row>
    <row r="1729">
      <c r="A1729" s="98"/>
      <c r="B1729" s="98"/>
      <c r="C1729" s="98"/>
      <c r="D1729" s="98"/>
      <c r="E1729" s="98"/>
    </row>
    <row r="1730">
      <c r="A1730" s="98"/>
      <c r="B1730" s="98"/>
      <c r="C1730" s="98"/>
      <c r="D1730" s="98"/>
      <c r="E1730" s="98"/>
    </row>
    <row r="1731">
      <c r="A1731" s="98"/>
      <c r="B1731" s="98"/>
      <c r="C1731" s="98"/>
      <c r="D1731" s="98"/>
      <c r="E1731" s="98"/>
    </row>
    <row r="1732">
      <c r="A1732" s="98"/>
      <c r="B1732" s="98"/>
      <c r="C1732" s="98"/>
      <c r="D1732" s="98"/>
      <c r="E1732" s="98"/>
    </row>
    <row r="1733">
      <c r="A1733" s="98"/>
      <c r="B1733" s="98"/>
      <c r="C1733" s="98"/>
      <c r="D1733" s="98"/>
      <c r="E1733" s="98"/>
    </row>
    <row r="1734">
      <c r="A1734" s="98"/>
      <c r="B1734" s="98"/>
      <c r="C1734" s="98"/>
      <c r="D1734" s="98"/>
      <c r="E1734" s="98"/>
    </row>
    <row r="1735">
      <c r="A1735" s="98"/>
      <c r="B1735" s="98"/>
      <c r="C1735" s="98"/>
      <c r="D1735" s="98"/>
      <c r="E1735" s="98"/>
    </row>
    <row r="1736">
      <c r="A1736" s="98"/>
      <c r="B1736" s="98"/>
      <c r="C1736" s="98"/>
      <c r="D1736" s="98"/>
      <c r="E1736" s="98"/>
    </row>
    <row r="1737">
      <c r="A1737" s="98"/>
      <c r="B1737" s="98"/>
      <c r="C1737" s="98"/>
      <c r="D1737" s="98"/>
      <c r="E1737" s="98"/>
    </row>
    <row r="1738">
      <c r="A1738" s="98"/>
      <c r="B1738" s="98"/>
      <c r="C1738" s="98"/>
      <c r="D1738" s="98"/>
      <c r="E1738" s="98"/>
    </row>
    <row r="1739">
      <c r="A1739" s="98"/>
      <c r="B1739" s="98"/>
      <c r="C1739" s="98"/>
      <c r="D1739" s="98"/>
      <c r="E1739" s="98"/>
    </row>
    <row r="1740">
      <c r="A1740" s="98"/>
      <c r="B1740" s="98"/>
      <c r="C1740" s="98"/>
      <c r="D1740" s="98"/>
      <c r="E1740" s="98"/>
    </row>
    <row r="1741">
      <c r="A1741" s="98"/>
      <c r="B1741" s="98"/>
      <c r="C1741" s="98"/>
      <c r="D1741" s="98"/>
      <c r="E1741" s="98"/>
    </row>
    <row r="1742">
      <c r="A1742" s="98"/>
      <c r="B1742" s="98"/>
      <c r="C1742" s="98"/>
      <c r="D1742" s="98"/>
      <c r="E1742" s="98"/>
    </row>
    <row r="1743">
      <c r="A1743" s="98"/>
      <c r="B1743" s="98"/>
      <c r="C1743" s="98"/>
      <c r="D1743" s="98"/>
      <c r="E1743" s="98"/>
    </row>
    <row r="1744">
      <c r="A1744" s="98"/>
      <c r="B1744" s="98"/>
      <c r="C1744" s="98"/>
      <c r="D1744" s="98"/>
      <c r="E1744" s="98"/>
    </row>
    <row r="1745">
      <c r="A1745" s="98"/>
      <c r="B1745" s="98"/>
      <c r="C1745" s="98"/>
      <c r="D1745" s="98"/>
      <c r="E1745" s="98"/>
    </row>
    <row r="1746">
      <c r="A1746" s="98"/>
      <c r="B1746" s="98"/>
      <c r="C1746" s="98"/>
      <c r="D1746" s="98"/>
      <c r="E1746" s="98"/>
    </row>
    <row r="1747">
      <c r="A1747" s="98"/>
      <c r="B1747" s="98"/>
      <c r="C1747" s="98"/>
      <c r="D1747" s="98"/>
      <c r="E1747" s="98"/>
    </row>
    <row r="1748">
      <c r="A1748" s="98"/>
      <c r="B1748" s="98"/>
      <c r="C1748" s="98"/>
      <c r="D1748" s="98"/>
      <c r="E1748" s="98"/>
    </row>
    <row r="1749">
      <c r="A1749" s="98"/>
      <c r="B1749" s="98"/>
      <c r="C1749" s="98"/>
      <c r="D1749" s="98"/>
      <c r="E1749" s="98"/>
    </row>
    <row r="1750">
      <c r="A1750" s="98"/>
      <c r="B1750" s="98"/>
      <c r="C1750" s="98"/>
      <c r="D1750" s="98"/>
      <c r="E1750" s="98"/>
    </row>
    <row r="1751">
      <c r="A1751" s="98"/>
      <c r="B1751" s="98"/>
      <c r="C1751" s="98"/>
      <c r="D1751" s="98"/>
      <c r="E1751" s="98"/>
    </row>
    <row r="1752">
      <c r="A1752" s="98"/>
      <c r="B1752" s="98"/>
      <c r="C1752" s="98"/>
      <c r="D1752" s="98"/>
      <c r="E1752" s="98"/>
    </row>
    <row r="1753">
      <c r="A1753" s="98"/>
      <c r="B1753" s="98"/>
      <c r="C1753" s="98"/>
      <c r="D1753" s="98"/>
      <c r="E1753" s="98"/>
    </row>
    <row r="1754">
      <c r="A1754" s="98"/>
      <c r="B1754" s="98"/>
      <c r="C1754" s="98"/>
      <c r="D1754" s="98"/>
      <c r="E1754" s="98"/>
    </row>
    <row r="1755">
      <c r="A1755" s="98"/>
      <c r="B1755" s="98"/>
      <c r="C1755" s="98"/>
      <c r="D1755" s="98"/>
      <c r="E1755" s="98"/>
    </row>
    <row r="1756">
      <c r="A1756" s="98"/>
      <c r="B1756" s="98"/>
      <c r="C1756" s="98"/>
      <c r="D1756" s="98"/>
      <c r="E1756" s="98"/>
    </row>
    <row r="1757">
      <c r="A1757" s="98"/>
      <c r="B1757" s="98"/>
      <c r="C1757" s="98"/>
      <c r="D1757" s="98"/>
      <c r="E1757" s="98"/>
    </row>
    <row r="1758">
      <c r="A1758" s="98"/>
      <c r="B1758" s="98"/>
      <c r="C1758" s="98"/>
      <c r="D1758" s="98"/>
      <c r="E1758" s="98"/>
    </row>
    <row r="1759">
      <c r="A1759" s="98"/>
      <c r="B1759" s="98"/>
      <c r="C1759" s="98"/>
      <c r="D1759" s="98"/>
      <c r="E1759" s="98"/>
    </row>
    <row r="1760">
      <c r="A1760" s="98"/>
      <c r="B1760" s="98"/>
      <c r="C1760" s="98"/>
      <c r="D1760" s="98"/>
      <c r="E1760" s="98"/>
    </row>
    <row r="1761">
      <c r="A1761" s="98"/>
      <c r="B1761" s="98"/>
      <c r="C1761" s="98"/>
      <c r="D1761" s="98"/>
      <c r="E1761" s="98"/>
    </row>
    <row r="1762">
      <c r="A1762" s="98"/>
      <c r="B1762" s="98"/>
      <c r="C1762" s="98"/>
      <c r="D1762" s="98"/>
      <c r="E1762" s="98"/>
    </row>
    <row r="1763">
      <c r="A1763" s="98"/>
      <c r="B1763" s="98"/>
      <c r="C1763" s="98"/>
      <c r="D1763" s="98"/>
      <c r="E1763" s="98"/>
    </row>
    <row r="1764">
      <c r="A1764" s="98"/>
      <c r="B1764" s="98"/>
      <c r="C1764" s="98"/>
      <c r="D1764" s="98"/>
      <c r="E1764" s="98"/>
    </row>
    <row r="1765">
      <c r="A1765" s="98"/>
      <c r="B1765" s="98"/>
      <c r="C1765" s="98"/>
      <c r="D1765" s="98"/>
      <c r="E1765" s="98"/>
    </row>
    <row r="1766">
      <c r="A1766" s="98"/>
      <c r="B1766" s="98"/>
      <c r="C1766" s="98"/>
      <c r="D1766" s="98"/>
      <c r="E1766" s="98"/>
    </row>
    <row r="1767">
      <c r="A1767" s="98"/>
      <c r="B1767" s="98"/>
      <c r="C1767" s="98"/>
      <c r="D1767" s="98"/>
      <c r="E1767" s="98"/>
    </row>
    <row r="1768">
      <c r="A1768" s="98"/>
      <c r="B1768" s="98"/>
      <c r="C1768" s="98"/>
      <c r="D1768" s="98"/>
      <c r="E1768" s="98"/>
    </row>
    <row r="1769">
      <c r="A1769" s="98"/>
      <c r="B1769" s="98"/>
      <c r="C1769" s="98"/>
      <c r="D1769" s="98"/>
      <c r="E1769" s="98"/>
    </row>
    <row r="1770">
      <c r="A1770" s="98"/>
      <c r="B1770" s="98"/>
      <c r="C1770" s="98"/>
      <c r="D1770" s="98"/>
      <c r="E1770" s="98"/>
    </row>
    <row r="1771">
      <c r="A1771" s="98"/>
      <c r="B1771" s="98"/>
      <c r="C1771" s="98"/>
      <c r="D1771" s="98"/>
      <c r="E1771" s="98"/>
    </row>
    <row r="1772">
      <c r="A1772" s="98"/>
      <c r="B1772" s="98"/>
      <c r="C1772" s="98"/>
      <c r="D1772" s="98"/>
      <c r="E1772" s="98"/>
    </row>
    <row r="1773">
      <c r="A1773" s="98"/>
      <c r="B1773" s="98"/>
      <c r="C1773" s="98"/>
      <c r="D1773" s="98"/>
      <c r="E1773" s="98"/>
    </row>
    <row r="1774">
      <c r="A1774" s="98"/>
      <c r="B1774" s="98"/>
      <c r="C1774" s="98"/>
      <c r="D1774" s="98"/>
      <c r="E1774" s="98"/>
    </row>
    <row r="1775">
      <c r="A1775" s="98"/>
      <c r="B1775" s="98"/>
      <c r="C1775" s="98"/>
      <c r="D1775" s="98"/>
      <c r="E1775" s="98"/>
    </row>
    <row r="1776">
      <c r="A1776" s="98"/>
      <c r="B1776" s="98"/>
      <c r="C1776" s="98"/>
      <c r="D1776" s="98"/>
      <c r="E1776" s="98"/>
    </row>
    <row r="1777">
      <c r="A1777" s="98"/>
      <c r="B1777" s="98"/>
      <c r="C1777" s="98"/>
      <c r="D1777" s="98"/>
      <c r="E1777" s="98"/>
    </row>
    <row r="1778">
      <c r="A1778" s="98"/>
      <c r="B1778" s="98"/>
      <c r="C1778" s="98"/>
      <c r="D1778" s="98"/>
      <c r="E1778" s="98"/>
    </row>
    <row r="1779">
      <c r="A1779" s="98"/>
      <c r="B1779" s="98"/>
      <c r="C1779" s="98"/>
      <c r="D1779" s="98"/>
      <c r="E1779" s="98"/>
    </row>
    <row r="1780">
      <c r="A1780" s="98"/>
      <c r="B1780" s="98"/>
      <c r="C1780" s="98"/>
      <c r="D1780" s="98"/>
      <c r="E1780" s="98"/>
    </row>
    <row r="1781">
      <c r="A1781" s="98"/>
      <c r="B1781" s="98"/>
      <c r="C1781" s="98"/>
      <c r="D1781" s="98"/>
      <c r="E1781" s="98"/>
    </row>
    <row r="1782">
      <c r="A1782" s="98"/>
      <c r="B1782" s="98"/>
      <c r="C1782" s="98"/>
      <c r="D1782" s="98"/>
      <c r="E1782" s="98"/>
    </row>
    <row r="1783">
      <c r="A1783" s="98"/>
      <c r="B1783" s="98"/>
      <c r="C1783" s="98"/>
      <c r="D1783" s="98"/>
      <c r="E1783" s="98"/>
    </row>
    <row r="1784">
      <c r="A1784" s="98"/>
      <c r="B1784" s="98"/>
      <c r="C1784" s="98"/>
      <c r="D1784" s="98"/>
      <c r="E1784" s="98"/>
    </row>
    <row r="1785">
      <c r="A1785" s="98"/>
      <c r="B1785" s="98"/>
      <c r="C1785" s="98"/>
      <c r="D1785" s="98"/>
      <c r="E1785" s="98"/>
    </row>
    <row r="1786">
      <c r="A1786" s="98"/>
      <c r="B1786" s="98"/>
      <c r="C1786" s="98"/>
      <c r="D1786" s="98"/>
      <c r="E1786" s="98"/>
    </row>
    <row r="1787">
      <c r="A1787" s="98"/>
      <c r="B1787" s="98"/>
      <c r="C1787" s="98"/>
      <c r="D1787" s="98"/>
      <c r="E1787" s="98"/>
    </row>
    <row r="1788">
      <c r="A1788" s="98"/>
      <c r="B1788" s="98"/>
      <c r="C1788" s="98"/>
      <c r="D1788" s="98"/>
      <c r="E1788" s="98"/>
    </row>
    <row r="1789">
      <c r="A1789" s="98"/>
      <c r="B1789" s="98"/>
      <c r="C1789" s="98"/>
      <c r="D1789" s="98"/>
      <c r="E1789" s="98"/>
    </row>
    <row r="1790">
      <c r="A1790" s="98"/>
      <c r="B1790" s="98"/>
      <c r="C1790" s="98"/>
      <c r="D1790" s="98"/>
      <c r="E1790" s="98"/>
    </row>
  </sheetData>
  <autoFilter ref="$A$1:$Z$331"/>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88"/>
    <col customWidth="1" min="2" max="2" width="25.13"/>
    <col customWidth="1" min="3" max="3" width="20.13"/>
  </cols>
  <sheetData>
    <row r="1">
      <c r="A1" s="266" t="s">
        <v>235</v>
      </c>
      <c r="B1" s="101" t="s">
        <v>236</v>
      </c>
      <c r="C1" s="101" t="s">
        <v>237</v>
      </c>
    </row>
    <row r="2">
      <c r="A2" s="267" t="s">
        <v>238</v>
      </c>
      <c r="B2" s="55" t="s">
        <v>239</v>
      </c>
      <c r="C2" s="55">
        <v>6.85979068E9</v>
      </c>
    </row>
    <row r="3">
      <c r="A3" s="55" t="s">
        <v>240</v>
      </c>
      <c r="B3" s="55" t="s">
        <v>65</v>
      </c>
      <c r="C3" s="55">
        <v>7.822653479E9</v>
      </c>
    </row>
    <row r="4">
      <c r="A4" s="55" t="s">
        <v>241</v>
      </c>
      <c r="B4" s="55" t="s">
        <v>242</v>
      </c>
      <c r="C4" s="55">
        <v>5.97754012E9</v>
      </c>
    </row>
    <row r="5">
      <c r="A5" s="55" t="s">
        <v>243</v>
      </c>
    </row>
    <row r="6">
      <c r="A6" s="55" t="s">
        <v>244</v>
      </c>
    </row>
    <row r="7">
      <c r="A7" s="55" t="s">
        <v>245</v>
      </c>
    </row>
    <row r="8">
      <c r="A8" s="55" t="s">
        <v>246</v>
      </c>
    </row>
    <row r="9">
      <c r="A9" s="55" t="s">
        <v>247</v>
      </c>
    </row>
    <row r="10">
      <c r="A10" s="55" t="s">
        <v>248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20.13"/>
  </cols>
  <sheetData>
    <row r="1">
      <c r="A1" s="268" t="s">
        <v>72</v>
      </c>
      <c r="B1" s="268" t="s">
        <v>249</v>
      </c>
      <c r="C1" s="268" t="s">
        <v>250</v>
      </c>
      <c r="D1" s="268" t="s">
        <v>251</v>
      </c>
      <c r="E1" s="268" t="s">
        <v>252</v>
      </c>
      <c r="F1" s="268" t="s">
        <v>253</v>
      </c>
      <c r="G1" s="268" t="s">
        <v>254</v>
      </c>
    </row>
    <row r="2">
      <c r="A2" s="55" t="s">
        <v>15</v>
      </c>
      <c r="B2" s="55" t="s">
        <v>30</v>
      </c>
      <c r="C2" s="56">
        <v>0.0</v>
      </c>
      <c r="D2" s="56">
        <v>0.0</v>
      </c>
      <c r="E2" s="56">
        <v>0.0</v>
      </c>
      <c r="F2" s="56">
        <v>0.0</v>
      </c>
      <c r="G2" s="56">
        <v>0.0</v>
      </c>
    </row>
    <row r="3">
      <c r="A3" s="55" t="s">
        <v>15</v>
      </c>
      <c r="B3" s="55" t="s">
        <v>202</v>
      </c>
      <c r="C3" s="56">
        <v>0.0</v>
      </c>
      <c r="D3" s="56">
        <v>0.0</v>
      </c>
      <c r="E3" s="56">
        <v>0.0</v>
      </c>
      <c r="F3" s="56">
        <v>0.0</v>
      </c>
      <c r="G3" s="56">
        <v>0.0</v>
      </c>
    </row>
    <row r="4">
      <c r="A4" s="55" t="s">
        <v>15</v>
      </c>
      <c r="B4" s="55" t="s">
        <v>20</v>
      </c>
      <c r="C4" s="56">
        <v>0.0</v>
      </c>
      <c r="D4" s="56">
        <v>0.0</v>
      </c>
      <c r="E4" s="56">
        <v>0.0</v>
      </c>
      <c r="F4" s="56">
        <v>0.0</v>
      </c>
      <c r="G4" s="56">
        <v>0.0</v>
      </c>
    </row>
    <row r="5">
      <c r="A5" s="55" t="s">
        <v>15</v>
      </c>
      <c r="B5" s="55" t="s">
        <v>30</v>
      </c>
      <c r="C5" s="56">
        <v>0.0</v>
      </c>
      <c r="D5" s="56">
        <v>0.0</v>
      </c>
      <c r="E5" s="56">
        <v>0.0</v>
      </c>
      <c r="F5" s="56">
        <v>0.0</v>
      </c>
      <c r="G5" s="56">
        <v>0.0</v>
      </c>
    </row>
    <row r="6">
      <c r="A6" s="55" t="s">
        <v>15</v>
      </c>
      <c r="B6" s="55" t="s">
        <v>20</v>
      </c>
      <c r="C6" s="56">
        <v>0.0</v>
      </c>
      <c r="D6" s="56">
        <v>0.0</v>
      </c>
      <c r="E6" s="56">
        <v>0.0</v>
      </c>
      <c r="F6" s="56">
        <v>0.0</v>
      </c>
      <c r="G6" s="56">
        <v>0.0</v>
      </c>
    </row>
    <row r="7">
      <c r="A7" s="55" t="s">
        <v>15</v>
      </c>
      <c r="B7" s="55" t="s">
        <v>20</v>
      </c>
      <c r="C7" s="56">
        <v>0.0</v>
      </c>
      <c r="D7" s="56">
        <v>0.0</v>
      </c>
      <c r="E7" s="56">
        <v>0.0</v>
      </c>
      <c r="F7" s="56">
        <v>0.0</v>
      </c>
      <c r="G7" s="56">
        <v>0.0</v>
      </c>
    </row>
    <row r="8">
      <c r="A8" s="55" t="s">
        <v>15</v>
      </c>
      <c r="B8" s="55" t="s">
        <v>20</v>
      </c>
      <c r="C8" s="56">
        <v>0.0</v>
      </c>
      <c r="D8" s="56">
        <v>0.0</v>
      </c>
      <c r="E8" s="56">
        <v>0.0</v>
      </c>
      <c r="F8" s="56">
        <v>0.0</v>
      </c>
      <c r="G8" s="56">
        <v>0.0</v>
      </c>
    </row>
    <row r="9">
      <c r="A9" s="55" t="s">
        <v>15</v>
      </c>
      <c r="B9" s="55" t="s">
        <v>30</v>
      </c>
      <c r="C9" s="56">
        <v>0.0</v>
      </c>
      <c r="D9" s="56">
        <v>0.0</v>
      </c>
      <c r="E9" s="56">
        <v>0.0</v>
      </c>
      <c r="F9" s="56">
        <v>0.0</v>
      </c>
      <c r="G9" s="56">
        <v>0.0</v>
      </c>
    </row>
    <row r="10">
      <c r="A10" s="55" t="s">
        <v>23</v>
      </c>
      <c r="B10" s="55" t="s">
        <v>30</v>
      </c>
      <c r="C10" s="56">
        <v>0.0</v>
      </c>
      <c r="D10" s="56">
        <v>0.0</v>
      </c>
      <c r="E10" s="56">
        <v>0.0</v>
      </c>
      <c r="F10" s="56">
        <v>0.0</v>
      </c>
      <c r="G10" s="56">
        <v>0.0</v>
      </c>
    </row>
    <row r="11">
      <c r="A11" s="55" t="s">
        <v>23</v>
      </c>
      <c r="B11" s="55" t="s">
        <v>24</v>
      </c>
      <c r="C11" s="56">
        <v>0.0</v>
      </c>
      <c r="D11" s="56">
        <v>0.0</v>
      </c>
      <c r="E11" s="56">
        <v>0.0</v>
      </c>
      <c r="F11" s="56">
        <v>0.0</v>
      </c>
      <c r="G11" s="56">
        <v>0.0</v>
      </c>
    </row>
    <row r="12">
      <c r="A12" s="55" t="s">
        <v>23</v>
      </c>
      <c r="B12" s="55" t="s">
        <v>22</v>
      </c>
      <c r="C12" s="56">
        <v>0.0</v>
      </c>
      <c r="D12" s="56">
        <v>0.0</v>
      </c>
      <c r="E12" s="56">
        <v>0.0</v>
      </c>
      <c r="F12" s="56">
        <v>0.0</v>
      </c>
      <c r="G12" s="56">
        <v>0.0</v>
      </c>
    </row>
    <row r="13">
      <c r="A13" s="55" t="s">
        <v>23</v>
      </c>
      <c r="B13" s="55" t="s">
        <v>22</v>
      </c>
      <c r="C13" s="56">
        <v>0.0</v>
      </c>
      <c r="D13" s="56">
        <v>0.0</v>
      </c>
      <c r="E13" s="56">
        <v>0.0</v>
      </c>
      <c r="F13" s="56">
        <v>0.0</v>
      </c>
      <c r="G13" s="56">
        <v>0.0</v>
      </c>
    </row>
    <row r="14">
      <c r="A14" s="55" t="s">
        <v>23</v>
      </c>
      <c r="B14" s="55" t="s">
        <v>30</v>
      </c>
      <c r="C14" s="56">
        <v>0.0</v>
      </c>
      <c r="D14" s="56">
        <v>0.0</v>
      </c>
      <c r="E14" s="56">
        <v>0.0</v>
      </c>
      <c r="F14" s="56">
        <v>0.0</v>
      </c>
      <c r="G14" s="56">
        <v>0.0</v>
      </c>
    </row>
    <row r="15">
      <c r="A15" s="55" t="s">
        <v>23</v>
      </c>
      <c r="B15" s="55" t="s">
        <v>27</v>
      </c>
      <c r="C15" s="56">
        <v>0.0</v>
      </c>
      <c r="D15" s="56">
        <v>0.0</v>
      </c>
      <c r="E15" s="56">
        <v>0.0</v>
      </c>
      <c r="F15" s="56">
        <v>0.0</v>
      </c>
      <c r="G15" s="56">
        <v>0.0</v>
      </c>
    </row>
    <row r="16">
      <c r="A16" s="55" t="s">
        <v>23</v>
      </c>
      <c r="B16" s="55" t="s">
        <v>22</v>
      </c>
      <c r="C16" s="56">
        <v>0.0</v>
      </c>
      <c r="D16" s="56">
        <v>0.0</v>
      </c>
      <c r="E16" s="56">
        <v>0.0</v>
      </c>
      <c r="F16" s="56">
        <v>0.0</v>
      </c>
      <c r="G16" s="56">
        <v>0.0</v>
      </c>
    </row>
    <row r="17">
      <c r="A17" s="55" t="s">
        <v>23</v>
      </c>
      <c r="B17" s="55" t="s">
        <v>255</v>
      </c>
      <c r="C17" s="56">
        <v>0.0</v>
      </c>
      <c r="D17" s="56">
        <v>0.0</v>
      </c>
      <c r="E17" s="56">
        <v>0.0</v>
      </c>
      <c r="F17" s="56">
        <v>0.0</v>
      </c>
      <c r="G17" s="56">
        <v>0.0</v>
      </c>
    </row>
    <row r="18">
      <c r="A18" s="55" t="s">
        <v>23</v>
      </c>
      <c r="B18" s="55" t="s">
        <v>27</v>
      </c>
      <c r="C18" s="56">
        <v>0.0</v>
      </c>
      <c r="D18" s="56">
        <v>0.0</v>
      </c>
      <c r="E18" s="56">
        <v>0.0</v>
      </c>
      <c r="F18" s="56">
        <v>0.0</v>
      </c>
      <c r="G18" s="56">
        <v>0.0</v>
      </c>
    </row>
    <row r="19">
      <c r="A19" s="55" t="s">
        <v>29</v>
      </c>
      <c r="B19" s="55" t="s">
        <v>28</v>
      </c>
      <c r="C19" s="56">
        <v>0.0</v>
      </c>
      <c r="D19" s="56">
        <v>0.0</v>
      </c>
      <c r="E19" s="56">
        <v>0.0</v>
      </c>
      <c r="F19" s="56">
        <v>0.0</v>
      </c>
      <c r="G19" s="56">
        <v>0.0</v>
      </c>
    </row>
    <row r="20">
      <c r="A20" s="55" t="s">
        <v>29</v>
      </c>
      <c r="B20" s="55" t="s">
        <v>256</v>
      </c>
      <c r="C20" s="56">
        <v>0.0</v>
      </c>
      <c r="D20" s="56">
        <v>0.0</v>
      </c>
      <c r="E20" s="56">
        <v>0.0</v>
      </c>
      <c r="F20" s="56">
        <v>0.0</v>
      </c>
      <c r="G20" s="56">
        <v>0.0</v>
      </c>
    </row>
    <row r="21">
      <c r="A21" s="55" t="s">
        <v>29</v>
      </c>
      <c r="B21" s="55" t="s">
        <v>256</v>
      </c>
      <c r="C21" s="56">
        <v>0.0</v>
      </c>
      <c r="D21" s="56">
        <v>0.0</v>
      </c>
      <c r="E21" s="56">
        <v>0.0</v>
      </c>
      <c r="F21" s="56">
        <v>0.0</v>
      </c>
      <c r="G21" s="56">
        <v>0.0</v>
      </c>
    </row>
    <row r="22">
      <c r="A22" s="55" t="s">
        <v>29</v>
      </c>
      <c r="B22" s="55" t="s">
        <v>30</v>
      </c>
      <c r="C22" s="56">
        <v>0.0</v>
      </c>
      <c r="D22" s="56">
        <v>0.0</v>
      </c>
      <c r="E22" s="56">
        <v>0.0</v>
      </c>
      <c r="F22" s="56">
        <v>0.0</v>
      </c>
      <c r="G22" s="56">
        <v>0.0</v>
      </c>
    </row>
    <row r="23">
      <c r="A23" s="55" t="s">
        <v>31</v>
      </c>
      <c r="B23" s="55" t="s">
        <v>30</v>
      </c>
      <c r="C23" s="56">
        <v>0.0</v>
      </c>
      <c r="D23" s="56">
        <v>0.0</v>
      </c>
      <c r="E23" s="56">
        <v>0.0</v>
      </c>
      <c r="F23" s="56">
        <v>0.0</v>
      </c>
      <c r="G23" s="56">
        <v>0.0</v>
      </c>
    </row>
    <row r="24">
      <c r="A24" s="55" t="s">
        <v>31</v>
      </c>
      <c r="B24" s="55" t="s">
        <v>33</v>
      </c>
      <c r="C24" s="56">
        <v>0.0</v>
      </c>
      <c r="D24" s="56">
        <v>0.0</v>
      </c>
      <c r="E24" s="56">
        <v>0.0</v>
      </c>
      <c r="F24" s="56">
        <v>0.0</v>
      </c>
      <c r="G24" s="56">
        <v>0.0</v>
      </c>
    </row>
    <row r="25">
      <c r="A25" s="55" t="s">
        <v>31</v>
      </c>
      <c r="B25" s="55" t="s">
        <v>202</v>
      </c>
      <c r="C25" s="56">
        <v>0.0</v>
      </c>
      <c r="D25" s="56">
        <v>0.0</v>
      </c>
      <c r="E25" s="56">
        <v>0.0</v>
      </c>
      <c r="F25" s="56">
        <v>0.0</v>
      </c>
      <c r="G25" s="56">
        <v>0.0</v>
      </c>
    </row>
    <row r="26">
      <c r="A26" s="55" t="s">
        <v>31</v>
      </c>
      <c r="B26" s="55" t="s">
        <v>30</v>
      </c>
      <c r="C26" s="56">
        <v>0.0</v>
      </c>
      <c r="D26" s="56">
        <v>0.0</v>
      </c>
      <c r="E26" s="56">
        <v>0.0</v>
      </c>
      <c r="F26" s="56">
        <v>0.0</v>
      </c>
      <c r="G26" s="56">
        <v>0.0</v>
      </c>
    </row>
    <row r="27">
      <c r="A27" s="55" t="s">
        <v>257</v>
      </c>
      <c r="B27" s="55" t="s">
        <v>258</v>
      </c>
      <c r="C27" s="56">
        <v>0.0</v>
      </c>
      <c r="D27" s="56">
        <v>0.0</v>
      </c>
      <c r="E27" s="56">
        <v>0.0</v>
      </c>
      <c r="F27" s="56">
        <v>0.0</v>
      </c>
      <c r="G27" s="56">
        <v>0.0</v>
      </c>
    </row>
    <row r="28">
      <c r="A28" s="55" t="s">
        <v>259</v>
      </c>
      <c r="B28" s="55" t="s">
        <v>260</v>
      </c>
      <c r="C28" s="56">
        <v>0.0</v>
      </c>
      <c r="D28" s="56">
        <v>0.0</v>
      </c>
      <c r="E28" s="56">
        <v>0.0</v>
      </c>
      <c r="F28" s="56">
        <v>0.0</v>
      </c>
      <c r="G28" s="56">
        <v>0.0</v>
      </c>
    </row>
    <row r="29">
      <c r="A29" s="55" t="s">
        <v>261</v>
      </c>
      <c r="B29" s="55" t="s">
        <v>262</v>
      </c>
      <c r="C29" s="56">
        <v>0.0</v>
      </c>
      <c r="D29" s="56">
        <v>0.0</v>
      </c>
      <c r="E29" s="56">
        <v>0.0</v>
      </c>
      <c r="F29" s="56">
        <v>0.0</v>
      </c>
      <c r="G29" s="56">
        <v>0.0</v>
      </c>
    </row>
    <row r="30">
      <c r="A30" s="55"/>
      <c r="B30" s="55"/>
      <c r="C30" s="56"/>
      <c r="D30" s="56"/>
      <c r="E30" s="56"/>
      <c r="F30" s="56"/>
      <c r="G30" s="5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4.25"/>
    <col customWidth="1" min="3" max="3" width="14.75"/>
    <col customWidth="1" min="4" max="4" width="59.5"/>
    <col customWidth="1" min="5" max="5" width="57.5"/>
    <col customWidth="1" min="6" max="11" width="14.63"/>
  </cols>
  <sheetData>
    <row r="1">
      <c r="A1" s="101" t="s">
        <v>263</v>
      </c>
      <c r="B1" s="101" t="s">
        <v>264</v>
      </c>
      <c r="C1" s="101" t="s">
        <v>237</v>
      </c>
      <c r="D1" s="101" t="s">
        <v>265</v>
      </c>
      <c r="E1" s="101" t="s">
        <v>266</v>
      </c>
      <c r="F1" s="269"/>
      <c r="G1" s="269"/>
      <c r="H1" s="269"/>
      <c r="I1" s="269"/>
      <c r="J1" s="269"/>
      <c r="K1" s="269"/>
    </row>
    <row r="2">
      <c r="A2" s="270">
        <v>10.0</v>
      </c>
      <c r="B2" s="271">
        <v>46179.30069444444</v>
      </c>
      <c r="C2" s="272">
        <v>6.85979068E9</v>
      </c>
      <c r="D2" s="272" t="s">
        <v>267</v>
      </c>
      <c r="E2" s="273" t="s">
        <v>268</v>
      </c>
      <c r="F2" s="269"/>
      <c r="G2" s="269"/>
      <c r="H2" s="269"/>
      <c r="I2" s="269"/>
      <c r="J2" s="269"/>
      <c r="K2" s="269"/>
    </row>
    <row r="3">
      <c r="A3" s="270">
        <v>14.0</v>
      </c>
      <c r="B3" s="271">
        <v>46209.39513888889</v>
      </c>
      <c r="C3" s="272">
        <v>6.85979068E9</v>
      </c>
      <c r="D3" s="272" t="s">
        <v>269</v>
      </c>
      <c r="E3" s="273" t="s">
        <v>270</v>
      </c>
      <c r="F3" s="269"/>
      <c r="G3" s="269"/>
      <c r="H3" s="269"/>
      <c r="I3" s="269"/>
      <c r="J3" s="269"/>
      <c r="K3" s="269"/>
    </row>
    <row r="4">
      <c r="A4" s="42">
        <v>3.0</v>
      </c>
      <c r="B4" s="274">
        <v>46240.745833333334</v>
      </c>
      <c r="C4" s="41">
        <v>6.85979068E9</v>
      </c>
      <c r="D4" s="41" t="s">
        <v>271</v>
      </c>
      <c r="E4" s="258"/>
      <c r="F4" s="269"/>
      <c r="G4" s="269"/>
      <c r="H4" s="269"/>
      <c r="I4" s="269"/>
      <c r="J4" s="269"/>
      <c r="K4" s="269"/>
    </row>
    <row r="5">
      <c r="A5" s="270">
        <v>4.0</v>
      </c>
      <c r="B5" s="271">
        <v>46271.436111111114</v>
      </c>
      <c r="C5" s="272">
        <v>8.261210151E9</v>
      </c>
      <c r="D5" s="272" t="s">
        <v>272</v>
      </c>
      <c r="E5" s="275"/>
      <c r="F5" s="269"/>
      <c r="G5" s="269"/>
      <c r="H5" s="269"/>
      <c r="I5" s="269"/>
      <c r="J5" s="269"/>
      <c r="K5" s="269"/>
    </row>
    <row r="6">
      <c r="A6" s="42">
        <v>5.0</v>
      </c>
      <c r="B6" s="274">
        <v>46271.44930555556</v>
      </c>
      <c r="C6" s="41">
        <v>7.822653479E9</v>
      </c>
      <c r="D6" s="41" t="s">
        <v>273</v>
      </c>
      <c r="E6" s="273" t="s">
        <v>274</v>
      </c>
      <c r="F6" s="269"/>
      <c r="G6" s="269"/>
      <c r="H6" s="269"/>
      <c r="I6" s="269"/>
      <c r="J6" s="269"/>
      <c r="K6" s="269"/>
    </row>
    <row r="7">
      <c r="A7" s="270">
        <v>6.0</v>
      </c>
      <c r="B7" s="271">
        <v>46332.39513888889</v>
      </c>
      <c r="C7" s="272">
        <v>6.85979068E9</v>
      </c>
      <c r="D7" s="272" t="s">
        <v>275</v>
      </c>
      <c r="E7" s="273" t="s">
        <v>276</v>
      </c>
      <c r="F7" s="269"/>
      <c r="G7" s="269"/>
      <c r="H7" s="269"/>
      <c r="I7" s="269"/>
      <c r="J7" s="269"/>
      <c r="K7" s="269"/>
    </row>
    <row r="8">
      <c r="A8" s="42">
        <v>7.0</v>
      </c>
      <c r="B8" s="274">
        <v>46332.39791666667</v>
      </c>
      <c r="C8" s="41">
        <v>6.85979068E9</v>
      </c>
      <c r="D8" s="41" t="s">
        <v>277</v>
      </c>
      <c r="E8" s="273" t="s">
        <v>278</v>
      </c>
      <c r="F8" s="269"/>
      <c r="G8" s="269"/>
      <c r="H8" s="269"/>
      <c r="I8" s="269"/>
      <c r="J8" s="269"/>
      <c r="K8" s="269"/>
    </row>
    <row r="9">
      <c r="A9" s="270">
        <v>8.0</v>
      </c>
      <c r="B9" s="271">
        <v>46332.46527777778</v>
      </c>
      <c r="C9" s="272">
        <v>6.681796896E9</v>
      </c>
      <c r="D9" s="272" t="s">
        <v>279</v>
      </c>
      <c r="E9" s="273" t="s">
        <v>280</v>
      </c>
      <c r="F9" s="269"/>
      <c r="G9" s="269"/>
      <c r="H9" s="269"/>
      <c r="I9" s="269"/>
      <c r="J9" s="269"/>
      <c r="K9" s="269"/>
    </row>
    <row r="10">
      <c r="A10" s="42">
        <v>9.0</v>
      </c>
      <c r="B10" s="274">
        <v>46362.6125</v>
      </c>
      <c r="C10" s="41">
        <v>7.822653479E9</v>
      </c>
      <c r="D10" s="41" t="s">
        <v>281</v>
      </c>
      <c r="E10" s="258"/>
      <c r="F10" s="269"/>
      <c r="G10" s="269"/>
      <c r="H10" s="269"/>
      <c r="I10" s="269"/>
      <c r="J10" s="269"/>
      <c r="K10" s="269"/>
    </row>
    <row r="11">
      <c r="A11" s="270">
        <v>10.0</v>
      </c>
      <c r="B11" s="271">
        <v>46362.626388888886</v>
      </c>
      <c r="C11" s="272">
        <v>7.822653479E9</v>
      </c>
      <c r="D11" s="272" t="s">
        <v>282</v>
      </c>
      <c r="E11" s="275"/>
      <c r="F11" s="269"/>
      <c r="G11" s="269"/>
      <c r="H11" s="269"/>
      <c r="I11" s="269"/>
      <c r="J11" s="269"/>
      <c r="K11" s="269"/>
    </row>
    <row r="12">
      <c r="A12" s="42">
        <v>11.0</v>
      </c>
      <c r="B12" s="41" t="s">
        <v>283</v>
      </c>
      <c r="C12" s="41">
        <v>6.132505154E9</v>
      </c>
      <c r="D12" s="41" t="s">
        <v>284</v>
      </c>
      <c r="E12" s="273" t="s">
        <v>285</v>
      </c>
      <c r="F12" s="269"/>
      <c r="G12" s="269"/>
      <c r="H12" s="269"/>
      <c r="I12" s="269"/>
      <c r="J12" s="269"/>
      <c r="K12" s="269"/>
    </row>
    <row r="13">
      <c r="A13" s="270">
        <v>12.0</v>
      </c>
      <c r="B13" s="272" t="s">
        <v>286</v>
      </c>
      <c r="C13" s="272">
        <v>6.85979068E9</v>
      </c>
      <c r="D13" s="272" t="s">
        <v>287</v>
      </c>
      <c r="E13" s="275"/>
      <c r="F13" s="276" t="s">
        <v>288</v>
      </c>
      <c r="G13" s="277"/>
      <c r="H13" s="277"/>
      <c r="I13" s="277"/>
      <c r="J13" s="277"/>
      <c r="K13" s="277"/>
    </row>
    <row r="14">
      <c r="A14" s="42">
        <v>13.0</v>
      </c>
      <c r="B14" s="41" t="s">
        <v>289</v>
      </c>
      <c r="C14" s="41">
        <v>7.822653479E9</v>
      </c>
      <c r="D14" s="41" t="s">
        <v>290</v>
      </c>
      <c r="E14" s="273" t="s">
        <v>291</v>
      </c>
      <c r="F14" s="278"/>
      <c r="G14" s="278"/>
      <c r="H14" s="278"/>
      <c r="I14" s="278"/>
      <c r="J14" s="278"/>
      <c r="K14" s="278"/>
    </row>
    <row r="15">
      <c r="A15" s="270">
        <v>14.0</v>
      </c>
      <c r="B15" s="272" t="s">
        <v>292</v>
      </c>
      <c r="C15" s="272">
        <v>6.85979068E9</v>
      </c>
      <c r="D15" s="272" t="s">
        <v>293</v>
      </c>
      <c r="E15" s="275"/>
      <c r="F15" s="277"/>
      <c r="G15" s="277"/>
      <c r="H15" s="277"/>
      <c r="I15" s="277"/>
      <c r="J15" s="277"/>
      <c r="K15" s="277"/>
      <c r="L15" s="275"/>
      <c r="M15" s="275"/>
      <c r="N15" s="275"/>
      <c r="O15" s="275"/>
      <c r="P15" s="275"/>
      <c r="Q15" s="275"/>
    </row>
    <row r="16">
      <c r="A16" s="42">
        <v>15.0</v>
      </c>
      <c r="B16" s="41" t="s">
        <v>292</v>
      </c>
      <c r="C16" s="41">
        <v>6.85979068E9</v>
      </c>
      <c r="D16" s="41" t="s">
        <v>287</v>
      </c>
      <c r="E16" s="258"/>
      <c r="F16" s="278"/>
      <c r="G16" s="278"/>
      <c r="H16" s="278"/>
      <c r="I16" s="278"/>
      <c r="J16" s="278"/>
      <c r="K16" s="278"/>
      <c r="L16" s="258"/>
      <c r="M16" s="258"/>
      <c r="N16" s="258"/>
      <c r="O16" s="258"/>
      <c r="P16" s="258"/>
      <c r="Q16" s="258"/>
    </row>
    <row r="17">
      <c r="A17" s="270">
        <v>16.0</v>
      </c>
      <c r="B17" s="272" t="s">
        <v>294</v>
      </c>
      <c r="C17" s="272">
        <v>6.85979068E9</v>
      </c>
      <c r="D17" s="272" t="s">
        <v>287</v>
      </c>
      <c r="E17" s="275"/>
      <c r="F17" s="277"/>
      <c r="G17" s="277"/>
      <c r="H17" s="277"/>
      <c r="I17" s="277"/>
      <c r="J17" s="277"/>
      <c r="K17" s="277"/>
      <c r="L17" s="275"/>
      <c r="M17" s="275"/>
      <c r="N17" s="275"/>
      <c r="O17" s="275"/>
      <c r="P17" s="275"/>
      <c r="Q17" s="275"/>
    </row>
    <row r="18">
      <c r="A18" s="42">
        <v>17.0</v>
      </c>
      <c r="B18" s="41" t="s">
        <v>295</v>
      </c>
      <c r="C18" s="41">
        <v>6.85979068E9</v>
      </c>
      <c r="D18" s="41" t="s">
        <v>287</v>
      </c>
      <c r="E18" s="258"/>
      <c r="F18" s="278"/>
      <c r="G18" s="278"/>
      <c r="H18" s="278"/>
      <c r="I18" s="278"/>
      <c r="J18" s="278"/>
      <c r="K18" s="278"/>
      <c r="L18" s="258"/>
      <c r="M18" s="258"/>
      <c r="N18" s="258"/>
      <c r="O18" s="258"/>
      <c r="P18" s="258"/>
      <c r="Q18" s="258"/>
    </row>
    <row r="19">
      <c r="A19" s="270">
        <v>18.0</v>
      </c>
      <c r="B19" s="272" t="s">
        <v>296</v>
      </c>
      <c r="C19" s="272">
        <v>6.85979068E9</v>
      </c>
      <c r="D19" s="272" t="s">
        <v>287</v>
      </c>
      <c r="E19" s="275"/>
      <c r="F19" s="277"/>
      <c r="G19" s="277"/>
      <c r="H19" s="277"/>
      <c r="I19" s="277"/>
      <c r="J19" s="277"/>
      <c r="K19" s="277"/>
      <c r="L19" s="275"/>
      <c r="M19" s="275"/>
      <c r="N19" s="275"/>
      <c r="O19" s="275"/>
      <c r="P19" s="275"/>
      <c r="Q19" s="275"/>
    </row>
    <row r="20">
      <c r="A20" s="42">
        <v>19.0</v>
      </c>
      <c r="B20" s="41" t="s">
        <v>297</v>
      </c>
      <c r="C20" s="41">
        <v>6.85979068E9</v>
      </c>
      <c r="D20" s="41" t="s">
        <v>287</v>
      </c>
      <c r="E20" s="258"/>
      <c r="F20" s="278"/>
      <c r="G20" s="278"/>
      <c r="H20" s="278"/>
      <c r="I20" s="278"/>
      <c r="J20" s="278"/>
      <c r="K20" s="278"/>
      <c r="L20" s="258"/>
      <c r="M20" s="258"/>
      <c r="N20" s="258"/>
      <c r="O20" s="258"/>
      <c r="P20" s="258"/>
      <c r="Q20" s="258"/>
    </row>
    <row r="21">
      <c r="A21" s="270">
        <v>20.0</v>
      </c>
      <c r="B21" s="272" t="s">
        <v>298</v>
      </c>
      <c r="C21" s="272">
        <v>6.85979068E9</v>
      </c>
      <c r="D21" s="272" t="s">
        <v>287</v>
      </c>
      <c r="E21" s="275"/>
      <c r="F21" s="277"/>
      <c r="G21" s="277"/>
      <c r="H21" s="277"/>
      <c r="I21" s="277"/>
      <c r="J21" s="277"/>
      <c r="K21" s="277"/>
      <c r="L21" s="275"/>
      <c r="M21" s="275"/>
      <c r="N21" s="275"/>
      <c r="O21" s="275"/>
      <c r="P21" s="275"/>
      <c r="Q21" s="275"/>
    </row>
    <row r="22">
      <c r="A22" s="42">
        <v>21.0</v>
      </c>
      <c r="B22" s="41" t="s">
        <v>299</v>
      </c>
      <c r="C22" s="41">
        <v>6.85979068E9</v>
      </c>
      <c r="D22" s="41" t="s">
        <v>287</v>
      </c>
      <c r="E22" s="258"/>
      <c r="F22" s="278"/>
      <c r="G22" s="278"/>
      <c r="H22" s="278"/>
      <c r="I22" s="278"/>
      <c r="J22" s="278"/>
      <c r="K22" s="278"/>
      <c r="L22" s="258"/>
      <c r="M22" s="258"/>
      <c r="N22" s="258"/>
      <c r="O22" s="258"/>
      <c r="P22" s="258"/>
      <c r="Q22" s="258"/>
    </row>
    <row r="23">
      <c r="A23" s="270">
        <v>22.0</v>
      </c>
      <c r="B23" s="272" t="s">
        <v>300</v>
      </c>
      <c r="C23" s="272">
        <v>6.85979068E9</v>
      </c>
      <c r="D23" s="272" t="s">
        <v>287</v>
      </c>
      <c r="E23" s="275"/>
      <c r="F23" s="277"/>
      <c r="G23" s="277"/>
      <c r="H23" s="277"/>
      <c r="I23" s="277"/>
      <c r="J23" s="277"/>
      <c r="K23" s="277"/>
      <c r="L23" s="275"/>
      <c r="M23" s="275"/>
      <c r="N23" s="275"/>
      <c r="O23" s="275"/>
      <c r="P23" s="275"/>
      <c r="Q23" s="275"/>
    </row>
    <row r="24">
      <c r="A24" s="42">
        <v>23.0</v>
      </c>
      <c r="B24" s="41" t="s">
        <v>301</v>
      </c>
      <c r="C24" s="41">
        <v>6.85979068E9</v>
      </c>
      <c r="D24" s="41" t="s">
        <v>287</v>
      </c>
      <c r="E24" s="258"/>
      <c r="F24" s="278"/>
      <c r="G24" s="278"/>
      <c r="H24" s="278"/>
      <c r="I24" s="278"/>
      <c r="J24" s="278"/>
      <c r="K24" s="278"/>
      <c r="L24" s="258"/>
      <c r="M24" s="258"/>
      <c r="N24" s="258"/>
      <c r="O24" s="258"/>
      <c r="P24" s="258"/>
      <c r="Q24" s="258"/>
    </row>
    <row r="25">
      <c r="A25" s="270">
        <v>24.0</v>
      </c>
      <c r="B25" s="272" t="s">
        <v>302</v>
      </c>
      <c r="C25" s="272">
        <v>6.85979068E9</v>
      </c>
      <c r="D25" s="272" t="s">
        <v>287</v>
      </c>
      <c r="E25" s="275"/>
      <c r="F25" s="277"/>
      <c r="G25" s="277"/>
      <c r="H25" s="277"/>
      <c r="I25" s="277"/>
      <c r="J25" s="277"/>
      <c r="K25" s="277"/>
      <c r="L25" s="275"/>
      <c r="M25" s="275"/>
      <c r="N25" s="275"/>
      <c r="O25" s="275"/>
      <c r="P25" s="275"/>
      <c r="Q25" s="275"/>
    </row>
    <row r="26">
      <c r="A26" s="42">
        <v>25.0</v>
      </c>
      <c r="B26" s="41" t="s">
        <v>303</v>
      </c>
      <c r="C26" s="41">
        <v>6.85979068E9</v>
      </c>
      <c r="D26" s="41" t="s">
        <v>287</v>
      </c>
      <c r="E26" s="258"/>
      <c r="F26" s="278"/>
      <c r="G26" s="278"/>
      <c r="H26" s="278"/>
      <c r="I26" s="278"/>
      <c r="J26" s="278"/>
      <c r="K26" s="278"/>
      <c r="L26" s="258"/>
      <c r="M26" s="258"/>
      <c r="N26" s="258"/>
      <c r="O26" s="258"/>
      <c r="P26" s="258"/>
      <c r="Q26" s="258"/>
    </row>
    <row r="27">
      <c r="A27" s="270">
        <v>26.0</v>
      </c>
      <c r="B27" s="272" t="s">
        <v>304</v>
      </c>
      <c r="C27" s="272">
        <v>6.85979068E9</v>
      </c>
      <c r="D27" s="272" t="s">
        <v>287</v>
      </c>
      <c r="E27" s="275"/>
      <c r="F27" s="277"/>
      <c r="G27" s="277"/>
      <c r="H27" s="277"/>
      <c r="I27" s="277"/>
      <c r="J27" s="277"/>
      <c r="K27" s="277"/>
      <c r="L27" s="275"/>
      <c r="M27" s="275"/>
      <c r="N27" s="275"/>
      <c r="O27" s="275"/>
      <c r="P27" s="275"/>
      <c r="Q27" s="275"/>
    </row>
    <row r="28">
      <c r="A28" s="42">
        <v>27.0</v>
      </c>
      <c r="B28" s="41" t="s">
        <v>305</v>
      </c>
      <c r="C28" s="41">
        <v>6.85979068E9</v>
      </c>
      <c r="D28" s="41" t="s">
        <v>287</v>
      </c>
      <c r="E28" s="258"/>
      <c r="F28" s="278"/>
      <c r="G28" s="278"/>
      <c r="H28" s="278"/>
      <c r="I28" s="278"/>
      <c r="J28" s="278"/>
      <c r="K28" s="278"/>
      <c r="L28" s="258"/>
      <c r="M28" s="258"/>
      <c r="N28" s="258"/>
      <c r="O28" s="258"/>
      <c r="P28" s="258"/>
      <c r="Q28" s="258"/>
    </row>
    <row r="29">
      <c r="A29" s="270">
        <v>28.0</v>
      </c>
      <c r="B29" s="272" t="s">
        <v>306</v>
      </c>
      <c r="C29" s="272">
        <v>5.97754012E9</v>
      </c>
      <c r="D29" s="272" t="s">
        <v>307</v>
      </c>
      <c r="E29" s="275"/>
      <c r="F29" s="277"/>
      <c r="G29" s="277"/>
      <c r="H29" s="277"/>
      <c r="I29" s="277"/>
      <c r="J29" s="277"/>
      <c r="K29" s="277"/>
      <c r="L29" s="275"/>
      <c r="M29" s="275"/>
      <c r="N29" s="275"/>
      <c r="O29" s="275"/>
      <c r="P29" s="275"/>
      <c r="Q29" s="275"/>
    </row>
    <row r="30">
      <c r="A30" s="42">
        <v>29.0</v>
      </c>
      <c r="B30" s="41" t="s">
        <v>308</v>
      </c>
      <c r="C30" s="41">
        <v>6.85979068E9</v>
      </c>
      <c r="D30" s="41" t="s">
        <v>309</v>
      </c>
      <c r="E30" s="258"/>
      <c r="F30" s="278"/>
      <c r="G30" s="278"/>
      <c r="H30" s="278"/>
      <c r="I30" s="278"/>
      <c r="J30" s="278"/>
      <c r="K30" s="278"/>
      <c r="L30" s="258"/>
      <c r="M30" s="258"/>
      <c r="N30" s="258"/>
      <c r="O30" s="258"/>
      <c r="P30" s="258"/>
      <c r="Q30" s="258"/>
    </row>
    <row r="31">
      <c r="A31" s="270">
        <v>30.0</v>
      </c>
      <c r="B31" s="272" t="s">
        <v>310</v>
      </c>
      <c r="C31" s="272">
        <v>6.85979068E9</v>
      </c>
      <c r="D31" s="272" t="s">
        <v>311</v>
      </c>
      <c r="E31" s="275"/>
      <c r="F31" s="277"/>
      <c r="G31" s="277"/>
      <c r="H31" s="277"/>
      <c r="I31" s="277"/>
      <c r="J31" s="277"/>
      <c r="K31" s="277"/>
      <c r="L31" s="275"/>
      <c r="M31" s="275"/>
      <c r="N31" s="275"/>
      <c r="O31" s="275"/>
      <c r="P31" s="275"/>
      <c r="Q31" s="275"/>
    </row>
    <row r="32">
      <c r="A32" s="42">
        <v>31.0</v>
      </c>
      <c r="B32" s="41" t="s">
        <v>312</v>
      </c>
      <c r="C32" s="41">
        <v>6.85979068E9</v>
      </c>
      <c r="D32" s="41" t="s">
        <v>287</v>
      </c>
      <c r="E32" s="258"/>
      <c r="F32" s="279" t="s">
        <v>313</v>
      </c>
      <c r="G32" s="279" t="s">
        <v>314</v>
      </c>
      <c r="H32" s="278"/>
      <c r="I32" s="278"/>
      <c r="J32" s="278"/>
      <c r="K32" s="278"/>
      <c r="L32" s="258"/>
      <c r="M32" s="258"/>
      <c r="N32" s="258"/>
      <c r="O32" s="258"/>
      <c r="P32" s="258"/>
      <c r="Q32" s="258"/>
    </row>
    <row r="33">
      <c r="A33" s="270">
        <v>32.0</v>
      </c>
      <c r="B33" s="272" t="s">
        <v>315</v>
      </c>
      <c r="C33" s="272">
        <v>6.681796896E9</v>
      </c>
      <c r="D33" s="272" t="s">
        <v>316</v>
      </c>
      <c r="E33" s="275"/>
      <c r="F33" s="276" t="s">
        <v>317</v>
      </c>
      <c r="G33" s="277"/>
      <c r="H33" s="277"/>
      <c r="I33" s="277"/>
      <c r="J33" s="277"/>
      <c r="K33" s="277"/>
      <c r="L33" s="275"/>
      <c r="M33" s="275"/>
      <c r="N33" s="275"/>
      <c r="O33" s="275"/>
      <c r="P33" s="275"/>
      <c r="Q33" s="275"/>
    </row>
    <row r="34">
      <c r="A34" s="42">
        <v>33.0</v>
      </c>
      <c r="B34" s="41" t="s">
        <v>318</v>
      </c>
      <c r="C34" s="41">
        <v>8.540261626E9</v>
      </c>
      <c r="D34" s="41" t="s">
        <v>319</v>
      </c>
      <c r="E34" s="273" t="s">
        <v>320</v>
      </c>
      <c r="F34" s="278"/>
      <c r="G34" s="278"/>
      <c r="H34" s="278"/>
      <c r="I34" s="278"/>
      <c r="J34" s="278"/>
      <c r="K34" s="278"/>
      <c r="L34" s="258"/>
      <c r="M34" s="258"/>
      <c r="N34" s="258"/>
      <c r="O34" s="258"/>
      <c r="P34" s="258"/>
      <c r="Q34" s="258"/>
    </row>
    <row r="35">
      <c r="A35" s="270">
        <v>34.0</v>
      </c>
      <c r="B35" s="280">
        <v>46197.7375</v>
      </c>
      <c r="C35" s="272">
        <v>8.261210151E9</v>
      </c>
      <c r="D35" s="272" t="s">
        <v>321</v>
      </c>
      <c r="E35" s="273" t="s">
        <v>322</v>
      </c>
      <c r="F35" s="277"/>
      <c r="G35" s="277"/>
      <c r="H35" s="277"/>
      <c r="I35" s="277"/>
      <c r="J35" s="277"/>
      <c r="K35" s="277"/>
      <c r="L35" s="275"/>
      <c r="M35" s="275"/>
      <c r="N35" s="275"/>
      <c r="O35" s="275"/>
      <c r="P35" s="275"/>
      <c r="Q35" s="275"/>
    </row>
    <row r="36">
      <c r="A36" s="42">
        <v>35.0</v>
      </c>
      <c r="B36" s="281">
        <v>46197.82847222222</v>
      </c>
      <c r="C36" s="41">
        <v>1.672525126E9</v>
      </c>
      <c r="D36" s="41" t="s">
        <v>323</v>
      </c>
      <c r="E36" s="258"/>
      <c r="F36" s="279" t="s">
        <v>324</v>
      </c>
      <c r="G36" s="279" t="s">
        <v>325</v>
      </c>
      <c r="H36" s="279" t="s">
        <v>326</v>
      </c>
      <c r="I36" s="278"/>
      <c r="J36" s="278"/>
      <c r="K36" s="278"/>
      <c r="L36" s="258"/>
      <c r="M36" s="258"/>
      <c r="N36" s="258"/>
      <c r="O36" s="258"/>
      <c r="P36" s="258"/>
      <c r="Q36" s="258"/>
    </row>
    <row r="37">
      <c r="A37" s="270">
        <v>36.0</v>
      </c>
      <c r="B37" s="280">
        <v>46198.32777777778</v>
      </c>
      <c r="C37" s="272">
        <v>6.85979068E9</v>
      </c>
      <c r="D37" s="272" t="s">
        <v>327</v>
      </c>
      <c r="E37" s="275"/>
      <c r="F37" s="277"/>
      <c r="G37" s="277"/>
      <c r="H37" s="277"/>
      <c r="I37" s="277"/>
      <c r="J37" s="277"/>
      <c r="K37" s="277"/>
      <c r="L37" s="275"/>
      <c r="M37" s="275"/>
      <c r="N37" s="275"/>
      <c r="O37" s="275"/>
      <c r="P37" s="275"/>
      <c r="Q37" s="275"/>
    </row>
    <row r="38">
      <c r="A38" s="42">
        <v>37.0</v>
      </c>
      <c r="B38" s="281">
        <v>46198.388194444444</v>
      </c>
      <c r="C38" s="41">
        <v>8.653753857E9</v>
      </c>
      <c r="D38" s="41" t="s">
        <v>328</v>
      </c>
      <c r="E38" s="258"/>
      <c r="F38" s="278"/>
      <c r="G38" s="278"/>
      <c r="H38" s="278"/>
      <c r="I38" s="278"/>
      <c r="J38" s="278"/>
      <c r="K38" s="278"/>
      <c r="L38" s="258"/>
      <c r="M38" s="258"/>
      <c r="N38" s="258"/>
      <c r="O38" s="258"/>
      <c r="P38" s="258"/>
      <c r="Q38" s="258"/>
    </row>
    <row r="39">
      <c r="A39" s="270">
        <v>38.0</v>
      </c>
      <c r="B39" s="280">
        <v>46198.38888888889</v>
      </c>
      <c r="C39" s="272">
        <v>8.653753857E9</v>
      </c>
      <c r="D39" s="272" t="s">
        <v>329</v>
      </c>
      <c r="E39" s="275"/>
      <c r="F39" s="277"/>
      <c r="G39" s="277"/>
      <c r="H39" s="277"/>
      <c r="I39" s="277"/>
      <c r="J39" s="277"/>
      <c r="K39" s="277"/>
      <c r="L39" s="275"/>
      <c r="M39" s="275"/>
      <c r="N39" s="275"/>
      <c r="O39" s="275"/>
      <c r="P39" s="275"/>
      <c r="Q39" s="275"/>
    </row>
    <row r="40">
      <c r="A40" s="42">
        <v>39.0</v>
      </c>
      <c r="B40" s="281">
        <v>46198.39236111111</v>
      </c>
      <c r="C40" s="41">
        <v>8.653753857E9</v>
      </c>
      <c r="D40" s="41" t="s">
        <v>330</v>
      </c>
      <c r="E40" s="273" t="s">
        <v>322</v>
      </c>
      <c r="F40" s="278"/>
      <c r="G40" s="278"/>
      <c r="H40" s="278"/>
      <c r="I40" s="278"/>
      <c r="J40" s="278"/>
      <c r="K40" s="278"/>
      <c r="L40" s="258"/>
      <c r="M40" s="258"/>
      <c r="N40" s="258"/>
      <c r="O40" s="258"/>
      <c r="P40" s="258"/>
      <c r="Q40" s="258"/>
    </row>
    <row r="41">
      <c r="A41" s="270">
        <v>40.0</v>
      </c>
      <c r="B41" s="280">
        <v>46198.47638888889</v>
      </c>
      <c r="C41" s="272">
        <v>1.672525126E9</v>
      </c>
      <c r="D41" s="272" t="s">
        <v>331</v>
      </c>
      <c r="E41" s="275"/>
      <c r="F41" s="277"/>
      <c r="G41" s="277"/>
      <c r="H41" s="277"/>
      <c r="I41" s="277"/>
      <c r="J41" s="277"/>
      <c r="K41" s="277"/>
      <c r="L41" s="275"/>
      <c r="M41" s="275"/>
      <c r="N41" s="275"/>
      <c r="O41" s="275"/>
      <c r="P41" s="275"/>
      <c r="Q41" s="275"/>
    </row>
    <row r="42">
      <c r="A42" s="42">
        <v>41.0</v>
      </c>
      <c r="B42" s="281">
        <v>46198.66388888889</v>
      </c>
      <c r="C42" s="41">
        <v>1.83227873E9</v>
      </c>
      <c r="D42" s="41" t="s">
        <v>332</v>
      </c>
      <c r="E42" s="258"/>
      <c r="F42" s="278"/>
      <c r="G42" s="278"/>
      <c r="H42" s="278"/>
      <c r="I42" s="278"/>
      <c r="J42" s="278"/>
      <c r="K42" s="278"/>
      <c r="L42" s="258"/>
      <c r="M42" s="258"/>
      <c r="N42" s="258"/>
      <c r="O42" s="258"/>
      <c r="P42" s="258"/>
      <c r="Q42" s="258"/>
    </row>
    <row r="43">
      <c r="A43" s="270">
        <v>42.0</v>
      </c>
      <c r="B43" s="280">
        <v>46199.90555555555</v>
      </c>
      <c r="C43" s="272">
        <v>1.672525126E9</v>
      </c>
      <c r="D43" s="272" t="s">
        <v>333</v>
      </c>
      <c r="E43" s="275"/>
      <c r="F43" s="277"/>
      <c r="G43" s="277"/>
      <c r="H43" s="277"/>
      <c r="I43" s="277"/>
      <c r="J43" s="277"/>
      <c r="K43" s="277"/>
      <c r="L43" s="275"/>
      <c r="M43" s="275"/>
      <c r="N43" s="275"/>
      <c r="O43" s="275"/>
      <c r="P43" s="275"/>
      <c r="Q43" s="275"/>
    </row>
    <row r="44">
      <c r="A44" s="270">
        <v>44.0</v>
      </c>
      <c r="B44" s="280">
        <v>46201.33125</v>
      </c>
      <c r="C44" s="272">
        <v>6.85979068E9</v>
      </c>
      <c r="D44" s="272" t="s">
        <v>334</v>
      </c>
      <c r="E44" s="275"/>
      <c r="F44" s="277"/>
      <c r="G44" s="277"/>
      <c r="H44" s="277"/>
      <c r="I44" s="277"/>
      <c r="J44" s="277"/>
      <c r="K44" s="277"/>
      <c r="L44" s="275"/>
      <c r="M44" s="275"/>
      <c r="N44" s="275"/>
      <c r="O44" s="275"/>
      <c r="P44" s="275"/>
      <c r="Q44" s="275"/>
    </row>
    <row r="45">
      <c r="A45" s="42">
        <v>45.0</v>
      </c>
      <c r="B45" s="281">
        <v>46201.42291666667</v>
      </c>
      <c r="C45" s="41">
        <v>6.85979068E9</v>
      </c>
      <c r="D45" s="41" t="s">
        <v>335</v>
      </c>
      <c r="E45" s="273" t="s">
        <v>336</v>
      </c>
      <c r="F45" s="278"/>
      <c r="G45" s="278"/>
      <c r="H45" s="278"/>
      <c r="I45" s="278"/>
      <c r="J45" s="278"/>
      <c r="K45" s="278"/>
      <c r="L45" s="258"/>
      <c r="M45" s="258"/>
      <c r="N45" s="258"/>
      <c r="O45" s="258"/>
      <c r="P45" s="258"/>
      <c r="Q45" s="258"/>
    </row>
    <row r="46">
      <c r="A46" s="42">
        <v>45.0</v>
      </c>
      <c r="B46" s="281">
        <v>46204.325</v>
      </c>
      <c r="C46" s="41">
        <v>6.85979068E9</v>
      </c>
      <c r="D46" s="41" t="s">
        <v>337</v>
      </c>
      <c r="E46" s="258"/>
      <c r="F46" s="279" t="s">
        <v>338</v>
      </c>
      <c r="G46" s="278"/>
      <c r="H46" s="278"/>
      <c r="I46" s="278"/>
      <c r="J46" s="278"/>
      <c r="K46" s="278"/>
      <c r="L46" s="258"/>
      <c r="M46" s="258"/>
      <c r="N46" s="258"/>
      <c r="O46" s="258"/>
      <c r="P46" s="258"/>
      <c r="Q46" s="258"/>
    </row>
    <row r="47">
      <c r="A47" s="270">
        <v>46.0</v>
      </c>
      <c r="B47" s="280">
        <v>46204.32916666667</v>
      </c>
      <c r="C47" s="272">
        <v>6.85979068E9</v>
      </c>
      <c r="D47" s="272" t="s">
        <v>339</v>
      </c>
      <c r="E47" s="275"/>
      <c r="F47" s="277"/>
      <c r="G47" s="277"/>
      <c r="H47" s="277"/>
      <c r="I47" s="277"/>
      <c r="J47" s="277"/>
      <c r="K47" s="277"/>
      <c r="L47" s="275"/>
      <c r="M47" s="275"/>
      <c r="N47" s="275"/>
      <c r="O47" s="275"/>
      <c r="P47" s="275"/>
      <c r="Q47" s="275"/>
    </row>
    <row r="48">
      <c r="A48" s="42">
        <v>47.0</v>
      </c>
      <c r="B48" s="281">
        <v>46204.330555555556</v>
      </c>
      <c r="C48" s="41">
        <v>1.83227873E9</v>
      </c>
      <c r="D48" s="41" t="s">
        <v>340</v>
      </c>
      <c r="E48" s="258"/>
      <c r="F48" s="278"/>
      <c r="G48" s="278"/>
      <c r="H48" s="278"/>
      <c r="I48" s="278"/>
      <c r="J48" s="278"/>
      <c r="K48" s="278"/>
      <c r="L48" s="258"/>
      <c r="M48" s="258"/>
      <c r="N48" s="258"/>
      <c r="O48" s="258"/>
      <c r="P48" s="258"/>
      <c r="Q48" s="258"/>
    </row>
    <row r="49">
      <c r="A49" s="270">
        <v>48.0</v>
      </c>
      <c r="B49" s="280">
        <v>46204.330555555556</v>
      </c>
      <c r="C49" s="272">
        <v>6.558915011E9</v>
      </c>
      <c r="D49" s="272" t="s">
        <v>341</v>
      </c>
      <c r="E49" s="275"/>
      <c r="F49" s="277"/>
      <c r="G49" s="277"/>
      <c r="H49" s="277"/>
      <c r="I49" s="277"/>
      <c r="J49" s="277"/>
      <c r="K49" s="277"/>
      <c r="L49" s="275"/>
      <c r="M49" s="275"/>
      <c r="N49" s="275"/>
      <c r="O49" s="275"/>
      <c r="P49" s="275"/>
      <c r="Q49" s="275"/>
    </row>
    <row r="50">
      <c r="A50" s="42">
        <v>49.0</v>
      </c>
      <c r="B50" s="281">
        <v>46204.33125</v>
      </c>
      <c r="C50" s="41">
        <v>6.85979068E9</v>
      </c>
      <c r="D50" s="41" t="s">
        <v>342</v>
      </c>
      <c r="E50" s="258"/>
      <c r="F50" s="278"/>
      <c r="G50" s="278"/>
      <c r="H50" s="278"/>
      <c r="I50" s="278"/>
      <c r="J50" s="278"/>
      <c r="K50" s="278"/>
      <c r="L50" s="258"/>
      <c r="M50" s="258"/>
      <c r="N50" s="258"/>
      <c r="O50" s="258"/>
      <c r="P50" s="258"/>
      <c r="Q50" s="258"/>
    </row>
    <row r="51">
      <c r="A51" s="270">
        <v>50.0</v>
      </c>
      <c r="B51" s="280">
        <v>46204.33125</v>
      </c>
      <c r="C51" s="272">
        <v>1.957172852E9</v>
      </c>
      <c r="D51" s="272" t="s">
        <v>343</v>
      </c>
      <c r="E51" s="275"/>
      <c r="F51" s="277"/>
      <c r="G51" s="277"/>
      <c r="H51" s="277"/>
      <c r="I51" s="277"/>
      <c r="J51" s="277"/>
      <c r="K51" s="277"/>
      <c r="L51" s="275"/>
      <c r="M51" s="275"/>
      <c r="N51" s="275"/>
      <c r="O51" s="275"/>
      <c r="P51" s="275"/>
      <c r="Q51" s="275"/>
    </row>
    <row r="52">
      <c r="A52" s="42">
        <v>51.0</v>
      </c>
      <c r="B52" s="281">
        <v>46204.33194444444</v>
      </c>
      <c r="C52" s="41">
        <v>6.558915011E9</v>
      </c>
      <c r="D52" s="41" t="s">
        <v>344</v>
      </c>
      <c r="E52" s="258"/>
      <c r="F52" s="278"/>
      <c r="G52" s="278"/>
      <c r="H52" s="278"/>
      <c r="I52" s="278"/>
      <c r="J52" s="278"/>
      <c r="K52" s="278"/>
      <c r="L52" s="258"/>
      <c r="M52" s="258"/>
      <c r="N52" s="258"/>
      <c r="O52" s="258"/>
      <c r="P52" s="258"/>
      <c r="Q52" s="258"/>
    </row>
    <row r="53">
      <c r="A53" s="270">
        <v>52.0</v>
      </c>
      <c r="B53" s="280">
        <v>46204.334027777775</v>
      </c>
      <c r="C53" s="272">
        <v>5.291733181E9</v>
      </c>
      <c r="D53" s="272" t="s">
        <v>345</v>
      </c>
      <c r="E53" s="275"/>
      <c r="F53" s="277"/>
      <c r="G53" s="277"/>
      <c r="H53" s="277"/>
      <c r="I53" s="277"/>
      <c r="J53" s="277"/>
      <c r="K53" s="277"/>
      <c r="L53" s="275"/>
      <c r="M53" s="275"/>
      <c r="N53" s="275"/>
      <c r="O53" s="275"/>
      <c r="P53" s="275"/>
      <c r="Q53" s="275"/>
    </row>
    <row r="54">
      <c r="A54" s="42">
        <v>53.0</v>
      </c>
      <c r="B54" s="281">
        <v>46204.33541666667</v>
      </c>
      <c r="C54" s="41">
        <v>1.957172852E9</v>
      </c>
      <c r="D54" s="41" t="s">
        <v>346</v>
      </c>
      <c r="E54" s="258"/>
      <c r="F54" s="278"/>
      <c r="G54" s="278"/>
      <c r="H54" s="278"/>
      <c r="I54" s="278"/>
      <c r="J54" s="278"/>
      <c r="K54" s="278"/>
      <c r="L54" s="258"/>
      <c r="M54" s="258"/>
      <c r="N54" s="258"/>
      <c r="O54" s="258"/>
      <c r="P54" s="258"/>
      <c r="Q54" s="258"/>
    </row>
    <row r="55">
      <c r="A55" s="270">
        <v>54.0</v>
      </c>
      <c r="B55" s="280">
        <v>46204.33611111111</v>
      </c>
      <c r="C55" s="272">
        <v>6.558915011E9</v>
      </c>
      <c r="D55" s="272" t="s">
        <v>347</v>
      </c>
      <c r="E55" s="275"/>
      <c r="F55" s="277"/>
      <c r="G55" s="277"/>
      <c r="H55" s="277"/>
      <c r="I55" s="277"/>
      <c r="J55" s="277"/>
      <c r="K55" s="277"/>
      <c r="L55" s="275"/>
      <c r="M55" s="275"/>
      <c r="N55" s="275"/>
      <c r="O55" s="275"/>
      <c r="P55" s="275"/>
      <c r="Q55" s="275"/>
    </row>
    <row r="56">
      <c r="A56" s="42">
        <v>55.0</v>
      </c>
      <c r="B56" s="281">
        <v>46204.85833333333</v>
      </c>
      <c r="C56" s="41">
        <v>1.957172852E9</v>
      </c>
      <c r="D56" s="41" t="s">
        <v>348</v>
      </c>
      <c r="E56" s="258"/>
      <c r="F56" s="279" t="s">
        <v>349</v>
      </c>
      <c r="G56" s="278"/>
      <c r="H56" s="278"/>
      <c r="I56" s="278"/>
      <c r="J56" s="278"/>
      <c r="K56" s="278"/>
      <c r="L56" s="258"/>
      <c r="M56" s="258"/>
      <c r="N56" s="258"/>
      <c r="O56" s="258"/>
      <c r="P56" s="258"/>
      <c r="Q56" s="258"/>
    </row>
    <row r="57">
      <c r="F57" s="269"/>
      <c r="G57" s="269"/>
      <c r="H57" s="269"/>
      <c r="I57" s="269"/>
      <c r="J57" s="269"/>
      <c r="K57" s="269"/>
    </row>
    <row r="58">
      <c r="F58" s="269"/>
      <c r="G58" s="269"/>
      <c r="H58" s="269"/>
      <c r="I58" s="269"/>
      <c r="J58" s="269"/>
      <c r="K58" s="269"/>
    </row>
    <row r="59">
      <c r="F59" s="269"/>
      <c r="G59" s="269"/>
      <c r="H59" s="269"/>
      <c r="I59" s="269"/>
      <c r="J59" s="269"/>
      <c r="K59" s="269"/>
    </row>
    <row r="60">
      <c r="F60" s="269"/>
      <c r="G60" s="269"/>
      <c r="H60" s="269"/>
      <c r="I60" s="269"/>
      <c r="J60" s="269"/>
      <c r="K60" s="269"/>
    </row>
    <row r="61">
      <c r="F61" s="269"/>
      <c r="G61" s="269"/>
      <c r="H61" s="269"/>
      <c r="I61" s="269"/>
      <c r="J61" s="269"/>
      <c r="K61" s="269"/>
    </row>
    <row r="62">
      <c r="F62" s="269"/>
      <c r="G62" s="269"/>
      <c r="H62" s="269"/>
      <c r="I62" s="269"/>
      <c r="J62" s="269"/>
      <c r="K62" s="269"/>
    </row>
    <row r="63">
      <c r="F63" s="269"/>
      <c r="G63" s="269"/>
      <c r="H63" s="269"/>
      <c r="I63" s="269"/>
      <c r="J63" s="269"/>
      <c r="K63" s="269"/>
    </row>
    <row r="64">
      <c r="F64" s="269"/>
      <c r="G64" s="269"/>
      <c r="H64" s="269"/>
      <c r="I64" s="269"/>
      <c r="J64" s="269"/>
      <c r="K64" s="269"/>
    </row>
    <row r="65">
      <c r="F65" s="269"/>
      <c r="G65" s="269"/>
      <c r="H65" s="269"/>
      <c r="I65" s="269"/>
      <c r="J65" s="269"/>
      <c r="K65" s="269"/>
    </row>
    <row r="66">
      <c r="F66" s="269"/>
      <c r="G66" s="269"/>
      <c r="H66" s="269"/>
      <c r="I66" s="269"/>
      <c r="J66" s="269"/>
      <c r="K66" s="269"/>
    </row>
    <row r="67">
      <c r="F67" s="269"/>
      <c r="G67" s="269"/>
      <c r="H67" s="269"/>
      <c r="I67" s="269"/>
      <c r="J67" s="269"/>
      <c r="K67" s="269"/>
    </row>
    <row r="68">
      <c r="F68" s="269"/>
      <c r="G68" s="269"/>
      <c r="H68" s="269"/>
      <c r="I68" s="269"/>
      <c r="J68" s="269"/>
      <c r="K68" s="269"/>
    </row>
    <row r="69">
      <c r="F69" s="269"/>
      <c r="G69" s="269"/>
      <c r="H69" s="269"/>
      <c r="I69" s="269"/>
      <c r="J69" s="269"/>
      <c r="K69" s="269"/>
    </row>
    <row r="70">
      <c r="F70" s="269"/>
      <c r="G70" s="269"/>
      <c r="H70" s="269"/>
      <c r="I70" s="269"/>
      <c r="J70" s="269"/>
      <c r="K70" s="269"/>
    </row>
    <row r="71">
      <c r="F71" s="269"/>
      <c r="G71" s="269"/>
      <c r="H71" s="269"/>
      <c r="I71" s="269"/>
      <c r="J71" s="269"/>
      <c r="K71" s="269"/>
    </row>
    <row r="72">
      <c r="F72" s="269"/>
      <c r="G72" s="269"/>
      <c r="H72" s="269"/>
      <c r="I72" s="269"/>
      <c r="J72" s="269"/>
      <c r="K72" s="269"/>
    </row>
    <row r="73">
      <c r="F73" s="269"/>
      <c r="G73" s="269"/>
      <c r="H73" s="269"/>
      <c r="I73" s="269"/>
      <c r="J73" s="269"/>
      <c r="K73" s="269"/>
    </row>
    <row r="74">
      <c r="F74" s="269"/>
      <c r="G74" s="269"/>
      <c r="H74" s="269"/>
      <c r="I74" s="269"/>
      <c r="J74" s="269"/>
      <c r="K74" s="269"/>
    </row>
    <row r="75">
      <c r="F75" s="269"/>
      <c r="G75" s="269"/>
      <c r="H75" s="269"/>
      <c r="I75" s="269"/>
      <c r="J75" s="269"/>
      <c r="K75" s="269"/>
    </row>
    <row r="76">
      <c r="F76" s="269"/>
      <c r="G76" s="269"/>
      <c r="H76" s="269"/>
      <c r="I76" s="269"/>
      <c r="J76" s="269"/>
      <c r="K76" s="269"/>
    </row>
    <row r="77">
      <c r="F77" s="269"/>
      <c r="G77" s="269"/>
      <c r="H77" s="269"/>
      <c r="I77" s="269"/>
      <c r="J77" s="269"/>
      <c r="K77" s="269"/>
    </row>
    <row r="78">
      <c r="F78" s="269"/>
      <c r="G78" s="269"/>
      <c r="H78" s="269"/>
      <c r="I78" s="269"/>
      <c r="J78" s="269"/>
      <c r="K78" s="269"/>
    </row>
    <row r="79">
      <c r="F79" s="269"/>
      <c r="G79" s="269"/>
      <c r="H79" s="269"/>
      <c r="I79" s="269"/>
      <c r="J79" s="269"/>
      <c r="K79" s="269"/>
    </row>
    <row r="80">
      <c r="F80" s="269"/>
      <c r="G80" s="269"/>
      <c r="H80" s="269"/>
      <c r="I80" s="269"/>
      <c r="J80" s="269"/>
      <c r="K80" s="269"/>
    </row>
    <row r="81">
      <c r="F81" s="269"/>
      <c r="G81" s="269"/>
      <c r="H81" s="269"/>
      <c r="I81" s="269"/>
      <c r="J81" s="269"/>
      <c r="K81" s="269"/>
    </row>
    <row r="82">
      <c r="F82" s="269"/>
      <c r="G82" s="269"/>
      <c r="H82" s="269"/>
      <c r="I82" s="269"/>
      <c r="J82" s="269"/>
      <c r="K82" s="269"/>
    </row>
    <row r="83">
      <c r="F83" s="269"/>
      <c r="G83" s="269"/>
      <c r="H83" s="269"/>
      <c r="I83" s="269"/>
      <c r="J83" s="269"/>
      <c r="K83" s="269"/>
    </row>
    <row r="84">
      <c r="F84" s="269"/>
      <c r="G84" s="269"/>
      <c r="H84" s="269"/>
      <c r="I84" s="269"/>
      <c r="J84" s="269"/>
      <c r="K84" s="269"/>
    </row>
    <row r="85">
      <c r="F85" s="269"/>
      <c r="G85" s="269"/>
      <c r="H85" s="269"/>
      <c r="I85" s="269"/>
      <c r="J85" s="269"/>
      <c r="K85" s="269"/>
    </row>
    <row r="86">
      <c r="F86" s="269"/>
      <c r="G86" s="269"/>
      <c r="H86" s="269"/>
      <c r="I86" s="269"/>
      <c r="J86" s="269"/>
      <c r="K86" s="269"/>
    </row>
    <row r="87">
      <c r="F87" s="269"/>
      <c r="G87" s="269"/>
      <c r="H87" s="269"/>
      <c r="I87" s="269"/>
      <c r="J87" s="269"/>
      <c r="K87" s="269"/>
    </row>
    <row r="88">
      <c r="F88" s="269"/>
      <c r="G88" s="269"/>
      <c r="H88" s="269"/>
      <c r="I88" s="269"/>
      <c r="J88" s="269"/>
      <c r="K88" s="269"/>
    </row>
    <row r="89">
      <c r="F89" s="269"/>
      <c r="G89" s="269"/>
      <c r="H89" s="269"/>
      <c r="I89" s="269"/>
      <c r="J89" s="269"/>
      <c r="K89" s="269"/>
    </row>
    <row r="90">
      <c r="F90" s="269"/>
      <c r="G90" s="269"/>
      <c r="H90" s="269"/>
      <c r="I90" s="269"/>
      <c r="J90" s="269"/>
      <c r="K90" s="269"/>
    </row>
    <row r="91">
      <c r="F91" s="269"/>
      <c r="G91" s="269"/>
      <c r="H91" s="269"/>
      <c r="I91" s="269"/>
      <c r="J91" s="269"/>
      <c r="K91" s="269"/>
    </row>
    <row r="92">
      <c r="F92" s="269"/>
      <c r="G92" s="269"/>
      <c r="H92" s="269"/>
      <c r="I92" s="269"/>
      <c r="J92" s="269"/>
      <c r="K92" s="269"/>
    </row>
    <row r="93">
      <c r="F93" s="269"/>
      <c r="G93" s="269"/>
      <c r="H93" s="269"/>
      <c r="I93" s="269"/>
      <c r="J93" s="269"/>
      <c r="K93" s="269"/>
    </row>
    <row r="94">
      <c r="F94" s="269"/>
      <c r="G94" s="269"/>
      <c r="H94" s="269"/>
      <c r="I94" s="269"/>
      <c r="J94" s="269"/>
      <c r="K94" s="269"/>
    </row>
    <row r="95">
      <c r="F95" s="269"/>
      <c r="G95" s="269"/>
      <c r="H95" s="269"/>
      <c r="I95" s="269"/>
      <c r="J95" s="269"/>
      <c r="K95" s="269"/>
    </row>
    <row r="96">
      <c r="F96" s="269"/>
      <c r="G96" s="269"/>
      <c r="H96" s="269"/>
      <c r="I96" s="269"/>
      <c r="J96" s="269"/>
      <c r="K96" s="269"/>
    </row>
    <row r="97">
      <c r="F97" s="269"/>
      <c r="G97" s="269"/>
      <c r="H97" s="269"/>
      <c r="I97" s="269"/>
      <c r="J97" s="269"/>
      <c r="K97" s="269"/>
    </row>
    <row r="98">
      <c r="F98" s="269"/>
      <c r="G98" s="269"/>
      <c r="H98" s="269"/>
      <c r="I98" s="269"/>
      <c r="J98" s="269"/>
      <c r="K98" s="269"/>
    </row>
    <row r="99">
      <c r="F99" s="269"/>
      <c r="G99" s="269"/>
      <c r="H99" s="269"/>
      <c r="I99" s="269"/>
      <c r="J99" s="269"/>
      <c r="K99" s="269"/>
    </row>
    <row r="100">
      <c r="F100" s="269"/>
      <c r="G100" s="269"/>
      <c r="H100" s="269"/>
      <c r="I100" s="269"/>
      <c r="J100" s="269"/>
      <c r="K100" s="269"/>
    </row>
    <row r="101">
      <c r="F101" s="269"/>
      <c r="G101" s="269"/>
      <c r="H101" s="269"/>
      <c r="I101" s="269"/>
      <c r="J101" s="269"/>
      <c r="K101" s="269"/>
    </row>
    <row r="102">
      <c r="F102" s="269"/>
      <c r="G102" s="269"/>
      <c r="H102" s="269"/>
      <c r="I102" s="269"/>
      <c r="J102" s="269"/>
      <c r="K102" s="269"/>
    </row>
    <row r="103">
      <c r="F103" s="269"/>
      <c r="G103" s="269"/>
      <c r="H103" s="269"/>
      <c r="I103" s="269"/>
      <c r="J103" s="269"/>
      <c r="K103" s="269"/>
    </row>
    <row r="104">
      <c r="F104" s="269"/>
      <c r="G104" s="269"/>
      <c r="H104" s="269"/>
      <c r="I104" s="269"/>
      <c r="J104" s="269"/>
      <c r="K104" s="269"/>
    </row>
    <row r="105">
      <c r="F105" s="269"/>
      <c r="G105" s="269"/>
      <c r="H105" s="269"/>
      <c r="I105" s="269"/>
      <c r="J105" s="269"/>
      <c r="K105" s="269"/>
    </row>
    <row r="106">
      <c r="F106" s="269"/>
      <c r="G106" s="269"/>
      <c r="H106" s="269"/>
      <c r="I106" s="269"/>
      <c r="J106" s="269"/>
      <c r="K106" s="269"/>
    </row>
    <row r="107">
      <c r="F107" s="269"/>
      <c r="G107" s="269"/>
      <c r="H107" s="269"/>
      <c r="I107" s="269"/>
      <c r="J107" s="269"/>
      <c r="K107" s="269"/>
    </row>
    <row r="108">
      <c r="F108" s="269"/>
      <c r="G108" s="269"/>
      <c r="H108" s="269"/>
      <c r="I108" s="269"/>
      <c r="J108" s="269"/>
      <c r="K108" s="269"/>
    </row>
    <row r="109">
      <c r="F109" s="269"/>
      <c r="G109" s="269"/>
      <c r="H109" s="269"/>
      <c r="I109" s="269"/>
      <c r="J109" s="269"/>
      <c r="K109" s="269"/>
    </row>
    <row r="110">
      <c r="F110" s="269"/>
      <c r="G110" s="269"/>
      <c r="H110" s="269"/>
      <c r="I110" s="269"/>
      <c r="J110" s="269"/>
      <c r="K110" s="269"/>
    </row>
    <row r="111">
      <c r="F111" s="269"/>
      <c r="G111" s="269"/>
      <c r="H111" s="269"/>
      <c r="I111" s="269"/>
      <c r="J111" s="269"/>
      <c r="K111" s="269"/>
    </row>
    <row r="112">
      <c r="F112" s="269"/>
      <c r="G112" s="269"/>
      <c r="H112" s="269"/>
      <c r="I112" s="269"/>
      <c r="J112" s="269"/>
      <c r="K112" s="269"/>
    </row>
    <row r="113">
      <c r="F113" s="269"/>
      <c r="G113" s="269"/>
      <c r="H113" s="269"/>
      <c r="I113" s="269"/>
      <c r="J113" s="269"/>
      <c r="K113" s="269"/>
    </row>
    <row r="114">
      <c r="F114" s="269"/>
      <c r="G114" s="269"/>
      <c r="H114" s="269"/>
      <c r="I114" s="269"/>
      <c r="J114" s="269"/>
      <c r="K114" s="269"/>
    </row>
    <row r="115">
      <c r="F115" s="269"/>
      <c r="G115" s="269"/>
      <c r="H115" s="269"/>
      <c r="I115" s="269"/>
      <c r="J115" s="269"/>
      <c r="K115" s="269"/>
    </row>
    <row r="116">
      <c r="F116" s="269"/>
      <c r="G116" s="269"/>
      <c r="H116" s="269"/>
      <c r="I116" s="269"/>
      <c r="J116" s="269"/>
      <c r="K116" s="269"/>
    </row>
    <row r="117">
      <c r="F117" s="269"/>
      <c r="G117" s="269"/>
      <c r="H117" s="269"/>
      <c r="I117" s="269"/>
      <c r="J117" s="269"/>
      <c r="K117" s="269"/>
    </row>
    <row r="118">
      <c r="F118" s="269"/>
      <c r="G118" s="269"/>
      <c r="H118" s="269"/>
      <c r="I118" s="269"/>
      <c r="J118" s="269"/>
      <c r="K118" s="269"/>
    </row>
    <row r="119">
      <c r="F119" s="269"/>
      <c r="G119" s="269"/>
      <c r="H119" s="269"/>
      <c r="I119" s="269"/>
      <c r="J119" s="269"/>
      <c r="K119" s="269"/>
    </row>
    <row r="120">
      <c r="F120" s="269"/>
      <c r="G120" s="269"/>
      <c r="H120" s="269"/>
      <c r="I120" s="269"/>
      <c r="J120" s="269"/>
      <c r="K120" s="269"/>
    </row>
    <row r="121">
      <c r="F121" s="269"/>
      <c r="G121" s="269"/>
      <c r="H121" s="269"/>
      <c r="I121" s="269"/>
      <c r="J121" s="269"/>
      <c r="K121" s="269"/>
    </row>
    <row r="122">
      <c r="F122" s="269"/>
      <c r="G122" s="269"/>
      <c r="H122" s="269"/>
      <c r="I122" s="269"/>
      <c r="J122" s="269"/>
      <c r="K122" s="269"/>
    </row>
    <row r="123">
      <c r="F123" s="269"/>
      <c r="G123" s="269"/>
      <c r="H123" s="269"/>
      <c r="I123" s="269"/>
      <c r="J123" s="269"/>
      <c r="K123" s="269"/>
    </row>
    <row r="124">
      <c r="F124" s="269"/>
      <c r="G124" s="269"/>
      <c r="H124" s="269"/>
      <c r="I124" s="269"/>
      <c r="J124" s="269"/>
      <c r="K124" s="269"/>
    </row>
    <row r="125">
      <c r="F125" s="269"/>
      <c r="G125" s="269"/>
      <c r="H125" s="269"/>
      <c r="I125" s="269"/>
      <c r="J125" s="269"/>
      <c r="K125" s="269"/>
    </row>
    <row r="126">
      <c r="F126" s="269"/>
      <c r="G126" s="269"/>
      <c r="H126" s="269"/>
      <c r="I126" s="269"/>
      <c r="J126" s="269"/>
      <c r="K126" s="269"/>
    </row>
    <row r="127">
      <c r="F127" s="269"/>
      <c r="G127" s="269"/>
      <c r="H127" s="269"/>
      <c r="I127" s="269"/>
      <c r="J127" s="269"/>
      <c r="K127" s="269"/>
    </row>
    <row r="128">
      <c r="F128" s="269"/>
      <c r="G128" s="269"/>
      <c r="H128" s="269"/>
      <c r="I128" s="269"/>
      <c r="J128" s="269"/>
      <c r="K128" s="269"/>
    </row>
    <row r="129">
      <c r="F129" s="269"/>
      <c r="G129" s="269"/>
      <c r="H129" s="269"/>
      <c r="I129" s="269"/>
      <c r="J129" s="269"/>
      <c r="K129" s="269"/>
    </row>
    <row r="130">
      <c r="F130" s="269"/>
      <c r="G130" s="269"/>
      <c r="H130" s="269"/>
      <c r="I130" s="269"/>
      <c r="J130" s="269"/>
      <c r="K130" s="269"/>
    </row>
    <row r="131">
      <c r="F131" s="269"/>
      <c r="G131" s="269"/>
      <c r="H131" s="269"/>
      <c r="I131" s="269"/>
      <c r="J131" s="269"/>
      <c r="K131" s="269"/>
    </row>
    <row r="132">
      <c r="F132" s="269"/>
      <c r="G132" s="269"/>
      <c r="H132" s="269"/>
      <c r="I132" s="269"/>
      <c r="J132" s="269"/>
      <c r="K132" s="269"/>
    </row>
    <row r="133">
      <c r="F133" s="269"/>
      <c r="G133" s="269"/>
      <c r="H133" s="269"/>
      <c r="I133" s="269"/>
      <c r="J133" s="269"/>
      <c r="K133" s="269"/>
    </row>
    <row r="134">
      <c r="F134" s="269"/>
      <c r="G134" s="269"/>
      <c r="H134" s="269"/>
      <c r="I134" s="269"/>
      <c r="J134" s="269"/>
      <c r="K134" s="269"/>
    </row>
    <row r="135">
      <c r="F135" s="269"/>
      <c r="G135" s="269"/>
      <c r="H135" s="269"/>
      <c r="I135" s="269"/>
      <c r="J135" s="269"/>
      <c r="K135" s="269"/>
    </row>
    <row r="136">
      <c r="F136" s="269"/>
      <c r="G136" s="269"/>
      <c r="H136" s="269"/>
      <c r="I136" s="269"/>
      <c r="J136" s="269"/>
      <c r="K136" s="269"/>
    </row>
    <row r="137">
      <c r="F137" s="269"/>
      <c r="G137" s="269"/>
      <c r="H137" s="269"/>
      <c r="I137" s="269"/>
      <c r="J137" s="269"/>
      <c r="K137" s="269"/>
    </row>
    <row r="138">
      <c r="F138" s="269"/>
      <c r="G138" s="269"/>
      <c r="H138" s="269"/>
      <c r="I138" s="269"/>
      <c r="J138" s="269"/>
      <c r="K138" s="269"/>
    </row>
    <row r="139">
      <c r="F139" s="269"/>
      <c r="G139" s="269"/>
      <c r="H139" s="269"/>
      <c r="I139" s="269"/>
      <c r="J139" s="269"/>
      <c r="K139" s="269"/>
    </row>
    <row r="140">
      <c r="F140" s="269"/>
      <c r="G140" s="269"/>
      <c r="H140" s="269"/>
      <c r="I140" s="269"/>
      <c r="J140" s="269"/>
      <c r="K140" s="269"/>
    </row>
    <row r="141">
      <c r="F141" s="269"/>
      <c r="G141" s="269"/>
      <c r="H141" s="269"/>
      <c r="I141" s="269"/>
      <c r="J141" s="269"/>
      <c r="K141" s="269"/>
    </row>
    <row r="142">
      <c r="F142" s="269"/>
      <c r="G142" s="269"/>
      <c r="H142" s="269"/>
      <c r="I142" s="269"/>
      <c r="J142" s="269"/>
      <c r="K142" s="269"/>
    </row>
    <row r="143">
      <c r="F143" s="269"/>
      <c r="G143" s="269"/>
      <c r="H143" s="269"/>
      <c r="I143" s="269"/>
      <c r="J143" s="269"/>
      <c r="K143" s="269"/>
    </row>
    <row r="144">
      <c r="F144" s="269"/>
      <c r="G144" s="269"/>
      <c r="H144" s="269"/>
      <c r="I144" s="269"/>
      <c r="J144" s="269"/>
      <c r="K144" s="269"/>
    </row>
    <row r="145">
      <c r="F145" s="269"/>
      <c r="G145" s="269"/>
      <c r="H145" s="269"/>
      <c r="I145" s="269"/>
      <c r="J145" s="269"/>
      <c r="K145" s="269"/>
    </row>
    <row r="146">
      <c r="F146" s="269"/>
      <c r="G146" s="269"/>
      <c r="H146" s="269"/>
      <c r="I146" s="269"/>
      <c r="J146" s="269"/>
      <c r="K146" s="269"/>
    </row>
    <row r="147">
      <c r="F147" s="269"/>
      <c r="G147" s="269"/>
      <c r="H147" s="269"/>
      <c r="I147" s="269"/>
      <c r="J147" s="269"/>
      <c r="K147" s="269"/>
    </row>
    <row r="148">
      <c r="F148" s="269"/>
      <c r="G148" s="269"/>
      <c r="H148" s="269"/>
      <c r="I148" s="269"/>
      <c r="J148" s="269"/>
      <c r="K148" s="269"/>
    </row>
    <row r="149">
      <c r="F149" s="269"/>
      <c r="G149" s="269"/>
      <c r="H149" s="269"/>
      <c r="I149" s="269"/>
      <c r="J149" s="269"/>
      <c r="K149" s="269"/>
    </row>
    <row r="150">
      <c r="F150" s="269"/>
      <c r="G150" s="269"/>
      <c r="H150" s="269"/>
      <c r="I150" s="269"/>
      <c r="J150" s="269"/>
      <c r="K150" s="269"/>
    </row>
    <row r="151">
      <c r="F151" s="269"/>
      <c r="G151" s="269"/>
      <c r="H151" s="269"/>
      <c r="I151" s="269"/>
      <c r="J151" s="269"/>
      <c r="K151" s="269"/>
    </row>
    <row r="152">
      <c r="F152" s="269"/>
      <c r="G152" s="269"/>
      <c r="H152" s="269"/>
      <c r="I152" s="269"/>
      <c r="J152" s="269"/>
      <c r="K152" s="269"/>
    </row>
    <row r="153">
      <c r="F153" s="269"/>
      <c r="G153" s="269"/>
      <c r="H153" s="269"/>
      <c r="I153" s="269"/>
      <c r="J153" s="269"/>
      <c r="K153" s="269"/>
    </row>
    <row r="154">
      <c r="F154" s="269"/>
      <c r="G154" s="269"/>
      <c r="H154" s="269"/>
      <c r="I154" s="269"/>
      <c r="J154" s="269"/>
      <c r="K154" s="269"/>
    </row>
    <row r="155">
      <c r="F155" s="269"/>
      <c r="G155" s="269"/>
      <c r="H155" s="269"/>
      <c r="I155" s="269"/>
      <c r="J155" s="269"/>
      <c r="K155" s="269"/>
    </row>
    <row r="156">
      <c r="F156" s="269"/>
      <c r="G156" s="269"/>
      <c r="H156" s="269"/>
      <c r="I156" s="269"/>
      <c r="J156" s="269"/>
      <c r="K156" s="269"/>
    </row>
    <row r="157">
      <c r="F157" s="269"/>
      <c r="G157" s="269"/>
      <c r="H157" s="269"/>
      <c r="I157" s="269"/>
      <c r="J157" s="269"/>
      <c r="K157" s="269"/>
    </row>
    <row r="158">
      <c r="F158" s="269"/>
      <c r="G158" s="269"/>
      <c r="H158" s="269"/>
      <c r="I158" s="269"/>
      <c r="J158" s="269"/>
      <c r="K158" s="269"/>
    </row>
    <row r="159">
      <c r="F159" s="269"/>
      <c r="G159" s="269"/>
      <c r="H159" s="269"/>
      <c r="I159" s="269"/>
      <c r="J159" s="269"/>
      <c r="K159" s="269"/>
    </row>
    <row r="160">
      <c r="F160" s="269"/>
      <c r="G160" s="269"/>
      <c r="H160" s="269"/>
      <c r="I160" s="269"/>
      <c r="J160" s="269"/>
      <c r="K160" s="269"/>
    </row>
    <row r="161">
      <c r="F161" s="269"/>
      <c r="G161" s="269"/>
      <c r="H161" s="269"/>
      <c r="I161" s="269"/>
      <c r="J161" s="269"/>
      <c r="K161" s="269"/>
    </row>
    <row r="162">
      <c r="F162" s="269"/>
      <c r="G162" s="269"/>
      <c r="H162" s="269"/>
      <c r="I162" s="269"/>
      <c r="J162" s="269"/>
      <c r="K162" s="269"/>
    </row>
    <row r="163">
      <c r="F163" s="269"/>
      <c r="G163" s="269"/>
      <c r="H163" s="269"/>
      <c r="I163" s="269"/>
      <c r="J163" s="269"/>
      <c r="K163" s="269"/>
    </row>
    <row r="164">
      <c r="F164" s="269"/>
      <c r="G164" s="269"/>
      <c r="H164" s="269"/>
      <c r="I164" s="269"/>
      <c r="J164" s="269"/>
      <c r="K164" s="269"/>
    </row>
    <row r="165">
      <c r="F165" s="269"/>
      <c r="G165" s="269"/>
      <c r="H165" s="269"/>
      <c r="I165" s="269"/>
      <c r="J165" s="269"/>
      <c r="K165" s="269"/>
    </row>
    <row r="166">
      <c r="F166" s="269"/>
      <c r="G166" s="269"/>
      <c r="H166" s="269"/>
      <c r="I166" s="269"/>
      <c r="J166" s="269"/>
      <c r="K166" s="269"/>
    </row>
    <row r="167">
      <c r="F167" s="269"/>
      <c r="G167" s="269"/>
      <c r="H167" s="269"/>
      <c r="I167" s="269"/>
      <c r="J167" s="269"/>
      <c r="K167" s="269"/>
    </row>
    <row r="168">
      <c r="F168" s="269"/>
      <c r="G168" s="269"/>
      <c r="H168" s="269"/>
      <c r="I168" s="269"/>
      <c r="J168" s="269"/>
      <c r="K168" s="269"/>
    </row>
    <row r="169">
      <c r="F169" s="269"/>
      <c r="G169" s="269"/>
      <c r="H169" s="269"/>
      <c r="I169" s="269"/>
      <c r="J169" s="269"/>
      <c r="K169" s="269"/>
    </row>
    <row r="170">
      <c r="F170" s="269"/>
      <c r="G170" s="269"/>
      <c r="H170" s="269"/>
      <c r="I170" s="269"/>
      <c r="J170" s="269"/>
      <c r="K170" s="269"/>
    </row>
    <row r="171">
      <c r="F171" s="269"/>
      <c r="G171" s="269"/>
      <c r="H171" s="269"/>
      <c r="I171" s="269"/>
      <c r="J171" s="269"/>
      <c r="K171" s="269"/>
    </row>
    <row r="172">
      <c r="F172" s="269"/>
      <c r="G172" s="269"/>
      <c r="H172" s="269"/>
      <c r="I172" s="269"/>
      <c r="J172" s="269"/>
      <c r="K172" s="269"/>
    </row>
    <row r="173">
      <c r="F173" s="269"/>
      <c r="G173" s="269"/>
      <c r="H173" s="269"/>
      <c r="I173" s="269"/>
      <c r="J173" s="269"/>
      <c r="K173" s="269"/>
    </row>
    <row r="174">
      <c r="F174" s="269"/>
      <c r="G174" s="269"/>
      <c r="H174" s="269"/>
      <c r="I174" s="269"/>
      <c r="J174" s="269"/>
      <c r="K174" s="269"/>
    </row>
    <row r="175">
      <c r="F175" s="269"/>
      <c r="G175" s="269"/>
      <c r="H175" s="269"/>
      <c r="I175" s="269"/>
      <c r="J175" s="269"/>
      <c r="K175" s="269"/>
    </row>
    <row r="176">
      <c r="F176" s="269"/>
      <c r="G176" s="269"/>
      <c r="H176" s="269"/>
      <c r="I176" s="269"/>
      <c r="J176" s="269"/>
      <c r="K176" s="269"/>
    </row>
    <row r="177">
      <c r="F177" s="269"/>
      <c r="G177" s="269"/>
      <c r="H177" s="269"/>
      <c r="I177" s="269"/>
      <c r="J177" s="269"/>
      <c r="K177" s="269"/>
    </row>
    <row r="178">
      <c r="F178" s="269"/>
      <c r="G178" s="269"/>
      <c r="H178" s="269"/>
      <c r="I178" s="269"/>
      <c r="J178" s="269"/>
      <c r="K178" s="269"/>
    </row>
    <row r="179">
      <c r="F179" s="269"/>
      <c r="G179" s="269"/>
      <c r="H179" s="269"/>
      <c r="I179" s="269"/>
      <c r="J179" s="269"/>
      <c r="K179" s="269"/>
    </row>
    <row r="180">
      <c r="F180" s="269"/>
      <c r="G180" s="269"/>
      <c r="H180" s="269"/>
      <c r="I180" s="269"/>
      <c r="J180" s="269"/>
      <c r="K180" s="269"/>
    </row>
    <row r="181">
      <c r="F181" s="269"/>
      <c r="G181" s="269"/>
      <c r="H181" s="269"/>
      <c r="I181" s="269"/>
      <c r="J181" s="269"/>
      <c r="K181" s="269"/>
    </row>
    <row r="182">
      <c r="F182" s="269"/>
      <c r="G182" s="269"/>
      <c r="H182" s="269"/>
      <c r="I182" s="269"/>
      <c r="J182" s="269"/>
      <c r="K182" s="269"/>
    </row>
    <row r="183">
      <c r="F183" s="269"/>
      <c r="G183" s="269"/>
      <c r="H183" s="269"/>
      <c r="I183" s="269"/>
      <c r="J183" s="269"/>
      <c r="K183" s="269"/>
    </row>
    <row r="184">
      <c r="F184" s="269"/>
      <c r="G184" s="269"/>
      <c r="H184" s="269"/>
      <c r="I184" s="269"/>
      <c r="J184" s="269"/>
      <c r="K184" s="269"/>
    </row>
    <row r="185">
      <c r="F185" s="269"/>
      <c r="G185" s="269"/>
      <c r="H185" s="269"/>
      <c r="I185" s="269"/>
      <c r="J185" s="269"/>
      <c r="K185" s="269"/>
    </row>
    <row r="186">
      <c r="F186" s="269"/>
      <c r="G186" s="269"/>
      <c r="H186" s="269"/>
      <c r="I186" s="269"/>
      <c r="J186" s="269"/>
      <c r="K186" s="269"/>
    </row>
    <row r="187">
      <c r="F187" s="269"/>
      <c r="G187" s="269"/>
      <c r="H187" s="269"/>
      <c r="I187" s="269"/>
      <c r="J187" s="269"/>
      <c r="K187" s="269"/>
    </row>
    <row r="188">
      <c r="F188" s="269"/>
      <c r="G188" s="269"/>
      <c r="H188" s="269"/>
      <c r="I188" s="269"/>
      <c r="J188" s="269"/>
      <c r="K188" s="269"/>
    </row>
    <row r="189">
      <c r="F189" s="269"/>
      <c r="G189" s="269"/>
      <c r="H189" s="269"/>
      <c r="I189" s="269"/>
      <c r="J189" s="269"/>
      <c r="K189" s="269"/>
    </row>
    <row r="190">
      <c r="F190" s="269"/>
      <c r="G190" s="269"/>
      <c r="H190" s="269"/>
      <c r="I190" s="269"/>
      <c r="J190" s="269"/>
      <c r="K190" s="269"/>
    </row>
    <row r="191">
      <c r="F191" s="269"/>
      <c r="G191" s="269"/>
      <c r="H191" s="269"/>
      <c r="I191" s="269"/>
      <c r="J191" s="269"/>
      <c r="K191" s="269"/>
    </row>
    <row r="192">
      <c r="F192" s="269"/>
      <c r="G192" s="269"/>
      <c r="H192" s="269"/>
      <c r="I192" s="269"/>
      <c r="J192" s="269"/>
      <c r="K192" s="269"/>
    </row>
    <row r="193">
      <c r="F193" s="269"/>
      <c r="G193" s="269"/>
      <c r="H193" s="269"/>
      <c r="I193" s="269"/>
      <c r="J193" s="269"/>
      <c r="K193" s="269"/>
    </row>
    <row r="194">
      <c r="F194" s="269"/>
      <c r="G194" s="269"/>
      <c r="H194" s="269"/>
      <c r="I194" s="269"/>
      <c r="J194" s="269"/>
      <c r="K194" s="269"/>
    </row>
    <row r="195">
      <c r="F195" s="269"/>
      <c r="G195" s="269"/>
      <c r="H195" s="269"/>
      <c r="I195" s="269"/>
      <c r="J195" s="269"/>
      <c r="K195" s="269"/>
    </row>
    <row r="196">
      <c r="F196" s="269"/>
      <c r="G196" s="269"/>
      <c r="H196" s="269"/>
      <c r="I196" s="269"/>
      <c r="J196" s="269"/>
      <c r="K196" s="269"/>
    </row>
    <row r="197">
      <c r="F197" s="269"/>
      <c r="G197" s="269"/>
      <c r="H197" s="269"/>
      <c r="I197" s="269"/>
      <c r="J197" s="269"/>
      <c r="K197" s="269"/>
    </row>
    <row r="198">
      <c r="F198" s="269"/>
      <c r="G198" s="269"/>
      <c r="H198" s="269"/>
      <c r="I198" s="269"/>
      <c r="J198" s="269"/>
      <c r="K198" s="269"/>
    </row>
    <row r="199">
      <c r="F199" s="269"/>
      <c r="G199" s="269"/>
      <c r="H199" s="269"/>
      <c r="I199" s="269"/>
      <c r="J199" s="269"/>
      <c r="K199" s="269"/>
    </row>
    <row r="200">
      <c r="F200" s="269"/>
      <c r="G200" s="269"/>
      <c r="H200" s="269"/>
      <c r="I200" s="269"/>
      <c r="J200" s="269"/>
      <c r="K200" s="269"/>
    </row>
    <row r="201">
      <c r="F201" s="269"/>
      <c r="G201" s="269"/>
      <c r="H201" s="269"/>
      <c r="I201" s="269"/>
      <c r="J201" s="269"/>
      <c r="K201" s="269"/>
    </row>
    <row r="202">
      <c r="F202" s="269"/>
      <c r="G202" s="269"/>
      <c r="H202" s="269"/>
      <c r="I202" s="269"/>
      <c r="J202" s="269"/>
      <c r="K202" s="269"/>
    </row>
    <row r="203">
      <c r="F203" s="269"/>
      <c r="G203" s="269"/>
      <c r="H203" s="269"/>
      <c r="I203" s="269"/>
      <c r="J203" s="269"/>
      <c r="K203" s="269"/>
    </row>
    <row r="204">
      <c r="F204" s="269"/>
      <c r="G204" s="269"/>
      <c r="H204" s="269"/>
      <c r="I204" s="269"/>
      <c r="J204" s="269"/>
      <c r="K204" s="269"/>
    </row>
    <row r="205">
      <c r="F205" s="269"/>
      <c r="G205" s="269"/>
      <c r="H205" s="269"/>
      <c r="I205" s="269"/>
      <c r="J205" s="269"/>
      <c r="K205" s="269"/>
    </row>
    <row r="206">
      <c r="F206" s="269"/>
      <c r="G206" s="269"/>
      <c r="H206" s="269"/>
      <c r="I206" s="269"/>
      <c r="J206" s="269"/>
      <c r="K206" s="269"/>
    </row>
    <row r="207">
      <c r="F207" s="269"/>
      <c r="G207" s="269"/>
      <c r="H207" s="269"/>
      <c r="I207" s="269"/>
      <c r="J207" s="269"/>
      <c r="K207" s="269"/>
    </row>
    <row r="208">
      <c r="F208" s="269"/>
      <c r="G208" s="269"/>
      <c r="H208" s="269"/>
      <c r="I208" s="269"/>
      <c r="J208" s="269"/>
      <c r="K208" s="269"/>
    </row>
    <row r="209">
      <c r="F209" s="269"/>
      <c r="G209" s="269"/>
      <c r="H209" s="269"/>
      <c r="I209" s="269"/>
      <c r="J209" s="269"/>
      <c r="K209" s="269"/>
    </row>
    <row r="210">
      <c r="F210" s="269"/>
      <c r="G210" s="269"/>
      <c r="H210" s="269"/>
      <c r="I210" s="269"/>
      <c r="J210" s="269"/>
      <c r="K210" s="269"/>
    </row>
    <row r="211">
      <c r="F211" s="269"/>
      <c r="G211" s="269"/>
      <c r="H211" s="269"/>
      <c r="I211" s="269"/>
      <c r="J211" s="269"/>
      <c r="K211" s="269"/>
    </row>
    <row r="212">
      <c r="F212" s="269"/>
      <c r="G212" s="269"/>
      <c r="H212" s="269"/>
      <c r="I212" s="269"/>
      <c r="J212" s="269"/>
      <c r="K212" s="269"/>
    </row>
    <row r="213">
      <c r="F213" s="269"/>
      <c r="G213" s="269"/>
      <c r="H213" s="269"/>
      <c r="I213" s="269"/>
      <c r="J213" s="269"/>
      <c r="K213" s="269"/>
    </row>
    <row r="214">
      <c r="F214" s="269"/>
      <c r="G214" s="269"/>
      <c r="H214" s="269"/>
      <c r="I214" s="269"/>
      <c r="J214" s="269"/>
      <c r="K214" s="269"/>
    </row>
    <row r="215">
      <c r="F215" s="269"/>
      <c r="G215" s="269"/>
      <c r="H215" s="269"/>
      <c r="I215" s="269"/>
      <c r="J215" s="269"/>
      <c r="K215" s="269"/>
    </row>
    <row r="216">
      <c r="F216" s="269"/>
      <c r="G216" s="269"/>
      <c r="H216" s="269"/>
      <c r="I216" s="269"/>
      <c r="J216" s="269"/>
      <c r="K216" s="269"/>
    </row>
    <row r="217">
      <c r="F217" s="269"/>
      <c r="G217" s="269"/>
      <c r="H217" s="269"/>
      <c r="I217" s="269"/>
      <c r="J217" s="269"/>
      <c r="K217" s="269"/>
    </row>
    <row r="218">
      <c r="F218" s="269"/>
      <c r="G218" s="269"/>
      <c r="H218" s="269"/>
      <c r="I218" s="269"/>
      <c r="J218" s="269"/>
      <c r="K218" s="269"/>
    </row>
    <row r="219">
      <c r="F219" s="269"/>
      <c r="G219" s="269"/>
      <c r="H219" s="269"/>
      <c r="I219" s="269"/>
      <c r="J219" s="269"/>
      <c r="K219" s="269"/>
    </row>
    <row r="220">
      <c r="F220" s="269"/>
      <c r="G220" s="269"/>
      <c r="H220" s="269"/>
      <c r="I220" s="269"/>
      <c r="J220" s="269"/>
      <c r="K220" s="269"/>
    </row>
    <row r="221">
      <c r="F221" s="269"/>
      <c r="G221" s="269"/>
      <c r="H221" s="269"/>
      <c r="I221" s="269"/>
      <c r="J221" s="269"/>
      <c r="K221" s="269"/>
    </row>
    <row r="222">
      <c r="F222" s="269"/>
      <c r="G222" s="269"/>
      <c r="H222" s="269"/>
      <c r="I222" s="269"/>
      <c r="J222" s="269"/>
      <c r="K222" s="269"/>
    </row>
    <row r="223">
      <c r="F223" s="269"/>
      <c r="G223" s="269"/>
      <c r="H223" s="269"/>
      <c r="I223" s="269"/>
      <c r="J223" s="269"/>
      <c r="K223" s="269"/>
    </row>
    <row r="224">
      <c r="F224" s="269"/>
      <c r="G224" s="269"/>
      <c r="H224" s="269"/>
      <c r="I224" s="269"/>
      <c r="J224" s="269"/>
      <c r="K224" s="269"/>
    </row>
    <row r="225">
      <c r="F225" s="269"/>
      <c r="G225" s="269"/>
      <c r="H225" s="269"/>
      <c r="I225" s="269"/>
      <c r="J225" s="269"/>
      <c r="K225" s="269"/>
    </row>
    <row r="226">
      <c r="F226" s="269"/>
      <c r="G226" s="269"/>
      <c r="H226" s="269"/>
      <c r="I226" s="269"/>
      <c r="J226" s="269"/>
      <c r="K226" s="269"/>
    </row>
    <row r="227">
      <c r="F227" s="269"/>
      <c r="G227" s="269"/>
      <c r="H227" s="269"/>
      <c r="I227" s="269"/>
      <c r="J227" s="269"/>
      <c r="K227" s="269"/>
    </row>
    <row r="228">
      <c r="F228" s="269"/>
      <c r="G228" s="269"/>
      <c r="H228" s="269"/>
      <c r="I228" s="269"/>
      <c r="J228" s="269"/>
      <c r="K228" s="269"/>
    </row>
    <row r="229">
      <c r="F229" s="269"/>
      <c r="G229" s="269"/>
      <c r="H229" s="269"/>
      <c r="I229" s="269"/>
      <c r="J229" s="269"/>
      <c r="K229" s="269"/>
    </row>
    <row r="230">
      <c r="F230" s="269"/>
      <c r="G230" s="269"/>
      <c r="H230" s="269"/>
      <c r="I230" s="269"/>
      <c r="J230" s="269"/>
      <c r="K230" s="269"/>
    </row>
    <row r="231">
      <c r="F231" s="269"/>
      <c r="G231" s="269"/>
      <c r="H231" s="269"/>
      <c r="I231" s="269"/>
      <c r="J231" s="269"/>
      <c r="K231" s="269"/>
    </row>
    <row r="232">
      <c r="F232" s="269"/>
      <c r="G232" s="269"/>
      <c r="H232" s="269"/>
      <c r="I232" s="269"/>
      <c r="J232" s="269"/>
      <c r="K232" s="269"/>
    </row>
    <row r="233">
      <c r="F233" s="269"/>
      <c r="G233" s="269"/>
      <c r="H233" s="269"/>
      <c r="I233" s="269"/>
      <c r="J233" s="269"/>
      <c r="K233" s="269"/>
    </row>
    <row r="234">
      <c r="F234" s="269"/>
      <c r="G234" s="269"/>
      <c r="H234" s="269"/>
      <c r="I234" s="269"/>
      <c r="J234" s="269"/>
      <c r="K234" s="269"/>
    </row>
    <row r="235">
      <c r="F235" s="269"/>
      <c r="G235" s="269"/>
      <c r="H235" s="269"/>
      <c r="I235" s="269"/>
      <c r="J235" s="269"/>
      <c r="K235" s="269"/>
    </row>
    <row r="236">
      <c r="F236" s="269"/>
      <c r="G236" s="269"/>
      <c r="H236" s="269"/>
      <c r="I236" s="269"/>
      <c r="J236" s="269"/>
      <c r="K236" s="269"/>
    </row>
    <row r="237">
      <c r="F237" s="269"/>
      <c r="G237" s="269"/>
      <c r="H237" s="269"/>
      <c r="I237" s="269"/>
      <c r="J237" s="269"/>
      <c r="K237" s="269"/>
    </row>
    <row r="238">
      <c r="F238" s="269"/>
      <c r="G238" s="269"/>
      <c r="H238" s="269"/>
      <c r="I238" s="269"/>
      <c r="J238" s="269"/>
      <c r="K238" s="269"/>
    </row>
    <row r="239">
      <c r="F239" s="269"/>
      <c r="G239" s="269"/>
      <c r="H239" s="269"/>
      <c r="I239" s="269"/>
      <c r="J239" s="269"/>
      <c r="K239" s="269"/>
    </row>
    <row r="240">
      <c r="F240" s="269"/>
      <c r="G240" s="269"/>
      <c r="H240" s="269"/>
      <c r="I240" s="269"/>
      <c r="J240" s="269"/>
      <c r="K240" s="269"/>
    </row>
    <row r="241">
      <c r="F241" s="269"/>
      <c r="G241" s="269"/>
      <c r="H241" s="269"/>
      <c r="I241" s="269"/>
      <c r="J241" s="269"/>
      <c r="K241" s="269"/>
    </row>
    <row r="242">
      <c r="F242" s="269"/>
      <c r="G242" s="269"/>
      <c r="H242" s="269"/>
      <c r="I242" s="269"/>
      <c r="J242" s="269"/>
      <c r="K242" s="269"/>
    </row>
    <row r="243">
      <c r="F243" s="269"/>
      <c r="G243" s="269"/>
      <c r="H243" s="269"/>
      <c r="I243" s="269"/>
      <c r="J243" s="269"/>
      <c r="K243" s="269"/>
    </row>
    <row r="244">
      <c r="F244" s="269"/>
      <c r="G244" s="269"/>
      <c r="H244" s="269"/>
      <c r="I244" s="269"/>
      <c r="J244" s="269"/>
      <c r="K244" s="269"/>
    </row>
    <row r="245">
      <c r="F245" s="269"/>
      <c r="G245" s="269"/>
      <c r="H245" s="269"/>
      <c r="I245" s="269"/>
      <c r="J245" s="269"/>
      <c r="K245" s="269"/>
    </row>
    <row r="246">
      <c r="F246" s="269"/>
      <c r="G246" s="269"/>
      <c r="H246" s="269"/>
      <c r="I246" s="269"/>
      <c r="J246" s="269"/>
      <c r="K246" s="269"/>
    </row>
    <row r="247">
      <c r="F247" s="269"/>
      <c r="G247" s="269"/>
      <c r="H247" s="269"/>
      <c r="I247" s="269"/>
      <c r="J247" s="269"/>
      <c r="K247" s="269"/>
    </row>
    <row r="248">
      <c r="F248" s="269"/>
      <c r="G248" s="269"/>
      <c r="H248" s="269"/>
      <c r="I248" s="269"/>
      <c r="J248" s="269"/>
      <c r="K248" s="269"/>
    </row>
    <row r="249">
      <c r="F249" s="269"/>
      <c r="G249" s="269"/>
      <c r="H249" s="269"/>
      <c r="I249" s="269"/>
      <c r="J249" s="269"/>
      <c r="K249" s="269"/>
    </row>
    <row r="250">
      <c r="F250" s="269"/>
      <c r="G250" s="269"/>
      <c r="H250" s="269"/>
      <c r="I250" s="269"/>
      <c r="J250" s="269"/>
      <c r="K250" s="269"/>
    </row>
    <row r="251">
      <c r="F251" s="269"/>
      <c r="G251" s="269"/>
      <c r="H251" s="269"/>
      <c r="I251" s="269"/>
      <c r="J251" s="269"/>
      <c r="K251" s="269"/>
    </row>
    <row r="252">
      <c r="F252" s="269"/>
      <c r="G252" s="269"/>
      <c r="H252" s="269"/>
      <c r="I252" s="269"/>
      <c r="J252" s="269"/>
      <c r="K252" s="269"/>
    </row>
    <row r="253">
      <c r="F253" s="269"/>
      <c r="G253" s="269"/>
      <c r="H253" s="269"/>
      <c r="I253" s="269"/>
      <c r="J253" s="269"/>
      <c r="K253" s="269"/>
    </row>
    <row r="254">
      <c r="F254" s="269"/>
      <c r="G254" s="269"/>
      <c r="H254" s="269"/>
      <c r="I254" s="269"/>
      <c r="J254" s="269"/>
      <c r="K254" s="269"/>
    </row>
    <row r="255">
      <c r="F255" s="269"/>
      <c r="G255" s="269"/>
      <c r="H255" s="269"/>
      <c r="I255" s="269"/>
      <c r="J255" s="269"/>
      <c r="K255" s="269"/>
    </row>
    <row r="256">
      <c r="F256" s="269"/>
      <c r="G256" s="269"/>
      <c r="H256" s="269"/>
      <c r="I256" s="269"/>
      <c r="J256" s="269"/>
      <c r="K256" s="269"/>
    </row>
    <row r="257">
      <c r="F257" s="269"/>
      <c r="G257" s="269"/>
      <c r="H257" s="269"/>
      <c r="I257" s="269"/>
      <c r="J257" s="269"/>
      <c r="K257" s="269"/>
    </row>
    <row r="258">
      <c r="F258" s="269"/>
      <c r="G258" s="269"/>
      <c r="H258" s="269"/>
      <c r="I258" s="269"/>
      <c r="J258" s="269"/>
      <c r="K258" s="269"/>
    </row>
    <row r="259">
      <c r="F259" s="269"/>
      <c r="G259" s="269"/>
      <c r="H259" s="269"/>
      <c r="I259" s="269"/>
      <c r="J259" s="269"/>
      <c r="K259" s="269"/>
    </row>
    <row r="260">
      <c r="F260" s="269"/>
      <c r="G260" s="269"/>
      <c r="H260" s="269"/>
      <c r="I260" s="269"/>
      <c r="J260" s="269"/>
      <c r="K260" s="269"/>
    </row>
    <row r="261">
      <c r="F261" s="269"/>
      <c r="G261" s="269"/>
      <c r="H261" s="269"/>
      <c r="I261" s="269"/>
      <c r="J261" s="269"/>
      <c r="K261" s="269"/>
    </row>
    <row r="262">
      <c r="F262" s="269"/>
      <c r="G262" s="269"/>
      <c r="H262" s="269"/>
      <c r="I262" s="269"/>
      <c r="J262" s="269"/>
      <c r="K262" s="269"/>
    </row>
    <row r="263">
      <c r="F263" s="269"/>
      <c r="G263" s="269"/>
      <c r="H263" s="269"/>
      <c r="I263" s="269"/>
      <c r="J263" s="269"/>
      <c r="K263" s="269"/>
    </row>
    <row r="264">
      <c r="F264" s="269"/>
      <c r="G264" s="269"/>
      <c r="H264" s="269"/>
      <c r="I264" s="269"/>
      <c r="J264" s="269"/>
      <c r="K264" s="269"/>
    </row>
    <row r="265">
      <c r="F265" s="269"/>
      <c r="G265" s="269"/>
      <c r="H265" s="269"/>
      <c r="I265" s="269"/>
      <c r="J265" s="269"/>
      <c r="K265" s="269"/>
    </row>
    <row r="266">
      <c r="F266" s="269"/>
      <c r="G266" s="269"/>
      <c r="H266" s="269"/>
      <c r="I266" s="269"/>
      <c r="J266" s="269"/>
      <c r="K266" s="269"/>
    </row>
    <row r="267">
      <c r="F267" s="269"/>
      <c r="G267" s="269"/>
      <c r="H267" s="269"/>
      <c r="I267" s="269"/>
      <c r="J267" s="269"/>
      <c r="K267" s="269"/>
    </row>
    <row r="268">
      <c r="F268" s="269"/>
      <c r="G268" s="269"/>
      <c r="H268" s="269"/>
      <c r="I268" s="269"/>
      <c r="J268" s="269"/>
      <c r="K268" s="269"/>
    </row>
    <row r="269">
      <c r="F269" s="269"/>
      <c r="G269" s="269"/>
      <c r="H269" s="269"/>
      <c r="I269" s="269"/>
      <c r="J269" s="269"/>
      <c r="K269" s="269"/>
    </row>
    <row r="270">
      <c r="F270" s="269"/>
      <c r="G270" s="269"/>
      <c r="H270" s="269"/>
      <c r="I270" s="269"/>
      <c r="J270" s="269"/>
      <c r="K270" s="269"/>
    </row>
    <row r="271">
      <c r="F271" s="269"/>
      <c r="G271" s="269"/>
      <c r="H271" s="269"/>
      <c r="I271" s="269"/>
      <c r="J271" s="269"/>
      <c r="K271" s="269"/>
    </row>
    <row r="272">
      <c r="F272" s="269"/>
      <c r="G272" s="269"/>
      <c r="H272" s="269"/>
      <c r="I272" s="269"/>
      <c r="J272" s="269"/>
      <c r="K272" s="269"/>
    </row>
    <row r="273">
      <c r="F273" s="269"/>
      <c r="G273" s="269"/>
      <c r="H273" s="269"/>
      <c r="I273" s="269"/>
      <c r="J273" s="269"/>
      <c r="K273" s="269"/>
    </row>
    <row r="274">
      <c r="F274" s="269"/>
      <c r="G274" s="269"/>
      <c r="H274" s="269"/>
      <c r="I274" s="269"/>
      <c r="J274" s="269"/>
      <c r="K274" s="269"/>
    </row>
    <row r="275">
      <c r="F275" s="269"/>
      <c r="G275" s="269"/>
      <c r="H275" s="269"/>
      <c r="I275" s="269"/>
      <c r="J275" s="269"/>
      <c r="K275" s="269"/>
    </row>
    <row r="276">
      <c r="F276" s="269"/>
      <c r="G276" s="269"/>
      <c r="H276" s="269"/>
      <c r="I276" s="269"/>
      <c r="J276" s="269"/>
      <c r="K276" s="269"/>
    </row>
    <row r="277">
      <c r="F277" s="269"/>
      <c r="G277" s="269"/>
      <c r="H277" s="269"/>
      <c r="I277" s="269"/>
      <c r="J277" s="269"/>
      <c r="K277" s="269"/>
    </row>
    <row r="278">
      <c r="F278" s="269"/>
      <c r="G278" s="269"/>
      <c r="H278" s="269"/>
      <c r="I278" s="269"/>
      <c r="J278" s="269"/>
      <c r="K278" s="269"/>
    </row>
    <row r="279">
      <c r="F279" s="269"/>
      <c r="G279" s="269"/>
      <c r="H279" s="269"/>
      <c r="I279" s="269"/>
      <c r="J279" s="269"/>
      <c r="K279" s="269"/>
    </row>
    <row r="280">
      <c r="F280" s="269"/>
      <c r="G280" s="269"/>
      <c r="H280" s="269"/>
      <c r="I280" s="269"/>
      <c r="J280" s="269"/>
      <c r="K280" s="269"/>
    </row>
    <row r="281">
      <c r="F281" s="269"/>
      <c r="G281" s="269"/>
      <c r="H281" s="269"/>
      <c r="I281" s="269"/>
      <c r="J281" s="269"/>
      <c r="K281" s="269"/>
    </row>
    <row r="282">
      <c r="F282" s="269"/>
      <c r="G282" s="269"/>
      <c r="H282" s="269"/>
      <c r="I282" s="269"/>
      <c r="J282" s="269"/>
      <c r="K282" s="269"/>
    </row>
    <row r="283">
      <c r="F283" s="269"/>
      <c r="G283" s="269"/>
      <c r="H283" s="269"/>
      <c r="I283" s="269"/>
      <c r="J283" s="269"/>
      <c r="K283" s="269"/>
    </row>
    <row r="284">
      <c r="F284" s="269"/>
      <c r="G284" s="269"/>
      <c r="H284" s="269"/>
      <c r="I284" s="269"/>
      <c r="J284" s="269"/>
      <c r="K284" s="269"/>
    </row>
    <row r="285">
      <c r="F285" s="269"/>
      <c r="G285" s="269"/>
      <c r="H285" s="269"/>
      <c r="I285" s="269"/>
      <c r="J285" s="269"/>
      <c r="K285" s="269"/>
    </row>
    <row r="286">
      <c r="F286" s="269"/>
      <c r="G286" s="269"/>
      <c r="H286" s="269"/>
      <c r="I286" s="269"/>
      <c r="J286" s="269"/>
      <c r="K286" s="269"/>
    </row>
    <row r="287">
      <c r="F287" s="269"/>
      <c r="G287" s="269"/>
      <c r="H287" s="269"/>
      <c r="I287" s="269"/>
      <c r="J287" s="269"/>
      <c r="K287" s="269"/>
    </row>
    <row r="288">
      <c r="F288" s="269"/>
      <c r="G288" s="269"/>
      <c r="H288" s="269"/>
      <c r="I288" s="269"/>
      <c r="J288" s="269"/>
      <c r="K288" s="269"/>
    </row>
    <row r="289">
      <c r="F289" s="269"/>
      <c r="G289" s="269"/>
      <c r="H289" s="269"/>
      <c r="I289" s="269"/>
      <c r="J289" s="269"/>
      <c r="K289" s="269"/>
    </row>
    <row r="290">
      <c r="F290" s="269"/>
      <c r="G290" s="269"/>
      <c r="H290" s="269"/>
      <c r="I290" s="269"/>
      <c r="J290" s="269"/>
      <c r="K290" s="269"/>
    </row>
    <row r="291">
      <c r="F291" s="269"/>
      <c r="G291" s="269"/>
      <c r="H291" s="269"/>
      <c r="I291" s="269"/>
      <c r="J291" s="269"/>
      <c r="K291" s="269"/>
    </row>
    <row r="292">
      <c r="F292" s="269"/>
      <c r="G292" s="269"/>
      <c r="H292" s="269"/>
      <c r="I292" s="269"/>
      <c r="J292" s="269"/>
      <c r="K292" s="269"/>
    </row>
    <row r="293">
      <c r="F293" s="269"/>
      <c r="G293" s="269"/>
      <c r="H293" s="269"/>
      <c r="I293" s="269"/>
      <c r="J293" s="269"/>
      <c r="K293" s="269"/>
    </row>
    <row r="294">
      <c r="F294" s="269"/>
      <c r="G294" s="269"/>
      <c r="H294" s="269"/>
      <c r="I294" s="269"/>
      <c r="J294" s="269"/>
      <c r="K294" s="269"/>
    </row>
    <row r="295">
      <c r="F295" s="269"/>
      <c r="G295" s="269"/>
      <c r="H295" s="269"/>
      <c r="I295" s="269"/>
      <c r="J295" s="269"/>
      <c r="K295" s="269"/>
    </row>
    <row r="296">
      <c r="F296" s="269"/>
      <c r="G296" s="269"/>
      <c r="H296" s="269"/>
      <c r="I296" s="269"/>
      <c r="J296" s="269"/>
      <c r="K296" s="269"/>
    </row>
    <row r="297">
      <c r="F297" s="269"/>
      <c r="G297" s="269"/>
      <c r="H297" s="269"/>
      <c r="I297" s="269"/>
      <c r="J297" s="269"/>
      <c r="K297" s="269"/>
    </row>
    <row r="298">
      <c r="F298" s="269"/>
      <c r="G298" s="269"/>
      <c r="H298" s="269"/>
      <c r="I298" s="269"/>
      <c r="J298" s="269"/>
      <c r="K298" s="269"/>
    </row>
    <row r="299">
      <c r="F299" s="269"/>
      <c r="G299" s="269"/>
      <c r="H299" s="269"/>
      <c r="I299" s="269"/>
      <c r="J299" s="269"/>
      <c r="K299" s="269"/>
    </row>
    <row r="300">
      <c r="F300" s="269"/>
      <c r="G300" s="269"/>
      <c r="H300" s="269"/>
      <c r="I300" s="269"/>
      <c r="J300" s="269"/>
      <c r="K300" s="269"/>
    </row>
    <row r="301">
      <c r="F301" s="269"/>
      <c r="G301" s="269"/>
      <c r="H301" s="269"/>
      <c r="I301" s="269"/>
      <c r="J301" s="269"/>
      <c r="K301" s="269"/>
    </row>
    <row r="302">
      <c r="F302" s="269"/>
      <c r="G302" s="269"/>
      <c r="H302" s="269"/>
      <c r="I302" s="269"/>
      <c r="J302" s="269"/>
      <c r="K302" s="269"/>
    </row>
    <row r="303">
      <c r="F303" s="269"/>
      <c r="G303" s="269"/>
      <c r="H303" s="269"/>
      <c r="I303" s="269"/>
      <c r="J303" s="269"/>
      <c r="K303" s="269"/>
    </row>
    <row r="304">
      <c r="F304" s="269"/>
      <c r="G304" s="269"/>
      <c r="H304" s="269"/>
      <c r="I304" s="269"/>
      <c r="J304" s="269"/>
      <c r="K304" s="269"/>
    </row>
    <row r="305">
      <c r="F305" s="269"/>
      <c r="G305" s="269"/>
      <c r="H305" s="269"/>
      <c r="I305" s="269"/>
      <c r="J305" s="269"/>
      <c r="K305" s="269"/>
    </row>
    <row r="306">
      <c r="F306" s="269"/>
      <c r="G306" s="269"/>
      <c r="H306" s="269"/>
      <c r="I306" s="269"/>
      <c r="J306" s="269"/>
      <c r="K306" s="269"/>
    </row>
    <row r="307">
      <c r="F307" s="269"/>
      <c r="G307" s="269"/>
      <c r="H307" s="269"/>
      <c r="I307" s="269"/>
      <c r="J307" s="269"/>
      <c r="K307" s="269"/>
    </row>
    <row r="308">
      <c r="F308" s="269"/>
      <c r="G308" s="269"/>
      <c r="H308" s="269"/>
      <c r="I308" s="269"/>
      <c r="J308" s="269"/>
      <c r="K308" s="269"/>
    </row>
    <row r="309">
      <c r="F309" s="269"/>
      <c r="G309" s="269"/>
      <c r="H309" s="269"/>
      <c r="I309" s="269"/>
      <c r="J309" s="269"/>
      <c r="K309" s="269"/>
    </row>
    <row r="310">
      <c r="F310" s="269"/>
      <c r="G310" s="269"/>
      <c r="H310" s="269"/>
      <c r="I310" s="269"/>
      <c r="J310" s="269"/>
      <c r="K310" s="269"/>
    </row>
    <row r="311">
      <c r="F311" s="269"/>
      <c r="G311" s="269"/>
      <c r="H311" s="269"/>
      <c r="I311" s="269"/>
      <c r="J311" s="269"/>
      <c r="K311" s="269"/>
    </row>
    <row r="312">
      <c r="F312" s="269"/>
      <c r="G312" s="269"/>
      <c r="H312" s="269"/>
      <c r="I312" s="269"/>
      <c r="J312" s="269"/>
      <c r="K312" s="269"/>
    </row>
    <row r="313">
      <c r="F313" s="269"/>
      <c r="G313" s="269"/>
      <c r="H313" s="269"/>
      <c r="I313" s="269"/>
      <c r="J313" s="269"/>
      <c r="K313" s="269"/>
    </row>
    <row r="314">
      <c r="F314" s="269"/>
      <c r="G314" s="269"/>
      <c r="H314" s="269"/>
      <c r="I314" s="269"/>
      <c r="J314" s="269"/>
      <c r="K314" s="269"/>
    </row>
    <row r="315">
      <c r="F315" s="269"/>
      <c r="G315" s="269"/>
      <c r="H315" s="269"/>
      <c r="I315" s="269"/>
      <c r="J315" s="269"/>
      <c r="K315" s="269"/>
    </row>
    <row r="316">
      <c r="F316" s="269"/>
      <c r="G316" s="269"/>
      <c r="H316" s="269"/>
      <c r="I316" s="269"/>
      <c r="J316" s="269"/>
      <c r="K316" s="269"/>
    </row>
    <row r="317">
      <c r="F317" s="269"/>
      <c r="G317" s="269"/>
      <c r="H317" s="269"/>
      <c r="I317" s="269"/>
      <c r="J317" s="269"/>
      <c r="K317" s="269"/>
    </row>
    <row r="318">
      <c r="F318" s="269"/>
      <c r="G318" s="269"/>
      <c r="H318" s="269"/>
      <c r="I318" s="269"/>
      <c r="J318" s="269"/>
      <c r="K318" s="269"/>
    </row>
    <row r="319">
      <c r="F319" s="269"/>
      <c r="G319" s="269"/>
      <c r="H319" s="269"/>
      <c r="I319" s="269"/>
      <c r="J319" s="269"/>
      <c r="K319" s="269"/>
    </row>
    <row r="320">
      <c r="F320" s="269"/>
      <c r="G320" s="269"/>
      <c r="H320" s="269"/>
      <c r="I320" s="269"/>
      <c r="J320" s="269"/>
      <c r="K320" s="269"/>
    </row>
    <row r="321">
      <c r="F321" s="269"/>
      <c r="G321" s="269"/>
      <c r="H321" s="269"/>
      <c r="I321" s="269"/>
      <c r="J321" s="269"/>
      <c r="K321" s="269"/>
    </row>
    <row r="322">
      <c r="F322" s="269"/>
      <c r="G322" s="269"/>
      <c r="H322" s="269"/>
      <c r="I322" s="269"/>
      <c r="J322" s="269"/>
      <c r="K322" s="269"/>
    </row>
    <row r="323">
      <c r="F323" s="269"/>
      <c r="G323" s="269"/>
      <c r="H323" s="269"/>
      <c r="I323" s="269"/>
      <c r="J323" s="269"/>
      <c r="K323" s="269"/>
    </row>
    <row r="324">
      <c r="F324" s="269"/>
      <c r="G324" s="269"/>
      <c r="H324" s="269"/>
      <c r="I324" s="269"/>
      <c r="J324" s="269"/>
      <c r="K324" s="269"/>
    </row>
    <row r="325">
      <c r="F325" s="269"/>
      <c r="G325" s="269"/>
      <c r="H325" s="269"/>
      <c r="I325" s="269"/>
      <c r="J325" s="269"/>
      <c r="K325" s="269"/>
    </row>
    <row r="326">
      <c r="F326" s="269"/>
      <c r="G326" s="269"/>
      <c r="H326" s="269"/>
      <c r="I326" s="269"/>
      <c r="J326" s="269"/>
      <c r="K326" s="269"/>
    </row>
    <row r="327">
      <c r="F327" s="269"/>
      <c r="G327" s="269"/>
      <c r="H327" s="269"/>
      <c r="I327" s="269"/>
      <c r="J327" s="269"/>
      <c r="K327" s="269"/>
    </row>
    <row r="328">
      <c r="F328" s="269"/>
      <c r="G328" s="269"/>
      <c r="H328" s="269"/>
      <c r="I328" s="269"/>
      <c r="J328" s="269"/>
      <c r="K328" s="269"/>
    </row>
    <row r="329">
      <c r="F329" s="269"/>
      <c r="G329" s="269"/>
      <c r="H329" s="269"/>
      <c r="I329" s="269"/>
      <c r="J329" s="269"/>
      <c r="K329" s="269"/>
    </row>
    <row r="330">
      <c r="F330" s="269"/>
      <c r="G330" s="269"/>
      <c r="H330" s="269"/>
      <c r="I330" s="269"/>
      <c r="J330" s="269"/>
      <c r="K330" s="269"/>
    </row>
    <row r="331">
      <c r="F331" s="269"/>
      <c r="G331" s="269"/>
      <c r="H331" s="269"/>
      <c r="I331" s="269"/>
      <c r="J331" s="269"/>
      <c r="K331" s="269"/>
    </row>
    <row r="332">
      <c r="F332" s="269"/>
      <c r="G332" s="269"/>
      <c r="H332" s="269"/>
      <c r="I332" s="269"/>
      <c r="J332" s="269"/>
      <c r="K332" s="269"/>
    </row>
    <row r="333">
      <c r="F333" s="269"/>
      <c r="G333" s="269"/>
      <c r="H333" s="269"/>
      <c r="I333" s="269"/>
      <c r="J333" s="269"/>
      <c r="K333" s="269"/>
    </row>
    <row r="334">
      <c r="F334" s="269"/>
      <c r="G334" s="269"/>
      <c r="H334" s="269"/>
      <c r="I334" s="269"/>
      <c r="J334" s="269"/>
      <c r="K334" s="269"/>
    </row>
    <row r="335">
      <c r="F335" s="269"/>
      <c r="G335" s="269"/>
      <c r="H335" s="269"/>
      <c r="I335" s="269"/>
      <c r="J335" s="269"/>
      <c r="K335" s="269"/>
    </row>
    <row r="336">
      <c r="F336" s="269"/>
      <c r="G336" s="269"/>
      <c r="H336" s="269"/>
      <c r="I336" s="269"/>
      <c r="J336" s="269"/>
      <c r="K336" s="269"/>
    </row>
    <row r="337">
      <c r="F337" s="269"/>
      <c r="G337" s="269"/>
      <c r="H337" s="269"/>
      <c r="I337" s="269"/>
      <c r="J337" s="269"/>
      <c r="K337" s="269"/>
    </row>
    <row r="338">
      <c r="F338" s="269"/>
      <c r="G338" s="269"/>
      <c r="H338" s="269"/>
      <c r="I338" s="269"/>
      <c r="J338" s="269"/>
      <c r="K338" s="269"/>
    </row>
    <row r="339">
      <c r="F339" s="269"/>
      <c r="G339" s="269"/>
      <c r="H339" s="269"/>
      <c r="I339" s="269"/>
      <c r="J339" s="269"/>
      <c r="K339" s="269"/>
    </row>
    <row r="340">
      <c r="F340" s="269"/>
      <c r="G340" s="269"/>
      <c r="H340" s="269"/>
      <c r="I340" s="269"/>
      <c r="J340" s="269"/>
      <c r="K340" s="269"/>
    </row>
    <row r="341">
      <c r="F341" s="269"/>
      <c r="G341" s="269"/>
      <c r="H341" s="269"/>
      <c r="I341" s="269"/>
      <c r="J341" s="269"/>
      <c r="K341" s="269"/>
    </row>
    <row r="342">
      <c r="F342" s="269"/>
      <c r="G342" s="269"/>
      <c r="H342" s="269"/>
      <c r="I342" s="269"/>
      <c r="J342" s="269"/>
      <c r="K342" s="269"/>
    </row>
    <row r="343">
      <c r="F343" s="269"/>
      <c r="G343" s="269"/>
      <c r="H343" s="269"/>
      <c r="I343" s="269"/>
      <c r="J343" s="269"/>
      <c r="K343" s="269"/>
    </row>
    <row r="344">
      <c r="F344" s="269"/>
      <c r="G344" s="269"/>
      <c r="H344" s="269"/>
      <c r="I344" s="269"/>
      <c r="J344" s="269"/>
      <c r="K344" s="269"/>
    </row>
    <row r="345">
      <c r="F345" s="269"/>
      <c r="G345" s="269"/>
      <c r="H345" s="269"/>
      <c r="I345" s="269"/>
      <c r="J345" s="269"/>
      <c r="K345" s="269"/>
    </row>
    <row r="346">
      <c r="F346" s="269"/>
      <c r="G346" s="269"/>
      <c r="H346" s="269"/>
      <c r="I346" s="269"/>
      <c r="J346" s="269"/>
      <c r="K346" s="269"/>
    </row>
    <row r="347">
      <c r="F347" s="269"/>
      <c r="G347" s="269"/>
      <c r="H347" s="269"/>
      <c r="I347" s="269"/>
      <c r="J347" s="269"/>
      <c r="K347" s="269"/>
    </row>
    <row r="348">
      <c r="F348" s="269"/>
      <c r="G348" s="269"/>
      <c r="H348" s="269"/>
      <c r="I348" s="269"/>
      <c r="J348" s="269"/>
      <c r="K348" s="269"/>
    </row>
    <row r="349">
      <c r="F349" s="269"/>
      <c r="G349" s="269"/>
      <c r="H349" s="269"/>
      <c r="I349" s="269"/>
      <c r="J349" s="269"/>
      <c r="K349" s="269"/>
    </row>
    <row r="350">
      <c r="F350" s="269"/>
      <c r="G350" s="269"/>
      <c r="H350" s="269"/>
      <c r="I350" s="269"/>
      <c r="J350" s="269"/>
      <c r="K350" s="269"/>
    </row>
    <row r="351">
      <c r="F351" s="269"/>
      <c r="G351" s="269"/>
      <c r="H351" s="269"/>
      <c r="I351" s="269"/>
      <c r="J351" s="269"/>
      <c r="K351" s="269"/>
    </row>
    <row r="352">
      <c r="F352" s="269"/>
      <c r="G352" s="269"/>
      <c r="H352" s="269"/>
      <c r="I352" s="269"/>
      <c r="J352" s="269"/>
      <c r="K352" s="269"/>
    </row>
    <row r="353">
      <c r="F353" s="269"/>
      <c r="G353" s="269"/>
      <c r="H353" s="269"/>
      <c r="I353" s="269"/>
      <c r="J353" s="269"/>
      <c r="K353" s="269"/>
    </row>
    <row r="354">
      <c r="F354" s="269"/>
      <c r="G354" s="269"/>
      <c r="H354" s="269"/>
      <c r="I354" s="269"/>
      <c r="J354" s="269"/>
      <c r="K354" s="269"/>
    </row>
    <row r="355">
      <c r="F355" s="269"/>
      <c r="G355" s="269"/>
      <c r="H355" s="269"/>
      <c r="I355" s="269"/>
      <c r="J355" s="269"/>
      <c r="K355" s="269"/>
    </row>
    <row r="356">
      <c r="F356" s="269"/>
      <c r="G356" s="269"/>
      <c r="H356" s="269"/>
      <c r="I356" s="269"/>
      <c r="J356" s="269"/>
      <c r="K356" s="269"/>
    </row>
    <row r="357">
      <c r="F357" s="269"/>
      <c r="G357" s="269"/>
      <c r="H357" s="269"/>
      <c r="I357" s="269"/>
      <c r="J357" s="269"/>
      <c r="K357" s="269"/>
    </row>
    <row r="358">
      <c r="F358" s="269"/>
      <c r="G358" s="269"/>
      <c r="H358" s="269"/>
      <c r="I358" s="269"/>
      <c r="J358" s="269"/>
      <c r="K358" s="269"/>
    </row>
    <row r="359">
      <c r="F359" s="269"/>
      <c r="G359" s="269"/>
      <c r="H359" s="269"/>
      <c r="I359" s="269"/>
      <c r="J359" s="269"/>
      <c r="K359" s="269"/>
    </row>
    <row r="360">
      <c r="F360" s="269"/>
      <c r="G360" s="269"/>
      <c r="H360" s="269"/>
      <c r="I360" s="269"/>
      <c r="J360" s="269"/>
      <c r="K360" s="269"/>
    </row>
    <row r="361">
      <c r="F361" s="269"/>
      <c r="G361" s="269"/>
      <c r="H361" s="269"/>
      <c r="I361" s="269"/>
      <c r="J361" s="269"/>
      <c r="K361" s="269"/>
    </row>
    <row r="362">
      <c r="F362" s="269"/>
      <c r="G362" s="269"/>
      <c r="H362" s="269"/>
      <c r="I362" s="269"/>
      <c r="J362" s="269"/>
      <c r="K362" s="269"/>
    </row>
    <row r="363">
      <c r="F363" s="269"/>
      <c r="G363" s="269"/>
      <c r="H363" s="269"/>
      <c r="I363" s="269"/>
      <c r="J363" s="269"/>
      <c r="K363" s="269"/>
    </row>
    <row r="364">
      <c r="F364" s="269"/>
      <c r="G364" s="269"/>
      <c r="H364" s="269"/>
      <c r="I364" s="269"/>
      <c r="J364" s="269"/>
      <c r="K364" s="269"/>
    </row>
    <row r="365">
      <c r="F365" s="269"/>
      <c r="G365" s="269"/>
      <c r="H365" s="269"/>
      <c r="I365" s="269"/>
      <c r="J365" s="269"/>
      <c r="K365" s="269"/>
    </row>
    <row r="366">
      <c r="F366" s="269"/>
      <c r="G366" s="269"/>
      <c r="H366" s="269"/>
      <c r="I366" s="269"/>
      <c r="J366" s="269"/>
      <c r="K366" s="269"/>
    </row>
    <row r="367">
      <c r="F367" s="269"/>
      <c r="G367" s="269"/>
      <c r="H367" s="269"/>
      <c r="I367" s="269"/>
      <c r="J367" s="269"/>
      <c r="K367" s="269"/>
    </row>
    <row r="368">
      <c r="F368" s="269"/>
      <c r="G368" s="269"/>
      <c r="H368" s="269"/>
      <c r="I368" s="269"/>
      <c r="J368" s="269"/>
      <c r="K368" s="269"/>
    </row>
    <row r="369">
      <c r="F369" s="269"/>
      <c r="G369" s="269"/>
      <c r="H369" s="269"/>
      <c r="I369" s="269"/>
      <c r="J369" s="269"/>
      <c r="K369" s="269"/>
    </row>
    <row r="370">
      <c r="F370" s="269"/>
      <c r="G370" s="269"/>
      <c r="H370" s="269"/>
      <c r="I370" s="269"/>
      <c r="J370" s="269"/>
      <c r="K370" s="269"/>
    </row>
    <row r="371">
      <c r="F371" s="269"/>
      <c r="G371" s="269"/>
      <c r="H371" s="269"/>
      <c r="I371" s="269"/>
      <c r="J371" s="269"/>
      <c r="K371" s="269"/>
    </row>
    <row r="372">
      <c r="F372" s="269"/>
      <c r="G372" s="269"/>
      <c r="H372" s="269"/>
      <c r="I372" s="269"/>
      <c r="J372" s="269"/>
      <c r="K372" s="269"/>
    </row>
    <row r="373">
      <c r="F373" s="269"/>
      <c r="G373" s="269"/>
      <c r="H373" s="269"/>
      <c r="I373" s="269"/>
      <c r="J373" s="269"/>
      <c r="K373" s="269"/>
    </row>
    <row r="374">
      <c r="F374" s="269"/>
      <c r="G374" s="269"/>
      <c r="H374" s="269"/>
      <c r="I374" s="269"/>
      <c r="J374" s="269"/>
      <c r="K374" s="269"/>
    </row>
    <row r="375">
      <c r="F375" s="269"/>
      <c r="G375" s="269"/>
      <c r="H375" s="269"/>
      <c r="I375" s="269"/>
      <c r="J375" s="269"/>
      <c r="K375" s="269"/>
    </row>
    <row r="376">
      <c r="F376" s="269"/>
      <c r="G376" s="269"/>
      <c r="H376" s="269"/>
      <c r="I376" s="269"/>
      <c r="J376" s="269"/>
      <c r="K376" s="269"/>
    </row>
    <row r="377">
      <c r="F377" s="269"/>
      <c r="G377" s="269"/>
      <c r="H377" s="269"/>
      <c r="I377" s="269"/>
      <c r="J377" s="269"/>
      <c r="K377" s="269"/>
    </row>
    <row r="378">
      <c r="F378" s="269"/>
      <c r="G378" s="269"/>
      <c r="H378" s="269"/>
      <c r="I378" s="269"/>
      <c r="J378" s="269"/>
      <c r="K378" s="269"/>
    </row>
    <row r="379">
      <c r="F379" s="269"/>
      <c r="G379" s="269"/>
      <c r="H379" s="269"/>
      <c r="I379" s="269"/>
      <c r="J379" s="269"/>
      <c r="K379" s="269"/>
    </row>
    <row r="380">
      <c r="F380" s="269"/>
      <c r="G380" s="269"/>
      <c r="H380" s="269"/>
      <c r="I380" s="269"/>
      <c r="J380" s="269"/>
      <c r="K380" s="269"/>
    </row>
    <row r="381">
      <c r="F381" s="269"/>
      <c r="G381" s="269"/>
      <c r="H381" s="269"/>
      <c r="I381" s="269"/>
      <c r="J381" s="269"/>
      <c r="K381" s="269"/>
    </row>
    <row r="382">
      <c r="F382" s="269"/>
      <c r="G382" s="269"/>
      <c r="H382" s="269"/>
      <c r="I382" s="269"/>
      <c r="J382" s="269"/>
      <c r="K382" s="269"/>
    </row>
    <row r="383">
      <c r="F383" s="269"/>
      <c r="G383" s="269"/>
      <c r="H383" s="269"/>
      <c r="I383" s="269"/>
      <c r="J383" s="269"/>
      <c r="K383" s="269"/>
    </row>
    <row r="384">
      <c r="F384" s="269"/>
      <c r="G384" s="269"/>
      <c r="H384" s="269"/>
      <c r="I384" s="269"/>
      <c r="J384" s="269"/>
      <c r="K384" s="269"/>
    </row>
    <row r="385">
      <c r="F385" s="269"/>
      <c r="G385" s="269"/>
      <c r="H385" s="269"/>
      <c r="I385" s="269"/>
      <c r="J385" s="269"/>
      <c r="K385" s="269"/>
    </row>
    <row r="386">
      <c r="F386" s="269"/>
      <c r="G386" s="269"/>
      <c r="H386" s="269"/>
      <c r="I386" s="269"/>
      <c r="J386" s="269"/>
      <c r="K386" s="269"/>
    </row>
    <row r="387">
      <c r="F387" s="269"/>
      <c r="G387" s="269"/>
      <c r="H387" s="269"/>
      <c r="I387" s="269"/>
      <c r="J387" s="269"/>
      <c r="K387" s="269"/>
    </row>
    <row r="388">
      <c r="F388" s="269"/>
      <c r="G388" s="269"/>
      <c r="H388" s="269"/>
      <c r="I388" s="269"/>
      <c r="J388" s="269"/>
      <c r="K388" s="269"/>
    </row>
    <row r="389">
      <c r="F389" s="269"/>
      <c r="G389" s="269"/>
      <c r="H389" s="269"/>
      <c r="I389" s="269"/>
      <c r="J389" s="269"/>
      <c r="K389" s="269"/>
    </row>
    <row r="390">
      <c r="F390" s="269"/>
      <c r="G390" s="269"/>
      <c r="H390" s="269"/>
      <c r="I390" s="269"/>
      <c r="J390" s="269"/>
      <c r="K390" s="269"/>
    </row>
    <row r="391">
      <c r="F391" s="269"/>
      <c r="G391" s="269"/>
      <c r="H391" s="269"/>
      <c r="I391" s="269"/>
      <c r="J391" s="269"/>
      <c r="K391" s="269"/>
    </row>
    <row r="392">
      <c r="F392" s="269"/>
      <c r="G392" s="269"/>
      <c r="H392" s="269"/>
      <c r="I392" s="269"/>
      <c r="J392" s="269"/>
      <c r="K392" s="269"/>
    </row>
    <row r="393">
      <c r="F393" s="269"/>
      <c r="G393" s="269"/>
      <c r="H393" s="269"/>
      <c r="I393" s="269"/>
      <c r="J393" s="269"/>
      <c r="K393" s="269"/>
    </row>
    <row r="394">
      <c r="F394" s="269"/>
      <c r="G394" s="269"/>
      <c r="H394" s="269"/>
      <c r="I394" s="269"/>
      <c r="J394" s="269"/>
      <c r="K394" s="269"/>
    </row>
    <row r="395">
      <c r="F395" s="269"/>
      <c r="G395" s="269"/>
      <c r="H395" s="269"/>
      <c r="I395" s="269"/>
      <c r="J395" s="269"/>
      <c r="K395" s="269"/>
    </row>
    <row r="396">
      <c r="F396" s="269"/>
      <c r="G396" s="269"/>
      <c r="H396" s="269"/>
      <c r="I396" s="269"/>
      <c r="J396" s="269"/>
      <c r="K396" s="269"/>
    </row>
    <row r="397">
      <c r="F397" s="269"/>
      <c r="G397" s="269"/>
      <c r="H397" s="269"/>
      <c r="I397" s="269"/>
      <c r="J397" s="269"/>
      <c r="K397" s="269"/>
    </row>
    <row r="398">
      <c r="F398" s="269"/>
      <c r="G398" s="269"/>
      <c r="H398" s="269"/>
      <c r="I398" s="269"/>
      <c r="J398" s="269"/>
      <c r="K398" s="269"/>
    </row>
    <row r="399">
      <c r="F399" s="269"/>
      <c r="G399" s="269"/>
      <c r="H399" s="269"/>
      <c r="I399" s="269"/>
      <c r="J399" s="269"/>
      <c r="K399" s="269"/>
    </row>
    <row r="400">
      <c r="F400" s="269"/>
      <c r="G400" s="269"/>
      <c r="H400" s="269"/>
      <c r="I400" s="269"/>
      <c r="J400" s="269"/>
      <c r="K400" s="269"/>
    </row>
    <row r="401">
      <c r="F401" s="269"/>
      <c r="G401" s="269"/>
      <c r="H401" s="269"/>
      <c r="I401" s="269"/>
      <c r="J401" s="269"/>
      <c r="K401" s="269"/>
    </row>
    <row r="402">
      <c r="F402" s="269"/>
      <c r="G402" s="269"/>
      <c r="H402" s="269"/>
      <c r="I402" s="269"/>
      <c r="J402" s="269"/>
      <c r="K402" s="269"/>
    </row>
    <row r="403">
      <c r="F403" s="269"/>
      <c r="G403" s="269"/>
      <c r="H403" s="269"/>
      <c r="I403" s="269"/>
      <c r="J403" s="269"/>
      <c r="K403" s="269"/>
    </row>
    <row r="404">
      <c r="F404" s="269"/>
      <c r="G404" s="269"/>
      <c r="H404" s="269"/>
      <c r="I404" s="269"/>
      <c r="J404" s="269"/>
      <c r="K404" s="269"/>
    </row>
    <row r="405">
      <c r="F405" s="269"/>
      <c r="G405" s="269"/>
      <c r="H405" s="269"/>
      <c r="I405" s="269"/>
      <c r="J405" s="269"/>
      <c r="K405" s="269"/>
    </row>
    <row r="406">
      <c r="F406" s="269"/>
      <c r="G406" s="269"/>
      <c r="H406" s="269"/>
      <c r="I406" s="269"/>
      <c r="J406" s="269"/>
      <c r="K406" s="269"/>
    </row>
    <row r="407">
      <c r="F407" s="269"/>
      <c r="G407" s="269"/>
      <c r="H407" s="269"/>
      <c r="I407" s="269"/>
      <c r="J407" s="269"/>
      <c r="K407" s="269"/>
    </row>
    <row r="408">
      <c r="F408" s="269"/>
      <c r="G408" s="269"/>
      <c r="H408" s="269"/>
      <c r="I408" s="269"/>
      <c r="J408" s="269"/>
      <c r="K408" s="269"/>
    </row>
    <row r="409">
      <c r="F409" s="269"/>
      <c r="G409" s="269"/>
      <c r="H409" s="269"/>
      <c r="I409" s="269"/>
      <c r="J409" s="269"/>
      <c r="K409" s="269"/>
    </row>
    <row r="410">
      <c r="F410" s="269"/>
      <c r="G410" s="269"/>
      <c r="H410" s="269"/>
      <c r="I410" s="269"/>
      <c r="J410" s="269"/>
      <c r="K410" s="269"/>
    </row>
    <row r="411">
      <c r="F411" s="269"/>
      <c r="G411" s="269"/>
      <c r="H411" s="269"/>
      <c r="I411" s="269"/>
      <c r="J411" s="269"/>
      <c r="K411" s="269"/>
    </row>
    <row r="412">
      <c r="F412" s="269"/>
      <c r="G412" s="269"/>
      <c r="H412" s="269"/>
      <c r="I412" s="269"/>
      <c r="J412" s="269"/>
      <c r="K412" s="269"/>
    </row>
    <row r="413">
      <c r="F413" s="269"/>
      <c r="G413" s="269"/>
      <c r="H413" s="269"/>
      <c r="I413" s="269"/>
      <c r="J413" s="269"/>
      <c r="K413" s="269"/>
    </row>
    <row r="414">
      <c r="F414" s="269"/>
      <c r="G414" s="269"/>
      <c r="H414" s="269"/>
      <c r="I414" s="269"/>
      <c r="J414" s="269"/>
      <c r="K414" s="269"/>
    </row>
    <row r="415">
      <c r="F415" s="269"/>
      <c r="G415" s="269"/>
      <c r="H415" s="269"/>
      <c r="I415" s="269"/>
      <c r="J415" s="269"/>
      <c r="K415" s="269"/>
    </row>
    <row r="416">
      <c r="F416" s="269"/>
      <c r="G416" s="269"/>
      <c r="H416" s="269"/>
      <c r="I416" s="269"/>
      <c r="J416" s="269"/>
      <c r="K416" s="269"/>
    </row>
    <row r="417">
      <c r="F417" s="269"/>
      <c r="G417" s="269"/>
      <c r="H417" s="269"/>
      <c r="I417" s="269"/>
      <c r="J417" s="269"/>
      <c r="K417" s="269"/>
    </row>
    <row r="418">
      <c r="F418" s="269"/>
      <c r="G418" s="269"/>
      <c r="H418" s="269"/>
      <c r="I418" s="269"/>
      <c r="J418" s="269"/>
      <c r="K418" s="269"/>
    </row>
    <row r="419">
      <c r="F419" s="269"/>
      <c r="G419" s="269"/>
      <c r="H419" s="269"/>
      <c r="I419" s="269"/>
      <c r="J419" s="269"/>
      <c r="K419" s="269"/>
    </row>
    <row r="420">
      <c r="F420" s="269"/>
      <c r="G420" s="269"/>
      <c r="H420" s="269"/>
      <c r="I420" s="269"/>
      <c r="J420" s="269"/>
      <c r="K420" s="269"/>
    </row>
    <row r="421">
      <c r="F421" s="269"/>
      <c r="G421" s="269"/>
      <c r="H421" s="269"/>
      <c r="I421" s="269"/>
      <c r="J421" s="269"/>
      <c r="K421" s="269"/>
    </row>
    <row r="422">
      <c r="F422" s="269"/>
      <c r="G422" s="269"/>
      <c r="H422" s="269"/>
      <c r="I422" s="269"/>
      <c r="J422" s="269"/>
      <c r="K422" s="269"/>
    </row>
    <row r="423">
      <c r="F423" s="269"/>
      <c r="G423" s="269"/>
      <c r="H423" s="269"/>
      <c r="I423" s="269"/>
      <c r="J423" s="269"/>
      <c r="K423" s="269"/>
    </row>
    <row r="424">
      <c r="F424" s="269"/>
      <c r="G424" s="269"/>
      <c r="H424" s="269"/>
      <c r="I424" s="269"/>
      <c r="J424" s="269"/>
      <c r="K424" s="269"/>
    </row>
    <row r="425">
      <c r="F425" s="269"/>
      <c r="G425" s="269"/>
      <c r="H425" s="269"/>
      <c r="I425" s="269"/>
      <c r="J425" s="269"/>
      <c r="K425" s="269"/>
    </row>
    <row r="426">
      <c r="F426" s="269"/>
      <c r="G426" s="269"/>
      <c r="H426" s="269"/>
      <c r="I426" s="269"/>
      <c r="J426" s="269"/>
      <c r="K426" s="269"/>
    </row>
    <row r="427">
      <c r="F427" s="269"/>
      <c r="G427" s="269"/>
      <c r="H427" s="269"/>
      <c r="I427" s="269"/>
      <c r="J427" s="269"/>
      <c r="K427" s="269"/>
    </row>
    <row r="428">
      <c r="F428" s="269"/>
      <c r="G428" s="269"/>
      <c r="H428" s="269"/>
      <c r="I428" s="269"/>
      <c r="J428" s="269"/>
      <c r="K428" s="269"/>
    </row>
    <row r="429">
      <c r="F429" s="269"/>
      <c r="G429" s="269"/>
      <c r="H429" s="269"/>
      <c r="I429" s="269"/>
      <c r="J429" s="269"/>
      <c r="K429" s="269"/>
    </row>
    <row r="430">
      <c r="F430" s="269"/>
      <c r="G430" s="269"/>
      <c r="H430" s="269"/>
      <c r="I430" s="269"/>
      <c r="J430" s="269"/>
      <c r="K430" s="269"/>
    </row>
    <row r="431">
      <c r="F431" s="269"/>
      <c r="G431" s="269"/>
      <c r="H431" s="269"/>
      <c r="I431" s="269"/>
      <c r="J431" s="269"/>
      <c r="K431" s="269"/>
    </row>
    <row r="432">
      <c r="F432" s="269"/>
      <c r="G432" s="269"/>
      <c r="H432" s="269"/>
      <c r="I432" s="269"/>
      <c r="J432" s="269"/>
      <c r="K432" s="269"/>
    </row>
    <row r="433">
      <c r="F433" s="269"/>
      <c r="G433" s="269"/>
      <c r="H433" s="269"/>
      <c r="I433" s="269"/>
      <c r="J433" s="269"/>
      <c r="K433" s="269"/>
    </row>
    <row r="434">
      <c r="F434" s="269"/>
      <c r="G434" s="269"/>
      <c r="H434" s="269"/>
      <c r="I434" s="269"/>
      <c r="J434" s="269"/>
      <c r="K434" s="269"/>
    </row>
    <row r="435">
      <c r="F435" s="269"/>
      <c r="G435" s="269"/>
      <c r="H435" s="269"/>
      <c r="I435" s="269"/>
      <c r="J435" s="269"/>
      <c r="K435" s="269"/>
    </row>
    <row r="436">
      <c r="F436" s="269"/>
      <c r="G436" s="269"/>
      <c r="H436" s="269"/>
      <c r="I436" s="269"/>
      <c r="J436" s="269"/>
      <c r="K436" s="269"/>
    </row>
    <row r="437">
      <c r="F437" s="269"/>
      <c r="G437" s="269"/>
      <c r="H437" s="269"/>
      <c r="I437" s="269"/>
      <c r="J437" s="269"/>
      <c r="K437" s="269"/>
    </row>
    <row r="438">
      <c r="F438" s="269"/>
      <c r="G438" s="269"/>
      <c r="H438" s="269"/>
      <c r="I438" s="269"/>
      <c r="J438" s="269"/>
      <c r="K438" s="269"/>
    </row>
    <row r="439">
      <c r="F439" s="269"/>
      <c r="G439" s="269"/>
      <c r="H439" s="269"/>
      <c r="I439" s="269"/>
      <c r="J439" s="269"/>
      <c r="K439" s="269"/>
    </row>
    <row r="440">
      <c r="F440" s="269"/>
      <c r="G440" s="269"/>
      <c r="H440" s="269"/>
      <c r="I440" s="269"/>
      <c r="J440" s="269"/>
      <c r="K440" s="269"/>
    </row>
    <row r="441">
      <c r="F441" s="269"/>
      <c r="G441" s="269"/>
      <c r="H441" s="269"/>
      <c r="I441" s="269"/>
      <c r="J441" s="269"/>
      <c r="K441" s="269"/>
    </row>
    <row r="442">
      <c r="F442" s="269"/>
      <c r="G442" s="269"/>
      <c r="H442" s="269"/>
      <c r="I442" s="269"/>
      <c r="J442" s="269"/>
      <c r="K442" s="269"/>
    </row>
    <row r="443">
      <c r="F443" s="269"/>
      <c r="G443" s="269"/>
      <c r="H443" s="269"/>
      <c r="I443" s="269"/>
      <c r="J443" s="269"/>
      <c r="K443" s="269"/>
    </row>
    <row r="444">
      <c r="F444" s="269"/>
      <c r="G444" s="269"/>
      <c r="H444" s="269"/>
      <c r="I444" s="269"/>
      <c r="J444" s="269"/>
      <c r="K444" s="269"/>
    </row>
    <row r="445">
      <c r="F445" s="269"/>
      <c r="G445" s="269"/>
      <c r="H445" s="269"/>
      <c r="I445" s="269"/>
      <c r="J445" s="269"/>
      <c r="K445" s="269"/>
    </row>
    <row r="446">
      <c r="F446" s="269"/>
      <c r="G446" s="269"/>
      <c r="H446" s="269"/>
      <c r="I446" s="269"/>
      <c r="J446" s="269"/>
      <c r="K446" s="269"/>
    </row>
    <row r="447">
      <c r="F447" s="269"/>
      <c r="G447" s="269"/>
      <c r="H447" s="269"/>
      <c r="I447" s="269"/>
      <c r="J447" s="269"/>
      <c r="K447" s="269"/>
    </row>
    <row r="448">
      <c r="F448" s="269"/>
      <c r="G448" s="269"/>
      <c r="H448" s="269"/>
      <c r="I448" s="269"/>
      <c r="J448" s="269"/>
      <c r="K448" s="269"/>
    </row>
    <row r="449">
      <c r="F449" s="269"/>
      <c r="G449" s="269"/>
      <c r="H449" s="269"/>
      <c r="I449" s="269"/>
      <c r="J449" s="269"/>
      <c r="K449" s="269"/>
    </row>
    <row r="450">
      <c r="F450" s="269"/>
      <c r="G450" s="269"/>
      <c r="H450" s="269"/>
      <c r="I450" s="269"/>
      <c r="J450" s="269"/>
      <c r="K450" s="269"/>
    </row>
    <row r="451">
      <c r="F451" s="269"/>
      <c r="G451" s="269"/>
      <c r="H451" s="269"/>
      <c r="I451" s="269"/>
      <c r="J451" s="269"/>
      <c r="K451" s="269"/>
    </row>
    <row r="452">
      <c r="F452" s="269"/>
      <c r="G452" s="269"/>
      <c r="H452" s="269"/>
      <c r="I452" s="269"/>
      <c r="J452" s="269"/>
      <c r="K452" s="269"/>
    </row>
    <row r="453">
      <c r="F453" s="269"/>
      <c r="G453" s="269"/>
      <c r="H453" s="269"/>
      <c r="I453" s="269"/>
      <c r="J453" s="269"/>
      <c r="K453" s="269"/>
    </row>
    <row r="454">
      <c r="F454" s="269"/>
      <c r="G454" s="269"/>
      <c r="H454" s="269"/>
      <c r="I454" s="269"/>
      <c r="J454" s="269"/>
      <c r="K454" s="269"/>
    </row>
    <row r="455">
      <c r="F455" s="269"/>
      <c r="G455" s="269"/>
      <c r="H455" s="269"/>
      <c r="I455" s="269"/>
      <c r="J455" s="269"/>
      <c r="K455" s="269"/>
    </row>
    <row r="456">
      <c r="F456" s="269"/>
      <c r="G456" s="269"/>
      <c r="H456" s="269"/>
      <c r="I456" s="269"/>
      <c r="J456" s="269"/>
      <c r="K456" s="269"/>
    </row>
    <row r="457">
      <c r="F457" s="269"/>
      <c r="G457" s="269"/>
      <c r="H457" s="269"/>
      <c r="I457" s="269"/>
      <c r="J457" s="269"/>
      <c r="K457" s="269"/>
    </row>
    <row r="458">
      <c r="F458" s="269"/>
      <c r="G458" s="269"/>
      <c r="H458" s="269"/>
      <c r="I458" s="269"/>
      <c r="J458" s="269"/>
      <c r="K458" s="269"/>
    </row>
    <row r="459">
      <c r="F459" s="269"/>
      <c r="G459" s="269"/>
      <c r="H459" s="269"/>
      <c r="I459" s="269"/>
      <c r="J459" s="269"/>
      <c r="K459" s="269"/>
    </row>
    <row r="460">
      <c r="F460" s="269"/>
      <c r="G460" s="269"/>
      <c r="H460" s="269"/>
      <c r="I460" s="269"/>
      <c r="J460" s="269"/>
      <c r="K460" s="269"/>
    </row>
    <row r="461">
      <c r="F461" s="269"/>
      <c r="G461" s="269"/>
      <c r="H461" s="269"/>
      <c r="I461" s="269"/>
      <c r="J461" s="269"/>
      <c r="K461" s="269"/>
    </row>
    <row r="462">
      <c r="F462" s="269"/>
      <c r="G462" s="269"/>
      <c r="H462" s="269"/>
      <c r="I462" s="269"/>
      <c r="J462" s="269"/>
      <c r="K462" s="269"/>
    </row>
    <row r="463">
      <c r="F463" s="269"/>
      <c r="G463" s="269"/>
      <c r="H463" s="269"/>
      <c r="I463" s="269"/>
      <c r="J463" s="269"/>
      <c r="K463" s="269"/>
    </row>
    <row r="464">
      <c r="F464" s="269"/>
      <c r="G464" s="269"/>
      <c r="H464" s="269"/>
      <c r="I464" s="269"/>
      <c r="J464" s="269"/>
      <c r="K464" s="269"/>
    </row>
    <row r="465">
      <c r="F465" s="269"/>
      <c r="G465" s="269"/>
      <c r="H465" s="269"/>
      <c r="I465" s="269"/>
      <c r="J465" s="269"/>
      <c r="K465" s="269"/>
    </row>
    <row r="466">
      <c r="F466" s="269"/>
      <c r="G466" s="269"/>
      <c r="H466" s="269"/>
      <c r="I466" s="269"/>
      <c r="J466" s="269"/>
      <c r="K466" s="269"/>
    </row>
    <row r="467">
      <c r="F467" s="269"/>
      <c r="G467" s="269"/>
      <c r="H467" s="269"/>
      <c r="I467" s="269"/>
      <c r="J467" s="269"/>
      <c r="K467" s="269"/>
    </row>
    <row r="468">
      <c r="F468" s="269"/>
      <c r="G468" s="269"/>
      <c r="H468" s="269"/>
      <c r="I468" s="269"/>
      <c r="J468" s="269"/>
      <c r="K468" s="269"/>
    </row>
    <row r="469">
      <c r="F469" s="269"/>
      <c r="G469" s="269"/>
      <c r="H469" s="269"/>
      <c r="I469" s="269"/>
      <c r="J469" s="269"/>
      <c r="K469" s="269"/>
    </row>
    <row r="470">
      <c r="F470" s="269"/>
      <c r="G470" s="269"/>
      <c r="H470" s="269"/>
      <c r="I470" s="269"/>
      <c r="J470" s="269"/>
      <c r="K470" s="269"/>
    </row>
    <row r="471">
      <c r="F471" s="269"/>
      <c r="G471" s="269"/>
      <c r="H471" s="269"/>
      <c r="I471" s="269"/>
      <c r="J471" s="269"/>
      <c r="K471" s="269"/>
    </row>
    <row r="472">
      <c r="F472" s="269"/>
      <c r="G472" s="269"/>
      <c r="H472" s="269"/>
      <c r="I472" s="269"/>
      <c r="J472" s="269"/>
      <c r="K472" s="269"/>
    </row>
    <row r="473">
      <c r="F473" s="269"/>
      <c r="G473" s="269"/>
      <c r="H473" s="269"/>
      <c r="I473" s="269"/>
      <c r="J473" s="269"/>
      <c r="K473" s="269"/>
    </row>
    <row r="474">
      <c r="F474" s="269"/>
      <c r="G474" s="269"/>
      <c r="H474" s="269"/>
      <c r="I474" s="269"/>
      <c r="J474" s="269"/>
      <c r="K474" s="269"/>
    </row>
    <row r="475">
      <c r="F475" s="269"/>
      <c r="G475" s="269"/>
      <c r="H475" s="269"/>
      <c r="I475" s="269"/>
      <c r="J475" s="269"/>
      <c r="K475" s="269"/>
    </row>
    <row r="476">
      <c r="F476" s="269"/>
      <c r="G476" s="269"/>
      <c r="H476" s="269"/>
      <c r="I476" s="269"/>
      <c r="J476" s="269"/>
      <c r="K476" s="269"/>
    </row>
    <row r="477">
      <c r="F477" s="269"/>
      <c r="G477" s="269"/>
      <c r="H477" s="269"/>
      <c r="I477" s="269"/>
      <c r="J477" s="269"/>
      <c r="K477" s="269"/>
    </row>
    <row r="478">
      <c r="F478" s="269"/>
      <c r="G478" s="269"/>
      <c r="H478" s="269"/>
      <c r="I478" s="269"/>
      <c r="J478" s="269"/>
      <c r="K478" s="269"/>
    </row>
    <row r="479">
      <c r="F479" s="269"/>
      <c r="G479" s="269"/>
      <c r="H479" s="269"/>
      <c r="I479" s="269"/>
      <c r="J479" s="269"/>
      <c r="K479" s="269"/>
    </row>
    <row r="480">
      <c r="F480" s="269"/>
      <c r="G480" s="269"/>
      <c r="H480" s="269"/>
      <c r="I480" s="269"/>
      <c r="J480" s="269"/>
      <c r="K480" s="269"/>
    </row>
    <row r="481">
      <c r="F481" s="269"/>
      <c r="G481" s="269"/>
      <c r="H481" s="269"/>
      <c r="I481" s="269"/>
      <c r="J481" s="269"/>
      <c r="K481" s="269"/>
    </row>
    <row r="482">
      <c r="F482" s="269"/>
      <c r="G482" s="269"/>
      <c r="H482" s="269"/>
      <c r="I482" s="269"/>
      <c r="J482" s="269"/>
      <c r="K482" s="269"/>
    </row>
    <row r="483">
      <c r="F483" s="269"/>
      <c r="G483" s="269"/>
      <c r="H483" s="269"/>
      <c r="I483" s="269"/>
      <c r="J483" s="269"/>
      <c r="K483" s="269"/>
    </row>
    <row r="484">
      <c r="F484" s="269"/>
      <c r="G484" s="269"/>
      <c r="H484" s="269"/>
      <c r="I484" s="269"/>
      <c r="J484" s="269"/>
      <c r="K484" s="269"/>
    </row>
    <row r="485">
      <c r="F485" s="269"/>
      <c r="G485" s="269"/>
      <c r="H485" s="269"/>
      <c r="I485" s="269"/>
      <c r="J485" s="269"/>
      <c r="K485" s="269"/>
    </row>
    <row r="486">
      <c r="F486" s="269"/>
      <c r="G486" s="269"/>
      <c r="H486" s="269"/>
      <c r="I486" s="269"/>
      <c r="J486" s="269"/>
      <c r="K486" s="269"/>
    </row>
    <row r="487">
      <c r="F487" s="269"/>
      <c r="G487" s="269"/>
      <c r="H487" s="269"/>
      <c r="I487" s="269"/>
      <c r="J487" s="269"/>
      <c r="K487" s="269"/>
    </row>
    <row r="488">
      <c r="F488" s="269"/>
      <c r="G488" s="269"/>
      <c r="H488" s="269"/>
      <c r="I488" s="269"/>
      <c r="J488" s="269"/>
      <c r="K488" s="269"/>
    </row>
    <row r="489">
      <c r="F489" s="269"/>
      <c r="G489" s="269"/>
      <c r="H489" s="269"/>
      <c r="I489" s="269"/>
      <c r="J489" s="269"/>
      <c r="K489" s="269"/>
    </row>
    <row r="490">
      <c r="F490" s="269"/>
      <c r="G490" s="269"/>
      <c r="H490" s="269"/>
      <c r="I490" s="269"/>
      <c r="J490" s="269"/>
      <c r="K490" s="269"/>
    </row>
    <row r="491">
      <c r="F491" s="269"/>
      <c r="G491" s="269"/>
      <c r="H491" s="269"/>
      <c r="I491" s="269"/>
      <c r="J491" s="269"/>
      <c r="K491" s="269"/>
    </row>
    <row r="492">
      <c r="F492" s="269"/>
      <c r="G492" s="269"/>
      <c r="H492" s="269"/>
      <c r="I492" s="269"/>
      <c r="J492" s="269"/>
      <c r="K492" s="269"/>
    </row>
    <row r="493">
      <c r="F493" s="269"/>
      <c r="G493" s="269"/>
      <c r="H493" s="269"/>
      <c r="I493" s="269"/>
      <c r="J493" s="269"/>
      <c r="K493" s="269"/>
    </row>
    <row r="494">
      <c r="F494" s="269"/>
      <c r="G494" s="269"/>
      <c r="H494" s="269"/>
      <c r="I494" s="269"/>
      <c r="J494" s="269"/>
      <c r="K494" s="269"/>
    </row>
    <row r="495">
      <c r="F495" s="269"/>
      <c r="G495" s="269"/>
      <c r="H495" s="269"/>
      <c r="I495" s="269"/>
      <c r="J495" s="269"/>
      <c r="K495" s="269"/>
    </row>
    <row r="496">
      <c r="F496" s="269"/>
      <c r="G496" s="269"/>
      <c r="H496" s="269"/>
      <c r="I496" s="269"/>
      <c r="J496" s="269"/>
      <c r="K496" s="269"/>
    </row>
    <row r="497">
      <c r="F497" s="269"/>
      <c r="G497" s="269"/>
      <c r="H497" s="269"/>
      <c r="I497" s="269"/>
      <c r="J497" s="269"/>
      <c r="K497" s="269"/>
    </row>
    <row r="498">
      <c r="F498" s="269"/>
      <c r="G498" s="269"/>
      <c r="H498" s="269"/>
      <c r="I498" s="269"/>
      <c r="J498" s="269"/>
      <c r="K498" s="269"/>
    </row>
    <row r="499">
      <c r="F499" s="269"/>
      <c r="G499" s="269"/>
      <c r="H499" s="269"/>
      <c r="I499" s="269"/>
      <c r="J499" s="269"/>
      <c r="K499" s="269"/>
    </row>
    <row r="500">
      <c r="F500" s="269"/>
      <c r="G500" s="269"/>
      <c r="H500" s="269"/>
      <c r="I500" s="269"/>
      <c r="J500" s="269"/>
      <c r="K500" s="269"/>
    </row>
    <row r="501">
      <c r="F501" s="269"/>
      <c r="G501" s="269"/>
      <c r="H501" s="269"/>
      <c r="I501" s="269"/>
      <c r="J501" s="269"/>
      <c r="K501" s="269"/>
    </row>
    <row r="502">
      <c r="F502" s="269"/>
      <c r="G502" s="269"/>
      <c r="H502" s="269"/>
      <c r="I502" s="269"/>
      <c r="J502" s="269"/>
      <c r="K502" s="269"/>
    </row>
    <row r="503">
      <c r="F503" s="269"/>
      <c r="G503" s="269"/>
      <c r="H503" s="269"/>
      <c r="I503" s="269"/>
      <c r="J503" s="269"/>
      <c r="K503" s="269"/>
    </row>
    <row r="504">
      <c r="F504" s="269"/>
      <c r="G504" s="269"/>
      <c r="H504" s="269"/>
      <c r="I504" s="269"/>
      <c r="J504" s="269"/>
      <c r="K504" s="269"/>
    </row>
    <row r="505">
      <c r="F505" s="269"/>
      <c r="G505" s="269"/>
      <c r="H505" s="269"/>
      <c r="I505" s="269"/>
      <c r="J505" s="269"/>
      <c r="K505" s="269"/>
    </row>
    <row r="506">
      <c r="F506" s="269"/>
      <c r="G506" s="269"/>
      <c r="H506" s="269"/>
      <c r="I506" s="269"/>
      <c r="J506" s="269"/>
      <c r="K506" s="269"/>
    </row>
    <row r="507">
      <c r="F507" s="269"/>
      <c r="G507" s="269"/>
      <c r="H507" s="269"/>
      <c r="I507" s="269"/>
      <c r="J507" s="269"/>
      <c r="K507" s="269"/>
    </row>
    <row r="508">
      <c r="F508" s="269"/>
      <c r="G508" s="269"/>
      <c r="H508" s="269"/>
      <c r="I508" s="269"/>
      <c r="J508" s="269"/>
      <c r="K508" s="269"/>
    </row>
    <row r="509">
      <c r="F509" s="269"/>
      <c r="G509" s="269"/>
      <c r="H509" s="269"/>
      <c r="I509" s="269"/>
      <c r="J509" s="269"/>
      <c r="K509" s="269"/>
    </row>
    <row r="510">
      <c r="F510" s="269"/>
      <c r="G510" s="269"/>
      <c r="H510" s="269"/>
      <c r="I510" s="269"/>
      <c r="J510" s="269"/>
      <c r="K510" s="269"/>
    </row>
    <row r="511">
      <c r="F511" s="269"/>
      <c r="G511" s="269"/>
      <c r="H511" s="269"/>
      <c r="I511" s="269"/>
      <c r="J511" s="269"/>
      <c r="K511" s="269"/>
    </row>
    <row r="512">
      <c r="F512" s="269"/>
      <c r="G512" s="269"/>
      <c r="H512" s="269"/>
      <c r="I512" s="269"/>
      <c r="J512" s="269"/>
      <c r="K512" s="269"/>
    </row>
    <row r="513">
      <c r="F513" s="269"/>
      <c r="G513" s="269"/>
      <c r="H513" s="269"/>
      <c r="I513" s="269"/>
      <c r="J513" s="269"/>
      <c r="K513" s="269"/>
    </row>
    <row r="514">
      <c r="F514" s="269"/>
      <c r="G514" s="269"/>
      <c r="H514" s="269"/>
      <c r="I514" s="269"/>
      <c r="J514" s="269"/>
      <c r="K514" s="269"/>
    </row>
    <row r="515">
      <c r="F515" s="269"/>
      <c r="G515" s="269"/>
      <c r="H515" s="269"/>
      <c r="I515" s="269"/>
      <c r="J515" s="269"/>
      <c r="K515" s="269"/>
    </row>
    <row r="516">
      <c r="F516" s="269"/>
      <c r="G516" s="269"/>
      <c r="H516" s="269"/>
      <c r="I516" s="269"/>
      <c r="J516" s="269"/>
      <c r="K516" s="269"/>
    </row>
    <row r="517">
      <c r="F517" s="269"/>
      <c r="G517" s="269"/>
      <c r="H517" s="269"/>
      <c r="I517" s="269"/>
      <c r="J517" s="269"/>
      <c r="K517" s="269"/>
    </row>
    <row r="518">
      <c r="F518" s="269"/>
      <c r="G518" s="269"/>
      <c r="H518" s="269"/>
      <c r="I518" s="269"/>
      <c r="J518" s="269"/>
      <c r="K518" s="269"/>
    </row>
    <row r="519">
      <c r="F519" s="269"/>
      <c r="G519" s="269"/>
      <c r="H519" s="269"/>
      <c r="I519" s="269"/>
      <c r="J519" s="269"/>
      <c r="K519" s="269"/>
    </row>
    <row r="520">
      <c r="F520" s="269"/>
      <c r="G520" s="269"/>
      <c r="H520" s="269"/>
      <c r="I520" s="269"/>
      <c r="J520" s="269"/>
      <c r="K520" s="269"/>
    </row>
    <row r="521">
      <c r="F521" s="269"/>
      <c r="G521" s="269"/>
      <c r="H521" s="269"/>
      <c r="I521" s="269"/>
      <c r="J521" s="269"/>
      <c r="K521" s="269"/>
    </row>
    <row r="522">
      <c r="F522" s="269"/>
      <c r="G522" s="269"/>
      <c r="H522" s="269"/>
      <c r="I522" s="269"/>
      <c r="J522" s="269"/>
      <c r="K522" s="269"/>
    </row>
    <row r="523">
      <c r="F523" s="269"/>
      <c r="G523" s="269"/>
      <c r="H523" s="269"/>
      <c r="I523" s="269"/>
      <c r="J523" s="269"/>
      <c r="K523" s="269"/>
    </row>
    <row r="524">
      <c r="F524" s="269"/>
      <c r="G524" s="269"/>
      <c r="H524" s="269"/>
      <c r="I524" s="269"/>
      <c r="J524" s="269"/>
      <c r="K524" s="269"/>
    </row>
    <row r="525">
      <c r="F525" s="269"/>
      <c r="G525" s="269"/>
      <c r="H525" s="269"/>
      <c r="I525" s="269"/>
      <c r="J525" s="269"/>
      <c r="K525" s="269"/>
    </row>
    <row r="526">
      <c r="F526" s="269"/>
      <c r="G526" s="269"/>
      <c r="H526" s="269"/>
      <c r="I526" s="269"/>
      <c r="J526" s="269"/>
      <c r="K526" s="269"/>
    </row>
    <row r="527">
      <c r="F527" s="269"/>
      <c r="G527" s="269"/>
      <c r="H527" s="269"/>
      <c r="I527" s="269"/>
      <c r="J527" s="269"/>
      <c r="K527" s="269"/>
    </row>
    <row r="528">
      <c r="F528" s="269"/>
      <c r="G528" s="269"/>
      <c r="H528" s="269"/>
      <c r="I528" s="269"/>
      <c r="J528" s="269"/>
      <c r="K528" s="269"/>
    </row>
    <row r="529">
      <c r="F529" s="269"/>
      <c r="G529" s="269"/>
      <c r="H529" s="269"/>
      <c r="I529" s="269"/>
      <c r="J529" s="269"/>
      <c r="K529" s="269"/>
    </row>
    <row r="530">
      <c r="F530" s="269"/>
      <c r="G530" s="269"/>
      <c r="H530" s="269"/>
      <c r="I530" s="269"/>
      <c r="J530" s="269"/>
      <c r="K530" s="269"/>
    </row>
    <row r="531">
      <c r="F531" s="269"/>
      <c r="G531" s="269"/>
      <c r="H531" s="269"/>
      <c r="I531" s="269"/>
      <c r="J531" s="269"/>
      <c r="K531" s="269"/>
    </row>
    <row r="532">
      <c r="F532" s="269"/>
      <c r="G532" s="269"/>
      <c r="H532" s="269"/>
      <c r="I532" s="269"/>
      <c r="J532" s="269"/>
      <c r="K532" s="269"/>
    </row>
    <row r="533">
      <c r="F533" s="269"/>
      <c r="G533" s="269"/>
      <c r="H533" s="269"/>
      <c r="I533" s="269"/>
      <c r="J533" s="269"/>
      <c r="K533" s="269"/>
    </row>
    <row r="534">
      <c r="F534" s="269"/>
      <c r="G534" s="269"/>
      <c r="H534" s="269"/>
      <c r="I534" s="269"/>
      <c r="J534" s="269"/>
      <c r="K534" s="269"/>
    </row>
    <row r="535">
      <c r="F535" s="269"/>
      <c r="G535" s="269"/>
      <c r="H535" s="269"/>
      <c r="I535" s="269"/>
      <c r="J535" s="269"/>
      <c r="K535" s="269"/>
    </row>
    <row r="536">
      <c r="F536" s="269"/>
      <c r="G536" s="269"/>
      <c r="H536" s="269"/>
      <c r="I536" s="269"/>
      <c r="J536" s="269"/>
      <c r="K536" s="269"/>
    </row>
    <row r="537">
      <c r="F537" s="269"/>
      <c r="G537" s="269"/>
      <c r="H537" s="269"/>
      <c r="I537" s="269"/>
      <c r="J537" s="269"/>
      <c r="K537" s="269"/>
    </row>
    <row r="538">
      <c r="F538" s="269"/>
      <c r="G538" s="269"/>
      <c r="H538" s="269"/>
      <c r="I538" s="269"/>
      <c r="J538" s="269"/>
      <c r="K538" s="269"/>
    </row>
    <row r="539">
      <c r="F539" s="269"/>
      <c r="G539" s="269"/>
      <c r="H539" s="269"/>
      <c r="I539" s="269"/>
      <c r="J539" s="269"/>
      <c r="K539" s="269"/>
    </row>
    <row r="540">
      <c r="F540" s="269"/>
      <c r="G540" s="269"/>
      <c r="H540" s="269"/>
      <c r="I540" s="269"/>
      <c r="J540" s="269"/>
      <c r="K540" s="269"/>
    </row>
    <row r="541">
      <c r="F541" s="269"/>
      <c r="G541" s="269"/>
      <c r="H541" s="269"/>
      <c r="I541" s="269"/>
      <c r="J541" s="269"/>
      <c r="K541" s="269"/>
    </row>
    <row r="542">
      <c r="F542" s="269"/>
      <c r="G542" s="269"/>
      <c r="H542" s="269"/>
      <c r="I542" s="269"/>
      <c r="J542" s="269"/>
      <c r="K542" s="269"/>
    </row>
    <row r="543">
      <c r="F543" s="269"/>
      <c r="G543" s="269"/>
      <c r="H543" s="269"/>
      <c r="I543" s="269"/>
      <c r="J543" s="269"/>
      <c r="K543" s="269"/>
    </row>
    <row r="544">
      <c r="F544" s="269"/>
      <c r="G544" s="269"/>
      <c r="H544" s="269"/>
      <c r="I544" s="269"/>
      <c r="J544" s="269"/>
      <c r="K544" s="269"/>
    </row>
    <row r="545">
      <c r="F545" s="269"/>
      <c r="G545" s="269"/>
      <c r="H545" s="269"/>
      <c r="I545" s="269"/>
      <c r="J545" s="269"/>
      <c r="K545" s="269"/>
    </row>
    <row r="546">
      <c r="F546" s="269"/>
      <c r="G546" s="269"/>
      <c r="H546" s="269"/>
      <c r="I546" s="269"/>
      <c r="J546" s="269"/>
      <c r="K546" s="269"/>
    </row>
    <row r="547">
      <c r="F547" s="269"/>
      <c r="G547" s="269"/>
      <c r="H547" s="269"/>
      <c r="I547" s="269"/>
      <c r="J547" s="269"/>
      <c r="K547" s="269"/>
    </row>
    <row r="548">
      <c r="F548" s="269"/>
      <c r="G548" s="269"/>
      <c r="H548" s="269"/>
      <c r="I548" s="269"/>
      <c r="J548" s="269"/>
      <c r="K548" s="269"/>
    </row>
    <row r="549">
      <c r="F549" s="269"/>
      <c r="G549" s="269"/>
      <c r="H549" s="269"/>
      <c r="I549" s="269"/>
      <c r="J549" s="269"/>
      <c r="K549" s="269"/>
    </row>
    <row r="550">
      <c r="F550" s="269"/>
      <c r="G550" s="269"/>
      <c r="H550" s="269"/>
      <c r="I550" s="269"/>
      <c r="J550" s="269"/>
      <c r="K550" s="269"/>
    </row>
    <row r="551">
      <c r="F551" s="269"/>
      <c r="G551" s="269"/>
      <c r="H551" s="269"/>
      <c r="I551" s="269"/>
      <c r="J551" s="269"/>
      <c r="K551" s="269"/>
    </row>
    <row r="552">
      <c r="F552" s="269"/>
      <c r="G552" s="269"/>
      <c r="H552" s="269"/>
      <c r="I552" s="269"/>
      <c r="J552" s="269"/>
      <c r="K552" s="269"/>
    </row>
    <row r="553">
      <c r="F553" s="269"/>
      <c r="G553" s="269"/>
      <c r="H553" s="269"/>
      <c r="I553" s="269"/>
      <c r="J553" s="269"/>
      <c r="K553" s="269"/>
    </row>
    <row r="554">
      <c r="F554" s="269"/>
      <c r="G554" s="269"/>
      <c r="H554" s="269"/>
      <c r="I554" s="269"/>
      <c r="J554" s="269"/>
      <c r="K554" s="269"/>
    </row>
    <row r="555">
      <c r="F555" s="269"/>
      <c r="G555" s="269"/>
      <c r="H555" s="269"/>
      <c r="I555" s="269"/>
      <c r="J555" s="269"/>
      <c r="K555" s="269"/>
    </row>
    <row r="556">
      <c r="F556" s="269"/>
      <c r="G556" s="269"/>
      <c r="H556" s="269"/>
      <c r="I556" s="269"/>
      <c r="J556" s="269"/>
      <c r="K556" s="269"/>
    </row>
    <row r="557">
      <c r="F557" s="269"/>
      <c r="G557" s="269"/>
      <c r="H557" s="269"/>
      <c r="I557" s="269"/>
      <c r="J557" s="269"/>
      <c r="K557" s="269"/>
    </row>
    <row r="558">
      <c r="F558" s="269"/>
      <c r="G558" s="269"/>
      <c r="H558" s="269"/>
      <c r="I558" s="269"/>
      <c r="J558" s="269"/>
      <c r="K558" s="269"/>
    </row>
    <row r="559">
      <c r="F559" s="269"/>
      <c r="G559" s="269"/>
      <c r="H559" s="269"/>
      <c r="I559" s="269"/>
      <c r="J559" s="269"/>
      <c r="K559" s="269"/>
    </row>
    <row r="560">
      <c r="F560" s="269"/>
      <c r="G560" s="269"/>
      <c r="H560" s="269"/>
      <c r="I560" s="269"/>
      <c r="J560" s="269"/>
      <c r="K560" s="269"/>
    </row>
    <row r="561">
      <c r="F561" s="269"/>
      <c r="G561" s="269"/>
      <c r="H561" s="269"/>
      <c r="I561" s="269"/>
      <c r="J561" s="269"/>
      <c r="K561" s="269"/>
    </row>
    <row r="562">
      <c r="F562" s="269"/>
      <c r="G562" s="269"/>
      <c r="H562" s="269"/>
      <c r="I562" s="269"/>
      <c r="J562" s="269"/>
      <c r="K562" s="269"/>
    </row>
    <row r="563">
      <c r="F563" s="269"/>
      <c r="G563" s="269"/>
      <c r="H563" s="269"/>
      <c r="I563" s="269"/>
      <c r="J563" s="269"/>
      <c r="K563" s="269"/>
    </row>
    <row r="564">
      <c r="F564" s="269"/>
      <c r="G564" s="269"/>
      <c r="H564" s="269"/>
      <c r="I564" s="269"/>
      <c r="J564" s="269"/>
      <c r="K564" s="269"/>
    </row>
    <row r="565">
      <c r="F565" s="269"/>
      <c r="G565" s="269"/>
      <c r="H565" s="269"/>
      <c r="I565" s="269"/>
      <c r="J565" s="269"/>
      <c r="K565" s="269"/>
    </row>
    <row r="566">
      <c r="F566" s="269"/>
      <c r="G566" s="269"/>
      <c r="H566" s="269"/>
      <c r="I566" s="269"/>
      <c r="J566" s="269"/>
      <c r="K566" s="269"/>
    </row>
    <row r="567">
      <c r="F567" s="269"/>
      <c r="G567" s="269"/>
      <c r="H567" s="269"/>
      <c r="I567" s="269"/>
      <c r="J567" s="269"/>
      <c r="K567" s="269"/>
    </row>
    <row r="568">
      <c r="F568" s="269"/>
      <c r="G568" s="269"/>
      <c r="H568" s="269"/>
      <c r="I568" s="269"/>
      <c r="J568" s="269"/>
      <c r="K568" s="269"/>
    </row>
    <row r="569">
      <c r="F569" s="269"/>
      <c r="G569" s="269"/>
      <c r="H569" s="269"/>
      <c r="I569" s="269"/>
      <c r="J569" s="269"/>
      <c r="K569" s="269"/>
    </row>
    <row r="570">
      <c r="F570" s="269"/>
      <c r="G570" s="269"/>
      <c r="H570" s="269"/>
      <c r="I570" s="269"/>
      <c r="J570" s="269"/>
      <c r="K570" s="269"/>
    </row>
    <row r="571">
      <c r="F571" s="269"/>
      <c r="G571" s="269"/>
      <c r="H571" s="269"/>
      <c r="I571" s="269"/>
      <c r="J571" s="269"/>
      <c r="K571" s="269"/>
    </row>
    <row r="572">
      <c r="F572" s="269"/>
      <c r="G572" s="269"/>
      <c r="H572" s="269"/>
      <c r="I572" s="269"/>
      <c r="J572" s="269"/>
      <c r="K572" s="269"/>
    </row>
    <row r="573">
      <c r="F573" s="269"/>
      <c r="G573" s="269"/>
      <c r="H573" s="269"/>
      <c r="I573" s="269"/>
      <c r="J573" s="269"/>
      <c r="K573" s="269"/>
    </row>
    <row r="574">
      <c r="F574" s="269"/>
      <c r="G574" s="269"/>
      <c r="H574" s="269"/>
      <c r="I574" s="269"/>
      <c r="J574" s="269"/>
      <c r="K574" s="269"/>
    </row>
    <row r="575">
      <c r="F575" s="269"/>
      <c r="G575" s="269"/>
      <c r="H575" s="269"/>
      <c r="I575" s="269"/>
      <c r="J575" s="269"/>
      <c r="K575" s="269"/>
    </row>
    <row r="576">
      <c r="F576" s="269"/>
      <c r="G576" s="269"/>
      <c r="H576" s="269"/>
      <c r="I576" s="269"/>
      <c r="J576" s="269"/>
      <c r="K576" s="269"/>
    </row>
    <row r="577">
      <c r="F577" s="269"/>
      <c r="G577" s="269"/>
      <c r="H577" s="269"/>
      <c r="I577" s="269"/>
      <c r="J577" s="269"/>
      <c r="K577" s="269"/>
    </row>
    <row r="578">
      <c r="F578" s="269"/>
      <c r="G578" s="269"/>
      <c r="H578" s="269"/>
      <c r="I578" s="269"/>
      <c r="J578" s="269"/>
      <c r="K578" s="269"/>
    </row>
    <row r="579">
      <c r="F579" s="269"/>
      <c r="G579" s="269"/>
      <c r="H579" s="269"/>
      <c r="I579" s="269"/>
      <c r="J579" s="269"/>
      <c r="K579" s="269"/>
    </row>
    <row r="580">
      <c r="F580" s="269"/>
      <c r="G580" s="269"/>
      <c r="H580" s="269"/>
      <c r="I580" s="269"/>
      <c r="J580" s="269"/>
      <c r="K580" s="269"/>
    </row>
    <row r="581">
      <c r="F581" s="269"/>
      <c r="G581" s="269"/>
      <c r="H581" s="269"/>
      <c r="I581" s="269"/>
      <c r="J581" s="269"/>
      <c r="K581" s="269"/>
    </row>
    <row r="582">
      <c r="F582" s="269"/>
      <c r="G582" s="269"/>
      <c r="H582" s="269"/>
      <c r="I582" s="269"/>
      <c r="J582" s="269"/>
      <c r="K582" s="269"/>
    </row>
    <row r="583">
      <c r="F583" s="269"/>
      <c r="G583" s="269"/>
      <c r="H583" s="269"/>
      <c r="I583" s="269"/>
      <c r="J583" s="269"/>
      <c r="K583" s="269"/>
    </row>
    <row r="584">
      <c r="F584" s="269"/>
      <c r="G584" s="269"/>
      <c r="H584" s="269"/>
      <c r="I584" s="269"/>
      <c r="J584" s="269"/>
      <c r="K584" s="269"/>
    </row>
    <row r="585">
      <c r="F585" s="269"/>
      <c r="G585" s="269"/>
      <c r="H585" s="269"/>
      <c r="I585" s="269"/>
      <c r="J585" s="269"/>
      <c r="K585" s="269"/>
    </row>
    <row r="586">
      <c r="F586" s="269"/>
      <c r="G586" s="269"/>
      <c r="H586" s="269"/>
      <c r="I586" s="269"/>
      <c r="J586" s="269"/>
      <c r="K586" s="269"/>
    </row>
    <row r="587">
      <c r="F587" s="269"/>
      <c r="G587" s="269"/>
      <c r="H587" s="269"/>
      <c r="I587" s="269"/>
      <c r="J587" s="269"/>
      <c r="K587" s="269"/>
    </row>
    <row r="588">
      <c r="F588" s="269"/>
      <c r="G588" s="269"/>
      <c r="H588" s="269"/>
      <c r="I588" s="269"/>
      <c r="J588" s="269"/>
      <c r="K588" s="269"/>
    </row>
    <row r="589">
      <c r="F589" s="269"/>
      <c r="G589" s="269"/>
      <c r="H589" s="269"/>
      <c r="I589" s="269"/>
      <c r="J589" s="269"/>
      <c r="K589" s="269"/>
    </row>
    <row r="590">
      <c r="F590" s="269"/>
      <c r="G590" s="269"/>
      <c r="H590" s="269"/>
      <c r="I590" s="269"/>
      <c r="J590" s="269"/>
      <c r="K590" s="269"/>
    </row>
    <row r="591">
      <c r="F591" s="269"/>
      <c r="G591" s="269"/>
      <c r="H591" s="269"/>
      <c r="I591" s="269"/>
      <c r="J591" s="269"/>
      <c r="K591" s="269"/>
    </row>
    <row r="592">
      <c r="F592" s="269"/>
      <c r="G592" s="269"/>
      <c r="H592" s="269"/>
      <c r="I592" s="269"/>
      <c r="J592" s="269"/>
      <c r="K592" s="269"/>
    </row>
    <row r="593">
      <c r="F593" s="269"/>
      <c r="G593" s="269"/>
      <c r="H593" s="269"/>
      <c r="I593" s="269"/>
      <c r="J593" s="269"/>
      <c r="K593" s="269"/>
    </row>
    <row r="594">
      <c r="F594" s="269"/>
      <c r="G594" s="269"/>
      <c r="H594" s="269"/>
      <c r="I594" s="269"/>
      <c r="J594" s="269"/>
      <c r="K594" s="269"/>
    </row>
    <row r="595">
      <c r="F595" s="269"/>
      <c r="G595" s="269"/>
      <c r="H595" s="269"/>
      <c r="I595" s="269"/>
      <c r="J595" s="269"/>
      <c r="K595" s="269"/>
    </row>
    <row r="596">
      <c r="F596" s="269"/>
      <c r="G596" s="269"/>
      <c r="H596" s="269"/>
      <c r="I596" s="269"/>
      <c r="J596" s="269"/>
      <c r="K596" s="269"/>
    </row>
    <row r="597">
      <c r="F597" s="269"/>
      <c r="G597" s="269"/>
      <c r="H597" s="269"/>
      <c r="I597" s="269"/>
      <c r="J597" s="269"/>
      <c r="K597" s="269"/>
    </row>
    <row r="598">
      <c r="F598" s="269"/>
      <c r="G598" s="269"/>
      <c r="H598" s="269"/>
      <c r="I598" s="269"/>
      <c r="J598" s="269"/>
      <c r="K598" s="269"/>
    </row>
    <row r="599">
      <c r="F599" s="269"/>
      <c r="G599" s="269"/>
      <c r="H599" s="269"/>
      <c r="I599" s="269"/>
      <c r="J599" s="269"/>
      <c r="K599" s="269"/>
    </row>
    <row r="600">
      <c r="F600" s="269"/>
      <c r="G600" s="269"/>
      <c r="H600" s="269"/>
      <c r="I600" s="269"/>
      <c r="J600" s="269"/>
      <c r="K600" s="269"/>
    </row>
    <row r="601">
      <c r="F601" s="269"/>
      <c r="G601" s="269"/>
      <c r="H601" s="269"/>
      <c r="I601" s="269"/>
      <c r="J601" s="269"/>
      <c r="K601" s="269"/>
    </row>
    <row r="602">
      <c r="F602" s="269"/>
      <c r="G602" s="269"/>
      <c r="H602" s="269"/>
      <c r="I602" s="269"/>
      <c r="J602" s="269"/>
      <c r="K602" s="269"/>
    </row>
    <row r="603">
      <c r="F603" s="269"/>
      <c r="G603" s="269"/>
      <c r="H603" s="269"/>
      <c r="I603" s="269"/>
      <c r="J603" s="269"/>
      <c r="K603" s="269"/>
    </row>
    <row r="604">
      <c r="F604" s="269"/>
      <c r="G604" s="269"/>
      <c r="H604" s="269"/>
      <c r="I604" s="269"/>
      <c r="J604" s="269"/>
      <c r="K604" s="269"/>
    </row>
    <row r="605">
      <c r="F605" s="269"/>
      <c r="G605" s="269"/>
      <c r="H605" s="269"/>
      <c r="I605" s="269"/>
      <c r="J605" s="269"/>
      <c r="K605" s="269"/>
    </row>
    <row r="606">
      <c r="F606" s="269"/>
      <c r="G606" s="269"/>
      <c r="H606" s="269"/>
      <c r="I606" s="269"/>
      <c r="J606" s="269"/>
      <c r="K606" s="269"/>
    </row>
    <row r="607">
      <c r="F607" s="269"/>
      <c r="G607" s="269"/>
      <c r="H607" s="269"/>
      <c r="I607" s="269"/>
      <c r="J607" s="269"/>
      <c r="K607" s="269"/>
    </row>
    <row r="608">
      <c r="F608" s="269"/>
      <c r="G608" s="269"/>
      <c r="H608" s="269"/>
      <c r="I608" s="269"/>
      <c r="J608" s="269"/>
      <c r="K608" s="269"/>
    </row>
    <row r="609">
      <c r="F609" s="269"/>
      <c r="G609" s="269"/>
      <c r="H609" s="269"/>
      <c r="I609" s="269"/>
      <c r="J609" s="269"/>
      <c r="K609" s="269"/>
    </row>
    <row r="610">
      <c r="F610" s="269"/>
      <c r="G610" s="269"/>
      <c r="H610" s="269"/>
      <c r="I610" s="269"/>
      <c r="J610" s="269"/>
      <c r="K610" s="269"/>
    </row>
    <row r="611">
      <c r="F611" s="269"/>
      <c r="G611" s="269"/>
      <c r="H611" s="269"/>
      <c r="I611" s="269"/>
      <c r="J611" s="269"/>
      <c r="K611" s="269"/>
    </row>
    <row r="612">
      <c r="F612" s="269"/>
      <c r="G612" s="269"/>
      <c r="H612" s="269"/>
      <c r="I612" s="269"/>
      <c r="J612" s="269"/>
      <c r="K612" s="269"/>
    </row>
    <row r="613">
      <c r="F613" s="269"/>
      <c r="G613" s="269"/>
      <c r="H613" s="269"/>
      <c r="I613" s="269"/>
      <c r="J613" s="269"/>
      <c r="K613" s="269"/>
    </row>
    <row r="614">
      <c r="F614" s="269"/>
      <c r="G614" s="269"/>
      <c r="H614" s="269"/>
      <c r="I614" s="269"/>
      <c r="J614" s="269"/>
      <c r="K614" s="269"/>
    </row>
    <row r="615">
      <c r="F615" s="269"/>
      <c r="G615" s="269"/>
      <c r="H615" s="269"/>
      <c r="I615" s="269"/>
      <c r="J615" s="269"/>
      <c r="K615" s="269"/>
    </row>
    <row r="616">
      <c r="F616" s="269"/>
      <c r="G616" s="269"/>
      <c r="H616" s="269"/>
      <c r="I616" s="269"/>
      <c r="J616" s="269"/>
      <c r="K616" s="269"/>
    </row>
    <row r="617">
      <c r="F617" s="269"/>
      <c r="G617" s="269"/>
      <c r="H617" s="269"/>
      <c r="I617" s="269"/>
      <c r="J617" s="269"/>
      <c r="K617" s="269"/>
    </row>
    <row r="618">
      <c r="F618" s="269"/>
      <c r="G618" s="269"/>
      <c r="H618" s="269"/>
      <c r="I618" s="269"/>
      <c r="J618" s="269"/>
      <c r="K618" s="269"/>
    </row>
    <row r="619">
      <c r="F619" s="269"/>
      <c r="G619" s="269"/>
      <c r="H619" s="269"/>
      <c r="I619" s="269"/>
      <c r="J619" s="269"/>
      <c r="K619" s="269"/>
    </row>
    <row r="620">
      <c r="F620" s="269"/>
      <c r="G620" s="269"/>
      <c r="H620" s="269"/>
      <c r="I620" s="269"/>
      <c r="J620" s="269"/>
      <c r="K620" s="269"/>
    </row>
    <row r="621">
      <c r="F621" s="269"/>
      <c r="G621" s="269"/>
      <c r="H621" s="269"/>
      <c r="I621" s="269"/>
      <c r="J621" s="269"/>
      <c r="K621" s="269"/>
    </row>
    <row r="622">
      <c r="F622" s="269"/>
      <c r="G622" s="269"/>
      <c r="H622" s="269"/>
      <c r="I622" s="269"/>
      <c r="J622" s="269"/>
      <c r="K622" s="269"/>
    </row>
    <row r="623">
      <c r="F623" s="269"/>
      <c r="G623" s="269"/>
      <c r="H623" s="269"/>
      <c r="I623" s="269"/>
      <c r="J623" s="269"/>
      <c r="K623" s="269"/>
    </row>
    <row r="624">
      <c r="F624" s="269"/>
      <c r="G624" s="269"/>
      <c r="H624" s="269"/>
      <c r="I624" s="269"/>
      <c r="J624" s="269"/>
      <c r="K624" s="269"/>
    </row>
    <row r="625">
      <c r="F625" s="269"/>
      <c r="G625" s="269"/>
      <c r="H625" s="269"/>
      <c r="I625" s="269"/>
      <c r="J625" s="269"/>
      <c r="K625" s="269"/>
    </row>
    <row r="626">
      <c r="F626" s="269"/>
      <c r="G626" s="269"/>
      <c r="H626" s="269"/>
      <c r="I626" s="269"/>
      <c r="J626" s="269"/>
      <c r="K626" s="269"/>
    </row>
    <row r="627">
      <c r="F627" s="269"/>
      <c r="G627" s="269"/>
      <c r="H627" s="269"/>
      <c r="I627" s="269"/>
      <c r="J627" s="269"/>
      <c r="K627" s="269"/>
    </row>
    <row r="628">
      <c r="F628" s="269"/>
      <c r="G628" s="269"/>
      <c r="H628" s="269"/>
      <c r="I628" s="269"/>
      <c r="J628" s="269"/>
      <c r="K628" s="269"/>
    </row>
    <row r="629">
      <c r="F629" s="269"/>
      <c r="G629" s="269"/>
      <c r="H629" s="269"/>
      <c r="I629" s="269"/>
      <c r="J629" s="269"/>
      <c r="K629" s="269"/>
    </row>
    <row r="630">
      <c r="F630" s="269"/>
      <c r="G630" s="269"/>
      <c r="H630" s="269"/>
      <c r="I630" s="269"/>
      <c r="J630" s="269"/>
      <c r="K630" s="269"/>
    </row>
    <row r="631">
      <c r="F631" s="269"/>
      <c r="G631" s="269"/>
      <c r="H631" s="269"/>
      <c r="I631" s="269"/>
      <c r="J631" s="269"/>
      <c r="K631" s="269"/>
    </row>
    <row r="632">
      <c r="F632" s="269"/>
      <c r="G632" s="269"/>
      <c r="H632" s="269"/>
      <c r="I632" s="269"/>
      <c r="J632" s="269"/>
      <c r="K632" s="269"/>
    </row>
    <row r="633">
      <c r="F633" s="269"/>
      <c r="G633" s="269"/>
      <c r="H633" s="269"/>
      <c r="I633" s="269"/>
      <c r="J633" s="269"/>
      <c r="K633" s="269"/>
    </row>
    <row r="634">
      <c r="F634" s="269"/>
      <c r="G634" s="269"/>
      <c r="H634" s="269"/>
      <c r="I634" s="269"/>
      <c r="J634" s="269"/>
      <c r="K634" s="269"/>
    </row>
    <row r="635">
      <c r="F635" s="269"/>
      <c r="G635" s="269"/>
      <c r="H635" s="269"/>
      <c r="I635" s="269"/>
      <c r="J635" s="269"/>
      <c r="K635" s="269"/>
    </row>
    <row r="636">
      <c r="F636" s="269"/>
      <c r="G636" s="269"/>
      <c r="H636" s="269"/>
      <c r="I636" s="269"/>
      <c r="J636" s="269"/>
      <c r="K636" s="269"/>
    </row>
    <row r="637">
      <c r="F637" s="269"/>
      <c r="G637" s="269"/>
      <c r="H637" s="269"/>
      <c r="I637" s="269"/>
      <c r="J637" s="269"/>
      <c r="K637" s="269"/>
    </row>
    <row r="638">
      <c r="F638" s="269"/>
      <c r="G638" s="269"/>
      <c r="H638" s="269"/>
      <c r="I638" s="269"/>
      <c r="J638" s="269"/>
      <c r="K638" s="269"/>
    </row>
    <row r="639">
      <c r="F639" s="269"/>
      <c r="G639" s="269"/>
      <c r="H639" s="269"/>
      <c r="I639" s="269"/>
      <c r="J639" s="269"/>
      <c r="K639" s="269"/>
    </row>
    <row r="640">
      <c r="F640" s="269"/>
      <c r="G640" s="269"/>
      <c r="H640" s="269"/>
      <c r="I640" s="269"/>
      <c r="J640" s="269"/>
      <c r="K640" s="269"/>
    </row>
    <row r="641">
      <c r="F641" s="269"/>
      <c r="G641" s="269"/>
      <c r="H641" s="269"/>
      <c r="I641" s="269"/>
      <c r="J641" s="269"/>
      <c r="K641" s="269"/>
    </row>
    <row r="642">
      <c r="F642" s="269"/>
      <c r="G642" s="269"/>
      <c r="H642" s="269"/>
      <c r="I642" s="269"/>
      <c r="J642" s="269"/>
      <c r="K642" s="269"/>
    </row>
    <row r="643">
      <c r="F643" s="269"/>
      <c r="G643" s="269"/>
      <c r="H643" s="269"/>
      <c r="I643" s="269"/>
      <c r="J643" s="269"/>
      <c r="K643" s="269"/>
    </row>
    <row r="644">
      <c r="F644" s="269"/>
      <c r="G644" s="269"/>
      <c r="H644" s="269"/>
      <c r="I644" s="269"/>
      <c r="J644" s="269"/>
      <c r="K644" s="269"/>
    </row>
    <row r="645">
      <c r="F645" s="269"/>
      <c r="G645" s="269"/>
      <c r="H645" s="269"/>
      <c r="I645" s="269"/>
      <c r="J645" s="269"/>
      <c r="K645" s="269"/>
    </row>
    <row r="646">
      <c r="F646" s="269"/>
      <c r="G646" s="269"/>
      <c r="H646" s="269"/>
      <c r="I646" s="269"/>
      <c r="J646" s="269"/>
      <c r="K646" s="269"/>
    </row>
    <row r="647">
      <c r="F647" s="269"/>
      <c r="G647" s="269"/>
      <c r="H647" s="269"/>
      <c r="I647" s="269"/>
      <c r="J647" s="269"/>
      <c r="K647" s="269"/>
    </row>
    <row r="648">
      <c r="F648" s="269"/>
      <c r="G648" s="269"/>
      <c r="H648" s="269"/>
      <c r="I648" s="269"/>
      <c r="J648" s="269"/>
      <c r="K648" s="269"/>
    </row>
    <row r="649">
      <c r="F649" s="269"/>
      <c r="G649" s="269"/>
      <c r="H649" s="269"/>
      <c r="I649" s="269"/>
      <c r="J649" s="269"/>
      <c r="K649" s="269"/>
    </row>
    <row r="650">
      <c r="F650" s="269"/>
      <c r="G650" s="269"/>
      <c r="H650" s="269"/>
      <c r="I650" s="269"/>
      <c r="J650" s="269"/>
      <c r="K650" s="269"/>
    </row>
    <row r="651">
      <c r="F651" s="269"/>
      <c r="G651" s="269"/>
      <c r="H651" s="269"/>
      <c r="I651" s="269"/>
      <c r="J651" s="269"/>
      <c r="K651" s="269"/>
    </row>
    <row r="652">
      <c r="F652" s="269"/>
      <c r="G652" s="269"/>
      <c r="H652" s="269"/>
      <c r="I652" s="269"/>
      <c r="J652" s="269"/>
      <c r="K652" s="269"/>
    </row>
    <row r="653">
      <c r="F653" s="269"/>
      <c r="G653" s="269"/>
      <c r="H653" s="269"/>
      <c r="I653" s="269"/>
      <c r="J653" s="269"/>
      <c r="K653" s="269"/>
    </row>
    <row r="654">
      <c r="F654" s="269"/>
      <c r="G654" s="269"/>
      <c r="H654" s="269"/>
      <c r="I654" s="269"/>
      <c r="J654" s="269"/>
      <c r="K654" s="269"/>
    </row>
    <row r="655">
      <c r="F655" s="269"/>
      <c r="G655" s="269"/>
      <c r="H655" s="269"/>
      <c r="I655" s="269"/>
      <c r="J655" s="269"/>
      <c r="K655" s="269"/>
    </row>
    <row r="656">
      <c r="F656" s="269"/>
      <c r="G656" s="269"/>
      <c r="H656" s="269"/>
      <c r="I656" s="269"/>
      <c r="J656" s="269"/>
      <c r="K656" s="269"/>
    </row>
    <row r="657">
      <c r="F657" s="269"/>
      <c r="G657" s="269"/>
      <c r="H657" s="269"/>
      <c r="I657" s="269"/>
      <c r="J657" s="269"/>
      <c r="K657" s="269"/>
    </row>
    <row r="658">
      <c r="F658" s="269"/>
      <c r="G658" s="269"/>
      <c r="H658" s="269"/>
      <c r="I658" s="269"/>
      <c r="J658" s="269"/>
      <c r="K658" s="269"/>
    </row>
    <row r="659">
      <c r="F659" s="269"/>
      <c r="G659" s="269"/>
      <c r="H659" s="269"/>
      <c r="I659" s="269"/>
      <c r="J659" s="269"/>
      <c r="K659" s="269"/>
    </row>
    <row r="660">
      <c r="F660" s="269"/>
      <c r="G660" s="269"/>
      <c r="H660" s="269"/>
      <c r="I660" s="269"/>
      <c r="J660" s="269"/>
      <c r="K660" s="269"/>
    </row>
    <row r="661">
      <c r="F661" s="269"/>
      <c r="G661" s="269"/>
      <c r="H661" s="269"/>
      <c r="I661" s="269"/>
      <c r="J661" s="269"/>
      <c r="K661" s="269"/>
    </row>
    <row r="662">
      <c r="F662" s="269"/>
      <c r="G662" s="269"/>
      <c r="H662" s="269"/>
      <c r="I662" s="269"/>
      <c r="J662" s="269"/>
      <c r="K662" s="269"/>
    </row>
    <row r="663">
      <c r="F663" s="269"/>
      <c r="G663" s="269"/>
      <c r="H663" s="269"/>
      <c r="I663" s="269"/>
      <c r="J663" s="269"/>
      <c r="K663" s="269"/>
    </row>
    <row r="664">
      <c r="F664" s="269"/>
      <c r="G664" s="269"/>
      <c r="H664" s="269"/>
      <c r="I664" s="269"/>
      <c r="J664" s="269"/>
      <c r="K664" s="269"/>
    </row>
    <row r="665">
      <c r="F665" s="269"/>
      <c r="G665" s="269"/>
      <c r="H665" s="269"/>
      <c r="I665" s="269"/>
      <c r="J665" s="269"/>
      <c r="K665" s="269"/>
    </row>
    <row r="666">
      <c r="F666" s="269"/>
      <c r="G666" s="269"/>
      <c r="H666" s="269"/>
      <c r="I666" s="269"/>
      <c r="J666" s="269"/>
      <c r="K666" s="269"/>
    </row>
    <row r="667">
      <c r="F667" s="269"/>
      <c r="G667" s="269"/>
      <c r="H667" s="269"/>
      <c r="I667" s="269"/>
      <c r="J667" s="269"/>
      <c r="K667" s="269"/>
    </row>
    <row r="668">
      <c r="F668" s="269"/>
      <c r="G668" s="269"/>
      <c r="H668" s="269"/>
      <c r="I668" s="269"/>
      <c r="J668" s="269"/>
      <c r="K668" s="269"/>
    </row>
    <row r="669">
      <c r="F669" s="269"/>
      <c r="G669" s="269"/>
      <c r="H669" s="269"/>
      <c r="I669" s="269"/>
      <c r="J669" s="269"/>
      <c r="K669" s="269"/>
    </row>
    <row r="670">
      <c r="F670" s="269"/>
      <c r="G670" s="269"/>
      <c r="H670" s="269"/>
      <c r="I670" s="269"/>
      <c r="J670" s="269"/>
      <c r="K670" s="269"/>
    </row>
    <row r="671">
      <c r="F671" s="269"/>
      <c r="G671" s="269"/>
      <c r="H671" s="269"/>
      <c r="I671" s="269"/>
      <c r="J671" s="269"/>
      <c r="K671" s="269"/>
    </row>
    <row r="672">
      <c r="F672" s="269"/>
      <c r="G672" s="269"/>
      <c r="H672" s="269"/>
      <c r="I672" s="269"/>
      <c r="J672" s="269"/>
      <c r="K672" s="269"/>
    </row>
    <row r="673">
      <c r="F673" s="269"/>
      <c r="G673" s="269"/>
      <c r="H673" s="269"/>
      <c r="I673" s="269"/>
      <c r="J673" s="269"/>
      <c r="K673" s="269"/>
    </row>
    <row r="674">
      <c r="F674" s="269"/>
      <c r="G674" s="269"/>
      <c r="H674" s="269"/>
      <c r="I674" s="269"/>
      <c r="J674" s="269"/>
      <c r="K674" s="269"/>
    </row>
    <row r="675">
      <c r="F675" s="269"/>
      <c r="G675" s="269"/>
      <c r="H675" s="269"/>
      <c r="I675" s="269"/>
      <c r="J675" s="269"/>
      <c r="K675" s="269"/>
    </row>
    <row r="676">
      <c r="F676" s="269"/>
      <c r="G676" s="269"/>
      <c r="H676" s="269"/>
      <c r="I676" s="269"/>
      <c r="J676" s="269"/>
      <c r="K676" s="269"/>
    </row>
    <row r="677">
      <c r="F677" s="269"/>
      <c r="G677" s="269"/>
      <c r="H677" s="269"/>
      <c r="I677" s="269"/>
      <c r="J677" s="269"/>
      <c r="K677" s="269"/>
    </row>
    <row r="678">
      <c r="F678" s="269"/>
      <c r="G678" s="269"/>
      <c r="H678" s="269"/>
      <c r="I678" s="269"/>
      <c r="J678" s="269"/>
      <c r="K678" s="269"/>
    </row>
    <row r="679">
      <c r="F679" s="269"/>
      <c r="G679" s="269"/>
      <c r="H679" s="269"/>
      <c r="I679" s="269"/>
      <c r="J679" s="269"/>
      <c r="K679" s="269"/>
    </row>
    <row r="680">
      <c r="F680" s="269"/>
      <c r="G680" s="269"/>
      <c r="H680" s="269"/>
      <c r="I680" s="269"/>
      <c r="J680" s="269"/>
      <c r="K680" s="269"/>
    </row>
    <row r="681">
      <c r="F681" s="269"/>
      <c r="G681" s="269"/>
      <c r="H681" s="269"/>
      <c r="I681" s="269"/>
      <c r="J681" s="269"/>
      <c r="K681" s="269"/>
    </row>
    <row r="682">
      <c r="F682" s="269"/>
      <c r="G682" s="269"/>
      <c r="H682" s="269"/>
      <c r="I682" s="269"/>
      <c r="J682" s="269"/>
      <c r="K682" s="269"/>
    </row>
    <row r="683">
      <c r="F683" s="269"/>
      <c r="G683" s="269"/>
      <c r="H683" s="269"/>
      <c r="I683" s="269"/>
      <c r="J683" s="269"/>
      <c r="K683" s="269"/>
    </row>
    <row r="684">
      <c r="F684" s="269"/>
      <c r="G684" s="269"/>
      <c r="H684" s="269"/>
      <c r="I684" s="269"/>
      <c r="J684" s="269"/>
      <c r="K684" s="269"/>
    </row>
    <row r="685">
      <c r="F685" s="269"/>
      <c r="G685" s="269"/>
      <c r="H685" s="269"/>
      <c r="I685" s="269"/>
      <c r="J685" s="269"/>
      <c r="K685" s="269"/>
    </row>
    <row r="686">
      <c r="F686" s="269"/>
      <c r="G686" s="269"/>
      <c r="H686" s="269"/>
      <c r="I686" s="269"/>
      <c r="J686" s="269"/>
      <c r="K686" s="269"/>
    </row>
    <row r="687">
      <c r="F687" s="269"/>
      <c r="G687" s="269"/>
      <c r="H687" s="269"/>
      <c r="I687" s="269"/>
      <c r="J687" s="269"/>
      <c r="K687" s="269"/>
    </row>
    <row r="688">
      <c r="F688" s="269"/>
      <c r="G688" s="269"/>
      <c r="H688" s="269"/>
      <c r="I688" s="269"/>
      <c r="J688" s="269"/>
      <c r="K688" s="269"/>
    </row>
    <row r="689">
      <c r="F689" s="269"/>
      <c r="G689" s="269"/>
      <c r="H689" s="269"/>
      <c r="I689" s="269"/>
      <c r="J689" s="269"/>
      <c r="K689" s="269"/>
    </row>
    <row r="690">
      <c r="F690" s="269"/>
      <c r="G690" s="269"/>
      <c r="H690" s="269"/>
      <c r="I690" s="269"/>
      <c r="J690" s="269"/>
      <c r="K690" s="269"/>
    </row>
    <row r="691">
      <c r="F691" s="269"/>
      <c r="G691" s="269"/>
      <c r="H691" s="269"/>
      <c r="I691" s="269"/>
      <c r="J691" s="269"/>
      <c r="K691" s="269"/>
    </row>
    <row r="692">
      <c r="F692" s="269"/>
      <c r="G692" s="269"/>
      <c r="H692" s="269"/>
      <c r="I692" s="269"/>
      <c r="J692" s="269"/>
      <c r="K692" s="269"/>
    </row>
    <row r="693">
      <c r="F693" s="269"/>
      <c r="G693" s="269"/>
      <c r="H693" s="269"/>
      <c r="I693" s="269"/>
      <c r="J693" s="269"/>
      <c r="K693" s="269"/>
    </row>
    <row r="694">
      <c r="F694" s="269"/>
      <c r="G694" s="269"/>
      <c r="H694" s="269"/>
      <c r="I694" s="269"/>
      <c r="J694" s="269"/>
      <c r="K694" s="269"/>
    </row>
    <row r="695">
      <c r="F695" s="269"/>
      <c r="G695" s="269"/>
      <c r="H695" s="269"/>
      <c r="I695" s="269"/>
      <c r="J695" s="269"/>
      <c r="K695" s="269"/>
    </row>
    <row r="696">
      <c r="F696" s="269"/>
      <c r="G696" s="269"/>
      <c r="H696" s="269"/>
      <c r="I696" s="269"/>
      <c r="J696" s="269"/>
      <c r="K696" s="269"/>
    </row>
    <row r="697">
      <c r="F697" s="269"/>
      <c r="G697" s="269"/>
      <c r="H697" s="269"/>
      <c r="I697" s="269"/>
      <c r="J697" s="269"/>
      <c r="K697" s="269"/>
    </row>
    <row r="698">
      <c r="F698" s="269"/>
      <c r="G698" s="269"/>
      <c r="H698" s="269"/>
      <c r="I698" s="269"/>
      <c r="J698" s="269"/>
      <c r="K698" s="269"/>
    </row>
    <row r="699">
      <c r="F699" s="269"/>
      <c r="G699" s="269"/>
      <c r="H699" s="269"/>
      <c r="I699" s="269"/>
      <c r="J699" s="269"/>
      <c r="K699" s="269"/>
    </row>
    <row r="700">
      <c r="F700" s="269"/>
      <c r="G700" s="269"/>
      <c r="H700" s="269"/>
      <c r="I700" s="269"/>
      <c r="J700" s="269"/>
      <c r="K700" s="269"/>
    </row>
    <row r="701">
      <c r="F701" s="269"/>
      <c r="G701" s="269"/>
      <c r="H701" s="269"/>
      <c r="I701" s="269"/>
      <c r="J701" s="269"/>
      <c r="K701" s="269"/>
    </row>
    <row r="702">
      <c r="F702" s="269"/>
      <c r="G702" s="269"/>
      <c r="H702" s="269"/>
      <c r="I702" s="269"/>
      <c r="J702" s="269"/>
      <c r="K702" s="269"/>
    </row>
    <row r="703">
      <c r="F703" s="269"/>
      <c r="G703" s="269"/>
      <c r="H703" s="269"/>
      <c r="I703" s="269"/>
      <c r="J703" s="269"/>
      <c r="K703" s="269"/>
    </row>
    <row r="704">
      <c r="F704" s="269"/>
      <c r="G704" s="269"/>
      <c r="H704" s="269"/>
      <c r="I704" s="269"/>
      <c r="J704" s="269"/>
      <c r="K704" s="269"/>
    </row>
    <row r="705">
      <c r="F705" s="269"/>
      <c r="G705" s="269"/>
      <c r="H705" s="269"/>
      <c r="I705" s="269"/>
      <c r="J705" s="269"/>
      <c r="K705" s="269"/>
    </row>
    <row r="706">
      <c r="F706" s="269"/>
      <c r="G706" s="269"/>
      <c r="H706" s="269"/>
      <c r="I706" s="269"/>
      <c r="J706" s="269"/>
      <c r="K706" s="269"/>
    </row>
    <row r="707">
      <c r="F707" s="269"/>
      <c r="G707" s="269"/>
      <c r="H707" s="269"/>
      <c r="I707" s="269"/>
      <c r="J707" s="269"/>
      <c r="K707" s="269"/>
    </row>
    <row r="708">
      <c r="F708" s="269"/>
      <c r="G708" s="269"/>
      <c r="H708" s="269"/>
      <c r="I708" s="269"/>
      <c r="J708" s="269"/>
      <c r="K708" s="269"/>
    </row>
    <row r="709">
      <c r="F709" s="269"/>
      <c r="G709" s="269"/>
      <c r="H709" s="269"/>
      <c r="I709" s="269"/>
      <c r="J709" s="269"/>
      <c r="K709" s="269"/>
    </row>
    <row r="710">
      <c r="F710" s="269"/>
      <c r="G710" s="269"/>
      <c r="H710" s="269"/>
      <c r="I710" s="269"/>
      <c r="J710" s="269"/>
      <c r="K710" s="269"/>
    </row>
    <row r="711">
      <c r="F711" s="269"/>
      <c r="G711" s="269"/>
      <c r="H711" s="269"/>
      <c r="I711" s="269"/>
      <c r="J711" s="269"/>
      <c r="K711" s="269"/>
    </row>
    <row r="712">
      <c r="F712" s="269"/>
      <c r="G712" s="269"/>
      <c r="H712" s="269"/>
      <c r="I712" s="269"/>
      <c r="J712" s="269"/>
      <c r="K712" s="269"/>
    </row>
    <row r="713">
      <c r="F713" s="269"/>
      <c r="G713" s="269"/>
      <c r="H713" s="269"/>
      <c r="I713" s="269"/>
      <c r="J713" s="269"/>
      <c r="K713" s="269"/>
    </row>
    <row r="714">
      <c r="F714" s="269"/>
      <c r="G714" s="269"/>
      <c r="H714" s="269"/>
      <c r="I714" s="269"/>
      <c r="J714" s="269"/>
      <c r="K714" s="269"/>
    </row>
    <row r="715">
      <c r="F715" s="269"/>
      <c r="G715" s="269"/>
      <c r="H715" s="269"/>
      <c r="I715" s="269"/>
      <c r="J715" s="269"/>
      <c r="K715" s="269"/>
    </row>
    <row r="716">
      <c r="F716" s="269"/>
      <c r="G716" s="269"/>
      <c r="H716" s="269"/>
      <c r="I716" s="269"/>
      <c r="J716" s="269"/>
      <c r="K716" s="269"/>
    </row>
    <row r="717">
      <c r="F717" s="269"/>
      <c r="G717" s="269"/>
      <c r="H717" s="269"/>
      <c r="I717" s="269"/>
      <c r="J717" s="269"/>
      <c r="K717" s="269"/>
    </row>
    <row r="718">
      <c r="F718" s="269"/>
      <c r="G718" s="269"/>
      <c r="H718" s="269"/>
      <c r="I718" s="269"/>
      <c r="J718" s="269"/>
      <c r="K718" s="269"/>
    </row>
    <row r="719">
      <c r="F719" s="269"/>
      <c r="G719" s="269"/>
      <c r="H719" s="269"/>
      <c r="I719" s="269"/>
      <c r="J719" s="269"/>
      <c r="K719" s="269"/>
    </row>
    <row r="720">
      <c r="F720" s="269"/>
      <c r="G720" s="269"/>
      <c r="H720" s="269"/>
      <c r="I720" s="269"/>
      <c r="J720" s="269"/>
      <c r="K720" s="269"/>
    </row>
    <row r="721">
      <c r="F721" s="269"/>
      <c r="G721" s="269"/>
      <c r="H721" s="269"/>
      <c r="I721" s="269"/>
      <c r="J721" s="269"/>
      <c r="K721" s="269"/>
    </row>
    <row r="722">
      <c r="F722" s="269"/>
      <c r="G722" s="269"/>
      <c r="H722" s="269"/>
      <c r="I722" s="269"/>
      <c r="J722" s="269"/>
      <c r="K722" s="269"/>
    </row>
    <row r="723">
      <c r="F723" s="269"/>
      <c r="G723" s="269"/>
      <c r="H723" s="269"/>
      <c r="I723" s="269"/>
      <c r="J723" s="269"/>
      <c r="K723" s="269"/>
    </row>
    <row r="724">
      <c r="F724" s="269"/>
      <c r="G724" s="269"/>
      <c r="H724" s="269"/>
      <c r="I724" s="269"/>
      <c r="J724" s="269"/>
      <c r="K724" s="269"/>
    </row>
    <row r="725">
      <c r="F725" s="269"/>
      <c r="G725" s="269"/>
      <c r="H725" s="269"/>
      <c r="I725" s="269"/>
      <c r="J725" s="269"/>
      <c r="K725" s="269"/>
    </row>
    <row r="726">
      <c r="F726" s="269"/>
      <c r="G726" s="269"/>
      <c r="H726" s="269"/>
      <c r="I726" s="269"/>
      <c r="J726" s="269"/>
      <c r="K726" s="269"/>
    </row>
    <row r="727">
      <c r="F727" s="269"/>
      <c r="G727" s="269"/>
      <c r="H727" s="269"/>
      <c r="I727" s="269"/>
      <c r="J727" s="269"/>
      <c r="K727" s="269"/>
    </row>
    <row r="728">
      <c r="F728" s="269"/>
      <c r="G728" s="269"/>
      <c r="H728" s="269"/>
      <c r="I728" s="269"/>
      <c r="J728" s="269"/>
      <c r="K728" s="269"/>
    </row>
    <row r="729">
      <c r="F729" s="269"/>
      <c r="G729" s="269"/>
      <c r="H729" s="269"/>
      <c r="I729" s="269"/>
      <c r="J729" s="269"/>
      <c r="K729" s="269"/>
    </row>
    <row r="730">
      <c r="F730" s="269"/>
      <c r="G730" s="269"/>
      <c r="H730" s="269"/>
      <c r="I730" s="269"/>
      <c r="J730" s="269"/>
      <c r="K730" s="269"/>
    </row>
    <row r="731">
      <c r="F731" s="269"/>
      <c r="G731" s="269"/>
      <c r="H731" s="269"/>
      <c r="I731" s="269"/>
      <c r="J731" s="269"/>
      <c r="K731" s="269"/>
    </row>
    <row r="732">
      <c r="F732" s="269"/>
      <c r="G732" s="269"/>
      <c r="H732" s="269"/>
      <c r="I732" s="269"/>
      <c r="J732" s="269"/>
      <c r="K732" s="269"/>
    </row>
    <row r="733">
      <c r="F733" s="269"/>
      <c r="G733" s="269"/>
      <c r="H733" s="269"/>
      <c r="I733" s="269"/>
      <c r="J733" s="269"/>
      <c r="K733" s="269"/>
    </row>
    <row r="734">
      <c r="F734" s="269"/>
      <c r="G734" s="269"/>
      <c r="H734" s="269"/>
      <c r="I734" s="269"/>
      <c r="J734" s="269"/>
      <c r="K734" s="269"/>
    </row>
    <row r="735">
      <c r="F735" s="269"/>
      <c r="G735" s="269"/>
      <c r="H735" s="269"/>
      <c r="I735" s="269"/>
      <c r="J735" s="269"/>
      <c r="K735" s="269"/>
    </row>
    <row r="736">
      <c r="F736" s="269"/>
      <c r="G736" s="269"/>
      <c r="H736" s="269"/>
      <c r="I736" s="269"/>
      <c r="J736" s="269"/>
      <c r="K736" s="269"/>
    </row>
    <row r="737">
      <c r="F737" s="269"/>
      <c r="G737" s="269"/>
      <c r="H737" s="269"/>
      <c r="I737" s="269"/>
      <c r="J737" s="269"/>
      <c r="K737" s="269"/>
    </row>
    <row r="738">
      <c r="F738" s="269"/>
      <c r="G738" s="269"/>
      <c r="H738" s="269"/>
      <c r="I738" s="269"/>
      <c r="J738" s="269"/>
      <c r="K738" s="269"/>
    </row>
    <row r="739">
      <c r="F739" s="269"/>
      <c r="G739" s="269"/>
      <c r="H739" s="269"/>
      <c r="I739" s="269"/>
      <c r="J739" s="269"/>
      <c r="K739" s="269"/>
    </row>
    <row r="740">
      <c r="F740" s="269"/>
      <c r="G740" s="269"/>
      <c r="H740" s="269"/>
      <c r="I740" s="269"/>
      <c r="J740" s="269"/>
      <c r="K740" s="269"/>
    </row>
    <row r="741">
      <c r="F741" s="269"/>
      <c r="G741" s="269"/>
      <c r="H741" s="269"/>
      <c r="I741" s="269"/>
      <c r="J741" s="269"/>
      <c r="K741" s="269"/>
    </row>
    <row r="742">
      <c r="F742" s="269"/>
      <c r="G742" s="269"/>
      <c r="H742" s="269"/>
      <c r="I742" s="269"/>
      <c r="J742" s="269"/>
      <c r="K742" s="269"/>
    </row>
    <row r="743">
      <c r="F743" s="269"/>
      <c r="G743" s="269"/>
      <c r="H743" s="269"/>
      <c r="I743" s="269"/>
      <c r="J743" s="269"/>
      <c r="K743" s="269"/>
    </row>
    <row r="744">
      <c r="F744" s="269"/>
      <c r="G744" s="269"/>
      <c r="H744" s="269"/>
      <c r="I744" s="269"/>
      <c r="J744" s="269"/>
      <c r="K744" s="269"/>
    </row>
    <row r="745">
      <c r="F745" s="269"/>
      <c r="G745" s="269"/>
      <c r="H745" s="269"/>
      <c r="I745" s="269"/>
      <c r="J745" s="269"/>
      <c r="K745" s="269"/>
    </row>
    <row r="746">
      <c r="F746" s="269"/>
      <c r="G746" s="269"/>
      <c r="H746" s="269"/>
      <c r="I746" s="269"/>
      <c r="J746" s="269"/>
      <c r="K746" s="269"/>
    </row>
    <row r="747">
      <c r="F747" s="269"/>
      <c r="G747" s="269"/>
      <c r="H747" s="269"/>
      <c r="I747" s="269"/>
      <c r="J747" s="269"/>
      <c r="K747" s="269"/>
    </row>
    <row r="748">
      <c r="F748" s="269"/>
      <c r="G748" s="269"/>
      <c r="H748" s="269"/>
      <c r="I748" s="269"/>
      <c r="J748" s="269"/>
      <c r="K748" s="269"/>
    </row>
    <row r="749">
      <c r="F749" s="269"/>
      <c r="G749" s="269"/>
      <c r="H749" s="269"/>
      <c r="I749" s="269"/>
      <c r="J749" s="269"/>
      <c r="K749" s="269"/>
    </row>
    <row r="750">
      <c r="F750" s="269"/>
      <c r="G750" s="269"/>
      <c r="H750" s="269"/>
      <c r="I750" s="269"/>
      <c r="J750" s="269"/>
      <c r="K750" s="269"/>
    </row>
    <row r="751">
      <c r="F751" s="269"/>
      <c r="G751" s="269"/>
      <c r="H751" s="269"/>
      <c r="I751" s="269"/>
      <c r="J751" s="269"/>
      <c r="K751" s="269"/>
    </row>
    <row r="752">
      <c r="F752" s="269"/>
      <c r="G752" s="269"/>
      <c r="H752" s="269"/>
      <c r="I752" s="269"/>
      <c r="J752" s="269"/>
      <c r="K752" s="269"/>
    </row>
    <row r="753">
      <c r="F753" s="269"/>
      <c r="G753" s="269"/>
      <c r="H753" s="269"/>
      <c r="I753" s="269"/>
      <c r="J753" s="269"/>
      <c r="K753" s="269"/>
    </row>
    <row r="754">
      <c r="F754" s="269"/>
      <c r="G754" s="269"/>
      <c r="H754" s="269"/>
      <c r="I754" s="269"/>
      <c r="J754" s="269"/>
      <c r="K754" s="269"/>
    </row>
    <row r="755">
      <c r="F755" s="269"/>
      <c r="G755" s="269"/>
      <c r="H755" s="269"/>
      <c r="I755" s="269"/>
      <c r="J755" s="269"/>
      <c r="K755" s="269"/>
    </row>
    <row r="756">
      <c r="F756" s="269"/>
      <c r="G756" s="269"/>
      <c r="H756" s="269"/>
      <c r="I756" s="269"/>
      <c r="J756" s="269"/>
      <c r="K756" s="269"/>
    </row>
    <row r="757">
      <c r="F757" s="269"/>
      <c r="G757" s="269"/>
      <c r="H757" s="269"/>
      <c r="I757" s="269"/>
      <c r="J757" s="269"/>
      <c r="K757" s="269"/>
    </row>
    <row r="758">
      <c r="F758" s="269"/>
      <c r="G758" s="269"/>
      <c r="H758" s="269"/>
      <c r="I758" s="269"/>
      <c r="J758" s="269"/>
      <c r="K758" s="269"/>
    </row>
    <row r="759">
      <c r="F759" s="269"/>
      <c r="G759" s="269"/>
      <c r="H759" s="269"/>
      <c r="I759" s="269"/>
      <c r="J759" s="269"/>
      <c r="K759" s="269"/>
    </row>
    <row r="760">
      <c r="F760" s="269"/>
      <c r="G760" s="269"/>
      <c r="H760" s="269"/>
      <c r="I760" s="269"/>
      <c r="J760" s="269"/>
      <c r="K760" s="269"/>
    </row>
    <row r="761">
      <c r="F761" s="269"/>
      <c r="G761" s="269"/>
      <c r="H761" s="269"/>
      <c r="I761" s="269"/>
      <c r="J761" s="269"/>
      <c r="K761" s="269"/>
    </row>
    <row r="762">
      <c r="F762" s="269"/>
      <c r="G762" s="269"/>
      <c r="H762" s="269"/>
      <c r="I762" s="269"/>
      <c r="J762" s="269"/>
      <c r="K762" s="269"/>
    </row>
    <row r="763">
      <c r="F763" s="269"/>
      <c r="G763" s="269"/>
      <c r="H763" s="269"/>
      <c r="I763" s="269"/>
      <c r="J763" s="269"/>
      <c r="K763" s="269"/>
    </row>
    <row r="764">
      <c r="F764" s="269"/>
      <c r="G764" s="269"/>
      <c r="H764" s="269"/>
      <c r="I764" s="269"/>
      <c r="J764" s="269"/>
      <c r="K764" s="269"/>
    </row>
    <row r="765">
      <c r="F765" s="269"/>
      <c r="G765" s="269"/>
      <c r="H765" s="269"/>
      <c r="I765" s="269"/>
      <c r="J765" s="269"/>
      <c r="K765" s="269"/>
    </row>
    <row r="766">
      <c r="F766" s="269"/>
      <c r="G766" s="269"/>
      <c r="H766" s="269"/>
      <c r="I766" s="269"/>
      <c r="J766" s="269"/>
      <c r="K766" s="269"/>
    </row>
    <row r="767">
      <c r="F767" s="269"/>
      <c r="G767" s="269"/>
      <c r="H767" s="269"/>
      <c r="I767" s="269"/>
      <c r="J767" s="269"/>
      <c r="K767" s="269"/>
    </row>
    <row r="768">
      <c r="F768" s="269"/>
      <c r="G768" s="269"/>
      <c r="H768" s="269"/>
      <c r="I768" s="269"/>
      <c r="J768" s="269"/>
      <c r="K768" s="269"/>
    </row>
    <row r="769">
      <c r="F769" s="269"/>
      <c r="G769" s="269"/>
      <c r="H769" s="269"/>
      <c r="I769" s="269"/>
      <c r="J769" s="269"/>
      <c r="K769" s="269"/>
    </row>
    <row r="770">
      <c r="F770" s="269"/>
      <c r="G770" s="269"/>
      <c r="H770" s="269"/>
      <c r="I770" s="269"/>
      <c r="J770" s="269"/>
      <c r="K770" s="269"/>
    </row>
    <row r="771">
      <c r="F771" s="269"/>
      <c r="G771" s="269"/>
      <c r="H771" s="269"/>
      <c r="I771" s="269"/>
      <c r="J771" s="269"/>
      <c r="K771" s="269"/>
    </row>
    <row r="772">
      <c r="F772" s="269"/>
      <c r="G772" s="269"/>
      <c r="H772" s="269"/>
      <c r="I772" s="269"/>
      <c r="J772" s="269"/>
      <c r="K772" s="269"/>
    </row>
    <row r="773">
      <c r="F773" s="269"/>
      <c r="G773" s="269"/>
      <c r="H773" s="269"/>
      <c r="I773" s="269"/>
      <c r="J773" s="269"/>
      <c r="K773" s="269"/>
    </row>
    <row r="774">
      <c r="F774" s="269"/>
      <c r="G774" s="269"/>
      <c r="H774" s="269"/>
      <c r="I774" s="269"/>
      <c r="J774" s="269"/>
      <c r="K774" s="269"/>
    </row>
    <row r="775">
      <c r="F775" s="269"/>
      <c r="G775" s="269"/>
      <c r="H775" s="269"/>
      <c r="I775" s="269"/>
      <c r="J775" s="269"/>
      <c r="K775" s="269"/>
    </row>
    <row r="776">
      <c r="F776" s="269"/>
      <c r="G776" s="269"/>
      <c r="H776" s="269"/>
      <c r="I776" s="269"/>
      <c r="J776" s="269"/>
      <c r="K776" s="269"/>
    </row>
    <row r="777">
      <c r="F777" s="269"/>
      <c r="G777" s="269"/>
      <c r="H777" s="269"/>
      <c r="I777" s="269"/>
      <c r="J777" s="269"/>
      <c r="K777" s="269"/>
    </row>
    <row r="778">
      <c r="F778" s="269"/>
      <c r="G778" s="269"/>
      <c r="H778" s="269"/>
      <c r="I778" s="269"/>
      <c r="J778" s="269"/>
      <c r="K778" s="269"/>
    </row>
    <row r="779">
      <c r="F779" s="269"/>
      <c r="G779" s="269"/>
      <c r="H779" s="269"/>
      <c r="I779" s="269"/>
      <c r="J779" s="269"/>
      <c r="K779" s="269"/>
    </row>
    <row r="780">
      <c r="F780" s="269"/>
      <c r="G780" s="269"/>
      <c r="H780" s="269"/>
      <c r="I780" s="269"/>
      <c r="J780" s="269"/>
      <c r="K780" s="269"/>
    </row>
    <row r="781">
      <c r="F781" s="269"/>
      <c r="G781" s="269"/>
      <c r="H781" s="269"/>
      <c r="I781" s="269"/>
      <c r="J781" s="269"/>
      <c r="K781" s="269"/>
    </row>
    <row r="782">
      <c r="F782" s="269"/>
      <c r="G782" s="269"/>
      <c r="H782" s="269"/>
      <c r="I782" s="269"/>
      <c r="J782" s="269"/>
      <c r="K782" s="269"/>
    </row>
    <row r="783">
      <c r="F783" s="269"/>
      <c r="G783" s="269"/>
      <c r="H783" s="269"/>
      <c r="I783" s="269"/>
      <c r="J783" s="269"/>
      <c r="K783" s="269"/>
    </row>
    <row r="784">
      <c r="F784" s="269"/>
      <c r="G784" s="269"/>
      <c r="H784" s="269"/>
      <c r="I784" s="269"/>
      <c r="J784" s="269"/>
      <c r="K784" s="269"/>
    </row>
    <row r="785">
      <c r="F785" s="269"/>
      <c r="G785" s="269"/>
      <c r="H785" s="269"/>
      <c r="I785" s="269"/>
      <c r="J785" s="269"/>
      <c r="K785" s="269"/>
    </row>
    <row r="786">
      <c r="F786" s="269"/>
      <c r="G786" s="269"/>
      <c r="H786" s="269"/>
      <c r="I786" s="269"/>
      <c r="J786" s="269"/>
      <c r="K786" s="269"/>
    </row>
    <row r="787">
      <c r="F787" s="269"/>
      <c r="G787" s="269"/>
      <c r="H787" s="269"/>
      <c r="I787" s="269"/>
      <c r="J787" s="269"/>
      <c r="K787" s="269"/>
    </row>
    <row r="788">
      <c r="F788" s="269"/>
      <c r="G788" s="269"/>
      <c r="H788" s="269"/>
      <c r="I788" s="269"/>
      <c r="J788" s="269"/>
      <c r="K788" s="269"/>
    </row>
    <row r="789">
      <c r="F789" s="269"/>
      <c r="G789" s="269"/>
      <c r="H789" s="269"/>
      <c r="I789" s="269"/>
      <c r="J789" s="269"/>
      <c r="K789" s="269"/>
    </row>
    <row r="790">
      <c r="F790" s="269"/>
      <c r="G790" s="269"/>
      <c r="H790" s="269"/>
      <c r="I790" s="269"/>
      <c r="J790" s="269"/>
      <c r="K790" s="269"/>
    </row>
    <row r="791">
      <c r="F791" s="269"/>
      <c r="G791" s="269"/>
      <c r="H791" s="269"/>
      <c r="I791" s="269"/>
      <c r="J791" s="269"/>
      <c r="K791" s="269"/>
    </row>
    <row r="792">
      <c r="F792" s="269"/>
      <c r="G792" s="269"/>
      <c r="H792" s="269"/>
      <c r="I792" s="269"/>
      <c r="J792" s="269"/>
      <c r="K792" s="269"/>
    </row>
    <row r="793">
      <c r="F793" s="269"/>
      <c r="G793" s="269"/>
      <c r="H793" s="269"/>
      <c r="I793" s="269"/>
      <c r="J793" s="269"/>
      <c r="K793" s="269"/>
    </row>
    <row r="794">
      <c r="F794" s="269"/>
      <c r="G794" s="269"/>
      <c r="H794" s="269"/>
      <c r="I794" s="269"/>
      <c r="J794" s="269"/>
      <c r="K794" s="269"/>
    </row>
    <row r="795">
      <c r="F795" s="269"/>
      <c r="G795" s="269"/>
      <c r="H795" s="269"/>
      <c r="I795" s="269"/>
      <c r="J795" s="269"/>
      <c r="K795" s="269"/>
    </row>
    <row r="796">
      <c r="F796" s="269"/>
      <c r="G796" s="269"/>
      <c r="H796" s="269"/>
      <c r="I796" s="269"/>
      <c r="J796" s="269"/>
      <c r="K796" s="269"/>
    </row>
    <row r="797">
      <c r="F797" s="269"/>
      <c r="G797" s="269"/>
      <c r="H797" s="269"/>
      <c r="I797" s="269"/>
      <c r="J797" s="269"/>
      <c r="K797" s="269"/>
    </row>
    <row r="798">
      <c r="F798" s="269"/>
      <c r="G798" s="269"/>
      <c r="H798" s="269"/>
      <c r="I798" s="269"/>
      <c r="J798" s="269"/>
      <c r="K798" s="269"/>
    </row>
    <row r="799">
      <c r="F799" s="269"/>
      <c r="G799" s="269"/>
      <c r="H799" s="269"/>
      <c r="I799" s="269"/>
      <c r="J799" s="269"/>
      <c r="K799" s="269"/>
    </row>
    <row r="800">
      <c r="F800" s="269"/>
      <c r="G800" s="269"/>
      <c r="H800" s="269"/>
      <c r="I800" s="269"/>
      <c r="J800" s="269"/>
      <c r="K800" s="269"/>
    </row>
    <row r="801">
      <c r="F801" s="269"/>
      <c r="G801" s="269"/>
      <c r="H801" s="269"/>
      <c r="I801" s="269"/>
      <c r="J801" s="269"/>
      <c r="K801" s="269"/>
    </row>
    <row r="802">
      <c r="F802" s="269"/>
      <c r="G802" s="269"/>
      <c r="H802" s="269"/>
      <c r="I802" s="269"/>
      <c r="J802" s="269"/>
      <c r="K802" s="269"/>
    </row>
    <row r="803">
      <c r="F803" s="269"/>
      <c r="G803" s="269"/>
      <c r="H803" s="269"/>
      <c r="I803" s="269"/>
      <c r="J803" s="269"/>
      <c r="K803" s="269"/>
    </row>
    <row r="804">
      <c r="F804" s="269"/>
      <c r="G804" s="269"/>
      <c r="H804" s="269"/>
      <c r="I804" s="269"/>
      <c r="J804" s="269"/>
      <c r="K804" s="269"/>
    </row>
    <row r="805">
      <c r="F805" s="269"/>
      <c r="G805" s="269"/>
      <c r="H805" s="269"/>
      <c r="I805" s="269"/>
      <c r="J805" s="269"/>
      <c r="K805" s="269"/>
    </row>
    <row r="806">
      <c r="F806" s="269"/>
      <c r="G806" s="269"/>
      <c r="H806" s="269"/>
      <c r="I806" s="269"/>
      <c r="J806" s="269"/>
      <c r="K806" s="269"/>
    </row>
    <row r="807">
      <c r="F807" s="269"/>
      <c r="G807" s="269"/>
      <c r="H807" s="269"/>
      <c r="I807" s="269"/>
      <c r="J807" s="269"/>
      <c r="K807" s="269"/>
    </row>
    <row r="808">
      <c r="F808" s="269"/>
      <c r="G808" s="269"/>
      <c r="H808" s="269"/>
      <c r="I808" s="269"/>
      <c r="J808" s="269"/>
      <c r="K808" s="269"/>
    </row>
    <row r="809">
      <c r="F809" s="269"/>
      <c r="G809" s="269"/>
      <c r="H809" s="269"/>
      <c r="I809" s="269"/>
      <c r="J809" s="269"/>
      <c r="K809" s="269"/>
    </row>
    <row r="810">
      <c r="F810" s="269"/>
      <c r="G810" s="269"/>
      <c r="H810" s="269"/>
      <c r="I810" s="269"/>
      <c r="J810" s="269"/>
      <c r="K810" s="269"/>
    </row>
    <row r="811">
      <c r="F811" s="269"/>
      <c r="G811" s="269"/>
      <c r="H811" s="269"/>
      <c r="I811" s="269"/>
      <c r="J811" s="269"/>
      <c r="K811" s="269"/>
    </row>
    <row r="812">
      <c r="F812" s="269"/>
      <c r="G812" s="269"/>
      <c r="H812" s="269"/>
      <c r="I812" s="269"/>
      <c r="J812" s="269"/>
      <c r="K812" s="269"/>
    </row>
    <row r="813">
      <c r="F813" s="269"/>
      <c r="G813" s="269"/>
      <c r="H813" s="269"/>
      <c r="I813" s="269"/>
      <c r="J813" s="269"/>
      <c r="K813" s="269"/>
    </row>
    <row r="814">
      <c r="F814" s="269"/>
      <c r="G814" s="269"/>
      <c r="H814" s="269"/>
      <c r="I814" s="269"/>
      <c r="J814" s="269"/>
      <c r="K814" s="269"/>
    </row>
    <row r="815">
      <c r="F815" s="269"/>
      <c r="G815" s="269"/>
      <c r="H815" s="269"/>
      <c r="I815" s="269"/>
      <c r="J815" s="269"/>
      <c r="K815" s="269"/>
    </row>
    <row r="816">
      <c r="F816" s="269"/>
      <c r="G816" s="269"/>
      <c r="H816" s="269"/>
      <c r="I816" s="269"/>
      <c r="J816" s="269"/>
      <c r="K816" s="269"/>
    </row>
    <row r="817">
      <c r="F817" s="269"/>
      <c r="G817" s="269"/>
      <c r="H817" s="269"/>
      <c r="I817" s="269"/>
      <c r="J817" s="269"/>
      <c r="K817" s="269"/>
    </row>
    <row r="818">
      <c r="F818" s="269"/>
      <c r="G818" s="269"/>
      <c r="H818" s="269"/>
      <c r="I818" s="269"/>
      <c r="J818" s="269"/>
      <c r="K818" s="269"/>
    </row>
    <row r="819">
      <c r="F819" s="269"/>
      <c r="G819" s="269"/>
      <c r="H819" s="269"/>
      <c r="I819" s="269"/>
      <c r="J819" s="269"/>
      <c r="K819" s="269"/>
    </row>
    <row r="820">
      <c r="F820" s="269"/>
      <c r="G820" s="269"/>
      <c r="H820" s="269"/>
      <c r="I820" s="269"/>
      <c r="J820" s="269"/>
      <c r="K820" s="269"/>
    </row>
    <row r="821">
      <c r="F821" s="269"/>
      <c r="G821" s="269"/>
      <c r="H821" s="269"/>
      <c r="I821" s="269"/>
      <c r="J821" s="269"/>
      <c r="K821" s="269"/>
    </row>
    <row r="822">
      <c r="F822" s="269"/>
      <c r="G822" s="269"/>
      <c r="H822" s="269"/>
      <c r="I822" s="269"/>
      <c r="J822" s="269"/>
      <c r="K822" s="269"/>
    </row>
    <row r="823">
      <c r="F823" s="269"/>
      <c r="G823" s="269"/>
      <c r="H823" s="269"/>
      <c r="I823" s="269"/>
      <c r="J823" s="269"/>
      <c r="K823" s="269"/>
    </row>
    <row r="824">
      <c r="F824" s="269"/>
      <c r="G824" s="269"/>
      <c r="H824" s="269"/>
      <c r="I824" s="269"/>
      <c r="J824" s="269"/>
      <c r="K824" s="269"/>
    </row>
    <row r="825">
      <c r="F825" s="269"/>
      <c r="G825" s="269"/>
      <c r="H825" s="269"/>
      <c r="I825" s="269"/>
      <c r="J825" s="269"/>
      <c r="K825" s="269"/>
    </row>
    <row r="826">
      <c r="F826" s="269"/>
      <c r="G826" s="269"/>
      <c r="H826" s="269"/>
      <c r="I826" s="269"/>
      <c r="J826" s="269"/>
      <c r="K826" s="269"/>
    </row>
    <row r="827">
      <c r="F827" s="269"/>
      <c r="G827" s="269"/>
      <c r="H827" s="269"/>
      <c r="I827" s="269"/>
      <c r="J827" s="269"/>
      <c r="K827" s="269"/>
    </row>
    <row r="828">
      <c r="F828" s="269"/>
      <c r="G828" s="269"/>
      <c r="H828" s="269"/>
      <c r="I828" s="269"/>
      <c r="J828" s="269"/>
      <c r="K828" s="269"/>
    </row>
    <row r="829">
      <c r="F829" s="269"/>
      <c r="G829" s="269"/>
      <c r="H829" s="269"/>
      <c r="I829" s="269"/>
      <c r="J829" s="269"/>
      <c r="K829" s="269"/>
    </row>
    <row r="830">
      <c r="F830" s="269"/>
      <c r="G830" s="269"/>
      <c r="H830" s="269"/>
      <c r="I830" s="269"/>
      <c r="J830" s="269"/>
      <c r="K830" s="269"/>
    </row>
    <row r="831">
      <c r="F831" s="269"/>
      <c r="G831" s="269"/>
      <c r="H831" s="269"/>
      <c r="I831" s="269"/>
      <c r="J831" s="269"/>
      <c r="K831" s="269"/>
    </row>
    <row r="832">
      <c r="F832" s="269"/>
      <c r="G832" s="269"/>
      <c r="H832" s="269"/>
      <c r="I832" s="269"/>
      <c r="J832" s="269"/>
      <c r="K832" s="269"/>
    </row>
    <row r="833">
      <c r="F833" s="269"/>
      <c r="G833" s="269"/>
      <c r="H833" s="269"/>
      <c r="I833" s="269"/>
      <c r="J833" s="269"/>
      <c r="K833" s="269"/>
    </row>
    <row r="834">
      <c r="F834" s="269"/>
      <c r="G834" s="269"/>
      <c r="H834" s="269"/>
      <c r="I834" s="269"/>
      <c r="J834" s="269"/>
      <c r="K834" s="269"/>
    </row>
    <row r="835">
      <c r="F835" s="269"/>
      <c r="G835" s="269"/>
      <c r="H835" s="269"/>
      <c r="I835" s="269"/>
      <c r="J835" s="269"/>
      <c r="K835" s="269"/>
    </row>
    <row r="836">
      <c r="F836" s="269"/>
      <c r="G836" s="269"/>
      <c r="H836" s="269"/>
      <c r="I836" s="269"/>
      <c r="J836" s="269"/>
      <c r="K836" s="269"/>
    </row>
    <row r="837">
      <c r="F837" s="269"/>
      <c r="G837" s="269"/>
      <c r="H837" s="269"/>
      <c r="I837" s="269"/>
      <c r="J837" s="269"/>
      <c r="K837" s="269"/>
    </row>
    <row r="838">
      <c r="F838" s="269"/>
      <c r="G838" s="269"/>
      <c r="H838" s="269"/>
      <c r="I838" s="269"/>
      <c r="J838" s="269"/>
      <c r="K838" s="269"/>
    </row>
    <row r="839">
      <c r="F839" s="269"/>
      <c r="G839" s="269"/>
      <c r="H839" s="269"/>
      <c r="I839" s="269"/>
      <c r="J839" s="269"/>
      <c r="K839" s="269"/>
    </row>
    <row r="840">
      <c r="F840" s="269"/>
      <c r="G840" s="269"/>
      <c r="H840" s="269"/>
      <c r="I840" s="269"/>
      <c r="J840" s="269"/>
      <c r="K840" s="269"/>
    </row>
    <row r="841">
      <c r="F841" s="269"/>
      <c r="G841" s="269"/>
      <c r="H841" s="269"/>
      <c r="I841" s="269"/>
      <c r="J841" s="269"/>
      <c r="K841" s="269"/>
    </row>
    <row r="842">
      <c r="F842" s="269"/>
      <c r="G842" s="269"/>
      <c r="H842" s="269"/>
      <c r="I842" s="269"/>
      <c r="J842" s="269"/>
      <c r="K842" s="269"/>
    </row>
    <row r="843">
      <c r="F843" s="269"/>
      <c r="G843" s="269"/>
      <c r="H843" s="269"/>
      <c r="I843" s="269"/>
      <c r="J843" s="269"/>
      <c r="K843" s="269"/>
    </row>
    <row r="844">
      <c r="F844" s="269"/>
      <c r="G844" s="269"/>
      <c r="H844" s="269"/>
      <c r="I844" s="269"/>
      <c r="J844" s="269"/>
      <c r="K844" s="269"/>
    </row>
    <row r="845">
      <c r="F845" s="269"/>
      <c r="G845" s="269"/>
      <c r="H845" s="269"/>
      <c r="I845" s="269"/>
      <c r="J845" s="269"/>
      <c r="K845" s="269"/>
    </row>
    <row r="846">
      <c r="F846" s="269"/>
      <c r="G846" s="269"/>
      <c r="H846" s="269"/>
      <c r="I846" s="269"/>
      <c r="J846" s="269"/>
      <c r="K846" s="269"/>
    </row>
    <row r="847">
      <c r="F847" s="269"/>
      <c r="G847" s="269"/>
      <c r="H847" s="269"/>
      <c r="I847" s="269"/>
      <c r="J847" s="269"/>
      <c r="K847" s="269"/>
    </row>
    <row r="848">
      <c r="F848" s="269"/>
      <c r="G848" s="269"/>
      <c r="H848" s="269"/>
      <c r="I848" s="269"/>
      <c r="J848" s="269"/>
      <c r="K848" s="269"/>
    </row>
    <row r="849">
      <c r="F849" s="269"/>
      <c r="G849" s="269"/>
      <c r="H849" s="269"/>
      <c r="I849" s="269"/>
      <c r="J849" s="269"/>
      <c r="K849" s="269"/>
    </row>
    <row r="850">
      <c r="F850" s="269"/>
      <c r="G850" s="269"/>
      <c r="H850" s="269"/>
      <c r="I850" s="269"/>
      <c r="J850" s="269"/>
      <c r="K850" s="269"/>
    </row>
    <row r="851">
      <c r="F851" s="269"/>
      <c r="G851" s="269"/>
      <c r="H851" s="269"/>
      <c r="I851" s="269"/>
      <c r="J851" s="269"/>
      <c r="K851" s="269"/>
    </row>
    <row r="852">
      <c r="F852" s="269"/>
      <c r="G852" s="269"/>
      <c r="H852" s="269"/>
      <c r="I852" s="269"/>
      <c r="J852" s="269"/>
      <c r="K852" s="269"/>
    </row>
    <row r="853">
      <c r="F853" s="269"/>
      <c r="G853" s="269"/>
      <c r="H853" s="269"/>
      <c r="I853" s="269"/>
      <c r="J853" s="269"/>
      <c r="K853" s="269"/>
    </row>
    <row r="854">
      <c r="F854" s="269"/>
      <c r="G854" s="269"/>
      <c r="H854" s="269"/>
      <c r="I854" s="269"/>
      <c r="J854" s="269"/>
      <c r="K854" s="269"/>
    </row>
    <row r="855">
      <c r="F855" s="269"/>
      <c r="G855" s="269"/>
      <c r="H855" s="269"/>
      <c r="I855" s="269"/>
      <c r="J855" s="269"/>
      <c r="K855" s="269"/>
    </row>
    <row r="856">
      <c r="F856" s="269"/>
      <c r="G856" s="269"/>
      <c r="H856" s="269"/>
      <c r="I856" s="269"/>
      <c r="J856" s="269"/>
      <c r="K856" s="269"/>
    </row>
    <row r="857">
      <c r="F857" s="269"/>
      <c r="G857" s="269"/>
      <c r="H857" s="269"/>
      <c r="I857" s="269"/>
      <c r="J857" s="269"/>
      <c r="K857" s="269"/>
    </row>
    <row r="858">
      <c r="F858" s="269"/>
      <c r="G858" s="269"/>
      <c r="H858" s="269"/>
      <c r="I858" s="269"/>
      <c r="J858" s="269"/>
      <c r="K858" s="269"/>
    </row>
    <row r="859">
      <c r="F859" s="269"/>
      <c r="G859" s="269"/>
      <c r="H859" s="269"/>
      <c r="I859" s="269"/>
      <c r="J859" s="269"/>
      <c r="K859" s="269"/>
    </row>
    <row r="860">
      <c r="F860" s="269"/>
      <c r="G860" s="269"/>
      <c r="H860" s="269"/>
      <c r="I860" s="269"/>
      <c r="J860" s="269"/>
      <c r="K860" s="269"/>
    </row>
    <row r="861">
      <c r="F861" s="269"/>
      <c r="G861" s="269"/>
      <c r="H861" s="269"/>
      <c r="I861" s="269"/>
      <c r="J861" s="269"/>
      <c r="K861" s="269"/>
    </row>
    <row r="862">
      <c r="F862" s="269"/>
      <c r="G862" s="269"/>
      <c r="H862" s="269"/>
      <c r="I862" s="269"/>
      <c r="J862" s="269"/>
      <c r="K862" s="269"/>
    </row>
    <row r="863">
      <c r="F863" s="269"/>
      <c r="G863" s="269"/>
      <c r="H863" s="269"/>
      <c r="I863" s="269"/>
      <c r="J863" s="269"/>
      <c r="K863" s="269"/>
    </row>
    <row r="864">
      <c r="F864" s="269"/>
      <c r="G864" s="269"/>
      <c r="H864" s="269"/>
      <c r="I864" s="269"/>
      <c r="J864" s="269"/>
      <c r="K864" s="269"/>
    </row>
    <row r="865">
      <c r="F865" s="269"/>
      <c r="G865" s="269"/>
      <c r="H865" s="269"/>
      <c r="I865" s="269"/>
      <c r="J865" s="269"/>
      <c r="K865" s="269"/>
    </row>
    <row r="866">
      <c r="F866" s="269"/>
      <c r="G866" s="269"/>
      <c r="H866" s="269"/>
      <c r="I866" s="269"/>
      <c r="J866" s="269"/>
      <c r="K866" s="269"/>
    </row>
    <row r="867">
      <c r="F867" s="269"/>
      <c r="G867" s="269"/>
      <c r="H867" s="269"/>
      <c r="I867" s="269"/>
      <c r="J867" s="269"/>
      <c r="K867" s="269"/>
    </row>
    <row r="868">
      <c r="F868" s="269"/>
      <c r="G868" s="269"/>
      <c r="H868" s="269"/>
      <c r="I868" s="269"/>
      <c r="J868" s="269"/>
      <c r="K868" s="269"/>
    </row>
    <row r="869">
      <c r="F869" s="269"/>
      <c r="G869" s="269"/>
      <c r="H869" s="269"/>
      <c r="I869" s="269"/>
      <c r="J869" s="269"/>
      <c r="K869" s="269"/>
    </row>
    <row r="870">
      <c r="F870" s="269"/>
      <c r="G870" s="269"/>
      <c r="H870" s="269"/>
      <c r="I870" s="269"/>
      <c r="J870" s="269"/>
      <c r="K870" s="269"/>
    </row>
    <row r="871">
      <c r="F871" s="269"/>
      <c r="G871" s="269"/>
      <c r="H871" s="269"/>
      <c r="I871" s="269"/>
      <c r="J871" s="269"/>
      <c r="K871" s="269"/>
    </row>
    <row r="872">
      <c r="F872" s="269"/>
      <c r="G872" s="269"/>
      <c r="H872" s="269"/>
      <c r="I872" s="269"/>
      <c r="J872" s="269"/>
      <c r="K872" s="269"/>
    </row>
    <row r="873">
      <c r="F873" s="269"/>
      <c r="G873" s="269"/>
      <c r="H873" s="269"/>
      <c r="I873" s="269"/>
      <c r="J873" s="269"/>
      <c r="K873" s="269"/>
    </row>
    <row r="874">
      <c r="F874" s="269"/>
      <c r="G874" s="269"/>
      <c r="H874" s="269"/>
      <c r="I874" s="269"/>
      <c r="J874" s="269"/>
      <c r="K874" s="269"/>
    </row>
    <row r="875">
      <c r="F875" s="269"/>
      <c r="G875" s="269"/>
      <c r="H875" s="269"/>
      <c r="I875" s="269"/>
      <c r="J875" s="269"/>
      <c r="K875" s="269"/>
    </row>
    <row r="876">
      <c r="F876" s="269"/>
      <c r="G876" s="269"/>
      <c r="H876" s="269"/>
      <c r="I876" s="269"/>
      <c r="J876" s="269"/>
      <c r="K876" s="269"/>
    </row>
    <row r="877">
      <c r="F877" s="269"/>
      <c r="G877" s="269"/>
      <c r="H877" s="269"/>
      <c r="I877" s="269"/>
      <c r="J877" s="269"/>
      <c r="K877" s="269"/>
    </row>
    <row r="878">
      <c r="F878" s="269"/>
      <c r="G878" s="269"/>
      <c r="H878" s="269"/>
      <c r="I878" s="269"/>
      <c r="J878" s="269"/>
      <c r="K878" s="269"/>
    </row>
    <row r="879">
      <c r="F879" s="269"/>
      <c r="G879" s="269"/>
      <c r="H879" s="269"/>
      <c r="I879" s="269"/>
      <c r="J879" s="269"/>
      <c r="K879" s="269"/>
    </row>
    <row r="880">
      <c r="F880" s="269"/>
      <c r="G880" s="269"/>
      <c r="H880" s="269"/>
      <c r="I880" s="269"/>
      <c r="J880" s="269"/>
      <c r="K880" s="269"/>
    </row>
    <row r="881">
      <c r="F881" s="269"/>
      <c r="G881" s="269"/>
      <c r="H881" s="269"/>
      <c r="I881" s="269"/>
      <c r="J881" s="269"/>
      <c r="K881" s="269"/>
    </row>
    <row r="882">
      <c r="F882" s="269"/>
      <c r="G882" s="269"/>
      <c r="H882" s="269"/>
      <c r="I882" s="269"/>
      <c r="J882" s="269"/>
      <c r="K882" s="269"/>
    </row>
    <row r="883">
      <c r="F883" s="269"/>
      <c r="G883" s="269"/>
      <c r="H883" s="269"/>
      <c r="I883" s="269"/>
      <c r="J883" s="269"/>
      <c r="K883" s="269"/>
    </row>
    <row r="884">
      <c r="F884" s="269"/>
      <c r="G884" s="269"/>
      <c r="H884" s="269"/>
      <c r="I884" s="269"/>
      <c r="J884" s="269"/>
      <c r="K884" s="269"/>
    </row>
    <row r="885">
      <c r="F885" s="269"/>
      <c r="G885" s="269"/>
      <c r="H885" s="269"/>
      <c r="I885" s="269"/>
      <c r="J885" s="269"/>
      <c r="K885" s="269"/>
    </row>
    <row r="886">
      <c r="F886" s="269"/>
      <c r="G886" s="269"/>
      <c r="H886" s="269"/>
      <c r="I886" s="269"/>
      <c r="J886" s="269"/>
      <c r="K886" s="269"/>
    </row>
    <row r="887">
      <c r="F887" s="269"/>
      <c r="G887" s="269"/>
      <c r="H887" s="269"/>
      <c r="I887" s="269"/>
      <c r="J887" s="269"/>
      <c r="K887" s="269"/>
    </row>
    <row r="888">
      <c r="F888" s="269"/>
      <c r="G888" s="269"/>
      <c r="H888" s="269"/>
      <c r="I888" s="269"/>
      <c r="J888" s="269"/>
      <c r="K888" s="269"/>
    </row>
    <row r="889">
      <c r="F889" s="269"/>
      <c r="G889" s="269"/>
      <c r="H889" s="269"/>
      <c r="I889" s="269"/>
      <c r="J889" s="269"/>
      <c r="K889" s="269"/>
    </row>
    <row r="890">
      <c r="F890" s="269"/>
      <c r="G890" s="269"/>
      <c r="H890" s="269"/>
      <c r="I890" s="269"/>
      <c r="J890" s="269"/>
      <c r="K890" s="269"/>
    </row>
    <row r="891">
      <c r="F891" s="269"/>
      <c r="G891" s="269"/>
      <c r="H891" s="269"/>
      <c r="I891" s="269"/>
      <c r="J891" s="269"/>
      <c r="K891" s="269"/>
    </row>
    <row r="892">
      <c r="F892" s="269"/>
      <c r="G892" s="269"/>
      <c r="H892" s="269"/>
      <c r="I892" s="269"/>
      <c r="J892" s="269"/>
      <c r="K892" s="269"/>
    </row>
    <row r="893">
      <c r="F893" s="269"/>
      <c r="G893" s="269"/>
      <c r="H893" s="269"/>
      <c r="I893" s="269"/>
      <c r="J893" s="269"/>
      <c r="K893" s="269"/>
    </row>
    <row r="894">
      <c r="F894" s="269"/>
      <c r="G894" s="269"/>
      <c r="H894" s="269"/>
      <c r="I894" s="269"/>
      <c r="J894" s="269"/>
      <c r="K894" s="269"/>
    </row>
    <row r="895">
      <c r="F895" s="269"/>
      <c r="G895" s="269"/>
      <c r="H895" s="269"/>
      <c r="I895" s="269"/>
      <c r="J895" s="269"/>
      <c r="K895" s="269"/>
    </row>
    <row r="896">
      <c r="F896" s="269"/>
      <c r="G896" s="269"/>
      <c r="H896" s="269"/>
      <c r="I896" s="269"/>
      <c r="J896" s="269"/>
      <c r="K896" s="269"/>
    </row>
    <row r="897">
      <c r="F897" s="269"/>
      <c r="G897" s="269"/>
      <c r="H897" s="269"/>
      <c r="I897" s="269"/>
      <c r="J897" s="269"/>
      <c r="K897" s="269"/>
    </row>
    <row r="898">
      <c r="F898" s="269"/>
      <c r="G898" s="269"/>
      <c r="H898" s="269"/>
      <c r="I898" s="269"/>
      <c r="J898" s="269"/>
      <c r="K898" s="269"/>
    </row>
    <row r="899">
      <c r="F899" s="269"/>
      <c r="G899" s="269"/>
      <c r="H899" s="269"/>
      <c r="I899" s="269"/>
      <c r="J899" s="269"/>
      <c r="K899" s="269"/>
    </row>
    <row r="900">
      <c r="F900" s="269"/>
      <c r="G900" s="269"/>
      <c r="H900" s="269"/>
      <c r="I900" s="269"/>
      <c r="J900" s="269"/>
      <c r="K900" s="269"/>
    </row>
    <row r="901">
      <c r="F901" s="269"/>
      <c r="G901" s="269"/>
      <c r="H901" s="269"/>
      <c r="I901" s="269"/>
      <c r="J901" s="269"/>
      <c r="K901" s="269"/>
    </row>
    <row r="902">
      <c r="F902" s="269"/>
      <c r="G902" s="269"/>
      <c r="H902" s="269"/>
      <c r="I902" s="269"/>
      <c r="J902" s="269"/>
      <c r="K902" s="269"/>
    </row>
    <row r="903">
      <c r="F903" s="269"/>
      <c r="G903" s="269"/>
      <c r="H903" s="269"/>
      <c r="I903" s="269"/>
      <c r="J903" s="269"/>
      <c r="K903" s="269"/>
    </row>
    <row r="904">
      <c r="F904" s="269"/>
      <c r="G904" s="269"/>
      <c r="H904" s="269"/>
      <c r="I904" s="269"/>
      <c r="J904" s="269"/>
      <c r="K904" s="269"/>
    </row>
    <row r="905">
      <c r="F905" s="269"/>
      <c r="G905" s="269"/>
      <c r="H905" s="269"/>
      <c r="I905" s="269"/>
      <c r="J905" s="269"/>
      <c r="K905" s="269"/>
    </row>
    <row r="906">
      <c r="F906" s="269"/>
      <c r="G906" s="269"/>
      <c r="H906" s="269"/>
      <c r="I906" s="269"/>
      <c r="J906" s="269"/>
      <c r="K906" s="269"/>
    </row>
    <row r="907">
      <c r="F907" s="269"/>
      <c r="G907" s="269"/>
      <c r="H907" s="269"/>
      <c r="I907" s="269"/>
      <c r="J907" s="269"/>
      <c r="K907" s="269"/>
    </row>
    <row r="908">
      <c r="F908" s="269"/>
      <c r="G908" s="269"/>
      <c r="H908" s="269"/>
      <c r="I908" s="269"/>
      <c r="J908" s="269"/>
      <c r="K908" s="269"/>
    </row>
    <row r="909">
      <c r="F909" s="269"/>
      <c r="G909" s="269"/>
      <c r="H909" s="269"/>
      <c r="I909" s="269"/>
      <c r="J909" s="269"/>
      <c r="K909" s="269"/>
    </row>
    <row r="910">
      <c r="F910" s="269"/>
      <c r="G910" s="269"/>
      <c r="H910" s="269"/>
      <c r="I910" s="269"/>
      <c r="J910" s="269"/>
      <c r="K910" s="269"/>
    </row>
    <row r="911">
      <c r="F911" s="269"/>
      <c r="G911" s="269"/>
      <c r="H911" s="269"/>
      <c r="I911" s="269"/>
      <c r="J911" s="269"/>
      <c r="K911" s="269"/>
    </row>
    <row r="912">
      <c r="F912" s="269"/>
      <c r="G912" s="269"/>
      <c r="H912" s="269"/>
      <c r="I912" s="269"/>
      <c r="J912" s="269"/>
      <c r="K912" s="269"/>
    </row>
    <row r="913">
      <c r="F913" s="269"/>
      <c r="G913" s="269"/>
      <c r="H913" s="269"/>
      <c r="I913" s="269"/>
      <c r="J913" s="269"/>
      <c r="K913" s="269"/>
    </row>
    <row r="914">
      <c r="F914" s="269"/>
      <c r="G914" s="269"/>
      <c r="H914" s="269"/>
      <c r="I914" s="269"/>
      <c r="J914" s="269"/>
      <c r="K914" s="269"/>
    </row>
    <row r="915">
      <c r="F915" s="269"/>
      <c r="G915" s="269"/>
      <c r="H915" s="269"/>
      <c r="I915" s="269"/>
      <c r="J915" s="269"/>
      <c r="K915" s="269"/>
    </row>
    <row r="916">
      <c r="F916" s="269"/>
      <c r="G916" s="269"/>
      <c r="H916" s="269"/>
      <c r="I916" s="269"/>
      <c r="J916" s="269"/>
      <c r="K916" s="269"/>
    </row>
    <row r="917">
      <c r="F917" s="269"/>
      <c r="G917" s="269"/>
      <c r="H917" s="269"/>
      <c r="I917" s="269"/>
      <c r="J917" s="269"/>
      <c r="K917" s="269"/>
    </row>
    <row r="918">
      <c r="F918" s="269"/>
      <c r="G918" s="269"/>
      <c r="H918" s="269"/>
      <c r="I918" s="269"/>
      <c r="J918" s="269"/>
      <c r="K918" s="269"/>
    </row>
    <row r="919">
      <c r="F919" s="269"/>
      <c r="G919" s="269"/>
      <c r="H919" s="269"/>
      <c r="I919" s="269"/>
      <c r="J919" s="269"/>
      <c r="K919" s="269"/>
    </row>
    <row r="920">
      <c r="F920" s="269"/>
      <c r="G920" s="269"/>
      <c r="H920" s="269"/>
      <c r="I920" s="269"/>
      <c r="J920" s="269"/>
      <c r="K920" s="269"/>
    </row>
    <row r="921">
      <c r="F921" s="269"/>
      <c r="G921" s="269"/>
      <c r="H921" s="269"/>
      <c r="I921" s="269"/>
      <c r="J921" s="269"/>
      <c r="K921" s="269"/>
    </row>
    <row r="922">
      <c r="F922" s="269"/>
      <c r="G922" s="269"/>
      <c r="H922" s="269"/>
      <c r="I922" s="269"/>
      <c r="J922" s="269"/>
      <c r="K922" s="269"/>
    </row>
    <row r="923">
      <c r="F923" s="269"/>
      <c r="G923" s="269"/>
      <c r="H923" s="269"/>
      <c r="I923" s="269"/>
      <c r="J923" s="269"/>
      <c r="K923" s="269"/>
    </row>
    <row r="924">
      <c r="F924" s="269"/>
      <c r="G924" s="269"/>
      <c r="H924" s="269"/>
      <c r="I924" s="269"/>
      <c r="J924" s="269"/>
      <c r="K924" s="269"/>
    </row>
    <row r="925">
      <c r="F925" s="269"/>
      <c r="G925" s="269"/>
      <c r="H925" s="269"/>
      <c r="I925" s="269"/>
      <c r="J925" s="269"/>
      <c r="K925" s="269"/>
    </row>
    <row r="926">
      <c r="F926" s="269"/>
      <c r="G926" s="269"/>
      <c r="H926" s="269"/>
      <c r="I926" s="269"/>
      <c r="J926" s="269"/>
      <c r="K926" s="269"/>
    </row>
    <row r="927">
      <c r="F927" s="269"/>
      <c r="G927" s="269"/>
      <c r="H927" s="269"/>
      <c r="I927" s="269"/>
      <c r="J927" s="269"/>
      <c r="K927" s="269"/>
    </row>
    <row r="928">
      <c r="F928" s="269"/>
      <c r="G928" s="269"/>
      <c r="H928" s="269"/>
      <c r="I928" s="269"/>
      <c r="J928" s="269"/>
      <c r="K928" s="269"/>
    </row>
    <row r="929">
      <c r="F929" s="269"/>
      <c r="G929" s="269"/>
      <c r="H929" s="269"/>
      <c r="I929" s="269"/>
      <c r="J929" s="269"/>
      <c r="K929" s="269"/>
    </row>
    <row r="930">
      <c r="F930" s="269"/>
      <c r="G930" s="269"/>
      <c r="H930" s="269"/>
      <c r="I930" s="269"/>
      <c r="J930" s="269"/>
      <c r="K930" s="269"/>
    </row>
    <row r="931">
      <c r="F931" s="269"/>
      <c r="G931" s="269"/>
      <c r="H931" s="269"/>
      <c r="I931" s="269"/>
      <c r="J931" s="269"/>
      <c r="K931" s="269"/>
    </row>
    <row r="932">
      <c r="F932" s="269"/>
      <c r="G932" s="269"/>
      <c r="H932" s="269"/>
      <c r="I932" s="269"/>
      <c r="J932" s="269"/>
      <c r="K932" s="269"/>
    </row>
    <row r="933">
      <c r="F933" s="269"/>
      <c r="G933" s="269"/>
      <c r="H933" s="269"/>
      <c r="I933" s="269"/>
      <c r="J933" s="269"/>
      <c r="K933" s="269"/>
    </row>
    <row r="934">
      <c r="F934" s="269"/>
      <c r="G934" s="269"/>
      <c r="H934" s="269"/>
      <c r="I934" s="269"/>
      <c r="J934" s="269"/>
      <c r="K934" s="269"/>
    </row>
    <row r="935">
      <c r="F935" s="269"/>
      <c r="G935" s="269"/>
      <c r="H935" s="269"/>
      <c r="I935" s="269"/>
      <c r="J935" s="269"/>
      <c r="K935" s="269"/>
    </row>
    <row r="936">
      <c r="F936" s="269"/>
      <c r="G936" s="269"/>
      <c r="H936" s="269"/>
      <c r="I936" s="269"/>
      <c r="J936" s="269"/>
      <c r="K936" s="269"/>
    </row>
    <row r="937">
      <c r="F937" s="269"/>
      <c r="G937" s="269"/>
      <c r="H937" s="269"/>
      <c r="I937" s="269"/>
      <c r="J937" s="269"/>
      <c r="K937" s="269"/>
    </row>
    <row r="938">
      <c r="F938" s="269"/>
      <c r="G938" s="269"/>
      <c r="H938" s="269"/>
      <c r="I938" s="269"/>
      <c r="J938" s="269"/>
      <c r="K938" s="269"/>
    </row>
    <row r="939">
      <c r="F939" s="269"/>
      <c r="G939" s="269"/>
      <c r="H939" s="269"/>
      <c r="I939" s="269"/>
      <c r="J939" s="269"/>
      <c r="K939" s="269"/>
    </row>
    <row r="940">
      <c r="F940" s="269"/>
      <c r="G940" s="269"/>
      <c r="H940" s="269"/>
      <c r="I940" s="269"/>
      <c r="J940" s="269"/>
      <c r="K940" s="269"/>
    </row>
    <row r="941">
      <c r="F941" s="269"/>
      <c r="G941" s="269"/>
      <c r="H941" s="269"/>
      <c r="I941" s="269"/>
      <c r="J941" s="269"/>
      <c r="K941" s="269"/>
    </row>
    <row r="942">
      <c r="F942" s="269"/>
      <c r="G942" s="269"/>
      <c r="H942" s="269"/>
      <c r="I942" s="269"/>
      <c r="J942" s="269"/>
      <c r="K942" s="269"/>
    </row>
    <row r="943">
      <c r="F943" s="269"/>
      <c r="G943" s="269"/>
      <c r="H943" s="269"/>
      <c r="I943" s="269"/>
      <c r="J943" s="269"/>
      <c r="K943" s="269"/>
    </row>
    <row r="944">
      <c r="F944" s="269"/>
      <c r="G944" s="269"/>
      <c r="H944" s="269"/>
      <c r="I944" s="269"/>
      <c r="J944" s="269"/>
      <c r="K944" s="269"/>
    </row>
    <row r="945">
      <c r="F945" s="269"/>
      <c r="G945" s="269"/>
      <c r="H945" s="269"/>
      <c r="I945" s="269"/>
      <c r="J945" s="269"/>
      <c r="K945" s="269"/>
    </row>
    <row r="946">
      <c r="F946" s="269"/>
      <c r="G946" s="269"/>
      <c r="H946" s="269"/>
      <c r="I946" s="269"/>
      <c r="J946" s="269"/>
      <c r="K946" s="269"/>
    </row>
    <row r="947">
      <c r="F947" s="269"/>
      <c r="G947" s="269"/>
      <c r="H947" s="269"/>
      <c r="I947" s="269"/>
      <c r="J947" s="269"/>
      <c r="K947" s="269"/>
    </row>
    <row r="948">
      <c r="F948" s="269"/>
      <c r="G948" s="269"/>
      <c r="H948" s="269"/>
      <c r="I948" s="269"/>
      <c r="J948" s="269"/>
      <c r="K948" s="269"/>
    </row>
    <row r="949">
      <c r="F949" s="269"/>
      <c r="G949" s="269"/>
      <c r="H949" s="269"/>
      <c r="I949" s="269"/>
      <c r="J949" s="269"/>
      <c r="K949" s="269"/>
    </row>
    <row r="950">
      <c r="F950" s="269"/>
      <c r="G950" s="269"/>
      <c r="H950" s="269"/>
      <c r="I950" s="269"/>
      <c r="J950" s="269"/>
      <c r="K950" s="269"/>
    </row>
    <row r="951">
      <c r="F951" s="269"/>
      <c r="G951" s="269"/>
      <c r="H951" s="269"/>
      <c r="I951" s="269"/>
      <c r="J951" s="269"/>
      <c r="K951" s="269"/>
    </row>
    <row r="952">
      <c r="F952" s="269"/>
      <c r="G952" s="269"/>
      <c r="H952" s="269"/>
      <c r="I952" s="269"/>
      <c r="J952" s="269"/>
      <c r="K952" s="269"/>
    </row>
    <row r="953">
      <c r="F953" s="269"/>
      <c r="G953" s="269"/>
      <c r="H953" s="269"/>
      <c r="I953" s="269"/>
      <c r="J953" s="269"/>
      <c r="K953" s="269"/>
    </row>
    <row r="954">
      <c r="F954" s="269"/>
      <c r="G954" s="269"/>
      <c r="H954" s="269"/>
      <c r="I954" s="269"/>
      <c r="J954" s="269"/>
      <c r="K954" s="269"/>
    </row>
    <row r="955">
      <c r="F955" s="269"/>
      <c r="G955" s="269"/>
      <c r="H955" s="269"/>
      <c r="I955" s="269"/>
      <c r="J955" s="269"/>
      <c r="K955" s="269"/>
    </row>
    <row r="956">
      <c r="F956" s="269"/>
      <c r="G956" s="269"/>
      <c r="H956" s="269"/>
      <c r="I956" s="269"/>
      <c r="J956" s="269"/>
      <c r="K956" s="269"/>
    </row>
    <row r="957">
      <c r="F957" s="269"/>
      <c r="G957" s="269"/>
      <c r="H957" s="269"/>
      <c r="I957" s="269"/>
      <c r="J957" s="269"/>
      <c r="K957" s="269"/>
    </row>
    <row r="958">
      <c r="F958" s="269"/>
      <c r="G958" s="269"/>
      <c r="H958" s="269"/>
      <c r="I958" s="269"/>
      <c r="J958" s="269"/>
      <c r="K958" s="269"/>
    </row>
    <row r="959">
      <c r="F959" s="269"/>
      <c r="G959" s="269"/>
      <c r="H959" s="269"/>
      <c r="I959" s="269"/>
      <c r="J959" s="269"/>
      <c r="K959" s="269"/>
    </row>
    <row r="960">
      <c r="F960" s="269"/>
      <c r="G960" s="269"/>
      <c r="H960" s="269"/>
      <c r="I960" s="269"/>
      <c r="J960" s="269"/>
      <c r="K960" s="269"/>
    </row>
    <row r="961">
      <c r="F961" s="269"/>
      <c r="G961" s="269"/>
      <c r="H961" s="269"/>
      <c r="I961" s="269"/>
      <c r="J961" s="269"/>
      <c r="K961" s="269"/>
    </row>
    <row r="962">
      <c r="F962" s="269"/>
      <c r="G962" s="269"/>
      <c r="H962" s="269"/>
      <c r="I962" s="269"/>
      <c r="J962" s="269"/>
      <c r="K962" s="269"/>
    </row>
    <row r="963">
      <c r="F963" s="269"/>
      <c r="G963" s="269"/>
      <c r="H963" s="269"/>
      <c r="I963" s="269"/>
      <c r="J963" s="269"/>
      <c r="K963" s="269"/>
    </row>
    <row r="964">
      <c r="F964" s="269"/>
      <c r="G964" s="269"/>
      <c r="H964" s="269"/>
      <c r="I964" s="269"/>
      <c r="J964" s="269"/>
      <c r="K964" s="269"/>
    </row>
    <row r="965">
      <c r="F965" s="269"/>
      <c r="G965" s="269"/>
      <c r="H965" s="269"/>
      <c r="I965" s="269"/>
      <c r="J965" s="269"/>
      <c r="K965" s="269"/>
    </row>
    <row r="966">
      <c r="F966" s="269"/>
      <c r="G966" s="269"/>
      <c r="H966" s="269"/>
      <c r="I966" s="269"/>
      <c r="J966" s="269"/>
      <c r="K966" s="269"/>
    </row>
    <row r="967">
      <c r="F967" s="269"/>
      <c r="G967" s="269"/>
      <c r="H967" s="269"/>
      <c r="I967" s="269"/>
      <c r="J967" s="269"/>
      <c r="K967" s="269"/>
    </row>
    <row r="968">
      <c r="F968" s="269"/>
      <c r="G968" s="269"/>
      <c r="H968" s="269"/>
      <c r="I968" s="269"/>
      <c r="J968" s="269"/>
      <c r="K968" s="269"/>
    </row>
    <row r="969">
      <c r="F969" s="269"/>
      <c r="G969" s="269"/>
      <c r="H969" s="269"/>
      <c r="I969" s="269"/>
      <c r="J969" s="269"/>
      <c r="K969" s="269"/>
    </row>
    <row r="970">
      <c r="F970" s="269"/>
      <c r="G970" s="269"/>
      <c r="H970" s="269"/>
      <c r="I970" s="269"/>
      <c r="J970" s="269"/>
      <c r="K970" s="269"/>
    </row>
    <row r="971">
      <c r="F971" s="269"/>
      <c r="G971" s="269"/>
      <c r="H971" s="269"/>
      <c r="I971" s="269"/>
      <c r="J971" s="269"/>
      <c r="K971" s="269"/>
    </row>
    <row r="972">
      <c r="F972" s="269"/>
      <c r="G972" s="269"/>
      <c r="H972" s="269"/>
      <c r="I972" s="269"/>
      <c r="J972" s="269"/>
      <c r="K972" s="269"/>
    </row>
    <row r="973">
      <c r="F973" s="269"/>
      <c r="G973" s="269"/>
      <c r="H973" s="269"/>
      <c r="I973" s="269"/>
      <c r="J973" s="269"/>
      <c r="K973" s="269"/>
    </row>
    <row r="974">
      <c r="F974" s="269"/>
      <c r="G974" s="269"/>
      <c r="H974" s="269"/>
      <c r="I974" s="269"/>
      <c r="J974" s="269"/>
      <c r="K974" s="269"/>
    </row>
    <row r="975">
      <c r="F975" s="269"/>
      <c r="G975" s="269"/>
      <c r="H975" s="269"/>
      <c r="I975" s="269"/>
      <c r="J975" s="269"/>
      <c r="K975" s="269"/>
    </row>
    <row r="976">
      <c r="F976" s="269"/>
      <c r="G976" s="269"/>
      <c r="H976" s="269"/>
      <c r="I976" s="269"/>
      <c r="J976" s="269"/>
      <c r="K976" s="269"/>
    </row>
    <row r="977">
      <c r="F977" s="269"/>
      <c r="G977" s="269"/>
      <c r="H977" s="269"/>
      <c r="I977" s="269"/>
      <c r="J977" s="269"/>
      <c r="K977" s="269"/>
    </row>
  </sheetData>
  <hyperlinks>
    <hyperlink r:id="rId1" ref="F13"/>
    <hyperlink r:id="rId2" ref="F32"/>
    <hyperlink r:id="rId3" ref="G32"/>
    <hyperlink r:id="rId4" ref="F33"/>
    <hyperlink r:id="rId5" ref="F36"/>
    <hyperlink r:id="rId6" ref="G36"/>
    <hyperlink r:id="rId7" ref="H36"/>
    <hyperlink r:id="rId8" ref="F46"/>
    <hyperlink r:id="rId9" ref="F56"/>
  </hyperlinks>
  <drawing r:id="rId1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16.88"/>
    <col customWidth="1" min="3" max="3" width="17.63"/>
    <col customWidth="1" min="4" max="4" width="123.75"/>
    <col customWidth="1" min="5" max="5" width="18.0"/>
    <col customWidth="1" min="6" max="6" width="26.5"/>
  </cols>
  <sheetData>
    <row r="1">
      <c r="A1" s="55" t="str">
        <f>IFERROR(__xludf.DUMMYFUNCTION("IMPORTRANGE(""https://docs.google.com/spreadsheets/d/1Nzs-aazweM7FII83T5z0Sz18QX-iEFZD-F811MYQF1g/edit?gid=1393276442#gid=1393276442"",""Sum site and Cable!BR63:BR119"")"),"All WO")</f>
        <v>All WO</v>
      </c>
      <c r="B1" s="282">
        <f>IFERROR(__xludf.DUMMYFUNCTION("IMPORTRANGE(""https://docs.google.com/spreadsheets/d/1Nzs-aazweM7FII83T5z0Sz18QX-iEFZD-F811MYQF1g/edit?gid=1393276442#gid=1393276442"",""Sum site and Cable!BP63:BQ119"")"),46194.0)</f>
        <v>46194</v>
      </c>
      <c r="C1" s="99">
        <f>IFERROR(__xludf.DUMMYFUNCTION("""COMPUTED_VALUE"""),46223.0)</f>
        <v>46223</v>
      </c>
      <c r="D1" s="283" t="str">
        <f>IFERROR(__xludf.DUMMYFUNCTION("IMPORTRANGE(""https://docs.google.com/spreadsheets/d/1Nzs-aazweM7FII83T5z0Sz18QX-iEFZD-F811MYQF1g/edit?gid=1393276442#gid=1393276442"",""Sum site and Cable!DD63:DD119"")"),"")</f>
        <v/>
      </c>
      <c r="E1" s="55" t="str">
        <f>IFERROR(__xludf.DUMMYFUNCTION("IMPORTRANGE(""https://docs.google.com/spreadsheets/d/1Nzs-aazweM7FII83T5z0Sz18QX-iEFZD-F811MYQF1g/edit?gid=1393276442#gid=1393276442"",""Sum site and Cable!DE63:DE119"")"),"")</f>
        <v/>
      </c>
    </row>
    <row r="2">
      <c r="A2" s="98" t="str">
        <f>IFERROR(__xludf.DUMMYFUNCTION("""COMPUTED_VALUE"""),"Export time: 02/07/2026 16:57:20")</f>
        <v>Export time: 02/07/2026 16:57:20</v>
      </c>
      <c r="B2" s="98" t="str">
        <f>IFERROR(__xludf.DUMMYFUNCTION("""COMPUTED_VALUE"""),"Assign Site")</f>
        <v>Assign Site</v>
      </c>
      <c r="C2" s="98" t="str">
        <f>IFERROR(__xludf.DUMMYFUNCTION("""COMPUTED_VALUE"""),"Name System")</f>
        <v>Name System</v>
      </c>
      <c r="D2" s="269"/>
      <c r="E2" s="98"/>
    </row>
    <row r="3">
      <c r="A3" s="98"/>
      <c r="B3" s="98"/>
      <c r="C3" s="98"/>
      <c r="D3" s="269"/>
      <c r="E3" s="98"/>
    </row>
    <row r="4" ht="116.25" customHeight="1">
      <c r="A4" s="98" t="str">
        <f>IFERROR(__xludf.DUMMYFUNCTION("""COMPUTED_VALUE"""),"MYT_TNI_TEAM01_Dawei")</f>
        <v>MYT_TNI_TEAM01_Dawei</v>
      </c>
      <c r="B4" s="98" t="str">
        <f>IFERROR(__xludf.DUMMYFUNCTION("""COMPUTED_VALUE"""),"-")</f>
        <v>-</v>
      </c>
      <c r="C4" s="98" t="str">
        <f>IFERROR(__xludf.DUMMYFUNCTION("""COMPUTED_VALUE"""),"myt_aunglwin.phyo")</f>
        <v>myt_aunglwin.phyo</v>
      </c>
      <c r="D4" s="269" t="str">
        <f>IFERROR(__xludf.DUMMYFUNCTION("""COMPUTED_VALUE"""),"*--myt_aunglwin.phyo = Site: *14* : 'TNI0201: 8KVA+ TNI0053+ TNI0049+ TNI0426+ TNI0257+ TNI0264+ TNI0272+ TNI0381: 8KVA+ TNI0073+ TNI0040+ TNI0078+ TNI0035+ TNI0276+ TNI0055 &lt;&gt;Day: 11 of the month = 1 WO Close/ 7day: 1 Close &lt;:&gt;      0 /0 /0 /23 Remain &lt;="&amp;"&gt; rank: *22* =Close: *4%* &lt;  &gt; Task assign: *6 =&gt; Task Close Month: 0: 0/0/0 : TNI0035 , TNI0053 , TNI0073 , TNI0054 , TNI0055 , TNI0257* =&gt;    M&amp;E : 3/P: 0 PM : 3/P: 0       *Detail* ")</f>
        <v>*--myt_aunglwin.phyo = Site: *14* : 'TNI0201: 8KVA+ TNI0053+ TNI0049+ TNI0426+ TNI0257+ TNI0264+ TNI0272+ TNI0381: 8KVA+ TNI0073+ TNI0040+ TNI0078+ TNI0035+ TNI0276+ TNI0055 &lt;&gt;Day: 11 of the month = 1 WO Close/ 7day: 1 Close &lt;:&gt;      0 /0 /0 /23 Remain &lt;=&gt; rank: *22* =Close: *4%* &lt;  &gt; Task assign: *6 =&gt; Task Close Month: 0: 0/0/0 : TNI0035 , TNI0053 , TNI0073 , TNI0054 , TNI0055 , TNI0257* =&gt;    M&amp;E : 3/P: 0 PM : 3/P: 0       *Detail* </v>
      </c>
      <c r="E4" s="98" t="str">
        <f>IFERROR(__xludf.DUMMYFUNCTION("""COMPUTED_VALUE"""),"-")</f>
        <v>-</v>
      </c>
    </row>
    <row r="5">
      <c r="A5" s="98" t="str">
        <f>IFERROR(__xludf.DUMMYFUNCTION("""COMPUTED_VALUE"""),"MYT_TNI_TEAM01_Dawei")</f>
        <v>MYT_TNI_TEAM01_Dawei</v>
      </c>
      <c r="B5" s="98" t="str">
        <f>IFERROR(__xludf.DUMMYFUNCTION("""COMPUTED_VALUE"""),"Khant Chaw Nyo")</f>
        <v>Khant Chaw Nyo</v>
      </c>
      <c r="C5" s="98" t="str">
        <f>IFERROR(__xludf.DUMMYFUNCTION("""COMPUTED_VALUE"""),"myt_aungthin.mya")</f>
        <v>myt_aungthin.mya</v>
      </c>
      <c r="D5" s="269" t="str">
        <f>IFERROR(__xludf.DUMMYFUNCTION("""COMPUTED_VALUE"""),"*Khant Chaw Nyo-myt_aungthin.mya = Site: *9* : 'TNI0154+ TNI0011+ TNI0012+ TNI0392+ TNI_tea+ TNI0006: 30KVA+ TNI0153+ TNI0319: 12KVA+ TNI0306: 12DKVA &lt;&gt;Day: 11 of the month = 7 WO Close/ 7day: 4 Close &lt;:&gt;      0 /0 /0 /12 Remain &lt;=&gt; rank: *8* =Close: *37%"&amp;"* &lt;  &gt; Task assign: *10 =&gt; Task Close Month: 0: 0/0/0 : TNI0334 , TNI0038 , TNI0392 , TNI0064* =&gt; Manager : 1/P: 0 Asset : 2/P: 0 CM : 2/P: 0 M&amp;E : 2/P: 0 PM : 2/P: 0       *Detail*  :  :  :  :  : Open Door: TNI0154:  +Battery Door: 10/11/2025 10:36 - 562"&amp;"3 =   *=* Site need refuel: TNI0012_1: R- 0 Refuel: *440*L")</f>
        <v>*Khant Chaw Nyo-myt_aungthin.mya = Site: *9* : 'TNI0154+ TNI0011+ TNI0012+ TNI0392+ TNI_tea+ TNI0006: 30KVA+ TNI0153+ TNI0319: 12KVA+ TNI0306: 12DKVA &lt;&gt;Day: 11 of the month = 7 WO Close/ 7day: 4 Close &lt;:&gt;      0 /0 /0 /12 Remain &lt;=&gt; rank: *8* =Close: *37%* &lt;  &gt; Task assign: *10 =&gt; Task Close Month: 0: 0/0/0 : TNI0334 , TNI0038 , TNI0392 , TNI0064* =&gt; Manager : 1/P: 0 Asset : 2/P: 0 CM : 2/P: 0 M&amp;E : 2/P: 0 PM : 2/P: 0       *Detail*  :  :  :  :  : Open Door: TNI0154:  +Battery Door: 10/11/2025 10:36 - 5623 =   *=* Site need refuel: TNI0012_1: R- 0 Refuel: *440*L</v>
      </c>
      <c r="E5" s="98">
        <f>IFERROR(__xludf.DUMMYFUNCTION("""COMPUTED_VALUE"""),6.361576236E9)</f>
        <v>6361576236</v>
      </c>
    </row>
    <row r="6">
      <c r="A6" s="98" t="str">
        <f>IFERROR(__xludf.DUMMYFUNCTION("""COMPUTED_VALUE"""),"MYT_TNI_TEAM01_Dawei")</f>
        <v>MYT_TNI_TEAM01_Dawei</v>
      </c>
      <c r="B6" s="98" t="str">
        <f>IFERROR(__xludf.DUMMYFUNCTION("""COMPUTED_VALUE"""),"Win Htet Aung")</f>
        <v>Win Htet Aung</v>
      </c>
      <c r="C6" s="98" t="str">
        <f>IFERROR(__xludf.DUMMYFUNCTION("""COMPUTED_VALUE"""),"myt_bhonehtet.aung")</f>
        <v>myt_bhonehtet.aung</v>
      </c>
      <c r="D6" s="269" t="str">
        <f>IFERROR(__xludf.DUMMYFUNCTION("""COMPUTED_VALUE"""),"*Win Htet Aung-myt_bhonehtet.aung = Site: *15* : 'TNI0115+ TNI0147+ TNI0148+ TNI0319+ TNI0061+ TNI0170+ TNI0071+ TNI0058+ TNI0050+ TNI0018+ TNI0271+ TNI0070+ TNI0068+ TNI0060+ TNI0067 &lt;&gt;Day: 11 of the month = 8 WO Close/ 7day: 7 Close &lt;:&gt;      0 /0 /1 /18"&amp;" Remain &lt;=&gt; rank: *15* =Close: *22%* &lt;  &gt; Task assign: *32 =&gt; Task Close Month: 0: 0/0/0 : TNI0276 , TNI0148 , TNI0065 , TNI0067 , TNI0068 , TNI0070 , TNI0206 , TNI0146 , TNI0060 , TNI0071 , TNI0251 , TNI0089 , TNI0058 , TNI0050 , TNI0046* =&gt; Manager : 2/"&amp;"P: 0 Asset : 4/P: 1 CM : 5/P: 0 M&amp;E : 7/P: 0 PM : 9/P: 0       *Detail* Cell Down: TNI0089 - 14, TNI0115 - 48, TNI0146 - 104 : DG Abnormal: TNI0019 - 555, TNI0216 - 5379 : Temperature High: TNI0257 - 31 :  : Smoke: TNI0089 - 10496, TNI0216 - 7878 : Open D"&amp;"oor: TNI0054:  Door open alarm: 19/02/2026 17:27 - 3192, TNI0216:  +Door Alarm: 28/10/2025 10:26 - 5935, TNI0089:  +Battery Door: 21/04/2025 09:10 - 10496 =   *=* Site need refuel: TNI0247_1: R- 0 Refuel: *440*L, TNI0049_1: R- 135 Refuel: *440*L, TNI0089_"&amp;"1: R- 249 Refuel: *220*L, TNI0019_1: R- 0 Refuel: *440*L, TNI0198_1: R- 0 Refuel: *440*L")</f>
        <v>*Win Htet Aung-myt_bhonehtet.aung = Site: *15* : 'TNI0115+ TNI0147+ TNI0148+ TNI0319+ TNI0061+ TNI0170+ TNI0071+ TNI0058+ TNI0050+ TNI0018+ TNI0271+ TNI0070+ TNI0068+ TNI0060+ TNI0067 &lt;&gt;Day: 11 of the month = 8 WO Close/ 7day: 7 Close &lt;:&gt;      0 /0 /1 /18 Remain &lt;=&gt; rank: *15* =Close: *22%* &lt;  &gt; Task assign: *32 =&gt; Task Close Month: 0: 0/0/0 : TNI0276 , TNI0148 , TNI0065 , TNI0067 , TNI0068 , TNI0070 , TNI0206 , TNI0146 , TNI0060 , TNI0071 , TNI0251 , TNI0089 , TNI0058 , TNI0050 , TNI0046* =&gt; Manager : 2/P: 0 Asset : 4/P: 1 CM : 5/P: 0 M&amp;E : 7/P: 0 PM : 9/P: 0       *Detail* Cell Down: TNI0089 - 14, TNI0115 - 48, TNI0146 - 104 : DG Abnormal: TNI0019 - 555, TNI0216 - 5379 : Temperature High: TNI0257 - 31 :  : Smoke: TNI0089 - 10496, TNI0216 - 7878 : Open Door: TNI0054:  Door open alarm: 19/02/2026 17:27 - 3192, TNI0216:  +Door Alarm: 28/10/2025 10:26 - 5935, TNI0089:  +Battery Door: 21/04/2025 09:10 - 10496 =   *=* Site need refuel: TNI0247_1: R- 0 Refuel: *440*L, TNI0049_1: R- 135 Refuel: *440*L, TNI0089_1: R- 249 Refuel: *220*L, TNI0019_1: R- 0 Refuel: *440*L, TNI0198_1: R- 0 Refuel: *440*L</v>
      </c>
      <c r="E6" s="98">
        <f>IFERROR(__xludf.DUMMYFUNCTION("""COMPUTED_VALUE"""),8.296243972E9)</f>
        <v>8296243972</v>
      </c>
    </row>
    <row r="7">
      <c r="A7" s="98" t="str">
        <f>IFERROR(__xludf.DUMMYFUNCTION("""COMPUTED_VALUE"""),"MYT_TNI_TEAM01_Dawei")</f>
        <v>MYT_TNI_TEAM01_Dawei</v>
      </c>
      <c r="B7" s="98" t="str">
        <f>IFERROR(__xludf.DUMMYFUNCTION("""COMPUTED_VALUE"""),"-")</f>
        <v>-</v>
      </c>
      <c r="C7" s="98" t="str">
        <f>IFERROR(__xludf.DUMMYFUNCTION("""COMPUTED_VALUE"""),"myt_bonemyat.naing1")</f>
        <v>myt_bonemyat.naing1</v>
      </c>
      <c r="D7" s="269" t="str">
        <f>IFERROR(__xludf.DUMMYFUNCTION("""COMPUTED_VALUE"""),"*--myt_bonemyat.naing1 = Site: *30* : 'TNI0061: 8KVA+ TNI0049: 8KVA+ TNI0150+ TNI0041: 8KVA+ TNI0038: 8KVA+ TNI0208+ TNI0326+ TNI0312+ TNI0273+ TNI0194+ TNI0331+ TNI0424+ TNI0322+ TNI0357+ TNI0185+ TNI0210+ TNI0211+ TNI0066+ TNI0069+ TNI0052: 8KVA+ TNI001"&amp;"3: 30KVA+ TNI0038+ TNI0333+ TNI0041+ TNI0306+ TNI0095+ TNI0328+ TNI0052+ TNI0334+ TNI0356 &lt;&gt;Day: 11 of the month = 3 WO Close/ 7day: 1 Close &lt;:&gt;      0 /1 /0 /82 Remain &lt;=&gt; rank: *21* =Close: *5%* &lt;  &gt; Task assign: *28 =&gt; Task Close Month: 0: 0/0/0 : TNI0"&amp;"013 , TNI0049 , TNI0129 , TNI0272 , TNI0312 , TNI0331 , TNI0273 , TNI0051 , TNI0052 , TNI0019 , TNI0040 , TNI0322 , TNI0211 , TNI0185 , TNI0078 , TNI0150 , TNI0208* =&gt; Manager : 2/P: 0 Asset : 4/P: 0 CM : 6/P: 0 M&amp;E : 9/P: 1 PM : 5/P: 0       *Detail* ")</f>
        <v>*--myt_bonemyat.naing1 = Site: *30* : 'TNI0061: 8KVA+ TNI0049: 8KVA+ TNI0150+ TNI0041: 8KVA+ TNI0038: 8KVA+ TNI0208+ TNI0326+ TNI0312+ TNI0273+ TNI0194+ TNI0331+ TNI0424+ TNI0322+ TNI0357+ TNI0185+ TNI0210+ TNI0211+ TNI0066+ TNI0069+ TNI0052: 8KVA+ TNI0013: 30KVA+ TNI0038+ TNI0333+ TNI0041+ TNI0306+ TNI0095+ TNI0328+ TNI0052+ TNI0334+ TNI0356 &lt;&gt;Day: 11 of the month = 3 WO Close/ 7day: 1 Close &lt;:&gt;      0 /1 /0 /82 Remain &lt;=&gt; rank: *21* =Close: *5%* &lt;  &gt; Task assign: *28 =&gt; Task Close Month: 0: 0/0/0 : TNI0013 , TNI0049 , TNI0129 , TNI0272 , TNI0312 , TNI0331 , TNI0273 , TNI0051 , TNI0052 , TNI0019 , TNI0040 , TNI0322 , TNI0211 , TNI0185 , TNI0078 , TNI0150 , TNI0208* =&gt; Manager : 2/P: 0 Asset : 4/P: 0 CM : 6/P: 0 M&amp;E : 9/P: 1 PM : 5/P: 0       *Detail* </v>
      </c>
      <c r="E7" s="98" t="str">
        <f>IFERROR(__xludf.DUMMYFUNCTION("""COMPUTED_VALUE"""),"-")</f>
        <v>-</v>
      </c>
    </row>
    <row r="8">
      <c r="A8" s="98" t="str">
        <f>IFERROR(__xludf.DUMMYFUNCTION("""COMPUTED_VALUE"""),"MYT_TNI_TEAM01_Dawei")</f>
        <v>MYT_TNI_TEAM01_Dawei</v>
      </c>
      <c r="B8" s="98" t="str">
        <f>IFERROR(__xludf.DUMMYFUNCTION("""COMPUTED_VALUE"""),"Win Htet Aung")</f>
        <v>Win Htet Aung</v>
      </c>
      <c r="C8" s="98" t="str">
        <f>IFERROR(__xludf.DUMMYFUNCTION("""COMPUTED_VALUE"""),"myt_myothant.htoo")</f>
        <v>myt_myothant.htoo</v>
      </c>
      <c r="D8" s="269" t="str">
        <f>IFERROR(__xludf.DUMMYFUNCTION("""COMPUTED_VALUE"""),"*Win Htet Aung-myt_myothant.htoo = Site: *2* : 'TNI0247+ TNI0054 &lt;&gt;Day: 11 of the month = 0 WO Close/ 7day: 0 Close &lt;:&gt;      0 /0 /0 /6 Remain &lt;=&gt; rank: *23* =Close: *0%* &lt;  &gt; Task assign: *0 =&gt; Task Close Month: 0: 0/0/0 : * =&gt;            *Detail* Cell D"&amp;"own: TNI0089 - 14, TNI0115 - 48, TNI0146 - 104 : DG Abnormal: TNI0019 - 555, TNI0216 - 5379 : Temperature High: TNI0257 - 31 :  : Smoke: TNI0089 - 10496, TNI0216 - 7878 : Open Door: TNI0054:  Door open alarm: 19/02/2026 17:27 - 3192, TNI0216:  +Door Alarm"&amp;": 28/10/2025 10:26 - 5935, TNI0089:  +Battery Door: 21/04/2025 09:10 - 10496 =   *=* Site need refuel: TNI0247_1: R- 0 Refuel: *440*L, TNI0049_1: R- 135 Refuel: *440*L, TNI0089_1: R- 249 Refuel: *220*L, TNI0019_1: R- 0 Refuel: *440*L, TNI0198_1: R- 0 Refu"&amp;"el: *440*L")</f>
        <v>*Win Htet Aung-myt_myothant.htoo = Site: *2* : 'TNI0247+ TNI0054 &lt;&gt;Day: 11 of the month = 0 WO Close/ 7day: 0 Close &lt;:&gt;      0 /0 /0 /6 Remain &lt;=&gt; rank: *23* =Close: *0%* &lt;  &gt; Task assign: *0 =&gt; Task Close Month: 0: 0/0/0 : * =&gt;            *Detail* Cell Down: TNI0089 - 14, TNI0115 - 48, TNI0146 - 104 : DG Abnormal: TNI0019 - 555, TNI0216 - 5379 : Temperature High: TNI0257 - 31 :  : Smoke: TNI0089 - 10496, TNI0216 - 7878 : Open Door: TNI0054:  Door open alarm: 19/02/2026 17:27 - 3192, TNI0216:  +Door Alarm: 28/10/2025 10:26 - 5935, TNI0089:  +Battery Door: 21/04/2025 09:10 - 10496 =   *=* Site need refuel: TNI0247_1: R- 0 Refuel: *440*L, TNI0049_1: R- 135 Refuel: *440*L, TNI0089_1: R- 249 Refuel: *220*L, TNI0019_1: R- 0 Refuel: *440*L, TNI0198_1: R- 0 Refuel: *440*L</v>
      </c>
      <c r="E8" s="98">
        <f>IFERROR(__xludf.DUMMYFUNCTION("""COMPUTED_VALUE"""),8.296243972E9)</f>
        <v>8296243972</v>
      </c>
    </row>
    <row r="9">
      <c r="A9" s="98" t="str">
        <f>IFERROR(__xludf.DUMMYFUNCTION("""COMPUTED_VALUE"""),"MYT_TNI_TEAM01_Dawei")</f>
        <v>MYT_TNI_TEAM01_Dawei</v>
      </c>
      <c r="B9" s="98" t="str">
        <f>IFERROR(__xludf.DUMMYFUNCTION("""COMPUTED_VALUE"""),"Win Htet Aung")</f>
        <v>Win Htet Aung</v>
      </c>
      <c r="C9" s="98" t="str">
        <f>IFERROR(__xludf.DUMMYFUNCTION("""COMPUTED_VALUE"""),"myt_paingaung.soe")</f>
        <v>myt_paingaung.soe</v>
      </c>
      <c r="D9" s="269" t="str">
        <f>IFERROR(__xludf.DUMMYFUNCTION("""COMPUTED_VALUE"""),"*Win Htet Aung-myt_paingaung.soe = Site: *1* : 'TNI0394 &lt;&gt;Day: 11 of the month = 0 WO Close/ 7day: 0 Close &lt;:&gt;      0 /0 /0 /2 Remain &lt;=&gt; rank: *23* =Close: *0%* &lt;  &gt; Task assign: *3 =&gt; Task Close Month: 0: 0/0/0 : TNI0394* =&gt; Manager : 1/P: 0    PM : 2/P"&amp;": 0       *Detail* Cell Down: TNI0089 - 14, TNI0115 - 48, TNI0146 - 104 : DG Abnormal: TNI0019 - 555, TNI0216 - 5379 : Temperature High: TNI0257 - 31 :  : Smoke: TNI0089 - 10496, TNI0216 - 7878 : Open Door: TNI0054:  Door open alarm: 19/02/2026 17:27 - 31"&amp;"92, TNI0216:  +Door Alarm: 28/10/2025 10:26 - 5935, TNI0089:  +Battery Door: 21/04/2025 09:10 - 10496 =   *=* Site need refuel: TNI0247_1: R- 0 Refuel: *440*L, TNI0049_1: R- 135 Refuel: *440*L, TNI0089_1: R- 249 Refuel: *220*L, TNI0019_1: R- 0 Refuel: *44"&amp;"0*L, TNI0198_1: R- 0 Refuel: *440*L")</f>
        <v>*Win Htet Aung-myt_paingaung.soe = Site: *1* : 'TNI0394 &lt;&gt;Day: 11 of the month = 0 WO Close/ 7day: 0 Close &lt;:&gt;      0 /0 /0 /2 Remain &lt;=&gt; rank: *23* =Close: *0%* &lt;  &gt; Task assign: *3 =&gt; Task Close Month: 0: 0/0/0 : TNI0394* =&gt; Manager : 1/P: 0    PM : 2/P: 0       *Detail* Cell Down: TNI0089 - 14, TNI0115 - 48, TNI0146 - 104 : DG Abnormal: TNI0019 - 555, TNI0216 - 5379 : Temperature High: TNI0257 - 31 :  : Smoke: TNI0089 - 10496, TNI0216 - 7878 : Open Door: TNI0054:  Door open alarm: 19/02/2026 17:27 - 3192, TNI0216:  +Door Alarm: 28/10/2025 10:26 - 5935, TNI0089:  +Battery Door: 21/04/2025 09:10 - 10496 =   *=* Site need refuel: TNI0247_1: R- 0 Refuel: *440*L, TNI0049_1: R- 135 Refuel: *440*L, TNI0089_1: R- 249 Refuel: *220*L, TNI0019_1: R- 0 Refuel: *440*L, TNI0198_1: R- 0 Refuel: *440*L</v>
      </c>
      <c r="E9" s="98">
        <f>IFERROR(__xludf.DUMMYFUNCTION("""COMPUTED_VALUE"""),8.296243972E9)</f>
        <v>8296243972</v>
      </c>
    </row>
    <row r="10">
      <c r="A10" s="98" t="str">
        <f>IFERROR(__xludf.DUMMYFUNCTION("""COMPUTED_VALUE"""),"MYT_TNI_TEAM01_Dawei")</f>
        <v>MYT_TNI_TEAM01_Dawei</v>
      </c>
      <c r="B10" s="98" t="str">
        <f>IFERROR(__xludf.DUMMYFUNCTION("""COMPUTED_VALUE"""),"Win Htet Aung")</f>
        <v>Win Htet Aung</v>
      </c>
      <c r="C10" s="98" t="str">
        <f>IFERROR(__xludf.DUMMYFUNCTION("""COMPUTED_VALUE"""),"myt_phyoko.ko44")</f>
        <v>myt_phyoko.ko44</v>
      </c>
      <c r="D10" s="269" t="str">
        <f>IFERROR(__xludf.DUMMYFUNCTION("""COMPUTED_VALUE"""),"*Win Htet Aung-myt_phyoko.ko44 = Site: *10* : 'TNI0288+ TNI0072+ TNI0256+ TNI0265+ TNI0321+ TNI0245+ TNI0198: 8KVA+ TNI0312: 12KVA+ TNI0019: 8KVA+ TNI0278 &lt;&gt;Day: 11 of the month = 6 WO Close/ 7day: 3 Close &lt;:&gt;      0 /0 /1 /32 Remain &lt;=&gt; rank: *17* =Close"&amp;": *14.%* &lt;  &gt; Task assign: *18 =&gt; Task Close Month: 0: 0/0/0 : TNI0250 , TNI0018 , TNI0066 , TNI0072 , TNI0247 , TNI0264 , TNI0210 , TNI0198 , TNI0231 , TNI0245* =&gt; Manager : 2/P: 0 Asset : 1/P: 0  M&amp;E : 8/P: 0 PM : 7/P: 0       *Detail* Cell Down: TNI008"&amp;"9 - 14, TNI0115 - 48, TNI0146 - 104 : DG Abnormal: TNI0019 - 555, TNI0216 - 5379 : Temperature High: TNI0257 - 31 :  : Smoke: TNI0089 - 10496, TNI0216 - 7878 : Open Door: TNI0054:  Door open alarm: 19/02/2026 17:27 - 3192, TNI0216:  +Door Alarm: 28/10/202"&amp;"5 10:26 - 5935, TNI0089:  +Battery Door: 21/04/2025 09:10 - 10496 =   *=* Site need refuel: TNI0247_1: R- 0 Refuel: *440*L, TNI0049_1: R- 135 Refuel: *440*L, TNI0089_1: R- 249 Refuel: *220*L, TNI0019_1: R- 0 Refuel: *440*L, TNI0198_1: R- 0 Refuel: *440*L")</f>
        <v>*Win Htet Aung-myt_phyoko.ko44 = Site: *10* : 'TNI0288+ TNI0072+ TNI0256+ TNI0265+ TNI0321+ TNI0245+ TNI0198: 8KVA+ TNI0312: 12KVA+ TNI0019: 8KVA+ TNI0278 &lt;&gt;Day: 11 of the month = 6 WO Close/ 7day: 3 Close &lt;:&gt;      0 /0 /1 /32 Remain &lt;=&gt; rank: *17* =Close: *14.%* &lt;  &gt; Task assign: *18 =&gt; Task Close Month: 0: 0/0/0 : TNI0250 , TNI0018 , TNI0066 , TNI0072 , TNI0247 , TNI0264 , TNI0210 , TNI0198 , TNI0231 , TNI0245* =&gt; Manager : 2/P: 0 Asset : 1/P: 0  M&amp;E : 8/P: 0 PM : 7/P: 0       *Detail* Cell Down: TNI0089 - 14, TNI0115 - 48, TNI0146 - 104 : DG Abnormal: TNI0019 - 555, TNI0216 - 5379 : Temperature High: TNI0257 - 31 :  : Smoke: TNI0089 - 10496, TNI0216 - 7878 : Open Door: TNI0054:  Door open alarm: 19/02/2026 17:27 - 3192, TNI0216:  +Door Alarm: 28/10/2025 10:26 - 5935, TNI0089:  +Battery Door: 21/04/2025 09:10 - 10496 =   *=* Site need refuel: TNI0247_1: R- 0 Refuel: *440*L, TNI0049_1: R- 135 Refuel: *440*L, TNI0089_1: R- 249 Refuel: *220*L, TNI0019_1: R- 0 Refuel: *440*L, TNI0198_1: R- 0 Refuel: *440*L</v>
      </c>
      <c r="E10" s="98">
        <f>IFERROR(__xludf.DUMMYFUNCTION("""COMPUTED_VALUE"""),8.296243972E9)</f>
        <v>8296243972</v>
      </c>
    </row>
    <row r="11">
      <c r="A11" s="98" t="str">
        <f>IFERROR(__xludf.DUMMYFUNCTION("""COMPUTED_VALUE"""),"MYT_TNI_TEAM01_Dawei")</f>
        <v>MYT_TNI_TEAM01_Dawei</v>
      </c>
      <c r="B11" s="98" t="str">
        <f>IFERROR(__xludf.DUMMYFUNCTION("""COMPUTED_VALUE"""),"-")</f>
        <v>-</v>
      </c>
      <c r="C11" s="98" t="str">
        <f>IFERROR(__xludf.DUMMYFUNCTION("""COMPUTED_VALUE"""),"myt_tharhtoo.aung11")</f>
        <v>myt_tharhtoo.aung11</v>
      </c>
      <c r="D11" s="269" t="str">
        <f>IFERROR(__xludf.DUMMYFUNCTION("""COMPUTED_VALUE"""),"*--myt_tharhtoo.aung11 = Site: *14* : 'TNI0220+ TNI0390+ TNI0309+ TNI0314+ TNI0214+ TNI0305+ TNI0314: 30KVA+ TNI0129: 8KVA+ TNI0351: 12DKVA+ TNI0351+ TNI0043+ TNI0284: 12KVA+ TNI0283+ TNI0498 &lt;&gt;Day: 11 of the month = 4 WO Close/ 7day: 0 Close &lt;:&gt;      0 /"&amp;"0 /0 /46 Remain &lt;=&gt; rank: *20* =Close: *7%* &lt;  &gt; Task assign: *22 =&gt; Task Close Month: 0: 0/0/0 : TNI0309 , TNI0006 , TNI0314 , TNI0305 , TNI0153 , TNI0284 , TNI0214 , TNI0220 , TNI0390* =&gt; Manager : 3/P: 0 Asset : 1/P: 0 CM : 3/P: 0 M&amp;E : 5/P: 0 PM : 6/P"&amp;": 0       *Detail* ")</f>
        <v>*--myt_tharhtoo.aung11 = Site: *14* : 'TNI0220+ TNI0390+ TNI0309+ TNI0314+ TNI0214+ TNI0305+ TNI0314: 30KVA+ TNI0129: 8KVA+ TNI0351: 12DKVA+ TNI0351+ TNI0043+ TNI0284: 12KVA+ TNI0283+ TNI0498 &lt;&gt;Day: 11 of the month = 4 WO Close/ 7day: 0 Close &lt;:&gt;      0 /0 /0 /46 Remain &lt;=&gt; rank: *20* =Close: *7%* &lt;  &gt; Task assign: *22 =&gt; Task Close Month: 0: 0/0/0 : TNI0309 , TNI0006 , TNI0314 , TNI0305 , TNI0153 , TNI0284 , TNI0214 , TNI0220 , TNI0390* =&gt; Manager : 3/P: 0 Asset : 1/P: 0 CM : 3/P: 0 M&amp;E : 5/P: 0 PM : 6/P: 0       *Detail* </v>
      </c>
      <c r="E11" s="98" t="str">
        <f>IFERROR(__xludf.DUMMYFUNCTION("""COMPUTED_VALUE"""),"-")</f>
        <v>-</v>
      </c>
    </row>
    <row r="12">
      <c r="A12" s="98" t="str">
        <f>IFERROR(__xludf.DUMMYFUNCTION("""COMPUTED_VALUE"""),"MYT_TNI_TEAM02_Myeik")</f>
        <v>MYT_TNI_TEAM02_Myeik</v>
      </c>
      <c r="B12" s="98" t="str">
        <f>IFERROR(__xludf.DUMMYFUNCTION("""COMPUTED_VALUE"""),"-")</f>
        <v>-</v>
      </c>
      <c r="C12" s="98" t="str">
        <f>IFERROR(__xludf.DUMMYFUNCTION("""COMPUTED_VALUE"""),"myt_maung.maung11")</f>
        <v>myt_maung.maung11</v>
      </c>
      <c r="D12" s="269" t="str">
        <f>IFERROR(__xludf.DUMMYFUNCTION("""COMPUTED_VALUE"""),"*--myt_maung.maung11 = Site: *23* : 'TNI0003: 30KVA+ TNI0137: 12DKVA+ TNI0001+ TNI0081+ TNI0236+ TNI0266+ TNI0025+ TNI0003+ TNI0280+ TNI0349+ TNI0339+ TNI0291+ TNI0122+ TNI0127+ TNI0336+ TNI0248+ TNI0258+ TNI0294+ TNI0261+ TNI0270+ TNI0137+ TNI0026+ TNI03"&amp;"99 &lt;&gt;Day: 11 of the month = 8 WO Close/ 7day: 1 Close &lt;:&gt;      6 /0 /0 /16 Remain &lt;=&gt; rank: *13* =Close: *27%* &lt;  &gt; Task assign: *20 =&gt; Task Close Month: 0: 0/0/0 : TNI0003 , TNI0280 , TNI0291 , TNI0122 , TNI0339 , TNI0137 , TNI0236 , TNI0269 , TNI0026 , "&amp;"TNI0258 , TNI0398 , TNI0294 , TNI0248 , TNI0252 , TNI0260* =&gt; Manager : 1/P: 0 Asset : 1/P: 0 CM : 4/P: 0 M&amp;E : 6/P: 0 PM : 8/P: 1       *Detail* ")</f>
        <v>*--myt_maung.maung11 = Site: *23* : 'TNI0003: 30KVA+ TNI0137: 12DKVA+ TNI0001+ TNI0081+ TNI0236+ TNI0266+ TNI0025+ TNI0003+ TNI0280+ TNI0349+ TNI0339+ TNI0291+ TNI0122+ TNI0127+ TNI0336+ TNI0248+ TNI0258+ TNI0294+ TNI0261+ TNI0270+ TNI0137+ TNI0026+ TNI0399 &lt;&gt;Day: 11 of the month = 8 WO Close/ 7day: 1 Close &lt;:&gt;      6 /0 /0 /16 Remain &lt;=&gt; rank: *13* =Close: *27%* &lt;  &gt; Task assign: *20 =&gt; Task Close Month: 0: 0/0/0 : TNI0003 , TNI0280 , TNI0291 , TNI0122 , TNI0339 , TNI0137 , TNI0236 , TNI0269 , TNI0026 , TNI0258 , TNI0398 , TNI0294 , TNI0248 , TNI0252 , TNI0260* =&gt; Manager : 1/P: 0 Asset : 1/P: 0 CM : 4/P: 0 M&amp;E : 6/P: 0 PM : 8/P: 1       *Detail* </v>
      </c>
      <c r="E12" s="98" t="str">
        <f>IFERROR(__xludf.DUMMYFUNCTION("""COMPUTED_VALUE"""),"-")</f>
        <v>-</v>
      </c>
    </row>
    <row r="13">
      <c r="A13" s="98" t="str">
        <f>IFERROR(__xludf.DUMMYFUNCTION("""COMPUTED_VALUE"""),"MYT_TNI_TEAM02_Myeik")</f>
        <v>MYT_TNI_TEAM02_Myeik</v>
      </c>
      <c r="B13" s="98" t="str">
        <f>IFERROR(__xludf.DUMMYFUNCTION("""COMPUTED_VALUE"""),"Min Paing Oo")</f>
        <v>Min Paing Oo</v>
      </c>
      <c r="C13" s="98" t="str">
        <f>IFERROR(__xludf.DUMMYFUNCTION("""COMPUTED_VALUE"""),"myt_minpaing.oo")</f>
        <v>myt_minpaing.oo</v>
      </c>
      <c r="D13" s="269" t="str">
        <f>IFERROR(__xludf.DUMMYFUNCTION("""COMPUTED_VALUE"""),"*Min Paing Oo-myt_minpaing.oo = Site: *3* :  &lt;&gt;Day: 11 of the month = 2 WO Close/ 7day: 2 Close &lt;:&gt;      0 /0 /0 /7 Remain &lt;=&gt; rank: *14* =Close: *22%* &lt;  &gt; Task assign: *7 =&gt; Task Close Month: 0: 0/0/0 : TNI0007 , TNI0199 , TNI0090* =&gt; Manager : 1/P: 0 A"&amp;"sset : 1/P: 0 CM : 3/P: 0 M&amp;E : 0/P: 1        *Detail* Cell Down: TNI0234 - 51 : DG Abnormal: TNI0336 - 2, TNI0005 - 250, TNI0289 - 463, TNI0039 - 1065, TNI0090 - 1515, TNI0199 - 10267 : Temperature High: TNI0039 - 3 : DG Run &gt;16H, DG manual TNI0291 13/06"&amp;"/26456, TNI0005 10/06/26532 :  : Open Door: TNI0090:  +Battery Door: 09/06/2026 15:37 - 554, TNI0290:  Door open alarm: 20/04/2025 04:40 - 10525, TNI0165:  Door open alarm: 23/06/2023 11:43 - 26526 =  Run MDG: TNI0410, TNI0388, TNI0442 *=* Site need refue"&amp;"l: TNI0122_1: R- 0 Refuel: *440*L, TNI0323_1: R- 0 Refuel: *440*L, TNI0339_1: R- 0 Refuel: *440*L, TNI0291_1: R- 0 Refuel: *440*L, TNI0007_1: R- 0 Refuel: *440*L, TNI0007_2: R- 0 Refuel: *440*L, TNI0234_1: R- 245 Refuel: *440*L, TNI0005_1: R- 0 Refuel: *4"&amp;"40*L, TNI0005_2: R- 0 Refuel: *440*L, TNI0289_1: R- 0 Refuel: *440*L, TNI0090_1: R- 0 Refuel: *440*L")</f>
        <v>*Min Paing Oo-myt_minpaing.oo = Site: *3* :  &lt;&gt;Day: 11 of the month = 2 WO Close/ 7day: 2 Close &lt;:&gt;      0 /0 /0 /7 Remain &lt;=&gt; rank: *14* =Close: *22%* &lt;  &gt; Task assign: *7 =&gt; Task Close Month: 0: 0/0/0 : TNI0007 , TNI0199 , TNI0090* =&gt; Manager : 1/P: 0 Asset : 1/P: 0 CM : 3/P: 0 M&amp;E : 0/P: 1        *Detail* Cell Down: TNI0234 - 51 : DG Abnormal: TNI0336 - 2, TNI0005 - 250, TNI0289 - 463, TNI0039 - 1065, TNI0090 - 1515, TNI0199 - 10267 : Temperature High: TNI0039 - 3 : DG Run &gt;16H, DG manual TNI0291 13/06/26456, TNI0005 10/06/26532 :  : Open Door: TNI0090:  +Battery Door: 09/06/2026 15:37 - 554, TNI0290:  Door open alarm: 20/04/2025 04:40 - 10525, TNI0165:  Door open alarm: 23/06/2023 11:43 - 26526 =  Run MDG: TNI0410, TNI0388, TNI0442 *=* Site need refuel: TNI0122_1: R- 0 Refuel: *440*L, TNI0323_1: R- 0 Refuel: *440*L, TNI0339_1: R- 0 Refuel: *440*L, TNI0291_1: R- 0 Refuel: *440*L, TNI0007_1: R- 0 Refuel: *440*L, TNI0007_2: R- 0 Refuel: *440*L, TNI0234_1: R- 245 Refuel: *440*L, TNI0005_1: R- 0 Refuel: *440*L, TNI0005_2: R- 0 Refuel: *440*L, TNI0289_1: R- 0 Refuel: *440*L, TNI0090_1: R- 0 Refuel: *440*L</v>
      </c>
      <c r="E13" s="98">
        <f>IFERROR(__xludf.DUMMYFUNCTION("""COMPUTED_VALUE"""),6.663540096E9)</f>
        <v>6663540096</v>
      </c>
    </row>
    <row r="14">
      <c r="A14" s="98" t="str">
        <f>IFERROR(__xludf.DUMMYFUNCTION("""COMPUTED_VALUE"""),"MYT_TNI_TEAM02_Myeik")</f>
        <v>MYT_TNI_TEAM02_Myeik</v>
      </c>
      <c r="B14" s="98" t="str">
        <f>IFERROR(__xludf.DUMMYFUNCTION("""COMPUTED_VALUE"""),"Maung Maung")</f>
        <v>Maung Maung</v>
      </c>
      <c r="C14" s="98" t="str">
        <f>IFERROR(__xludf.DUMMYFUNCTION("""COMPUTED_VALUE"""),"myt_naymyo.thu")</f>
        <v>myt_naymyo.thu</v>
      </c>
      <c r="D14" s="269" t="str">
        <f>IFERROR(__xludf.DUMMYFUNCTION("""COMPUTED_VALUE"""),"*Maung Maung-myt_naymyo.thu = Site: *1* : 'TNI0277 &lt;&gt;Day: 11 of the month = 1 WO Close/ 7day: 0 Close &lt;:&gt;      0 /0 /0 /4 Remain &lt;=&gt; rank: *10* =Close: *33%* &lt;  &gt; Task assign: *5 =&gt; Task Close Month: 0: 0/0/0 : TNI0261 , TNI0423 , TNI0289 , TNI0324* =&gt; Ma"&amp;"nager : 1/P: 0   M&amp;E : 1/P: 0 PM : 2/P: 0       *Detail*  : DG Abnormal: TNI0047 - 1451 :  :  : Smoke: TNI0261 - 5713 : Open Door: TNI0261:  +Battery Door: 19/05/2026 15:00 - 1058, TNI0024:  Door open alarm: 21/04/2026 07:18 - 1738, TNI0398:  Door open al"&amp;"arm: 09/11/2025 22:13 - 5635, TNI0258:  +Door Alarm: 06/09/2025 14:07 +Battery Door: 16/05/2025 07:00 - 7179, TNI0001:  +Door Alarm: 17/12/2024 18:31 - 13487 =   *=* Site need refuel: TNI0137_1: R- 193 Refuel: *440*L, TNI0001_1: R- 0 Refuel: *440*L, TNI00"&amp;"47_1: R- 337 Refuel: *440*L")</f>
        <v>*Maung Maung-myt_naymyo.thu = Site: *1* : 'TNI0277 &lt;&gt;Day: 11 of the month = 1 WO Close/ 7day: 0 Close &lt;:&gt;      0 /0 /0 /4 Remain &lt;=&gt; rank: *10* =Close: *33%* &lt;  &gt; Task assign: *5 =&gt; Task Close Month: 0: 0/0/0 : TNI0261 , TNI0423 , TNI0289 , TNI0324* =&gt; Manager : 1/P: 0   M&amp;E : 1/P: 0 PM : 2/P: 0       *Detail*  : DG Abnormal: TNI0047 - 1451 :  :  : Smoke: TNI0261 - 5713 : Open Door: TNI0261:  +Battery Door: 19/05/2026 15:00 - 1058, TNI0024:  Door open alarm: 21/04/2026 07:18 - 1738, TNI0398:  Door open alarm: 09/11/2025 22:13 - 5635, TNI0258:  +Door Alarm: 06/09/2025 14:07 +Battery Door: 16/05/2025 07:00 - 7179, TNI0001:  +Door Alarm: 17/12/2024 18:31 - 13487 =   *=* Site need refuel: TNI0137_1: R- 193 Refuel: *440*L, TNI0001_1: R- 0 Refuel: *440*L, TNI0047_1: R- 337 Refuel: *440*L</v>
      </c>
      <c r="E14" s="98">
        <f>IFERROR(__xludf.DUMMYFUNCTION("""COMPUTED_VALUE"""),6.555381983E9)</f>
        <v>6555381983</v>
      </c>
    </row>
    <row r="15">
      <c r="A15" s="98" t="str">
        <f>IFERROR(__xludf.DUMMYFUNCTION("""COMPUTED_VALUE"""),"MYT_TNI_TEAM02_Myeik")</f>
        <v>MYT_TNI_TEAM02_Myeik</v>
      </c>
      <c r="B15" s="98" t="str">
        <f>IFERROR(__xludf.DUMMYFUNCTION("""COMPUTED_VALUE"""),"Maung Maung")</f>
        <v>Maung Maung</v>
      </c>
      <c r="C15" s="98" t="str">
        <f>IFERROR(__xludf.DUMMYFUNCTION("""COMPUTED_VALUE"""),"myt_naythurain.oo")</f>
        <v>myt_naythurain.oo</v>
      </c>
      <c r="D15" s="269" t="str">
        <f>IFERROR(__xludf.DUMMYFUNCTION("""COMPUTED_VALUE"""),"*Maung Maung-myt_naythurain.oo = Site: *2* : 'TNI0519: 12DKVA+ TNI0077 &lt;&gt;Day: 11 of the month = 0 WO Close/ 7day: 0 Close &lt;:&gt;      0 /0 /0 /3 Remain &lt;=&gt; rank: *23* =Close: *0%* &lt;  &gt; Task assign: *1 =&gt; Task Close Month: 0: 0/0/0 : TNI0324* =&gt;            *D"&amp;"etail*  : DG Abnormal: TNI0047 - 1451 :  :  : Smoke: TNI0261 - 5713 : Open Door: TNI0261:  +Battery Door: 19/05/2026 15:00 - 1058, TNI0024:  Door open alarm: 21/04/2026 07:18 - 1738, TNI0398:  Door open alarm: 09/11/2025 22:13 - 5635, TNI0258:  +Door Alar"&amp;"m: 06/09/2025 14:07 +Battery Door: 16/05/2025 07:00 - 7179, TNI0001:  +Door Alarm: 17/12/2024 18:31 - 13487 =   *=* Site need refuel: TNI0137_1: R- 193 Refuel: *440*L, TNI0001_1: R- 0 Refuel: *440*L, TNI0047_1: R- 337 Refuel: *440*L")</f>
        <v>*Maung Maung-myt_naythurain.oo = Site: *2* : 'TNI0519: 12DKVA+ TNI0077 &lt;&gt;Day: 11 of the month = 0 WO Close/ 7day: 0 Close &lt;:&gt;      0 /0 /0 /3 Remain &lt;=&gt; rank: *23* =Close: *0%* &lt;  &gt; Task assign: *1 =&gt; Task Close Month: 0: 0/0/0 : TNI0324* =&gt;            *Detail*  : DG Abnormal: TNI0047 - 1451 :  :  : Smoke: TNI0261 - 5713 : Open Door: TNI0261:  +Battery Door: 19/05/2026 15:00 - 1058, TNI0024:  Door open alarm: 21/04/2026 07:18 - 1738, TNI0398:  Door open alarm: 09/11/2025 22:13 - 5635, TNI0258:  +Door Alarm: 06/09/2025 14:07 +Battery Door: 16/05/2025 07:00 - 7179, TNI0001:  +Door Alarm: 17/12/2024 18:31 - 13487 =   *=* Site need refuel: TNI0137_1: R- 193 Refuel: *440*L, TNI0001_1: R- 0 Refuel: *440*L, TNI0047_1: R- 337 Refuel: *440*L</v>
      </c>
      <c r="E15" s="98">
        <f>IFERROR(__xludf.DUMMYFUNCTION("""COMPUTED_VALUE"""),6.555381983E9)</f>
        <v>6555381983</v>
      </c>
    </row>
    <row r="16">
      <c r="A16" s="98" t="str">
        <f>IFERROR(__xludf.DUMMYFUNCTION("""COMPUTED_VALUE"""),"MYT_TNI_TEAM02_Myeik")</f>
        <v>MYT_TNI_TEAM02_Myeik</v>
      </c>
      <c r="B16" s="98" t="str">
        <f>IFERROR(__xludf.DUMMYFUNCTION("""COMPUTED_VALUE"""),"-")</f>
        <v>-</v>
      </c>
      <c r="C16" s="98" t="str">
        <f>IFERROR(__xludf.DUMMYFUNCTION("""COMPUTED_VALUE"""),"myt_pyikyaw.aung")</f>
        <v>myt_pyikyaw.aung</v>
      </c>
      <c r="D16" s="269" t="str">
        <f>IFERROR(__xludf.DUMMYFUNCTION("""COMPUTED_VALUE"""),"*--myt_pyikyaw.aung = Site: *16* : 'TNI0228: 8KVA+ TNI0381+ TNI0036+ TNI0024+ TNI0048+ TNI0413: 12DKVA+ TNI0241+ TNI0279+ TNI0028+ TNI0091+ TNI0290+ TNI0044+ TNI0239+ TNI0413+ TNI0382+ TNI0228 &lt;&gt;Day: 11 of the month = 5 WO Close/ 7day: 0 Close &lt;:&gt;      1 "&amp;"/0 /0 /22 Remain &lt;=&gt; rank: *17* =Close: *14.%* &lt;  &gt; Task assign: *9 =&gt; Task Close Month: 0: 0/0/0 : TNI0001 , TNI0021 , TNI0279 , TNI0346 , TNI0381 , TNI0228 , TNI0240 , TNI0241* =&gt; Manager : 1/P: 0 Asset : 1/P: 0  M&amp;E : 1/P: 0 PM : 6/P: 0       *Detail* ")</f>
        <v>*--myt_pyikyaw.aung = Site: *16* : 'TNI0228: 8KVA+ TNI0381+ TNI0036+ TNI0024+ TNI0048+ TNI0413: 12DKVA+ TNI0241+ TNI0279+ TNI0028+ TNI0091+ TNI0290+ TNI0044+ TNI0239+ TNI0413+ TNI0382+ TNI0228 &lt;&gt;Day: 11 of the month = 5 WO Close/ 7day: 0 Close &lt;:&gt;      1 /0 /0 /22 Remain &lt;=&gt; rank: *17* =Close: *14.%* &lt;  &gt; Task assign: *9 =&gt; Task Close Month: 0: 0/0/0 : TNI0001 , TNI0021 , TNI0279 , TNI0346 , TNI0381 , TNI0228 , TNI0240 , TNI0241* =&gt; Manager : 1/P: 0 Asset : 1/P: 0  M&amp;E : 1/P: 0 PM : 6/P: 0       *Detail* </v>
      </c>
      <c r="E16" s="98" t="str">
        <f>IFERROR(__xludf.DUMMYFUNCTION("""COMPUTED_VALUE"""),"-")</f>
        <v>-</v>
      </c>
    </row>
    <row r="17">
      <c r="A17" s="98" t="str">
        <f>IFERROR(__xludf.DUMMYFUNCTION("""COMPUTED_VALUE"""),"MYT_TNI_TEAM02_Myeik")</f>
        <v>MYT_TNI_TEAM02_Myeik</v>
      </c>
      <c r="B17" s="98" t="str">
        <f>IFERROR(__xludf.DUMMYFUNCTION("""COMPUTED_VALUE"""),"Wanna Oo")</f>
        <v>Wanna Oo</v>
      </c>
      <c r="C17" s="98" t="str">
        <f>IFERROR(__xludf.DUMMYFUNCTION("""COMPUTED_VALUE"""),"myt_wanna.oo2")</f>
        <v>myt_wanna.oo2</v>
      </c>
      <c r="D17" s="269" t="str">
        <f>IFERROR(__xludf.DUMMYFUNCTION("""COMPUTED_VALUE"""),"*Wanna Oo-myt_wanna.oo2 = Site: *17* : 'TNI0108+ TNI0075+ TNI0323+ TNI0159+ TNI0005+ TNI0164+ TNI0519+ TNI0029+ TNI0381: 8KVA+ TNI0516+ TNI0200: 12KVA+ TNI0122: 12KVA+ TNI0200+ TNI0515+ TNI0370+ TNI0161+ TNI0440 &lt;&gt;Day: 11 of the month = 0 WO Close/ 7day: "&amp;"0 Close &lt;:&gt;      0 /0 /0 /37 Remain &lt;=&gt; rank: *23* =Close: *0%* &lt;  &gt; Task assign: *17 =&gt; Task Close Month: 0: 0/0/0 : TNI0005 , TNI0159 , TNI0237 , TNI0164 , TNI0277 , TNI0323 , TNI0075 , TNI0382 , TNI0411 , TNI0440 , TNI0519 , TNI0200* =&gt; Manager : 1/P: "&amp;"0 Asset : 1/P: 0 CM : 4/P: 0 M&amp;E : 2/P: 1 PM : 8/P: 0       *Detail* Cell Down: TNI0036 - 1 :  : Temperature High: TNI0003 - 1254 :  :  : Open Door: TNI0003:  +Door Alarm: 01/06/2026 13:19 - 748, TNI0252:  +Door Alarm: 18/02/2026 10:24 - 3223 =   *=* Site"&amp;" need refuel: TNI0200_1: R- 221 Refuel: *440*L, TNI0252_1: R- 0 Refuel: *440*L, TNI0255_1: R- 0 Refuel: *440*L, TNI0003_1: R- 0 Refuel: *440*L")</f>
        <v>*Wanna Oo-myt_wanna.oo2 = Site: *17* : 'TNI0108+ TNI0075+ TNI0323+ TNI0159+ TNI0005+ TNI0164+ TNI0519+ TNI0029+ TNI0381: 8KVA+ TNI0516+ TNI0200: 12KVA+ TNI0122: 12KVA+ TNI0200+ TNI0515+ TNI0370+ TNI0161+ TNI0440 &lt;&gt;Day: 11 of the month = 0 WO Close/ 7day: 0 Close &lt;:&gt;      0 /0 /0 /37 Remain &lt;=&gt; rank: *23* =Close: *0%* &lt;  &gt; Task assign: *17 =&gt; Task Close Month: 0: 0/0/0 : TNI0005 , TNI0159 , TNI0237 , TNI0164 , TNI0277 , TNI0323 , TNI0075 , TNI0382 , TNI0411 , TNI0440 , TNI0519 , TNI0200* =&gt; Manager : 1/P: 0 Asset : 1/P: 0 CM : 4/P: 0 M&amp;E : 2/P: 1 PM : 8/P: 0       *Detail* Cell Down: TNI0036 - 1 :  : Temperature High: TNI0003 - 1254 :  :  : Open Door: TNI0003:  +Door Alarm: 01/06/2026 13:19 - 748, TNI0252:  +Door Alarm: 18/02/2026 10:24 - 3223 =   *=* Site need refuel: TNI0200_1: R- 221 Refuel: *440*L, TNI0252_1: R- 0 Refuel: *440*L, TNI0255_1: R- 0 Refuel: *440*L, TNI0003_1: R- 0 Refuel: *440*L</v>
      </c>
      <c r="E17" s="98">
        <f>IFERROR(__xludf.DUMMYFUNCTION("""COMPUTED_VALUE"""),2.01081058E9)</f>
        <v>2010810580</v>
      </c>
    </row>
    <row r="18">
      <c r="A18" s="98" t="str">
        <f>IFERROR(__xludf.DUMMYFUNCTION("""COMPUTED_VALUE"""),"MYT_TNI_TEAM02_Myeik")</f>
        <v>MYT_TNI_TEAM02_Myeik</v>
      </c>
      <c r="B18" s="98" t="str">
        <f>IFERROR(__xludf.DUMMYFUNCTION("""COMPUTED_VALUE"""),"Maung Maung")</f>
        <v>Maung Maung</v>
      </c>
      <c r="C18" s="98" t="str">
        <f>IFERROR(__xludf.DUMMYFUNCTION("""COMPUTED_VALUE"""),"myt_winhtet.aung11")</f>
        <v>myt_winhtet.aung11</v>
      </c>
      <c r="D18" s="269" t="str">
        <f>IFERROR(__xludf.DUMMYFUNCTION("""COMPUTED_VALUE"""),"*Maung Maung-myt_winhtet.aung11 = Site: *2* : 'TNI0520+ TNI0255 &lt;&gt;Day: 11 of the month = 5 WO Close/ 7day: 3 Close &lt;:&gt;      2 /3 /0 /1 Remain &lt;=&gt; rank: *5* =Close: *71%* &lt;  &gt; Task assign: *8 =&gt; Task Close Month: 0: 0/0/0 : TNI0242 , TNI0166 , TNI0270 , TN"&amp;"I0324 , TNI0399 , TNI0520 , TNI0262* =&gt;  Asset : 2/P: 0  M&amp;E : 1/P: 0 PM : 4/P: 1       *Detail*  : DG Abnormal: TNI0047 - 1451 :  :  : Smoke: TNI0261 - 5713 : Open Door: TNI0261:  +Battery Door: 19/05/2026 15:00 - 1058, TNI0024:  Door open alarm: 21/04/2"&amp;"026 07:18 - 1738, TNI0398:  Door open alarm: 09/11/2025 22:13 - 5635, TNI0258:  +Door Alarm: 06/09/2025 14:07 +Battery Door: 16/05/2025 07:00 - 7179, TNI0001:  +Door Alarm: 17/12/2024 18:31 - 13487 =   *=* Site need refuel: TNI0137_1: R- 193 Refuel: *440*"&amp;"L, TNI0001_1: R- 0 Refuel: *440*L, TNI0047_1: R- 337 Refuel: *440*L")</f>
        <v>*Maung Maung-myt_winhtet.aung11 = Site: *2* : 'TNI0520+ TNI0255 &lt;&gt;Day: 11 of the month = 5 WO Close/ 7day: 3 Close &lt;:&gt;      2 /3 /0 /1 Remain &lt;=&gt; rank: *5* =Close: *71%* &lt;  &gt; Task assign: *8 =&gt; Task Close Month: 0: 0/0/0 : TNI0242 , TNI0166 , TNI0270 , TNI0324 , TNI0399 , TNI0520 , TNI0262* =&gt;  Asset : 2/P: 0  M&amp;E : 1/P: 0 PM : 4/P: 1       *Detail*  : DG Abnormal: TNI0047 - 1451 :  :  : Smoke: TNI0261 - 5713 : Open Door: TNI0261:  +Battery Door: 19/05/2026 15:00 - 1058, TNI0024:  Door open alarm: 21/04/2026 07:18 - 1738, TNI0398:  Door open alarm: 09/11/2025 22:13 - 5635, TNI0258:  +Door Alarm: 06/09/2025 14:07 +Battery Door: 16/05/2025 07:00 - 7179, TNI0001:  +Door Alarm: 17/12/2024 18:31 - 13487 =   *=* Site need refuel: TNI0137_1: R- 193 Refuel: *440*L, TNI0001_1: R- 0 Refuel: *440*L, TNI0047_1: R- 337 Refuel: *440*L</v>
      </c>
      <c r="E18" s="98">
        <f>IFERROR(__xludf.DUMMYFUNCTION("""COMPUTED_VALUE"""),6.555381983E9)</f>
        <v>6555381983</v>
      </c>
    </row>
    <row r="19">
      <c r="A19" s="98" t="str">
        <f>IFERROR(__xludf.DUMMYFUNCTION("""COMPUTED_VALUE"""),"MYT_TNI_TEAM02_Myeik")</f>
        <v>MYT_TNI_TEAM02_Myeik</v>
      </c>
      <c r="B19" s="98" t="str">
        <f>IFERROR(__xludf.DUMMYFUNCTION("""COMPUTED_VALUE"""),"Pyi Kyaw Aung")</f>
        <v>Pyi Kyaw Aung</v>
      </c>
      <c r="C19" s="98" t="str">
        <f>IFERROR(__xludf.DUMMYFUNCTION("""COMPUTED_VALUE"""),"myt_ye.lin22")</f>
        <v>myt_ye.lin22</v>
      </c>
      <c r="D19" s="269" t="str">
        <f>IFERROR(__xludf.DUMMYFUNCTION("""COMPUTED_VALUE"""),"*Pyi Kyaw Aung-myt_ye.lin22 = Site: *6* : 'TNI0415+ TNI0371+ TNI0237+ TNI0365+ TNI0423+ TNI0384 &lt;&gt;Day: 11 of the month = 2 WO Close/ 7day: 0 Close &lt;:&gt;      2 /0 /0 /5 Remain &lt;=&gt; rank: *12* =Close: *29.%* &lt;  &gt; Task assign: *1 =&gt; Task Close Month: 0: 0/0/0 "&amp;": TNI0413* =&gt;     PM : 1/P: 0       *Detail*  : DG Abnormal: TNI0413 - 3, TNI0228 - 21, TNI0242 - 772, TNI0002 - 1227 :  :  : Smoke: TNI0002 - 13781, TNI0413 - 5600 : Open Door: TNI0382:  Door open alarm: 17/06/2026 14:24 - 363, TNI0242:  +Door Alarm: 06/"&amp;"06/2026 08:21 - 633, TNI0413:  +Door Alarm: 11/11/2025 09:23 +Battery Door: 11/11/2025 09:23 - 5600, TNI0002:  +Battery Door: 05/12/2024 12:42 - 13781 =  Run MDG: TNI0382 *=* Site need refuel: TNI0382_1: R- 0 Refuel: *440*L, TNI0380_1: R- 0 Refuel: *440*L"&amp;", TNI0413_1: R- 161 Refuel: *440*L, TNI0002_1: R- 0 Refuel: *440*L, TNI0248_1: R- 96 Refuel: *440*L, TNI0228_1: R- 317 Refuel: *440*L")</f>
        <v>*Pyi Kyaw Aung-myt_ye.lin22 = Site: *6* : 'TNI0415+ TNI0371+ TNI0237+ TNI0365+ TNI0423+ TNI0384 &lt;&gt;Day: 11 of the month = 2 WO Close/ 7day: 0 Close &lt;:&gt;      2 /0 /0 /5 Remain &lt;=&gt; rank: *12* =Close: *29.%* &lt;  &gt; Task assign: *1 =&gt; Task Close Month: 0: 0/0/0 : TNI0413* =&gt;     PM : 1/P: 0       *Detail*  : DG Abnormal: TNI0413 - 3, TNI0228 - 21, TNI0242 - 772, TNI0002 - 1227 :  :  : Smoke: TNI0002 - 13781, TNI0413 - 5600 : Open Door: TNI0382:  Door open alarm: 17/06/2026 14:24 - 363, TNI0242:  +Door Alarm: 06/06/2026 08:21 - 633, TNI0413:  +Door Alarm: 11/11/2025 09:23 +Battery Door: 11/11/2025 09:23 - 5600, TNI0002:  +Battery Door: 05/12/2024 12:42 - 13781 =  Run MDG: TNI0382 *=* Site need refuel: TNI0382_1: R- 0 Refuel: *440*L, TNI0380_1: R- 0 Refuel: *440*L, TNI0413_1: R- 161 Refuel: *440*L, TNI0002_1: R- 0 Refuel: *440*L, TNI0248_1: R- 96 Refuel: *440*L, TNI0228_1: R- 317 Refuel: *440*L</v>
      </c>
      <c r="E19" s="98">
        <f>IFERROR(__xludf.DUMMYFUNCTION("""COMPUTED_VALUE"""),6.234932607E9)</f>
        <v>6234932607</v>
      </c>
    </row>
    <row r="20">
      <c r="A20" s="98" t="str">
        <f>IFERROR(__xludf.DUMMYFUNCTION("""COMPUTED_VALUE"""),"MYT_TNI_TEAM02_Myeik")</f>
        <v>MYT_TNI_TEAM02_Myeik</v>
      </c>
      <c r="B20" s="98" t="str">
        <f>IFERROR(__xludf.DUMMYFUNCTION("""COMPUTED_VALUE"""),"Wanna Oo")</f>
        <v>Wanna Oo</v>
      </c>
      <c r="C20" s="98" t="str">
        <f>IFERROR(__xludf.DUMMYFUNCTION("""COMPUTED_VALUE"""),"myt_zinmin.shein")</f>
        <v>myt_zinmin.shein</v>
      </c>
      <c r="D20" s="269" t="str">
        <f>IFERROR(__xludf.DUMMYFUNCTION("""COMPUTED_VALUE"""),"*Wanna Oo-myt_zinmin.shein = Site: *4* : TNI0267+ TNI0346+ TNI0406+ TNI0262 &lt;&gt;Day: 11 of the month = 14 WO Close/ 7day: 9 Close &lt;:&gt;      4 /0 /7 /2 Remain &lt;=&gt; rank: *4* =Close: *88%* &lt;  &gt; Task assign: *12 =&gt; Task Close Month: 0: 0/0/0 : TNI0267 , TNI0290 "&amp;", TNI0263 , TNI0028 , TNI0044 , TNI0161 , TNI0239 , TNI0379 , TNI0406* =&gt; Manager : 1/P: 0  CM : 3/P: 0 M&amp;E : 3/P: 0 PM : 5/P: 0       *Detail* Cell Down: TNI0036 - 1 :  : Temperature High: TNI0003 - 1254 :  :  : Open Door: TNI0003:  +Door Alarm: 01/06/20"&amp;"26 13:19 - 748, TNI0252:  +Door Alarm: 18/02/2026 10:24 - 3223 =   *=* Site need refuel: TNI0200_1: R- 221 Refuel: *440*L, TNI0252_1: R- 0 Refuel: *440*L, TNI0255_1: R- 0 Refuel: *440*L, TNI0003_1: R- 0 Refuel: *440*L")</f>
        <v>*Wanna Oo-myt_zinmin.shein = Site: *4* : TNI0267+ TNI0346+ TNI0406+ TNI0262 &lt;&gt;Day: 11 of the month = 14 WO Close/ 7day: 9 Close &lt;:&gt;      4 /0 /7 /2 Remain &lt;=&gt; rank: *4* =Close: *88%* &lt;  &gt; Task assign: *12 =&gt; Task Close Month: 0: 0/0/0 : TNI0267 , TNI0290 , TNI0263 , TNI0028 , TNI0044 , TNI0161 , TNI0239 , TNI0379 , TNI0406* =&gt; Manager : 1/P: 0  CM : 3/P: 0 M&amp;E : 3/P: 0 PM : 5/P: 0       *Detail* Cell Down: TNI0036 - 1 :  : Temperature High: TNI0003 - 1254 :  :  : Open Door: TNI0003:  +Door Alarm: 01/06/2026 13:19 - 748, TNI0252:  +Door Alarm: 18/02/2026 10:24 - 3223 =   *=* Site need refuel: TNI0200_1: R- 221 Refuel: *440*L, TNI0252_1: R- 0 Refuel: *440*L, TNI0255_1: R- 0 Refuel: *440*L, TNI0003_1: R- 0 Refuel: *440*L</v>
      </c>
      <c r="E20" s="98">
        <f>IFERROR(__xludf.DUMMYFUNCTION("""COMPUTED_VALUE"""),2.01081058E9)</f>
        <v>2010810580</v>
      </c>
    </row>
    <row r="21">
      <c r="A21" s="98" t="str">
        <f>IFERROR(__xludf.DUMMYFUNCTION("""COMPUTED_VALUE"""),"MYT_TNI_TEAM03_Bokpyin")</f>
        <v>MYT_TNI_TEAM03_Bokpyin</v>
      </c>
      <c r="B21" s="98" t="str">
        <f>IFERROR(__xludf.DUMMYFUNCTION("""COMPUTED_VALUE"""),"Myint Ko Ko Aung")</f>
        <v>Myint Ko Ko Aung</v>
      </c>
      <c r="C21" s="98" t="str">
        <f>IFERROR(__xludf.DUMMYFUNCTION("""COMPUTED_VALUE"""),"myt_myintkoko.aung")</f>
        <v>myt_myintkoko.aung</v>
      </c>
      <c r="D21" s="269" t="str">
        <f>IFERROR(__xludf.DUMMYFUNCTION("""COMPUTED_VALUE"""),"*Myint Ko Ko Aung-myt_myintkoko.aung = Site: *1* : TNI0004 &lt;&gt;Day: 11 of the month = 9 WO Close/ 7day: 0 Close &lt;:&gt;      0 /0 /0 /9 Remain &lt;=&gt; rank: *7* =Close: *50%* &lt;  &gt; Task assign: *3 =&gt; Task Close Month: 0: 0/0/0 : TNI0079 , TNI0116 , TNI0156* =&gt;     P"&amp;"M : 3/P: 0       *Detail* Cell Down: TNI0004 - 93, TNI0212 - 521 :  :  :  : Smoke: TNI0116 - 2646 : Open Door: TNI0004:  +Door Alarm: 02/07/2026 13:48 DG Door: 18/06/2025 09:26 - 4 =  Run MDG: TNI0505 *=* Site need refuel: TNI0004_1: R- 0 Refuel: *440*L, "&amp;"TNI0004_2: R- 0 Refuel: *440*L, TNI0116_1: R- 253 Refuel: *440*L, TNI0212_1: R- 286 Refuel: *440*L")</f>
        <v>*Myint Ko Ko Aung-myt_myintkoko.aung = Site: *1* : TNI0004 &lt;&gt;Day: 11 of the month = 9 WO Close/ 7day: 0 Close &lt;:&gt;      0 /0 /0 /9 Remain &lt;=&gt; rank: *7* =Close: *50%* &lt;  &gt; Task assign: *3 =&gt; Task Close Month: 0: 0/0/0 : TNI0079 , TNI0116 , TNI0156* =&gt;     PM : 3/P: 0       *Detail* Cell Down: TNI0004 - 93, TNI0212 - 521 :  :  :  : Smoke: TNI0116 - 2646 : Open Door: TNI0004:  +Door Alarm: 02/07/2026 13:48 DG Door: 18/06/2025 09:26 - 4 =  Run MDG: TNI0505 *=* Site need refuel: TNI0004_1: R- 0 Refuel: *440*L, TNI0004_2: R- 0 Refuel: *440*L, TNI0116_1: R- 253 Refuel: *440*L, TNI0212_1: R- 286 Refuel: *440*L</v>
      </c>
      <c r="E21" s="98">
        <f>IFERROR(__xludf.DUMMYFUNCTION("""COMPUTED_VALUE"""),6.681796896E9)</f>
        <v>6681796896</v>
      </c>
    </row>
    <row r="22">
      <c r="A22" s="98" t="str">
        <f>IFERROR(__xludf.DUMMYFUNCTION("""COMPUTED_VALUE"""),"MYT_TNI_TEAM03_Bokpyin")</f>
        <v>MYT_TNI_TEAM03_Bokpyin</v>
      </c>
      <c r="B22" s="98" t="str">
        <f>IFERROR(__xludf.DUMMYFUNCTION("""COMPUTED_VALUE"""),"Si Thu Htun")</f>
        <v>Si Thu Htun</v>
      </c>
      <c r="C22" s="98" t="str">
        <f>IFERROR(__xludf.DUMMYFUNCTION("""COMPUTED_VALUE"""),"myt_pyaephyo.zaw")</f>
        <v>myt_pyaephyo.zaw</v>
      </c>
      <c r="D22" s="269" t="str">
        <f>IFERROR(__xludf.DUMMYFUNCTION("""COMPUTED_VALUE"""),"*Si Thu Htun-myt_pyaephyo.zaw = Site: *1* : 'TNI_ te &lt;&gt;Day: 11 of the month = 0 WO Close/ 7day: 0 Close &lt;:&gt;      0 /0 /0 /2 Remain &lt;=&gt; rank: *23* =Close: *0%* &lt;  &gt; Task assign: *0 =&gt; Task Close Month: 0: 0/0/0 : * =&gt;            *Detail*  :  :  :  : Smoke:"&amp;" TNI0196 - 13489 : Open Door: TNI0124:  +Door Alarm: 08/06/2026 14:14 - 579, TNI0009:  DG Door: 21/09/2025 12:34 - 6821, TNI0311:  Door open alarm: 11/02/2025 10:20 - 12151, TNI0345:  +Battery Door: 18/03/2024 16:53 - 20064 =   *=* Site need refuel: TNI00"&amp;"09_1: R- 0 Refuel: *440*L, TNI0009_2: R- 0 Refuel: *440*L, TNI0345_01_1: R- 244 Refuel: *440*L, TNI0310_1: R- 347 Refuel: *440*L")</f>
        <v>*Si Thu Htun-myt_pyaephyo.zaw = Site: *1* : 'TNI_ te &lt;&gt;Day: 11 of the month = 0 WO Close/ 7day: 0 Close &lt;:&gt;      0 /0 /0 /2 Remain &lt;=&gt; rank: *23* =Close: *0%* &lt;  &gt; Task assign: *0 =&gt; Task Close Month: 0: 0/0/0 : * =&gt;            *Detail*  :  :  :  : Smoke: TNI0196 - 13489 : Open Door: TNI0124:  +Door Alarm: 08/06/2026 14:14 - 579, TNI0009:  DG Door: 21/09/2025 12:34 - 6821, TNI0311:  Door open alarm: 11/02/2025 10:20 - 12151, TNI0345:  +Battery Door: 18/03/2024 16:53 - 20064 =   *=* Site need refuel: TNI0009_1: R- 0 Refuel: *440*L, TNI0009_2: R- 0 Refuel: *440*L, TNI0345_01_1: R- 244 Refuel: *440*L, TNI0310_1: R- 347 Refuel: *440*L</v>
      </c>
      <c r="E22" s="98">
        <f>IFERROR(__xludf.DUMMYFUNCTION("""COMPUTED_VALUE"""),8.363411386E9)</f>
        <v>8363411386</v>
      </c>
    </row>
    <row r="23" ht="75.75" customHeight="1">
      <c r="A23" s="98" t="str">
        <f>IFERROR(__xludf.DUMMYFUNCTION("""COMPUTED_VALUE"""),"MYT_TNI_TEAM03_Bokpyin")</f>
        <v>MYT_TNI_TEAM03_Bokpyin</v>
      </c>
      <c r="B23" s="98" t="str">
        <f>IFERROR(__xludf.DUMMYFUNCTION("""COMPUTED_VALUE"""),"Si Thu Htun")</f>
        <v>Si Thu Htun</v>
      </c>
      <c r="C23" s="98" t="str">
        <f>IFERROR(__xludf.DUMMYFUNCTION("""COMPUTED_VALUE"""),"myt_sithu.htun")</f>
        <v>myt_sithu.htun</v>
      </c>
      <c r="D23" s="269" t="str">
        <f>IFERROR(__xludf.DUMMYFUNCTION("""COMPUTED_VALUE"""),"*Si Thu Htun-myt_sithu.htun = Site: *12* : 'TNI0004+ TNI_TEA+ TNI0345+ TNI0136+ TNI0341+ TNI0209+ TNI0118+ TNI0008+ TNI0015+ TNI0009+ TNI0310+ TNI0343 &lt;&gt;Day: 11 of the month = 13 WO Close/ 7day: 6 Close &lt;:&gt;      1 /0 /0 /23 Remain &lt;=&gt; rank: *8* =Close: *3"&amp;"7%* &lt;  &gt; Task assign: *35 =&gt; Task Close Month: 0: 0/0/0 : TNI0004 , TNI0008 , TNI0009 , TNI0118 , TNI0311 , TNI0136 , TNI0310 , TNI0345 , TNI0341 , TNI0383 , TNI0425 , TNI0416* =&gt; Manager : 3/P: 3 Asset : 3/P: 0 CM : 7/P: 0 M&amp;E : 6/P: 0 PM : 9/P: 0 Constr"&amp;"uction Projects : 1/P: 0      *Detail*  :  :  :  : Smoke: TNI0196 - 13489 : Open Door: TNI0124:  +Door Alarm: 08/06/2026 14:14 - 579, TNI0009:  DG Door: 21/09/2025 12:34 - 6821, TNI0311:  Door open alarm: 11/02/2025 10:20 - 12151, TNI0345:  +Battery Door:"&amp;" 18/03/2024 16:53 - 20064 =   *=* Site need refuel: TNI0009_1: R- 0 Refuel: *440*L, TNI0009_2: R- 0 Refuel: *440*L, TNI0345_01_1: R- 244 Refuel: *440*L, TNI0310_1: R- 347 Refuel: *440*L")</f>
        <v>*Si Thu Htun-myt_sithu.htun = Site: *12* : 'TNI0004+ TNI_TEA+ TNI0345+ TNI0136+ TNI0341+ TNI0209+ TNI0118+ TNI0008+ TNI0015+ TNI0009+ TNI0310+ TNI0343 &lt;&gt;Day: 11 of the month = 13 WO Close/ 7day: 6 Close &lt;:&gt;      1 /0 /0 /23 Remain &lt;=&gt; rank: *8* =Close: *37%* &lt;  &gt; Task assign: *35 =&gt; Task Close Month: 0: 0/0/0 : TNI0004 , TNI0008 , TNI0009 , TNI0118 , TNI0311 , TNI0136 , TNI0310 , TNI0345 , TNI0341 , TNI0383 , TNI0425 , TNI0416* =&gt; Manager : 3/P: 3 Asset : 3/P: 0 CM : 7/P: 0 M&amp;E : 6/P: 0 PM : 9/P: 0 Construction Projects : 1/P: 0      *Detail*  :  :  :  : Smoke: TNI0196 - 13489 : Open Door: TNI0124:  +Door Alarm: 08/06/2026 14:14 - 579, TNI0009:  DG Door: 21/09/2025 12:34 - 6821, TNI0311:  Door open alarm: 11/02/2025 10:20 - 12151, TNI0345:  +Battery Door: 18/03/2024 16:53 - 20064 =   *=* Site need refuel: TNI0009_1: R- 0 Refuel: *440*L, TNI0009_2: R- 0 Refuel: *440*L, TNI0345_01_1: R- 244 Refuel: *440*L, TNI0310_1: R- 347 Refuel: *440*L</v>
      </c>
      <c r="E23" s="98">
        <f>IFERROR(__xludf.DUMMYFUNCTION("""COMPUTED_VALUE"""),8.363411386E9)</f>
        <v>8363411386</v>
      </c>
    </row>
    <row r="24">
      <c r="A24" s="98" t="str">
        <f>IFERROR(__xludf.DUMMYFUNCTION("""COMPUTED_VALUE"""),"MYT_TNI_TEAM03_Bokpyin")</f>
        <v>MYT_TNI_TEAM03_Bokpyin</v>
      </c>
      <c r="B24" s="98" t="str">
        <f>IFERROR(__xludf.DUMMYFUNCTION("""COMPUTED_VALUE"""),"-")</f>
        <v>-</v>
      </c>
      <c r="C24" s="98" t="str">
        <f>IFERROR(__xludf.DUMMYFUNCTION("""COMPUTED_VALUE"""),"myt_tinnaing.lin11")</f>
        <v>myt_tinnaing.lin11</v>
      </c>
      <c r="D24" s="269" t="str">
        <f>IFERROR(__xludf.DUMMYFUNCTION("""COMPUTED_VALUE"""),"*--myt_tinnaing.lin11 = Site: *7* : 'TNI0105: 8KVA+ TNI0348+ TNI0105+ TNI0292+ TNI0103+ TNI0212+ TNI0008: 12KVA &lt;&gt;Day: 11 of the month = 1 WO Close/ 7day: 1 Close &lt;:&gt;      0 /0 /0 /10 Remain &lt;=&gt; rank: *19* =Close: *9%* &lt;  &gt; Task assign: *21 =&gt; Task Close "&amp;"Month: 0: 0/0/0 : TNI0507 , TNI0105 , TNI0212 , TNI0292 , TNI0103 , TNI0417* =&gt; Manager : 1/P: 0 Asset : 3/P: 0 CM : 8/P: 0  PM : 4/P: 0       *Detail* ")</f>
        <v>*--myt_tinnaing.lin11 = Site: *7* : 'TNI0105: 8KVA+ TNI0348+ TNI0105+ TNI0292+ TNI0103+ TNI0212+ TNI0008: 12KVA &lt;&gt;Day: 11 of the month = 1 WO Close/ 7day: 1 Close &lt;:&gt;      0 /0 /0 /10 Remain &lt;=&gt; rank: *19* =Close: *9%* &lt;  &gt; Task assign: *21 =&gt; Task Close Month: 0: 0/0/0 : TNI0507 , TNI0105 , TNI0212 , TNI0292 , TNI0103 , TNI0417* =&gt; Manager : 1/P: 0 Asset : 3/P: 0 CM : 8/P: 0  PM : 4/P: 0       *Detail* </v>
      </c>
      <c r="E24" s="98" t="str">
        <f>IFERROR(__xludf.DUMMYFUNCTION("""COMPUTED_VALUE"""),"-")</f>
        <v>-</v>
      </c>
    </row>
    <row r="25">
      <c r="A25" s="98" t="str">
        <f>IFERROR(__xludf.DUMMYFUNCTION("""COMPUTED_VALUE"""),"MYT_TNI_TEAM04_Kawthoung")</f>
        <v>MYT_TNI_TEAM04_Kawthoung</v>
      </c>
      <c r="B25" s="98" t="str">
        <f>IFERROR(__xludf.DUMMYFUNCTION("""COMPUTED_VALUE"""),"-")</f>
        <v>-</v>
      </c>
      <c r="C25" s="98" t="str">
        <f>IFERROR(__xludf.DUMMYFUNCTION("""COMPUTED_VALUE"""),"myt_khantchaw.nyo")</f>
        <v>myt_khantchaw.nyo</v>
      </c>
      <c r="D25" s="269" t="str">
        <f>IFERROR(__xludf.DUMMYFUNCTION("""COMPUTED_VALUE"""),"*--myt_khantchaw.nyo = Site: *3* : 'TNI0227: 12KVA+ TNI0509+ TNI0032 &lt;&gt;Day: 11 of the month = 2 WO Close/ 7day: 2 Close &lt;:&gt;      0 /1 /1 /16 Remain &lt;=&gt; rank: *16* =Close: *19%* &lt;  &gt; Task assign: *10 =&gt; Task Close Month: 0: 0/0/0 : TNI0015 , TNI0057 , TNI0"&amp;"509 , TNI0202* =&gt; Manager : 1/P: 3 Asset : 1/P: 0 CM : 2/P: 0 M&amp;E : 3/P: 0 PM : 2/P: 0       *Detail* ")</f>
        <v>*--myt_khantchaw.nyo = Site: *3* : 'TNI0227: 12KVA+ TNI0509+ TNI0032 &lt;&gt;Day: 11 of the month = 2 WO Close/ 7day: 2 Close &lt;:&gt;      0 /1 /1 /16 Remain &lt;=&gt; rank: *16* =Close: *19%* &lt;  &gt; Task assign: *10 =&gt; Task Close Month: 0: 0/0/0 : TNI0015 , TNI0057 , TNI0509 , TNI0202* =&gt; Manager : 1/P: 3 Asset : 1/P: 0 CM : 2/P: 0 M&amp;E : 3/P: 0 PM : 2/P: 0       *Detail* </v>
      </c>
      <c r="E25" s="98" t="str">
        <f>IFERROR(__xludf.DUMMYFUNCTION("""COMPUTED_VALUE"""),"-")</f>
        <v>-</v>
      </c>
    </row>
    <row r="26">
      <c r="A26" s="98" t="str">
        <f>IFERROR(__xludf.DUMMYFUNCTION("""COMPUTED_VALUE"""),"MYT_TNI_TEAM04_Kawthoung")</f>
        <v>MYT_TNI_TEAM04_Kawthoung</v>
      </c>
      <c r="B26" s="98" t="str">
        <f>IFERROR(__xludf.DUMMYFUNCTION("""COMPUTED_VALUE"""),"Aung Myint Myat")</f>
        <v>Aung Myint Myat</v>
      </c>
      <c r="C26" s="98" t="str">
        <f>IFERROR(__xludf.DUMMYFUNCTION("""COMPUTED_VALUE"""),"myt_kyawnyein.thu")</f>
        <v>myt_kyawnyein.thu</v>
      </c>
      <c r="D26" s="269" t="str">
        <f>IFERROR(__xludf.DUMMYFUNCTION("""COMPUTED_VALUE"""),"*Aung Myint Myat-myt_kyawnyein.thu = Site: 0 &lt;&gt;Day: 11 of the month = 0 WO Close/ 7day: 0 Close &lt;:&gt;      0 /0 /0 /0 Remain &lt;=&gt; rank: *23* =Close: *0%* &lt;  &gt; Task assign: *3 =&gt; Task Close Month: 0: 0/0/0 : TNI0355 , TNI0401* =&gt;            *Detail* ")</f>
        <v>*Aung Myint Myat-myt_kyawnyein.thu = Site: 0 &lt;&gt;Day: 11 of the month = 0 WO Close/ 7day: 0 Close &lt;:&gt;      0 /0 /0 /0 Remain &lt;=&gt; rank: *23* =Close: *0%* &lt;  &gt; Task assign: *3 =&gt; Task Close Month: 0: 0/0/0 : TNI0355 , TNI0401* =&gt;            *Detail* </v>
      </c>
      <c r="E26" s="98"/>
    </row>
    <row r="27">
      <c r="A27" s="98" t="str">
        <f>IFERROR(__xludf.DUMMYFUNCTION("""COMPUTED_VALUE"""),"MYT_TNI_TEAM04_Kawthoung")</f>
        <v>MYT_TNI_TEAM04_Kawthoung</v>
      </c>
      <c r="B27" s="98" t="str">
        <f>IFERROR(__xludf.DUMMYFUNCTION("""COMPUTED_VALUE"""),"Khant Chaw Nyo")</f>
        <v>Khant Chaw Nyo</v>
      </c>
      <c r="C27" s="98" t="str">
        <f>IFERROR(__xludf.DUMMYFUNCTION("""COMPUTED_VALUE"""),"myt_naingmyo.htun")</f>
        <v>myt_naingmyo.htun</v>
      </c>
      <c r="D27" s="269" t="str">
        <f>IFERROR(__xludf.DUMMYFUNCTION("""COMPUTED_VALUE"""),"*Khant Chaw Nyo-myt_naingmyo.htun = Site: *1* : 'TNI0320 &lt;&gt;Day: 11 of the month = 1 WO Close/ 7day: 0 Close &lt;:&gt;      1 /1 /0 /1 Remain &lt;=&gt; rank: *6* =Close: *67%* &lt;  &gt; Task assign: *6 =&gt; Task Close Month: 0: 0/0/0 : TNI0227 , TNI0434 , TNI0435 , TNI0064 ,"&amp;" TNI0032* =&gt;    M&amp;E : 1/P: 0 PM : 3/P: 0       *Detail*  :  :  :  :  : Open Door: TNI0154:  +Battery Door: 10/11/2025 10:36 - 5623 =   *=* Site need refuel: TNI0012_1: R- 0 Refuel: *440*L")</f>
        <v>*Khant Chaw Nyo-myt_naingmyo.htun = Site: *1* : 'TNI0320 &lt;&gt;Day: 11 of the month = 1 WO Close/ 7day: 0 Close &lt;:&gt;      1 /1 /0 /1 Remain &lt;=&gt; rank: *6* =Close: *67%* &lt;  &gt; Task assign: *6 =&gt; Task Close Month: 0: 0/0/0 : TNI0227 , TNI0434 , TNI0435 , TNI0064 , TNI0032* =&gt;    M&amp;E : 1/P: 0 PM : 3/P: 0       *Detail*  :  :  :  :  : Open Door: TNI0154:  +Battery Door: 10/11/2025 10:36 - 5623 =   *=* Site need refuel: TNI0012_1: R- 0 Refuel: *440*L</v>
      </c>
      <c r="E27" s="98">
        <f>IFERROR(__xludf.DUMMYFUNCTION("""COMPUTED_VALUE"""),6.361576236E9)</f>
        <v>6361576236</v>
      </c>
    </row>
    <row r="28">
      <c r="A28" s="98" t="str">
        <f>IFERROR(__xludf.DUMMYFUNCTION("""COMPUTED_VALUE"""),"MYT_TNI_TEAM04_Kawthoung")</f>
        <v>MYT_TNI_TEAM04_Kawthoung</v>
      </c>
      <c r="B28" s="98" t="str">
        <f>IFERROR(__xludf.DUMMYFUNCTION("""COMPUTED_VALUE"""),"-")</f>
        <v>-</v>
      </c>
      <c r="C28" s="98" t="str">
        <f>IFERROR(__xludf.DUMMYFUNCTION("""COMPUTED_VALUE"""),"myt_tinmaung.win")</f>
        <v>myt_tinmaung.win</v>
      </c>
      <c r="D28" s="269" t="str">
        <f>IFERROR(__xludf.DUMMYFUNCTION("""COMPUTED_VALUE"""),"*--myt_tinmaung.win = Site: *1* : TNI0233 &lt;&gt;Day: 11 of the month = 9 WO Close/ 7day: 7 Close &lt;:&gt;      1 /3 /1 /11 Remain &lt;=&gt; rank: *11* =Close: *31%* &lt;  &gt; Task assign: *17 =&gt; Task Close Month: 0: 0/0/0 : TNI0011 , TNI0012 , TNI0229 , TNI0295 , TNI0120 , T"&amp;"NI0244 , TNI0350 , TNI0233 , TNI0243 , TNI0404 , TNI0154* =&gt; Manager : 2/P: 0 Asset : 0/P: 1 CM : 2/P: 0 M&amp;E : 5/P: 0 PM : 7/P: 0 Construction Projects : 1/P: 0      *Detail* ")</f>
        <v>*--myt_tinmaung.win = Site: *1* : TNI0233 &lt;&gt;Day: 11 of the month = 9 WO Close/ 7day: 7 Close &lt;:&gt;      1 /3 /1 /11 Remain &lt;=&gt; rank: *11* =Close: *31%* &lt;  &gt; Task assign: *17 =&gt; Task Close Month: 0: 0/0/0 : TNI0011 , TNI0012 , TNI0229 , TNI0295 , TNI0120 , TNI0244 , TNI0350 , TNI0233 , TNI0243 , TNI0404 , TNI0154* =&gt; Manager : 2/P: 0 Asset : 0/P: 1 CM : 2/P: 0 M&amp;E : 5/P: 0 PM : 7/P: 0 Construction Projects : 1/P: 0      *Detail* </v>
      </c>
      <c r="E28" s="98" t="str">
        <f>IFERROR(__xludf.DUMMYFUNCTION("""COMPUTED_VALUE"""),"-")</f>
        <v>-</v>
      </c>
    </row>
    <row r="29">
      <c r="A29" s="98"/>
      <c r="B29" s="98"/>
      <c r="C29" s="98"/>
      <c r="D29" s="269" t="str">
        <f>IFERROR(__xludf.DUMMYFUNCTION("""COMPUTED_VALUE""")," *Detail* ")</f>
        <v> *Detail* </v>
      </c>
      <c r="E29" s="98" t="str">
        <f>IFERROR(__xludf.DUMMYFUNCTION("""COMPUTED_VALUE"""),"-")</f>
        <v>-</v>
      </c>
    </row>
    <row r="30">
      <c r="A30" s="98"/>
      <c r="B30" s="98"/>
      <c r="C30" s="98"/>
      <c r="D30" s="269" t="str">
        <f>IFERROR(__xludf.DUMMYFUNCTION("""COMPUTED_VALUE""")," *Detail* ")</f>
        <v> *Detail* </v>
      </c>
      <c r="E30" s="98" t="str">
        <f>IFERROR(__xludf.DUMMYFUNCTION("""COMPUTED_VALUE"""),"-")</f>
        <v>-</v>
      </c>
    </row>
    <row r="31">
      <c r="A31" s="98"/>
      <c r="B31" s="98"/>
      <c r="C31" s="98"/>
      <c r="D31" s="269" t="str">
        <f>IFERROR(__xludf.DUMMYFUNCTION("""COMPUTED_VALUE""")," *Detail* ")</f>
        <v> *Detail* </v>
      </c>
      <c r="E31" s="98" t="str">
        <f>IFERROR(__xludf.DUMMYFUNCTION("""COMPUTED_VALUE"""),"-")</f>
        <v>-</v>
      </c>
    </row>
    <row r="32">
      <c r="A32" s="98"/>
      <c r="B32" s="98"/>
      <c r="C32" s="98"/>
      <c r="D32" s="269" t="str">
        <f>IFERROR(__xludf.DUMMYFUNCTION("""COMPUTED_VALUE""")," *Detail* ")</f>
        <v> *Detail* </v>
      </c>
      <c r="E32" s="98" t="str">
        <f>IFERROR(__xludf.DUMMYFUNCTION("""COMPUTED_VALUE"""),"-")</f>
        <v>-</v>
      </c>
    </row>
    <row r="33">
      <c r="A33" s="98"/>
      <c r="B33" s="98"/>
      <c r="C33" s="98"/>
      <c r="D33" s="269" t="str">
        <f>IFERROR(__xludf.DUMMYFUNCTION("""COMPUTED_VALUE""")," *Detail* ")</f>
        <v> *Detail* </v>
      </c>
      <c r="E33" s="98" t="str">
        <f>IFERROR(__xludf.DUMMYFUNCTION("""COMPUTED_VALUE"""),"-")</f>
        <v>-</v>
      </c>
    </row>
    <row r="34">
      <c r="A34" s="98"/>
      <c r="B34" s="98"/>
      <c r="C34" s="98"/>
      <c r="D34" s="269" t="str">
        <f>IFERROR(__xludf.DUMMYFUNCTION("""COMPUTED_VALUE""")," *Detail* ")</f>
        <v> *Detail* </v>
      </c>
      <c r="E34" s="98" t="str">
        <f>IFERROR(__xludf.DUMMYFUNCTION("""COMPUTED_VALUE"""),"-")</f>
        <v>-</v>
      </c>
    </row>
    <row r="35">
      <c r="A35" s="98"/>
      <c r="B35" s="98"/>
      <c r="C35" s="98"/>
      <c r="D35" s="269" t="str">
        <f>IFERROR(__xludf.DUMMYFUNCTION("""COMPUTED_VALUE""")," *Detail* ")</f>
        <v> *Detail* </v>
      </c>
      <c r="E35" s="98" t="str">
        <f>IFERROR(__xludf.DUMMYFUNCTION("""COMPUTED_VALUE"""),"-")</f>
        <v>-</v>
      </c>
    </row>
    <row r="36">
      <c r="A36" s="98"/>
      <c r="B36" s="98"/>
      <c r="C36" s="98"/>
      <c r="D36" s="269" t="str">
        <f>IFERROR(__xludf.DUMMYFUNCTION("""COMPUTED_VALUE""")," *Detail* ")</f>
        <v> *Detail* </v>
      </c>
      <c r="E36" s="98" t="str">
        <f>IFERROR(__xludf.DUMMYFUNCTION("""COMPUTED_VALUE"""),"-")</f>
        <v>-</v>
      </c>
    </row>
    <row r="37">
      <c r="A37" s="98"/>
      <c r="B37" s="98"/>
      <c r="C37" s="98"/>
      <c r="D37" s="269" t="str">
        <f>IFERROR(__xludf.DUMMYFUNCTION("""COMPUTED_VALUE""")," *Detail* ")</f>
        <v> *Detail* </v>
      </c>
      <c r="E37" s="98" t="str">
        <f>IFERROR(__xludf.DUMMYFUNCTION("""COMPUTED_VALUE"""),"-")</f>
        <v>-</v>
      </c>
    </row>
    <row r="38">
      <c r="A38" s="98"/>
      <c r="B38" s="98"/>
      <c r="C38" s="98"/>
      <c r="D38" s="269" t="str">
        <f>IFERROR(__xludf.DUMMYFUNCTION("""COMPUTED_VALUE""")," *Detail* ")</f>
        <v> *Detail* </v>
      </c>
      <c r="E38" s="98" t="str">
        <f>IFERROR(__xludf.DUMMYFUNCTION("""COMPUTED_VALUE"""),"-")</f>
        <v>-</v>
      </c>
    </row>
    <row r="39">
      <c r="A39" s="98"/>
      <c r="B39" s="98"/>
      <c r="C39" s="98"/>
      <c r="D39" s="269" t="str">
        <f>IFERROR(__xludf.DUMMYFUNCTION("""COMPUTED_VALUE""")," *Detail* ")</f>
        <v> *Detail* </v>
      </c>
      <c r="E39" s="98" t="str">
        <f>IFERROR(__xludf.DUMMYFUNCTION("""COMPUTED_VALUE"""),"-")</f>
        <v>-</v>
      </c>
    </row>
    <row r="40">
      <c r="A40" s="98"/>
      <c r="B40" s="98"/>
      <c r="C40" s="98"/>
      <c r="D40" s="269" t="str">
        <f>IFERROR(__xludf.DUMMYFUNCTION("""COMPUTED_VALUE""")," *Detail* ")</f>
        <v> *Detail* </v>
      </c>
      <c r="E40" s="98" t="str">
        <f>IFERROR(__xludf.DUMMYFUNCTION("""COMPUTED_VALUE"""),"-")</f>
        <v>-</v>
      </c>
    </row>
    <row r="41">
      <c r="A41" s="98"/>
      <c r="B41" s="98"/>
      <c r="C41" s="98"/>
      <c r="D41" s="269" t="str">
        <f>IFERROR(__xludf.DUMMYFUNCTION("""COMPUTED_VALUE""")," *Detail* ")</f>
        <v> *Detail* </v>
      </c>
      <c r="E41" s="98" t="str">
        <f>IFERROR(__xludf.DUMMYFUNCTION("""COMPUTED_VALUE"""),"-")</f>
        <v>-</v>
      </c>
    </row>
    <row r="42">
      <c r="A42" s="98"/>
      <c r="B42" s="98"/>
      <c r="C42" s="98"/>
      <c r="D42" s="269" t="str">
        <f>IFERROR(__xludf.DUMMYFUNCTION("""COMPUTED_VALUE""")," *Detail* ")</f>
        <v> *Detail* </v>
      </c>
      <c r="E42" s="98" t="str">
        <f>IFERROR(__xludf.DUMMYFUNCTION("""COMPUTED_VALUE"""),"-")</f>
        <v>-</v>
      </c>
    </row>
    <row r="43">
      <c r="A43" s="98"/>
      <c r="B43" s="98"/>
      <c r="C43" s="98"/>
      <c r="D43" s="269" t="str">
        <f>IFERROR(__xludf.DUMMYFUNCTION("""COMPUTED_VALUE""")," *Detail* ")</f>
        <v> *Detail* </v>
      </c>
      <c r="E43" s="98" t="str">
        <f>IFERROR(__xludf.DUMMYFUNCTION("""COMPUTED_VALUE"""),"-")</f>
        <v>-</v>
      </c>
    </row>
    <row r="44">
      <c r="A44" s="98"/>
      <c r="B44" s="98"/>
      <c r="C44" s="98"/>
      <c r="D44" s="269" t="str">
        <f>IFERROR(__xludf.DUMMYFUNCTION("""COMPUTED_VALUE""")," *Detail* ")</f>
        <v> *Detail* </v>
      </c>
      <c r="E44" s="98" t="str">
        <f>IFERROR(__xludf.DUMMYFUNCTION("""COMPUTED_VALUE"""),"-")</f>
        <v>-</v>
      </c>
    </row>
    <row r="45">
      <c r="A45" s="98"/>
      <c r="B45" s="98"/>
      <c r="C45" s="98"/>
      <c r="D45" s="269" t="str">
        <f>IFERROR(__xludf.DUMMYFUNCTION("""COMPUTED_VALUE""")," *Detail* ")</f>
        <v> *Detail* </v>
      </c>
      <c r="E45" s="98" t="str">
        <f>IFERROR(__xludf.DUMMYFUNCTION("""COMPUTED_VALUE"""),"-")</f>
        <v>-</v>
      </c>
    </row>
    <row r="46">
      <c r="A46" s="98"/>
      <c r="B46" s="98"/>
      <c r="C46" s="98"/>
      <c r="D46" s="269" t="str">
        <f>IFERROR(__xludf.DUMMYFUNCTION("""COMPUTED_VALUE""")," *Detail* ")</f>
        <v> *Detail* </v>
      </c>
      <c r="E46" s="98" t="str">
        <f>IFERROR(__xludf.DUMMYFUNCTION("""COMPUTED_VALUE"""),"-")</f>
        <v>-</v>
      </c>
    </row>
    <row r="47">
      <c r="A47" s="98"/>
      <c r="B47" s="98"/>
      <c r="C47" s="98"/>
      <c r="D47" s="269" t="str">
        <f>IFERROR(__xludf.DUMMYFUNCTION("""COMPUTED_VALUE""")," *Detail* ")</f>
        <v> *Detail* </v>
      </c>
      <c r="E47" s="98" t="str">
        <f>IFERROR(__xludf.DUMMYFUNCTION("""COMPUTED_VALUE"""),"-")</f>
        <v>-</v>
      </c>
    </row>
    <row r="48">
      <c r="A48" s="98"/>
      <c r="B48" s="98"/>
      <c r="C48" s="98"/>
      <c r="D48" s="269" t="str">
        <f>IFERROR(__xludf.DUMMYFUNCTION("""COMPUTED_VALUE""")," *Detail* ")</f>
        <v> *Detail* </v>
      </c>
      <c r="E48" s="98" t="str">
        <f>IFERROR(__xludf.DUMMYFUNCTION("""COMPUTED_VALUE"""),"-")</f>
        <v>-</v>
      </c>
    </row>
    <row r="49">
      <c r="A49" s="98" t="str">
        <f>IFERROR(__xludf.DUMMYFUNCTION("""COMPUTED_VALUE"""),"All WO")</f>
        <v>All WO</v>
      </c>
      <c r="B49" s="284">
        <f>IFERROR(__xludf.DUMMYFUNCTION("""COMPUTED_VALUE"""),46194.0)</f>
        <v>46194</v>
      </c>
      <c r="C49" s="99">
        <f>IFERROR(__xludf.DUMMYFUNCTION("""COMPUTED_VALUE"""),46223.0)</f>
        <v>46223</v>
      </c>
      <c r="D49" s="269"/>
      <c r="E49" s="98">
        <f>IFERROR(__xludf.DUMMYFUNCTION("""COMPUTED_VALUE"""),0.0)</f>
        <v>0</v>
      </c>
    </row>
    <row r="50">
      <c r="A50" s="98" t="str">
        <f>IFERROR(__xludf.DUMMYFUNCTION("""COMPUTED_VALUE"""),"Export time: 02/07/2026 16:57:20")</f>
        <v>Export time: 02/07/2026 16:57:20</v>
      </c>
      <c r="B50" s="98" t="str">
        <f>IFERROR(__xludf.DUMMYFUNCTION("""COMPUTED_VALUE"""),"Assign Site")</f>
        <v>Assign Site</v>
      </c>
      <c r="C50" s="98" t="str">
        <f>IFERROR(__xludf.DUMMYFUNCTION("""COMPUTED_VALUE"""),"Name System")</f>
        <v>Name System</v>
      </c>
      <c r="D50" s="269"/>
      <c r="E50" s="98">
        <f>IFERROR(__xludf.DUMMYFUNCTION("""COMPUTED_VALUE"""),0.0)</f>
        <v>0</v>
      </c>
    </row>
    <row r="51">
      <c r="A51" s="98"/>
      <c r="B51" s="98"/>
      <c r="C51" s="98"/>
      <c r="D51" s="269" t="str">
        <f>IFERROR(__xludf.DUMMYFUNCTION("""COMPUTED_VALUE"""),"")</f>
        <v/>
      </c>
      <c r="E51" s="98" t="str">
        <f>IFERROR(__xludf.DUMMYFUNCTION("""COMPUTED_VALUE"""),"-")</f>
        <v>-</v>
      </c>
    </row>
    <row r="52">
      <c r="A52" s="98" t="str">
        <f>IFERROR(__xludf.DUMMYFUNCTION("""COMPUTED_VALUE"""),"MYT_TNI_TEAM01_Dawei")</f>
        <v>MYT_TNI_TEAM01_Dawei</v>
      </c>
      <c r="B52" s="98" t="str">
        <f>IFERROR(__xludf.DUMMYFUNCTION("""COMPUTED_VALUE"""),"Paing Aung Soe")</f>
        <v>Paing Aung Soe</v>
      </c>
      <c r="C52" s="98" t="str">
        <f>IFERROR(__xludf.DUMMYFUNCTION("""COMPUTED_VALUE"""),"Team leader 1")</f>
        <v>Team leader 1</v>
      </c>
      <c r="D52" s="269" t="str">
        <f>IFERROR(__xludf.DUMMYFUNCTION("""COMPUTED_VALUE"""),"*Team leader 1 &lt;=&gt; rank: *4* =Close: *11%* WO remain : *Day: 11 of the Month = 29 WO Close/7day: 16 Close &lt;:&gt;  0/ 1 / 2 / 265* + Assign: *180 =&gt; Team leader task Close: 0 All Task Close: 0 : 0 : 0 : 0* =&gt; Manager : TL:0 /14 P:0 Asset : TL:27 /39 P:0 CM : "&amp;"TL:0 /28 P:0 M&amp;E : TL:0 /43 P:0 PM : TL:0 /38 P:0  Finance : TL:3 /3 P:0     *Need complete WO and task:* Week 1 =*25%* &lt;&gt; W2 =*50%* &lt;&gt; W3 = *75%*, W4=*100%*")</f>
        <v>*Team leader 1 &lt;=&gt; rank: *4* =Close: *11%* WO remain : *Day: 11 of the Month = 29 WO Close/7day: 16 Close &lt;:&gt;  0/ 1 / 2 / 265* + Assign: *180 =&gt; Team leader task Close: 0 All Task Close: 0 : 0 : 0 : 0* =&gt; Manager : TL:0 /14 P:0 Asset : TL:27 /39 P:0 CM : TL:0 /28 P:0 M&amp;E : TL:0 /43 P:0 PM : TL:0 /38 P:0  Finance : TL:3 /3 P:0     *Need complete WO and task:* Week 1 =*25%* &lt;&gt; W2 =*50%* &lt;&gt; W3 = *75%*, W4=*100%*</v>
      </c>
      <c r="E52" s="98">
        <f>IFERROR(__xludf.DUMMYFUNCTION("""COMPUTED_VALUE"""),5.291733181E9)</f>
        <v>5291733181</v>
      </c>
    </row>
    <row r="53">
      <c r="A53" s="98" t="str">
        <f>IFERROR(__xludf.DUMMYFUNCTION("""COMPUTED_VALUE"""),"MYT_TNI_TEAM02_Myeik")</f>
        <v>MYT_TNI_TEAM02_Myeik</v>
      </c>
      <c r="B53" s="98" t="str">
        <f>IFERROR(__xludf.DUMMYFUNCTION("""COMPUTED_VALUE"""),"Nay Myo Thu")</f>
        <v>Nay Myo Thu</v>
      </c>
      <c r="C53" s="98" t="str">
        <f>IFERROR(__xludf.DUMMYFUNCTION("""COMPUTED_VALUE"""),"Team leader 2")</f>
        <v>Team leader 2</v>
      </c>
      <c r="D53" s="269" t="str">
        <f>IFERROR(__xludf.DUMMYFUNCTION("""COMPUTED_VALUE"""),"*Team leader 2 &lt;=&gt; rank: *3* =Close: *26%* WO remain : *Day: 11 of the Month = 35 WO Close/7day: 13 Close &lt;:&gt;  15/ 3 / 7 / 95 Sub Day: 11 of the Month = 2 WO Close/7day: 2 Close &lt;:&gt;  0/ 0 / 0 / 12* + Assign: *109 =&gt; Team leader task Close: 0 All Task Clos"&amp;"e: 0 : 0 : 0 : 0* =&gt; Manager : TL:0 /7 P:0 Asset : TL:14 /20 P:0 CM : TL:0 /14 P:0 M&amp;E : TL:0 /18 P:0   Finance : TL:7 /7 P:0     *Need complete WO and task:* Week 1 =*25%* &lt;&gt; W2 =*50%* &lt;&gt; W3 = *75%*, W4=*100%*")</f>
        <v>*Team leader 2 &lt;=&gt; rank: *3* =Close: *26%* WO remain : *Day: 11 of the Month = 35 WO Close/7day: 13 Close &lt;:&gt;  15/ 3 / 7 / 95 Sub Day: 11 of the Month = 2 WO Close/7day: 2 Close &lt;:&gt;  0/ 0 / 0 / 12* + Assign: *109 =&gt; Team leader task Close: 0 All Task Close: 0 : 0 : 0 : 0* =&gt; Manager : TL:0 /7 P:0 Asset : TL:14 /20 P:0 CM : TL:0 /14 P:0 M&amp;E : TL:0 /18 P:0   Finance : TL:7 /7 P:0     *Need complete WO and task:* Week 1 =*25%* &lt;&gt; W2 =*50%* &lt;&gt; W3 = *75%*, W4=*100%*</v>
      </c>
      <c r="E53" s="98">
        <f>IFERROR(__xludf.DUMMYFUNCTION("""COMPUTED_VALUE"""),1.957172852E9)</f>
        <v>1957172852</v>
      </c>
    </row>
    <row r="54">
      <c r="A54" s="98" t="str">
        <f>IFERROR(__xludf.DUMMYFUNCTION("""COMPUTED_VALUE"""),"MYT_TNI_TEAM03_Bokpyin")</f>
        <v>MYT_TNI_TEAM03_Bokpyin</v>
      </c>
      <c r="B54" s="98" t="str">
        <f>IFERROR(__xludf.DUMMYFUNCTION("""COMPUTED_VALUE"""),"Pyae Phyo Zaw")</f>
        <v>Pyae Phyo Zaw</v>
      </c>
      <c r="C54" s="98" t="str">
        <f>IFERROR(__xludf.DUMMYFUNCTION("""COMPUTED_VALUE"""),"Team leader 3")</f>
        <v>Team leader 3</v>
      </c>
      <c r="D54" s="267" t="str">
        <f>IFERROR(__xludf.DUMMYFUNCTION("""COMPUTED_VALUE"""),"*Team leader 3 &lt;=&gt; rank: *1* =Close: *35%* WO remain : *Day: 11 of the Month = 23 WO Close/7day: 7 Close &lt;:&gt;  1/ 0 / 0 / 44* + Assign: *73 =&gt; Team leader task Close: 0 All Task Close: 0 : 0 : 0 : 0* =&gt; Manager : TL:0 /4 P:0 Asset : TL:6 /13 P:0 CM : TL:0 "&amp;"/14 P:0 M&amp;E : TL:0 /6 P:0  Construction Projects : TL:0 /1 P:0 Finance : TL:4 /4 P:0     *Need complete WO and task:* Week 1 =*25%* &lt;&gt; W2 =*50%* &lt;&gt; W3 = *75%*, W4=*100%*")</f>
        <v>*Team leader 3 &lt;=&gt; rank: *1* =Close: *35%* WO remain : *Day: 11 of the Month = 23 WO Close/7day: 7 Close &lt;:&gt;  1/ 0 / 0 / 44* + Assign: *73 =&gt; Team leader task Close: 0 All Task Close: 0 : 0 : 0 : 0* =&gt; Manager : TL:0 /4 P:0 Asset : TL:6 /13 P:0 CM : TL:0 /14 P:0 M&amp;E : TL:0 /6 P:0  Construction Projects : TL:0 /1 P:0 Finance : TL:4 /4 P:0     *Need complete WO and task:* Week 1 =*25%* &lt;&gt; W2 =*50%* &lt;&gt; W3 = *75%*, W4=*100%*</v>
      </c>
      <c r="E54" s="98">
        <f>IFERROR(__xludf.DUMMYFUNCTION("""COMPUTED_VALUE"""),1.83227873E9)</f>
        <v>1832278730</v>
      </c>
    </row>
    <row r="55">
      <c r="A55" s="98" t="str">
        <f>IFERROR(__xludf.DUMMYFUNCTION("""COMPUTED_VALUE"""),"MYT_TNI_TEAM04_Kawthoung")</f>
        <v>MYT_TNI_TEAM04_Kawthoung</v>
      </c>
      <c r="B55" s="98" t="str">
        <f>IFERROR(__xludf.DUMMYFUNCTION("""COMPUTED_VALUE"""),"Naing Myo Htun")</f>
        <v>Naing Myo Htun</v>
      </c>
      <c r="C55" s="98" t="str">
        <f>IFERROR(__xludf.DUMMYFUNCTION("""COMPUTED_VALUE"""),"Team leader 4")</f>
        <v>Team leader 4</v>
      </c>
      <c r="D55" s="269" t="str">
        <f>IFERROR(__xludf.DUMMYFUNCTION("""COMPUTED_VALUE"""),"*Team leader 4 &lt;=&gt; rank: *2* =Close: *28.%* WO remain : *Day: 11 of the Month = 12 WO Close/7day: 9 Close &lt;:&gt;  2/ 5 / 2 / 48* + Assign: *59 =&gt; Team leader task Close: 0 All Task Close: 0 : 0 : 0 : 0* =&gt; Manager : TL:1 /4 P:0 Asset : TL:16 /17 P:0 CM : TL:"&amp;"0 /5 P:0 M&amp;E : TL:0 /8 P:0 PM : TL:0 /16 P:0 Construction Projects : TL:0 /1 P:0 Finance : TL:5 /5 P:0     *Need complete WO and task:* Week 1 =*25%* &lt;&gt; W2 =*50%* &lt;&gt; W3 = *75%*, W4=*100%*")</f>
        <v>*Team leader 4 &lt;=&gt; rank: *2* =Close: *28.%* WO remain : *Day: 11 of the Month = 12 WO Close/7day: 9 Close &lt;:&gt;  2/ 5 / 2 / 48* + Assign: *59 =&gt; Team leader task Close: 0 All Task Close: 0 : 0 : 0 : 0* =&gt; Manager : TL:1 /4 P:0 Asset : TL:16 /17 P:0 CM : TL:0 /5 P:0 M&amp;E : TL:0 /8 P:0 PM : TL:0 /16 P:0 Construction Projects : TL:0 /1 P:0 Finance : TL:5 /5 P:0     *Need complete WO and task:* Week 1 =*25%* &lt;&gt; W2 =*50%* &lt;&gt; W3 = *75%*, W4=*100%*</v>
      </c>
      <c r="E55" s="98">
        <f>IFERROR(__xludf.DUMMYFUNCTION("""COMPUTED_VALUE"""),6.558915011E9)</f>
        <v>6558915011</v>
      </c>
    </row>
    <row r="56">
      <c r="A56" s="98"/>
      <c r="B56" s="98"/>
      <c r="C56" s="98"/>
      <c r="D56" s="269" t="str">
        <f>IFERROR(__xludf.DUMMYFUNCTION("""COMPUTED_VALUE"""),"")</f>
        <v/>
      </c>
      <c r="E56" s="98" t="str">
        <f>IFERROR(__xludf.DUMMYFUNCTION("""COMPUTED_VALUE"""),"-")</f>
        <v>-</v>
      </c>
    </row>
    <row r="57">
      <c r="A57" s="98"/>
      <c r="B57" s="98"/>
      <c r="C57" s="98"/>
      <c r="D57" s="269"/>
      <c r="E57" s="98"/>
    </row>
    <row r="58">
      <c r="D58" s="269"/>
    </row>
    <row r="59">
      <c r="D59" s="269"/>
    </row>
    <row r="60">
      <c r="D60" s="269"/>
    </row>
    <row r="61">
      <c r="D61" s="269"/>
    </row>
    <row r="62">
      <c r="B62" s="55" t="s">
        <v>350</v>
      </c>
      <c r="D62" s="269"/>
    </row>
    <row r="63">
      <c r="A63" s="285" t="s">
        <v>257</v>
      </c>
      <c r="B63" s="285" t="s">
        <v>258</v>
      </c>
      <c r="C63" s="285" t="s">
        <v>351</v>
      </c>
      <c r="D63" s="286"/>
      <c r="E63" s="285">
        <v>6.85979068E9</v>
      </c>
    </row>
    <row r="64">
      <c r="A64" s="285" t="s">
        <v>259</v>
      </c>
      <c r="B64" s="285" t="s">
        <v>260</v>
      </c>
      <c r="C64" s="285" t="s">
        <v>242</v>
      </c>
      <c r="D64" s="286"/>
      <c r="E64" s="285">
        <v>5.97754012E9</v>
      </c>
    </row>
    <row r="65">
      <c r="A65" s="285" t="s">
        <v>261</v>
      </c>
      <c r="B65" s="285" t="s">
        <v>262</v>
      </c>
      <c r="C65" s="285" t="s">
        <v>352</v>
      </c>
      <c r="D65" s="286"/>
      <c r="E65" s="285">
        <v>1.728528589E9</v>
      </c>
    </row>
    <row r="66">
      <c r="A66" s="287"/>
      <c r="B66" s="287"/>
      <c r="C66" s="285"/>
      <c r="D66" s="286"/>
      <c r="E66" s="285"/>
    </row>
    <row r="67">
      <c r="A67" s="287"/>
      <c r="B67" s="287"/>
      <c r="C67" s="285"/>
      <c r="D67" s="286"/>
      <c r="E67" s="285"/>
    </row>
    <row r="68">
      <c r="A68" s="287"/>
      <c r="B68" s="287"/>
      <c r="C68" s="285"/>
      <c r="D68" s="286"/>
      <c r="E68" s="287"/>
    </row>
    <row r="69">
      <c r="A69" s="287"/>
      <c r="B69" s="287"/>
      <c r="C69" s="287"/>
      <c r="D69" s="286"/>
      <c r="E69" s="287"/>
    </row>
    <row r="70">
      <c r="D70" s="269"/>
    </row>
    <row r="71">
      <c r="D71" s="269"/>
    </row>
    <row r="72">
      <c r="D72" s="269"/>
    </row>
    <row r="73">
      <c r="D73" s="269"/>
    </row>
    <row r="74">
      <c r="B74" s="55" t="s">
        <v>353</v>
      </c>
      <c r="D74" s="269"/>
    </row>
    <row r="75">
      <c r="A75" s="288"/>
      <c r="B75" s="289" t="str">
        <f t="array" ref="B75:B84">UNIQUE('Input task'!B3:B1000)</f>
        <v>Admin</v>
      </c>
      <c r="C75" s="289" t="s">
        <v>65</v>
      </c>
      <c r="D75" s="290"/>
      <c r="E75" s="288">
        <v>1.728528589E9</v>
      </c>
    </row>
    <row r="76">
      <c r="A76" s="288"/>
      <c r="B76" s="289" t="s">
        <v>354</v>
      </c>
      <c r="C76" s="288" t="s">
        <v>66</v>
      </c>
      <c r="D76" s="290"/>
      <c r="E76" s="291">
        <v>1.956489617E9</v>
      </c>
    </row>
    <row r="77">
      <c r="A77" s="288"/>
      <c r="B77" s="288" t="s">
        <v>262</v>
      </c>
      <c r="C77" s="289" t="s">
        <v>65</v>
      </c>
      <c r="D77" s="290"/>
      <c r="E77" s="288">
        <v>7.822653479E9</v>
      </c>
    </row>
    <row r="78">
      <c r="A78" s="288"/>
      <c r="B78" s="288" t="s">
        <v>355</v>
      </c>
      <c r="C78" s="288" t="s">
        <v>67</v>
      </c>
      <c r="D78" s="290"/>
      <c r="E78" s="288">
        <v>7.237034356E9</v>
      </c>
    </row>
    <row r="79">
      <c r="A79" s="288"/>
      <c r="B79" s="288" t="s">
        <v>66</v>
      </c>
      <c r="C79" s="288" t="s">
        <v>68</v>
      </c>
      <c r="D79" s="290"/>
      <c r="E79" s="288">
        <v>8.261210151E9</v>
      </c>
    </row>
    <row r="80">
      <c r="A80" s="288"/>
      <c r="B80" s="288" t="s">
        <v>67</v>
      </c>
      <c r="C80" s="288" t="s">
        <v>69</v>
      </c>
      <c r="D80" s="290"/>
      <c r="E80" s="288">
        <v>8.736422145E9</v>
      </c>
    </row>
    <row r="81">
      <c r="A81" s="288"/>
      <c r="B81" s="288" t="s">
        <v>242</v>
      </c>
      <c r="C81" s="288"/>
      <c r="D81" s="290"/>
      <c r="E81" s="288"/>
    </row>
    <row r="82">
      <c r="A82" s="288"/>
      <c r="B82" s="288" t="s">
        <v>68</v>
      </c>
      <c r="C82" s="288"/>
      <c r="D82" s="290"/>
      <c r="E82" s="288"/>
    </row>
    <row r="83">
      <c r="A83" s="288"/>
      <c r="B83" s="288" t="s">
        <v>69</v>
      </c>
      <c r="C83" s="288"/>
      <c r="D83" s="290"/>
      <c r="E83" s="288"/>
    </row>
    <row r="84">
      <c r="A84" s="288"/>
      <c r="B84" s="288"/>
      <c r="C84" s="288"/>
      <c r="D84" s="290"/>
      <c r="E84" s="288"/>
    </row>
    <row r="85">
      <c r="A85" s="288"/>
      <c r="B85" s="288"/>
      <c r="C85" s="288"/>
      <c r="D85" s="290"/>
      <c r="E85" s="288"/>
    </row>
    <row r="86">
      <c r="A86" s="288"/>
      <c r="B86" s="288"/>
      <c r="C86" s="288"/>
      <c r="D86" s="290"/>
      <c r="E86" s="288"/>
    </row>
    <row r="87">
      <c r="A87" s="288"/>
      <c r="B87" s="288"/>
      <c r="C87" s="288"/>
      <c r="D87" s="290"/>
      <c r="E87" s="288"/>
    </row>
    <row r="88">
      <c r="D88" s="269"/>
    </row>
    <row r="89">
      <c r="D89" s="269"/>
    </row>
    <row r="90">
      <c r="D90" s="269"/>
    </row>
    <row r="91">
      <c r="D91" s="269"/>
    </row>
    <row r="92">
      <c r="D92" s="269"/>
    </row>
    <row r="93">
      <c r="D93" s="269"/>
    </row>
    <row r="94">
      <c r="D94" s="269"/>
    </row>
    <row r="95">
      <c r="D95" s="269"/>
    </row>
    <row r="96">
      <c r="D96" s="269"/>
    </row>
    <row r="97">
      <c r="D97" s="269"/>
    </row>
    <row r="98">
      <c r="D98" s="269"/>
    </row>
    <row r="99">
      <c r="D99" s="269"/>
    </row>
    <row r="100">
      <c r="D100" s="269"/>
    </row>
    <row r="101">
      <c r="D101" s="269"/>
    </row>
    <row r="102">
      <c r="D102" s="269"/>
    </row>
    <row r="103">
      <c r="D103" s="269"/>
    </row>
    <row r="104">
      <c r="D104" s="269"/>
    </row>
    <row r="105">
      <c r="D105" s="269"/>
    </row>
    <row r="106">
      <c r="D106" s="269"/>
    </row>
    <row r="107">
      <c r="D107" s="269"/>
    </row>
    <row r="108">
      <c r="D108" s="269"/>
    </row>
    <row r="109">
      <c r="D109" s="269"/>
    </row>
    <row r="110">
      <c r="D110" s="269"/>
    </row>
    <row r="111">
      <c r="D111" s="269"/>
    </row>
    <row r="112">
      <c r="D112" s="269"/>
    </row>
    <row r="113">
      <c r="D113" s="269"/>
    </row>
    <row r="114">
      <c r="D114" s="269"/>
    </row>
    <row r="115">
      <c r="D115" s="269"/>
    </row>
    <row r="116">
      <c r="D116" s="269"/>
    </row>
    <row r="117">
      <c r="D117" s="269"/>
    </row>
    <row r="118">
      <c r="D118" s="269"/>
    </row>
    <row r="119">
      <c r="D119" s="269"/>
    </row>
    <row r="120">
      <c r="D120" s="269"/>
    </row>
    <row r="121">
      <c r="D121" s="269"/>
    </row>
    <row r="122">
      <c r="D122" s="269"/>
    </row>
    <row r="123">
      <c r="D123" s="269"/>
    </row>
    <row r="124">
      <c r="D124" s="269"/>
    </row>
    <row r="125">
      <c r="D125" s="269"/>
    </row>
    <row r="126">
      <c r="D126" s="269"/>
    </row>
    <row r="127">
      <c r="D127" s="269"/>
    </row>
    <row r="128">
      <c r="D128" s="269"/>
    </row>
    <row r="129">
      <c r="D129" s="269"/>
    </row>
    <row r="130">
      <c r="D130" s="269"/>
    </row>
    <row r="131">
      <c r="D131" s="269"/>
    </row>
    <row r="132">
      <c r="D132" s="269"/>
    </row>
    <row r="133">
      <c r="D133" s="269"/>
    </row>
    <row r="134">
      <c r="D134" s="269"/>
    </row>
    <row r="135">
      <c r="D135" s="269"/>
    </row>
    <row r="136">
      <c r="D136" s="269"/>
    </row>
    <row r="137">
      <c r="D137" s="269"/>
    </row>
    <row r="138">
      <c r="D138" s="269"/>
    </row>
    <row r="139">
      <c r="D139" s="269"/>
    </row>
    <row r="140">
      <c r="D140" s="269"/>
    </row>
    <row r="141">
      <c r="D141" s="269"/>
    </row>
    <row r="142">
      <c r="D142" s="269"/>
    </row>
    <row r="143">
      <c r="D143" s="269"/>
    </row>
    <row r="144">
      <c r="D144" s="269"/>
    </row>
    <row r="145">
      <c r="D145" s="269"/>
    </row>
    <row r="146">
      <c r="D146" s="269"/>
    </row>
    <row r="147">
      <c r="D147" s="269"/>
    </row>
    <row r="148">
      <c r="D148" s="269"/>
    </row>
    <row r="149">
      <c r="D149" s="269"/>
    </row>
    <row r="150">
      <c r="D150" s="269"/>
    </row>
    <row r="151">
      <c r="D151" s="269"/>
    </row>
    <row r="152">
      <c r="D152" s="269"/>
    </row>
    <row r="153">
      <c r="D153" s="269"/>
    </row>
    <row r="154">
      <c r="D154" s="269"/>
    </row>
    <row r="155">
      <c r="D155" s="269"/>
    </row>
    <row r="156">
      <c r="D156" s="269"/>
    </row>
    <row r="157">
      <c r="D157" s="269"/>
    </row>
    <row r="158">
      <c r="D158" s="269"/>
    </row>
    <row r="159">
      <c r="D159" s="269"/>
    </row>
    <row r="160">
      <c r="D160" s="269"/>
    </row>
    <row r="161">
      <c r="D161" s="269"/>
    </row>
    <row r="162">
      <c r="D162" s="269"/>
    </row>
    <row r="163">
      <c r="D163" s="269"/>
    </row>
    <row r="164">
      <c r="D164" s="269"/>
    </row>
    <row r="165">
      <c r="D165" s="269"/>
    </row>
    <row r="166">
      <c r="D166" s="269"/>
    </row>
    <row r="167">
      <c r="D167" s="269"/>
    </row>
    <row r="168">
      <c r="D168" s="269"/>
    </row>
    <row r="169">
      <c r="D169" s="269"/>
    </row>
    <row r="170">
      <c r="D170" s="269"/>
    </row>
    <row r="171">
      <c r="D171" s="269"/>
    </row>
    <row r="172">
      <c r="D172" s="269"/>
    </row>
    <row r="173">
      <c r="D173" s="269"/>
    </row>
    <row r="174">
      <c r="D174" s="269"/>
    </row>
    <row r="175">
      <c r="D175" s="269"/>
    </row>
    <row r="176">
      <c r="D176" s="269"/>
    </row>
    <row r="177">
      <c r="D177" s="269"/>
    </row>
    <row r="178">
      <c r="D178" s="269"/>
    </row>
    <row r="179">
      <c r="D179" s="269"/>
    </row>
    <row r="180">
      <c r="D180" s="269"/>
    </row>
    <row r="181">
      <c r="D181" s="269"/>
    </row>
    <row r="182">
      <c r="D182" s="269"/>
    </row>
    <row r="183">
      <c r="D183" s="269"/>
    </row>
    <row r="184">
      <c r="D184" s="269"/>
    </row>
    <row r="185">
      <c r="D185" s="269"/>
    </row>
    <row r="186">
      <c r="D186" s="269"/>
    </row>
    <row r="187">
      <c r="D187" s="269"/>
    </row>
    <row r="188">
      <c r="D188" s="269"/>
    </row>
    <row r="189">
      <c r="D189" s="269"/>
    </row>
    <row r="190">
      <c r="D190" s="269"/>
    </row>
    <row r="191">
      <c r="D191" s="269"/>
    </row>
    <row r="192">
      <c r="D192" s="269"/>
    </row>
    <row r="193">
      <c r="D193" s="269"/>
    </row>
    <row r="194">
      <c r="D194" s="269"/>
    </row>
    <row r="195">
      <c r="D195" s="269"/>
    </row>
    <row r="196">
      <c r="D196" s="269"/>
    </row>
    <row r="197">
      <c r="D197" s="269"/>
    </row>
    <row r="198">
      <c r="D198" s="269"/>
    </row>
    <row r="199">
      <c r="D199" s="269"/>
    </row>
    <row r="200">
      <c r="D200" s="269"/>
    </row>
    <row r="201">
      <c r="D201" s="269"/>
    </row>
    <row r="202">
      <c r="D202" s="269"/>
    </row>
    <row r="203">
      <c r="D203" s="269"/>
    </row>
    <row r="204">
      <c r="D204" s="269"/>
    </row>
    <row r="205">
      <c r="D205" s="269"/>
    </row>
    <row r="206">
      <c r="D206" s="269"/>
    </row>
    <row r="207">
      <c r="D207" s="269"/>
    </row>
    <row r="208">
      <c r="D208" s="269"/>
    </row>
    <row r="209">
      <c r="D209" s="269"/>
    </row>
    <row r="210">
      <c r="D210" s="269"/>
    </row>
    <row r="211">
      <c r="D211" s="269"/>
    </row>
    <row r="212">
      <c r="D212" s="269"/>
    </row>
    <row r="213">
      <c r="D213" s="269"/>
    </row>
    <row r="214">
      <c r="D214" s="269"/>
    </row>
    <row r="215">
      <c r="D215" s="269"/>
    </row>
    <row r="216">
      <c r="D216" s="269"/>
    </row>
    <row r="217">
      <c r="D217" s="269"/>
    </row>
    <row r="218">
      <c r="D218" s="269"/>
    </row>
    <row r="219">
      <c r="D219" s="269"/>
    </row>
    <row r="220">
      <c r="D220" s="269"/>
    </row>
    <row r="221">
      <c r="D221" s="269"/>
    </row>
    <row r="222">
      <c r="D222" s="269"/>
    </row>
    <row r="223">
      <c r="D223" s="269"/>
    </row>
    <row r="224">
      <c r="D224" s="269"/>
    </row>
    <row r="225">
      <c r="D225" s="269"/>
    </row>
    <row r="226">
      <c r="D226" s="269"/>
    </row>
    <row r="227">
      <c r="D227" s="269"/>
    </row>
    <row r="228">
      <c r="D228" s="269"/>
    </row>
    <row r="229">
      <c r="D229" s="269"/>
    </row>
    <row r="230">
      <c r="D230" s="269"/>
    </row>
    <row r="231">
      <c r="D231" s="269"/>
    </row>
    <row r="232">
      <c r="D232" s="269"/>
    </row>
    <row r="233">
      <c r="D233" s="269"/>
    </row>
    <row r="234">
      <c r="D234" s="269"/>
    </row>
    <row r="235">
      <c r="D235" s="269"/>
    </row>
    <row r="236">
      <c r="D236" s="269"/>
    </row>
    <row r="237">
      <c r="D237" s="269"/>
    </row>
    <row r="238">
      <c r="D238" s="269"/>
    </row>
    <row r="239">
      <c r="D239" s="269"/>
    </row>
    <row r="240">
      <c r="D240" s="269"/>
    </row>
    <row r="241">
      <c r="D241" s="269"/>
    </row>
    <row r="242">
      <c r="D242" s="269"/>
    </row>
    <row r="243">
      <c r="D243" s="269"/>
    </row>
    <row r="244">
      <c r="D244" s="269"/>
    </row>
    <row r="245">
      <c r="D245" s="269"/>
    </row>
    <row r="246">
      <c r="D246" s="269"/>
    </row>
    <row r="247">
      <c r="D247" s="269"/>
    </row>
    <row r="248">
      <c r="D248" s="269"/>
    </row>
    <row r="249">
      <c r="D249" s="269"/>
    </row>
    <row r="250">
      <c r="D250" s="269"/>
    </row>
    <row r="251">
      <c r="D251" s="269"/>
    </row>
    <row r="252">
      <c r="D252" s="269"/>
    </row>
    <row r="253">
      <c r="D253" s="269"/>
    </row>
    <row r="254">
      <c r="D254" s="269"/>
    </row>
    <row r="255">
      <c r="D255" s="269"/>
    </row>
    <row r="256">
      <c r="D256" s="269"/>
    </row>
    <row r="257">
      <c r="D257" s="269"/>
    </row>
    <row r="258">
      <c r="D258" s="269"/>
    </row>
    <row r="259">
      <c r="D259" s="269"/>
    </row>
    <row r="260">
      <c r="D260" s="269"/>
    </row>
    <row r="261">
      <c r="D261" s="269"/>
    </row>
    <row r="262">
      <c r="D262" s="269"/>
    </row>
    <row r="263">
      <c r="D263" s="269"/>
    </row>
    <row r="264">
      <c r="D264" s="269"/>
    </row>
    <row r="265">
      <c r="D265" s="269"/>
    </row>
    <row r="266">
      <c r="D266" s="269"/>
    </row>
    <row r="267">
      <c r="D267" s="269"/>
    </row>
    <row r="268">
      <c r="D268" s="269"/>
    </row>
    <row r="269">
      <c r="D269" s="269"/>
    </row>
    <row r="270">
      <c r="D270" s="269"/>
    </row>
    <row r="271">
      <c r="D271" s="269"/>
    </row>
    <row r="272">
      <c r="D272" s="269"/>
    </row>
    <row r="273">
      <c r="D273" s="269"/>
    </row>
    <row r="274">
      <c r="D274" s="269"/>
    </row>
    <row r="275">
      <c r="D275" s="269"/>
    </row>
    <row r="276">
      <c r="D276" s="269"/>
    </row>
    <row r="277">
      <c r="D277" s="269"/>
    </row>
    <row r="278">
      <c r="D278" s="269"/>
    </row>
    <row r="279">
      <c r="D279" s="269"/>
    </row>
    <row r="280">
      <c r="D280" s="269"/>
    </row>
    <row r="281">
      <c r="D281" s="269"/>
    </row>
    <row r="282">
      <c r="D282" s="269"/>
    </row>
    <row r="283">
      <c r="D283" s="269"/>
    </row>
    <row r="284">
      <c r="D284" s="269"/>
    </row>
    <row r="285">
      <c r="D285" s="269"/>
    </row>
    <row r="286">
      <c r="D286" s="269"/>
    </row>
    <row r="287">
      <c r="D287" s="269"/>
    </row>
    <row r="288">
      <c r="D288" s="269"/>
    </row>
    <row r="289">
      <c r="D289" s="269"/>
    </row>
    <row r="290">
      <c r="D290" s="269"/>
    </row>
    <row r="291">
      <c r="D291" s="269"/>
    </row>
    <row r="292">
      <c r="D292" s="269"/>
    </row>
    <row r="293">
      <c r="D293" s="269"/>
    </row>
    <row r="294">
      <c r="D294" s="269"/>
    </row>
    <row r="295">
      <c r="D295" s="269"/>
    </row>
    <row r="296">
      <c r="D296" s="269"/>
    </row>
    <row r="297">
      <c r="D297" s="269"/>
    </row>
    <row r="298">
      <c r="D298" s="269"/>
    </row>
    <row r="299">
      <c r="D299" s="269"/>
    </row>
    <row r="300">
      <c r="D300" s="269"/>
    </row>
    <row r="301">
      <c r="D301" s="269"/>
    </row>
    <row r="302">
      <c r="D302" s="269"/>
    </row>
    <row r="303">
      <c r="D303" s="269"/>
    </row>
    <row r="304">
      <c r="D304" s="269"/>
    </row>
    <row r="305">
      <c r="D305" s="269"/>
    </row>
    <row r="306">
      <c r="D306" s="269"/>
    </row>
    <row r="307">
      <c r="D307" s="269"/>
    </row>
    <row r="308">
      <c r="D308" s="269"/>
    </row>
    <row r="309">
      <c r="D309" s="269"/>
    </row>
    <row r="310">
      <c r="D310" s="269"/>
    </row>
    <row r="311">
      <c r="D311" s="269"/>
    </row>
    <row r="312">
      <c r="D312" s="269"/>
    </row>
    <row r="313">
      <c r="D313" s="269"/>
    </row>
    <row r="314">
      <c r="D314" s="269"/>
    </row>
    <row r="315">
      <c r="D315" s="269"/>
    </row>
    <row r="316">
      <c r="D316" s="269"/>
    </row>
    <row r="317">
      <c r="D317" s="269"/>
    </row>
    <row r="318">
      <c r="D318" s="269"/>
    </row>
    <row r="319">
      <c r="D319" s="269"/>
    </row>
    <row r="320">
      <c r="D320" s="269"/>
    </row>
    <row r="321">
      <c r="D321" s="269"/>
    </row>
    <row r="322">
      <c r="D322" s="269"/>
    </row>
    <row r="323">
      <c r="D323" s="269"/>
    </row>
    <row r="324">
      <c r="D324" s="269"/>
    </row>
    <row r="325">
      <c r="D325" s="269"/>
    </row>
    <row r="326">
      <c r="D326" s="269"/>
    </row>
    <row r="327">
      <c r="D327" s="269"/>
    </row>
    <row r="328">
      <c r="D328" s="269"/>
    </row>
    <row r="329">
      <c r="D329" s="269"/>
    </row>
    <row r="330">
      <c r="D330" s="269"/>
    </row>
    <row r="331">
      <c r="D331" s="269"/>
    </row>
    <row r="332">
      <c r="D332" s="269"/>
    </row>
    <row r="333">
      <c r="D333" s="269"/>
    </row>
    <row r="334">
      <c r="D334" s="269"/>
    </row>
    <row r="335">
      <c r="D335" s="269"/>
    </row>
    <row r="336">
      <c r="D336" s="269"/>
    </row>
    <row r="337">
      <c r="D337" s="269"/>
    </row>
    <row r="338">
      <c r="D338" s="269"/>
    </row>
    <row r="339">
      <c r="D339" s="269"/>
    </row>
    <row r="340">
      <c r="D340" s="269"/>
    </row>
    <row r="341">
      <c r="D341" s="269"/>
    </row>
    <row r="342">
      <c r="D342" s="269"/>
    </row>
    <row r="343">
      <c r="D343" s="269"/>
    </row>
    <row r="344">
      <c r="D344" s="269"/>
    </row>
    <row r="345">
      <c r="D345" s="269"/>
    </row>
    <row r="346">
      <c r="D346" s="269"/>
    </row>
    <row r="347">
      <c r="D347" s="269"/>
    </row>
    <row r="348">
      <c r="D348" s="269"/>
    </row>
    <row r="349">
      <c r="D349" s="269"/>
    </row>
    <row r="350">
      <c r="D350" s="269"/>
    </row>
    <row r="351">
      <c r="D351" s="269"/>
    </row>
    <row r="352">
      <c r="D352" s="269"/>
    </row>
    <row r="353">
      <c r="D353" s="269"/>
    </row>
    <row r="354">
      <c r="D354" s="269"/>
    </row>
    <row r="355">
      <c r="D355" s="269"/>
    </row>
    <row r="356">
      <c r="D356" s="269"/>
    </row>
    <row r="357">
      <c r="D357" s="269"/>
    </row>
    <row r="358">
      <c r="D358" s="269"/>
    </row>
    <row r="359">
      <c r="D359" s="269"/>
    </row>
    <row r="360">
      <c r="D360" s="269"/>
    </row>
    <row r="361">
      <c r="D361" s="269"/>
    </row>
    <row r="362">
      <c r="D362" s="269"/>
    </row>
    <row r="363">
      <c r="D363" s="269"/>
    </row>
    <row r="364">
      <c r="D364" s="269"/>
    </row>
    <row r="365">
      <c r="D365" s="269"/>
    </row>
    <row r="366">
      <c r="D366" s="269"/>
    </row>
    <row r="367">
      <c r="D367" s="269"/>
    </row>
    <row r="368">
      <c r="D368" s="269"/>
    </row>
    <row r="369">
      <c r="D369" s="269"/>
    </row>
    <row r="370">
      <c r="D370" s="269"/>
    </row>
    <row r="371">
      <c r="D371" s="269"/>
    </row>
    <row r="372">
      <c r="D372" s="269"/>
    </row>
    <row r="373">
      <c r="D373" s="269"/>
    </row>
    <row r="374">
      <c r="D374" s="269"/>
    </row>
    <row r="375">
      <c r="D375" s="269"/>
    </row>
    <row r="376">
      <c r="D376" s="269"/>
    </row>
    <row r="377">
      <c r="D377" s="269"/>
    </row>
    <row r="378">
      <c r="D378" s="269"/>
    </row>
    <row r="379">
      <c r="D379" s="269"/>
    </row>
    <row r="380">
      <c r="D380" s="269"/>
    </row>
    <row r="381">
      <c r="D381" s="269"/>
    </row>
    <row r="382">
      <c r="D382" s="269"/>
    </row>
    <row r="383">
      <c r="D383" s="269"/>
    </row>
    <row r="384">
      <c r="D384" s="269"/>
    </row>
    <row r="385">
      <c r="D385" s="269"/>
    </row>
    <row r="386">
      <c r="D386" s="269"/>
    </row>
    <row r="387">
      <c r="D387" s="269"/>
    </row>
    <row r="388">
      <c r="D388" s="269"/>
    </row>
    <row r="389">
      <c r="D389" s="269"/>
    </row>
    <row r="390">
      <c r="D390" s="269"/>
    </row>
    <row r="391">
      <c r="D391" s="269"/>
    </row>
    <row r="392">
      <c r="D392" s="269"/>
    </row>
    <row r="393">
      <c r="D393" s="269"/>
    </row>
    <row r="394">
      <c r="D394" s="269"/>
    </row>
    <row r="395">
      <c r="D395" s="269"/>
    </row>
    <row r="396">
      <c r="D396" s="269"/>
    </row>
    <row r="397">
      <c r="D397" s="269"/>
    </row>
    <row r="398">
      <c r="D398" s="269"/>
    </row>
    <row r="399">
      <c r="D399" s="269"/>
    </row>
    <row r="400">
      <c r="D400" s="269"/>
    </row>
    <row r="401">
      <c r="D401" s="269"/>
    </row>
    <row r="402">
      <c r="D402" s="269"/>
    </row>
    <row r="403">
      <c r="D403" s="269"/>
    </row>
    <row r="404">
      <c r="D404" s="269"/>
    </row>
    <row r="405">
      <c r="D405" s="269"/>
    </row>
    <row r="406">
      <c r="D406" s="269"/>
    </row>
    <row r="407">
      <c r="D407" s="269"/>
    </row>
    <row r="408">
      <c r="D408" s="269"/>
    </row>
    <row r="409">
      <c r="D409" s="269"/>
    </row>
    <row r="410">
      <c r="D410" s="269"/>
    </row>
    <row r="411">
      <c r="D411" s="269"/>
    </row>
    <row r="412">
      <c r="D412" s="269"/>
    </row>
    <row r="413">
      <c r="D413" s="269"/>
    </row>
    <row r="414">
      <c r="D414" s="269"/>
    </row>
    <row r="415">
      <c r="D415" s="269"/>
    </row>
    <row r="416">
      <c r="D416" s="269"/>
    </row>
    <row r="417">
      <c r="D417" s="269"/>
    </row>
    <row r="418">
      <c r="D418" s="269"/>
    </row>
    <row r="419">
      <c r="D419" s="269"/>
    </row>
    <row r="420">
      <c r="D420" s="269"/>
    </row>
    <row r="421">
      <c r="D421" s="269"/>
    </row>
    <row r="422">
      <c r="D422" s="269"/>
    </row>
    <row r="423">
      <c r="D423" s="269"/>
    </row>
    <row r="424">
      <c r="D424" s="269"/>
    </row>
    <row r="425">
      <c r="D425" s="269"/>
    </row>
    <row r="426">
      <c r="D426" s="269"/>
    </row>
    <row r="427">
      <c r="D427" s="269"/>
    </row>
    <row r="428">
      <c r="D428" s="269"/>
    </row>
    <row r="429">
      <c r="D429" s="269"/>
    </row>
    <row r="430">
      <c r="D430" s="269"/>
    </row>
    <row r="431">
      <c r="D431" s="269"/>
    </row>
    <row r="432">
      <c r="D432" s="269"/>
    </row>
    <row r="433">
      <c r="D433" s="269"/>
    </row>
    <row r="434">
      <c r="D434" s="269"/>
    </row>
    <row r="435">
      <c r="D435" s="269"/>
    </row>
    <row r="436">
      <c r="D436" s="269"/>
    </row>
    <row r="437">
      <c r="D437" s="269"/>
    </row>
    <row r="438">
      <c r="D438" s="269"/>
    </row>
    <row r="439">
      <c r="D439" s="269"/>
    </row>
    <row r="440">
      <c r="D440" s="269"/>
    </row>
    <row r="441">
      <c r="D441" s="269"/>
    </row>
    <row r="442">
      <c r="D442" s="269"/>
    </row>
    <row r="443">
      <c r="D443" s="269"/>
    </row>
    <row r="444">
      <c r="D444" s="269"/>
    </row>
    <row r="445">
      <c r="D445" s="269"/>
    </row>
    <row r="446">
      <c r="D446" s="269"/>
    </row>
    <row r="447">
      <c r="D447" s="269"/>
    </row>
    <row r="448">
      <c r="D448" s="269"/>
    </row>
    <row r="449">
      <c r="D449" s="269"/>
    </row>
    <row r="450">
      <c r="D450" s="269"/>
    </row>
    <row r="451">
      <c r="D451" s="269"/>
    </row>
    <row r="452">
      <c r="D452" s="269"/>
    </row>
    <row r="453">
      <c r="D453" s="269"/>
    </row>
    <row r="454">
      <c r="D454" s="269"/>
    </row>
    <row r="455">
      <c r="D455" s="269"/>
    </row>
    <row r="456">
      <c r="D456" s="269"/>
    </row>
    <row r="457">
      <c r="D457" s="269"/>
    </row>
    <row r="458">
      <c r="D458" s="269"/>
    </row>
    <row r="459">
      <c r="D459" s="269"/>
    </row>
    <row r="460">
      <c r="D460" s="269"/>
    </row>
    <row r="461">
      <c r="D461" s="269"/>
    </row>
    <row r="462">
      <c r="D462" s="269"/>
    </row>
    <row r="463">
      <c r="D463" s="269"/>
    </row>
    <row r="464">
      <c r="D464" s="269"/>
    </row>
    <row r="465">
      <c r="D465" s="269"/>
    </row>
    <row r="466">
      <c r="D466" s="269"/>
    </row>
    <row r="467">
      <c r="D467" s="269"/>
    </row>
    <row r="468">
      <c r="D468" s="269"/>
    </row>
    <row r="469">
      <c r="D469" s="269"/>
    </row>
    <row r="470">
      <c r="D470" s="269"/>
    </row>
    <row r="471">
      <c r="D471" s="269"/>
    </row>
    <row r="472">
      <c r="D472" s="269"/>
    </row>
    <row r="473">
      <c r="D473" s="269"/>
    </row>
    <row r="474">
      <c r="D474" s="269"/>
    </row>
    <row r="475">
      <c r="D475" s="269"/>
    </row>
    <row r="476">
      <c r="D476" s="269"/>
    </row>
    <row r="477">
      <c r="D477" s="269"/>
    </row>
    <row r="478">
      <c r="D478" s="269"/>
    </row>
    <row r="479">
      <c r="D479" s="269"/>
    </row>
    <row r="480">
      <c r="D480" s="269"/>
    </row>
    <row r="481">
      <c r="D481" s="269"/>
    </row>
    <row r="482">
      <c r="D482" s="269"/>
    </row>
    <row r="483">
      <c r="D483" s="269"/>
    </row>
    <row r="484">
      <c r="D484" s="269"/>
    </row>
    <row r="485">
      <c r="D485" s="269"/>
    </row>
    <row r="486">
      <c r="D486" s="269"/>
    </row>
    <row r="487">
      <c r="D487" s="269"/>
    </row>
    <row r="488">
      <c r="D488" s="269"/>
    </row>
    <row r="489">
      <c r="D489" s="269"/>
    </row>
    <row r="490">
      <c r="D490" s="269"/>
    </row>
    <row r="491">
      <c r="D491" s="269"/>
    </row>
    <row r="492">
      <c r="D492" s="269"/>
    </row>
    <row r="493">
      <c r="D493" s="269"/>
    </row>
    <row r="494">
      <c r="D494" s="269"/>
    </row>
    <row r="495">
      <c r="D495" s="269"/>
    </row>
    <row r="496">
      <c r="D496" s="269"/>
    </row>
    <row r="497">
      <c r="D497" s="269"/>
    </row>
    <row r="498">
      <c r="D498" s="269"/>
    </row>
    <row r="499">
      <c r="D499" s="269"/>
    </row>
    <row r="500">
      <c r="D500" s="269"/>
    </row>
    <row r="501">
      <c r="D501" s="269"/>
    </row>
    <row r="502">
      <c r="D502" s="269"/>
    </row>
    <row r="503">
      <c r="D503" s="269"/>
    </row>
    <row r="504">
      <c r="D504" s="269"/>
    </row>
    <row r="505">
      <c r="D505" s="269"/>
    </row>
    <row r="506">
      <c r="D506" s="269"/>
    </row>
    <row r="507">
      <c r="D507" s="269"/>
    </row>
    <row r="508">
      <c r="D508" s="269"/>
    </row>
    <row r="509">
      <c r="D509" s="269"/>
    </row>
    <row r="510">
      <c r="D510" s="269"/>
    </row>
    <row r="511">
      <c r="D511" s="269"/>
    </row>
    <row r="512">
      <c r="D512" s="269"/>
    </row>
    <row r="513">
      <c r="D513" s="269"/>
    </row>
    <row r="514">
      <c r="D514" s="269"/>
    </row>
    <row r="515">
      <c r="D515" s="269"/>
    </row>
    <row r="516">
      <c r="D516" s="269"/>
    </row>
    <row r="517">
      <c r="D517" s="269"/>
    </row>
    <row r="518">
      <c r="D518" s="269"/>
    </row>
    <row r="519">
      <c r="D519" s="269"/>
    </row>
    <row r="520">
      <c r="D520" s="269"/>
    </row>
    <row r="521">
      <c r="D521" s="269"/>
    </row>
    <row r="522">
      <c r="D522" s="269"/>
    </row>
    <row r="523">
      <c r="D523" s="269"/>
    </row>
    <row r="524">
      <c r="D524" s="269"/>
    </row>
    <row r="525">
      <c r="D525" s="269"/>
    </row>
    <row r="526">
      <c r="D526" s="269"/>
    </row>
    <row r="527">
      <c r="D527" s="269"/>
    </row>
    <row r="528">
      <c r="D528" s="269"/>
    </row>
    <row r="529">
      <c r="D529" s="269"/>
    </row>
    <row r="530">
      <c r="D530" s="269"/>
    </row>
    <row r="531">
      <c r="D531" s="269"/>
    </row>
    <row r="532">
      <c r="D532" s="269"/>
    </row>
    <row r="533">
      <c r="D533" s="269"/>
    </row>
    <row r="534">
      <c r="D534" s="269"/>
    </row>
    <row r="535">
      <c r="D535" s="269"/>
    </row>
    <row r="536">
      <c r="D536" s="269"/>
    </row>
    <row r="537">
      <c r="D537" s="269"/>
    </row>
    <row r="538">
      <c r="D538" s="269"/>
    </row>
    <row r="539">
      <c r="D539" s="269"/>
    </row>
    <row r="540">
      <c r="D540" s="269"/>
    </row>
    <row r="541">
      <c r="D541" s="269"/>
    </row>
    <row r="542">
      <c r="D542" s="269"/>
    </row>
    <row r="543">
      <c r="D543" s="269"/>
    </row>
    <row r="544">
      <c r="D544" s="269"/>
    </row>
    <row r="545">
      <c r="D545" s="269"/>
    </row>
    <row r="546">
      <c r="D546" s="269"/>
    </row>
    <row r="547">
      <c r="D547" s="269"/>
    </row>
    <row r="548">
      <c r="D548" s="269"/>
    </row>
    <row r="549">
      <c r="D549" s="269"/>
    </row>
    <row r="550">
      <c r="D550" s="269"/>
    </row>
    <row r="551">
      <c r="D551" s="269"/>
    </row>
    <row r="552">
      <c r="D552" s="269"/>
    </row>
    <row r="553">
      <c r="D553" s="269"/>
    </row>
    <row r="554">
      <c r="D554" s="269"/>
    </row>
    <row r="555">
      <c r="D555" s="269"/>
    </row>
    <row r="556">
      <c r="D556" s="269"/>
    </row>
    <row r="557">
      <c r="D557" s="269"/>
    </row>
    <row r="558">
      <c r="D558" s="269"/>
    </row>
    <row r="559">
      <c r="D559" s="269"/>
    </row>
    <row r="560">
      <c r="D560" s="269"/>
    </row>
    <row r="561">
      <c r="D561" s="269"/>
    </row>
    <row r="562">
      <c r="D562" s="269"/>
    </row>
    <row r="563">
      <c r="D563" s="269"/>
    </row>
    <row r="564">
      <c r="D564" s="269"/>
    </row>
    <row r="565">
      <c r="D565" s="269"/>
    </row>
    <row r="566">
      <c r="D566" s="269"/>
    </row>
    <row r="567">
      <c r="D567" s="269"/>
    </row>
    <row r="568">
      <c r="D568" s="269"/>
    </row>
    <row r="569">
      <c r="D569" s="269"/>
    </row>
    <row r="570">
      <c r="D570" s="269"/>
    </row>
    <row r="571">
      <c r="D571" s="269"/>
    </row>
    <row r="572">
      <c r="D572" s="269"/>
    </row>
    <row r="573">
      <c r="D573" s="269"/>
    </row>
    <row r="574">
      <c r="D574" s="269"/>
    </row>
    <row r="575">
      <c r="D575" s="269"/>
    </row>
    <row r="576">
      <c r="D576" s="269"/>
    </row>
    <row r="577">
      <c r="D577" s="269"/>
    </row>
    <row r="578">
      <c r="D578" s="269"/>
    </row>
    <row r="579">
      <c r="D579" s="269"/>
    </row>
    <row r="580">
      <c r="D580" s="269"/>
    </row>
    <row r="581">
      <c r="D581" s="269"/>
    </row>
    <row r="582">
      <c r="D582" s="269"/>
    </row>
    <row r="583">
      <c r="D583" s="269"/>
    </row>
    <row r="584">
      <c r="D584" s="269"/>
    </row>
    <row r="585">
      <c r="D585" s="269"/>
    </row>
    <row r="586">
      <c r="D586" s="269"/>
    </row>
    <row r="587">
      <c r="D587" s="269"/>
    </row>
    <row r="588">
      <c r="D588" s="269"/>
    </row>
    <row r="589">
      <c r="D589" s="269"/>
    </row>
    <row r="590">
      <c r="D590" s="269"/>
    </row>
    <row r="591">
      <c r="D591" s="269"/>
    </row>
    <row r="592">
      <c r="D592" s="269"/>
    </row>
    <row r="593">
      <c r="D593" s="269"/>
    </row>
    <row r="594">
      <c r="D594" s="269"/>
    </row>
    <row r="595">
      <c r="D595" s="269"/>
    </row>
    <row r="596">
      <c r="D596" s="269"/>
    </row>
    <row r="597">
      <c r="D597" s="269"/>
    </row>
    <row r="598">
      <c r="D598" s="269"/>
    </row>
    <row r="599">
      <c r="D599" s="269"/>
    </row>
    <row r="600">
      <c r="D600" s="269"/>
    </row>
    <row r="601">
      <c r="D601" s="269"/>
    </row>
    <row r="602">
      <c r="D602" s="269"/>
    </row>
    <row r="603">
      <c r="D603" s="269"/>
    </row>
    <row r="604">
      <c r="D604" s="269"/>
    </row>
    <row r="605">
      <c r="D605" s="269"/>
    </row>
    <row r="606">
      <c r="D606" s="269"/>
    </row>
    <row r="607">
      <c r="D607" s="269"/>
    </row>
    <row r="608">
      <c r="D608" s="269"/>
    </row>
    <row r="609">
      <c r="D609" s="269"/>
    </row>
    <row r="610">
      <c r="D610" s="269"/>
    </row>
    <row r="611">
      <c r="D611" s="269"/>
    </row>
    <row r="612">
      <c r="D612" s="269"/>
    </row>
    <row r="613">
      <c r="D613" s="269"/>
    </row>
    <row r="614">
      <c r="D614" s="269"/>
    </row>
    <row r="615">
      <c r="D615" s="269"/>
    </row>
    <row r="616">
      <c r="D616" s="269"/>
    </row>
    <row r="617">
      <c r="D617" s="269"/>
    </row>
    <row r="618">
      <c r="D618" s="269"/>
    </row>
    <row r="619">
      <c r="D619" s="269"/>
    </row>
    <row r="620">
      <c r="D620" s="269"/>
    </row>
    <row r="621">
      <c r="D621" s="269"/>
    </row>
    <row r="622">
      <c r="D622" s="269"/>
    </row>
    <row r="623">
      <c r="D623" s="269"/>
    </row>
    <row r="624">
      <c r="D624" s="269"/>
    </row>
    <row r="625">
      <c r="D625" s="269"/>
    </row>
    <row r="626">
      <c r="D626" s="269"/>
    </row>
    <row r="627">
      <c r="D627" s="269"/>
    </row>
    <row r="628">
      <c r="D628" s="269"/>
    </row>
    <row r="629">
      <c r="D629" s="269"/>
    </row>
    <row r="630">
      <c r="D630" s="269"/>
    </row>
    <row r="631">
      <c r="D631" s="269"/>
    </row>
    <row r="632">
      <c r="D632" s="269"/>
    </row>
    <row r="633">
      <c r="D633" s="269"/>
    </row>
    <row r="634">
      <c r="D634" s="269"/>
    </row>
    <row r="635">
      <c r="D635" s="269"/>
    </row>
    <row r="636">
      <c r="D636" s="269"/>
    </row>
    <row r="637">
      <c r="D637" s="269"/>
    </row>
    <row r="638">
      <c r="D638" s="269"/>
    </row>
    <row r="639">
      <c r="D639" s="269"/>
    </row>
    <row r="640">
      <c r="D640" s="269"/>
    </row>
    <row r="641">
      <c r="D641" s="269"/>
    </row>
    <row r="642">
      <c r="D642" s="269"/>
    </row>
    <row r="643">
      <c r="D643" s="269"/>
    </row>
    <row r="644">
      <c r="D644" s="269"/>
    </row>
    <row r="645">
      <c r="D645" s="269"/>
    </row>
    <row r="646">
      <c r="D646" s="269"/>
    </row>
    <row r="647">
      <c r="D647" s="269"/>
    </row>
    <row r="648">
      <c r="D648" s="269"/>
    </row>
    <row r="649">
      <c r="D649" s="269"/>
    </row>
    <row r="650">
      <c r="D650" s="269"/>
    </row>
    <row r="651">
      <c r="D651" s="269"/>
    </row>
    <row r="652">
      <c r="D652" s="269"/>
    </row>
    <row r="653">
      <c r="D653" s="269"/>
    </row>
    <row r="654">
      <c r="D654" s="269"/>
    </row>
    <row r="655">
      <c r="D655" s="269"/>
    </row>
    <row r="656">
      <c r="D656" s="269"/>
    </row>
    <row r="657">
      <c r="D657" s="269"/>
    </row>
    <row r="658">
      <c r="D658" s="269"/>
    </row>
    <row r="659">
      <c r="D659" s="269"/>
    </row>
    <row r="660">
      <c r="D660" s="269"/>
    </row>
    <row r="661">
      <c r="D661" s="269"/>
    </row>
    <row r="662">
      <c r="D662" s="269"/>
    </row>
    <row r="663">
      <c r="D663" s="269"/>
    </row>
    <row r="664">
      <c r="D664" s="269"/>
    </row>
    <row r="665">
      <c r="D665" s="269"/>
    </row>
    <row r="666">
      <c r="D666" s="269"/>
    </row>
    <row r="667">
      <c r="D667" s="269"/>
    </row>
    <row r="668">
      <c r="D668" s="269"/>
    </row>
    <row r="669">
      <c r="D669" s="269"/>
    </row>
    <row r="670">
      <c r="D670" s="269"/>
    </row>
    <row r="671">
      <c r="D671" s="269"/>
    </row>
    <row r="672">
      <c r="D672" s="269"/>
    </row>
    <row r="673">
      <c r="D673" s="269"/>
    </row>
    <row r="674">
      <c r="D674" s="269"/>
    </row>
    <row r="675">
      <c r="D675" s="269"/>
    </row>
    <row r="676">
      <c r="D676" s="269"/>
    </row>
    <row r="677">
      <c r="D677" s="269"/>
    </row>
    <row r="678">
      <c r="D678" s="269"/>
    </row>
    <row r="679">
      <c r="D679" s="269"/>
    </row>
    <row r="680">
      <c r="D680" s="269"/>
    </row>
    <row r="681">
      <c r="D681" s="269"/>
    </row>
    <row r="682">
      <c r="D682" s="269"/>
    </row>
    <row r="683">
      <c r="D683" s="269"/>
    </row>
    <row r="684">
      <c r="D684" s="269"/>
    </row>
    <row r="685">
      <c r="D685" s="269"/>
    </row>
    <row r="686">
      <c r="D686" s="269"/>
    </row>
    <row r="687">
      <c r="D687" s="269"/>
    </row>
    <row r="688">
      <c r="D688" s="269"/>
    </row>
    <row r="689">
      <c r="D689" s="269"/>
    </row>
    <row r="690">
      <c r="D690" s="269"/>
    </row>
    <row r="691">
      <c r="D691" s="269"/>
    </row>
    <row r="692">
      <c r="D692" s="269"/>
    </row>
    <row r="693">
      <c r="D693" s="269"/>
    </row>
    <row r="694">
      <c r="D694" s="269"/>
    </row>
    <row r="695">
      <c r="D695" s="269"/>
    </row>
    <row r="696">
      <c r="D696" s="269"/>
    </row>
    <row r="697">
      <c r="D697" s="269"/>
    </row>
    <row r="698">
      <c r="D698" s="269"/>
    </row>
    <row r="699">
      <c r="D699" s="269"/>
    </row>
    <row r="700">
      <c r="D700" s="269"/>
    </row>
    <row r="701">
      <c r="D701" s="269"/>
    </row>
    <row r="702">
      <c r="D702" s="269"/>
    </row>
    <row r="703">
      <c r="D703" s="269"/>
    </row>
    <row r="704">
      <c r="D704" s="269"/>
    </row>
    <row r="705">
      <c r="D705" s="269"/>
    </row>
    <row r="706">
      <c r="D706" s="269"/>
    </row>
    <row r="707">
      <c r="D707" s="269"/>
    </row>
    <row r="708">
      <c r="D708" s="269"/>
    </row>
    <row r="709">
      <c r="D709" s="269"/>
    </row>
    <row r="710">
      <c r="D710" s="269"/>
    </row>
    <row r="711">
      <c r="D711" s="269"/>
    </row>
    <row r="712">
      <c r="D712" s="269"/>
    </row>
    <row r="713">
      <c r="D713" s="269"/>
    </row>
    <row r="714">
      <c r="D714" s="269"/>
    </row>
    <row r="715">
      <c r="D715" s="269"/>
    </row>
    <row r="716">
      <c r="D716" s="269"/>
    </row>
    <row r="717">
      <c r="D717" s="269"/>
    </row>
    <row r="718">
      <c r="D718" s="269"/>
    </row>
    <row r="719">
      <c r="D719" s="269"/>
    </row>
    <row r="720">
      <c r="D720" s="269"/>
    </row>
    <row r="721">
      <c r="D721" s="269"/>
    </row>
    <row r="722">
      <c r="D722" s="269"/>
    </row>
    <row r="723">
      <c r="D723" s="269"/>
    </row>
    <row r="724">
      <c r="D724" s="269"/>
    </row>
    <row r="725">
      <c r="D725" s="269"/>
    </row>
    <row r="726">
      <c r="D726" s="269"/>
    </row>
    <row r="727">
      <c r="D727" s="269"/>
    </row>
    <row r="728">
      <c r="D728" s="269"/>
    </row>
    <row r="729">
      <c r="D729" s="269"/>
    </row>
    <row r="730">
      <c r="D730" s="269"/>
    </row>
    <row r="731">
      <c r="D731" s="269"/>
    </row>
    <row r="732">
      <c r="D732" s="269"/>
    </row>
    <row r="733">
      <c r="D733" s="269"/>
    </row>
    <row r="734">
      <c r="D734" s="269"/>
    </row>
    <row r="735">
      <c r="D735" s="269"/>
    </row>
    <row r="736">
      <c r="D736" s="269"/>
    </row>
    <row r="737">
      <c r="D737" s="269"/>
    </row>
    <row r="738">
      <c r="D738" s="269"/>
    </row>
    <row r="739">
      <c r="D739" s="269"/>
    </row>
    <row r="740">
      <c r="D740" s="269"/>
    </row>
    <row r="741">
      <c r="D741" s="269"/>
    </row>
    <row r="742">
      <c r="D742" s="269"/>
    </row>
    <row r="743">
      <c r="D743" s="269"/>
    </row>
    <row r="744">
      <c r="D744" s="269"/>
    </row>
    <row r="745">
      <c r="D745" s="269"/>
    </row>
    <row r="746">
      <c r="D746" s="269"/>
    </row>
    <row r="747">
      <c r="D747" s="269"/>
    </row>
    <row r="748">
      <c r="D748" s="269"/>
    </row>
    <row r="749">
      <c r="D749" s="269"/>
    </row>
    <row r="750">
      <c r="D750" s="269"/>
    </row>
    <row r="751">
      <c r="D751" s="269"/>
    </row>
    <row r="752">
      <c r="D752" s="269"/>
    </row>
    <row r="753">
      <c r="D753" s="269"/>
    </row>
    <row r="754">
      <c r="D754" s="269"/>
    </row>
    <row r="755">
      <c r="D755" s="269"/>
    </row>
    <row r="756">
      <c r="D756" s="269"/>
    </row>
    <row r="757">
      <c r="D757" s="269"/>
    </row>
    <row r="758">
      <c r="D758" s="269"/>
    </row>
    <row r="759">
      <c r="D759" s="269"/>
    </row>
    <row r="760">
      <c r="D760" s="269"/>
    </row>
    <row r="761">
      <c r="D761" s="269"/>
    </row>
    <row r="762">
      <c r="D762" s="269"/>
    </row>
    <row r="763">
      <c r="D763" s="269"/>
    </row>
    <row r="764">
      <c r="D764" s="269"/>
    </row>
    <row r="765">
      <c r="D765" s="269"/>
    </row>
    <row r="766">
      <c r="D766" s="269"/>
    </row>
    <row r="767">
      <c r="D767" s="269"/>
    </row>
    <row r="768">
      <c r="D768" s="269"/>
    </row>
    <row r="769">
      <c r="D769" s="269"/>
    </row>
    <row r="770">
      <c r="D770" s="269"/>
    </row>
    <row r="771">
      <c r="D771" s="269"/>
    </row>
    <row r="772">
      <c r="D772" s="269"/>
    </row>
    <row r="773">
      <c r="D773" s="269"/>
    </row>
    <row r="774">
      <c r="D774" s="269"/>
    </row>
    <row r="775">
      <c r="D775" s="269"/>
    </row>
    <row r="776">
      <c r="D776" s="269"/>
    </row>
    <row r="777">
      <c r="D777" s="269"/>
    </row>
    <row r="778">
      <c r="D778" s="269"/>
    </row>
    <row r="779">
      <c r="D779" s="269"/>
    </row>
    <row r="780">
      <c r="D780" s="269"/>
    </row>
    <row r="781">
      <c r="D781" s="269"/>
    </row>
    <row r="782">
      <c r="D782" s="269"/>
    </row>
    <row r="783">
      <c r="D783" s="269"/>
    </row>
    <row r="784">
      <c r="D784" s="269"/>
    </row>
    <row r="785">
      <c r="D785" s="269"/>
    </row>
    <row r="786">
      <c r="D786" s="269"/>
    </row>
    <row r="787">
      <c r="D787" s="269"/>
    </row>
    <row r="788">
      <c r="D788" s="269"/>
    </row>
    <row r="789">
      <c r="D789" s="269"/>
    </row>
    <row r="790">
      <c r="D790" s="269"/>
    </row>
    <row r="791">
      <c r="D791" s="269"/>
    </row>
    <row r="792">
      <c r="D792" s="269"/>
    </row>
    <row r="793">
      <c r="D793" s="269"/>
    </row>
    <row r="794">
      <c r="D794" s="269"/>
    </row>
    <row r="795">
      <c r="D795" s="269"/>
    </row>
    <row r="796">
      <c r="D796" s="269"/>
    </row>
    <row r="797">
      <c r="D797" s="269"/>
    </row>
    <row r="798">
      <c r="D798" s="269"/>
    </row>
    <row r="799">
      <c r="D799" s="269"/>
    </row>
    <row r="800">
      <c r="D800" s="269"/>
    </row>
    <row r="801">
      <c r="D801" s="269"/>
    </row>
    <row r="802">
      <c r="D802" s="269"/>
    </row>
    <row r="803">
      <c r="D803" s="269"/>
    </row>
    <row r="804">
      <c r="D804" s="269"/>
    </row>
    <row r="805">
      <c r="D805" s="269"/>
    </row>
    <row r="806">
      <c r="D806" s="269"/>
    </row>
    <row r="807">
      <c r="D807" s="269"/>
    </row>
    <row r="808">
      <c r="D808" s="269"/>
    </row>
    <row r="809">
      <c r="D809" s="269"/>
    </row>
    <row r="810">
      <c r="D810" s="269"/>
    </row>
    <row r="811">
      <c r="D811" s="269"/>
    </row>
    <row r="812">
      <c r="D812" s="269"/>
    </row>
    <row r="813">
      <c r="D813" s="269"/>
    </row>
    <row r="814">
      <c r="D814" s="269"/>
    </row>
    <row r="815">
      <c r="D815" s="269"/>
    </row>
    <row r="816">
      <c r="D816" s="269"/>
    </row>
    <row r="817">
      <c r="D817" s="269"/>
    </row>
    <row r="818">
      <c r="D818" s="269"/>
    </row>
    <row r="819">
      <c r="D819" s="269"/>
    </row>
    <row r="820">
      <c r="D820" s="269"/>
    </row>
    <row r="821">
      <c r="D821" s="269"/>
    </row>
    <row r="822">
      <c r="D822" s="269"/>
    </row>
    <row r="823">
      <c r="D823" s="269"/>
    </row>
    <row r="824">
      <c r="D824" s="269"/>
    </row>
    <row r="825">
      <c r="D825" s="269"/>
    </row>
    <row r="826">
      <c r="D826" s="269"/>
    </row>
    <row r="827">
      <c r="D827" s="269"/>
    </row>
    <row r="828">
      <c r="D828" s="269"/>
    </row>
    <row r="829">
      <c r="D829" s="269"/>
    </row>
    <row r="830">
      <c r="D830" s="269"/>
    </row>
    <row r="831">
      <c r="D831" s="269"/>
    </row>
    <row r="832">
      <c r="D832" s="269"/>
    </row>
    <row r="833">
      <c r="D833" s="269"/>
    </row>
    <row r="834">
      <c r="D834" s="269"/>
    </row>
    <row r="835">
      <c r="D835" s="269"/>
    </row>
    <row r="836">
      <c r="D836" s="269"/>
    </row>
    <row r="837">
      <c r="D837" s="269"/>
    </row>
    <row r="838">
      <c r="D838" s="269"/>
    </row>
    <row r="839">
      <c r="D839" s="269"/>
    </row>
    <row r="840">
      <c r="D840" s="269"/>
    </row>
    <row r="841">
      <c r="D841" s="269"/>
    </row>
    <row r="842">
      <c r="D842" s="269"/>
    </row>
    <row r="843">
      <c r="D843" s="269"/>
    </row>
    <row r="844">
      <c r="D844" s="269"/>
    </row>
    <row r="845">
      <c r="D845" s="269"/>
    </row>
    <row r="846">
      <c r="D846" s="269"/>
    </row>
    <row r="847">
      <c r="D847" s="269"/>
    </row>
    <row r="848">
      <c r="D848" s="269"/>
    </row>
    <row r="849">
      <c r="D849" s="269"/>
    </row>
    <row r="850">
      <c r="D850" s="269"/>
    </row>
    <row r="851">
      <c r="D851" s="269"/>
    </row>
    <row r="852">
      <c r="D852" s="269"/>
    </row>
    <row r="853">
      <c r="D853" s="269"/>
    </row>
    <row r="854">
      <c r="D854" s="269"/>
    </row>
    <row r="855">
      <c r="D855" s="269"/>
    </row>
    <row r="856">
      <c r="D856" s="269"/>
    </row>
    <row r="857">
      <c r="D857" s="269"/>
    </row>
    <row r="858">
      <c r="D858" s="269"/>
    </row>
    <row r="859">
      <c r="D859" s="269"/>
    </row>
    <row r="860">
      <c r="D860" s="269"/>
    </row>
    <row r="861">
      <c r="D861" s="269"/>
    </row>
    <row r="862">
      <c r="D862" s="269"/>
    </row>
    <row r="863">
      <c r="D863" s="269"/>
    </row>
    <row r="864">
      <c r="D864" s="269"/>
    </row>
    <row r="865">
      <c r="D865" s="269"/>
    </row>
    <row r="866">
      <c r="D866" s="269"/>
    </row>
    <row r="867">
      <c r="D867" s="269"/>
    </row>
    <row r="868">
      <c r="D868" s="269"/>
    </row>
    <row r="869">
      <c r="D869" s="269"/>
    </row>
    <row r="870">
      <c r="D870" s="269"/>
    </row>
    <row r="871">
      <c r="D871" s="269"/>
    </row>
    <row r="872">
      <c r="D872" s="269"/>
    </row>
    <row r="873">
      <c r="D873" s="269"/>
    </row>
    <row r="874">
      <c r="D874" s="269"/>
    </row>
    <row r="875">
      <c r="D875" s="269"/>
    </row>
    <row r="876">
      <c r="D876" s="269"/>
    </row>
    <row r="877">
      <c r="D877" s="269"/>
    </row>
    <row r="878">
      <c r="D878" s="269"/>
    </row>
    <row r="879">
      <c r="D879" s="269"/>
    </row>
    <row r="880">
      <c r="D880" s="269"/>
    </row>
    <row r="881">
      <c r="D881" s="269"/>
    </row>
    <row r="882">
      <c r="D882" s="269"/>
    </row>
    <row r="883">
      <c r="D883" s="269"/>
    </row>
    <row r="884">
      <c r="D884" s="269"/>
    </row>
    <row r="885">
      <c r="D885" s="269"/>
    </row>
    <row r="886">
      <c r="D886" s="269"/>
    </row>
    <row r="887">
      <c r="D887" s="269"/>
    </row>
    <row r="888">
      <c r="D888" s="269"/>
    </row>
    <row r="889">
      <c r="D889" s="269"/>
    </row>
    <row r="890">
      <c r="D890" s="269"/>
    </row>
    <row r="891">
      <c r="D891" s="269"/>
    </row>
    <row r="892">
      <c r="D892" s="269"/>
    </row>
    <row r="893">
      <c r="D893" s="269"/>
    </row>
    <row r="894">
      <c r="D894" s="269"/>
    </row>
    <row r="895">
      <c r="D895" s="269"/>
    </row>
    <row r="896">
      <c r="D896" s="269"/>
    </row>
    <row r="897">
      <c r="D897" s="269"/>
    </row>
    <row r="898">
      <c r="D898" s="269"/>
    </row>
    <row r="899">
      <c r="D899" s="269"/>
    </row>
    <row r="900">
      <c r="D900" s="269"/>
    </row>
    <row r="901">
      <c r="D901" s="269"/>
    </row>
    <row r="902">
      <c r="D902" s="269"/>
    </row>
    <row r="903">
      <c r="D903" s="269"/>
    </row>
    <row r="904">
      <c r="D904" s="269"/>
    </row>
    <row r="905">
      <c r="D905" s="269"/>
    </row>
    <row r="906">
      <c r="D906" s="269"/>
    </row>
    <row r="907">
      <c r="D907" s="269"/>
    </row>
    <row r="908">
      <c r="D908" s="269"/>
    </row>
    <row r="909">
      <c r="D909" s="269"/>
    </row>
    <row r="910">
      <c r="D910" s="269"/>
    </row>
    <row r="911">
      <c r="D911" s="269"/>
    </row>
    <row r="912">
      <c r="D912" s="269"/>
    </row>
    <row r="913">
      <c r="D913" s="269"/>
    </row>
    <row r="914">
      <c r="D914" s="269"/>
    </row>
    <row r="915">
      <c r="D915" s="269"/>
    </row>
    <row r="916">
      <c r="D916" s="269"/>
    </row>
    <row r="917">
      <c r="D917" s="269"/>
    </row>
    <row r="918">
      <c r="D918" s="269"/>
    </row>
    <row r="919">
      <c r="D919" s="269"/>
    </row>
    <row r="920">
      <c r="D920" s="269"/>
    </row>
    <row r="921">
      <c r="D921" s="269"/>
    </row>
    <row r="922">
      <c r="D922" s="269"/>
    </row>
    <row r="923">
      <c r="D923" s="269"/>
    </row>
    <row r="924">
      <c r="D924" s="269"/>
    </row>
    <row r="925">
      <c r="D925" s="269"/>
    </row>
    <row r="926">
      <c r="D926" s="269"/>
    </row>
    <row r="927">
      <c r="D927" s="269"/>
    </row>
    <row r="928">
      <c r="D928" s="269"/>
    </row>
    <row r="929">
      <c r="D929" s="269"/>
    </row>
    <row r="930">
      <c r="D930" s="269"/>
    </row>
    <row r="931">
      <c r="D931" s="269"/>
    </row>
    <row r="932">
      <c r="D932" s="269"/>
    </row>
    <row r="933">
      <c r="D933" s="269"/>
    </row>
    <row r="934">
      <c r="D934" s="269"/>
    </row>
    <row r="935">
      <c r="D935" s="269"/>
    </row>
    <row r="936">
      <c r="D936" s="269"/>
    </row>
    <row r="937">
      <c r="D937" s="269"/>
    </row>
    <row r="938">
      <c r="D938" s="269"/>
    </row>
    <row r="939">
      <c r="D939" s="269"/>
    </row>
    <row r="940">
      <c r="D940" s="269"/>
    </row>
    <row r="941">
      <c r="D941" s="269"/>
    </row>
    <row r="942">
      <c r="D942" s="269"/>
    </row>
    <row r="943">
      <c r="D943" s="269"/>
    </row>
    <row r="944">
      <c r="D944" s="269"/>
    </row>
    <row r="945">
      <c r="D945" s="269"/>
    </row>
    <row r="946">
      <c r="D946" s="269"/>
    </row>
    <row r="947">
      <c r="D947" s="269"/>
    </row>
    <row r="948">
      <c r="D948" s="269"/>
    </row>
    <row r="949">
      <c r="D949" s="269"/>
    </row>
    <row r="950">
      <c r="D950" s="269"/>
    </row>
    <row r="951">
      <c r="D951" s="269"/>
    </row>
    <row r="952">
      <c r="D952" s="269"/>
    </row>
    <row r="953">
      <c r="D953" s="269"/>
    </row>
    <row r="954">
      <c r="D954" s="269"/>
    </row>
    <row r="955">
      <c r="D955" s="269"/>
    </row>
    <row r="956">
      <c r="D956" s="269"/>
    </row>
    <row r="957">
      <c r="D957" s="269"/>
    </row>
    <row r="958">
      <c r="D958" s="269"/>
    </row>
    <row r="959">
      <c r="D959" s="269"/>
    </row>
    <row r="960">
      <c r="D960" s="269"/>
    </row>
    <row r="961">
      <c r="D961" s="269"/>
    </row>
    <row r="962">
      <c r="D962" s="269"/>
    </row>
    <row r="963">
      <c r="D963" s="269"/>
    </row>
    <row r="964">
      <c r="D964" s="269"/>
    </row>
    <row r="965">
      <c r="D965" s="269"/>
    </row>
    <row r="966">
      <c r="D966" s="269"/>
    </row>
    <row r="967">
      <c r="D967" s="269"/>
    </row>
    <row r="968">
      <c r="D968" s="269"/>
    </row>
    <row r="969">
      <c r="D969" s="269"/>
    </row>
    <row r="970">
      <c r="D970" s="269"/>
    </row>
    <row r="971">
      <c r="D971" s="269"/>
    </row>
    <row r="972">
      <c r="D972" s="269"/>
    </row>
    <row r="973">
      <c r="D973" s="269"/>
    </row>
    <row r="974">
      <c r="D974" s="269"/>
    </row>
    <row r="975">
      <c r="D975" s="269"/>
    </row>
    <row r="976">
      <c r="D976" s="269"/>
    </row>
    <row r="977">
      <c r="D977" s="269"/>
    </row>
    <row r="978">
      <c r="D978" s="269"/>
    </row>
    <row r="979">
      <c r="D979" s="269"/>
    </row>
    <row r="980">
      <c r="D980" s="269"/>
    </row>
    <row r="981">
      <c r="D981" s="269"/>
    </row>
    <row r="982">
      <c r="D982" s="269"/>
    </row>
    <row r="983">
      <c r="D983" s="269"/>
    </row>
    <row r="984">
      <c r="D984" s="269"/>
    </row>
    <row r="985">
      <c r="D985" s="269"/>
    </row>
    <row r="986">
      <c r="D986" s="269"/>
    </row>
    <row r="987">
      <c r="D987" s="269"/>
    </row>
    <row r="988">
      <c r="D988" s="269"/>
    </row>
    <row r="989">
      <c r="D989" s="269"/>
    </row>
    <row r="990">
      <c r="D990" s="269"/>
    </row>
    <row r="991">
      <c r="D991" s="269"/>
    </row>
    <row r="992">
      <c r="D992" s="269"/>
    </row>
    <row r="993">
      <c r="D993" s="269"/>
    </row>
    <row r="994">
      <c r="D994" s="269"/>
    </row>
    <row r="995">
      <c r="D995" s="269"/>
    </row>
    <row r="996">
      <c r="D996" s="269"/>
    </row>
    <row r="997">
      <c r="D997" s="269"/>
    </row>
    <row r="998">
      <c r="D998" s="269"/>
    </row>
    <row r="999">
      <c r="D999" s="269"/>
    </row>
    <row r="1000">
      <c r="D1000" s="269"/>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2" max="22" width="17.25"/>
  </cols>
  <sheetData>
    <row r="1">
      <c r="A1" s="292" t="str">
        <f>IFERROR(__xludf.DUMMYFUNCTION("IMPORTRANGE(""https://docs.google.com/spreadsheets/d/1aAMxzyhiiYYZ1Hl8n8VYgXTfu3Cx_ivX6X-WSzXbFcI/edit?gid=1131772575#gid=1131772575"",""2. Control!A1:AM2"")"),"Exported Time: 02/07/2026 17:19:55")</f>
        <v>Exported Time: 02/07/2026 17:19:55</v>
      </c>
      <c r="B1" s="293"/>
      <c r="C1" s="181"/>
      <c r="D1" s="294"/>
      <c r="E1" s="127"/>
      <c r="F1" s="127"/>
      <c r="G1" s="127"/>
      <c r="H1" s="128"/>
      <c r="I1" s="181"/>
      <c r="J1" s="181"/>
      <c r="K1" s="295" t="str">
        <f>IFERROR(__xludf.DUMMYFUNCTION("""COMPUTED_VALUE"""),"ETA from Office to Site
(Only fill in Minutes)")</f>
        <v>ETA from Office to Site
(Only fill in Minutes)</v>
      </c>
      <c r="L1" s="181"/>
      <c r="M1" s="181"/>
      <c r="N1" s="181"/>
      <c r="O1" s="181"/>
      <c r="P1" s="181"/>
      <c r="Q1" s="296" t="str">
        <f>IFERROR(__xludf.DUMMYFUNCTION("""COMPUTED_VALUE"""),"Door Alarm")</f>
        <v>Door Alarm</v>
      </c>
      <c r="R1" s="297" t="str">
        <f>IFERROR(__xludf.DUMMYFUNCTION("""COMPUTED_VALUE"""),"Battery Cabinet Door Alarm")</f>
        <v>Battery Cabinet Door Alarm</v>
      </c>
      <c r="S1" s="181"/>
      <c r="T1" s="298"/>
      <c r="U1" s="296" t="str">
        <f>IFERROR(__xludf.DUMMYFUNCTION("""COMPUTED_VALUE"""),"Environment Temperature high")</f>
        <v>Environment Temperature high</v>
      </c>
      <c r="V1" s="298"/>
      <c r="W1" s="181"/>
      <c r="X1" s="181"/>
      <c r="Y1" s="298"/>
      <c r="Z1" s="181" t="str">
        <f>IFERROR(__xludf.DUMMYFUNCTION("""COMPUTED_VALUE"""),"DC Voltage Low alarm_TowerCo.")</f>
        <v>DC Voltage Low alarm_TowerCo.</v>
      </c>
      <c r="AA1" s="181"/>
      <c r="AB1" s="299" t="str">
        <f>IFERROR(__xludf.DUMMYFUNCTION("""COMPUTED_VALUE"""),"Back Menu")</f>
        <v>Back Menu</v>
      </c>
      <c r="AC1" s="300"/>
      <c r="AD1" s="127"/>
      <c r="AE1" s="128"/>
      <c r="AF1" s="301" t="str">
        <f>IFERROR(__xludf.DUMMYFUNCTION("""COMPUTED_VALUE"""),"02/07/2026*|* Aung Thin Myat, Aung Lwin Phyo, Thar Htoo Aung, Car 3G-4733 (Team01-3)*|* Wanna Oo, Zin Min Shein*|* Pyae Phyo zaw, Tin Naing Lin, Myint Ko Ko Aung*|* Naing Myin Htun, Khant Chaw Nyo*|* Min Paing Oo, Aung Kyaw Latt*|* Ye Lwin &lt;Duty&gt; ")</f>
        <v>02/07/2026*|* Aung Thin Myat, Aung Lwin Phyo, Thar Htoo Aung, Car 3G-4733 (Team01-3)*|* Wanna Oo, Zin Min Shein*|* Pyae Phyo zaw, Tin Naing Lin, Myint Ko Ko Aung*|* Naing Myin Htun, Khant Chaw Nyo*|* Min Paing Oo, Aung Kyaw Latt*|* Ye Lwin &lt;Duty&gt; </v>
      </c>
      <c r="AG1" s="127"/>
      <c r="AH1" s="128"/>
      <c r="AI1" s="232"/>
      <c r="AJ1" s="302"/>
      <c r="AK1" s="128"/>
      <c r="AL1" s="303" t="str">
        <f>IFERROR(__xludf.DUMMYFUNCTION("""COMPUTED_VALUE"""),"Filter morning &lt;7H30Am")</f>
        <v>Filter morning &lt;7H30Am</v>
      </c>
      <c r="AM1" s="304" t="str">
        <f>IFERROR(__xludf.DUMMYFUNCTION("""COMPUTED_VALUE"""),"Filtel &gt;7:15:00 AM")</f>
        <v>Filtel &gt;7:15:00 AM</v>
      </c>
      <c r="AN1" s="121"/>
      <c r="AO1" s="121"/>
      <c r="AP1" s="121"/>
      <c r="AQ1" s="121"/>
      <c r="AR1" s="121"/>
      <c r="AS1" s="121"/>
      <c r="AT1" s="121"/>
    </row>
    <row r="2">
      <c r="A2" s="296" t="str">
        <f>IFERROR(__xludf.DUMMYFUNCTION("""COMPUTED_VALUE"""),"NO")</f>
        <v>NO</v>
      </c>
      <c r="B2" s="305" t="str">
        <f>IFERROR(__xludf.DUMMYFUNCTION("""COMPUTED_VALUE"""),"NewSite: 0 &lt;&gt; Not same FT salary: 0 Double : 2")</f>
        <v>NewSite: 0 &lt;&gt; Not same FT salary: 0 Double : 2</v>
      </c>
      <c r="C2" s="296" t="str">
        <f>IFERROR(__xludf.DUMMYFUNCTION("""COMPUTED_VALUE"""),"Site Class")</f>
        <v>Site Class</v>
      </c>
      <c r="D2" s="306" t="str">
        <f>IFERROR(__xludf.DUMMYFUNCTION("""COMPUTED_VALUE"""),"Site Owner")</f>
        <v>Site Owner</v>
      </c>
      <c r="E2" s="306" t="str">
        <f>IFERROR(__xludf.DUMMYFUNCTION("""COMPUTED_VALUE"""),"Team")</f>
        <v>Team</v>
      </c>
      <c r="F2" s="306" t="str">
        <f>IFERROR(__xludf.DUMMYFUNCTION("""COMPUTED_VALUE"""),"Township")</f>
        <v>Township</v>
      </c>
      <c r="G2" s="306" t="str">
        <f>IFERROR(__xludf.DUMMYFUNCTION("""COMPUTED_VALUE"""),"Manage Staff")</f>
        <v>Manage Staff</v>
      </c>
      <c r="H2" s="307" t="str">
        <f>IFERROR(__xludf.DUMMYFUNCTION("""COMPUTED_VALUE"""),"CT Name (Ph no.)")</f>
        <v>CT Name (Ph no.)</v>
      </c>
      <c r="I2" s="296" t="str">
        <f>IFERROR(__xludf.DUMMYFUNCTION("""COMPUTED_VALUE"""),"Name Of Child Site ID")</f>
        <v>Name Of Child Site ID</v>
      </c>
      <c r="J2" s="296" t="str">
        <f>IFERROR(__xludf.DUMMYFUNCTION("""COMPUTED_VALUE"""),"FBB site")</f>
        <v>FBB site</v>
      </c>
      <c r="K2" s="181"/>
      <c r="L2" s="296" t="str">
        <f>IFERROR(__xludf.DUMMYFUNCTION("""COMPUTED_VALUE"""),"DG Restriction Period")</f>
        <v>DG Restriction Period</v>
      </c>
      <c r="M2" s="296" t="str">
        <f>IFERROR(__xludf.DUMMYFUNCTION("""COMPUTED_VALUE"""),"Power MoDNl")</f>
        <v>Power MoDNl</v>
      </c>
      <c r="N2" s="308" t="str">
        <f>IFERROR(__xludf.DUMMYFUNCTION("""COMPUTED_VALUE"""),"Site need refuel")</f>
        <v>Site need refuel</v>
      </c>
      <c r="O2" s="309" t="str">
        <f>IFERROR(__xludf.DUMMYFUNCTION("""COMPUTED_VALUE"""),"Mains Failure")</f>
        <v>Mains Failure</v>
      </c>
      <c r="P2" s="309" t="str">
        <f>IFERROR(__xludf.DUMMYFUNCTION("""COMPUTED_VALUE"""),"Time main Failure")</f>
        <v>Time main Failure</v>
      </c>
      <c r="Q2" s="309" t="str">
        <f>IFERROR(__xludf.DUMMYFUNCTION("""COMPUTED_VALUE"""),"Door open alarm.")</f>
        <v>Door open alarm.</v>
      </c>
      <c r="R2" s="297" t="str">
        <f>IFERROR(__xludf.DUMMYFUNCTION("""COMPUTED_VALUE"""),"DG Door Alarm")</f>
        <v>DG Door Alarm</v>
      </c>
      <c r="S2" s="309" t="str">
        <f>IFERROR(__xludf.DUMMYFUNCTION("""COMPUTED_VALUE"""),"DG.Start Alarm")</f>
        <v>DG.Start Alarm</v>
      </c>
      <c r="T2" s="310" t="str">
        <f>IFERROR(__xludf.DUMMYFUNCTION("""COMPUTED_VALUE"""),"DG.Start Alarm&gt;16H")</f>
        <v>DG.Start Alarm&gt;16H</v>
      </c>
      <c r="U2" s="311" t="str">
        <f>IFERROR(__xludf.DUMMYFUNCTION("""COMPUTED_VALUE"""),"Battery Temperature High")</f>
        <v>Battery Temperature High</v>
      </c>
      <c r="V2" s="310" t="str">
        <f>IFERROR(__xludf.DUMMYFUNCTION("""COMPUTED_VALUE"""),"Battery Cabinet Smoke Alarm")</f>
        <v>Battery Cabinet Smoke Alarm</v>
      </c>
      <c r="W2" s="311" t="str">
        <f>IFERROR(__xludf.DUMMYFUNCTION("""COMPUTED_VALUE"""),"DG Manual Mode")</f>
        <v>DG Manual Mode</v>
      </c>
      <c r="X2" s="309" t="str">
        <f>IFERROR(__xludf.DUMMYFUNCTION("""COMPUTED_VALUE"""),"DG.Abnormal Alarm")</f>
        <v>DG.Abnormal Alarm</v>
      </c>
      <c r="Y2" s="310" t="str">
        <f>IFERROR(__xludf.DUMMYFUNCTION("""COMPUTED_VALUE"""),"Time Abnormal Alarm")</f>
        <v>Time Abnormal Alarm</v>
      </c>
      <c r="Z2" s="309" t="str">
        <f>IFERROR(__xludf.DUMMYFUNCTION("""COMPUTED_VALUE"""),"DC Voltage Low")</f>
        <v>DC Voltage Low</v>
      </c>
      <c r="AA2" s="311" t="str">
        <f>IFERROR(__xludf.DUMMYFUNCTION("""COMPUTED_VALUE"""),"Time DC LOW")</f>
        <v>Time DC LOW</v>
      </c>
      <c r="AB2" s="312" t="str">
        <f>IFERROR(__xludf.DUMMYFUNCTION("""COMPUTED_VALUE"""),"Downcell Alarm")</f>
        <v>Downcell Alarm</v>
      </c>
      <c r="AC2" s="313" t="str">
        <f>IFERROR(__xludf.DUMMYFUNCTION("""COMPUTED_VALUE"""),"Cell down time")</f>
        <v>Cell down time</v>
      </c>
      <c r="AD2" s="314" t="str">
        <f>IFERROR(__xludf.DUMMYFUNCTION("""COMPUTED_VALUE"""),"Flow Loss")</f>
        <v>Flow Loss</v>
      </c>
      <c r="AE2" s="313" t="str">
        <f>IFERROR(__xludf.DUMMYFUNCTION("""COMPUTED_VALUE"""),"Site down time")</f>
        <v>Site down time</v>
      </c>
      <c r="AF2" s="308" t="str">
        <f>IFERROR(__xludf.DUMMYFUNCTION("""COMPUTED_VALUE"""),"Sub")</f>
        <v>Sub</v>
      </c>
      <c r="AG2" s="315" t="str">
        <f>IFERROR(__xludf.DUMMYFUNCTION("""COMPUTED_VALUE"""),"Share ETA/Note")</f>
        <v>Share ETA/Note</v>
      </c>
      <c r="AH2" s="315" t="str">
        <f>IFERROR(__xludf.DUMMYFUNCTION("""COMPUTED_VALUE"""),"Progress Check Cell down ")</f>
        <v>Progress Check Cell down </v>
      </c>
      <c r="AI2" s="296" t="str">
        <f>IFERROR(__xludf.DUMMYFUNCTION("""COMPUTED_VALUE"""),"MYT Need to support Material")</f>
        <v>MYT Need to support Material</v>
      </c>
      <c r="AJ2" s="296" t="str">
        <f>IFERROR(__xludf.DUMMYFUNCTION("""COMPUTED_VALUE"""),"Reason NOC PRO")</f>
        <v>Reason NOC PRO</v>
      </c>
      <c r="AK2" s="296" t="str">
        <f>IFERROR(__xludf.DUMMYFUNCTION("""COMPUTED_VALUE"""),"Resolve")</f>
        <v>Resolve</v>
      </c>
      <c r="AL2" s="308" t="str">
        <f>IFERROR(__xludf.DUMMYFUNCTION("""COMPUTED_VALUE"""),"Cell Site Down")</f>
        <v>Cell Site Down</v>
      </c>
      <c r="AM2" s="316" t="str">
        <f>IFERROR(__xludf.DUMMYFUNCTION("""COMPUTED_VALUE"""),"Site error")</f>
        <v>Site error</v>
      </c>
      <c r="AN2" s="154"/>
      <c r="AO2" s="154"/>
      <c r="AP2" s="154"/>
      <c r="AQ2" s="154"/>
      <c r="AR2" s="154"/>
      <c r="AS2" s="154"/>
      <c r="AT2" s="154"/>
    </row>
    <row r="3">
      <c r="A3" s="181"/>
      <c r="B3" s="181"/>
      <c r="C3" s="317"/>
      <c r="D3" s="181"/>
      <c r="E3" s="181"/>
      <c r="F3" s="181"/>
      <c r="G3" s="181"/>
      <c r="H3" s="181"/>
      <c r="I3" s="181"/>
      <c r="J3" s="181"/>
      <c r="K3" s="181"/>
      <c r="L3" s="181"/>
      <c r="M3" s="181"/>
      <c r="N3" s="181"/>
      <c r="O3" s="318"/>
      <c r="P3" s="319"/>
      <c r="Q3" s="320"/>
      <c r="R3" s="321"/>
      <c r="S3" s="322"/>
      <c r="T3" s="323"/>
      <c r="U3" s="324"/>
      <c r="V3" s="324"/>
      <c r="W3" s="324"/>
      <c r="X3" s="325"/>
      <c r="Y3" s="326"/>
      <c r="Z3" s="320"/>
      <c r="AA3" s="321"/>
      <c r="AB3" s="327"/>
      <c r="AC3" s="328"/>
      <c r="AD3" s="327"/>
      <c r="AE3" s="328"/>
      <c r="AF3" s="329"/>
      <c r="AG3" s="330"/>
      <c r="AH3" s="330"/>
      <c r="AI3" s="330"/>
      <c r="AJ3" s="331"/>
      <c r="AK3" s="332"/>
      <c r="AL3" s="232"/>
      <c r="AM3" s="121"/>
      <c r="AN3" s="121"/>
      <c r="AO3" s="121"/>
      <c r="AP3" s="121"/>
      <c r="AQ3" s="121"/>
      <c r="AR3" s="121"/>
      <c r="AS3" s="121"/>
      <c r="AT3" s="121"/>
    </row>
    <row r="4">
      <c r="A4" s="296">
        <f>IFERROR(__xludf.DUMMYFUNCTION("query(IMPORTRANGE(""https://docs.google.com/spreadsheets/d/1aAMxzyhiiYYZ1Hl8n8VYgXTfu3Cx_ivX6X-WSzXbFcI/edit?gid=1131772575#gid=1131772575"",""2. Control!A4:AM""),""select*"")"),1.0)</f>
        <v>1</v>
      </c>
      <c r="B4" s="333" t="str">
        <f>IFERROR(__xludf.DUMMYFUNCTION("""COMPUTED_VALUE"""),"TNI0427")</f>
        <v>TNI0427</v>
      </c>
      <c r="C4" s="334" t="str">
        <f>IFERROR(__xludf.DUMMYFUNCTION("""COMPUTED_VALUE"""),"C")</f>
        <v>C</v>
      </c>
      <c r="D4" s="335" t="str">
        <f>IFERROR(__xludf.DUMMYFUNCTION("""COMPUTED_VALUE"""),"Edotco")</f>
        <v>Edotco</v>
      </c>
      <c r="E4" s="336" t="str">
        <f>IFERROR(__xludf.DUMMYFUNCTION("""COMPUTED_VALUE"""),"T1")</f>
        <v>T1</v>
      </c>
      <c r="F4" s="335" t="str">
        <f>IFERROR(__xludf.DUMMYFUNCTION("""COMPUTED_VALUE"""),"Dawei")</f>
        <v>Dawei</v>
      </c>
      <c r="G4" s="337" t="str">
        <f>IFERROR(__xludf.DUMMYFUNCTION("""COMPUTED_VALUE"""),"-")</f>
        <v>-</v>
      </c>
      <c r="H4" s="337"/>
      <c r="I4" s="232"/>
      <c r="J4" s="232"/>
      <c r="K4" s="338">
        <f>IFERROR(__xludf.DUMMYFUNCTION("""COMPUTED_VALUE"""),90.0)</f>
        <v>90</v>
      </c>
      <c r="L4" s="335" t="str">
        <f>IFERROR(__xludf.DUMMYFUNCTION("""COMPUTED_VALUE"""),"24*7")</f>
        <v>24*7</v>
      </c>
      <c r="M4" s="335" t="str">
        <f>IFERROR(__xludf.DUMMYFUNCTION("""COMPUTED_VALUE"""),"1DG+BB")</f>
        <v>1DG+BB</v>
      </c>
      <c r="N4" s="339" t="str">
        <f>IFERROR(__xludf.DUMMYFUNCTION("""COMPUTED_VALUE"""),"ok")</f>
        <v>ok</v>
      </c>
      <c r="O4" s="318"/>
      <c r="P4" s="318"/>
      <c r="Q4" s="320"/>
      <c r="R4" s="321"/>
      <c r="S4" s="322"/>
      <c r="T4" s="323"/>
      <c r="U4" s="340"/>
      <c r="V4" s="324"/>
      <c r="W4" s="340"/>
      <c r="X4" s="325"/>
      <c r="Y4" s="326"/>
      <c r="Z4" s="320"/>
      <c r="AA4" s="320"/>
      <c r="AB4" s="341">
        <f>IFERROR(__xludf.DUMMYFUNCTION("""COMPUTED_VALUE"""),46184.062210648146)</f>
        <v>46184.06221</v>
      </c>
      <c r="AC4" s="342">
        <f>IFERROR(__xludf.DUMMYFUNCTION("""COMPUTED_VALUE"""),521.1362602778245)</f>
        <v>521.1362603</v>
      </c>
      <c r="AD4" s="343">
        <f>IFERROR(__xludf.DUMMYFUNCTION("""COMPUTED_VALUE"""),46184.06215277778)</f>
        <v>46184.06215</v>
      </c>
      <c r="AE4" s="342">
        <f>IFERROR(__xludf.DUMMYFUNCTION("""COMPUTED_VALUE"""),521.1376491666888)</f>
        <v>521.1376492</v>
      </c>
      <c r="AF4" s="165">
        <f>IFERROR(__xludf.DUMMYFUNCTION("""COMPUTED_VALUE"""),0.0)</f>
        <v>0</v>
      </c>
      <c r="AG4" s="344" t="str">
        <f>IFERROR(__xludf.DUMMYFUNCTION("""COMPUTED_VALUE"""),"Unsafe, checking with team")</f>
        <v>Unsafe, checking with team</v>
      </c>
      <c r="AH4" s="344" t="str">
        <f>IFERROR(__xludf.DUMMYFUNCTION("""COMPUTED_VALUE"""),"T-NYC")</f>
        <v>T-NYC</v>
      </c>
      <c r="AI4" s="330" t="str">
        <f>IFERROR(__xludf.DUMMYFUNCTION("""COMPUTED_VALUE"""),"Local team not access")</f>
        <v>Local team not access</v>
      </c>
      <c r="AJ4" s="345"/>
      <c r="AK4" s="346"/>
      <c r="AL4" s="303">
        <f>IFERROR(__xludf.DUMMYFUNCTION("""COMPUTED_VALUE"""),0.0)</f>
        <v>0</v>
      </c>
      <c r="AM4" s="304">
        <f>IFERROR(__xludf.DUMMYFUNCTION("""COMPUTED_VALUE"""),0.0)</f>
        <v>0</v>
      </c>
      <c r="AN4" s="121"/>
      <c r="AO4" s="121"/>
      <c r="AP4" s="121"/>
      <c r="AQ4" s="121"/>
      <c r="AR4" s="121"/>
      <c r="AS4" s="121"/>
      <c r="AT4" s="121"/>
    </row>
    <row r="5">
      <c r="A5" s="335">
        <f>IFERROR(__xludf.DUMMYFUNCTION("""COMPUTED_VALUE"""),2.0)</f>
        <v>2</v>
      </c>
      <c r="B5" s="333" t="str">
        <f>IFERROR(__xludf.DUMMYFUNCTION("""COMPUTED_VALUE"""),"TNI0276")</f>
        <v>TNI0276</v>
      </c>
      <c r="C5" s="334" t="str">
        <f>IFERROR(__xludf.DUMMYFUNCTION("""COMPUTED_VALUE"""),"C")</f>
        <v>C</v>
      </c>
      <c r="D5" s="335" t="str">
        <f>IFERROR(__xludf.DUMMYFUNCTION("""COMPUTED_VALUE"""),"IGT")</f>
        <v>IGT</v>
      </c>
      <c r="E5" s="336" t="str">
        <f>IFERROR(__xludf.DUMMYFUNCTION("""COMPUTED_VALUE"""),"T1")</f>
        <v>T1</v>
      </c>
      <c r="F5" s="335" t="str">
        <f>IFERROR(__xludf.DUMMYFUNCTION("""COMPUTED_VALUE"""),"Dawei")</f>
        <v>Dawei</v>
      </c>
      <c r="G5" s="337" t="str">
        <f>IFERROR(__xludf.DUMMYFUNCTION("""COMPUTED_VALUE"""),"Aung Lwin Phyo")</f>
        <v>Aung Lwin Phyo</v>
      </c>
      <c r="H5" s="232"/>
      <c r="I5" s="232"/>
      <c r="J5" s="232"/>
      <c r="K5" s="338">
        <f>IFERROR(__xludf.DUMMYFUNCTION("""COMPUTED_VALUE"""),30.0)</f>
        <v>30</v>
      </c>
      <c r="L5" s="335" t="str">
        <f>IFERROR(__xludf.DUMMYFUNCTION("""COMPUTED_VALUE"""),"24*7")</f>
        <v>24*7</v>
      </c>
      <c r="M5" s="335" t="str">
        <f>IFERROR(__xludf.DUMMYFUNCTION("""COMPUTED_VALUE"""),"Grid+BB")</f>
        <v>Grid+BB</v>
      </c>
      <c r="N5" s="339" t="str">
        <f>IFERROR(__xludf.DUMMYFUNCTION("""COMPUTED_VALUE"""),"ok")</f>
        <v>ok</v>
      </c>
      <c r="O5" s="318"/>
      <c r="P5" s="318"/>
      <c r="Q5" s="320"/>
      <c r="R5" s="321"/>
      <c r="S5" s="322"/>
      <c r="T5" s="323"/>
      <c r="U5" s="340"/>
      <c r="V5" s="324"/>
      <c r="W5" s="340"/>
      <c r="X5" s="325"/>
      <c r="Y5" s="326"/>
      <c r="Z5" s="320"/>
      <c r="AA5" s="320"/>
      <c r="AB5" s="341">
        <f>IFERROR(__xludf.DUMMYFUNCTION("""COMPUTED_VALUE"""),46205.582141203704)</f>
        <v>46205.58214</v>
      </c>
      <c r="AC5" s="342">
        <f>IFERROR(__xludf.DUMMYFUNCTION("""COMPUTED_VALUE"""),4.6579269444337115)</f>
        <v>4.657926944</v>
      </c>
      <c r="AD5" s="343">
        <f>IFERROR(__xludf.DUMMYFUNCTION("""COMPUTED_VALUE"""),46205.59936342592)</f>
        <v>46205.59936</v>
      </c>
      <c r="AE5" s="342">
        <f>IFERROR(__xludf.DUMMYFUNCTION("""COMPUTED_VALUE"""),4.244593611045275)</f>
        <v>4.244593611</v>
      </c>
      <c r="AF5" s="165">
        <f>IFERROR(__xludf.DUMMYFUNCTION("""COMPUTED_VALUE"""),0.0)</f>
        <v>0</v>
      </c>
      <c r="AG5" s="344" t="str">
        <f>IFERROR(__xludf.DUMMYFUNCTION("""COMPUTED_VALUE"""),"Team onsite doing")</f>
        <v>Team onsite doing</v>
      </c>
      <c r="AH5" s="344"/>
      <c r="AI5" s="330" t="str">
        <f>IFERROR(__xludf.DUMMYFUNCTION("""COMPUTED_VALUE"""),"Local team not access")</f>
        <v>Local team not access</v>
      </c>
      <c r="AJ5" s="345" t="str">
        <f>IFERROR(__xludf.DUMMYFUNCTION("""COMPUTED_VALUE"""),"TCO_Loss_Power_Cannot_Access(Sercurity,Owner…)")</f>
        <v>TCO_Loss_Power_Cannot_Access(Sercurity,Owner…)</v>
      </c>
      <c r="AK5" s="346" t="str">
        <f>IFERROR(__xludf.DUMMYFUNCTION("""COMPUTED_VALUE"""),"long pending site down since 10/04/2024 15:25:08/Unsafe area")</f>
        <v>long pending site down since 10/04/2024 15:25:08/Unsafe area</v>
      </c>
      <c r="AL5" s="303">
        <f>IFERROR(__xludf.DUMMYFUNCTION("""COMPUTED_VALUE"""),1.0)</f>
        <v>1</v>
      </c>
      <c r="AM5" s="304">
        <f>IFERROR(__xludf.DUMMYFUNCTION("""COMPUTED_VALUE"""),1.0)</f>
        <v>1</v>
      </c>
      <c r="AN5" s="121"/>
      <c r="AO5" s="121"/>
      <c r="AP5" s="121"/>
      <c r="AQ5" s="121"/>
      <c r="AR5" s="121"/>
      <c r="AS5" s="121"/>
      <c r="AT5" s="121"/>
    </row>
    <row r="6">
      <c r="A6" s="335">
        <f>IFERROR(__xludf.DUMMYFUNCTION("""COMPUTED_VALUE"""),3.0)</f>
        <v>3</v>
      </c>
      <c r="B6" s="333" t="str">
        <f>IFERROR(__xludf.DUMMYFUNCTION("""COMPUTED_VALUE"""),"TNI0192")</f>
        <v>TNI0192</v>
      </c>
      <c r="C6" s="334" t="str">
        <f>IFERROR(__xludf.DUMMYFUNCTION("""COMPUTED_VALUE"""),"C")</f>
        <v>C</v>
      </c>
      <c r="D6" s="333" t="str">
        <f>IFERROR(__xludf.DUMMYFUNCTION("""COMPUTED_VALUE"""),"Mytel")</f>
        <v>Mytel</v>
      </c>
      <c r="E6" s="336" t="str">
        <f>IFERROR(__xludf.DUMMYFUNCTION("""COMPUTED_VALUE"""),"T1")</f>
        <v>T1</v>
      </c>
      <c r="F6" s="347" t="str">
        <f>IFERROR(__xludf.DUMMYFUNCTION("""COMPUTED_VALUE"""),"Dawei")</f>
        <v>Dawei</v>
      </c>
      <c r="G6" s="347" t="str">
        <f>IFERROR(__xludf.DUMMYFUNCTION("""COMPUTED_VALUE"""),"-")</f>
        <v>-</v>
      </c>
      <c r="H6" s="181"/>
      <c r="I6" s="181"/>
      <c r="J6" s="181"/>
      <c r="K6" s="348">
        <f>IFERROR(__xludf.DUMMYFUNCTION("""COMPUTED_VALUE"""),90.0)</f>
        <v>90</v>
      </c>
      <c r="L6" s="349" t="str">
        <f>IFERROR(__xludf.DUMMYFUNCTION("""COMPUTED_VALUE"""),"24*7")</f>
        <v>24*7</v>
      </c>
      <c r="M6" s="349" t="str">
        <f>IFERROR(__xludf.DUMMYFUNCTION("""COMPUTED_VALUE"""),"1DG+Grid+BB")</f>
        <v>1DG+Grid+BB</v>
      </c>
      <c r="N6" s="350" t="str">
        <f>IFERROR(__xludf.DUMMYFUNCTION("""COMPUTED_VALUE"""),"ok")</f>
        <v>ok</v>
      </c>
      <c r="O6" s="351"/>
      <c r="P6" s="351"/>
      <c r="Q6" s="320"/>
      <c r="R6" s="321"/>
      <c r="S6" s="322"/>
      <c r="T6" s="323"/>
      <c r="U6" s="340"/>
      <c r="V6" s="352"/>
      <c r="W6" s="340"/>
      <c r="X6" s="353"/>
      <c r="Y6" s="354"/>
      <c r="Z6" s="355"/>
      <c r="AA6" s="355"/>
      <c r="AB6" s="341"/>
      <c r="AC6" s="342"/>
      <c r="AD6" s="343"/>
      <c r="AE6" s="342"/>
      <c r="AF6" s="165">
        <f>IFERROR(__xludf.DUMMYFUNCTION("""COMPUTED_VALUE"""),0.0)</f>
        <v>0</v>
      </c>
      <c r="AG6" s="344" t="str">
        <f>IFERROR(__xludf.DUMMYFUNCTION("""COMPUTED_VALUE"""),"Unsafe")</f>
        <v>Unsafe</v>
      </c>
      <c r="AH6" s="330"/>
      <c r="AI6" s="330"/>
      <c r="AJ6" s="345"/>
      <c r="AK6" s="346"/>
      <c r="AL6" s="303">
        <f>IFERROR(__xludf.DUMMYFUNCTION("""COMPUTED_VALUE"""),0.0)</f>
        <v>0</v>
      </c>
      <c r="AM6" s="304">
        <f>IFERROR(__xludf.DUMMYFUNCTION("""COMPUTED_VALUE"""),0.0)</f>
        <v>0</v>
      </c>
      <c r="AN6" s="121"/>
      <c r="AO6" s="121"/>
      <c r="AP6" s="121"/>
      <c r="AQ6" s="121"/>
      <c r="AR6" s="121"/>
      <c r="AS6" s="121"/>
      <c r="AT6" s="121"/>
    </row>
    <row r="7">
      <c r="A7" s="335">
        <f>IFERROR(__xludf.DUMMYFUNCTION("""COMPUTED_VALUE"""),4.0)</f>
        <v>4</v>
      </c>
      <c r="B7" s="333" t="str">
        <f>IFERROR(__xludf.DUMMYFUNCTION("""COMPUTED_VALUE"""),"TNI0285")</f>
        <v>TNI0285</v>
      </c>
      <c r="C7" s="334" t="str">
        <f>IFERROR(__xludf.DUMMYFUNCTION("""COMPUTED_VALUE"""),"C")</f>
        <v>C</v>
      </c>
      <c r="D7" s="333" t="str">
        <f>IFERROR(__xludf.DUMMYFUNCTION("""COMPUTED_VALUE"""),"Mytel")</f>
        <v>Mytel</v>
      </c>
      <c r="E7" s="336" t="str">
        <f>IFERROR(__xludf.DUMMYFUNCTION("""COMPUTED_VALUE"""),"T1")</f>
        <v>T1</v>
      </c>
      <c r="F7" s="347" t="str">
        <f>IFERROR(__xludf.DUMMYFUNCTION("""COMPUTED_VALUE"""),"Dawei")</f>
        <v>Dawei</v>
      </c>
      <c r="G7" s="347" t="str">
        <f>IFERROR(__xludf.DUMMYFUNCTION("""COMPUTED_VALUE"""),"-")</f>
        <v>-</v>
      </c>
      <c r="H7" s="232"/>
      <c r="I7" s="181"/>
      <c r="J7" s="232"/>
      <c r="K7" s="338">
        <f>IFERROR(__xludf.DUMMYFUNCTION("""COMPUTED_VALUE"""),90.0)</f>
        <v>90</v>
      </c>
      <c r="L7" s="335" t="str">
        <f>IFERROR(__xludf.DUMMYFUNCTION("""COMPUTED_VALUE"""),"24*7")</f>
        <v>24*7</v>
      </c>
      <c r="M7" s="335" t="str">
        <f>IFERROR(__xludf.DUMMYFUNCTION("""COMPUTED_VALUE"""),"1DG+Grid+BB")</f>
        <v>1DG+Grid+BB</v>
      </c>
      <c r="N7" s="339" t="str">
        <f>IFERROR(__xludf.DUMMYFUNCTION("""COMPUTED_VALUE"""),"ok")</f>
        <v>ok</v>
      </c>
      <c r="O7" s="318"/>
      <c r="P7" s="318"/>
      <c r="Q7" s="320"/>
      <c r="R7" s="321"/>
      <c r="S7" s="322"/>
      <c r="T7" s="323"/>
      <c r="U7" s="340"/>
      <c r="V7" s="352"/>
      <c r="W7" s="340"/>
      <c r="X7" s="353"/>
      <c r="Y7" s="354"/>
      <c r="Z7" s="355"/>
      <c r="AA7" s="355"/>
      <c r="AB7" s="341"/>
      <c r="AC7" s="342"/>
      <c r="AD7" s="343">
        <f>IFERROR(__xludf.DUMMYFUNCTION("""COMPUTED_VALUE"""),45848.40043981481)</f>
        <v>45848.40044</v>
      </c>
      <c r="AE7" s="342">
        <f>IFERROR(__xludf.DUMMYFUNCTION("""COMPUTED_VALUE"""),8577.018761666666)</f>
        <v>8577.018762</v>
      </c>
      <c r="AF7" s="165">
        <f>IFERROR(__xludf.DUMMYFUNCTION("""COMPUTED_VALUE"""),1.0)</f>
        <v>1</v>
      </c>
      <c r="AG7" s="344" t="str">
        <f>IFERROR(__xludf.DUMMYFUNCTION("""COMPUTED_VALUE"""),"Unsafe")</f>
        <v>Unsafe</v>
      </c>
      <c r="AH7" s="330"/>
      <c r="AI7" s="330" t="str">
        <f>IFERROR(__xludf.DUMMYFUNCTION("""COMPUTED_VALUE"""),"Waiting Army permission")</f>
        <v>Waiting Army permission</v>
      </c>
      <c r="AJ7" s="345" t="str">
        <f>IFERROR(__xludf.DUMMYFUNCTION("""COMPUTED_VALUE"""),"Natural Calamity_Cannot Get To Site Because Of Natural Calamity,Security Problems")</f>
        <v>Natural Calamity_Cannot Get To Site Because Of Natural Calamity,Security Problems</v>
      </c>
      <c r="AK7" s="346" t="str">
        <f>IFERROR(__xludf.DUMMYFUNCTION("""COMPUTED_VALUE"""),"War zone")</f>
        <v>War zone</v>
      </c>
      <c r="AL7" s="303">
        <f>IFERROR(__xludf.DUMMYFUNCTION("""COMPUTED_VALUE"""),0.0)</f>
        <v>0</v>
      </c>
      <c r="AM7" s="304">
        <f>IFERROR(__xludf.DUMMYFUNCTION("""COMPUTED_VALUE"""),0.0)</f>
        <v>0</v>
      </c>
      <c r="AN7" s="121"/>
      <c r="AO7" s="121"/>
      <c r="AP7" s="121"/>
      <c r="AQ7" s="121"/>
      <c r="AR7" s="121"/>
      <c r="AS7" s="121"/>
      <c r="AT7" s="121"/>
    </row>
    <row r="8">
      <c r="A8" s="335">
        <f>IFERROR(__xludf.DUMMYFUNCTION("""COMPUTED_VALUE"""),5.0)</f>
        <v>5</v>
      </c>
      <c r="B8" s="333" t="str">
        <f>IFERROR(__xludf.DUMMYFUNCTION("""COMPUTED_VALUE"""),"TNI0287")</f>
        <v>TNI0287</v>
      </c>
      <c r="C8" s="334" t="str">
        <f>IFERROR(__xludf.DUMMYFUNCTION("""COMPUTED_VALUE"""),"C")</f>
        <v>C</v>
      </c>
      <c r="D8" s="333" t="str">
        <f>IFERROR(__xludf.DUMMYFUNCTION("""COMPUTED_VALUE"""),"Mytel")</f>
        <v>Mytel</v>
      </c>
      <c r="E8" s="336" t="str">
        <f>IFERROR(__xludf.DUMMYFUNCTION("""COMPUTED_VALUE"""),"T1")</f>
        <v>T1</v>
      </c>
      <c r="F8" s="347" t="str">
        <f>IFERROR(__xludf.DUMMYFUNCTION("""COMPUTED_VALUE"""),"Dawei")</f>
        <v>Dawei</v>
      </c>
      <c r="G8" s="347" t="str">
        <f>IFERROR(__xludf.DUMMYFUNCTION("""COMPUTED_VALUE"""),"-")</f>
        <v>-</v>
      </c>
      <c r="H8" s="232"/>
      <c r="I8" s="181"/>
      <c r="J8" s="335"/>
      <c r="K8" s="338">
        <f>IFERROR(__xludf.DUMMYFUNCTION("""COMPUTED_VALUE"""),120.0)</f>
        <v>120</v>
      </c>
      <c r="L8" s="335" t="str">
        <f>IFERROR(__xludf.DUMMYFUNCTION("""COMPUTED_VALUE"""),"24*7")</f>
        <v>24*7</v>
      </c>
      <c r="M8" s="335" t="str">
        <f>IFERROR(__xludf.DUMMYFUNCTION("""COMPUTED_VALUE"""),"1DG+Grid+BB")</f>
        <v>1DG+Grid+BB</v>
      </c>
      <c r="N8" s="339" t="str">
        <f>IFERROR(__xludf.DUMMYFUNCTION("""COMPUTED_VALUE"""),"ok")</f>
        <v>ok</v>
      </c>
      <c r="O8" s="351"/>
      <c r="P8" s="351"/>
      <c r="Q8" s="320"/>
      <c r="R8" s="321"/>
      <c r="S8" s="322"/>
      <c r="T8" s="323"/>
      <c r="U8" s="340"/>
      <c r="V8" s="352"/>
      <c r="W8" s="340"/>
      <c r="X8" s="325"/>
      <c r="Y8" s="326"/>
      <c r="Z8" s="320"/>
      <c r="AA8" s="320"/>
      <c r="AB8" s="341"/>
      <c r="AC8" s="342"/>
      <c r="AD8" s="343">
        <f>IFERROR(__xludf.DUMMYFUNCTION("""COMPUTED_VALUE"""),45848.400405092594)</f>
        <v>45848.40041</v>
      </c>
      <c r="AE8" s="342">
        <f>IFERROR(__xludf.DUMMYFUNCTION("""COMPUTED_VALUE"""),8577.01959500002)</f>
        <v>8577.019595</v>
      </c>
      <c r="AF8" s="165">
        <f>IFERROR(__xludf.DUMMYFUNCTION("""COMPUTED_VALUE"""),0.0)</f>
        <v>0</v>
      </c>
      <c r="AG8" s="344" t="str">
        <f>IFERROR(__xludf.DUMMYFUNCTION("""COMPUTED_VALUE"""),"Unsafe")</f>
        <v>Unsafe</v>
      </c>
      <c r="AH8" s="330"/>
      <c r="AI8" s="330" t="str">
        <f>IFERROR(__xludf.DUMMYFUNCTION("""COMPUTED_VALUE"""),"Local team not access")</f>
        <v>Local team not access</v>
      </c>
      <c r="AJ8" s="345" t="str">
        <f>IFERROR(__xludf.DUMMYFUNCTION("""COMPUTED_VALUE"""),"Natural Calamity_Cannot Get To Site Because Of Natural Calamity,Security Problems")</f>
        <v>Natural Calamity_Cannot Get To Site Because Of Natural Calamity,Security Problems</v>
      </c>
      <c r="AK8" s="346" t="str">
        <f>IFERROR(__xludf.DUMMYFUNCTION("""COMPUTED_VALUE"""),"War zone")</f>
        <v>War zone</v>
      </c>
      <c r="AL8" s="303">
        <f>IFERROR(__xludf.DUMMYFUNCTION("""COMPUTED_VALUE"""),0.0)</f>
        <v>0</v>
      </c>
      <c r="AM8" s="304">
        <f>IFERROR(__xludf.DUMMYFUNCTION("""COMPUTED_VALUE"""),0.0)</f>
        <v>0</v>
      </c>
      <c r="AN8" s="121"/>
      <c r="AO8" s="121"/>
      <c r="AP8" s="121"/>
      <c r="AQ8" s="121"/>
      <c r="AR8" s="121"/>
      <c r="AS8" s="121"/>
      <c r="AT8" s="121"/>
    </row>
    <row r="9">
      <c r="A9" s="335">
        <f>IFERROR(__xludf.DUMMYFUNCTION("""COMPUTED_VALUE"""),6.0)</f>
        <v>6</v>
      </c>
      <c r="B9" s="333" t="str">
        <f>IFERROR(__xludf.DUMMYFUNCTION("""COMPUTED_VALUE"""),"TNI0318")</f>
        <v>TNI0318</v>
      </c>
      <c r="C9" s="334" t="str">
        <f>IFERROR(__xludf.DUMMYFUNCTION("""COMPUTED_VALUE"""),"C")</f>
        <v>C</v>
      </c>
      <c r="D9" s="333" t="str">
        <f>IFERROR(__xludf.DUMMYFUNCTION("""COMPUTED_VALUE"""),"Mytel")</f>
        <v>Mytel</v>
      </c>
      <c r="E9" s="336" t="str">
        <f>IFERROR(__xludf.DUMMYFUNCTION("""COMPUTED_VALUE"""),"T1")</f>
        <v>T1</v>
      </c>
      <c r="F9" s="347" t="str">
        <f>IFERROR(__xludf.DUMMYFUNCTION("""COMPUTED_VALUE"""),"Dawei")</f>
        <v>Dawei</v>
      </c>
      <c r="G9" s="347" t="str">
        <f>IFERROR(__xludf.DUMMYFUNCTION("""COMPUTED_VALUE"""),"-")</f>
        <v>-</v>
      </c>
      <c r="H9" s="337"/>
      <c r="I9" s="181"/>
      <c r="J9" s="232"/>
      <c r="K9" s="338">
        <f>IFERROR(__xludf.DUMMYFUNCTION("""COMPUTED_VALUE"""),180.0)</f>
        <v>180</v>
      </c>
      <c r="L9" s="335" t="str">
        <f>IFERROR(__xludf.DUMMYFUNCTION("""COMPUTED_VALUE"""),"24*7")</f>
        <v>24*7</v>
      </c>
      <c r="M9" s="335" t="str">
        <f>IFERROR(__xludf.DUMMYFUNCTION("""COMPUTED_VALUE"""),"1DG+BB")</f>
        <v>1DG+BB</v>
      </c>
      <c r="N9" s="339" t="str">
        <f>IFERROR(__xludf.DUMMYFUNCTION("""COMPUTED_VALUE"""),"ok")</f>
        <v>ok</v>
      </c>
      <c r="O9" s="318"/>
      <c r="P9" s="318"/>
      <c r="Q9" s="320"/>
      <c r="R9" s="321"/>
      <c r="S9" s="322"/>
      <c r="T9" s="323"/>
      <c r="U9" s="340"/>
      <c r="V9" s="324"/>
      <c r="W9" s="340"/>
      <c r="X9" s="325"/>
      <c r="Y9" s="326"/>
      <c r="Z9" s="320"/>
      <c r="AA9" s="320"/>
      <c r="AB9" s="343"/>
      <c r="AC9" s="342"/>
      <c r="AD9" s="343">
        <f>IFERROR(__xludf.DUMMYFUNCTION("""COMPUTED_VALUE"""),45848.400775462964)</f>
        <v>45848.40078</v>
      </c>
      <c r="AE9" s="342">
        <f>IFERROR(__xludf.DUMMYFUNCTION("""COMPUTED_VALUE"""),8577.010706111148)</f>
        <v>8577.010706</v>
      </c>
      <c r="AF9" s="329">
        <f>IFERROR(__xludf.DUMMYFUNCTION("""COMPUTED_VALUE"""),0.0)</f>
        <v>0</v>
      </c>
      <c r="AG9" s="344" t="str">
        <f>IFERROR(__xludf.DUMMYFUNCTION("""COMPUTED_VALUE"""),"Unsafe")</f>
        <v>Unsafe</v>
      </c>
      <c r="AH9" s="330"/>
      <c r="AI9" s="330" t="str">
        <f>IFERROR(__xludf.DUMMYFUNCTION("""COMPUTED_VALUE"""),"Local team not access")</f>
        <v>Local team not access</v>
      </c>
      <c r="AJ9" s="345" t="str">
        <f>IFERROR(__xludf.DUMMYFUNCTION("""COMPUTED_VALUE"""),"Natural Calamity_Cannot Get To Site Because Of Natural Calamity,Security Problems")</f>
        <v>Natural Calamity_Cannot Get To Site Because Of Natural Calamity,Security Problems</v>
      </c>
      <c r="AK9" s="346" t="str">
        <f>IFERROR(__xludf.DUMMYFUNCTION("""COMPUTED_VALUE"""),"War zone")</f>
        <v>War zone</v>
      </c>
      <c r="AL9" s="303">
        <f>IFERROR(__xludf.DUMMYFUNCTION("""COMPUTED_VALUE"""),0.0)</f>
        <v>0</v>
      </c>
      <c r="AM9" s="304">
        <f>IFERROR(__xludf.DUMMYFUNCTION("""COMPUTED_VALUE"""),0.0)</f>
        <v>0</v>
      </c>
      <c r="AN9" s="121"/>
      <c r="AO9" s="121"/>
      <c r="AP9" s="121"/>
      <c r="AQ9" s="121"/>
      <c r="AR9" s="121"/>
      <c r="AS9" s="121"/>
      <c r="AT9" s="121"/>
    </row>
    <row r="10">
      <c r="A10" s="335">
        <f>IFERROR(__xludf.DUMMYFUNCTION("""COMPUTED_VALUE"""),7.0)</f>
        <v>7</v>
      </c>
      <c r="B10" s="333" t="str">
        <f>IFERROR(__xludf.DUMMYFUNCTION("""COMPUTED_VALUE"""),"TNI0328")</f>
        <v>TNI0328</v>
      </c>
      <c r="C10" s="334" t="str">
        <f>IFERROR(__xludf.DUMMYFUNCTION("""COMPUTED_VALUE"""),"B")</f>
        <v>B</v>
      </c>
      <c r="D10" s="333" t="str">
        <f>IFERROR(__xludf.DUMMYFUNCTION("""COMPUTED_VALUE"""),"MEC")</f>
        <v>MEC</v>
      </c>
      <c r="E10" s="336" t="str">
        <f>IFERROR(__xludf.DUMMYFUNCTION("""COMPUTED_VALUE"""),"T1")</f>
        <v>T1</v>
      </c>
      <c r="F10" s="347" t="str">
        <f>IFERROR(__xludf.DUMMYFUNCTION("""COMPUTED_VALUE"""),"Launglon")</f>
        <v>Launglon</v>
      </c>
      <c r="G10" s="347" t="str">
        <f>IFERROR(__xludf.DUMMYFUNCTION("""COMPUTED_VALUE"""),"Bone Myat Naing")</f>
        <v>Bone Myat Naing</v>
      </c>
      <c r="H10" s="232"/>
      <c r="I10" s="181"/>
      <c r="J10" s="232"/>
      <c r="K10" s="338">
        <f>IFERROR(__xludf.DUMMYFUNCTION("""COMPUTED_VALUE"""),90.0)</f>
        <v>90</v>
      </c>
      <c r="L10" s="335" t="str">
        <f>IFERROR(__xludf.DUMMYFUNCTION("""COMPUTED_VALUE"""),"24*7")</f>
        <v>24*7</v>
      </c>
      <c r="M10" s="335" t="str">
        <f>IFERROR(__xludf.DUMMYFUNCTION("""COMPUTED_VALUE"""),"1DG+BB")</f>
        <v>1DG+BB</v>
      </c>
      <c r="N10" s="339" t="str">
        <f>IFERROR(__xludf.DUMMYFUNCTION("""COMPUTED_VALUE"""),"0")</f>
        <v>0</v>
      </c>
      <c r="O10" s="351"/>
      <c r="P10" s="351"/>
      <c r="Q10" s="320" t="str">
        <f>IFERROR(__xludf.DUMMYFUNCTION("""COMPUTED_VALUE""")," +Door Alarm: 01/11/2023 14:54 +Battery Door: 18/03/2026 15:41")</f>
        <v> +Door Alarm: 01/11/2023 14:54 +Battery Door: 18/03/2026 15:41</v>
      </c>
      <c r="R10" s="321">
        <f>IFERROR(__xludf.DUMMYFUNCTION("""COMPUTED_VALUE"""),2545.63)</f>
        <v>2545.63</v>
      </c>
      <c r="S10" s="322"/>
      <c r="T10" s="323"/>
      <c r="U10" s="340"/>
      <c r="V10" s="324"/>
      <c r="W10" s="340"/>
      <c r="X10" s="353">
        <f>IFERROR(__xludf.DUMMYFUNCTION("""COMPUTED_VALUE"""),46122.54516203704)</f>
        <v>46122.54516</v>
      </c>
      <c r="Y10" s="354">
        <f>IFERROR(__xludf.DUMMYFUNCTION("""COMPUTED_VALUE"""),1997.5454283333966)</f>
        <v>1997.545428</v>
      </c>
      <c r="Z10" s="320"/>
      <c r="AA10" s="320"/>
      <c r="AB10" s="341"/>
      <c r="AC10" s="342"/>
      <c r="AD10" s="343"/>
      <c r="AE10" s="342"/>
      <c r="AF10" s="165">
        <f>IFERROR(__xludf.DUMMYFUNCTION("""COMPUTED_VALUE"""),1238.0)</f>
        <v>1238</v>
      </c>
      <c r="AG10" s="344" t="str">
        <f>IFERROR(__xludf.DUMMYFUNCTION("""COMPUTED_VALUE"""),"Army not alllow to run DG at night ime, Will run 6am ")</f>
        <v>Army not alllow to run DG at night ime, Will run 6am </v>
      </c>
      <c r="AH10" s="344"/>
      <c r="AI10" s="330" t="str">
        <f>IFERROR(__xludf.DUMMYFUNCTION("""COMPUTED_VALUE"""),"Running with MEC power")</f>
        <v>Running with MEC power</v>
      </c>
      <c r="AJ10" s="345"/>
      <c r="AK10" s="346"/>
      <c r="AL10" s="303">
        <f>IFERROR(__xludf.DUMMYFUNCTION("""COMPUTED_VALUE"""),0.0)</f>
        <v>0</v>
      </c>
      <c r="AM10" s="304">
        <f>IFERROR(__xludf.DUMMYFUNCTION("""COMPUTED_VALUE"""),0.0)</f>
        <v>0</v>
      </c>
      <c r="AN10" s="121"/>
      <c r="AO10" s="121"/>
      <c r="AP10" s="121"/>
      <c r="AQ10" s="121"/>
      <c r="AR10" s="121"/>
      <c r="AS10" s="121"/>
      <c r="AT10" s="121"/>
    </row>
    <row r="11">
      <c r="A11" s="335">
        <f>IFERROR(__xludf.DUMMYFUNCTION("""COMPUTED_VALUE"""),8.0)</f>
        <v>8</v>
      </c>
      <c r="B11" s="333" t="str">
        <f>IFERROR(__xludf.DUMMYFUNCTION("""COMPUTED_VALUE"""),"TNI0335_01")</f>
        <v>TNI0335_01</v>
      </c>
      <c r="C11" s="334" t="str">
        <f>IFERROR(__xludf.DUMMYFUNCTION("""COMPUTED_VALUE"""),"C")</f>
        <v>C</v>
      </c>
      <c r="D11" s="333" t="str">
        <f>IFERROR(__xludf.DUMMYFUNCTION("""COMPUTED_VALUE"""),"Mytel")</f>
        <v>Mytel</v>
      </c>
      <c r="E11" s="336" t="str">
        <f>IFERROR(__xludf.DUMMYFUNCTION("""COMPUTED_VALUE"""),"T1")</f>
        <v>T1</v>
      </c>
      <c r="F11" s="347" t="str">
        <f>IFERROR(__xludf.DUMMYFUNCTION("""COMPUTED_VALUE"""),"Launglon")</f>
        <v>Launglon</v>
      </c>
      <c r="G11" s="347" t="str">
        <f>IFERROR(__xludf.DUMMYFUNCTION("""COMPUTED_VALUE"""),"Thar Htoo Aung")</f>
        <v>Thar Htoo Aung</v>
      </c>
      <c r="H11" s="337"/>
      <c r="I11" s="181"/>
      <c r="J11" s="232"/>
      <c r="K11" s="338">
        <f>IFERROR(__xludf.DUMMYFUNCTION("""COMPUTED_VALUE"""),120.0)</f>
        <v>120</v>
      </c>
      <c r="L11" s="335" t="str">
        <f>IFERROR(__xludf.DUMMYFUNCTION("""COMPUTED_VALUE"""),"24*7")</f>
        <v>24*7</v>
      </c>
      <c r="M11" s="335" t="str">
        <f>IFERROR(__xludf.DUMMYFUNCTION("""COMPUTED_VALUE"""),"1DG+BB")</f>
        <v>1DG+BB</v>
      </c>
      <c r="N11" s="339" t="str">
        <f>IFERROR(__xludf.DUMMYFUNCTION("""COMPUTED_VALUE"""),"ok")</f>
        <v>ok</v>
      </c>
      <c r="O11" s="351"/>
      <c r="P11" s="351"/>
      <c r="Q11" s="320"/>
      <c r="R11" s="321"/>
      <c r="S11" s="322"/>
      <c r="T11" s="323"/>
      <c r="U11" s="340"/>
      <c r="V11" s="324"/>
      <c r="W11" s="340"/>
      <c r="X11" s="325"/>
      <c r="Y11" s="326"/>
      <c r="Z11" s="320"/>
      <c r="AA11" s="320"/>
      <c r="AB11" s="341"/>
      <c r="AC11" s="342"/>
      <c r="AD11" s="343"/>
      <c r="AE11" s="342"/>
      <c r="AF11" s="165">
        <f>IFERROR(__xludf.DUMMYFUNCTION("""COMPUTED_VALUE"""),0.0)</f>
        <v>0</v>
      </c>
      <c r="AG11" s="344"/>
      <c r="AH11" s="344" t="str">
        <f>IFERROR(__xludf.DUMMYFUNCTION("""COMPUTED_VALUE"""),"Run MDG")</f>
        <v>Run MDG</v>
      </c>
      <c r="AI11" s="330"/>
      <c r="AJ11" s="345"/>
      <c r="AK11" s="346"/>
      <c r="AL11" s="303">
        <f>IFERROR(__xludf.DUMMYFUNCTION("""COMPUTED_VALUE"""),0.0)</f>
        <v>0</v>
      </c>
      <c r="AM11" s="304">
        <f>IFERROR(__xludf.DUMMYFUNCTION("""COMPUTED_VALUE"""),0.0)</f>
        <v>0</v>
      </c>
      <c r="AN11" s="121"/>
      <c r="AO11" s="121"/>
      <c r="AP11" s="121"/>
      <c r="AQ11" s="121"/>
      <c r="AR11" s="121"/>
      <c r="AS11" s="121"/>
      <c r="AT11" s="121"/>
    </row>
    <row r="12">
      <c r="A12" s="335">
        <f>IFERROR(__xludf.DUMMYFUNCTION("""COMPUTED_VALUE"""),9.0)</f>
        <v>9</v>
      </c>
      <c r="B12" s="333" t="str">
        <f>IFERROR(__xludf.DUMMYFUNCTION("""COMPUTED_VALUE"""),"TNI0191")</f>
        <v>TNI0191</v>
      </c>
      <c r="C12" s="334" t="str">
        <f>IFERROR(__xludf.DUMMYFUNCTION("""COMPUTED_VALUE"""),"B")</f>
        <v>B</v>
      </c>
      <c r="D12" s="333" t="str">
        <f>IFERROR(__xludf.DUMMYFUNCTION("""COMPUTED_VALUE"""),"Mytel")</f>
        <v>Mytel</v>
      </c>
      <c r="E12" s="336" t="str">
        <f>IFERROR(__xludf.DUMMYFUNCTION("""COMPUTED_VALUE"""),"T1")</f>
        <v>T1</v>
      </c>
      <c r="F12" s="347" t="str">
        <f>IFERROR(__xludf.DUMMYFUNCTION("""COMPUTED_VALUE"""),"Launglon")</f>
        <v>Launglon</v>
      </c>
      <c r="G12" s="347" t="str">
        <f>IFERROR(__xludf.DUMMYFUNCTION("""COMPUTED_VALUE"""),"-")</f>
        <v>-</v>
      </c>
      <c r="H12" s="337"/>
      <c r="I12" s="181"/>
      <c r="J12" s="335"/>
      <c r="K12" s="338">
        <f>IFERROR(__xludf.DUMMYFUNCTION("""COMPUTED_VALUE"""),120.0)</f>
        <v>120</v>
      </c>
      <c r="L12" s="335" t="str">
        <f>IFERROR(__xludf.DUMMYFUNCTION("""COMPUTED_VALUE"""),"24*7")</f>
        <v>24*7</v>
      </c>
      <c r="M12" s="335" t="str">
        <f>IFERROR(__xludf.DUMMYFUNCTION("""COMPUTED_VALUE"""),"1DG+BB")</f>
        <v>1DG+BB</v>
      </c>
      <c r="N12" s="339" t="str">
        <f>IFERROR(__xludf.DUMMYFUNCTION("""COMPUTED_VALUE"""),"ok")</f>
        <v>ok</v>
      </c>
      <c r="O12" s="318"/>
      <c r="P12" s="318"/>
      <c r="Q12" s="320"/>
      <c r="R12" s="321"/>
      <c r="S12" s="322"/>
      <c r="T12" s="323"/>
      <c r="U12" s="340"/>
      <c r="V12" s="352"/>
      <c r="W12" s="340"/>
      <c r="X12" s="325"/>
      <c r="Y12" s="326"/>
      <c r="Z12" s="320"/>
      <c r="AA12" s="320"/>
      <c r="AB12" s="341"/>
      <c r="AC12" s="342"/>
      <c r="AD12" s="343"/>
      <c r="AE12" s="342"/>
      <c r="AF12" s="165">
        <f>IFERROR(__xludf.DUMMYFUNCTION("""COMPUTED_VALUE"""),0.0)</f>
        <v>0</v>
      </c>
      <c r="AG12" s="344" t="str">
        <f>IFERROR(__xludf.DUMMYFUNCTION("""COMPUTED_VALUE"""),"Grid fail, non DG site")</f>
        <v>Grid fail, non DG site</v>
      </c>
      <c r="AH12" s="344"/>
      <c r="AI12" s="330" t="str">
        <f>IFERROR(__xludf.DUMMYFUNCTION("""COMPUTED_VALUE"""),"Checking ground")</f>
        <v>Checking ground</v>
      </c>
      <c r="AJ12" s="345"/>
      <c r="AK12" s="346"/>
      <c r="AL12" s="303">
        <f>IFERROR(__xludf.DUMMYFUNCTION("""COMPUTED_VALUE"""),0.0)</f>
        <v>0</v>
      </c>
      <c r="AM12" s="304">
        <f>IFERROR(__xludf.DUMMYFUNCTION("""COMPUTED_VALUE"""),0.0)</f>
        <v>0</v>
      </c>
      <c r="AN12" s="121"/>
      <c r="AO12" s="121"/>
      <c r="AP12" s="121"/>
      <c r="AQ12" s="121"/>
      <c r="AR12" s="121"/>
      <c r="AS12" s="121"/>
      <c r="AT12" s="121"/>
    </row>
    <row r="13">
      <c r="A13" s="335">
        <f>IFERROR(__xludf.DUMMYFUNCTION("""COMPUTED_VALUE"""),10.0)</f>
        <v>10</v>
      </c>
      <c r="B13" s="333" t="str">
        <f>IFERROR(__xludf.DUMMYFUNCTION("""COMPUTED_VALUE"""),"TNI0393")</f>
        <v>TNI0393</v>
      </c>
      <c r="C13" s="334" t="str">
        <f>IFERROR(__xludf.DUMMYFUNCTION("""COMPUTED_VALUE"""),"C")</f>
        <v>C</v>
      </c>
      <c r="D13" s="333" t="str">
        <f>IFERROR(__xludf.DUMMYFUNCTION("""COMPUTED_VALUE"""),"Mytel")</f>
        <v>Mytel</v>
      </c>
      <c r="E13" s="336" t="str">
        <f>IFERROR(__xludf.DUMMYFUNCTION("""COMPUTED_VALUE"""),"T1")</f>
        <v>T1</v>
      </c>
      <c r="F13" s="347" t="str">
        <f>IFERROR(__xludf.DUMMYFUNCTION("""COMPUTED_VALUE"""),"Launglon")</f>
        <v>Launglon</v>
      </c>
      <c r="G13" s="347" t="str">
        <f>IFERROR(__xludf.DUMMYFUNCTION("""COMPUTED_VALUE"""),"-")</f>
        <v>-</v>
      </c>
      <c r="H13" s="232"/>
      <c r="I13" s="181"/>
      <c r="J13" s="232"/>
      <c r="K13" s="338">
        <f>IFERROR(__xludf.DUMMYFUNCTION("""COMPUTED_VALUE"""),90.0)</f>
        <v>90</v>
      </c>
      <c r="L13" s="335" t="str">
        <f>IFERROR(__xludf.DUMMYFUNCTION("""COMPUTED_VALUE"""),"24*7")</f>
        <v>24*7</v>
      </c>
      <c r="M13" s="335" t="str">
        <f>IFERROR(__xludf.DUMMYFUNCTION("""COMPUTED_VALUE"""),"1DG+BB")</f>
        <v>1DG+BB</v>
      </c>
      <c r="N13" s="339" t="str">
        <f>IFERROR(__xludf.DUMMYFUNCTION("""COMPUTED_VALUE"""),"ok")</f>
        <v>ok</v>
      </c>
      <c r="O13" s="318"/>
      <c r="P13" s="318"/>
      <c r="Q13" s="320"/>
      <c r="R13" s="321"/>
      <c r="S13" s="322"/>
      <c r="T13" s="323"/>
      <c r="U13" s="340"/>
      <c r="V13" s="324"/>
      <c r="W13" s="340"/>
      <c r="X13" s="325"/>
      <c r="Y13" s="326"/>
      <c r="Z13" s="320"/>
      <c r="AA13" s="320"/>
      <c r="AB13" s="341"/>
      <c r="AC13" s="342"/>
      <c r="AD13" s="343"/>
      <c r="AE13" s="342"/>
      <c r="AF13" s="165">
        <f>IFERROR(__xludf.DUMMYFUNCTION("""COMPUTED_VALUE"""),0.0)</f>
        <v>0</v>
      </c>
      <c r="AG13" s="344" t="str">
        <f>IFERROR(__xludf.DUMMYFUNCTION("""COMPUTED_VALUE"""),"RRU change")</f>
        <v>RRU change</v>
      </c>
      <c r="AH13" s="330" t="str">
        <f>IFERROR(__xludf.DUMMYFUNCTION("""COMPUTED_VALUE"""),"RRU-nychange")</f>
        <v>RRU-nychange</v>
      </c>
      <c r="AI13" s="330"/>
      <c r="AJ13" s="345"/>
      <c r="AK13" s="346"/>
      <c r="AL13" s="303">
        <f>IFERROR(__xludf.DUMMYFUNCTION("""COMPUTED_VALUE"""),0.0)</f>
        <v>0</v>
      </c>
      <c r="AM13" s="304">
        <f>IFERROR(__xludf.DUMMYFUNCTION("""COMPUTED_VALUE"""),0.0)</f>
        <v>0</v>
      </c>
      <c r="AN13" s="121"/>
      <c r="AO13" s="121"/>
      <c r="AP13" s="121"/>
      <c r="AQ13" s="121"/>
      <c r="AR13" s="121"/>
      <c r="AS13" s="121"/>
      <c r="AT13" s="121"/>
    </row>
    <row r="14">
      <c r="A14" s="335">
        <f>IFERROR(__xludf.DUMMYFUNCTION("""COMPUTED_VALUE"""),11.0)</f>
        <v>11</v>
      </c>
      <c r="B14" s="333" t="str">
        <f>IFERROR(__xludf.DUMMYFUNCTION("""COMPUTED_VALUE"""),"TNI0194")</f>
        <v>TNI0194</v>
      </c>
      <c r="C14" s="334" t="str">
        <f>IFERROR(__xludf.DUMMYFUNCTION("""COMPUTED_VALUE"""),"C")</f>
        <v>C</v>
      </c>
      <c r="D14" s="333" t="str">
        <f>IFERROR(__xludf.DUMMYFUNCTION("""COMPUTED_VALUE"""),"IGT")</f>
        <v>IGT</v>
      </c>
      <c r="E14" s="336" t="str">
        <f>IFERROR(__xludf.DUMMYFUNCTION("""COMPUTED_VALUE"""),"T1")</f>
        <v>T1</v>
      </c>
      <c r="F14" s="347" t="str">
        <f>IFERROR(__xludf.DUMMYFUNCTION("""COMPUTED_VALUE"""),"Thayetchaung")</f>
        <v>Thayetchaung</v>
      </c>
      <c r="G14" s="347" t="str">
        <f>IFERROR(__xludf.DUMMYFUNCTION("""COMPUTED_VALUE"""),"Bone Myat Naing")</f>
        <v>Bone Myat Naing</v>
      </c>
      <c r="H14" s="232"/>
      <c r="I14" s="181"/>
      <c r="J14" s="232"/>
      <c r="K14" s="338">
        <f>IFERROR(__xludf.DUMMYFUNCTION("""COMPUTED_VALUE"""),60.0)</f>
        <v>60</v>
      </c>
      <c r="L14" s="335" t="str">
        <f>IFERROR(__xludf.DUMMYFUNCTION("""COMPUTED_VALUE"""),"24*7")</f>
        <v>24*7</v>
      </c>
      <c r="M14" s="335" t="str">
        <f>IFERROR(__xludf.DUMMYFUNCTION("""COMPUTED_VALUE"""),"1DG+BB")</f>
        <v>1DG+BB</v>
      </c>
      <c r="N14" s="339" t="str">
        <f>IFERROR(__xludf.DUMMYFUNCTION("""COMPUTED_VALUE"""),"ok")</f>
        <v>ok</v>
      </c>
      <c r="O14" s="318"/>
      <c r="P14" s="318"/>
      <c r="Q14" s="320"/>
      <c r="R14" s="321"/>
      <c r="S14" s="322"/>
      <c r="T14" s="323"/>
      <c r="U14" s="340"/>
      <c r="V14" s="324"/>
      <c r="W14" s="340"/>
      <c r="X14" s="325"/>
      <c r="Y14" s="326"/>
      <c r="Z14" s="320"/>
      <c r="AA14" s="320"/>
      <c r="AB14" s="341">
        <f>IFERROR(__xludf.DUMMYFUNCTION("""COMPUTED_VALUE"""),46184.0621875)</f>
        <v>46184.06219</v>
      </c>
      <c r="AC14" s="342">
        <f>IFERROR(__xludf.DUMMYFUNCTION("""COMPUTED_VALUE"""),521.1368172222865)</f>
        <v>521.1368172</v>
      </c>
      <c r="AD14" s="343">
        <f>IFERROR(__xludf.DUMMYFUNCTION("""COMPUTED_VALUE"""),46184.06212962963)</f>
        <v>46184.06213</v>
      </c>
      <c r="AE14" s="342">
        <f>IFERROR(__xludf.DUMMYFUNCTION("""COMPUTED_VALUE"""),521.1382061111508)</f>
        <v>521.1382061</v>
      </c>
      <c r="AF14" s="165">
        <f>IFERROR(__xludf.DUMMYFUNCTION("""COMPUTED_VALUE"""),1.0)</f>
        <v>1</v>
      </c>
      <c r="AG14" s="344" t="str">
        <f>IFERROR(__xludf.DUMMYFUNCTION("""COMPUTED_VALUE"""),"TCO team power end, need to check cable route")</f>
        <v>TCO team power end, need to check cable route</v>
      </c>
      <c r="AH14" s="330"/>
      <c r="AI14" s="330"/>
      <c r="AJ14" s="345"/>
      <c r="AK14" s="346"/>
      <c r="AL14" s="303">
        <f>IFERROR(__xludf.DUMMYFUNCTION("""COMPUTED_VALUE"""),0.0)</f>
        <v>0</v>
      </c>
      <c r="AM14" s="304">
        <f>IFERROR(__xludf.DUMMYFUNCTION("""COMPUTED_VALUE"""),0.0)</f>
        <v>0</v>
      </c>
      <c r="AN14" s="121"/>
      <c r="AO14" s="121"/>
      <c r="AP14" s="121"/>
      <c r="AQ14" s="121"/>
      <c r="AR14" s="121"/>
      <c r="AS14" s="121"/>
      <c r="AT14" s="121"/>
    </row>
    <row r="15">
      <c r="A15" s="335">
        <f>IFERROR(__xludf.DUMMYFUNCTION("""COMPUTED_VALUE"""),12.0)</f>
        <v>12</v>
      </c>
      <c r="B15" s="333" t="str">
        <f>IFERROR(__xludf.DUMMYFUNCTION("""COMPUTED_VALUE"""),"TNI0225")</f>
        <v>TNI0225</v>
      </c>
      <c r="C15" s="334" t="str">
        <f>IFERROR(__xludf.DUMMYFUNCTION("""COMPUTED_VALUE"""),"B")</f>
        <v>B</v>
      </c>
      <c r="D15" s="333" t="str">
        <f>IFERROR(__xludf.DUMMYFUNCTION("""COMPUTED_VALUE"""),"Mytel")</f>
        <v>Mytel</v>
      </c>
      <c r="E15" s="336" t="str">
        <f>IFERROR(__xludf.DUMMYFUNCTION("""COMPUTED_VALUE"""),"T1")</f>
        <v>T1</v>
      </c>
      <c r="F15" s="347" t="str">
        <f>IFERROR(__xludf.DUMMYFUNCTION("""COMPUTED_VALUE"""),"Thayetchaung")</f>
        <v>Thayetchaung</v>
      </c>
      <c r="G15" s="347" t="str">
        <f>IFERROR(__xludf.DUMMYFUNCTION("""COMPUTED_VALUE"""),"-")</f>
        <v>-</v>
      </c>
      <c r="H15" s="232"/>
      <c r="I15" s="181"/>
      <c r="J15" s="232"/>
      <c r="K15" s="338">
        <f>IFERROR(__xludf.DUMMYFUNCTION("""COMPUTED_VALUE"""),90.0)</f>
        <v>90</v>
      </c>
      <c r="L15" s="335" t="str">
        <f>IFERROR(__xludf.DUMMYFUNCTION("""COMPUTED_VALUE"""),"24*7")</f>
        <v>24*7</v>
      </c>
      <c r="M15" s="335" t="str">
        <f>IFERROR(__xludf.DUMMYFUNCTION("""COMPUTED_VALUE"""),"1DG+Solar+Grid+BB")</f>
        <v>1DG+Solar+Grid+BB</v>
      </c>
      <c r="N15" s="339" t="str">
        <f>IFERROR(__xludf.DUMMYFUNCTION("""COMPUTED_VALUE"""),"ok")</f>
        <v>ok</v>
      </c>
      <c r="O15" s="318"/>
      <c r="P15" s="318"/>
      <c r="Q15" s="320"/>
      <c r="R15" s="321"/>
      <c r="S15" s="322"/>
      <c r="T15" s="323"/>
      <c r="U15" s="340"/>
      <c r="V15" s="324"/>
      <c r="W15" s="340"/>
      <c r="X15" s="325"/>
      <c r="Y15" s="326"/>
      <c r="Z15" s="320"/>
      <c r="AA15" s="320"/>
      <c r="AB15" s="341"/>
      <c r="AC15" s="342"/>
      <c r="AD15" s="343"/>
      <c r="AE15" s="342"/>
      <c r="AF15" s="165">
        <f>IFERROR(__xludf.DUMMYFUNCTION("""COMPUTED_VALUE"""),0.0)</f>
        <v>0</v>
      </c>
      <c r="AG15" s="344" t="str">
        <f>IFERROR(__xludf.DUMMYFUNCTION("""COMPUTED_VALUE"""),"Unsafe")</f>
        <v>Unsafe</v>
      </c>
      <c r="AH15" s="330"/>
      <c r="AI15" s="330"/>
      <c r="AJ15" s="345"/>
      <c r="AK15" s="346"/>
      <c r="AL15" s="303">
        <f>IFERROR(__xludf.DUMMYFUNCTION("""COMPUTED_VALUE"""),0.0)</f>
        <v>0</v>
      </c>
      <c r="AM15" s="304">
        <f>IFERROR(__xludf.DUMMYFUNCTION("""COMPUTED_VALUE"""),0.0)</f>
        <v>0</v>
      </c>
      <c r="AN15" s="121"/>
      <c r="AO15" s="121"/>
      <c r="AP15" s="121"/>
      <c r="AQ15" s="121"/>
      <c r="AR15" s="121"/>
      <c r="AS15" s="121"/>
      <c r="AT15" s="121"/>
    </row>
    <row r="16">
      <c r="A16" s="335">
        <f>IFERROR(__xludf.DUMMYFUNCTION("""COMPUTED_VALUE"""),13.0)</f>
        <v>13</v>
      </c>
      <c r="B16" s="333" t="str">
        <f>IFERROR(__xludf.DUMMYFUNCTION("""COMPUTED_VALUE"""),"TNI0424")</f>
        <v>TNI0424</v>
      </c>
      <c r="C16" s="334" t="str">
        <f>IFERROR(__xludf.DUMMYFUNCTION("""COMPUTED_VALUE"""),"C")</f>
        <v>C</v>
      </c>
      <c r="D16" s="333" t="str">
        <f>IFERROR(__xludf.DUMMYFUNCTION("""COMPUTED_VALUE"""),"OCK")</f>
        <v>OCK</v>
      </c>
      <c r="E16" s="336" t="str">
        <f>IFERROR(__xludf.DUMMYFUNCTION("""COMPUTED_VALUE"""),"T1")</f>
        <v>T1</v>
      </c>
      <c r="F16" s="347" t="str">
        <f>IFERROR(__xludf.DUMMYFUNCTION("""COMPUTED_VALUE"""),"Thayetchaung")</f>
        <v>Thayetchaung</v>
      </c>
      <c r="G16" s="347" t="str">
        <f>IFERROR(__xludf.DUMMYFUNCTION("""COMPUTED_VALUE"""),"Bone Myat Naing")</f>
        <v>Bone Myat Naing</v>
      </c>
      <c r="H16" s="232"/>
      <c r="I16" s="181"/>
      <c r="J16" s="232"/>
      <c r="K16" s="338">
        <f>IFERROR(__xludf.DUMMYFUNCTION("""COMPUTED_VALUE"""),90.0)</f>
        <v>90</v>
      </c>
      <c r="L16" s="335" t="str">
        <f>IFERROR(__xludf.DUMMYFUNCTION("""COMPUTED_VALUE"""),"24*7")</f>
        <v>24*7</v>
      </c>
      <c r="M16" s="335" t="str">
        <f>IFERROR(__xludf.DUMMYFUNCTION("""COMPUTED_VALUE"""),"1DG+BB")</f>
        <v>1DG+BB</v>
      </c>
      <c r="N16" s="339" t="str">
        <f>IFERROR(__xludf.DUMMYFUNCTION("""COMPUTED_VALUE"""),"ok")</f>
        <v>ok</v>
      </c>
      <c r="O16" s="318"/>
      <c r="P16" s="318"/>
      <c r="Q16" s="320"/>
      <c r="R16" s="321"/>
      <c r="S16" s="322"/>
      <c r="T16" s="323"/>
      <c r="U16" s="340"/>
      <c r="V16" s="324"/>
      <c r="W16" s="340"/>
      <c r="X16" s="325"/>
      <c r="Y16" s="326"/>
      <c r="Z16" s="320"/>
      <c r="AA16" s="320"/>
      <c r="AB16" s="341">
        <f>IFERROR(__xludf.DUMMYFUNCTION("""COMPUTED_VALUE"""),46184.062210648146)</f>
        <v>46184.06221</v>
      </c>
      <c r="AC16" s="342">
        <f>IFERROR(__xludf.DUMMYFUNCTION("""COMPUTED_VALUE"""),521.1362616667757)</f>
        <v>521.1362617</v>
      </c>
      <c r="AD16" s="343">
        <f>IFERROR(__xludf.DUMMYFUNCTION("""COMPUTED_VALUE"""),46184.06215277778)</f>
        <v>46184.06215</v>
      </c>
      <c r="AE16" s="342">
        <f>IFERROR(__xludf.DUMMYFUNCTION("""COMPUTED_VALUE"""),521.13765055564)</f>
        <v>521.1376506</v>
      </c>
      <c r="AF16" s="329">
        <f>IFERROR(__xludf.DUMMYFUNCTION("""COMPUTED_VALUE"""),0.0)</f>
        <v>0</v>
      </c>
      <c r="AG16" s="344" t="str">
        <f>IFERROR(__xludf.DUMMYFUNCTION("""COMPUTED_VALUE"""),"Unsafe, solar and need to install more solar")</f>
        <v>Unsafe, solar and need to install more solar</v>
      </c>
      <c r="AH16" s="330"/>
      <c r="AI16" s="330"/>
      <c r="AJ16" s="345"/>
      <c r="AK16" s="346"/>
      <c r="AL16" s="303">
        <f>IFERROR(__xludf.DUMMYFUNCTION("""COMPUTED_VALUE"""),1.0)</f>
        <v>1</v>
      </c>
      <c r="AM16" s="304">
        <f>IFERROR(__xludf.DUMMYFUNCTION("""COMPUTED_VALUE"""),1.0)</f>
        <v>1</v>
      </c>
      <c r="AN16" s="121"/>
      <c r="AO16" s="121"/>
      <c r="AP16" s="121"/>
      <c r="AQ16" s="121"/>
      <c r="AR16" s="121"/>
      <c r="AS16" s="121"/>
      <c r="AT16" s="121"/>
    </row>
    <row r="17">
      <c r="A17" s="335">
        <f>IFERROR(__xludf.DUMMYFUNCTION("""COMPUTED_VALUE"""),14.0)</f>
        <v>14</v>
      </c>
      <c r="B17" s="333" t="str">
        <f>IFERROR(__xludf.DUMMYFUNCTION("""COMPUTED_VALUE"""),"TNI0313")</f>
        <v>TNI0313</v>
      </c>
      <c r="C17" s="334" t="str">
        <f>IFERROR(__xludf.DUMMYFUNCTION("""COMPUTED_VALUE"""),"C")</f>
        <v>C</v>
      </c>
      <c r="D17" s="333" t="str">
        <f>IFERROR(__xludf.DUMMYFUNCTION("""COMPUTED_VALUE"""),"Mytel")</f>
        <v>Mytel</v>
      </c>
      <c r="E17" s="336" t="str">
        <f>IFERROR(__xludf.DUMMYFUNCTION("""COMPUTED_VALUE"""),"T1")</f>
        <v>T1</v>
      </c>
      <c r="F17" s="347" t="str">
        <f>IFERROR(__xludf.DUMMYFUNCTION("""COMPUTED_VALUE"""),"Yebyu")</f>
        <v>Yebyu</v>
      </c>
      <c r="G17" s="347" t="str">
        <f>IFERROR(__xludf.DUMMYFUNCTION("""COMPUTED_VALUE"""),"-")</f>
        <v>-</v>
      </c>
      <c r="H17" s="232"/>
      <c r="I17" s="181"/>
      <c r="J17" s="232"/>
      <c r="K17" s="338">
        <f>IFERROR(__xludf.DUMMYFUNCTION("""COMPUTED_VALUE"""),90.0)</f>
        <v>90</v>
      </c>
      <c r="L17" s="335" t="str">
        <f>IFERROR(__xludf.DUMMYFUNCTION("""COMPUTED_VALUE"""),"24*7")</f>
        <v>24*7</v>
      </c>
      <c r="M17" s="335" t="str">
        <f>IFERROR(__xludf.DUMMYFUNCTION("""COMPUTED_VALUE"""),"1DG+BB")</f>
        <v>1DG+BB</v>
      </c>
      <c r="N17" s="339" t="str">
        <f>IFERROR(__xludf.DUMMYFUNCTION("""COMPUTED_VALUE"""),"ok")</f>
        <v>ok</v>
      </c>
      <c r="O17" s="318"/>
      <c r="P17" s="318"/>
      <c r="Q17" s="320"/>
      <c r="R17" s="321"/>
      <c r="S17" s="322"/>
      <c r="T17" s="323"/>
      <c r="U17" s="340"/>
      <c r="V17" s="352"/>
      <c r="W17" s="340"/>
      <c r="X17" s="325"/>
      <c r="Y17" s="326"/>
      <c r="Z17" s="320"/>
      <c r="AA17" s="320"/>
      <c r="AB17" s="341">
        <f>IFERROR(__xludf.DUMMYFUNCTION("""COMPUTED_VALUE"""),46184.062210648146)</f>
        <v>46184.06221</v>
      </c>
      <c r="AC17" s="342">
        <f>IFERROR(__xludf.DUMMYFUNCTION("""COMPUTED_VALUE"""),521.1362616667757)</f>
        <v>521.1362617</v>
      </c>
      <c r="AD17" s="343">
        <f>IFERROR(__xludf.DUMMYFUNCTION("""COMPUTED_VALUE"""),46184.06215277778)</f>
        <v>46184.06215</v>
      </c>
      <c r="AE17" s="342">
        <f>IFERROR(__xludf.DUMMYFUNCTION("""COMPUTED_VALUE"""),521.13765055564)</f>
        <v>521.1376506</v>
      </c>
      <c r="AF17" s="329">
        <f>IFERROR(__xludf.DUMMYFUNCTION("""COMPUTED_VALUE"""),0.0)</f>
        <v>0</v>
      </c>
      <c r="AG17" s="344" t="str">
        <f>IFERROR(__xludf.DUMMYFUNCTION("""COMPUTED_VALUE"""),"Unsafe")</f>
        <v>Unsafe</v>
      </c>
      <c r="AH17" s="330"/>
      <c r="AI17" s="330" t="str">
        <f>IFERROR(__xludf.DUMMYFUNCTION("""COMPUTED_VALUE"""),"Army mission area")</f>
        <v>Army mission area</v>
      </c>
      <c r="AJ17" s="345"/>
      <c r="AK17" s="346"/>
      <c r="AL17" s="303">
        <f>IFERROR(__xludf.DUMMYFUNCTION("""COMPUTED_VALUE"""),0.0)</f>
        <v>0</v>
      </c>
      <c r="AM17" s="304">
        <f>IFERROR(__xludf.DUMMYFUNCTION("""COMPUTED_VALUE"""),0.0)</f>
        <v>0</v>
      </c>
      <c r="AN17" s="121"/>
      <c r="AO17" s="121"/>
      <c r="AP17" s="121"/>
      <c r="AQ17" s="121"/>
      <c r="AR17" s="121"/>
      <c r="AS17" s="121"/>
      <c r="AT17" s="121"/>
    </row>
    <row r="18">
      <c r="A18" s="335">
        <f>IFERROR(__xludf.DUMMYFUNCTION("""COMPUTED_VALUE"""),15.0)</f>
        <v>15</v>
      </c>
      <c r="B18" s="333" t="str">
        <f>IFERROR(__xludf.DUMMYFUNCTION("""COMPUTED_VALUE"""),"TNI0357")</f>
        <v>TNI0357</v>
      </c>
      <c r="C18" s="334" t="str">
        <f>IFERROR(__xludf.DUMMYFUNCTION("""COMPUTED_VALUE"""),"C")</f>
        <v>C</v>
      </c>
      <c r="D18" s="333" t="str">
        <f>IFERROR(__xludf.DUMMYFUNCTION("""COMPUTED_VALUE"""),"Mytel")</f>
        <v>Mytel</v>
      </c>
      <c r="E18" s="336" t="str">
        <f>IFERROR(__xludf.DUMMYFUNCTION("""COMPUTED_VALUE"""),"T1")</f>
        <v>T1</v>
      </c>
      <c r="F18" s="347" t="str">
        <f>IFERROR(__xludf.DUMMYFUNCTION("""COMPUTED_VALUE"""),"Yebyu")</f>
        <v>Yebyu</v>
      </c>
      <c r="G18" s="347" t="str">
        <f>IFERROR(__xludf.DUMMYFUNCTION("""COMPUTED_VALUE"""),"-")</f>
        <v>-</v>
      </c>
      <c r="H18" s="232"/>
      <c r="I18" s="181"/>
      <c r="J18" s="335"/>
      <c r="K18" s="338">
        <f>IFERROR(__xludf.DUMMYFUNCTION("""COMPUTED_VALUE"""),90.0)</f>
        <v>90</v>
      </c>
      <c r="L18" s="335" t="str">
        <f>IFERROR(__xludf.DUMMYFUNCTION("""COMPUTED_VALUE"""),"24*7")</f>
        <v>24*7</v>
      </c>
      <c r="M18" s="335" t="str">
        <f>IFERROR(__xludf.DUMMYFUNCTION("""COMPUTED_VALUE"""),"1DG+BB")</f>
        <v>1DG+BB</v>
      </c>
      <c r="N18" s="339" t="str">
        <f>IFERROR(__xludf.DUMMYFUNCTION("""COMPUTED_VALUE"""),"ok")</f>
        <v>ok</v>
      </c>
      <c r="O18" s="318"/>
      <c r="P18" s="318"/>
      <c r="Q18" s="320"/>
      <c r="R18" s="321"/>
      <c r="S18" s="322"/>
      <c r="T18" s="323"/>
      <c r="U18" s="340"/>
      <c r="V18" s="324"/>
      <c r="W18" s="340"/>
      <c r="X18" s="325"/>
      <c r="Y18" s="326"/>
      <c r="Z18" s="320"/>
      <c r="AA18" s="320"/>
      <c r="AB18" s="341"/>
      <c r="AC18" s="342"/>
      <c r="AD18" s="343"/>
      <c r="AE18" s="342"/>
      <c r="AF18" s="329">
        <f>IFERROR(__xludf.DUMMYFUNCTION("""COMPUTED_VALUE"""),0.0)</f>
        <v>0</v>
      </c>
      <c r="AG18" s="344"/>
      <c r="AH18" s="330"/>
      <c r="AI18" s="330"/>
      <c r="AJ18" s="345"/>
      <c r="AK18" s="346"/>
      <c r="AL18" s="303">
        <f>IFERROR(__xludf.DUMMYFUNCTION("""COMPUTED_VALUE"""),0.0)</f>
        <v>0</v>
      </c>
      <c r="AM18" s="304">
        <f>IFERROR(__xludf.DUMMYFUNCTION("""COMPUTED_VALUE"""),0.0)</f>
        <v>0</v>
      </c>
      <c r="AN18" s="121"/>
      <c r="AO18" s="121"/>
      <c r="AP18" s="121"/>
      <c r="AQ18" s="121"/>
      <c r="AR18" s="121"/>
      <c r="AS18" s="121"/>
      <c r="AT18" s="121"/>
    </row>
    <row r="19">
      <c r="A19" s="335">
        <f>IFERROR(__xludf.DUMMYFUNCTION("""COMPUTED_VALUE"""),16.0)</f>
        <v>16</v>
      </c>
      <c r="B19" s="333" t="str">
        <f>IFERROR(__xludf.DUMMYFUNCTION("""COMPUTED_VALUE"""),"TNI0066")</f>
        <v>TNI0066</v>
      </c>
      <c r="C19" s="334" t="str">
        <f>IFERROR(__xludf.DUMMYFUNCTION("""COMPUTED_VALUE"""),"B")</f>
        <v>B</v>
      </c>
      <c r="D19" s="333" t="str">
        <f>IFERROR(__xludf.DUMMYFUNCTION("""COMPUTED_VALUE"""),"Mytel")</f>
        <v>Mytel</v>
      </c>
      <c r="E19" s="336" t="str">
        <f>IFERROR(__xludf.DUMMYFUNCTION("""COMPUTED_VALUE"""),"T1")</f>
        <v>T1</v>
      </c>
      <c r="F19" s="347" t="str">
        <f>IFERROR(__xludf.DUMMYFUNCTION("""COMPUTED_VALUE"""),"Dawei")</f>
        <v>Dawei</v>
      </c>
      <c r="G19" s="347" t="str">
        <f>IFERROR(__xludf.DUMMYFUNCTION("""COMPUTED_VALUE"""),"Aung Lwin Phyo")</f>
        <v>Aung Lwin Phyo</v>
      </c>
      <c r="H19" s="232"/>
      <c r="I19" s="181"/>
      <c r="J19" s="232" t="str">
        <f>IFERROR(__xludf.DUMMYFUNCTION("""COMPUTED_VALUE"""),"OLT")</f>
        <v>OLT</v>
      </c>
      <c r="K19" s="338">
        <f>IFERROR(__xludf.DUMMYFUNCTION("""COMPUTED_VALUE"""),30.0)</f>
        <v>30</v>
      </c>
      <c r="L19" s="335" t="str">
        <f>IFERROR(__xludf.DUMMYFUNCTION("""COMPUTED_VALUE"""),"10:00PM-4:00AM")</f>
        <v>10:00PM-4:00AM</v>
      </c>
      <c r="M19" s="335" t="str">
        <f>IFERROR(__xludf.DUMMYFUNCTION("""COMPUTED_VALUE"""),"1DG+Solar+Grid+BB")</f>
        <v>1DG+Solar+Grid+BB</v>
      </c>
      <c r="N19" s="339" t="str">
        <f>IFERROR(__xludf.DUMMYFUNCTION("""COMPUTED_VALUE"""),"0")</f>
        <v>0</v>
      </c>
      <c r="O19" s="318"/>
      <c r="P19" s="318"/>
      <c r="Q19" s="320"/>
      <c r="R19" s="321"/>
      <c r="S19" s="322"/>
      <c r="T19" s="323"/>
      <c r="U19" s="340" t="str">
        <f>IFERROR(__xludf.DUMMYFUNCTION("""COMPUTED_VALUE"""),"4472.2")</f>
        <v>4472.2</v>
      </c>
      <c r="V19" s="352"/>
      <c r="W19" s="340"/>
      <c r="X19" s="353"/>
      <c r="Y19" s="354"/>
      <c r="Z19" s="320"/>
      <c r="AA19" s="320"/>
      <c r="AB19" s="341"/>
      <c r="AC19" s="342"/>
      <c r="AD19" s="343"/>
      <c r="AE19" s="342"/>
      <c r="AF19" s="165">
        <f>IFERROR(__xludf.DUMMYFUNCTION("""COMPUTED_VALUE"""),943.0)</f>
        <v>943</v>
      </c>
      <c r="AG19" s="344" t="str">
        <f>IFERROR(__xludf.DUMMYFUNCTION("""COMPUTED_VALUE"""),"Unsafe")</f>
        <v>Unsafe</v>
      </c>
      <c r="AH19" s="330"/>
      <c r="AI19" s="344"/>
      <c r="AJ19" s="331"/>
      <c r="AK19" s="184"/>
      <c r="AL19" s="303">
        <f>IFERROR(__xludf.DUMMYFUNCTION("""COMPUTED_VALUE"""),0.0)</f>
        <v>0</v>
      </c>
      <c r="AM19" s="304">
        <f>IFERROR(__xludf.DUMMYFUNCTION("""COMPUTED_VALUE"""),0.0)</f>
        <v>0</v>
      </c>
      <c r="AN19" s="121"/>
      <c r="AO19" s="121"/>
      <c r="AP19" s="121"/>
      <c r="AQ19" s="121"/>
      <c r="AR19" s="121"/>
      <c r="AS19" s="121"/>
      <c r="AT19" s="121"/>
    </row>
    <row r="20">
      <c r="A20" s="335">
        <f>IFERROR(__xludf.DUMMYFUNCTION("""COMPUTED_VALUE"""),17.0)</f>
        <v>17</v>
      </c>
      <c r="B20" s="333" t="str">
        <f>IFERROR(__xludf.DUMMYFUNCTION("""COMPUTED_VALUE"""),"TNI0073")</f>
        <v>TNI0073</v>
      </c>
      <c r="C20" s="334" t="str">
        <f>IFERROR(__xludf.DUMMYFUNCTION("""COMPUTED_VALUE"""),"C")</f>
        <v>C</v>
      </c>
      <c r="D20" s="333" t="str">
        <f>IFERROR(__xludf.DUMMYFUNCTION("""COMPUTED_VALUE"""),"Mytel")</f>
        <v>Mytel</v>
      </c>
      <c r="E20" s="336" t="str">
        <f>IFERROR(__xludf.DUMMYFUNCTION("""COMPUTED_VALUE"""),"T1")</f>
        <v>T1</v>
      </c>
      <c r="F20" s="347" t="str">
        <f>IFERROR(__xludf.DUMMYFUNCTION("""COMPUTED_VALUE"""),"Dawei")</f>
        <v>Dawei</v>
      </c>
      <c r="G20" s="347" t="str">
        <f>IFERROR(__xludf.DUMMYFUNCTION("""COMPUTED_VALUE"""),"Aung Lwin Phyo")</f>
        <v>Aung Lwin Phyo</v>
      </c>
      <c r="H20" s="232"/>
      <c r="I20" s="181"/>
      <c r="J20" s="232"/>
      <c r="K20" s="338">
        <f>IFERROR(__xludf.DUMMYFUNCTION("""COMPUTED_VALUE"""),30.0)</f>
        <v>30</v>
      </c>
      <c r="L20" s="335" t="str">
        <f>IFERROR(__xludf.DUMMYFUNCTION("""COMPUTED_VALUE"""),"10:00PM-4:00AM")</f>
        <v>10:00PM-4:00AM</v>
      </c>
      <c r="M20" s="335" t="str">
        <f>IFERROR(__xludf.DUMMYFUNCTION("""COMPUTED_VALUE"""),"1DG+Grid+BB")</f>
        <v>1DG+Grid+BB</v>
      </c>
      <c r="N20" s="339" t="str">
        <f>IFERROR(__xludf.DUMMYFUNCTION("""COMPUTED_VALUE"""),"0")</f>
        <v>0</v>
      </c>
      <c r="O20" s="318"/>
      <c r="P20" s="318"/>
      <c r="Q20" s="320" t="str">
        <f>IFERROR(__xludf.DUMMYFUNCTION("""COMPUTED_VALUE""")," +Battery Door: 01/08/2025 10:01")</f>
        <v> +Battery Door: 01/08/2025 10:01</v>
      </c>
      <c r="R20" s="321">
        <f>IFERROR(__xludf.DUMMYFUNCTION("""COMPUTED_VALUE"""),8047.3)</f>
        <v>8047.3</v>
      </c>
      <c r="S20" s="322"/>
      <c r="T20" s="323"/>
      <c r="U20" s="340"/>
      <c r="V20" s="324" t="str">
        <f>IFERROR(__xludf.DUMMYFUNCTION("""COMPUTED_VALUE"""),"8047.3")</f>
        <v>8047.3</v>
      </c>
      <c r="W20" s="340"/>
      <c r="X20" s="353">
        <f>IFERROR(__xludf.DUMMYFUNCTION("""COMPUTED_VALUE"""),46113.71553240741)</f>
        <v>46113.71553</v>
      </c>
      <c r="Y20" s="354">
        <f>IFERROR(__xludf.DUMMYFUNCTION("""COMPUTED_VALUE"""),2209.456539444567)</f>
        <v>2209.456539</v>
      </c>
      <c r="Z20" s="320"/>
      <c r="AA20" s="320"/>
      <c r="AB20" s="341"/>
      <c r="AC20" s="342"/>
      <c r="AD20" s="343"/>
      <c r="AE20" s="342"/>
      <c r="AF20" s="165">
        <f>IFERROR(__xludf.DUMMYFUNCTION("""COMPUTED_VALUE"""),645.0)</f>
        <v>645</v>
      </c>
      <c r="AG20" s="344" t="str">
        <f>IFERROR(__xludf.DUMMYFUNCTION("""COMPUTED_VALUE"""),"Grid fail and DG broken site")</f>
        <v>Grid fail and DG broken site</v>
      </c>
      <c r="AH20" s="330"/>
      <c r="AI20" s="330"/>
      <c r="AJ20" s="345"/>
      <c r="AK20" s="346"/>
      <c r="AL20" s="303">
        <f>IFERROR(__xludf.DUMMYFUNCTION("""COMPUTED_VALUE"""),0.0)</f>
        <v>0</v>
      </c>
      <c r="AM20" s="304">
        <f>IFERROR(__xludf.DUMMYFUNCTION("""COMPUTED_VALUE"""),0.0)</f>
        <v>0</v>
      </c>
      <c r="AN20" s="121"/>
      <c r="AO20" s="121"/>
      <c r="AP20" s="121"/>
      <c r="AQ20" s="121"/>
      <c r="AR20" s="121"/>
      <c r="AS20" s="121"/>
      <c r="AT20" s="121"/>
    </row>
    <row r="21">
      <c r="A21" s="335">
        <f>IFERROR(__xludf.DUMMYFUNCTION("""COMPUTED_VALUE"""),18.0)</f>
        <v>18</v>
      </c>
      <c r="B21" s="333" t="str">
        <f>IFERROR(__xludf.DUMMYFUNCTION("""COMPUTED_VALUE"""),"TNI0250")</f>
        <v>TNI0250</v>
      </c>
      <c r="C21" s="334" t="str">
        <f>IFERROR(__xludf.DUMMYFUNCTION("""COMPUTED_VALUE"""),"A")</f>
        <v>A</v>
      </c>
      <c r="D21" s="333" t="str">
        <f>IFERROR(__xludf.DUMMYFUNCTION("""COMPUTED_VALUE"""),"Mytel")</f>
        <v>Mytel</v>
      </c>
      <c r="E21" s="336" t="str">
        <f>IFERROR(__xludf.DUMMYFUNCTION("""COMPUTED_VALUE"""),"T1")</f>
        <v>T1</v>
      </c>
      <c r="F21" s="347" t="str">
        <f>IFERROR(__xludf.DUMMYFUNCTION("""COMPUTED_VALUE"""),"Dawei")</f>
        <v>Dawei</v>
      </c>
      <c r="G21" s="347" t="str">
        <f>IFERROR(__xludf.DUMMYFUNCTION("""COMPUTED_VALUE"""),"Aung Lwin Phyo")</f>
        <v>Aung Lwin Phyo</v>
      </c>
      <c r="H21" s="232" t="str">
        <f>IFERROR(__xludf.DUMMYFUNCTION("""COMPUTED_VALUE"""),"U Thein Tun Win: 09940060242")</f>
        <v>U Thein Tun Win: 09940060242</v>
      </c>
      <c r="I21" s="181"/>
      <c r="J21" s="232" t="str">
        <f>IFERROR(__xludf.DUMMYFUNCTION("""COMPUTED_VALUE"""),"OLT")</f>
        <v>OLT</v>
      </c>
      <c r="K21" s="338">
        <f>IFERROR(__xludf.DUMMYFUNCTION("""COMPUTED_VALUE"""),30.0)</f>
        <v>30</v>
      </c>
      <c r="L21" s="335" t="str">
        <f>IFERROR(__xludf.DUMMYFUNCTION("""COMPUTED_VALUE"""),"10:00PM-4:00AM")</f>
        <v>10:00PM-4:00AM</v>
      </c>
      <c r="M21" s="335" t="str">
        <f>IFERROR(__xludf.DUMMYFUNCTION("""COMPUTED_VALUE"""),"1DG+Solar+Grid+BB")</f>
        <v>1DG+Solar+Grid+BB</v>
      </c>
      <c r="N21" s="339" t="str">
        <f>IFERROR(__xludf.DUMMYFUNCTION("""COMPUTED_VALUE"""),"0")</f>
        <v>0</v>
      </c>
      <c r="O21" s="318"/>
      <c r="P21" s="318"/>
      <c r="Q21" s="320"/>
      <c r="R21" s="321"/>
      <c r="S21" s="322"/>
      <c r="T21" s="323"/>
      <c r="U21" s="356"/>
      <c r="V21" s="324"/>
      <c r="W21" s="340"/>
      <c r="X21" s="325"/>
      <c r="Y21" s="326"/>
      <c r="Z21" s="320"/>
      <c r="AA21" s="320"/>
      <c r="AB21" s="327"/>
      <c r="AC21" s="328"/>
      <c r="AD21" s="343"/>
      <c r="AE21" s="342"/>
      <c r="AF21" s="165">
        <f>IFERROR(__xludf.DUMMYFUNCTION("""COMPUTED_VALUE"""),1498.0)</f>
        <v>1498</v>
      </c>
      <c r="AG21" s="344" t="str">
        <f>IFERROR(__xludf.DUMMYFUNCTION("""COMPUTED_VALUE"""),"Grid fail, unsafe")</f>
        <v>Grid fail, unsafe</v>
      </c>
      <c r="AH21" s="344"/>
      <c r="AI21" s="330"/>
      <c r="AJ21" s="345"/>
      <c r="AK21" s="346"/>
      <c r="AL21" s="303">
        <f>IFERROR(__xludf.DUMMYFUNCTION("""COMPUTED_VALUE"""),0.0)</f>
        <v>0</v>
      </c>
      <c r="AM21" s="304">
        <f>IFERROR(__xludf.DUMMYFUNCTION("""COMPUTED_VALUE"""),0.0)</f>
        <v>0</v>
      </c>
      <c r="AN21" s="121"/>
      <c r="AO21" s="121"/>
      <c r="AP21" s="121"/>
      <c r="AQ21" s="121"/>
      <c r="AR21" s="121"/>
      <c r="AS21" s="121"/>
      <c r="AT21" s="121"/>
    </row>
    <row r="22">
      <c r="A22" s="335">
        <f>IFERROR(__xludf.DUMMYFUNCTION("""COMPUTED_VALUE"""),19.0)</f>
        <v>19</v>
      </c>
      <c r="B22" s="333" t="str">
        <f>IFERROR(__xludf.DUMMYFUNCTION("""COMPUTED_VALUE"""),"TNI0256")</f>
        <v>TNI0256</v>
      </c>
      <c r="C22" s="334" t="str">
        <f>IFERROR(__xludf.DUMMYFUNCTION("""COMPUTED_VALUE"""),"C")</f>
        <v>C</v>
      </c>
      <c r="D22" s="333" t="str">
        <f>IFERROR(__xludf.DUMMYFUNCTION("""COMPUTED_VALUE"""),"Mytel")</f>
        <v>Mytel</v>
      </c>
      <c r="E22" s="336" t="str">
        <f>IFERROR(__xludf.DUMMYFUNCTION("""COMPUTED_VALUE"""),"T1")</f>
        <v>T1</v>
      </c>
      <c r="F22" s="347" t="str">
        <f>IFERROR(__xludf.DUMMYFUNCTION("""COMPUTED_VALUE"""),"Dawei")</f>
        <v>Dawei</v>
      </c>
      <c r="G22" s="347" t="str">
        <f>IFERROR(__xludf.DUMMYFUNCTION("""COMPUTED_VALUE"""),"Aung Lwin Phyo")</f>
        <v>Aung Lwin Phyo</v>
      </c>
      <c r="H22" s="232"/>
      <c r="I22" s="181"/>
      <c r="J22" s="232"/>
      <c r="K22" s="338">
        <f>IFERROR(__xludf.DUMMYFUNCTION("""COMPUTED_VALUE"""),30.0)</f>
        <v>30</v>
      </c>
      <c r="L22" s="335" t="str">
        <f>IFERROR(__xludf.DUMMYFUNCTION("""COMPUTED_VALUE"""),"10:00PM-4:00AM")</f>
        <v>10:00PM-4:00AM</v>
      </c>
      <c r="M22" s="335" t="str">
        <f>IFERROR(__xludf.DUMMYFUNCTION("""COMPUTED_VALUE"""),"Grid+Solar+BB")</f>
        <v>Grid+Solar+BB</v>
      </c>
      <c r="N22" s="339" t="str">
        <f>IFERROR(__xludf.DUMMYFUNCTION("""COMPUTED_VALUE"""),"ok")</f>
        <v>ok</v>
      </c>
      <c r="O22" s="318"/>
      <c r="P22" s="318"/>
      <c r="Q22" s="320"/>
      <c r="R22" s="321"/>
      <c r="S22" s="322"/>
      <c r="T22" s="323"/>
      <c r="U22" s="340"/>
      <c r="V22" s="324"/>
      <c r="W22" s="340"/>
      <c r="X22" s="325"/>
      <c r="Y22" s="326"/>
      <c r="Z22" s="320"/>
      <c r="AA22" s="320"/>
      <c r="AB22" s="341"/>
      <c r="AC22" s="342"/>
      <c r="AD22" s="343"/>
      <c r="AE22" s="342"/>
      <c r="AF22" s="165">
        <f>IFERROR(__xludf.DUMMYFUNCTION("""COMPUTED_VALUE"""),847.0)</f>
        <v>847</v>
      </c>
      <c r="AG22" s="344" t="str">
        <f>IFERROR(__xludf.DUMMYFUNCTION("""COMPUTED_VALUE"""),"Checking with TCO Team")</f>
        <v>Checking with TCO Team</v>
      </c>
      <c r="AH22" s="344" t="str">
        <f>IFERROR(__xludf.DUMMYFUNCTION("""COMPUTED_VALUE"""),"RRU-nychange")</f>
        <v>RRU-nychange</v>
      </c>
      <c r="AI22" s="330" t="str">
        <f>IFERROR(__xludf.DUMMYFUNCTION("""COMPUTED_VALUE"""),"19/10/2025 8:53:11 small cell down")</f>
        <v>19/10/2025 8:53:11 small cell down</v>
      </c>
      <c r="AJ22" s="345"/>
      <c r="AK22" s="346"/>
      <c r="AL22" s="303">
        <f>IFERROR(__xludf.DUMMYFUNCTION("""COMPUTED_VALUE"""),0.0)</f>
        <v>0</v>
      </c>
      <c r="AM22" s="304">
        <f>IFERROR(__xludf.DUMMYFUNCTION("""COMPUTED_VALUE"""),0.0)</f>
        <v>0</v>
      </c>
      <c r="AN22" s="121"/>
      <c r="AO22" s="121"/>
      <c r="AP22" s="121"/>
      <c r="AQ22" s="121"/>
      <c r="AR22" s="121"/>
      <c r="AS22" s="121"/>
      <c r="AT22" s="121"/>
    </row>
    <row r="23">
      <c r="A23" s="232">
        <f>IFERROR(__xludf.DUMMYFUNCTION("""COMPUTED_VALUE"""),20.0)</f>
        <v>20</v>
      </c>
      <c r="B23" s="181" t="str">
        <f>IFERROR(__xludf.DUMMYFUNCTION("""COMPUTED_VALUE"""),"TNI0257")</f>
        <v>TNI0257</v>
      </c>
      <c r="C23" s="317" t="str">
        <f>IFERROR(__xludf.DUMMYFUNCTION("""COMPUTED_VALUE"""),"C")</f>
        <v>C</v>
      </c>
      <c r="D23" s="181" t="str">
        <f>IFERROR(__xludf.DUMMYFUNCTION("""COMPUTED_VALUE"""),"Mytel")</f>
        <v>Mytel</v>
      </c>
      <c r="E23" s="357" t="str">
        <f>IFERROR(__xludf.DUMMYFUNCTION("""COMPUTED_VALUE"""),"T1")</f>
        <v>T1</v>
      </c>
      <c r="F23" s="181" t="str">
        <f>IFERROR(__xludf.DUMMYFUNCTION("""COMPUTED_VALUE"""),"Dawei")</f>
        <v>Dawei</v>
      </c>
      <c r="G23" s="181" t="str">
        <f>IFERROR(__xludf.DUMMYFUNCTION("""COMPUTED_VALUE"""),"Win Htet Aung")</f>
        <v>Win Htet Aung</v>
      </c>
      <c r="H23" s="232"/>
      <c r="I23" s="181"/>
      <c r="J23" s="232"/>
      <c r="K23" s="358">
        <f>IFERROR(__xludf.DUMMYFUNCTION("""COMPUTED_VALUE"""),30.0)</f>
        <v>30</v>
      </c>
      <c r="L23" s="232" t="str">
        <f>IFERROR(__xludf.DUMMYFUNCTION("""COMPUTED_VALUE"""),"10:00PM-4:00AM")</f>
        <v>10:00PM-4:00AM</v>
      </c>
      <c r="M23" s="232" t="str">
        <f>IFERROR(__xludf.DUMMYFUNCTION("""COMPUTED_VALUE"""),"1DG+Grid+BB")</f>
        <v>1DG+Grid+BB</v>
      </c>
      <c r="N23" s="359" t="str">
        <f>IFERROR(__xludf.DUMMYFUNCTION("""COMPUTED_VALUE"""),"ok")</f>
        <v>ok</v>
      </c>
      <c r="O23" s="318"/>
      <c r="P23" s="318"/>
      <c r="Q23" s="320"/>
      <c r="R23" s="321"/>
      <c r="S23" s="322"/>
      <c r="T23" s="323"/>
      <c r="U23" s="340" t="str">
        <f>IFERROR(__xludf.DUMMYFUNCTION("""COMPUTED_VALUE"""),"31.49")</f>
        <v>31.49</v>
      </c>
      <c r="V23" s="324"/>
      <c r="W23" s="340"/>
      <c r="X23" s="325"/>
      <c r="Y23" s="326"/>
      <c r="Z23" s="320"/>
      <c r="AA23" s="320"/>
      <c r="AB23" s="327"/>
      <c r="AC23" s="328"/>
      <c r="AD23" s="327"/>
      <c r="AE23" s="328"/>
      <c r="AF23" s="329">
        <f>IFERROR(__xludf.DUMMYFUNCTION("""COMPUTED_VALUE"""),1144.0)</f>
        <v>1144</v>
      </c>
      <c r="AG23" s="330"/>
      <c r="AH23" s="330"/>
      <c r="AI23" s="330"/>
      <c r="AJ23" s="331"/>
      <c r="AK23" s="184"/>
      <c r="AL23" s="360">
        <f>IFERROR(__xludf.DUMMYFUNCTION("""COMPUTED_VALUE"""),0.0)</f>
        <v>0</v>
      </c>
      <c r="AM23" s="361">
        <f>IFERROR(__xludf.DUMMYFUNCTION("""COMPUTED_VALUE"""),0.0)</f>
        <v>0</v>
      </c>
      <c r="AN23" s="121"/>
      <c r="AO23" s="121"/>
      <c r="AP23" s="121"/>
      <c r="AQ23" s="121"/>
      <c r="AR23" s="121"/>
      <c r="AS23" s="121"/>
      <c r="AT23" s="121"/>
    </row>
    <row r="24">
      <c r="A24" s="232">
        <f>IFERROR(__xludf.DUMMYFUNCTION("""COMPUTED_VALUE"""),21.0)</f>
        <v>21</v>
      </c>
      <c r="B24" s="181" t="str">
        <f>IFERROR(__xludf.DUMMYFUNCTION("""COMPUTED_VALUE"""),"TNI0264")</f>
        <v>TNI0264</v>
      </c>
      <c r="C24" s="317" t="str">
        <f>IFERROR(__xludf.DUMMYFUNCTION("""COMPUTED_VALUE"""),"B")</f>
        <v>B</v>
      </c>
      <c r="D24" s="181" t="str">
        <f>IFERROR(__xludf.DUMMYFUNCTION("""COMPUTED_VALUE"""),"Mytel")</f>
        <v>Mytel</v>
      </c>
      <c r="E24" s="357" t="str">
        <f>IFERROR(__xludf.DUMMYFUNCTION("""COMPUTED_VALUE"""),"T1")</f>
        <v>T1</v>
      </c>
      <c r="F24" s="181" t="str">
        <f>IFERROR(__xludf.DUMMYFUNCTION("""COMPUTED_VALUE"""),"Dawei")</f>
        <v>Dawei</v>
      </c>
      <c r="G24" s="181" t="str">
        <f>IFERROR(__xludf.DUMMYFUNCTION("""COMPUTED_VALUE"""),"Aung Lwin Phyo")</f>
        <v>Aung Lwin Phyo</v>
      </c>
      <c r="H24" s="232"/>
      <c r="I24" s="181"/>
      <c r="J24" s="232"/>
      <c r="K24" s="358">
        <f>IFERROR(__xludf.DUMMYFUNCTION("""COMPUTED_VALUE"""),30.0)</f>
        <v>30</v>
      </c>
      <c r="L24" s="232" t="str">
        <f>IFERROR(__xludf.DUMMYFUNCTION("""COMPUTED_VALUE"""),"10:00PM-4:00AM")</f>
        <v>10:00PM-4:00AM</v>
      </c>
      <c r="M24" s="232" t="str">
        <f>IFERROR(__xludf.DUMMYFUNCTION("""COMPUTED_VALUE"""),"1DG+Solar+Grid+BB")</f>
        <v>1DG+Solar+Grid+BB</v>
      </c>
      <c r="N24" s="359" t="str">
        <f>IFERROR(__xludf.DUMMYFUNCTION("""COMPUTED_VALUE"""),"ok")</f>
        <v>ok</v>
      </c>
      <c r="O24" s="318"/>
      <c r="P24" s="318"/>
      <c r="Q24" s="320" t="str">
        <f>IFERROR(__xludf.DUMMYFUNCTION("""COMPUTED_VALUE""")," +Battery Door: 03/02/2025 11:20")</f>
        <v> +Battery Door: 03/02/2025 11:20</v>
      </c>
      <c r="R24" s="321">
        <f>IFERROR(__xludf.DUMMYFUNCTION("""COMPUTED_VALUE"""),12341.98)</f>
        <v>12341.98</v>
      </c>
      <c r="S24" s="322"/>
      <c r="T24" s="323"/>
      <c r="U24" s="340" t="str">
        <f>IFERROR(__xludf.DUMMYFUNCTION("""COMPUTED_VALUE"""),"5167.63")</f>
        <v>5167.63</v>
      </c>
      <c r="V24" s="324"/>
      <c r="W24" s="340"/>
      <c r="X24" s="325"/>
      <c r="Y24" s="326"/>
      <c r="Z24" s="320"/>
      <c r="AA24" s="320"/>
      <c r="AB24" s="327"/>
      <c r="AC24" s="328"/>
      <c r="AD24" s="327"/>
      <c r="AE24" s="328"/>
      <c r="AF24" s="329">
        <f>IFERROR(__xludf.DUMMYFUNCTION("""COMPUTED_VALUE"""),1742.0)</f>
        <v>1742</v>
      </c>
      <c r="AG24" s="330"/>
      <c r="AH24" s="330"/>
      <c r="AI24" s="330"/>
      <c r="AJ24" s="331"/>
      <c r="AK24" s="184"/>
      <c r="AL24" s="360">
        <f>IFERROR(__xludf.DUMMYFUNCTION("""COMPUTED_VALUE"""),0.0)</f>
        <v>0</v>
      </c>
      <c r="AM24" s="361">
        <f>IFERROR(__xludf.DUMMYFUNCTION("""COMPUTED_VALUE"""),0.0)</f>
        <v>0</v>
      </c>
      <c r="AN24" s="121"/>
      <c r="AO24" s="121"/>
      <c r="AP24" s="121"/>
      <c r="AQ24" s="121"/>
      <c r="AR24" s="121"/>
      <c r="AS24" s="121"/>
      <c r="AT24" s="121"/>
    </row>
    <row r="25">
      <c r="A25" s="232">
        <f>IFERROR(__xludf.DUMMYFUNCTION("""COMPUTED_VALUE"""),22.0)</f>
        <v>22</v>
      </c>
      <c r="B25" s="181" t="str">
        <f>IFERROR(__xludf.DUMMYFUNCTION("""COMPUTED_VALUE"""),"TNI0144")</f>
        <v>TNI0144</v>
      </c>
      <c r="C25" s="317" t="str">
        <f>IFERROR(__xludf.DUMMYFUNCTION("""COMPUTED_VALUE"""),"C")</f>
        <v>C</v>
      </c>
      <c r="D25" s="181" t="str">
        <f>IFERROR(__xludf.DUMMYFUNCTION("""COMPUTED_VALUE"""),"Apollo")</f>
        <v>Apollo</v>
      </c>
      <c r="E25" s="357" t="str">
        <f>IFERROR(__xludf.DUMMYFUNCTION("""COMPUTED_VALUE"""),"T1")</f>
        <v>T1</v>
      </c>
      <c r="F25" s="181" t="str">
        <f>IFERROR(__xludf.DUMMYFUNCTION("""COMPUTED_VALUE"""),"Dawei")</f>
        <v>Dawei</v>
      </c>
      <c r="G25" s="181" t="str">
        <f>IFERROR(__xludf.DUMMYFUNCTION("""COMPUTED_VALUE"""),"Aung Lwin Phyo")</f>
        <v>Aung Lwin Phyo</v>
      </c>
      <c r="H25" s="232"/>
      <c r="I25" s="181"/>
      <c r="J25" s="232"/>
      <c r="K25" s="358">
        <f>IFERROR(__xludf.DUMMYFUNCTION("""COMPUTED_VALUE"""),30.0)</f>
        <v>30</v>
      </c>
      <c r="L25" s="232" t="str">
        <f>IFERROR(__xludf.DUMMYFUNCTION("""COMPUTED_VALUE"""),"24*7")</f>
        <v>24*7</v>
      </c>
      <c r="M25" s="232" t="str">
        <f>IFERROR(__xludf.DUMMYFUNCTION("""COMPUTED_VALUE"""),"1DG+Grid+BB")</f>
        <v>1DG+Grid+BB</v>
      </c>
      <c r="N25" s="359" t="str">
        <f>IFERROR(__xludf.DUMMYFUNCTION("""COMPUTED_VALUE"""),"ok")</f>
        <v>ok</v>
      </c>
      <c r="O25" s="318"/>
      <c r="P25" s="318"/>
      <c r="Q25" s="320"/>
      <c r="R25" s="321"/>
      <c r="S25" s="322"/>
      <c r="T25" s="323"/>
      <c r="U25" s="340"/>
      <c r="V25" s="324"/>
      <c r="W25" s="340"/>
      <c r="X25" s="325"/>
      <c r="Y25" s="326"/>
      <c r="Z25" s="320"/>
      <c r="AA25" s="320"/>
      <c r="AB25" s="327"/>
      <c r="AC25" s="328"/>
      <c r="AD25" s="327"/>
      <c r="AE25" s="328"/>
      <c r="AF25" s="329">
        <f>IFERROR(__xludf.DUMMYFUNCTION("""COMPUTED_VALUE"""),386.0)</f>
        <v>386</v>
      </c>
      <c r="AG25" s="330" t="str">
        <f>IFERROR(__xludf.DUMMYFUNCTION("""COMPUTED_VALUE"""),"TCO team CR plan")</f>
        <v>TCO team CR plan</v>
      </c>
      <c r="AH25" s="330"/>
      <c r="AI25" s="330"/>
      <c r="AJ25" s="331"/>
      <c r="AK25" s="184"/>
      <c r="AL25" s="360">
        <f>IFERROR(__xludf.DUMMYFUNCTION("""COMPUTED_VALUE"""),0.0)</f>
        <v>0</v>
      </c>
      <c r="AM25" s="361">
        <f>IFERROR(__xludf.DUMMYFUNCTION("""COMPUTED_VALUE"""),0.0)</f>
        <v>0</v>
      </c>
      <c r="AN25" s="121"/>
      <c r="AO25" s="121"/>
      <c r="AP25" s="121"/>
      <c r="AQ25" s="121"/>
      <c r="AR25" s="121"/>
      <c r="AS25" s="121"/>
      <c r="AT25" s="121"/>
    </row>
    <row r="26">
      <c r="A26" s="232">
        <f>IFERROR(__xludf.DUMMYFUNCTION("""COMPUTED_VALUE"""),23.0)</f>
        <v>23</v>
      </c>
      <c r="B26" s="181" t="str">
        <f>IFERROR(__xludf.DUMMYFUNCTION("""COMPUTED_VALUE"""),"TNI0056")</f>
        <v>TNI0056</v>
      </c>
      <c r="C26" s="317" t="str">
        <f>IFERROR(__xludf.DUMMYFUNCTION("""COMPUTED_VALUE"""),"B")</f>
        <v>B</v>
      </c>
      <c r="D26" s="181" t="str">
        <f>IFERROR(__xludf.DUMMYFUNCTION("""COMPUTED_VALUE"""),"Edotco")</f>
        <v>Edotco</v>
      </c>
      <c r="E26" s="357" t="str">
        <f>IFERROR(__xludf.DUMMYFUNCTION("""COMPUTED_VALUE"""),"T1")</f>
        <v>T1</v>
      </c>
      <c r="F26" s="181" t="str">
        <f>IFERROR(__xludf.DUMMYFUNCTION("""COMPUTED_VALUE"""),"Dawei")</f>
        <v>Dawei</v>
      </c>
      <c r="G26" s="181" t="str">
        <f>IFERROR(__xludf.DUMMYFUNCTION("""COMPUTED_VALUE"""),"Aung Lwin Phyo")</f>
        <v>Aung Lwin Phyo</v>
      </c>
      <c r="H26" s="232"/>
      <c r="I26" s="181"/>
      <c r="J26" s="232" t="str">
        <f>IFERROR(__xludf.DUMMYFUNCTION("""COMPUTED_VALUE"""),"OLT")</f>
        <v>OLT</v>
      </c>
      <c r="K26" s="358">
        <f>IFERROR(__xludf.DUMMYFUNCTION("""COMPUTED_VALUE"""),30.0)</f>
        <v>30</v>
      </c>
      <c r="L26" s="232" t="str">
        <f>IFERROR(__xludf.DUMMYFUNCTION("""COMPUTED_VALUE"""),"10:00PM-4:00AM")</f>
        <v>10:00PM-4:00AM</v>
      </c>
      <c r="M26" s="232" t="str">
        <f>IFERROR(__xludf.DUMMYFUNCTION("""COMPUTED_VALUE"""),"1DG+BB")</f>
        <v>1DG+BB</v>
      </c>
      <c r="N26" s="359" t="str">
        <f>IFERROR(__xludf.DUMMYFUNCTION("""COMPUTED_VALUE"""),"ok")</f>
        <v>ok</v>
      </c>
      <c r="O26" s="318"/>
      <c r="P26" s="318"/>
      <c r="Q26" s="320"/>
      <c r="R26" s="321"/>
      <c r="S26" s="322"/>
      <c r="T26" s="323"/>
      <c r="U26" s="340"/>
      <c r="V26" s="324"/>
      <c r="W26" s="340"/>
      <c r="X26" s="325"/>
      <c r="Y26" s="326"/>
      <c r="Z26" s="320"/>
      <c r="AA26" s="320"/>
      <c r="AB26" s="327"/>
      <c r="AC26" s="328"/>
      <c r="AD26" s="327"/>
      <c r="AE26" s="328"/>
      <c r="AF26" s="329">
        <f>IFERROR(__xludf.DUMMYFUNCTION("""COMPUTED_VALUE"""),1094.0)</f>
        <v>1094</v>
      </c>
      <c r="AG26" s="330" t="str">
        <f>IFERROR(__xludf.DUMMYFUNCTION("""COMPUTED_VALUE"""),"Grid fail, non DG")</f>
        <v>Grid fail, non DG</v>
      </c>
      <c r="AH26" s="330"/>
      <c r="AI26" s="330"/>
      <c r="AJ26" s="331"/>
      <c r="AK26" s="184"/>
      <c r="AL26" s="360">
        <f>IFERROR(__xludf.DUMMYFUNCTION("""COMPUTED_VALUE"""),0.0)</f>
        <v>0</v>
      </c>
      <c r="AM26" s="361">
        <f>IFERROR(__xludf.DUMMYFUNCTION("""COMPUTED_VALUE"""),0.0)</f>
        <v>0</v>
      </c>
      <c r="AN26" s="121"/>
      <c r="AO26" s="121"/>
      <c r="AP26" s="121"/>
      <c r="AQ26" s="121"/>
      <c r="AR26" s="121"/>
      <c r="AS26" s="121"/>
      <c r="AT26" s="121"/>
    </row>
    <row r="27">
      <c r="A27" s="232">
        <f>IFERROR(__xludf.DUMMYFUNCTION("""COMPUTED_VALUE"""),24.0)</f>
        <v>24</v>
      </c>
      <c r="B27" s="181" t="str">
        <f>IFERROR(__xludf.DUMMYFUNCTION("""COMPUTED_VALUE"""),"TNI0062")</f>
        <v>TNI0062</v>
      </c>
      <c r="C27" s="317" t="str">
        <f>IFERROR(__xludf.DUMMYFUNCTION("""COMPUTED_VALUE"""),"C")</f>
        <v>C</v>
      </c>
      <c r="D27" s="181" t="str">
        <f>IFERROR(__xludf.DUMMYFUNCTION("""COMPUTED_VALUE"""),"IGT")</f>
        <v>IGT</v>
      </c>
      <c r="E27" s="357" t="str">
        <f>IFERROR(__xludf.DUMMYFUNCTION("""COMPUTED_VALUE"""),"T1")</f>
        <v>T1</v>
      </c>
      <c r="F27" s="181" t="str">
        <f>IFERROR(__xludf.DUMMYFUNCTION("""COMPUTED_VALUE"""),"Dawei")</f>
        <v>Dawei</v>
      </c>
      <c r="G27" s="181" t="str">
        <f>IFERROR(__xludf.DUMMYFUNCTION("""COMPUTED_VALUE"""),"Aung Lwin Phyo")</f>
        <v>Aung Lwin Phyo</v>
      </c>
      <c r="H27" s="232"/>
      <c r="I27" s="181"/>
      <c r="J27" s="232"/>
      <c r="K27" s="358">
        <f>IFERROR(__xludf.DUMMYFUNCTION("""COMPUTED_VALUE"""),30.0)</f>
        <v>30</v>
      </c>
      <c r="L27" s="232" t="str">
        <f>IFERROR(__xludf.DUMMYFUNCTION("""COMPUTED_VALUE"""),"24*7")</f>
        <v>24*7</v>
      </c>
      <c r="M27" s="232" t="str">
        <f>IFERROR(__xludf.DUMMYFUNCTION("""COMPUTED_VALUE"""),"Grid+BB")</f>
        <v>Grid+BB</v>
      </c>
      <c r="N27" s="359" t="str">
        <f>IFERROR(__xludf.DUMMYFUNCTION("""COMPUTED_VALUE"""),"ok")</f>
        <v>ok</v>
      </c>
      <c r="O27" s="318"/>
      <c r="P27" s="318"/>
      <c r="Q27" s="320"/>
      <c r="R27" s="321"/>
      <c r="S27" s="322"/>
      <c r="T27" s="323"/>
      <c r="U27" s="340"/>
      <c r="V27" s="324"/>
      <c r="W27" s="340"/>
      <c r="X27" s="325"/>
      <c r="Y27" s="326"/>
      <c r="Z27" s="320"/>
      <c r="AA27" s="320"/>
      <c r="AB27" s="327"/>
      <c r="AC27" s="328"/>
      <c r="AD27" s="327"/>
      <c r="AE27" s="328"/>
      <c r="AF27" s="329">
        <f>IFERROR(__xludf.DUMMYFUNCTION("""COMPUTED_VALUE"""),1631.0)</f>
        <v>1631</v>
      </c>
      <c r="AG27" s="330" t="str">
        <f>IFERROR(__xludf.DUMMYFUNCTION("""COMPUTED_VALUE"""),"Grid fail, non DG site")</f>
        <v>Grid fail, non DG site</v>
      </c>
      <c r="AH27" s="330"/>
      <c r="AI27" s="330"/>
      <c r="AJ27" s="331"/>
      <c r="AK27" s="184"/>
      <c r="AL27" s="360">
        <f>IFERROR(__xludf.DUMMYFUNCTION("""COMPUTED_VALUE"""),0.0)</f>
        <v>0</v>
      </c>
      <c r="AM27" s="361">
        <f>IFERROR(__xludf.DUMMYFUNCTION("""COMPUTED_VALUE"""),0.0)</f>
        <v>0</v>
      </c>
      <c r="AN27" s="121"/>
      <c r="AO27" s="121"/>
      <c r="AP27" s="121"/>
      <c r="AQ27" s="121"/>
      <c r="AR27" s="121"/>
      <c r="AS27" s="121"/>
      <c r="AT27" s="121"/>
    </row>
    <row r="28">
      <c r="A28" s="232">
        <f>IFERROR(__xludf.DUMMYFUNCTION("""COMPUTED_VALUE"""),25.0)</f>
        <v>25</v>
      </c>
      <c r="B28" s="181" t="str">
        <f>IFERROR(__xludf.DUMMYFUNCTION("""COMPUTED_VALUE"""),"TNI0018")</f>
        <v>TNI0018</v>
      </c>
      <c r="C28" s="317" t="str">
        <f>IFERROR(__xludf.DUMMYFUNCTION("""COMPUTED_VALUE"""),"B")</f>
        <v>B</v>
      </c>
      <c r="D28" s="181" t="str">
        <f>IFERROR(__xludf.DUMMYFUNCTION("""COMPUTED_VALUE"""),"PAT")</f>
        <v>PAT</v>
      </c>
      <c r="E28" s="357" t="str">
        <f>IFERROR(__xludf.DUMMYFUNCTION("""COMPUTED_VALUE"""),"T1")</f>
        <v>T1</v>
      </c>
      <c r="F28" s="181" t="str">
        <f>IFERROR(__xludf.DUMMYFUNCTION("""COMPUTED_VALUE"""),"Launglon")</f>
        <v>Launglon</v>
      </c>
      <c r="G28" s="181" t="str">
        <f>IFERROR(__xludf.DUMMYFUNCTION("""COMPUTED_VALUE"""),"Aung Lwin Phyo")</f>
        <v>Aung Lwin Phyo</v>
      </c>
      <c r="H28" s="232"/>
      <c r="I28" s="181"/>
      <c r="J28" s="232" t="str">
        <f>IFERROR(__xludf.DUMMYFUNCTION("""COMPUTED_VALUE"""),"OLT")</f>
        <v>OLT</v>
      </c>
      <c r="K28" s="358">
        <f>IFERROR(__xludf.DUMMYFUNCTION("""COMPUTED_VALUE"""),30.0)</f>
        <v>30</v>
      </c>
      <c r="L28" s="232" t="str">
        <f>IFERROR(__xludf.DUMMYFUNCTION("""COMPUTED_VALUE"""),"08:00PM-5:00AM")</f>
        <v>08:00PM-5:00AM</v>
      </c>
      <c r="M28" s="232" t="str">
        <f>IFERROR(__xludf.DUMMYFUNCTION("""COMPUTED_VALUE"""),"1DG+Grid+BB")</f>
        <v>1DG+Grid+BB</v>
      </c>
      <c r="N28" s="359" t="str">
        <f>IFERROR(__xludf.DUMMYFUNCTION("""COMPUTED_VALUE"""),"ok")</f>
        <v>ok</v>
      </c>
      <c r="O28" s="318"/>
      <c r="P28" s="318"/>
      <c r="Q28" s="320"/>
      <c r="R28" s="321"/>
      <c r="S28" s="322"/>
      <c r="T28" s="323"/>
      <c r="U28" s="340"/>
      <c r="V28" s="324"/>
      <c r="W28" s="340"/>
      <c r="X28" s="325"/>
      <c r="Y28" s="326"/>
      <c r="Z28" s="320"/>
      <c r="AA28" s="320"/>
      <c r="AB28" s="327"/>
      <c r="AC28" s="328"/>
      <c r="AD28" s="327"/>
      <c r="AE28" s="328"/>
      <c r="AF28" s="329">
        <f>IFERROR(__xludf.DUMMYFUNCTION("""COMPUTED_VALUE"""),722.0)</f>
        <v>722</v>
      </c>
      <c r="AG28" s="330" t="str">
        <f>IFERROR(__xludf.DUMMYFUNCTION("""COMPUTED_VALUE"""),"Checking with team")</f>
        <v>Checking with team</v>
      </c>
      <c r="AH28" s="330"/>
      <c r="AI28" s="330"/>
      <c r="AJ28" s="331"/>
      <c r="AK28" s="184"/>
      <c r="AL28" s="360">
        <f>IFERROR(__xludf.DUMMYFUNCTION("""COMPUTED_VALUE"""),0.0)</f>
        <v>0</v>
      </c>
      <c r="AM28" s="361">
        <f>IFERROR(__xludf.DUMMYFUNCTION("""COMPUTED_VALUE"""),0.0)</f>
        <v>0</v>
      </c>
      <c r="AN28" s="121"/>
      <c r="AO28" s="121"/>
      <c r="AP28" s="121"/>
      <c r="AQ28" s="121"/>
      <c r="AR28" s="121"/>
      <c r="AS28" s="121"/>
      <c r="AT28" s="121"/>
    </row>
    <row r="29">
      <c r="A29" s="232">
        <f>IFERROR(__xludf.DUMMYFUNCTION("""COMPUTED_VALUE"""),26.0)</f>
        <v>26</v>
      </c>
      <c r="B29" s="181" t="str">
        <f>IFERROR(__xludf.DUMMYFUNCTION("""COMPUTED_VALUE"""),"TNI0238")</f>
        <v>TNI0238</v>
      </c>
      <c r="C29" s="317" t="str">
        <f>IFERROR(__xludf.DUMMYFUNCTION("""COMPUTED_VALUE"""),"C")</f>
        <v>C</v>
      </c>
      <c r="D29" s="181" t="str">
        <f>IFERROR(__xludf.DUMMYFUNCTION("""COMPUTED_VALUE"""),"IGT")</f>
        <v>IGT</v>
      </c>
      <c r="E29" s="357" t="str">
        <f>IFERROR(__xludf.DUMMYFUNCTION("""COMPUTED_VALUE"""),"T1")</f>
        <v>T1</v>
      </c>
      <c r="F29" s="181" t="str">
        <f>IFERROR(__xludf.DUMMYFUNCTION("""COMPUTED_VALUE"""),"Dawei")</f>
        <v>Dawei</v>
      </c>
      <c r="G29" s="181" t="str">
        <f>IFERROR(__xludf.DUMMYFUNCTION("""COMPUTED_VALUE"""),"Aung Lwin Phyo")</f>
        <v>Aung Lwin Phyo</v>
      </c>
      <c r="H29" s="232"/>
      <c r="I29" s="181"/>
      <c r="J29" s="232"/>
      <c r="K29" s="358">
        <f>IFERROR(__xludf.DUMMYFUNCTION("""COMPUTED_VALUE"""),30.0)</f>
        <v>30</v>
      </c>
      <c r="L29" s="232" t="str">
        <f>IFERROR(__xludf.DUMMYFUNCTION("""COMPUTED_VALUE"""),"24*7")</f>
        <v>24*7</v>
      </c>
      <c r="M29" s="232" t="str">
        <f>IFERROR(__xludf.DUMMYFUNCTION("""COMPUTED_VALUE"""),"Grid+BB")</f>
        <v>Grid+BB</v>
      </c>
      <c r="N29" s="359" t="str">
        <f>IFERROR(__xludf.DUMMYFUNCTION("""COMPUTED_VALUE"""),"ok")</f>
        <v>ok</v>
      </c>
      <c r="O29" s="318"/>
      <c r="P29" s="318"/>
      <c r="Q29" s="320"/>
      <c r="R29" s="321"/>
      <c r="S29" s="322"/>
      <c r="T29" s="323"/>
      <c r="U29" s="340"/>
      <c r="V29" s="324"/>
      <c r="W29" s="340"/>
      <c r="X29" s="325"/>
      <c r="Y29" s="326"/>
      <c r="Z29" s="320"/>
      <c r="AA29" s="320"/>
      <c r="AB29" s="327"/>
      <c r="AC29" s="328"/>
      <c r="AD29" s="327"/>
      <c r="AE29" s="328"/>
      <c r="AF29" s="329">
        <f>IFERROR(__xludf.DUMMYFUNCTION("""COMPUTED_VALUE"""),1163.0)</f>
        <v>1163</v>
      </c>
      <c r="AG29" s="330" t="str">
        <f>IFERROR(__xludf.DUMMYFUNCTION("""COMPUTED_VALUE"""),"site was down due to rectifier backslot burnt issue")</f>
        <v>site was down due to rectifier backslot burnt issue</v>
      </c>
      <c r="AH29" s="330"/>
      <c r="AI29" s="330"/>
      <c r="AJ29" s="331"/>
      <c r="AK29" s="184"/>
      <c r="AL29" s="360">
        <f>IFERROR(__xludf.DUMMYFUNCTION("""COMPUTED_VALUE"""),0.0)</f>
        <v>0</v>
      </c>
      <c r="AM29" s="361">
        <f>IFERROR(__xludf.DUMMYFUNCTION("""COMPUTED_VALUE"""),0.0)</f>
        <v>0</v>
      </c>
      <c r="AN29" s="121"/>
      <c r="AO29" s="121"/>
      <c r="AP29" s="121"/>
      <c r="AQ29" s="121"/>
      <c r="AR29" s="121"/>
      <c r="AS29" s="121"/>
      <c r="AT29" s="121"/>
    </row>
    <row r="30">
      <c r="A30" s="232">
        <f>IFERROR(__xludf.DUMMYFUNCTION("""COMPUTED_VALUE"""),27.0)</f>
        <v>27</v>
      </c>
      <c r="B30" s="181" t="str">
        <f>IFERROR(__xludf.DUMMYFUNCTION("""COMPUTED_VALUE"""),"TNI0231")</f>
        <v>TNI0231</v>
      </c>
      <c r="C30" s="317" t="str">
        <f>IFERROR(__xludf.DUMMYFUNCTION("""COMPUTED_VALUE"""),"C")</f>
        <v>C</v>
      </c>
      <c r="D30" s="181" t="str">
        <f>IFERROR(__xludf.DUMMYFUNCTION("""COMPUTED_VALUE"""),"Mytel")</f>
        <v>Mytel</v>
      </c>
      <c r="E30" s="357" t="str">
        <f>IFERROR(__xludf.DUMMYFUNCTION("""COMPUTED_VALUE"""),"T1")</f>
        <v>T1</v>
      </c>
      <c r="F30" s="181" t="str">
        <f>IFERROR(__xludf.DUMMYFUNCTION("""COMPUTED_VALUE"""),"Dawei")</f>
        <v>Dawei</v>
      </c>
      <c r="G30" s="181" t="str">
        <f>IFERROR(__xludf.DUMMYFUNCTION("""COMPUTED_VALUE"""),"Aung Lwin Phyo")</f>
        <v>Aung Lwin Phyo</v>
      </c>
      <c r="H30" s="232" t="str">
        <f>IFERROR(__xludf.DUMMYFUNCTION("""COMPUTED_VALUE"""),"U Aung Ko Ko Htet: 09673080491")</f>
        <v>U Aung Ko Ko Htet: 09673080491</v>
      </c>
      <c r="I30" s="181"/>
      <c r="J30" s="232" t="str">
        <f>IFERROR(__xludf.DUMMYFUNCTION("""COMPUTED_VALUE"""),"OLT")</f>
        <v>OLT</v>
      </c>
      <c r="K30" s="358">
        <f>IFERROR(__xludf.DUMMYFUNCTION("""COMPUTED_VALUE"""),30.0)</f>
        <v>30</v>
      </c>
      <c r="L30" s="232" t="str">
        <f>IFERROR(__xludf.DUMMYFUNCTION("""COMPUTED_VALUE"""),"8:00PM-5:00AM")</f>
        <v>8:00PM-5:00AM</v>
      </c>
      <c r="M30" s="232" t="str">
        <f>IFERROR(__xludf.DUMMYFUNCTION("""COMPUTED_VALUE"""),"1DG+Solar+Grid+BB")</f>
        <v>1DG+Solar+Grid+BB</v>
      </c>
      <c r="N30" s="359" t="str">
        <f>IFERROR(__xludf.DUMMYFUNCTION("""COMPUTED_VALUE"""),"83")</f>
        <v>83</v>
      </c>
      <c r="O30" s="318"/>
      <c r="P30" s="318"/>
      <c r="Q30" s="320"/>
      <c r="R30" s="321"/>
      <c r="S30" s="322"/>
      <c r="T30" s="323"/>
      <c r="U30" s="340"/>
      <c r="V30" s="324"/>
      <c r="W30" s="340"/>
      <c r="X30" s="325"/>
      <c r="Y30" s="326"/>
      <c r="Z30" s="320"/>
      <c r="AA30" s="320"/>
      <c r="AB30" s="327"/>
      <c r="AC30" s="328"/>
      <c r="AD30" s="327"/>
      <c r="AE30" s="328"/>
      <c r="AF30" s="329">
        <f>IFERROR(__xludf.DUMMYFUNCTION("""COMPUTED_VALUE"""),780.0)</f>
        <v>780</v>
      </c>
      <c r="AG30" s="330" t="str">
        <f>IFERROR(__xludf.DUMMYFUNCTION("""COMPUTED_VALUE"""),"Grid fail and DG broken site")</f>
        <v>Grid fail and DG broken site</v>
      </c>
      <c r="AH30" s="330"/>
      <c r="AI30" s="330"/>
      <c r="AJ30" s="331"/>
      <c r="AK30" s="184"/>
      <c r="AL30" s="360">
        <f>IFERROR(__xludf.DUMMYFUNCTION("""COMPUTED_VALUE"""),0.0)</f>
        <v>0</v>
      </c>
      <c r="AM30" s="361">
        <f>IFERROR(__xludf.DUMMYFUNCTION("""COMPUTED_VALUE"""),0.0)</f>
        <v>0</v>
      </c>
      <c r="AN30" s="121"/>
      <c r="AO30" s="121"/>
      <c r="AP30" s="121"/>
      <c r="AQ30" s="121"/>
      <c r="AR30" s="121"/>
      <c r="AS30" s="121"/>
      <c r="AT30" s="121"/>
    </row>
    <row r="31">
      <c r="A31" s="232">
        <f>IFERROR(__xludf.DUMMYFUNCTION("""COMPUTED_VALUE"""),28.0)</f>
        <v>28</v>
      </c>
      <c r="B31" s="181" t="str">
        <f>IFERROR(__xludf.DUMMYFUNCTION("""COMPUTED_VALUE"""),"TNI0265")</f>
        <v>TNI0265</v>
      </c>
      <c r="C31" s="317" t="str">
        <f>IFERROR(__xludf.DUMMYFUNCTION("""COMPUTED_VALUE"""),"C")</f>
        <v>C</v>
      </c>
      <c r="D31" s="181" t="str">
        <f>IFERROR(__xludf.DUMMYFUNCTION("""COMPUTED_VALUE"""),"Mytel")</f>
        <v>Mytel</v>
      </c>
      <c r="E31" s="357" t="str">
        <f>IFERROR(__xludf.DUMMYFUNCTION("""COMPUTED_VALUE"""),"T1")</f>
        <v>T1</v>
      </c>
      <c r="F31" s="181" t="str">
        <f>IFERROR(__xludf.DUMMYFUNCTION("""COMPUTED_VALUE"""),"Dawei")</f>
        <v>Dawei</v>
      </c>
      <c r="G31" s="181" t="str">
        <f>IFERROR(__xludf.DUMMYFUNCTION("""COMPUTED_VALUE"""),"Aung Lwin Phyo")</f>
        <v>Aung Lwin Phyo</v>
      </c>
      <c r="H31" s="232"/>
      <c r="I31" s="181"/>
      <c r="J31" s="232"/>
      <c r="K31" s="358">
        <f>IFERROR(__xludf.DUMMYFUNCTION("""COMPUTED_VALUE"""),30.0)</f>
        <v>30</v>
      </c>
      <c r="L31" s="232" t="str">
        <f>IFERROR(__xludf.DUMMYFUNCTION("""COMPUTED_VALUE"""),"24*7")</f>
        <v>24*7</v>
      </c>
      <c r="M31" s="232" t="str">
        <f>IFERROR(__xludf.DUMMYFUNCTION("""COMPUTED_VALUE"""),"Grid+Solar+BB")</f>
        <v>Grid+Solar+BB</v>
      </c>
      <c r="N31" s="359" t="str">
        <f>IFERROR(__xludf.DUMMYFUNCTION("""COMPUTED_VALUE"""),"ok")</f>
        <v>ok</v>
      </c>
      <c r="O31" s="318"/>
      <c r="P31" s="318"/>
      <c r="Q31" s="320" t="str">
        <f>IFERROR(__xludf.DUMMYFUNCTION("""COMPUTED_VALUE""")," +Battery Door: 22/05/2026 16:02")</f>
        <v> +Battery Door: 22/05/2026 16:02</v>
      </c>
      <c r="R31" s="321">
        <f>IFERROR(__xludf.DUMMYFUNCTION("""COMPUTED_VALUE"""),985.29)</f>
        <v>985.29</v>
      </c>
      <c r="S31" s="322"/>
      <c r="T31" s="323"/>
      <c r="U31" s="340"/>
      <c r="V31" s="324"/>
      <c r="W31" s="340"/>
      <c r="X31" s="325"/>
      <c r="Y31" s="326"/>
      <c r="Z31" s="320"/>
      <c r="AA31" s="320"/>
      <c r="AB31" s="327"/>
      <c r="AC31" s="328"/>
      <c r="AD31" s="327"/>
      <c r="AE31" s="328"/>
      <c r="AF31" s="329">
        <f>IFERROR(__xludf.DUMMYFUNCTION("""COMPUTED_VALUE"""),539.0)</f>
        <v>539</v>
      </c>
      <c r="AG31" s="330" t="str">
        <f>IFERROR(__xludf.DUMMYFUNCTION("""COMPUTED_VALUE"""),"ETA 6:30 AM")</f>
        <v>ETA 6:30 AM</v>
      </c>
      <c r="AH31" s="330"/>
      <c r="AI31" s="330"/>
      <c r="AJ31" s="331"/>
      <c r="AK31" s="184"/>
      <c r="AL31" s="360">
        <f>IFERROR(__xludf.DUMMYFUNCTION("""COMPUTED_VALUE"""),0.0)</f>
        <v>0</v>
      </c>
      <c r="AM31" s="361">
        <f>IFERROR(__xludf.DUMMYFUNCTION("""COMPUTED_VALUE"""),0.0)</f>
        <v>0</v>
      </c>
      <c r="AN31" s="121"/>
      <c r="AO31" s="121"/>
      <c r="AP31" s="121"/>
      <c r="AQ31" s="121"/>
      <c r="AR31" s="121"/>
      <c r="AS31" s="121"/>
      <c r="AT31" s="121"/>
    </row>
    <row r="32">
      <c r="A32" s="232">
        <f>IFERROR(__xludf.DUMMYFUNCTION("""COMPUTED_VALUE"""),29.0)</f>
        <v>29</v>
      </c>
      <c r="B32" s="181" t="str">
        <f>IFERROR(__xludf.DUMMYFUNCTION("""COMPUTED_VALUE"""),"TNI0272")</f>
        <v>TNI0272</v>
      </c>
      <c r="C32" s="317" t="str">
        <f>IFERROR(__xludf.DUMMYFUNCTION("""COMPUTED_VALUE"""),"C")</f>
        <v>C</v>
      </c>
      <c r="D32" s="181" t="str">
        <f>IFERROR(__xludf.DUMMYFUNCTION("""COMPUTED_VALUE"""),"Mytel")</f>
        <v>Mytel</v>
      </c>
      <c r="E32" s="357" t="str">
        <f>IFERROR(__xludf.DUMMYFUNCTION("""COMPUTED_VALUE"""),"T1")</f>
        <v>T1</v>
      </c>
      <c r="F32" s="181" t="str">
        <f>IFERROR(__xludf.DUMMYFUNCTION("""COMPUTED_VALUE"""),"Dawei")</f>
        <v>Dawei</v>
      </c>
      <c r="G32" s="181" t="str">
        <f>IFERROR(__xludf.DUMMYFUNCTION("""COMPUTED_VALUE"""),"Aung Lwin Phyo")</f>
        <v>Aung Lwin Phyo</v>
      </c>
      <c r="H32" s="232"/>
      <c r="I32" s="181"/>
      <c r="J32" s="232" t="str">
        <f>IFERROR(__xludf.DUMMYFUNCTION("""COMPUTED_VALUE"""),"OLT")</f>
        <v>OLT</v>
      </c>
      <c r="K32" s="358">
        <f>IFERROR(__xludf.DUMMYFUNCTION("""COMPUTED_VALUE"""),45.0)</f>
        <v>45</v>
      </c>
      <c r="L32" s="232" t="str">
        <f>IFERROR(__xludf.DUMMYFUNCTION("""COMPUTED_VALUE"""),"9:00PM-5:00AM")</f>
        <v>9:00PM-5:00AM</v>
      </c>
      <c r="M32" s="232" t="str">
        <f>IFERROR(__xludf.DUMMYFUNCTION("""COMPUTED_VALUE"""),"1DG+Solar+Grid+BB")</f>
        <v>1DG+Solar+Grid+BB</v>
      </c>
      <c r="N32" s="359" t="str">
        <f>IFERROR(__xludf.DUMMYFUNCTION("""COMPUTED_VALUE"""),"97")</f>
        <v>97</v>
      </c>
      <c r="O32" s="318"/>
      <c r="P32" s="318"/>
      <c r="Q32" s="320"/>
      <c r="R32" s="321"/>
      <c r="S32" s="322"/>
      <c r="T32" s="323"/>
      <c r="U32" s="340"/>
      <c r="V32" s="324"/>
      <c r="W32" s="340"/>
      <c r="X32" s="325"/>
      <c r="Y32" s="326"/>
      <c r="Z32" s="320"/>
      <c r="AA32" s="320"/>
      <c r="AB32" s="327"/>
      <c r="AC32" s="328"/>
      <c r="AD32" s="327"/>
      <c r="AE32" s="328"/>
      <c r="AF32" s="329">
        <f>IFERROR(__xludf.DUMMYFUNCTION("""COMPUTED_VALUE"""),582.0)</f>
        <v>582</v>
      </c>
      <c r="AG32" s="330" t="str">
        <f>IFERROR(__xludf.DUMMYFUNCTION("""COMPUTED_VALUE"""),"Checking with team, EPC cut off and Main DG error")</f>
        <v>Checking with team, EPC cut off and Main DG error</v>
      </c>
      <c r="AH32" s="330"/>
      <c r="AI32" s="330"/>
      <c r="AJ32" s="331"/>
      <c r="AK32" s="184"/>
      <c r="AL32" s="360">
        <f>IFERROR(__xludf.DUMMYFUNCTION("""COMPUTED_VALUE"""),0.0)</f>
        <v>0</v>
      </c>
      <c r="AM32" s="361">
        <f>IFERROR(__xludf.DUMMYFUNCTION("""COMPUTED_VALUE"""),0.0)</f>
        <v>0</v>
      </c>
      <c r="AN32" s="121"/>
      <c r="AO32" s="121"/>
      <c r="AP32" s="121"/>
      <c r="AQ32" s="121"/>
      <c r="AR32" s="121"/>
      <c r="AS32" s="121"/>
      <c r="AT32" s="121"/>
    </row>
    <row r="33">
      <c r="A33" s="232">
        <f>IFERROR(__xludf.DUMMYFUNCTION("""COMPUTED_VALUE"""),30.0)</f>
        <v>30</v>
      </c>
      <c r="B33" s="181" t="str">
        <f>IFERROR(__xludf.DUMMYFUNCTION("""COMPUTED_VALUE"""),"TNI0055")</f>
        <v>TNI0055</v>
      </c>
      <c r="C33" s="317" t="str">
        <f>IFERROR(__xludf.DUMMYFUNCTION("""COMPUTED_VALUE"""),"C")</f>
        <v>C</v>
      </c>
      <c r="D33" s="181" t="str">
        <f>IFERROR(__xludf.DUMMYFUNCTION("""COMPUTED_VALUE"""),"Apollo")</f>
        <v>Apollo</v>
      </c>
      <c r="E33" s="357" t="str">
        <f>IFERROR(__xludf.DUMMYFUNCTION("""COMPUTED_VALUE"""),"T1")</f>
        <v>T1</v>
      </c>
      <c r="F33" s="181" t="str">
        <f>IFERROR(__xludf.DUMMYFUNCTION("""COMPUTED_VALUE"""),"Launglon")</f>
        <v>Launglon</v>
      </c>
      <c r="G33" s="181" t="str">
        <f>IFERROR(__xludf.DUMMYFUNCTION("""COMPUTED_VALUE"""),"Aung Lwin Phyo")</f>
        <v>Aung Lwin Phyo</v>
      </c>
      <c r="H33" s="232"/>
      <c r="I33" s="181"/>
      <c r="J33" s="232"/>
      <c r="K33" s="358">
        <f>IFERROR(__xludf.DUMMYFUNCTION("""COMPUTED_VALUE"""),30.0)</f>
        <v>30</v>
      </c>
      <c r="L33" s="232" t="str">
        <f>IFERROR(__xludf.DUMMYFUNCTION("""COMPUTED_VALUE"""),"8:00PM-5:00AM")</f>
        <v>8:00PM-5:00AM</v>
      </c>
      <c r="M33" s="232" t="str">
        <f>IFERROR(__xludf.DUMMYFUNCTION("""COMPUTED_VALUE"""),"1DG+BB")</f>
        <v>1DG+BB</v>
      </c>
      <c r="N33" s="359" t="str">
        <f>IFERROR(__xludf.DUMMYFUNCTION("""COMPUTED_VALUE"""),"ok")</f>
        <v>ok</v>
      </c>
      <c r="O33" s="318"/>
      <c r="P33" s="318"/>
      <c r="Q33" s="320"/>
      <c r="R33" s="321"/>
      <c r="S33" s="322"/>
      <c r="T33" s="323"/>
      <c r="U33" s="340"/>
      <c r="V33" s="324"/>
      <c r="W33" s="340"/>
      <c r="X33" s="325"/>
      <c r="Y33" s="326"/>
      <c r="Z33" s="320"/>
      <c r="AA33" s="320"/>
      <c r="AB33" s="327"/>
      <c r="AC33" s="328"/>
      <c r="AD33" s="327"/>
      <c r="AE33" s="328"/>
      <c r="AF33" s="329">
        <f>IFERROR(__xludf.DUMMYFUNCTION("""COMPUTED_VALUE"""),967.0)</f>
        <v>967</v>
      </c>
      <c r="AG33" s="330" t="str">
        <f>IFERROR(__xludf.DUMMYFUNCTION("""COMPUTED_VALUE"""),"Checking with TCO")</f>
        <v>Checking with TCO</v>
      </c>
      <c r="AH33" s="330"/>
      <c r="AI33" s="330"/>
      <c r="AJ33" s="331"/>
      <c r="AK33" s="184"/>
      <c r="AL33" s="360">
        <f>IFERROR(__xludf.DUMMYFUNCTION("""COMPUTED_VALUE"""),0.0)</f>
        <v>0</v>
      </c>
      <c r="AM33" s="361">
        <f>IFERROR(__xludf.DUMMYFUNCTION("""COMPUTED_VALUE"""),0.0)</f>
        <v>0</v>
      </c>
      <c r="AN33" s="121"/>
      <c r="AO33" s="121"/>
      <c r="AP33" s="121"/>
      <c r="AQ33" s="121"/>
      <c r="AR33" s="121"/>
      <c r="AS33" s="121"/>
      <c r="AT33" s="121"/>
    </row>
    <row r="34">
      <c r="A34" s="232">
        <f>IFERROR(__xludf.DUMMYFUNCTION("""COMPUTED_VALUE"""),31.0)</f>
        <v>31</v>
      </c>
      <c r="B34" s="181" t="str">
        <f>IFERROR(__xludf.DUMMYFUNCTION("""COMPUTED_VALUE"""),"TNI0035")</f>
        <v>TNI0035</v>
      </c>
      <c r="C34" s="317" t="str">
        <f>IFERROR(__xludf.DUMMYFUNCTION("""COMPUTED_VALUE"""),"C")</f>
        <v>C</v>
      </c>
      <c r="D34" s="181" t="str">
        <f>IFERROR(__xludf.DUMMYFUNCTION("""COMPUTED_VALUE"""),"EFT")</f>
        <v>EFT</v>
      </c>
      <c r="E34" s="357" t="str">
        <f>IFERROR(__xludf.DUMMYFUNCTION("""COMPUTED_VALUE"""),"T1")</f>
        <v>T1</v>
      </c>
      <c r="F34" s="181" t="str">
        <f>IFERROR(__xludf.DUMMYFUNCTION("""COMPUTED_VALUE"""),"Launglon")</f>
        <v>Launglon</v>
      </c>
      <c r="G34" s="181" t="str">
        <f>IFERROR(__xludf.DUMMYFUNCTION("""COMPUTED_VALUE"""),"Aung Lwin Phyo")</f>
        <v>Aung Lwin Phyo</v>
      </c>
      <c r="H34" s="232" t="str">
        <f>IFERROR(__xludf.DUMMYFUNCTION("""COMPUTED_VALUE"""),"150000: 09670656993, Ko gyi: 09670656993")</f>
        <v>150000: 09670656993, Ko gyi: 09670656993</v>
      </c>
      <c r="I34" s="181"/>
      <c r="J34" s="232"/>
      <c r="K34" s="358">
        <f>IFERROR(__xludf.DUMMYFUNCTION("""COMPUTED_VALUE"""),60.0)</f>
        <v>60</v>
      </c>
      <c r="L34" s="232" t="str">
        <f>IFERROR(__xludf.DUMMYFUNCTION("""COMPUTED_VALUE"""),"24*7")</f>
        <v>24*7</v>
      </c>
      <c r="M34" s="232" t="str">
        <f>IFERROR(__xludf.DUMMYFUNCTION("""COMPUTED_VALUE"""),"1DG+BB")</f>
        <v>1DG+BB</v>
      </c>
      <c r="N34" s="359" t="str">
        <f>IFERROR(__xludf.DUMMYFUNCTION("""COMPUTED_VALUE"""),"ok")</f>
        <v>ok</v>
      </c>
      <c r="O34" s="318"/>
      <c r="P34" s="318"/>
      <c r="Q34" s="320"/>
      <c r="R34" s="321"/>
      <c r="S34" s="322"/>
      <c r="T34" s="323"/>
      <c r="U34" s="340"/>
      <c r="V34" s="324"/>
      <c r="W34" s="340"/>
      <c r="X34" s="325"/>
      <c r="Y34" s="326"/>
      <c r="Z34" s="320"/>
      <c r="AA34" s="320"/>
      <c r="AB34" s="327"/>
      <c r="AC34" s="328"/>
      <c r="AD34" s="327"/>
      <c r="AE34" s="328"/>
      <c r="AF34" s="329">
        <f>IFERROR(__xludf.DUMMYFUNCTION("""COMPUTED_VALUE"""),864.0)</f>
        <v>864</v>
      </c>
      <c r="AG34" s="330" t="str">
        <f>IFERROR(__xludf.DUMMYFUNCTION("""COMPUTED_VALUE"""),"Checking with team")</f>
        <v>Checking with team</v>
      </c>
      <c r="AH34" s="330" t="str">
        <f>IFERROR(__xludf.DUMMYFUNCTION("""COMPUTED_VALUE"""),"Run MDG")</f>
        <v>Run MDG</v>
      </c>
      <c r="AI34" s="330"/>
      <c r="AJ34" s="331"/>
      <c r="AK34" s="184"/>
      <c r="AL34" s="360">
        <f>IFERROR(__xludf.DUMMYFUNCTION("""COMPUTED_VALUE"""),0.0)</f>
        <v>0</v>
      </c>
      <c r="AM34" s="361">
        <f>IFERROR(__xludf.DUMMYFUNCTION("""COMPUTED_VALUE"""),0.0)</f>
        <v>0</v>
      </c>
      <c r="AN34" s="121"/>
      <c r="AO34" s="121"/>
      <c r="AP34" s="121"/>
      <c r="AQ34" s="121"/>
      <c r="AR34" s="121"/>
      <c r="AS34" s="121"/>
      <c r="AT34" s="121"/>
    </row>
    <row r="35">
      <c r="A35" s="232">
        <f>IFERROR(__xludf.DUMMYFUNCTION("""COMPUTED_VALUE"""),32.0)</f>
        <v>32</v>
      </c>
      <c r="B35" s="181" t="str">
        <f>IFERROR(__xludf.DUMMYFUNCTION("""COMPUTED_VALUE"""),"TNI0019")</f>
        <v>TNI0019</v>
      </c>
      <c r="C35" s="317" t="str">
        <f>IFERROR(__xludf.DUMMYFUNCTION("""COMPUTED_VALUE"""),"B")</f>
        <v>B</v>
      </c>
      <c r="D35" s="181" t="str">
        <f>IFERROR(__xludf.DUMMYFUNCTION("""COMPUTED_VALUE"""),"PAT")</f>
        <v>PAT</v>
      </c>
      <c r="E35" s="357" t="str">
        <f>IFERROR(__xludf.DUMMYFUNCTION("""COMPUTED_VALUE"""),"T1")</f>
        <v>T1</v>
      </c>
      <c r="F35" s="181" t="str">
        <f>IFERROR(__xludf.DUMMYFUNCTION("""COMPUTED_VALUE"""),"Thayetchaung")</f>
        <v>Thayetchaung</v>
      </c>
      <c r="G35" s="181" t="str">
        <f>IFERROR(__xludf.DUMMYFUNCTION("""COMPUTED_VALUE"""),"Win Htet Aung")</f>
        <v>Win Htet Aung</v>
      </c>
      <c r="H35" s="232"/>
      <c r="I35" s="181"/>
      <c r="J35" s="232" t="str">
        <f>IFERROR(__xludf.DUMMYFUNCTION("""COMPUTED_VALUE"""),"OLT")</f>
        <v>OLT</v>
      </c>
      <c r="K35" s="358">
        <f>IFERROR(__xludf.DUMMYFUNCTION("""COMPUTED_VALUE"""),60.0)</f>
        <v>60</v>
      </c>
      <c r="L35" s="232" t="str">
        <f>IFERROR(__xludf.DUMMYFUNCTION("""COMPUTED_VALUE"""),"08:00PM-5:00AM")</f>
        <v>08:00PM-5:00AM</v>
      </c>
      <c r="M35" s="232" t="str">
        <f>IFERROR(__xludf.DUMMYFUNCTION("""COMPUTED_VALUE"""),"1DG+Grid+BB")</f>
        <v>1DG+Grid+BB</v>
      </c>
      <c r="N35" s="359" t="str">
        <f>IFERROR(__xludf.DUMMYFUNCTION("""COMPUTED_VALUE"""),"0")</f>
        <v>0</v>
      </c>
      <c r="O35" s="318"/>
      <c r="P35" s="318"/>
      <c r="Q35" s="320"/>
      <c r="R35" s="321"/>
      <c r="S35" s="322"/>
      <c r="T35" s="323"/>
      <c r="U35" s="340"/>
      <c r="V35" s="324"/>
      <c r="W35" s="340"/>
      <c r="X35" s="325">
        <f>IFERROR(__xludf.DUMMYFUNCTION("""COMPUTED_VALUE"""),46182.63180555556)</f>
        <v>46182.63181</v>
      </c>
      <c r="Y35" s="326">
        <f>IFERROR(__xludf.DUMMYFUNCTION("""COMPUTED_VALUE"""),555.4659838890075)</f>
        <v>555.4659839</v>
      </c>
      <c r="Z35" s="320"/>
      <c r="AA35" s="320"/>
      <c r="AB35" s="327"/>
      <c r="AC35" s="328"/>
      <c r="AD35" s="327"/>
      <c r="AE35" s="328"/>
      <c r="AF35" s="329">
        <f>IFERROR(__xludf.DUMMYFUNCTION("""COMPUTED_VALUE"""),1333.0)</f>
        <v>1333</v>
      </c>
      <c r="AG35" s="330" t="str">
        <f>IFERROR(__xludf.DUMMYFUNCTION("""COMPUTED_VALUE"""),"Team will check when come back from TNI0319")</f>
        <v>Team will check when come back from TNI0319</v>
      </c>
      <c r="AH35" s="330"/>
      <c r="AI35" s="330"/>
      <c r="AJ35" s="331"/>
      <c r="AK35" s="184"/>
      <c r="AL35" s="360">
        <f>IFERROR(__xludf.DUMMYFUNCTION("""COMPUTED_VALUE"""),0.0)</f>
        <v>0</v>
      </c>
      <c r="AM35" s="361">
        <f>IFERROR(__xludf.DUMMYFUNCTION("""COMPUTED_VALUE"""),0.0)</f>
        <v>0</v>
      </c>
      <c r="AN35" s="121"/>
      <c r="AO35" s="121"/>
      <c r="AP35" s="121"/>
      <c r="AQ35" s="121"/>
      <c r="AR35" s="121"/>
      <c r="AS35" s="121"/>
      <c r="AT35" s="121"/>
    </row>
    <row r="36">
      <c r="A36" s="232">
        <f>IFERROR(__xludf.DUMMYFUNCTION("""COMPUTED_VALUE"""),33.0)</f>
        <v>33</v>
      </c>
      <c r="B36" s="181" t="str">
        <f>IFERROR(__xludf.DUMMYFUNCTION("""COMPUTED_VALUE"""),"TNI0275")</f>
        <v>TNI0275</v>
      </c>
      <c r="C36" s="317" t="str">
        <f>IFERROR(__xludf.DUMMYFUNCTION("""COMPUTED_VALUE"""),"C")</f>
        <v>C</v>
      </c>
      <c r="D36" s="181" t="str">
        <f>IFERROR(__xludf.DUMMYFUNCTION("""COMPUTED_VALUE"""),"IGT")</f>
        <v>IGT</v>
      </c>
      <c r="E36" s="357" t="str">
        <f>IFERROR(__xludf.DUMMYFUNCTION("""COMPUTED_VALUE"""),"T1")</f>
        <v>T1</v>
      </c>
      <c r="F36" s="181" t="str">
        <f>IFERROR(__xludf.DUMMYFUNCTION("""COMPUTED_VALUE"""),"Dawei")</f>
        <v>Dawei</v>
      </c>
      <c r="G36" s="181" t="str">
        <f>IFERROR(__xludf.DUMMYFUNCTION("""COMPUTED_VALUE"""),"Aung Lwin Phyo")</f>
        <v>Aung Lwin Phyo</v>
      </c>
      <c r="H36" s="232"/>
      <c r="I36" s="181"/>
      <c r="J36" s="232" t="str">
        <f>IFERROR(__xludf.DUMMYFUNCTION("""COMPUTED_VALUE"""),"OLT")</f>
        <v>OLT</v>
      </c>
      <c r="K36" s="358">
        <f>IFERROR(__xludf.DUMMYFUNCTION("""COMPUTED_VALUE"""),60.0)</f>
        <v>60</v>
      </c>
      <c r="L36" s="232" t="str">
        <f>IFERROR(__xludf.DUMMYFUNCTION("""COMPUTED_VALUE"""),"24*7")</f>
        <v>24*7</v>
      </c>
      <c r="M36" s="232" t="str">
        <f>IFERROR(__xludf.DUMMYFUNCTION("""COMPUTED_VALUE"""),"Grid+BB")</f>
        <v>Grid+BB</v>
      </c>
      <c r="N36" s="359" t="str">
        <f>IFERROR(__xludf.DUMMYFUNCTION("""COMPUTED_VALUE"""),"ok")</f>
        <v>ok</v>
      </c>
      <c r="O36" s="318"/>
      <c r="P36" s="318"/>
      <c r="Q36" s="320"/>
      <c r="R36" s="321"/>
      <c r="S36" s="322"/>
      <c r="T36" s="323"/>
      <c r="U36" s="340"/>
      <c r="V36" s="324"/>
      <c r="W36" s="340"/>
      <c r="X36" s="325"/>
      <c r="Y36" s="326"/>
      <c r="Z36" s="320"/>
      <c r="AA36" s="320"/>
      <c r="AB36" s="327"/>
      <c r="AC36" s="328"/>
      <c r="AD36" s="327"/>
      <c r="AE36" s="328"/>
      <c r="AF36" s="329">
        <f>IFERROR(__xludf.DUMMYFUNCTION("""COMPUTED_VALUE"""),794.0)</f>
        <v>794</v>
      </c>
      <c r="AG36" s="330" t="str">
        <f>IFERROR(__xludf.DUMMYFUNCTION("""COMPUTED_VALUE"""),"Grid fail, non DG")</f>
        <v>Grid fail, non DG</v>
      </c>
      <c r="AH36" s="330"/>
      <c r="AI36" s="330"/>
      <c r="AJ36" s="331"/>
      <c r="AK36" s="184"/>
      <c r="AL36" s="360">
        <f>IFERROR(__xludf.DUMMYFUNCTION("""COMPUTED_VALUE"""),0.0)</f>
        <v>0</v>
      </c>
      <c r="AM36" s="361">
        <f>IFERROR(__xludf.DUMMYFUNCTION("""COMPUTED_VALUE"""),0.0)</f>
        <v>0</v>
      </c>
      <c r="AN36" s="121"/>
      <c r="AO36" s="121"/>
      <c r="AP36" s="121"/>
      <c r="AQ36" s="121"/>
      <c r="AR36" s="121"/>
      <c r="AS36" s="121"/>
      <c r="AT36" s="121"/>
    </row>
    <row r="37">
      <c r="A37" s="232">
        <f>IFERROR(__xludf.DUMMYFUNCTION("""COMPUTED_VALUE"""),34.0)</f>
        <v>34</v>
      </c>
      <c r="B37" s="181" t="str">
        <f>IFERROR(__xludf.DUMMYFUNCTION("""COMPUTED_VALUE"""),"TNI0278")</f>
        <v>TNI0278</v>
      </c>
      <c r="C37" s="317" t="str">
        <f>IFERROR(__xludf.DUMMYFUNCTION("""COMPUTED_VALUE"""),"C")</f>
        <v>C</v>
      </c>
      <c r="D37" s="181" t="str">
        <f>IFERROR(__xludf.DUMMYFUNCTION("""COMPUTED_VALUE"""),"IGT")</f>
        <v>IGT</v>
      </c>
      <c r="E37" s="357" t="str">
        <f>IFERROR(__xludf.DUMMYFUNCTION("""COMPUTED_VALUE"""),"T1")</f>
        <v>T1</v>
      </c>
      <c r="F37" s="181" t="str">
        <f>IFERROR(__xludf.DUMMYFUNCTION("""COMPUTED_VALUE"""),"Dawei")</f>
        <v>Dawei</v>
      </c>
      <c r="G37" s="181" t="str">
        <f>IFERROR(__xludf.DUMMYFUNCTION("""COMPUTED_VALUE"""),"Aung Lwin Phyo")</f>
        <v>Aung Lwin Phyo</v>
      </c>
      <c r="H37" s="232" t="str">
        <f>IFERROR(__xludf.DUMMYFUNCTION("""COMPUTED_VALUE"""),"Ko Thin Htut: 09940060242")</f>
        <v>Ko Thin Htut: 09940060242</v>
      </c>
      <c r="I37" s="181"/>
      <c r="J37" s="232" t="str">
        <f>IFERROR(__xludf.DUMMYFUNCTION("""COMPUTED_VALUE"""),"OLT")</f>
        <v>OLT</v>
      </c>
      <c r="K37" s="358">
        <f>IFERROR(__xludf.DUMMYFUNCTION("""COMPUTED_VALUE"""),60.0)</f>
        <v>60</v>
      </c>
      <c r="L37" s="232" t="str">
        <f>IFERROR(__xludf.DUMMYFUNCTION("""COMPUTED_VALUE"""),"24*7")</f>
        <v>24*7</v>
      </c>
      <c r="M37" s="232" t="str">
        <f>IFERROR(__xludf.DUMMYFUNCTION("""COMPUTED_VALUE"""),"Grid+BB")</f>
        <v>Grid+BB</v>
      </c>
      <c r="N37" s="359" t="str">
        <f>IFERROR(__xludf.DUMMYFUNCTION("""COMPUTED_VALUE"""),"ok")</f>
        <v>ok</v>
      </c>
      <c r="O37" s="318"/>
      <c r="P37" s="318"/>
      <c r="Q37" s="320"/>
      <c r="R37" s="321"/>
      <c r="S37" s="322"/>
      <c r="T37" s="323"/>
      <c r="U37" s="340"/>
      <c r="V37" s="324"/>
      <c r="W37" s="340"/>
      <c r="X37" s="325"/>
      <c r="Y37" s="326"/>
      <c r="Z37" s="320"/>
      <c r="AA37" s="320"/>
      <c r="AB37" s="327"/>
      <c r="AC37" s="328"/>
      <c r="AD37" s="327"/>
      <c r="AE37" s="328"/>
      <c r="AF37" s="329">
        <f>IFERROR(__xludf.DUMMYFUNCTION("""COMPUTED_VALUE"""),1138.0)</f>
        <v>1138</v>
      </c>
      <c r="AG37" s="330" t="str">
        <f>IFERROR(__xludf.DUMMYFUNCTION("""COMPUTED_VALUE"""),"Grid fail, non DG site")</f>
        <v>Grid fail, non DG site</v>
      </c>
      <c r="AH37" s="330"/>
      <c r="AI37" s="330"/>
      <c r="AJ37" s="331"/>
      <c r="AK37" s="184"/>
      <c r="AL37" s="360">
        <f>IFERROR(__xludf.DUMMYFUNCTION("""COMPUTED_VALUE"""),0.0)</f>
        <v>0</v>
      </c>
      <c r="AM37" s="361">
        <f>IFERROR(__xludf.DUMMYFUNCTION("""COMPUTED_VALUE"""),0.0)</f>
        <v>0</v>
      </c>
      <c r="AN37" s="121"/>
      <c r="AO37" s="121"/>
      <c r="AP37" s="121"/>
      <c r="AQ37" s="121"/>
      <c r="AR37" s="121"/>
      <c r="AS37" s="121"/>
      <c r="AT37" s="121"/>
    </row>
    <row r="38">
      <c r="A38" s="232">
        <f>IFERROR(__xludf.DUMMYFUNCTION("""COMPUTED_VALUE"""),35.0)</f>
        <v>35</v>
      </c>
      <c r="B38" s="181" t="str">
        <f>IFERROR(__xludf.DUMMYFUNCTION("""COMPUTED_VALUE"""),"TNI0078")</f>
        <v>TNI0078</v>
      </c>
      <c r="C38" s="317" t="str">
        <f>IFERROR(__xludf.DUMMYFUNCTION("""COMPUTED_VALUE"""),"C")</f>
        <v>C</v>
      </c>
      <c r="D38" s="181" t="str">
        <f>IFERROR(__xludf.DUMMYFUNCTION("""COMPUTED_VALUE"""),"IGT")</f>
        <v>IGT</v>
      </c>
      <c r="E38" s="357" t="str">
        <f>IFERROR(__xludf.DUMMYFUNCTION("""COMPUTED_VALUE"""),"T1")</f>
        <v>T1</v>
      </c>
      <c r="F38" s="181" t="str">
        <f>IFERROR(__xludf.DUMMYFUNCTION("""COMPUTED_VALUE"""),"Thayetchaung")</f>
        <v>Thayetchaung</v>
      </c>
      <c r="G38" s="181" t="str">
        <f>IFERROR(__xludf.DUMMYFUNCTION("""COMPUTED_VALUE"""),"Aung Lwin Phyo")</f>
        <v>Aung Lwin Phyo</v>
      </c>
      <c r="H38" s="232"/>
      <c r="I38" s="181"/>
      <c r="J38" s="232"/>
      <c r="K38" s="358">
        <f>IFERROR(__xludf.DUMMYFUNCTION("""COMPUTED_VALUE"""),50.0)</f>
        <v>50</v>
      </c>
      <c r="L38" s="232" t="str">
        <f>IFERROR(__xludf.DUMMYFUNCTION("""COMPUTED_VALUE"""),"24*7")</f>
        <v>24*7</v>
      </c>
      <c r="M38" s="232" t="str">
        <f>IFERROR(__xludf.DUMMYFUNCTION("""COMPUTED_VALUE"""),"Grid+BB")</f>
        <v>Grid+BB</v>
      </c>
      <c r="N38" s="359" t="str">
        <f>IFERROR(__xludf.DUMMYFUNCTION("""COMPUTED_VALUE"""),"ok")</f>
        <v>ok</v>
      </c>
      <c r="O38" s="318"/>
      <c r="P38" s="318"/>
      <c r="Q38" s="320"/>
      <c r="R38" s="321"/>
      <c r="S38" s="322"/>
      <c r="T38" s="323"/>
      <c r="U38" s="340"/>
      <c r="V38" s="324"/>
      <c r="W38" s="340"/>
      <c r="X38" s="325"/>
      <c r="Y38" s="326"/>
      <c r="Z38" s="320"/>
      <c r="AA38" s="320"/>
      <c r="AB38" s="327"/>
      <c r="AC38" s="328"/>
      <c r="AD38" s="327"/>
      <c r="AE38" s="328"/>
      <c r="AF38" s="329">
        <f>IFERROR(__xludf.DUMMYFUNCTION("""COMPUTED_VALUE"""),727.0)</f>
        <v>727</v>
      </c>
      <c r="AG38" s="330" t="str">
        <f>IFERROR(__xludf.DUMMYFUNCTION("""COMPUTED_VALUE"""),"Grid fail, non DG site")</f>
        <v>Grid fail, non DG site</v>
      </c>
      <c r="AH38" s="330" t="str">
        <f>IFERROR(__xludf.DUMMYFUNCTION("""COMPUTED_VALUE"""),"Unsafe NYC")</f>
        <v>Unsafe NYC</v>
      </c>
      <c r="AI38" s="330" t="str">
        <f>IFERROR(__xludf.DUMMYFUNCTION("""COMPUTED_VALUE"""),"4TNI0051MA131")</f>
        <v>4TNI0051MA131</v>
      </c>
      <c r="AJ38" s="331"/>
      <c r="AK38" s="184"/>
      <c r="AL38" s="360">
        <f>IFERROR(__xludf.DUMMYFUNCTION("""COMPUTED_VALUE"""),0.0)</f>
        <v>0</v>
      </c>
      <c r="AM38" s="361">
        <f>IFERROR(__xludf.DUMMYFUNCTION("""COMPUTED_VALUE"""),0.0)</f>
        <v>0</v>
      </c>
      <c r="AN38" s="121"/>
      <c r="AO38" s="121"/>
      <c r="AP38" s="121"/>
      <c r="AQ38" s="121"/>
      <c r="AR38" s="121"/>
      <c r="AS38" s="121"/>
      <c r="AT38" s="121"/>
    </row>
    <row r="39">
      <c r="A39" s="232">
        <f>IFERROR(__xludf.DUMMYFUNCTION("""COMPUTED_VALUE"""),36.0)</f>
        <v>36</v>
      </c>
      <c r="B39" s="181" t="str">
        <f>IFERROR(__xludf.DUMMYFUNCTION("""COMPUTED_VALUE"""),"TNI0288")</f>
        <v>TNI0288</v>
      </c>
      <c r="C39" s="317" t="str">
        <f>IFERROR(__xludf.DUMMYFUNCTION("""COMPUTED_VALUE"""),"C")</f>
        <v>C</v>
      </c>
      <c r="D39" s="181" t="str">
        <f>IFERROR(__xludf.DUMMYFUNCTION("""COMPUTED_VALUE"""),"IGT")</f>
        <v>IGT</v>
      </c>
      <c r="E39" s="357" t="str">
        <f>IFERROR(__xludf.DUMMYFUNCTION("""COMPUTED_VALUE"""),"T1")</f>
        <v>T1</v>
      </c>
      <c r="F39" s="181" t="str">
        <f>IFERROR(__xludf.DUMMYFUNCTION("""COMPUTED_VALUE"""),"Thayetchaung")</f>
        <v>Thayetchaung</v>
      </c>
      <c r="G39" s="181" t="str">
        <f>IFERROR(__xludf.DUMMYFUNCTION("""COMPUTED_VALUE"""),"Thar Htoo Aung")</f>
        <v>Thar Htoo Aung</v>
      </c>
      <c r="H39" s="232"/>
      <c r="I39" s="181"/>
      <c r="J39" s="232"/>
      <c r="K39" s="358">
        <f>IFERROR(__xludf.DUMMYFUNCTION("""COMPUTED_VALUE"""),90.0)</f>
        <v>90</v>
      </c>
      <c r="L39" s="232" t="str">
        <f>IFERROR(__xludf.DUMMYFUNCTION("""COMPUTED_VALUE"""),"24*7")</f>
        <v>24*7</v>
      </c>
      <c r="M39" s="232" t="str">
        <f>IFERROR(__xludf.DUMMYFUNCTION("""COMPUTED_VALUE"""),"1DG+BB")</f>
        <v>1DG+BB</v>
      </c>
      <c r="N39" s="359" t="str">
        <f>IFERROR(__xludf.DUMMYFUNCTION("""COMPUTED_VALUE"""),"ok")</f>
        <v>ok</v>
      </c>
      <c r="O39" s="318"/>
      <c r="P39" s="318"/>
      <c r="Q39" s="320"/>
      <c r="R39" s="321"/>
      <c r="S39" s="322"/>
      <c r="T39" s="323"/>
      <c r="U39" s="340"/>
      <c r="V39" s="324"/>
      <c r="W39" s="340"/>
      <c r="X39" s="325"/>
      <c r="Y39" s="326"/>
      <c r="Z39" s="320"/>
      <c r="AA39" s="320"/>
      <c r="AB39" s="327"/>
      <c r="AC39" s="328"/>
      <c r="AD39" s="327"/>
      <c r="AE39" s="328"/>
      <c r="AF39" s="329">
        <f>IFERROR(__xludf.DUMMYFUNCTION("""COMPUTED_VALUE"""),1951.0)</f>
        <v>1951</v>
      </c>
      <c r="AG39" s="330" t="str">
        <f>IFERROR(__xludf.DUMMYFUNCTION("""COMPUTED_VALUE"""),"TCO teamETA 9:58 AM")</f>
        <v>TCO teamETA 9:58 AM</v>
      </c>
      <c r="AH39" s="330" t="str">
        <f>IFERROR(__xludf.DUMMYFUNCTION("""COMPUTED_VALUE"""),"T-NYC")</f>
        <v>T-NYC</v>
      </c>
      <c r="AI39" s="330"/>
      <c r="AJ39" s="331"/>
      <c r="AK39" s="184"/>
      <c r="AL39" s="360">
        <f>IFERROR(__xludf.DUMMYFUNCTION("""COMPUTED_VALUE"""),0.0)</f>
        <v>0</v>
      </c>
      <c r="AM39" s="361">
        <f>IFERROR(__xludf.DUMMYFUNCTION("""COMPUTED_VALUE"""),0.0)</f>
        <v>0</v>
      </c>
      <c r="AN39" s="121"/>
      <c r="AO39" s="121"/>
      <c r="AP39" s="121"/>
      <c r="AQ39" s="121"/>
      <c r="AR39" s="121"/>
      <c r="AS39" s="121"/>
      <c r="AT39" s="121"/>
    </row>
    <row r="40">
      <c r="A40" s="232">
        <f>IFERROR(__xludf.DUMMYFUNCTION("""COMPUTED_VALUE"""),37.0)</f>
        <v>37</v>
      </c>
      <c r="B40" s="181" t="str">
        <f>IFERROR(__xludf.DUMMYFUNCTION("""COMPUTED_VALUE"""),"TNI0089")</f>
        <v>TNI0089</v>
      </c>
      <c r="C40" s="317" t="str">
        <f>IFERROR(__xludf.DUMMYFUNCTION("""COMPUTED_VALUE"""),"B")</f>
        <v>B</v>
      </c>
      <c r="D40" s="181" t="str">
        <f>IFERROR(__xludf.DUMMYFUNCTION("""COMPUTED_VALUE"""),"Mytel")</f>
        <v>Mytel</v>
      </c>
      <c r="E40" s="357" t="str">
        <f>IFERROR(__xludf.DUMMYFUNCTION("""COMPUTED_VALUE"""),"T1")</f>
        <v>T1</v>
      </c>
      <c r="F40" s="181" t="str">
        <f>IFERROR(__xludf.DUMMYFUNCTION("""COMPUTED_VALUE"""),"Dawei")</f>
        <v>Dawei</v>
      </c>
      <c r="G40" s="181" t="str">
        <f>IFERROR(__xludf.DUMMYFUNCTION("""COMPUTED_VALUE"""),"Win Htet Aung")</f>
        <v>Win Htet Aung</v>
      </c>
      <c r="H40" s="232"/>
      <c r="I40" s="181"/>
      <c r="J40" s="232" t="str">
        <f>IFERROR(__xludf.DUMMYFUNCTION("""COMPUTED_VALUE"""),"OLT")</f>
        <v>OLT</v>
      </c>
      <c r="K40" s="358">
        <f>IFERROR(__xludf.DUMMYFUNCTION("""COMPUTED_VALUE"""),60.0)</f>
        <v>60</v>
      </c>
      <c r="L40" s="232" t="str">
        <f>IFERROR(__xludf.DUMMYFUNCTION("""COMPUTED_VALUE"""),"8:00PM-5:00AM")</f>
        <v>8:00PM-5:00AM</v>
      </c>
      <c r="M40" s="232" t="str">
        <f>IFERROR(__xludf.DUMMYFUNCTION("""COMPUTED_VALUE"""),"1DG+Solar+Grid+BB")</f>
        <v>1DG+Solar+Grid+BB</v>
      </c>
      <c r="N40" s="359" t="str">
        <f>IFERROR(__xludf.DUMMYFUNCTION("""COMPUTED_VALUE"""),"249")</f>
        <v>249</v>
      </c>
      <c r="O40" s="318"/>
      <c r="P40" s="318"/>
      <c r="Q40" s="320" t="str">
        <f>IFERROR(__xludf.DUMMYFUNCTION("""COMPUTED_VALUE""")," +Battery Door: 21/04/2025 09:10")</f>
        <v> +Battery Door: 21/04/2025 09:10</v>
      </c>
      <c r="R40" s="321">
        <f>IFERROR(__xludf.DUMMYFUNCTION("""COMPUTED_VALUE"""),10496.16)</f>
        <v>10496.16</v>
      </c>
      <c r="S40" s="322"/>
      <c r="T40" s="323"/>
      <c r="U40" s="340"/>
      <c r="V40" s="324" t="str">
        <f>IFERROR(__xludf.DUMMYFUNCTION("""COMPUTED_VALUE"""),"10496.16")</f>
        <v>10496.16</v>
      </c>
      <c r="W40" s="340"/>
      <c r="X40" s="325"/>
      <c r="Y40" s="326"/>
      <c r="Z40" s="320"/>
      <c r="AA40" s="320"/>
      <c r="AB40" s="327">
        <f>IFERROR(__xludf.DUMMYFUNCTION("""COMPUTED_VALUE"""),46205.20988425926)</f>
        <v>46205.20988</v>
      </c>
      <c r="AC40" s="328">
        <f>IFERROR(__xludf.DUMMYFUNCTION("""COMPUTED_VALUE"""),13.592095000029076)</f>
        <v>13.592095</v>
      </c>
      <c r="AD40" s="327"/>
      <c r="AE40" s="328"/>
      <c r="AF40" s="329">
        <f>IFERROR(__xludf.DUMMYFUNCTION("""COMPUTED_VALUE"""),1561.0)</f>
        <v>1561</v>
      </c>
      <c r="AG40" s="330" t="str">
        <f>IFERROR(__xludf.DUMMYFUNCTION("""COMPUTED_VALUE"""),"Grid fail and DG broken site")</f>
        <v>Grid fail and DG broken site</v>
      </c>
      <c r="AH40" s="330"/>
      <c r="AI40" s="330"/>
      <c r="AJ40" s="331" t="str">
        <f>IFERROR(__xludf.DUMMYFUNCTION("""COMPUTED_VALUE"""),"Equip_VSWR over threshold afffect cell down")</f>
        <v>Equip_VSWR over threshold afffect cell down</v>
      </c>
      <c r="AK40" s="184" t="str">
        <f>IFERROR(__xludf.DUMMYFUNCTION("""COMPUTED_VALUE"""),"1800 S1 down by VSWR &gt;&gt; need to check jumper cable")</f>
        <v>1800 S1 down by VSWR &gt;&gt; need to check jumper cable</v>
      </c>
      <c r="AL40" s="360">
        <f>IFERROR(__xludf.DUMMYFUNCTION("""COMPUTED_VALUE"""),0.0)</f>
        <v>0</v>
      </c>
      <c r="AM40" s="361">
        <f>IFERROR(__xludf.DUMMYFUNCTION("""COMPUTED_VALUE"""),0.0)</f>
        <v>0</v>
      </c>
      <c r="AN40" s="121"/>
      <c r="AO40" s="121"/>
      <c r="AP40" s="121"/>
      <c r="AQ40" s="121"/>
      <c r="AR40" s="121"/>
      <c r="AS40" s="121"/>
      <c r="AT40" s="121"/>
    </row>
    <row r="41">
      <c r="A41" s="232">
        <f>IFERROR(__xludf.DUMMYFUNCTION("""COMPUTED_VALUE"""),38.0)</f>
        <v>38</v>
      </c>
      <c r="B41" s="181" t="str">
        <f>IFERROR(__xludf.DUMMYFUNCTION("""COMPUTED_VALUE"""),"TNI0115")</f>
        <v>TNI0115</v>
      </c>
      <c r="C41" s="317" t="str">
        <f>IFERROR(__xludf.DUMMYFUNCTION("""COMPUTED_VALUE"""),"C")</f>
        <v>C</v>
      </c>
      <c r="D41" s="181" t="str">
        <f>IFERROR(__xludf.DUMMYFUNCTION("""COMPUTED_VALUE"""),"Mytel")</f>
        <v>Mytel</v>
      </c>
      <c r="E41" s="357" t="str">
        <f>IFERROR(__xludf.DUMMYFUNCTION("""COMPUTED_VALUE"""),"T1")</f>
        <v>T1</v>
      </c>
      <c r="F41" s="181" t="str">
        <f>IFERROR(__xludf.DUMMYFUNCTION("""COMPUTED_VALUE"""),"Dawei")</f>
        <v>Dawei</v>
      </c>
      <c r="G41" s="181" t="str">
        <f>IFERROR(__xludf.DUMMYFUNCTION("""COMPUTED_VALUE"""),"Win Htet Aung")</f>
        <v>Win Htet Aung</v>
      </c>
      <c r="H41" s="232"/>
      <c r="I41" s="181"/>
      <c r="J41" s="232"/>
      <c r="K41" s="358">
        <f>IFERROR(__xludf.DUMMYFUNCTION("""COMPUTED_VALUE"""),45.0)</f>
        <v>45</v>
      </c>
      <c r="L41" s="232" t="str">
        <f>IFERROR(__xludf.DUMMYFUNCTION("""COMPUTED_VALUE"""),"24*7")</f>
        <v>24*7</v>
      </c>
      <c r="M41" s="232" t="str">
        <f>IFERROR(__xludf.DUMMYFUNCTION("""COMPUTED_VALUE"""),"1DG+BB")</f>
        <v>1DG+BB</v>
      </c>
      <c r="N41" s="359" t="str">
        <f>IFERROR(__xludf.DUMMYFUNCTION("""COMPUTED_VALUE"""),"ok")</f>
        <v>ok</v>
      </c>
      <c r="O41" s="318"/>
      <c r="P41" s="318"/>
      <c r="Q41" s="320"/>
      <c r="R41" s="321"/>
      <c r="S41" s="322"/>
      <c r="T41" s="323"/>
      <c r="U41" s="340"/>
      <c r="V41" s="324"/>
      <c r="W41" s="340"/>
      <c r="X41" s="325"/>
      <c r="Y41" s="326"/>
      <c r="Z41" s="320"/>
      <c r="AA41" s="320"/>
      <c r="AB41" s="327">
        <f>IFERROR(__xludf.DUMMYFUNCTION("""COMPUTED_VALUE"""),46203.77353009259)</f>
        <v>46203.77353</v>
      </c>
      <c r="AC41" s="328">
        <f>IFERROR(__xludf.DUMMYFUNCTION("""COMPUTED_VALUE"""),48.06459500006167)</f>
        <v>48.064595</v>
      </c>
      <c r="AD41" s="327"/>
      <c r="AE41" s="328"/>
      <c r="AF41" s="329">
        <f>IFERROR(__xludf.DUMMYFUNCTION("""COMPUTED_VALUE"""),282.0)</f>
        <v>282</v>
      </c>
      <c r="AG41" s="330" t="str">
        <f>IFERROR(__xludf.DUMMYFUNCTION("""COMPUTED_VALUE"""),"Grid fail, unsafe")</f>
        <v>Grid fail, unsafe</v>
      </c>
      <c r="AH41" s="330" t="str">
        <f>IFERROR(__xludf.DUMMYFUNCTION("""COMPUTED_VALUE"""),"T-NYC")</f>
        <v>T-NYC</v>
      </c>
      <c r="AI41" s="330"/>
      <c r="AJ41" s="331" t="str">
        <f>IFERROR(__xludf.DUMMYFUNCTION("""COMPUTED_VALUE"""),"Equip_ Data Cable Error (Y-Link,CPRI,Bus)")</f>
        <v>Equip_ Data Cable Error (Y-Link,CPRI,Bus)</v>
      </c>
      <c r="AK41" s="184" t="str">
        <f>IFERROR(__xludf.DUMMYFUNCTION("""COMPUTED_VALUE"""),"Unsafe&gt;&gt; 1800 S1 and S3 down &gt;&gt;need to check CPRI and module")</f>
        <v>Unsafe&gt;&gt; 1800 S1 and S3 down &gt;&gt;need to check CPRI and module</v>
      </c>
      <c r="AL41" s="360">
        <f>IFERROR(__xludf.DUMMYFUNCTION("""COMPUTED_VALUE"""),0.0)</f>
        <v>0</v>
      </c>
      <c r="AM41" s="361">
        <f>IFERROR(__xludf.DUMMYFUNCTION("""COMPUTED_VALUE"""),0.0)</f>
        <v>0</v>
      </c>
      <c r="AN41" s="121"/>
      <c r="AO41" s="121"/>
      <c r="AP41" s="121"/>
      <c r="AQ41" s="121"/>
      <c r="AR41" s="121"/>
      <c r="AS41" s="121"/>
      <c r="AT41" s="121"/>
    </row>
    <row r="42">
      <c r="A42" s="232">
        <f>IFERROR(__xludf.DUMMYFUNCTION("""COMPUTED_VALUE"""),39.0)</f>
        <v>39</v>
      </c>
      <c r="B42" s="181" t="str">
        <f>IFERROR(__xludf.DUMMYFUNCTION("""COMPUTED_VALUE"""),"TNI0319")</f>
        <v>TNI0319</v>
      </c>
      <c r="C42" s="317" t="str">
        <f>IFERROR(__xludf.DUMMYFUNCTION("""COMPUTED_VALUE"""),"B")</f>
        <v>B</v>
      </c>
      <c r="D42" s="181" t="str">
        <f>IFERROR(__xludf.DUMMYFUNCTION("""COMPUTED_VALUE"""),"Mytel")</f>
        <v>Mytel</v>
      </c>
      <c r="E42" s="357" t="str">
        <f>IFERROR(__xludf.DUMMYFUNCTION("""COMPUTED_VALUE"""),"T1")</f>
        <v>T1</v>
      </c>
      <c r="F42" s="181" t="str">
        <f>IFERROR(__xludf.DUMMYFUNCTION("""COMPUTED_VALUE"""),"Thayetchaung")</f>
        <v>Thayetchaung</v>
      </c>
      <c r="G42" s="181" t="str">
        <f>IFERROR(__xludf.DUMMYFUNCTION("""COMPUTED_VALUE"""),"Thar Htoo Aung")</f>
        <v>Thar Htoo Aung</v>
      </c>
      <c r="H42" s="232"/>
      <c r="I42" s="181"/>
      <c r="J42" s="232"/>
      <c r="K42" s="358">
        <f>IFERROR(__xludf.DUMMYFUNCTION("""COMPUTED_VALUE"""),60.0)</f>
        <v>60</v>
      </c>
      <c r="L42" s="232" t="str">
        <f>IFERROR(__xludf.DUMMYFUNCTION("""COMPUTED_VALUE"""),"8:00PM-5:00AM")</f>
        <v>8:00PM-5:00AM</v>
      </c>
      <c r="M42" s="232" t="str">
        <f>IFERROR(__xludf.DUMMYFUNCTION("""COMPUTED_VALUE"""),"1DG+BB")</f>
        <v>1DG+BB</v>
      </c>
      <c r="N42" s="359" t="str">
        <f>IFERROR(__xludf.DUMMYFUNCTION("""COMPUTED_VALUE"""),"0")</f>
        <v>0</v>
      </c>
      <c r="O42" s="318"/>
      <c r="P42" s="318"/>
      <c r="Q42" s="320" t="str">
        <f>IFERROR(__xludf.DUMMYFUNCTION("""COMPUTED_VALUE""")," +Door Alarm: 25/06/2026 13:39 +Battery Door: 25/06/2026 13:39")</f>
        <v> +Door Alarm: 25/06/2026 13:39 +Battery Door: 25/06/2026 13:39</v>
      </c>
      <c r="R42" s="321">
        <f>IFERROR(__xludf.DUMMYFUNCTION("""COMPUTED_VALUE"""),171.67)</f>
        <v>171.67</v>
      </c>
      <c r="S42" s="322"/>
      <c r="T42" s="323"/>
      <c r="U42" s="340"/>
      <c r="V42" s="324" t="str">
        <f>IFERROR(__xludf.DUMMYFUNCTION("""COMPUTED_VALUE"""),"171.67")</f>
        <v>171.67</v>
      </c>
      <c r="W42" s="340"/>
      <c r="X42" s="325">
        <f>IFERROR(__xludf.DUMMYFUNCTION("""COMPUTED_VALUE"""),46205.016168981485)</f>
        <v>46205.01617</v>
      </c>
      <c r="Y42" s="326">
        <f>IFERROR(__xludf.DUMMYFUNCTION("""COMPUTED_VALUE"""),18.241261944291182)</f>
        <v>18.24126194</v>
      </c>
      <c r="Z42" s="320">
        <f>IFERROR(__xludf.DUMMYFUNCTION("""COMPUTED_VALUE"""),46205.623703703706)</f>
        <v>46205.6237</v>
      </c>
      <c r="AA42" s="320" t="str">
        <f>IFERROR(__xludf.DUMMYFUNCTION("""COMPUTED_VALUE"""),"3:40")</f>
        <v>3:40</v>
      </c>
      <c r="AB42" s="327">
        <f>IFERROR(__xludf.DUMMYFUNCTION("""COMPUTED_VALUE"""),46205.705462962964)</f>
        <v>46205.70546</v>
      </c>
      <c r="AC42" s="328">
        <f>IFERROR(__xludf.DUMMYFUNCTION("""COMPUTED_VALUE"""),1.6982061111484654)</f>
        <v>1.698206111</v>
      </c>
      <c r="AD42" s="327">
        <f>IFERROR(__xludf.DUMMYFUNCTION("""COMPUTED_VALUE"""),46205.707824074074)</f>
        <v>46205.70782</v>
      </c>
      <c r="AE42" s="328">
        <f>IFERROR(__xludf.DUMMYFUNCTION("""COMPUTED_VALUE"""),1.6415397221571766)</f>
        <v>1.641539722</v>
      </c>
      <c r="AF42" s="329">
        <f>IFERROR(__xludf.DUMMYFUNCTION("""COMPUTED_VALUE"""),1917.0)</f>
        <v>1917</v>
      </c>
      <c r="AG42" s="330" t="str">
        <f>IFERROR(__xludf.DUMMYFUNCTION("""COMPUTED_VALUE"""),"Checking with team")</f>
        <v>Checking with team</v>
      </c>
      <c r="AH42" s="330"/>
      <c r="AI42" s="330"/>
      <c r="AJ42" s="331"/>
      <c r="AK42" s="184"/>
      <c r="AL42" s="360">
        <f>IFERROR(__xludf.DUMMYFUNCTION("""COMPUTED_VALUE"""),1.0)</f>
        <v>1</v>
      </c>
      <c r="AM42" s="361">
        <f>IFERROR(__xludf.DUMMYFUNCTION("""COMPUTED_VALUE"""),2.0)</f>
        <v>2</v>
      </c>
      <c r="AN42" s="121"/>
      <c r="AO42" s="121"/>
      <c r="AP42" s="121"/>
      <c r="AQ42" s="121"/>
      <c r="AR42" s="121"/>
      <c r="AS42" s="121"/>
      <c r="AT42" s="121"/>
    </row>
    <row r="43">
      <c r="A43" s="232">
        <f>IFERROR(__xludf.DUMMYFUNCTION("""COMPUTED_VALUE"""),40.0)</f>
        <v>40</v>
      </c>
      <c r="B43" s="181" t="str">
        <f>IFERROR(__xludf.DUMMYFUNCTION("""COMPUTED_VALUE"""),"TNI0201")</f>
        <v>TNI0201</v>
      </c>
      <c r="C43" s="317" t="str">
        <f>IFERROR(__xludf.DUMMYFUNCTION("""COMPUTED_VALUE"""),"B")</f>
        <v>B</v>
      </c>
      <c r="D43" s="181" t="str">
        <f>IFERROR(__xludf.DUMMYFUNCTION("""COMPUTED_VALUE"""),"Mytel")</f>
        <v>Mytel</v>
      </c>
      <c r="E43" s="357" t="str">
        <f>IFERROR(__xludf.DUMMYFUNCTION("""COMPUTED_VALUE"""),"T1")</f>
        <v>T1</v>
      </c>
      <c r="F43" s="181" t="str">
        <f>IFERROR(__xludf.DUMMYFUNCTION("""COMPUTED_VALUE"""),"Thayetchaung")</f>
        <v>Thayetchaung</v>
      </c>
      <c r="G43" s="181" t="str">
        <f>IFERROR(__xludf.DUMMYFUNCTION("""COMPUTED_VALUE"""),"Aung Lwin Phyo")</f>
        <v>Aung Lwin Phyo</v>
      </c>
      <c r="H43" s="232"/>
      <c r="I43" s="181"/>
      <c r="J43" s="232"/>
      <c r="K43" s="358">
        <f>IFERROR(__xludf.DUMMYFUNCTION("""COMPUTED_VALUE"""),45.0)</f>
        <v>45</v>
      </c>
      <c r="L43" s="232" t="str">
        <f>IFERROR(__xludf.DUMMYFUNCTION("""COMPUTED_VALUE"""),"8:00PM-5:00AM")</f>
        <v>8:00PM-5:00AM</v>
      </c>
      <c r="M43" s="232" t="str">
        <f>IFERROR(__xludf.DUMMYFUNCTION("""COMPUTED_VALUE"""),"1DG+Solar+Grid+BB")</f>
        <v>1DG+Solar+Grid+BB</v>
      </c>
      <c r="N43" s="359" t="str">
        <f>IFERROR(__xludf.DUMMYFUNCTION("""COMPUTED_VALUE"""),"0")</f>
        <v>0</v>
      </c>
      <c r="O43" s="318"/>
      <c r="P43" s="318"/>
      <c r="Q43" s="320"/>
      <c r="R43" s="321"/>
      <c r="S43" s="322"/>
      <c r="T43" s="323"/>
      <c r="U43" s="340"/>
      <c r="V43" s="324"/>
      <c r="W43" s="340"/>
      <c r="X43" s="325"/>
      <c r="Y43" s="326"/>
      <c r="Z43" s="320"/>
      <c r="AA43" s="320"/>
      <c r="AB43" s="327"/>
      <c r="AC43" s="328"/>
      <c r="AD43" s="327"/>
      <c r="AE43" s="328"/>
      <c r="AF43" s="329">
        <f>IFERROR(__xludf.DUMMYFUNCTION("""COMPUTED_VALUE"""),2452.0)</f>
        <v>2452</v>
      </c>
      <c r="AG43" s="330" t="str">
        <f>IFERROR(__xludf.DUMMYFUNCTION("""COMPUTED_VALUE"""),"checking with team")</f>
        <v>checking with team</v>
      </c>
      <c r="AH43" s="330"/>
      <c r="AI43" s="330"/>
      <c r="AJ43" s="331"/>
      <c r="AK43" s="184"/>
      <c r="AL43" s="360">
        <f>IFERROR(__xludf.DUMMYFUNCTION("""COMPUTED_VALUE"""),0.0)</f>
        <v>0</v>
      </c>
      <c r="AM43" s="361">
        <f>IFERROR(__xludf.DUMMYFUNCTION("""COMPUTED_VALUE"""),0.0)</f>
        <v>0</v>
      </c>
      <c r="AN43" s="121"/>
      <c r="AO43" s="121"/>
      <c r="AP43" s="121"/>
      <c r="AQ43" s="121"/>
      <c r="AR43" s="121"/>
      <c r="AS43" s="121"/>
      <c r="AT43" s="121"/>
    </row>
    <row r="44">
      <c r="A44" s="232">
        <f>IFERROR(__xludf.DUMMYFUNCTION("""COMPUTED_VALUE"""),41.0)</f>
        <v>41</v>
      </c>
      <c r="B44" s="181" t="str">
        <f>IFERROR(__xludf.DUMMYFUNCTION("""COMPUTED_VALUE"""),"TNI0210")</f>
        <v>TNI0210</v>
      </c>
      <c r="C44" s="317" t="str">
        <f>IFERROR(__xludf.DUMMYFUNCTION("""COMPUTED_VALUE"""),"B")</f>
        <v>B</v>
      </c>
      <c r="D44" s="181" t="str">
        <f>IFERROR(__xludf.DUMMYFUNCTION("""COMPUTED_VALUE"""),"Mytel")</f>
        <v>Mytel</v>
      </c>
      <c r="E44" s="357" t="str">
        <f>IFERROR(__xludf.DUMMYFUNCTION("""COMPUTED_VALUE"""),"T1")</f>
        <v>T1</v>
      </c>
      <c r="F44" s="181" t="str">
        <f>IFERROR(__xludf.DUMMYFUNCTION("""COMPUTED_VALUE"""),"Thayetchaung")</f>
        <v>Thayetchaung</v>
      </c>
      <c r="G44" s="181" t="str">
        <f>IFERROR(__xludf.DUMMYFUNCTION("""COMPUTED_VALUE"""),"Thar Htoo Aung")</f>
        <v>Thar Htoo Aung</v>
      </c>
      <c r="H44" s="232"/>
      <c r="I44" s="181"/>
      <c r="J44" s="232" t="str">
        <f>IFERROR(__xludf.DUMMYFUNCTION("""COMPUTED_VALUE"""),"OLT")</f>
        <v>OLT</v>
      </c>
      <c r="K44" s="358">
        <f>IFERROR(__xludf.DUMMYFUNCTION("""COMPUTED_VALUE"""),120.0)</f>
        <v>120</v>
      </c>
      <c r="L44" s="232" t="str">
        <f>IFERROR(__xludf.DUMMYFUNCTION("""COMPUTED_VALUE"""),"24*7")</f>
        <v>24*7</v>
      </c>
      <c r="M44" s="232" t="str">
        <f>IFERROR(__xludf.DUMMYFUNCTION("""COMPUTED_VALUE"""),"1DG+Grid+BB")</f>
        <v>1DG+Grid+BB</v>
      </c>
      <c r="N44" s="359" t="str">
        <f>IFERROR(__xludf.DUMMYFUNCTION("""COMPUTED_VALUE"""),"0")</f>
        <v>0</v>
      </c>
      <c r="O44" s="318"/>
      <c r="P44" s="318"/>
      <c r="Q44" s="320" t="str">
        <f>IFERROR(__xludf.DUMMYFUNCTION("""COMPUTED_VALUE""")," +Door Alarm: 04/06/2025 10:08")</f>
        <v> +Door Alarm: 04/06/2025 10:08</v>
      </c>
      <c r="R44" s="321">
        <f>IFERROR(__xludf.DUMMYFUNCTION("""COMPUTED_VALUE"""),9439.2)</f>
        <v>9439.2</v>
      </c>
      <c r="S44" s="322"/>
      <c r="T44" s="323"/>
      <c r="U44" s="340"/>
      <c r="V44" s="324"/>
      <c r="W44" s="340"/>
      <c r="X44" s="325"/>
      <c r="Y44" s="326"/>
      <c r="Z44" s="320"/>
      <c r="AA44" s="320"/>
      <c r="AB44" s="327"/>
      <c r="AC44" s="328"/>
      <c r="AD44" s="327"/>
      <c r="AE44" s="328"/>
      <c r="AF44" s="329">
        <f>IFERROR(__xludf.DUMMYFUNCTION("""COMPUTED_VALUE"""),1940.0)</f>
        <v>1940</v>
      </c>
      <c r="AG44" s="330" t="str">
        <f>IFERROR(__xludf.DUMMYFUNCTION("""COMPUTED_VALUE"""),"Checking with CT")</f>
        <v>Checking with CT</v>
      </c>
      <c r="AH44" s="330"/>
      <c r="AI44" s="330"/>
      <c r="AJ44" s="331"/>
      <c r="AK44" s="184"/>
      <c r="AL44" s="360">
        <f>IFERROR(__xludf.DUMMYFUNCTION("""COMPUTED_VALUE"""),0.0)</f>
        <v>0</v>
      </c>
      <c r="AM44" s="361">
        <f>IFERROR(__xludf.DUMMYFUNCTION("""COMPUTED_VALUE"""),0.0)</f>
        <v>0</v>
      </c>
      <c r="AN44" s="121"/>
      <c r="AO44" s="121"/>
      <c r="AP44" s="121"/>
      <c r="AQ44" s="121"/>
      <c r="AR44" s="121"/>
      <c r="AS44" s="121"/>
      <c r="AT44" s="121"/>
    </row>
    <row r="45">
      <c r="A45" s="232">
        <f>IFERROR(__xludf.DUMMYFUNCTION("""COMPUTED_VALUE"""),42.0)</f>
        <v>42</v>
      </c>
      <c r="B45" s="181" t="str">
        <f>IFERROR(__xludf.DUMMYFUNCTION("""COMPUTED_VALUE"""),"TNI0198")</f>
        <v>TNI0198</v>
      </c>
      <c r="C45" s="317" t="str">
        <f>IFERROR(__xludf.DUMMYFUNCTION("""COMPUTED_VALUE"""),"B")</f>
        <v>B</v>
      </c>
      <c r="D45" s="181" t="str">
        <f>IFERROR(__xludf.DUMMYFUNCTION("""COMPUTED_VALUE"""),"PAT")</f>
        <v>PAT</v>
      </c>
      <c r="E45" s="357" t="str">
        <f>IFERROR(__xludf.DUMMYFUNCTION("""COMPUTED_VALUE"""),"T1")</f>
        <v>T1</v>
      </c>
      <c r="F45" s="181" t="str">
        <f>IFERROR(__xludf.DUMMYFUNCTION("""COMPUTED_VALUE"""),"Thayetchaung")</f>
        <v>Thayetchaung</v>
      </c>
      <c r="G45" s="181" t="str">
        <f>IFERROR(__xludf.DUMMYFUNCTION("""COMPUTED_VALUE"""),"Win Htet Aung")</f>
        <v>Win Htet Aung</v>
      </c>
      <c r="H45" s="232"/>
      <c r="I45" s="181"/>
      <c r="J45" s="232" t="str">
        <f>IFERROR(__xludf.DUMMYFUNCTION("""COMPUTED_VALUE"""),"OLT")</f>
        <v>OLT</v>
      </c>
      <c r="K45" s="358">
        <f>IFERROR(__xludf.DUMMYFUNCTION("""COMPUTED_VALUE"""),45.0)</f>
        <v>45</v>
      </c>
      <c r="L45" s="232" t="str">
        <f>IFERROR(__xludf.DUMMYFUNCTION("""COMPUTED_VALUE"""),"8:00PM-5:00AM")</f>
        <v>8:00PM-5:00AM</v>
      </c>
      <c r="M45" s="232" t="str">
        <f>IFERROR(__xludf.DUMMYFUNCTION("""COMPUTED_VALUE"""),"1DG+Grid+BB")</f>
        <v>1DG+Grid+BB</v>
      </c>
      <c r="N45" s="359" t="str">
        <f>IFERROR(__xludf.DUMMYFUNCTION("""COMPUTED_VALUE"""),"0")</f>
        <v>0</v>
      </c>
      <c r="O45" s="318"/>
      <c r="P45" s="318"/>
      <c r="Q45" s="320"/>
      <c r="R45" s="321"/>
      <c r="S45" s="322"/>
      <c r="T45" s="323"/>
      <c r="U45" s="340"/>
      <c r="V45" s="324"/>
      <c r="W45" s="340"/>
      <c r="X45" s="325"/>
      <c r="Y45" s="326"/>
      <c r="Z45" s="320"/>
      <c r="AA45" s="320"/>
      <c r="AB45" s="327"/>
      <c r="AC45" s="328"/>
      <c r="AD45" s="327"/>
      <c r="AE45" s="328"/>
      <c r="AF45" s="329">
        <f>IFERROR(__xludf.DUMMYFUNCTION("""COMPUTED_VALUE"""),2070.0)</f>
        <v>2070</v>
      </c>
      <c r="AG45" s="330" t="str">
        <f>IFERROR(__xludf.DUMMYFUNCTION("""COMPUTED_VALUE"""),"checking with team")</f>
        <v>checking with team</v>
      </c>
      <c r="AH45" s="330"/>
      <c r="AI45" s="330"/>
      <c r="AJ45" s="331"/>
      <c r="AK45" s="184"/>
      <c r="AL45" s="360">
        <f>IFERROR(__xludf.DUMMYFUNCTION("""COMPUTED_VALUE"""),0.0)</f>
        <v>0</v>
      </c>
      <c r="AM45" s="361">
        <f>IFERROR(__xludf.DUMMYFUNCTION("""COMPUTED_VALUE"""),0.0)</f>
        <v>0</v>
      </c>
      <c r="AN45" s="121"/>
      <c r="AO45" s="121"/>
      <c r="AP45" s="121"/>
      <c r="AQ45" s="121"/>
      <c r="AR45" s="121"/>
      <c r="AS45" s="121"/>
      <c r="AT45" s="121"/>
    </row>
    <row r="46">
      <c r="A46" s="232">
        <f>IFERROR(__xludf.DUMMYFUNCTION("""COMPUTED_VALUE"""),43.0)</f>
        <v>43</v>
      </c>
      <c r="B46" s="181" t="str">
        <f>IFERROR(__xludf.DUMMYFUNCTION("""COMPUTED_VALUE"""),"TNI0060")</f>
        <v>TNI0060</v>
      </c>
      <c r="C46" s="317" t="str">
        <f>IFERROR(__xludf.DUMMYFUNCTION("""COMPUTED_VALUE"""),"C")</f>
        <v>C</v>
      </c>
      <c r="D46" s="181" t="str">
        <f>IFERROR(__xludf.DUMMYFUNCTION("""COMPUTED_VALUE"""),"Mytel")</f>
        <v>Mytel</v>
      </c>
      <c r="E46" s="357" t="str">
        <f>IFERROR(__xludf.DUMMYFUNCTION("""COMPUTED_VALUE"""),"T1")</f>
        <v>T1</v>
      </c>
      <c r="F46" s="181" t="str">
        <f>IFERROR(__xludf.DUMMYFUNCTION("""COMPUTED_VALUE"""),"Dawei")</f>
        <v>Dawei</v>
      </c>
      <c r="G46" s="181" t="str">
        <f>IFERROR(__xludf.DUMMYFUNCTION("""COMPUTED_VALUE"""),"Bhone Htet Aung")</f>
        <v>Bhone Htet Aung</v>
      </c>
      <c r="H46" s="232"/>
      <c r="I46" s="181"/>
      <c r="J46" s="232"/>
      <c r="K46" s="358">
        <f>IFERROR(__xludf.DUMMYFUNCTION("""COMPUTED_VALUE"""),30.0)</f>
        <v>30</v>
      </c>
      <c r="L46" s="232" t="str">
        <f>IFERROR(__xludf.DUMMYFUNCTION("""COMPUTED_VALUE"""),"10:00PM-4:00AM")</f>
        <v>10:00PM-4:00AM</v>
      </c>
      <c r="M46" s="232" t="str">
        <f>IFERROR(__xludf.DUMMYFUNCTION("""COMPUTED_VALUE"""),"1DG+Grid+BB")</f>
        <v>1DG+Grid+BB</v>
      </c>
      <c r="N46" s="359" t="str">
        <f>IFERROR(__xludf.DUMMYFUNCTION("""COMPUTED_VALUE"""),"ok")</f>
        <v>ok</v>
      </c>
      <c r="O46" s="318"/>
      <c r="P46" s="318"/>
      <c r="Q46" s="320"/>
      <c r="R46" s="321"/>
      <c r="S46" s="322"/>
      <c r="T46" s="323"/>
      <c r="U46" s="340"/>
      <c r="V46" s="324" t="str">
        <f>IFERROR(__xludf.DUMMYFUNCTION("""COMPUTED_VALUE"""),"6110")</f>
        <v>6110</v>
      </c>
      <c r="W46" s="340"/>
      <c r="X46" s="325"/>
      <c r="Y46" s="326"/>
      <c r="Z46" s="320"/>
      <c r="AA46" s="320"/>
      <c r="AB46" s="327"/>
      <c r="AC46" s="328"/>
      <c r="AD46" s="327"/>
      <c r="AE46" s="328"/>
      <c r="AF46" s="329">
        <f>IFERROR(__xludf.DUMMYFUNCTION("""COMPUTED_VALUE"""),1078.0)</f>
        <v>1078</v>
      </c>
      <c r="AG46" s="330"/>
      <c r="AH46" s="330"/>
      <c r="AI46" s="330"/>
      <c r="AJ46" s="331"/>
      <c r="AK46" s="184"/>
      <c r="AL46" s="360">
        <f>IFERROR(__xludf.DUMMYFUNCTION("""COMPUTED_VALUE"""),0.0)</f>
        <v>0</v>
      </c>
      <c r="AM46" s="361">
        <f>IFERROR(__xludf.DUMMYFUNCTION("""COMPUTED_VALUE"""),0.0)</f>
        <v>0</v>
      </c>
      <c r="AN46" s="121"/>
      <c r="AO46" s="121"/>
      <c r="AP46" s="121"/>
      <c r="AQ46" s="121"/>
      <c r="AR46" s="121"/>
      <c r="AS46" s="121"/>
      <c r="AT46" s="121"/>
    </row>
    <row r="47">
      <c r="A47" s="232">
        <f>IFERROR(__xludf.DUMMYFUNCTION("""COMPUTED_VALUE"""),44.0)</f>
        <v>44</v>
      </c>
      <c r="B47" s="181" t="str">
        <f>IFERROR(__xludf.DUMMYFUNCTION("""COMPUTED_VALUE"""),"TNI0067")</f>
        <v>TNI0067</v>
      </c>
      <c r="C47" s="317" t="str">
        <f>IFERROR(__xludf.DUMMYFUNCTION("""COMPUTED_VALUE"""),"C")</f>
        <v>C</v>
      </c>
      <c r="D47" s="181" t="str">
        <f>IFERROR(__xludf.DUMMYFUNCTION("""COMPUTED_VALUE"""),"Mytel")</f>
        <v>Mytel</v>
      </c>
      <c r="E47" s="357" t="str">
        <f>IFERROR(__xludf.DUMMYFUNCTION("""COMPUTED_VALUE"""),"T1")</f>
        <v>T1</v>
      </c>
      <c r="F47" s="181" t="str">
        <f>IFERROR(__xludf.DUMMYFUNCTION("""COMPUTED_VALUE"""),"Dawei")</f>
        <v>Dawei</v>
      </c>
      <c r="G47" s="181" t="str">
        <f>IFERROR(__xludf.DUMMYFUNCTION("""COMPUTED_VALUE"""),"Bhone Htet Aung")</f>
        <v>Bhone Htet Aung</v>
      </c>
      <c r="H47" s="232"/>
      <c r="I47" s="181"/>
      <c r="J47" s="232"/>
      <c r="K47" s="358">
        <f>IFERROR(__xludf.DUMMYFUNCTION("""COMPUTED_VALUE"""),30.0)</f>
        <v>30</v>
      </c>
      <c r="L47" s="232" t="str">
        <f>IFERROR(__xludf.DUMMYFUNCTION("""COMPUTED_VALUE"""),"24*7")</f>
        <v>24*7</v>
      </c>
      <c r="M47" s="232" t="str">
        <f>IFERROR(__xludf.DUMMYFUNCTION("""COMPUTED_VALUE"""),"Grid+Solar+BB")</f>
        <v>Grid+Solar+BB</v>
      </c>
      <c r="N47" s="359" t="str">
        <f>IFERROR(__xludf.DUMMYFUNCTION("""COMPUTED_VALUE"""),"ok")</f>
        <v>ok</v>
      </c>
      <c r="O47" s="318"/>
      <c r="P47" s="318"/>
      <c r="Q47" s="320"/>
      <c r="R47" s="321"/>
      <c r="S47" s="322"/>
      <c r="T47" s="323"/>
      <c r="U47" s="340"/>
      <c r="V47" s="324" t="str">
        <f>IFERROR(__xludf.DUMMYFUNCTION("""COMPUTED_VALUE"""),"13424.87")</f>
        <v>13424.87</v>
      </c>
      <c r="W47" s="340"/>
      <c r="X47" s="325"/>
      <c r="Y47" s="326"/>
      <c r="Z47" s="320"/>
      <c r="AA47" s="320"/>
      <c r="AB47" s="327"/>
      <c r="AC47" s="328"/>
      <c r="AD47" s="327"/>
      <c r="AE47" s="328"/>
      <c r="AF47" s="329">
        <f>IFERROR(__xludf.DUMMYFUNCTION("""COMPUTED_VALUE"""),873.0)</f>
        <v>873</v>
      </c>
      <c r="AG47" s="330" t="str">
        <f>IFERROR(__xludf.DUMMYFUNCTION("""COMPUTED_VALUE"""),"Checking with team")</f>
        <v>Checking with team</v>
      </c>
      <c r="AH47" s="330"/>
      <c r="AI47" s="330"/>
      <c r="AJ47" s="331"/>
      <c r="AK47" s="332"/>
      <c r="AL47" s="361">
        <f>IFERROR(__xludf.DUMMYFUNCTION("""COMPUTED_VALUE"""),0.0)</f>
        <v>0</v>
      </c>
      <c r="AM47" s="361">
        <f>IFERROR(__xludf.DUMMYFUNCTION("""COMPUTED_VALUE"""),0.0)</f>
        <v>0</v>
      </c>
      <c r="AN47" s="121"/>
      <c r="AO47" s="121"/>
      <c r="AP47" s="121"/>
      <c r="AQ47" s="121"/>
      <c r="AR47" s="121"/>
      <c r="AS47" s="121"/>
      <c r="AT47" s="121"/>
    </row>
    <row r="48">
      <c r="A48" s="232">
        <f>IFERROR(__xludf.DUMMYFUNCTION("""COMPUTED_VALUE"""),45.0)</f>
        <v>45</v>
      </c>
      <c r="B48" s="181" t="str">
        <f>IFERROR(__xludf.DUMMYFUNCTION("""COMPUTED_VALUE"""),"TNI0068")</f>
        <v>TNI0068</v>
      </c>
      <c r="C48" s="317" t="str">
        <f>IFERROR(__xludf.DUMMYFUNCTION("""COMPUTED_VALUE"""),"B")</f>
        <v>B</v>
      </c>
      <c r="D48" s="181" t="str">
        <f>IFERROR(__xludf.DUMMYFUNCTION("""COMPUTED_VALUE"""),"Mytel")</f>
        <v>Mytel</v>
      </c>
      <c r="E48" s="357" t="str">
        <f>IFERROR(__xludf.DUMMYFUNCTION("""COMPUTED_VALUE"""),"T1")</f>
        <v>T1</v>
      </c>
      <c r="F48" s="181" t="str">
        <f>IFERROR(__xludf.DUMMYFUNCTION("""COMPUTED_VALUE"""),"Dawei")</f>
        <v>Dawei</v>
      </c>
      <c r="G48" s="181" t="str">
        <f>IFERROR(__xludf.DUMMYFUNCTION("""COMPUTED_VALUE"""),"Bhone Htet Aung")</f>
        <v>Bhone Htet Aung</v>
      </c>
      <c r="H48" s="232"/>
      <c r="I48" s="181"/>
      <c r="J48" s="232" t="str">
        <f>IFERROR(__xludf.DUMMYFUNCTION("""COMPUTED_VALUE"""),"OLT")</f>
        <v>OLT</v>
      </c>
      <c r="K48" s="358">
        <f>IFERROR(__xludf.DUMMYFUNCTION("""COMPUTED_VALUE"""),30.0)</f>
        <v>30</v>
      </c>
      <c r="L48" s="232" t="str">
        <f>IFERROR(__xludf.DUMMYFUNCTION("""COMPUTED_VALUE"""),"24*7")</f>
        <v>24*7</v>
      </c>
      <c r="M48" s="232" t="str">
        <f>IFERROR(__xludf.DUMMYFUNCTION("""COMPUTED_VALUE"""),"Grid+Solar+BB")</f>
        <v>Grid+Solar+BB</v>
      </c>
      <c r="N48" s="359" t="str">
        <f>IFERROR(__xludf.DUMMYFUNCTION("""COMPUTED_VALUE"""),"ok")</f>
        <v>ok</v>
      </c>
      <c r="O48" s="318"/>
      <c r="P48" s="318"/>
      <c r="Q48" s="320"/>
      <c r="R48" s="321"/>
      <c r="S48" s="322"/>
      <c r="T48" s="323"/>
      <c r="U48" s="340"/>
      <c r="V48" s="324"/>
      <c r="W48" s="340"/>
      <c r="X48" s="325"/>
      <c r="Y48" s="326"/>
      <c r="Z48" s="320"/>
      <c r="AA48" s="320"/>
      <c r="AB48" s="327"/>
      <c r="AC48" s="328"/>
      <c r="AD48" s="327"/>
      <c r="AE48" s="328"/>
      <c r="AF48" s="329">
        <f>IFERROR(__xludf.DUMMYFUNCTION("""COMPUTED_VALUE"""),776.0)</f>
        <v>776</v>
      </c>
      <c r="AG48" s="330" t="str">
        <f>IFERROR(__xludf.DUMMYFUNCTION("""COMPUTED_VALUE"""),"Checking with team")</f>
        <v>Checking with team</v>
      </c>
      <c r="AH48" s="330"/>
      <c r="AI48" s="330"/>
      <c r="AJ48" s="331"/>
      <c r="AK48" s="332"/>
      <c r="AL48" s="361">
        <f>IFERROR(__xludf.DUMMYFUNCTION("""COMPUTED_VALUE"""),0.0)</f>
        <v>0</v>
      </c>
      <c r="AM48" s="361">
        <f>IFERROR(__xludf.DUMMYFUNCTION("""COMPUTED_VALUE"""),0.0)</f>
        <v>0</v>
      </c>
      <c r="AN48" s="121"/>
      <c r="AO48" s="121"/>
      <c r="AP48" s="121"/>
      <c r="AQ48" s="121"/>
      <c r="AR48" s="121"/>
      <c r="AS48" s="121"/>
      <c r="AT48" s="121"/>
    </row>
    <row r="49">
      <c r="A49" s="232">
        <f>IFERROR(__xludf.DUMMYFUNCTION("""COMPUTED_VALUE"""),46.0)</f>
        <v>46</v>
      </c>
      <c r="B49" s="181" t="str">
        <f>IFERROR(__xludf.DUMMYFUNCTION("""COMPUTED_VALUE"""),"TNI0072")</f>
        <v>TNI0072</v>
      </c>
      <c r="C49" s="317" t="str">
        <f>IFERROR(__xludf.DUMMYFUNCTION("""COMPUTED_VALUE"""),"C")</f>
        <v>C</v>
      </c>
      <c r="D49" s="181" t="str">
        <f>IFERROR(__xludf.DUMMYFUNCTION("""COMPUTED_VALUE"""),"Mytel")</f>
        <v>Mytel</v>
      </c>
      <c r="E49" s="357" t="str">
        <f>IFERROR(__xludf.DUMMYFUNCTION("""COMPUTED_VALUE"""),"T1")</f>
        <v>T1</v>
      </c>
      <c r="F49" s="181" t="str">
        <f>IFERROR(__xludf.DUMMYFUNCTION("""COMPUTED_VALUE"""),"Dawei")</f>
        <v>Dawei</v>
      </c>
      <c r="G49" s="181" t="str">
        <f>IFERROR(__xludf.DUMMYFUNCTION("""COMPUTED_VALUE"""),"Bhone Htet Aung")</f>
        <v>Bhone Htet Aung</v>
      </c>
      <c r="H49" s="232"/>
      <c r="I49" s="181"/>
      <c r="J49" s="232"/>
      <c r="K49" s="358">
        <f>IFERROR(__xludf.DUMMYFUNCTION("""COMPUTED_VALUE"""),30.0)</f>
        <v>30</v>
      </c>
      <c r="L49" s="232" t="str">
        <f>IFERROR(__xludf.DUMMYFUNCTION("""COMPUTED_VALUE"""),"10:00PM-4:00AM")</f>
        <v>10:00PM-4:00AM</v>
      </c>
      <c r="M49" s="232" t="str">
        <f>IFERROR(__xludf.DUMMYFUNCTION("""COMPUTED_VALUE"""),"1DG+Solar+Grid+BB")</f>
        <v>1DG+Solar+Grid+BB</v>
      </c>
      <c r="N49" s="359" t="str">
        <f>IFERROR(__xludf.DUMMYFUNCTION("""COMPUTED_VALUE"""),"0")</f>
        <v>0</v>
      </c>
      <c r="O49" s="318"/>
      <c r="P49" s="318"/>
      <c r="Q49" s="320"/>
      <c r="R49" s="321"/>
      <c r="S49" s="322"/>
      <c r="T49" s="323"/>
      <c r="U49" s="340"/>
      <c r="V49" s="324"/>
      <c r="W49" s="340"/>
      <c r="X49" s="325"/>
      <c r="Y49" s="326"/>
      <c r="Z49" s="320"/>
      <c r="AA49" s="320"/>
      <c r="AB49" s="327"/>
      <c r="AC49" s="328"/>
      <c r="AD49" s="327"/>
      <c r="AE49" s="328"/>
      <c r="AF49" s="329">
        <f>IFERROR(__xludf.DUMMYFUNCTION("""COMPUTED_VALUE"""),498.0)</f>
        <v>498</v>
      </c>
      <c r="AG49" s="330" t="str">
        <f>IFERROR(__xludf.DUMMYFUNCTION("""COMPUTED_VALUE"""),"Unsafe")</f>
        <v>Unsafe</v>
      </c>
      <c r="AH49" s="330" t="str">
        <f>IFERROR(__xludf.DUMMYFUNCTION("""COMPUTED_VALUE"""),"Unsafe NYC")</f>
        <v>Unsafe NYC</v>
      </c>
      <c r="AI49" s="330"/>
      <c r="AJ49" s="331"/>
      <c r="AK49" s="332"/>
      <c r="AL49" s="361">
        <f>IFERROR(__xludf.DUMMYFUNCTION("""COMPUTED_VALUE"""),0.0)</f>
        <v>0</v>
      </c>
      <c r="AM49" s="361">
        <f>IFERROR(__xludf.DUMMYFUNCTION("""COMPUTED_VALUE"""),0.0)</f>
        <v>0</v>
      </c>
      <c r="AN49" s="121"/>
      <c r="AO49" s="121"/>
      <c r="AP49" s="121"/>
      <c r="AQ49" s="121"/>
      <c r="AR49" s="121"/>
      <c r="AS49" s="121"/>
      <c r="AT49" s="121"/>
    </row>
    <row r="50">
      <c r="A50" s="232">
        <f>IFERROR(__xludf.DUMMYFUNCTION("""COMPUTED_VALUE"""),47.0)</f>
        <v>47</v>
      </c>
      <c r="B50" s="181" t="str">
        <f>IFERROR(__xludf.DUMMYFUNCTION("""COMPUTED_VALUE"""),"TNI0253")</f>
        <v>TNI0253</v>
      </c>
      <c r="C50" s="317" t="str">
        <f>IFERROR(__xludf.DUMMYFUNCTION("""COMPUTED_VALUE"""),"C")</f>
        <v>C</v>
      </c>
      <c r="D50" s="181" t="str">
        <f>IFERROR(__xludf.DUMMYFUNCTION("""COMPUTED_VALUE"""),"Edotco")</f>
        <v>Edotco</v>
      </c>
      <c r="E50" s="357" t="str">
        <f>IFERROR(__xludf.DUMMYFUNCTION("""COMPUTED_VALUE"""),"T1")</f>
        <v>T1</v>
      </c>
      <c r="F50" s="181" t="str">
        <f>IFERROR(__xludf.DUMMYFUNCTION("""COMPUTED_VALUE"""),"Dawei")</f>
        <v>Dawei</v>
      </c>
      <c r="G50" s="181" t="str">
        <f>IFERROR(__xludf.DUMMYFUNCTION("""COMPUTED_VALUE"""),"Bhone Htet Aung")</f>
        <v>Bhone Htet Aung</v>
      </c>
      <c r="H50" s="232"/>
      <c r="I50" s="181"/>
      <c r="J50" s="232"/>
      <c r="K50" s="358">
        <f>IFERROR(__xludf.DUMMYFUNCTION("""COMPUTED_VALUE"""),30.0)</f>
        <v>30</v>
      </c>
      <c r="L50" s="232" t="str">
        <f>IFERROR(__xludf.DUMMYFUNCTION("""COMPUTED_VALUE"""),"10:00PM-4:00AM")</f>
        <v>10:00PM-4:00AM</v>
      </c>
      <c r="M50" s="232" t="str">
        <f>IFERROR(__xludf.DUMMYFUNCTION("""COMPUTED_VALUE"""),"Grid+BB")</f>
        <v>Grid+BB</v>
      </c>
      <c r="N50" s="359" t="str">
        <f>IFERROR(__xludf.DUMMYFUNCTION("""COMPUTED_VALUE"""),"ok")</f>
        <v>ok</v>
      </c>
      <c r="O50" s="318"/>
      <c r="P50" s="318"/>
      <c r="Q50" s="320"/>
      <c r="R50" s="321"/>
      <c r="S50" s="322"/>
      <c r="T50" s="323"/>
      <c r="U50" s="340"/>
      <c r="V50" s="324"/>
      <c r="W50" s="340"/>
      <c r="X50" s="325"/>
      <c r="Y50" s="326"/>
      <c r="Z50" s="320"/>
      <c r="AA50" s="320"/>
      <c r="AB50" s="327"/>
      <c r="AC50" s="328"/>
      <c r="AD50" s="327"/>
      <c r="AE50" s="328"/>
      <c r="AF50" s="329">
        <f>IFERROR(__xludf.DUMMYFUNCTION("""COMPUTED_VALUE"""),1094.0)</f>
        <v>1094</v>
      </c>
      <c r="AG50" s="330"/>
      <c r="AH50" s="330"/>
      <c r="AI50" s="330"/>
      <c r="AJ50" s="331"/>
      <c r="AK50" s="332"/>
      <c r="AL50" s="361">
        <f>IFERROR(__xludf.DUMMYFUNCTION("""COMPUTED_VALUE"""),0.0)</f>
        <v>0</v>
      </c>
      <c r="AM50" s="361">
        <f>IFERROR(__xludf.DUMMYFUNCTION("""COMPUTED_VALUE"""),0.0)</f>
        <v>0</v>
      </c>
      <c r="AN50" s="121"/>
      <c r="AO50" s="121"/>
      <c r="AP50" s="121"/>
      <c r="AQ50" s="121"/>
      <c r="AR50" s="121"/>
      <c r="AS50" s="121"/>
      <c r="AT50" s="121"/>
    </row>
    <row r="51">
      <c r="A51" s="232">
        <f>IFERROR(__xludf.DUMMYFUNCTION("""COMPUTED_VALUE"""),48.0)</f>
        <v>48</v>
      </c>
      <c r="B51" s="181" t="str">
        <f>IFERROR(__xludf.DUMMYFUNCTION("""COMPUTED_VALUE"""),"TNI0271")</f>
        <v>TNI0271</v>
      </c>
      <c r="C51" s="317" t="str">
        <f>IFERROR(__xludf.DUMMYFUNCTION("""COMPUTED_VALUE"""),"C")</f>
        <v>C</v>
      </c>
      <c r="D51" s="181" t="str">
        <f>IFERROR(__xludf.DUMMYFUNCTION("""COMPUTED_VALUE"""),"IGT")</f>
        <v>IGT</v>
      </c>
      <c r="E51" s="357" t="str">
        <f>IFERROR(__xludf.DUMMYFUNCTION("""COMPUTED_VALUE"""),"T1")</f>
        <v>T1</v>
      </c>
      <c r="F51" s="181" t="str">
        <f>IFERROR(__xludf.DUMMYFUNCTION("""COMPUTED_VALUE"""),"Dawei")</f>
        <v>Dawei</v>
      </c>
      <c r="G51" s="181" t="str">
        <f>IFERROR(__xludf.DUMMYFUNCTION("""COMPUTED_VALUE"""),"Bhone Htet Aung")</f>
        <v>Bhone Htet Aung</v>
      </c>
      <c r="H51" s="232"/>
      <c r="I51" s="181"/>
      <c r="J51" s="232"/>
      <c r="K51" s="358">
        <f>IFERROR(__xludf.DUMMYFUNCTION("""COMPUTED_VALUE"""),30.0)</f>
        <v>30</v>
      </c>
      <c r="L51" s="232" t="str">
        <f>IFERROR(__xludf.DUMMYFUNCTION("""COMPUTED_VALUE"""),"24*7")</f>
        <v>24*7</v>
      </c>
      <c r="M51" s="232" t="str">
        <f>IFERROR(__xludf.DUMMYFUNCTION("""COMPUTED_VALUE"""),"Grid+BB")</f>
        <v>Grid+BB</v>
      </c>
      <c r="N51" s="359" t="str">
        <f>IFERROR(__xludf.DUMMYFUNCTION("""COMPUTED_VALUE"""),"ok")</f>
        <v>ok</v>
      </c>
      <c r="O51" s="318"/>
      <c r="P51" s="318"/>
      <c r="Q51" s="320"/>
      <c r="R51" s="321"/>
      <c r="S51" s="322"/>
      <c r="T51" s="323"/>
      <c r="U51" s="340"/>
      <c r="V51" s="324"/>
      <c r="W51" s="340"/>
      <c r="X51" s="325"/>
      <c r="Y51" s="326"/>
      <c r="Z51" s="320"/>
      <c r="AA51" s="320"/>
      <c r="AB51" s="327"/>
      <c r="AC51" s="328"/>
      <c r="AD51" s="327"/>
      <c r="AE51" s="328"/>
      <c r="AF51" s="329">
        <f>IFERROR(__xludf.DUMMYFUNCTION("""COMPUTED_VALUE"""),1123.0)</f>
        <v>1123</v>
      </c>
      <c r="AG51" s="330" t="str">
        <f>IFERROR(__xludf.DUMMYFUNCTION("""COMPUTED_VALUE"""),"Grid fail, non DG site")</f>
        <v>Grid fail, non DG site</v>
      </c>
      <c r="AH51" s="330"/>
      <c r="AI51" s="330"/>
      <c r="AJ51" s="331"/>
      <c r="AK51" s="332"/>
      <c r="AL51" s="361">
        <f>IFERROR(__xludf.DUMMYFUNCTION("""COMPUTED_VALUE"""),0.0)</f>
        <v>0</v>
      </c>
      <c r="AM51" s="361">
        <f>IFERROR(__xludf.DUMMYFUNCTION("""COMPUTED_VALUE"""),0.0)</f>
        <v>0</v>
      </c>
      <c r="AN51" s="121"/>
      <c r="AO51" s="121"/>
      <c r="AP51" s="121"/>
      <c r="AQ51" s="121"/>
      <c r="AR51" s="121"/>
      <c r="AS51" s="121"/>
      <c r="AT51" s="121"/>
    </row>
    <row r="52">
      <c r="A52" s="232">
        <f>IFERROR(__xludf.DUMMYFUNCTION("""COMPUTED_VALUE"""),49.0)</f>
        <v>49</v>
      </c>
      <c r="B52" s="181" t="str">
        <f>IFERROR(__xludf.DUMMYFUNCTION("""COMPUTED_VALUE"""),"TNI0058")</f>
        <v>TNI0058</v>
      </c>
      <c r="C52" s="317" t="str">
        <f>IFERROR(__xludf.DUMMYFUNCTION("""COMPUTED_VALUE"""),"B")</f>
        <v>B</v>
      </c>
      <c r="D52" s="181" t="str">
        <f>IFERROR(__xludf.DUMMYFUNCTION("""COMPUTED_VALUE"""),"Mytel")</f>
        <v>Mytel</v>
      </c>
      <c r="E52" s="357" t="str">
        <f>IFERROR(__xludf.DUMMYFUNCTION("""COMPUTED_VALUE"""),"T1")</f>
        <v>T1</v>
      </c>
      <c r="F52" s="181" t="str">
        <f>IFERROR(__xludf.DUMMYFUNCTION("""COMPUTED_VALUE"""),"Dawei")</f>
        <v>Dawei</v>
      </c>
      <c r="G52" s="181" t="str">
        <f>IFERROR(__xludf.DUMMYFUNCTION("""COMPUTED_VALUE"""),"Bhone Htet Aung")</f>
        <v>Bhone Htet Aung</v>
      </c>
      <c r="H52" s="232"/>
      <c r="I52" s="181"/>
      <c r="J52" s="232"/>
      <c r="K52" s="358">
        <f>IFERROR(__xludf.DUMMYFUNCTION("""COMPUTED_VALUE"""),20.0)</f>
        <v>20</v>
      </c>
      <c r="L52" s="232" t="str">
        <f>IFERROR(__xludf.DUMMYFUNCTION("""COMPUTED_VALUE"""),"9:00PM-5:00AM")</f>
        <v>9:00PM-5:00AM</v>
      </c>
      <c r="M52" s="232" t="str">
        <f>IFERROR(__xludf.DUMMYFUNCTION("""COMPUTED_VALUE"""),"1DG+Solar+Grid+BB")</f>
        <v>1DG+Solar+Grid+BB</v>
      </c>
      <c r="N52" s="359" t="str">
        <f>IFERROR(__xludf.DUMMYFUNCTION("""COMPUTED_VALUE"""),"ok")</f>
        <v>ok</v>
      </c>
      <c r="O52" s="318"/>
      <c r="P52" s="318"/>
      <c r="Q52" s="320"/>
      <c r="R52" s="321"/>
      <c r="S52" s="322"/>
      <c r="T52" s="323"/>
      <c r="U52" s="340"/>
      <c r="V52" s="324" t="str">
        <f>IFERROR(__xludf.DUMMYFUNCTION("""COMPUTED_VALUE"""),"12774")</f>
        <v>12774</v>
      </c>
      <c r="W52" s="340"/>
      <c r="X52" s="325">
        <f>IFERROR(__xludf.DUMMYFUNCTION("""COMPUTED_VALUE"""),46188.715)</f>
        <v>46188.715</v>
      </c>
      <c r="Y52" s="326">
        <f>IFERROR(__xludf.DUMMYFUNCTION("""COMPUTED_VALUE"""),409.46931750001386)</f>
        <v>409.4693175</v>
      </c>
      <c r="Z52" s="320"/>
      <c r="AA52" s="320"/>
      <c r="AB52" s="327"/>
      <c r="AC52" s="328"/>
      <c r="AD52" s="327"/>
      <c r="AE52" s="328"/>
      <c r="AF52" s="329">
        <f>IFERROR(__xludf.DUMMYFUNCTION("""COMPUTED_VALUE"""),1390.0)</f>
        <v>1390</v>
      </c>
      <c r="AG52" s="330"/>
      <c r="AH52" s="330"/>
      <c r="AI52" s="330"/>
      <c r="AJ52" s="331"/>
      <c r="AK52" s="332"/>
      <c r="AL52" s="361">
        <f>IFERROR(__xludf.DUMMYFUNCTION("""COMPUTED_VALUE"""),0.0)</f>
        <v>0</v>
      </c>
      <c r="AM52" s="361">
        <f>IFERROR(__xludf.DUMMYFUNCTION("""COMPUTED_VALUE"""),0.0)</f>
        <v>0</v>
      </c>
      <c r="AN52" s="121"/>
      <c r="AO52" s="121"/>
      <c r="AP52" s="121"/>
      <c r="AQ52" s="121"/>
      <c r="AR52" s="121"/>
      <c r="AS52" s="121"/>
      <c r="AT52" s="121"/>
    </row>
    <row r="53">
      <c r="A53" s="232">
        <f>IFERROR(__xludf.DUMMYFUNCTION("""COMPUTED_VALUE"""),50.0)</f>
        <v>50</v>
      </c>
      <c r="B53" s="181" t="str">
        <f>IFERROR(__xludf.DUMMYFUNCTION("""COMPUTED_VALUE"""),"TNI0251")</f>
        <v>TNI0251</v>
      </c>
      <c r="C53" s="317" t="str">
        <f>IFERROR(__xludf.DUMMYFUNCTION("""COMPUTED_VALUE"""),"B")</f>
        <v>B</v>
      </c>
      <c r="D53" s="181" t="str">
        <f>IFERROR(__xludf.DUMMYFUNCTION("""COMPUTED_VALUE"""),"Mytel")</f>
        <v>Mytel</v>
      </c>
      <c r="E53" s="357" t="str">
        <f>IFERROR(__xludf.DUMMYFUNCTION("""COMPUTED_VALUE"""),"T1")</f>
        <v>T1</v>
      </c>
      <c r="F53" s="181" t="str">
        <f>IFERROR(__xludf.DUMMYFUNCTION("""COMPUTED_VALUE"""),"Dawei")</f>
        <v>Dawei</v>
      </c>
      <c r="G53" s="181" t="str">
        <f>IFERROR(__xludf.DUMMYFUNCTION("""COMPUTED_VALUE"""),"Bhone Htet Aung")</f>
        <v>Bhone Htet Aung</v>
      </c>
      <c r="H53" s="232"/>
      <c r="I53" s="181"/>
      <c r="J53" s="232" t="str">
        <f>IFERROR(__xludf.DUMMYFUNCTION("""COMPUTED_VALUE"""),"OLT")</f>
        <v>OLT</v>
      </c>
      <c r="K53" s="358">
        <f>IFERROR(__xludf.DUMMYFUNCTION("""COMPUTED_VALUE"""),30.0)</f>
        <v>30</v>
      </c>
      <c r="L53" s="232" t="str">
        <f>IFERROR(__xludf.DUMMYFUNCTION("""COMPUTED_VALUE"""),"10:00PM-4:00AM")</f>
        <v>10:00PM-4:00AM</v>
      </c>
      <c r="M53" s="232" t="str">
        <f>IFERROR(__xludf.DUMMYFUNCTION("""COMPUTED_VALUE"""),"1DG+Solar+Grid+BB")</f>
        <v>1DG+Solar+Grid+BB</v>
      </c>
      <c r="N53" s="359" t="str">
        <f>IFERROR(__xludf.DUMMYFUNCTION("""COMPUTED_VALUE"""),"0")</f>
        <v>0</v>
      </c>
      <c r="O53" s="318"/>
      <c r="P53" s="318"/>
      <c r="Q53" s="320" t="str">
        <f>IFERROR(__xludf.DUMMYFUNCTION("""COMPUTED_VALUE""")," +Battery Door: 12/03/2026 17:49")</f>
        <v> +Battery Door: 12/03/2026 17:49</v>
      </c>
      <c r="R53" s="321">
        <f>IFERROR(__xludf.DUMMYFUNCTION("""COMPUTED_VALUE"""),2687.51)</f>
        <v>2687.51</v>
      </c>
      <c r="S53" s="322"/>
      <c r="T53" s="323"/>
      <c r="U53" s="340"/>
      <c r="V53" s="324" t="str">
        <f>IFERROR(__xludf.DUMMYFUNCTION("""COMPUTED_VALUE"""),"2687.51")</f>
        <v>2687.51</v>
      </c>
      <c r="W53" s="340"/>
      <c r="X53" s="325"/>
      <c r="Y53" s="326"/>
      <c r="Z53" s="320"/>
      <c r="AA53" s="320"/>
      <c r="AB53" s="327"/>
      <c r="AC53" s="328"/>
      <c r="AD53" s="327"/>
      <c r="AE53" s="328"/>
      <c r="AF53" s="329">
        <f>IFERROR(__xludf.DUMMYFUNCTION("""COMPUTED_VALUE"""),914.0)</f>
        <v>914</v>
      </c>
      <c r="AG53" s="330" t="str">
        <f>IFERROR(__xludf.DUMMYFUNCTION("""COMPUTED_VALUE"""),"Grid fail and DG broken site")</f>
        <v>Grid fail and DG broken site</v>
      </c>
      <c r="AH53" s="330"/>
      <c r="AI53" s="330"/>
      <c r="AJ53" s="331"/>
      <c r="AK53" s="332"/>
      <c r="AL53" s="361">
        <f>IFERROR(__xludf.DUMMYFUNCTION("""COMPUTED_VALUE"""),0.0)</f>
        <v>0</v>
      </c>
      <c r="AM53" s="361">
        <f>IFERROR(__xludf.DUMMYFUNCTION("""COMPUTED_VALUE"""),0.0)</f>
        <v>0</v>
      </c>
      <c r="AN53" s="121"/>
      <c r="AO53" s="121"/>
      <c r="AP53" s="121"/>
      <c r="AQ53" s="121"/>
      <c r="AR53" s="121"/>
      <c r="AS53" s="121"/>
      <c r="AT53" s="121"/>
    </row>
    <row r="54">
      <c r="A54" s="232">
        <f>IFERROR(__xludf.DUMMYFUNCTION("""COMPUTED_VALUE"""),51.0)</f>
        <v>51</v>
      </c>
      <c r="B54" s="181" t="str">
        <f>IFERROR(__xludf.DUMMYFUNCTION("""COMPUTED_VALUE"""),"TNI0059")</f>
        <v>TNI0059</v>
      </c>
      <c r="C54" s="317" t="str">
        <f>IFERROR(__xludf.DUMMYFUNCTION("""COMPUTED_VALUE"""),"B")</f>
        <v>B</v>
      </c>
      <c r="D54" s="181" t="str">
        <f>IFERROR(__xludf.DUMMYFUNCTION("""COMPUTED_VALUE"""),"IGT")</f>
        <v>IGT</v>
      </c>
      <c r="E54" s="357" t="str">
        <f>IFERROR(__xludf.DUMMYFUNCTION("""COMPUTED_VALUE"""),"T1")</f>
        <v>T1</v>
      </c>
      <c r="F54" s="181" t="str">
        <f>IFERROR(__xludf.DUMMYFUNCTION("""COMPUTED_VALUE"""),"Dawei")</f>
        <v>Dawei</v>
      </c>
      <c r="G54" s="181" t="str">
        <f>IFERROR(__xludf.DUMMYFUNCTION("""COMPUTED_VALUE"""),"Bhone Htet Aung")</f>
        <v>Bhone Htet Aung</v>
      </c>
      <c r="H54" s="232"/>
      <c r="I54" s="181"/>
      <c r="J54" s="232"/>
      <c r="K54" s="358">
        <f>IFERROR(__xludf.DUMMYFUNCTION("""COMPUTED_VALUE"""),20.0)</f>
        <v>20</v>
      </c>
      <c r="L54" s="232" t="str">
        <f>IFERROR(__xludf.DUMMYFUNCTION("""COMPUTED_VALUE"""),"24*7")</f>
        <v>24*7</v>
      </c>
      <c r="M54" s="232" t="str">
        <f>IFERROR(__xludf.DUMMYFUNCTION("""COMPUTED_VALUE"""),"1DG+BB")</f>
        <v>1DG+BB</v>
      </c>
      <c r="N54" s="359" t="str">
        <f>IFERROR(__xludf.DUMMYFUNCTION("""COMPUTED_VALUE"""),"ok")</f>
        <v>ok</v>
      </c>
      <c r="O54" s="318"/>
      <c r="P54" s="318"/>
      <c r="Q54" s="320"/>
      <c r="R54" s="321"/>
      <c r="S54" s="322"/>
      <c r="T54" s="323"/>
      <c r="U54" s="340"/>
      <c r="V54" s="324"/>
      <c r="W54" s="340"/>
      <c r="X54" s="325"/>
      <c r="Y54" s="326"/>
      <c r="Z54" s="320"/>
      <c r="AA54" s="320"/>
      <c r="AB54" s="327"/>
      <c r="AC54" s="328"/>
      <c r="AD54" s="327"/>
      <c r="AE54" s="328"/>
      <c r="AF54" s="329">
        <f>IFERROR(__xludf.DUMMYFUNCTION("""COMPUTED_VALUE"""),837.0)</f>
        <v>837</v>
      </c>
      <c r="AG54" s="330" t="str">
        <f>IFERROR(__xludf.DUMMYFUNCTION("""COMPUTED_VALUE"""),"TCO team CR plan 8AM-1 PM")</f>
        <v>TCO team CR plan 8AM-1 PM</v>
      </c>
      <c r="AH54" s="330"/>
      <c r="AI54" s="330"/>
      <c r="AJ54" s="331"/>
      <c r="AK54" s="332"/>
      <c r="AL54" s="361">
        <f>IFERROR(__xludf.DUMMYFUNCTION("""COMPUTED_VALUE"""),0.0)</f>
        <v>0</v>
      </c>
      <c r="AM54" s="361">
        <f>IFERROR(__xludf.DUMMYFUNCTION("""COMPUTED_VALUE"""),0.0)</f>
        <v>0</v>
      </c>
      <c r="AN54" s="121"/>
      <c r="AO54" s="121"/>
      <c r="AP54" s="121"/>
      <c r="AQ54" s="121"/>
      <c r="AR54" s="121"/>
      <c r="AS54" s="121"/>
      <c r="AT54" s="121"/>
    </row>
    <row r="55">
      <c r="A55" s="232">
        <f>IFERROR(__xludf.DUMMYFUNCTION("""COMPUTED_VALUE"""),52.0)</f>
        <v>52</v>
      </c>
      <c r="B55" s="181" t="str">
        <f>IFERROR(__xludf.DUMMYFUNCTION("""COMPUTED_VALUE"""),"TNI0053")</f>
        <v>TNI0053</v>
      </c>
      <c r="C55" s="317" t="str">
        <f>IFERROR(__xludf.DUMMYFUNCTION("""COMPUTED_VALUE"""),"C")</f>
        <v>C</v>
      </c>
      <c r="D55" s="181" t="str">
        <f>IFERROR(__xludf.DUMMYFUNCTION("""COMPUTED_VALUE"""),"MEC")</f>
        <v>MEC</v>
      </c>
      <c r="E55" s="357" t="str">
        <f>IFERROR(__xludf.DUMMYFUNCTION("""COMPUTED_VALUE"""),"T1")</f>
        <v>T1</v>
      </c>
      <c r="F55" s="181" t="str">
        <f>IFERROR(__xludf.DUMMYFUNCTION("""COMPUTED_VALUE"""),"Dawei")</f>
        <v>Dawei</v>
      </c>
      <c r="G55" s="181" t="str">
        <f>IFERROR(__xludf.DUMMYFUNCTION("""COMPUTED_VALUE"""),"Bhone Htet Aung")</f>
        <v>Bhone Htet Aung</v>
      </c>
      <c r="H55" s="232"/>
      <c r="I55" s="181"/>
      <c r="J55" s="232"/>
      <c r="K55" s="358">
        <f>IFERROR(__xludf.DUMMYFUNCTION("""COMPUTED_VALUE"""),30.0)</f>
        <v>30</v>
      </c>
      <c r="L55" s="232" t="str">
        <f>IFERROR(__xludf.DUMMYFUNCTION("""COMPUTED_VALUE"""),"8:00PM-5:00AM")</f>
        <v>8:00PM-5:00AM</v>
      </c>
      <c r="M55" s="232" t="str">
        <f>IFERROR(__xludf.DUMMYFUNCTION("""COMPUTED_VALUE"""),"1DG+Solar+Grid+BB")</f>
        <v>1DG+Solar+Grid+BB</v>
      </c>
      <c r="N55" s="359" t="str">
        <f>IFERROR(__xludf.DUMMYFUNCTION("""COMPUTED_VALUE"""),"0")</f>
        <v>0</v>
      </c>
      <c r="O55" s="318"/>
      <c r="P55" s="318"/>
      <c r="Q55" s="320" t="str">
        <f>IFERROR(__xludf.DUMMYFUNCTION("""COMPUTED_VALUE""")," +Door Alarm: 04/09/2025 15:16")</f>
        <v> +Door Alarm: 04/09/2025 15:16</v>
      </c>
      <c r="R55" s="321">
        <f>IFERROR(__xludf.DUMMYFUNCTION("""COMPUTED_VALUE"""),7226.06)</f>
        <v>7226.06</v>
      </c>
      <c r="S55" s="322"/>
      <c r="T55" s="323"/>
      <c r="U55" s="340"/>
      <c r="V55" s="324"/>
      <c r="W55" s="340"/>
      <c r="X55" s="325">
        <f>IFERROR(__xludf.DUMMYFUNCTION("""COMPUTED_VALUE"""),46167.50288194444)</f>
        <v>46167.50288</v>
      </c>
      <c r="Y55" s="326">
        <f>IFERROR(__xludf.DUMMYFUNCTION("""COMPUTED_VALUE"""),918.5601508333348)</f>
        <v>918.5601508</v>
      </c>
      <c r="Z55" s="320"/>
      <c r="AA55" s="320"/>
      <c r="AB55" s="327"/>
      <c r="AC55" s="328"/>
      <c r="AD55" s="327"/>
      <c r="AE55" s="328"/>
      <c r="AF55" s="329">
        <f>IFERROR(__xludf.DUMMYFUNCTION("""COMPUTED_VALUE"""),779.0)</f>
        <v>779</v>
      </c>
      <c r="AG55" s="330"/>
      <c r="AH55" s="330"/>
      <c r="AI55" s="330"/>
      <c r="AJ55" s="331"/>
      <c r="AK55" s="332"/>
      <c r="AL55" s="361">
        <f>IFERROR(__xludf.DUMMYFUNCTION("""COMPUTED_VALUE"""),0.0)</f>
        <v>0</v>
      </c>
      <c r="AM55" s="361">
        <f>IFERROR(__xludf.DUMMYFUNCTION("""COMPUTED_VALUE"""),0.0)</f>
        <v>0</v>
      </c>
      <c r="AN55" s="121"/>
      <c r="AO55" s="121"/>
      <c r="AP55" s="121"/>
      <c r="AQ55" s="121"/>
      <c r="AR55" s="121"/>
      <c r="AS55" s="121"/>
      <c r="AT55" s="121"/>
    </row>
    <row r="56">
      <c r="A56" s="232">
        <f>IFERROR(__xludf.DUMMYFUNCTION("""COMPUTED_VALUE"""),53.0)</f>
        <v>53</v>
      </c>
      <c r="B56" s="181" t="str">
        <f>IFERROR(__xludf.DUMMYFUNCTION("""COMPUTED_VALUE"""),"TNI0065")</f>
        <v>TNI0065</v>
      </c>
      <c r="C56" s="317" t="str">
        <f>IFERROR(__xludf.DUMMYFUNCTION("""COMPUTED_VALUE"""),"B")</f>
        <v>B</v>
      </c>
      <c r="D56" s="181" t="str">
        <f>IFERROR(__xludf.DUMMYFUNCTION("""COMPUTED_VALUE"""),"Mytel")</f>
        <v>Mytel</v>
      </c>
      <c r="E56" s="357" t="str">
        <f>IFERROR(__xludf.DUMMYFUNCTION("""COMPUTED_VALUE"""),"T1")</f>
        <v>T1</v>
      </c>
      <c r="F56" s="181" t="str">
        <f>IFERROR(__xludf.DUMMYFUNCTION("""COMPUTED_VALUE"""),"Dawei")</f>
        <v>Dawei</v>
      </c>
      <c r="G56" s="181" t="str">
        <f>IFERROR(__xludf.DUMMYFUNCTION("""COMPUTED_VALUE"""),"Bhone Htet Aung")</f>
        <v>Bhone Htet Aung</v>
      </c>
      <c r="H56" s="232"/>
      <c r="I56" s="181"/>
      <c r="J56" s="232" t="str">
        <f>IFERROR(__xludf.DUMMYFUNCTION("""COMPUTED_VALUE"""),"OLT")</f>
        <v>OLT</v>
      </c>
      <c r="K56" s="358">
        <f>IFERROR(__xludf.DUMMYFUNCTION("""COMPUTED_VALUE"""),30.0)</f>
        <v>30</v>
      </c>
      <c r="L56" s="232" t="str">
        <f>IFERROR(__xludf.DUMMYFUNCTION("""COMPUTED_VALUE"""),"24*7")</f>
        <v>24*7</v>
      </c>
      <c r="M56" s="232" t="str">
        <f>IFERROR(__xludf.DUMMYFUNCTION("""COMPUTED_VALUE"""),"1DG+Solar+Grid+BB")</f>
        <v>1DG+Solar+Grid+BB</v>
      </c>
      <c r="N56" s="359" t="str">
        <f>IFERROR(__xludf.DUMMYFUNCTION("""COMPUTED_VALUE"""),"ok")</f>
        <v>ok</v>
      </c>
      <c r="O56" s="318"/>
      <c r="P56" s="318"/>
      <c r="Q56" s="320" t="str">
        <f>IFERROR(__xludf.DUMMYFUNCTION("""COMPUTED_VALUE""")," +Battery Door: 28/08/2025 14:39")</f>
        <v> +Battery Door: 28/08/2025 14:39</v>
      </c>
      <c r="R56" s="321">
        <f>IFERROR(__xludf.DUMMYFUNCTION("""COMPUTED_VALUE"""),7394.67)</f>
        <v>7394.67</v>
      </c>
      <c r="S56" s="322"/>
      <c r="T56" s="323"/>
      <c r="U56" s="340"/>
      <c r="V56" s="324"/>
      <c r="W56" s="340"/>
      <c r="X56" s="325"/>
      <c r="Y56" s="326"/>
      <c r="Z56" s="320"/>
      <c r="AA56" s="320"/>
      <c r="AB56" s="327"/>
      <c r="AC56" s="328"/>
      <c r="AD56" s="327"/>
      <c r="AE56" s="328"/>
      <c r="AF56" s="329">
        <f>IFERROR(__xludf.DUMMYFUNCTION("""COMPUTED_VALUE"""),613.0)</f>
        <v>613</v>
      </c>
      <c r="AG56" s="330" t="str">
        <f>IFERROR(__xludf.DUMMYFUNCTION("""COMPUTED_VALUE"""),"Checking with team")</f>
        <v>Checking with team</v>
      </c>
      <c r="AH56" s="330"/>
      <c r="AI56" s="330"/>
      <c r="AJ56" s="331"/>
      <c r="AK56" s="332"/>
      <c r="AL56" s="361">
        <f>IFERROR(__xludf.DUMMYFUNCTION("""COMPUTED_VALUE"""),0.0)</f>
        <v>0</v>
      </c>
      <c r="AM56" s="361">
        <f>IFERROR(__xludf.DUMMYFUNCTION("""COMPUTED_VALUE"""),0.0)</f>
        <v>0</v>
      </c>
      <c r="AN56" s="121"/>
      <c r="AO56" s="121"/>
      <c r="AP56" s="121"/>
      <c r="AQ56" s="121"/>
      <c r="AR56" s="121"/>
      <c r="AS56" s="121"/>
      <c r="AT56" s="121"/>
    </row>
    <row r="57">
      <c r="A57" s="232">
        <f>IFERROR(__xludf.DUMMYFUNCTION("""COMPUTED_VALUE"""),54.0)</f>
        <v>54</v>
      </c>
      <c r="B57" s="181" t="str">
        <f>IFERROR(__xludf.DUMMYFUNCTION("""COMPUTED_VALUE"""),"TNI0070")</f>
        <v>TNI0070</v>
      </c>
      <c r="C57" s="317" t="str">
        <f>IFERROR(__xludf.DUMMYFUNCTION("""COMPUTED_VALUE"""),"B")</f>
        <v>B</v>
      </c>
      <c r="D57" s="181" t="str">
        <f>IFERROR(__xludf.DUMMYFUNCTION("""COMPUTED_VALUE"""),"Mytel")</f>
        <v>Mytel</v>
      </c>
      <c r="E57" s="357" t="str">
        <f>IFERROR(__xludf.DUMMYFUNCTION("""COMPUTED_VALUE"""),"T1")</f>
        <v>T1</v>
      </c>
      <c r="F57" s="181" t="str">
        <f>IFERROR(__xludf.DUMMYFUNCTION("""COMPUTED_VALUE"""),"Dawei")</f>
        <v>Dawei</v>
      </c>
      <c r="G57" s="181" t="str">
        <f>IFERROR(__xludf.DUMMYFUNCTION("""COMPUTED_VALUE"""),"Bhone Htet Aung")</f>
        <v>Bhone Htet Aung</v>
      </c>
      <c r="H57" s="232"/>
      <c r="I57" s="181"/>
      <c r="J57" s="232"/>
      <c r="K57" s="358">
        <f>IFERROR(__xludf.DUMMYFUNCTION("""COMPUTED_VALUE"""),30.0)</f>
        <v>30</v>
      </c>
      <c r="L57" s="232" t="str">
        <f>IFERROR(__xludf.DUMMYFUNCTION("""COMPUTED_VALUE"""),"10:00PM-4:00AM")</f>
        <v>10:00PM-4:00AM</v>
      </c>
      <c r="M57" s="232" t="str">
        <f>IFERROR(__xludf.DUMMYFUNCTION("""COMPUTED_VALUE"""),"1DG+Solar+Grid+BB")</f>
        <v>1DG+Solar+Grid+BB</v>
      </c>
      <c r="N57" s="359" t="str">
        <f>IFERROR(__xludf.DUMMYFUNCTION("""COMPUTED_VALUE"""),"ok")</f>
        <v>ok</v>
      </c>
      <c r="O57" s="318"/>
      <c r="P57" s="318"/>
      <c r="Q57" s="320" t="str">
        <f>IFERROR(__xludf.DUMMYFUNCTION("""COMPUTED_VALUE""")," +Battery Door: 21/02/2026 11:31")</f>
        <v> +Battery Door: 21/02/2026 11:31</v>
      </c>
      <c r="R57" s="321">
        <f>IFERROR(__xludf.DUMMYFUNCTION("""COMPUTED_VALUE"""),3149.82)</f>
        <v>3149.82</v>
      </c>
      <c r="S57" s="322"/>
      <c r="T57" s="323"/>
      <c r="U57" s="340"/>
      <c r="V57" s="324"/>
      <c r="W57" s="340"/>
      <c r="X57" s="325"/>
      <c r="Y57" s="326"/>
      <c r="Z57" s="320"/>
      <c r="AA57" s="320"/>
      <c r="AB57" s="327"/>
      <c r="AC57" s="328"/>
      <c r="AD57" s="327"/>
      <c r="AE57" s="328"/>
      <c r="AF57" s="329">
        <f>IFERROR(__xludf.DUMMYFUNCTION("""COMPUTED_VALUE"""),710.0)</f>
        <v>710</v>
      </c>
      <c r="AG57" s="330" t="str">
        <f>IFERROR(__xludf.DUMMYFUNCTION("""COMPUTED_VALUE"""),"Unsafe")</f>
        <v>Unsafe</v>
      </c>
      <c r="AH57" s="330"/>
      <c r="AI57" s="330"/>
      <c r="AJ57" s="331"/>
      <c r="AK57" s="332"/>
      <c r="AL57" s="361">
        <f>IFERROR(__xludf.DUMMYFUNCTION("""COMPUTED_VALUE"""),0.0)</f>
        <v>0</v>
      </c>
      <c r="AM57" s="361">
        <f>IFERROR(__xludf.DUMMYFUNCTION("""COMPUTED_VALUE"""),0.0)</f>
        <v>0</v>
      </c>
      <c r="AN57" s="121"/>
      <c r="AO57" s="121"/>
      <c r="AP57" s="121"/>
      <c r="AQ57" s="121"/>
      <c r="AR57" s="121"/>
      <c r="AS57" s="121"/>
      <c r="AT57" s="121"/>
    </row>
    <row r="58">
      <c r="A58" s="232">
        <f>IFERROR(__xludf.DUMMYFUNCTION("""COMPUTED_VALUE"""),55.0)</f>
        <v>55</v>
      </c>
      <c r="B58" s="181" t="str">
        <f>IFERROR(__xludf.DUMMYFUNCTION("""COMPUTED_VALUE"""),"TNI0245")</f>
        <v>TNI0245</v>
      </c>
      <c r="C58" s="317" t="str">
        <f>IFERROR(__xludf.DUMMYFUNCTION("""COMPUTED_VALUE"""),"C")</f>
        <v>C</v>
      </c>
      <c r="D58" s="181" t="str">
        <f>IFERROR(__xludf.DUMMYFUNCTION("""COMPUTED_VALUE"""),"MEC")</f>
        <v>MEC</v>
      </c>
      <c r="E58" s="357" t="str">
        <f>IFERROR(__xludf.DUMMYFUNCTION("""COMPUTED_VALUE"""),"T1")</f>
        <v>T1</v>
      </c>
      <c r="F58" s="181" t="str">
        <f>IFERROR(__xludf.DUMMYFUNCTION("""COMPUTED_VALUE"""),"Dawei")</f>
        <v>Dawei</v>
      </c>
      <c r="G58" s="181" t="str">
        <f>IFERROR(__xludf.DUMMYFUNCTION("""COMPUTED_VALUE"""),"Bhone Htet Aung")</f>
        <v>Bhone Htet Aung</v>
      </c>
      <c r="H58" s="232"/>
      <c r="I58" s="181"/>
      <c r="J58" s="232"/>
      <c r="K58" s="358">
        <f>IFERROR(__xludf.DUMMYFUNCTION("""COMPUTED_VALUE"""),30.0)</f>
        <v>30</v>
      </c>
      <c r="L58" s="232" t="str">
        <f>IFERROR(__xludf.DUMMYFUNCTION("""COMPUTED_VALUE"""),"10:00PM-4:00AM")</f>
        <v>10:00PM-4:00AM</v>
      </c>
      <c r="M58" s="232" t="str">
        <f>IFERROR(__xludf.DUMMYFUNCTION("""COMPUTED_VALUE"""),"1DG+Grid+BB")</f>
        <v>1DG+Grid+BB</v>
      </c>
      <c r="N58" s="359" t="str">
        <f>IFERROR(__xludf.DUMMYFUNCTION("""COMPUTED_VALUE"""),"148")</f>
        <v>148</v>
      </c>
      <c r="O58" s="318"/>
      <c r="P58" s="318"/>
      <c r="Q58" s="320" t="str">
        <f>IFERROR(__xludf.DUMMYFUNCTION("""COMPUTED_VALUE""")," +Battery Door: 01/08/2025 10:31")</f>
        <v> +Battery Door: 01/08/2025 10:31</v>
      </c>
      <c r="R58" s="321">
        <f>IFERROR(__xludf.DUMMYFUNCTION("""COMPUTED_VALUE"""),8046.81)</f>
        <v>8046.81</v>
      </c>
      <c r="S58" s="322"/>
      <c r="T58" s="323"/>
      <c r="U58" s="340"/>
      <c r="V58" s="324"/>
      <c r="W58" s="340"/>
      <c r="X58" s="325"/>
      <c r="Y58" s="326"/>
      <c r="Z58" s="320"/>
      <c r="AA58" s="320"/>
      <c r="AB58" s="327"/>
      <c r="AC58" s="328"/>
      <c r="AD58" s="327"/>
      <c r="AE58" s="328"/>
      <c r="AF58" s="329">
        <f>IFERROR(__xludf.DUMMYFUNCTION("""COMPUTED_VALUE"""),1379.0)</f>
        <v>1379</v>
      </c>
      <c r="AG58" s="330"/>
      <c r="AH58" s="330"/>
      <c r="AI58" s="330"/>
      <c r="AJ58" s="331"/>
      <c r="AK58" s="332"/>
      <c r="AL58" s="361">
        <f>IFERROR(__xludf.DUMMYFUNCTION("""COMPUTED_VALUE"""),0.0)</f>
        <v>0</v>
      </c>
      <c r="AM58" s="361">
        <f>IFERROR(__xludf.DUMMYFUNCTION("""COMPUTED_VALUE"""),0.0)</f>
        <v>0</v>
      </c>
      <c r="AN58" s="121"/>
      <c r="AO58" s="121"/>
      <c r="AP58" s="121"/>
      <c r="AQ58" s="121"/>
      <c r="AR58" s="121"/>
      <c r="AS58" s="121"/>
      <c r="AT58" s="121"/>
    </row>
    <row r="59">
      <c r="A59" s="232">
        <f>IFERROR(__xludf.DUMMYFUNCTION("""COMPUTED_VALUE"""),56.0)</f>
        <v>56</v>
      </c>
      <c r="B59" s="181" t="str">
        <f>IFERROR(__xludf.DUMMYFUNCTION("""COMPUTED_VALUE"""),"TNI0247")</f>
        <v>TNI0247</v>
      </c>
      <c r="C59" s="317" t="str">
        <f>IFERROR(__xludf.DUMMYFUNCTION("""COMPUTED_VALUE"""),"C")</f>
        <v>C</v>
      </c>
      <c r="D59" s="181" t="str">
        <f>IFERROR(__xludf.DUMMYFUNCTION("""COMPUTED_VALUE"""),"Mytel")</f>
        <v>Mytel</v>
      </c>
      <c r="E59" s="357" t="str">
        <f>IFERROR(__xludf.DUMMYFUNCTION("""COMPUTED_VALUE"""),"T1")</f>
        <v>T1</v>
      </c>
      <c r="F59" s="181" t="str">
        <f>IFERROR(__xludf.DUMMYFUNCTION("""COMPUTED_VALUE"""),"Dawei")</f>
        <v>Dawei</v>
      </c>
      <c r="G59" s="181" t="str">
        <f>IFERROR(__xludf.DUMMYFUNCTION("""COMPUTED_VALUE"""),"Win Htet Aung")</f>
        <v>Win Htet Aung</v>
      </c>
      <c r="H59" s="232"/>
      <c r="I59" s="181"/>
      <c r="J59" s="232"/>
      <c r="K59" s="358">
        <f>IFERROR(__xludf.DUMMYFUNCTION("""COMPUTED_VALUE"""),30.0)</f>
        <v>30</v>
      </c>
      <c r="L59" s="232" t="str">
        <f>IFERROR(__xludf.DUMMYFUNCTION("""COMPUTED_VALUE"""),"10:00PM-4:00AM")</f>
        <v>10:00PM-4:00AM</v>
      </c>
      <c r="M59" s="232" t="str">
        <f>IFERROR(__xludf.DUMMYFUNCTION("""COMPUTED_VALUE"""),"1DG+Solar+Grid+BB")</f>
        <v>1DG+Solar+Grid+BB</v>
      </c>
      <c r="N59" s="359" t="str">
        <f>IFERROR(__xludf.DUMMYFUNCTION("""COMPUTED_VALUE"""),"0")</f>
        <v>0</v>
      </c>
      <c r="O59" s="318"/>
      <c r="P59" s="318"/>
      <c r="Q59" s="320"/>
      <c r="R59" s="321"/>
      <c r="S59" s="322"/>
      <c r="T59" s="323"/>
      <c r="U59" s="340"/>
      <c r="V59" s="324"/>
      <c r="W59" s="340"/>
      <c r="X59" s="325"/>
      <c r="Y59" s="326"/>
      <c r="Z59" s="320"/>
      <c r="AA59" s="320"/>
      <c r="AB59" s="327"/>
      <c r="AC59" s="328"/>
      <c r="AD59" s="327"/>
      <c r="AE59" s="328"/>
      <c r="AF59" s="329">
        <f>IFERROR(__xludf.DUMMYFUNCTION("""COMPUTED_VALUE"""),793.0)</f>
        <v>793</v>
      </c>
      <c r="AG59" s="330"/>
      <c r="AH59" s="330"/>
      <c r="AI59" s="330"/>
      <c r="AJ59" s="331"/>
      <c r="AK59" s="332"/>
      <c r="AL59" s="361">
        <f>IFERROR(__xludf.DUMMYFUNCTION("""COMPUTED_VALUE"""),0.0)</f>
        <v>0</v>
      </c>
      <c r="AM59" s="361">
        <f>IFERROR(__xludf.DUMMYFUNCTION("""COMPUTED_VALUE"""),0.0)</f>
        <v>0</v>
      </c>
      <c r="AN59" s="121"/>
      <c r="AO59" s="121"/>
      <c r="AP59" s="121"/>
      <c r="AQ59" s="121"/>
      <c r="AR59" s="121"/>
      <c r="AS59" s="121"/>
      <c r="AT59" s="121"/>
    </row>
    <row r="60">
      <c r="A60" s="232">
        <f>IFERROR(__xludf.DUMMYFUNCTION("""COMPUTED_VALUE"""),57.0)</f>
        <v>57</v>
      </c>
      <c r="B60" s="181" t="str">
        <f>IFERROR(__xludf.DUMMYFUNCTION("""COMPUTED_VALUE"""),"TNI0187")</f>
        <v>TNI0187</v>
      </c>
      <c r="C60" s="317" t="str">
        <f>IFERROR(__xludf.DUMMYFUNCTION("""COMPUTED_VALUE"""),"C")</f>
        <v>C</v>
      </c>
      <c r="D60" s="181" t="str">
        <f>IFERROR(__xludf.DUMMYFUNCTION("""COMPUTED_VALUE"""),"IGT")</f>
        <v>IGT</v>
      </c>
      <c r="E60" s="357" t="str">
        <f>IFERROR(__xludf.DUMMYFUNCTION("""COMPUTED_VALUE"""),"T1")</f>
        <v>T1</v>
      </c>
      <c r="F60" s="181" t="str">
        <f>IFERROR(__xludf.DUMMYFUNCTION("""COMPUTED_VALUE"""),"Launglon")</f>
        <v>Launglon</v>
      </c>
      <c r="G60" s="181" t="str">
        <f>IFERROR(__xludf.DUMMYFUNCTION("""COMPUTED_VALUE"""),"Thar Htoo Aung")</f>
        <v>Thar Htoo Aung</v>
      </c>
      <c r="H60" s="232"/>
      <c r="I60" s="181"/>
      <c r="J60" s="232"/>
      <c r="K60" s="358">
        <f>IFERROR(__xludf.DUMMYFUNCTION("""COMPUTED_VALUE"""),120.0)</f>
        <v>120</v>
      </c>
      <c r="L60" s="232" t="str">
        <f>IFERROR(__xludf.DUMMYFUNCTION("""COMPUTED_VALUE"""),"24*7")</f>
        <v>24*7</v>
      </c>
      <c r="M60" s="232" t="str">
        <f>IFERROR(__xludf.DUMMYFUNCTION("""COMPUTED_VALUE"""),"1DG+BB")</f>
        <v>1DG+BB</v>
      </c>
      <c r="N60" s="359" t="str">
        <f>IFERROR(__xludf.DUMMYFUNCTION("""COMPUTED_VALUE"""),"ok")</f>
        <v>ok</v>
      </c>
      <c r="O60" s="318"/>
      <c r="P60" s="318"/>
      <c r="Q60" s="320"/>
      <c r="R60" s="321"/>
      <c r="S60" s="322"/>
      <c r="T60" s="323"/>
      <c r="U60" s="340"/>
      <c r="V60" s="324"/>
      <c r="W60" s="340"/>
      <c r="X60" s="325"/>
      <c r="Y60" s="326"/>
      <c r="Z60" s="320"/>
      <c r="AA60" s="320"/>
      <c r="AB60" s="327"/>
      <c r="AC60" s="328"/>
      <c r="AD60" s="327"/>
      <c r="AE60" s="328"/>
      <c r="AF60" s="329">
        <f>IFERROR(__xludf.DUMMYFUNCTION("""COMPUTED_VALUE"""),1392.0)</f>
        <v>1392</v>
      </c>
      <c r="AG60" s="330" t="str">
        <f>IFERROR(__xludf.DUMMYFUNCTION("""COMPUTED_VALUE"""),"Hub site TNI0046 down")</f>
        <v>Hub site TNI0046 down</v>
      </c>
      <c r="AH60" s="330" t="str">
        <f>IFERROR(__xludf.DUMMYFUNCTION("""COMPUTED_VALUE"""),"T-NYC")</f>
        <v>T-NYC</v>
      </c>
      <c r="AI60" s="330"/>
      <c r="AJ60" s="331"/>
      <c r="AK60" s="332"/>
      <c r="AL60" s="361">
        <f>IFERROR(__xludf.DUMMYFUNCTION("""COMPUTED_VALUE"""),0.0)</f>
        <v>0</v>
      </c>
      <c r="AM60" s="361">
        <f>IFERROR(__xludf.DUMMYFUNCTION("""COMPUTED_VALUE"""),0.0)</f>
        <v>0</v>
      </c>
      <c r="AN60" s="121"/>
      <c r="AO60" s="121"/>
      <c r="AP60" s="121"/>
      <c r="AQ60" s="121"/>
      <c r="AR60" s="121"/>
      <c r="AS60" s="121"/>
      <c r="AT60" s="121"/>
    </row>
    <row r="61">
      <c r="A61" s="232">
        <f>IFERROR(__xludf.DUMMYFUNCTION("""COMPUTED_VALUE"""),58.0)</f>
        <v>58</v>
      </c>
      <c r="B61" s="181" t="str">
        <f>IFERROR(__xludf.DUMMYFUNCTION("""COMPUTED_VALUE"""),"TNI0207")</f>
        <v>TNI0207</v>
      </c>
      <c r="C61" s="317" t="str">
        <f>IFERROR(__xludf.DUMMYFUNCTION("""COMPUTED_VALUE"""),"C")</f>
        <v>C</v>
      </c>
      <c r="D61" s="181" t="str">
        <f>IFERROR(__xludf.DUMMYFUNCTION("""COMPUTED_VALUE"""),"MEC.PNC")</f>
        <v>MEC.PNC</v>
      </c>
      <c r="E61" s="357" t="str">
        <f>IFERROR(__xludf.DUMMYFUNCTION("""COMPUTED_VALUE"""),"T1")</f>
        <v>T1</v>
      </c>
      <c r="F61" s="181" t="str">
        <f>IFERROR(__xludf.DUMMYFUNCTION("""COMPUTED_VALUE"""),"Launglon")</f>
        <v>Launglon</v>
      </c>
      <c r="G61" s="181" t="str">
        <f>IFERROR(__xludf.DUMMYFUNCTION("""COMPUTED_VALUE"""),"Bhone Htet Aung")</f>
        <v>Bhone Htet Aung</v>
      </c>
      <c r="H61" s="232"/>
      <c r="I61" s="181"/>
      <c r="J61" s="232"/>
      <c r="K61" s="358">
        <f>IFERROR(__xludf.DUMMYFUNCTION("""COMPUTED_VALUE"""),30.0)</f>
        <v>30</v>
      </c>
      <c r="L61" s="232" t="str">
        <f>IFERROR(__xludf.DUMMYFUNCTION("""COMPUTED_VALUE"""),"8:00PM-5:00AM")</f>
        <v>8:00PM-5:00AM</v>
      </c>
      <c r="M61" s="232" t="str">
        <f>IFERROR(__xludf.DUMMYFUNCTION("""COMPUTED_VALUE"""),"1DG+Grid+BB")</f>
        <v>1DG+Grid+BB</v>
      </c>
      <c r="N61" s="359" t="str">
        <f>IFERROR(__xludf.DUMMYFUNCTION("""COMPUTED_VALUE"""),"0")</f>
        <v>0</v>
      </c>
      <c r="O61" s="318"/>
      <c r="P61" s="318"/>
      <c r="Q61" s="320"/>
      <c r="R61" s="321"/>
      <c r="S61" s="322"/>
      <c r="T61" s="323"/>
      <c r="U61" s="340"/>
      <c r="V61" s="324"/>
      <c r="W61" s="340"/>
      <c r="X61" s="325"/>
      <c r="Y61" s="326"/>
      <c r="Z61" s="320"/>
      <c r="AA61" s="320"/>
      <c r="AB61" s="327"/>
      <c r="AC61" s="328"/>
      <c r="AD61" s="327"/>
      <c r="AE61" s="328"/>
      <c r="AF61" s="329">
        <f>IFERROR(__xludf.DUMMYFUNCTION("""COMPUTED_VALUE"""),404.0)</f>
        <v>404</v>
      </c>
      <c r="AG61" s="330" t="str">
        <f>IFERROR(__xludf.DUMMYFUNCTION("""COMPUTED_VALUE"""),"Checking with TCO")</f>
        <v>Checking with TCO</v>
      </c>
      <c r="AH61" s="330"/>
      <c r="AI61" s="330"/>
      <c r="AJ61" s="331"/>
      <c r="AK61" s="332"/>
      <c r="AL61" s="361">
        <f>IFERROR(__xludf.DUMMYFUNCTION("""COMPUTED_VALUE"""),0.0)</f>
        <v>0</v>
      </c>
      <c r="AM61" s="361">
        <f>IFERROR(__xludf.DUMMYFUNCTION("""COMPUTED_VALUE"""),0.0)</f>
        <v>0</v>
      </c>
      <c r="AN61" s="121"/>
      <c r="AO61" s="121"/>
      <c r="AP61" s="121"/>
      <c r="AQ61" s="121"/>
      <c r="AR61" s="121"/>
      <c r="AS61" s="121"/>
      <c r="AT61" s="121"/>
    </row>
    <row r="62">
      <c r="A62" s="232">
        <f>IFERROR(__xludf.DUMMYFUNCTION("""COMPUTED_VALUE"""),59.0)</f>
        <v>59</v>
      </c>
      <c r="B62" s="181" t="str">
        <f>IFERROR(__xludf.DUMMYFUNCTION("""COMPUTED_VALUE"""),"TNI0170")</f>
        <v>TNI0170</v>
      </c>
      <c r="C62" s="317" t="str">
        <f>IFERROR(__xludf.DUMMYFUNCTION("""COMPUTED_VALUE"""),"B")</f>
        <v>B</v>
      </c>
      <c r="D62" s="181" t="str">
        <f>IFERROR(__xludf.DUMMYFUNCTION("""COMPUTED_VALUE"""),"PAT")</f>
        <v>PAT</v>
      </c>
      <c r="E62" s="357" t="str">
        <f>IFERROR(__xludf.DUMMYFUNCTION("""COMPUTED_VALUE"""),"T1")</f>
        <v>T1</v>
      </c>
      <c r="F62" s="181" t="str">
        <f>IFERROR(__xludf.DUMMYFUNCTION("""COMPUTED_VALUE"""),"Launglon")</f>
        <v>Launglon</v>
      </c>
      <c r="G62" s="181" t="str">
        <f>IFERROR(__xludf.DUMMYFUNCTION("""COMPUTED_VALUE"""),"Bhone Htet Aung")</f>
        <v>Bhone Htet Aung</v>
      </c>
      <c r="H62" s="232"/>
      <c r="I62" s="181"/>
      <c r="J62" s="232" t="str">
        <f>IFERROR(__xludf.DUMMYFUNCTION("""COMPUTED_VALUE"""),"OLT")</f>
        <v>OLT</v>
      </c>
      <c r="K62" s="358">
        <f>IFERROR(__xludf.DUMMYFUNCTION("""COMPUTED_VALUE"""),45.0)</f>
        <v>45</v>
      </c>
      <c r="L62" s="232" t="str">
        <f>IFERROR(__xludf.DUMMYFUNCTION("""COMPUTED_VALUE"""),"8:00PM-5:00AM")</f>
        <v>8:00PM-5:00AM</v>
      </c>
      <c r="M62" s="232" t="str">
        <f>IFERROR(__xludf.DUMMYFUNCTION("""COMPUTED_VALUE"""),"1DG+Grid+BB")</f>
        <v>1DG+Grid+BB</v>
      </c>
      <c r="N62" s="359" t="str">
        <f>IFERROR(__xludf.DUMMYFUNCTION("""COMPUTED_VALUE"""),"0")</f>
        <v>0</v>
      </c>
      <c r="O62" s="318">
        <f>IFERROR(__xludf.DUMMYFUNCTION("""COMPUTED_VALUE"""),46205.576203703706)</f>
        <v>46205.5762</v>
      </c>
      <c r="P62" s="318" t="str">
        <f>IFERROR(__xludf.DUMMYFUNCTION("""COMPUTED_VALUE"""),"4:48")</f>
        <v>4:48</v>
      </c>
      <c r="Q62" s="320"/>
      <c r="R62" s="321"/>
      <c r="S62" s="322">
        <f>IFERROR(__xludf.DUMMYFUNCTION("""COMPUTED_VALUE"""),46205.58037037037)</f>
        <v>46205.58037</v>
      </c>
      <c r="T62" s="323">
        <f>IFERROR(__xludf.DUMMYFUNCTION("""COMPUTED_VALUE"""),4.700428611016832)</f>
        <v>4.700428611</v>
      </c>
      <c r="U62" s="340"/>
      <c r="V62" s="324"/>
      <c r="W62" s="340"/>
      <c r="X62" s="325"/>
      <c r="Y62" s="326"/>
      <c r="Z62" s="320"/>
      <c r="AA62" s="320"/>
      <c r="AB62" s="327"/>
      <c r="AC62" s="328"/>
      <c r="AD62" s="327"/>
      <c r="AE62" s="328"/>
      <c r="AF62" s="329">
        <f>IFERROR(__xludf.DUMMYFUNCTION("""COMPUTED_VALUE"""),1469.0)</f>
        <v>1469</v>
      </c>
      <c r="AG62" s="330" t="str">
        <f>IFERROR(__xludf.DUMMYFUNCTION("""COMPUTED_VALUE"""),"Team onsite changing BB")</f>
        <v>Team onsite changing BB</v>
      </c>
      <c r="AH62" s="330"/>
      <c r="AI62" s="330"/>
      <c r="AJ62" s="331"/>
      <c r="AK62" s="332"/>
      <c r="AL62" s="361">
        <f>IFERROR(__xludf.DUMMYFUNCTION("""COMPUTED_VALUE"""),0.0)</f>
        <v>0</v>
      </c>
      <c r="AM62" s="361">
        <f>IFERROR(__xludf.DUMMYFUNCTION("""COMPUTED_VALUE"""),0.0)</f>
        <v>0</v>
      </c>
      <c r="AN62" s="121"/>
      <c r="AO62" s="121"/>
      <c r="AP62" s="121"/>
      <c r="AQ62" s="121"/>
      <c r="AR62" s="121"/>
      <c r="AS62" s="121"/>
      <c r="AT62" s="121"/>
    </row>
    <row r="63">
      <c r="A63" s="232">
        <f>IFERROR(__xludf.DUMMYFUNCTION("""COMPUTED_VALUE"""),60.0)</f>
        <v>60</v>
      </c>
      <c r="B63" s="181" t="str">
        <f>IFERROR(__xludf.DUMMYFUNCTION("""COMPUTED_VALUE"""),"TNI0040")</f>
        <v>TNI0040</v>
      </c>
      <c r="C63" s="317" t="str">
        <f>IFERROR(__xludf.DUMMYFUNCTION("""COMPUTED_VALUE"""),"C")</f>
        <v>C</v>
      </c>
      <c r="D63" s="181" t="str">
        <f>IFERROR(__xludf.DUMMYFUNCTION("""COMPUTED_VALUE"""),"Mytel")</f>
        <v>Mytel</v>
      </c>
      <c r="E63" s="357" t="str">
        <f>IFERROR(__xludf.DUMMYFUNCTION("""COMPUTED_VALUE"""),"T1")</f>
        <v>T1</v>
      </c>
      <c r="F63" s="181" t="str">
        <f>IFERROR(__xludf.DUMMYFUNCTION("""COMPUTED_VALUE"""),"Thayetchaung")</f>
        <v>Thayetchaung</v>
      </c>
      <c r="G63" s="181" t="str">
        <f>IFERROR(__xludf.DUMMYFUNCTION("""COMPUTED_VALUE"""),"Aung Lwin Phyo")</f>
        <v>Aung Lwin Phyo</v>
      </c>
      <c r="H63" s="232"/>
      <c r="I63" s="181"/>
      <c r="J63" s="232"/>
      <c r="K63" s="358">
        <f>IFERROR(__xludf.DUMMYFUNCTION("""COMPUTED_VALUE"""),60.0)</f>
        <v>60</v>
      </c>
      <c r="L63" s="232" t="str">
        <f>IFERROR(__xludf.DUMMYFUNCTION("""COMPUTED_VALUE"""),"8:00PM-5:00AM")</f>
        <v>8:00PM-5:00AM</v>
      </c>
      <c r="M63" s="232" t="str">
        <f>IFERROR(__xludf.DUMMYFUNCTION("""COMPUTED_VALUE"""),"1DG+Solar+Grid+BB")</f>
        <v>1DG+Solar+Grid+BB</v>
      </c>
      <c r="N63" s="359" t="str">
        <f>IFERROR(__xludf.DUMMYFUNCTION("""COMPUTED_VALUE"""),"ok")</f>
        <v>ok</v>
      </c>
      <c r="O63" s="318"/>
      <c r="P63" s="318"/>
      <c r="Q63" s="320"/>
      <c r="R63" s="321"/>
      <c r="S63" s="322"/>
      <c r="T63" s="323"/>
      <c r="U63" s="340"/>
      <c r="V63" s="324"/>
      <c r="W63" s="340"/>
      <c r="X63" s="325"/>
      <c r="Y63" s="326"/>
      <c r="Z63" s="320"/>
      <c r="AA63" s="320"/>
      <c r="AB63" s="327"/>
      <c r="AC63" s="328"/>
      <c r="AD63" s="327"/>
      <c r="AE63" s="328"/>
      <c r="AF63" s="329">
        <f>IFERROR(__xludf.DUMMYFUNCTION("""COMPUTED_VALUE"""),1144.0)</f>
        <v>1144</v>
      </c>
      <c r="AG63" s="330" t="str">
        <f>IFERROR(__xludf.DUMMYFUNCTION("""COMPUTED_VALUE"""),"Checking with team")</f>
        <v>Checking with team</v>
      </c>
      <c r="AH63" s="330"/>
      <c r="AI63" s="330"/>
      <c r="AJ63" s="331"/>
      <c r="AK63" s="332"/>
      <c r="AL63" s="361">
        <f>IFERROR(__xludf.DUMMYFUNCTION("""COMPUTED_VALUE"""),0.0)</f>
        <v>0</v>
      </c>
      <c r="AM63" s="361">
        <f>IFERROR(__xludf.DUMMYFUNCTION("""COMPUTED_VALUE"""),0.0)</f>
        <v>0</v>
      </c>
      <c r="AN63" s="121"/>
      <c r="AO63" s="121"/>
      <c r="AP63" s="121"/>
      <c r="AQ63" s="121"/>
      <c r="AR63" s="121"/>
      <c r="AS63" s="121"/>
      <c r="AT63" s="121"/>
    </row>
    <row r="64">
      <c r="A64" s="232">
        <f>IFERROR(__xludf.DUMMYFUNCTION("""COMPUTED_VALUE"""),61.0)</f>
        <v>61</v>
      </c>
      <c r="B64" s="181" t="str">
        <f>IFERROR(__xludf.DUMMYFUNCTION("""COMPUTED_VALUE"""),"TNI0046")</f>
        <v>TNI0046</v>
      </c>
      <c r="C64" s="317" t="str">
        <f>IFERROR(__xludf.DUMMYFUNCTION("""COMPUTED_VALUE"""),"C")</f>
        <v>C</v>
      </c>
      <c r="D64" s="181" t="str">
        <f>IFERROR(__xludf.DUMMYFUNCTION("""COMPUTED_VALUE"""),"Mytel")</f>
        <v>Mytel</v>
      </c>
      <c r="E64" s="357" t="str">
        <f>IFERROR(__xludf.DUMMYFUNCTION("""COMPUTED_VALUE"""),"T1")</f>
        <v>T1</v>
      </c>
      <c r="F64" s="181" t="str">
        <f>IFERROR(__xludf.DUMMYFUNCTION("""COMPUTED_VALUE"""),"Thayetchaung")</f>
        <v>Thayetchaung</v>
      </c>
      <c r="G64" s="181" t="str">
        <f>IFERROR(__xludf.DUMMYFUNCTION("""COMPUTED_VALUE"""),"Aung Lwin Phyo")</f>
        <v>Aung Lwin Phyo</v>
      </c>
      <c r="H64" s="232"/>
      <c r="I64" s="181"/>
      <c r="J64" s="232"/>
      <c r="K64" s="358">
        <f>IFERROR(__xludf.DUMMYFUNCTION("""COMPUTED_VALUE"""),60.0)</f>
        <v>60</v>
      </c>
      <c r="L64" s="232" t="str">
        <f>IFERROR(__xludf.DUMMYFUNCTION("""COMPUTED_VALUE"""),"8:00PM-5:00AM")</f>
        <v>8:00PM-5:00AM</v>
      </c>
      <c r="M64" s="232" t="str">
        <f>IFERROR(__xludf.DUMMYFUNCTION("""COMPUTED_VALUE"""),"1DG+Solar+Grid+BB")</f>
        <v>1DG+Solar+Grid+BB</v>
      </c>
      <c r="N64" s="359" t="str">
        <f>IFERROR(__xludf.DUMMYFUNCTION("""COMPUTED_VALUE"""),"0")</f>
        <v>0</v>
      </c>
      <c r="O64" s="318"/>
      <c r="P64" s="318"/>
      <c r="Q64" s="320"/>
      <c r="R64" s="321"/>
      <c r="S64" s="322"/>
      <c r="T64" s="323"/>
      <c r="U64" s="340"/>
      <c r="V64" s="324" t="str">
        <f>IFERROR(__xludf.DUMMYFUNCTION("""COMPUTED_VALUE"""),"1376.02")</f>
        <v>1376.02</v>
      </c>
      <c r="W64" s="340"/>
      <c r="X64" s="325">
        <f>IFERROR(__xludf.DUMMYFUNCTION("""COMPUTED_VALUE"""),46147.70533564815)</f>
        <v>46147.70534</v>
      </c>
      <c r="Y64" s="326">
        <f>IFERROR(__xludf.DUMMYFUNCTION("""COMPUTED_VALUE"""),1393.7012619443703)</f>
        <v>1393.701262</v>
      </c>
      <c r="Z64" s="320"/>
      <c r="AA64" s="320"/>
      <c r="AB64" s="327"/>
      <c r="AC64" s="328"/>
      <c r="AD64" s="327"/>
      <c r="AE64" s="328"/>
      <c r="AF64" s="329">
        <f>IFERROR(__xludf.DUMMYFUNCTION("""COMPUTED_VALUE"""),1439.0)</f>
        <v>1439</v>
      </c>
      <c r="AG64" s="330" t="str">
        <f>IFERROR(__xludf.DUMMYFUNCTION("""COMPUTED_VALUE"""),"Grid fail and DG not run auto, need to check onsite")</f>
        <v>Grid fail and DG not run auto, need to check onsite</v>
      </c>
      <c r="AH64" s="330"/>
      <c r="AI64" s="330"/>
      <c r="AJ64" s="331"/>
      <c r="AK64" s="332"/>
      <c r="AL64" s="361">
        <f>IFERROR(__xludf.DUMMYFUNCTION("""COMPUTED_VALUE"""),0.0)</f>
        <v>0</v>
      </c>
      <c r="AM64" s="361">
        <f>IFERROR(__xludf.DUMMYFUNCTION("""COMPUTED_VALUE"""),0.0)</f>
        <v>0</v>
      </c>
      <c r="AN64" s="121"/>
      <c r="AO64" s="121"/>
      <c r="AP64" s="121"/>
      <c r="AQ64" s="121"/>
      <c r="AR64" s="121"/>
      <c r="AS64" s="121"/>
      <c r="AT64" s="121"/>
    </row>
    <row r="65">
      <c r="A65" s="232">
        <f>IFERROR(__xludf.DUMMYFUNCTION("""COMPUTED_VALUE"""),62.0)</f>
        <v>62</v>
      </c>
      <c r="B65" s="181" t="str">
        <f>IFERROR(__xludf.DUMMYFUNCTION("""COMPUTED_VALUE"""),"TNI0511")</f>
        <v>TNI0511</v>
      </c>
      <c r="C65" s="317" t="str">
        <f>IFERROR(__xludf.DUMMYFUNCTION("""COMPUTED_VALUE"""),"C")</f>
        <v>C</v>
      </c>
      <c r="D65" s="181" t="str">
        <f>IFERROR(__xludf.DUMMYFUNCTION("""COMPUTED_VALUE"""),"IGT")</f>
        <v>IGT</v>
      </c>
      <c r="E65" s="357" t="str">
        <f>IFERROR(__xludf.DUMMYFUNCTION("""COMPUTED_VALUE"""),"T1")</f>
        <v>T1</v>
      </c>
      <c r="F65" s="181" t="str">
        <f>IFERROR(__xludf.DUMMYFUNCTION("""COMPUTED_VALUE"""),"Thayetchaung")</f>
        <v>Thayetchaung</v>
      </c>
      <c r="G65" s="181" t="str">
        <f>IFERROR(__xludf.DUMMYFUNCTION("""COMPUTED_VALUE"""),"Win Htet Aung")</f>
        <v>Win Htet Aung</v>
      </c>
      <c r="H65" s="232"/>
      <c r="I65" s="181"/>
      <c r="J65" s="232"/>
      <c r="K65" s="358">
        <f>IFERROR(__xludf.DUMMYFUNCTION("""COMPUTED_VALUE"""),180.0)</f>
        <v>180</v>
      </c>
      <c r="L65" s="232" t="str">
        <f>IFERROR(__xludf.DUMMYFUNCTION("""COMPUTED_VALUE"""),"24*7")</f>
        <v>24*7</v>
      </c>
      <c r="M65" s="232" t="str">
        <f>IFERROR(__xludf.DUMMYFUNCTION("""COMPUTED_VALUE"""),"1DG+BB")</f>
        <v>1DG+BB</v>
      </c>
      <c r="N65" s="359" t="str">
        <f>IFERROR(__xludf.DUMMYFUNCTION("""COMPUTED_VALUE"""),"ok")</f>
        <v>ok</v>
      </c>
      <c r="O65" s="318"/>
      <c r="P65" s="318"/>
      <c r="Q65" s="320"/>
      <c r="R65" s="321"/>
      <c r="S65" s="322"/>
      <c r="T65" s="323"/>
      <c r="U65" s="340"/>
      <c r="V65" s="324"/>
      <c r="W65" s="340"/>
      <c r="X65" s="325"/>
      <c r="Y65" s="326"/>
      <c r="Z65" s="320"/>
      <c r="AA65" s="320"/>
      <c r="AB65" s="327">
        <f>IFERROR(__xludf.DUMMYFUNCTION("""COMPUTED_VALUE"""),46205.70554398149)</f>
        <v>46205.70554</v>
      </c>
      <c r="AC65" s="328">
        <f>IFERROR(__xludf.DUMMYFUNCTION("""COMPUTED_VALUE"""),1.6962619444238953)</f>
        <v>1.696261944</v>
      </c>
      <c r="AD65" s="327">
        <f>IFERROR(__xludf.DUMMYFUNCTION("""COMPUTED_VALUE"""),46205.70780092593)</f>
        <v>46205.7078</v>
      </c>
      <c r="AE65" s="328">
        <f>IFERROR(__xludf.DUMMYFUNCTION("""COMPUTED_VALUE"""),1.642095277667977)</f>
        <v>1.642095278</v>
      </c>
      <c r="AF65" s="329">
        <f>IFERROR(__xludf.DUMMYFUNCTION("""COMPUTED_VALUE"""),0.0)</f>
        <v>0</v>
      </c>
      <c r="AG65" s="330" t="str">
        <f>IFERROR(__xludf.DUMMYFUNCTION("""COMPUTED_VALUE"""),"Need to check TNI0309-TNI0511 MW link")</f>
        <v>Need to check TNI0309-TNI0511 MW link</v>
      </c>
      <c r="AH65" s="330"/>
      <c r="AI65" s="330"/>
      <c r="AJ65" s="331"/>
      <c r="AK65" s="332"/>
      <c r="AL65" s="361">
        <f>IFERROR(__xludf.DUMMYFUNCTION("""COMPUTED_VALUE"""),0.0)</f>
        <v>0</v>
      </c>
      <c r="AM65" s="361">
        <f>IFERROR(__xludf.DUMMYFUNCTION("""COMPUTED_VALUE"""),0.0)</f>
        <v>0</v>
      </c>
      <c r="AN65" s="121"/>
      <c r="AO65" s="121"/>
      <c r="AP65" s="121"/>
      <c r="AQ65" s="121"/>
      <c r="AR65" s="121"/>
      <c r="AS65" s="121"/>
      <c r="AT65" s="121"/>
    </row>
    <row r="66">
      <c r="A66" s="232">
        <f>IFERROR(__xludf.DUMMYFUNCTION("""COMPUTED_VALUE"""),63.0)</f>
        <v>63</v>
      </c>
      <c r="B66" s="181" t="str">
        <f>IFERROR(__xludf.DUMMYFUNCTION("""COMPUTED_VALUE"""),"TNI0214")</f>
        <v>TNI0214</v>
      </c>
      <c r="C66" s="317" t="str">
        <f>IFERROR(__xludf.DUMMYFUNCTION("""COMPUTED_VALUE"""),"B")</f>
        <v>B</v>
      </c>
      <c r="D66" s="181" t="str">
        <f>IFERROR(__xludf.DUMMYFUNCTION("""COMPUTED_VALUE"""),"Mytel")</f>
        <v>Mytel</v>
      </c>
      <c r="E66" s="357" t="str">
        <f>IFERROR(__xludf.DUMMYFUNCTION("""COMPUTED_VALUE"""),"T1")</f>
        <v>T1</v>
      </c>
      <c r="F66" s="181" t="str">
        <f>IFERROR(__xludf.DUMMYFUNCTION("""COMPUTED_VALUE"""),"Thayetchaung")</f>
        <v>Thayetchaung</v>
      </c>
      <c r="G66" s="181" t="str">
        <f>IFERROR(__xludf.DUMMYFUNCTION("""COMPUTED_VALUE"""),"Bhone Htet Aung")</f>
        <v>Bhone Htet Aung</v>
      </c>
      <c r="H66" s="232"/>
      <c r="I66" s="181"/>
      <c r="J66" s="232"/>
      <c r="K66" s="358">
        <f>IFERROR(__xludf.DUMMYFUNCTION("""COMPUTED_VALUE"""),60.0)</f>
        <v>60</v>
      </c>
      <c r="L66" s="232" t="str">
        <f>IFERROR(__xludf.DUMMYFUNCTION("""COMPUTED_VALUE"""),"24*7")</f>
        <v>24*7</v>
      </c>
      <c r="M66" s="232" t="str">
        <f>IFERROR(__xludf.DUMMYFUNCTION("""COMPUTED_VALUE"""),"1DG+BB")</f>
        <v>1DG+BB</v>
      </c>
      <c r="N66" s="359" t="str">
        <f>IFERROR(__xludf.DUMMYFUNCTION("""COMPUTED_VALUE"""),"0")</f>
        <v>0</v>
      </c>
      <c r="O66" s="318"/>
      <c r="P66" s="318"/>
      <c r="Q66" s="320" t="str">
        <f>IFERROR(__xludf.DUMMYFUNCTION("""COMPUTED_VALUE""")," +Battery Door: 03/09/2025 12:19")</f>
        <v> +Battery Door: 03/09/2025 12:19</v>
      </c>
      <c r="R66" s="321">
        <f>IFERROR(__xludf.DUMMYFUNCTION("""COMPUTED_VALUE"""),7253.01)</f>
        <v>7253.01</v>
      </c>
      <c r="S66" s="322"/>
      <c r="T66" s="323"/>
      <c r="U66" s="340"/>
      <c r="V66" s="324" t="str">
        <f>IFERROR(__xludf.DUMMYFUNCTION("""COMPUTED_VALUE"""),"12913.02")</f>
        <v>12913.02</v>
      </c>
      <c r="W66" s="340"/>
      <c r="X66" s="325">
        <f>IFERROR(__xludf.DUMMYFUNCTION("""COMPUTED_VALUE"""),46199.455555555556)</f>
        <v>46199.45556</v>
      </c>
      <c r="Y66" s="326">
        <f>IFERROR(__xludf.DUMMYFUNCTION("""COMPUTED_VALUE"""),151.69598416658118)</f>
        <v>151.6959842</v>
      </c>
      <c r="Z66" s="320">
        <f>IFERROR(__xludf.DUMMYFUNCTION("""COMPUTED_VALUE"""),46156.62925925926)</f>
        <v>46156.62926</v>
      </c>
      <c r="AA66" s="320" t="str">
        <f>IFERROR(__xludf.DUMMYFUNCTION("""COMPUTED_VALUE"""),"1179:32")</f>
        <v>1179:32</v>
      </c>
      <c r="AB66" s="327">
        <f>IFERROR(__xludf.DUMMYFUNCTION("""COMPUTED_VALUE"""),46199.55935185185)</f>
        <v>46199.55935</v>
      </c>
      <c r="AC66" s="328">
        <f>IFERROR(__xludf.DUMMYFUNCTION("""COMPUTED_VALUE"""),149.2048730555107)</f>
        <v>149.2048731</v>
      </c>
      <c r="AD66" s="327">
        <f>IFERROR(__xludf.DUMMYFUNCTION("""COMPUTED_VALUE"""),46199.56162037037)</f>
        <v>46199.56162</v>
      </c>
      <c r="AE66" s="328">
        <f>IFERROR(__xludf.DUMMYFUNCTION("""COMPUTED_VALUE"""),149.15042861108668)</f>
        <v>149.1504286</v>
      </c>
      <c r="AF66" s="329">
        <f>IFERROR(__xludf.DUMMYFUNCTION("""COMPUTED_VALUE"""),2.0)</f>
        <v>2</v>
      </c>
      <c r="AG66" s="330" t="str">
        <f>IFERROR(__xludf.DUMMYFUNCTION("""COMPUTED_VALUE"""),"Fuel outage and running with solar")</f>
        <v>Fuel outage and running with solar</v>
      </c>
      <c r="AH66" s="330"/>
      <c r="AI66" s="330"/>
      <c r="AJ66" s="331" t="str">
        <f>IFERROR(__xludf.DUMMYFUNCTION("""COMPUTED_VALUE"""),"Natural Calamity_Cannot Get To Site Because Of Natural Calamity,Security Problems")</f>
        <v>Natural Calamity_Cannot Get To Site Because Of Natural Calamity,Security Problems</v>
      </c>
      <c r="AK66" s="332" t="str">
        <f>IFERROR(__xludf.DUMMYFUNCTION("""COMPUTED_VALUE"""),"Unsafe, solar")</f>
        <v>Unsafe, solar</v>
      </c>
      <c r="AL66" s="361">
        <f>IFERROR(__xludf.DUMMYFUNCTION("""COMPUTED_VALUE"""),1.0)</f>
        <v>1</v>
      </c>
      <c r="AM66" s="361">
        <f>IFERROR(__xludf.DUMMYFUNCTION("""COMPUTED_VALUE"""),2.0)</f>
        <v>2</v>
      </c>
      <c r="AN66" s="121"/>
      <c r="AO66" s="121"/>
      <c r="AP66" s="121"/>
      <c r="AQ66" s="121"/>
      <c r="AR66" s="121"/>
      <c r="AS66" s="121"/>
      <c r="AT66" s="121"/>
    </row>
    <row r="67">
      <c r="A67" s="232">
        <f>IFERROR(__xludf.DUMMYFUNCTION("""COMPUTED_VALUE"""),64.0)</f>
        <v>64</v>
      </c>
      <c r="B67" s="181" t="str">
        <f>IFERROR(__xludf.DUMMYFUNCTION("""COMPUTED_VALUE"""),"TNI0309")</f>
        <v>TNI0309</v>
      </c>
      <c r="C67" s="317" t="str">
        <f>IFERROR(__xludf.DUMMYFUNCTION("""COMPUTED_VALUE"""),"C")</f>
        <v>C</v>
      </c>
      <c r="D67" s="181" t="str">
        <f>IFERROR(__xludf.DUMMYFUNCTION("""COMPUTED_VALUE"""),"Mytel")</f>
        <v>Mytel</v>
      </c>
      <c r="E67" s="357" t="str">
        <f>IFERROR(__xludf.DUMMYFUNCTION("""COMPUTED_VALUE"""),"T1")</f>
        <v>T1</v>
      </c>
      <c r="F67" s="181" t="str">
        <f>IFERROR(__xludf.DUMMYFUNCTION("""COMPUTED_VALUE"""),"Thayetchaung")</f>
        <v>Thayetchaung</v>
      </c>
      <c r="G67" s="181" t="str">
        <f>IFERROR(__xludf.DUMMYFUNCTION("""COMPUTED_VALUE"""),"Thar Htoo Aung")</f>
        <v>Thar Htoo Aung</v>
      </c>
      <c r="H67" s="232"/>
      <c r="I67" s="181"/>
      <c r="J67" s="232"/>
      <c r="K67" s="358">
        <f>IFERROR(__xludf.DUMMYFUNCTION("""COMPUTED_VALUE"""),90.0)</f>
        <v>90</v>
      </c>
      <c r="L67" s="232" t="str">
        <f>IFERROR(__xludf.DUMMYFUNCTION("""COMPUTED_VALUE"""),"24*7")</f>
        <v>24*7</v>
      </c>
      <c r="M67" s="232" t="str">
        <f>IFERROR(__xludf.DUMMYFUNCTION("""COMPUTED_VALUE"""),"1DG+BB")</f>
        <v>1DG+BB</v>
      </c>
      <c r="N67" s="359" t="str">
        <f>IFERROR(__xludf.DUMMYFUNCTION("""COMPUTED_VALUE"""),"76")</f>
        <v>76</v>
      </c>
      <c r="O67" s="318"/>
      <c r="P67" s="318"/>
      <c r="Q67" s="320"/>
      <c r="R67" s="321"/>
      <c r="S67" s="322"/>
      <c r="T67" s="323"/>
      <c r="U67" s="340"/>
      <c r="V67" s="324" t="str">
        <f>IFERROR(__xludf.DUMMYFUNCTION("""COMPUTED_VALUE"""),"10132.97")</f>
        <v>10132.97</v>
      </c>
      <c r="W67" s="340"/>
      <c r="X67" s="325"/>
      <c r="Y67" s="326"/>
      <c r="Z67" s="320"/>
      <c r="AA67" s="320"/>
      <c r="AB67" s="327">
        <f>IFERROR(__xludf.DUMMYFUNCTION("""COMPUTED_VALUE"""),46205.705462962964)</f>
        <v>46205.70546</v>
      </c>
      <c r="AC67" s="328">
        <f>IFERROR(__xludf.DUMMYFUNCTION("""COMPUTED_VALUE"""),1.698206388799008)</f>
        <v>1.698206389</v>
      </c>
      <c r="AD67" s="327">
        <f>IFERROR(__xludf.DUMMYFUNCTION("""COMPUTED_VALUE"""),46205.707754629635)</f>
        <v>46205.70775</v>
      </c>
      <c r="AE67" s="328">
        <f>IFERROR(__xludf.DUMMYFUNCTION("""COMPUTED_VALUE"""),1.6432063888642006)</f>
        <v>1.643206389</v>
      </c>
      <c r="AF67" s="329">
        <f>IFERROR(__xludf.DUMMYFUNCTION("""COMPUTED_VALUE"""),444.0)</f>
        <v>444</v>
      </c>
      <c r="AG67" s="330" t="str">
        <f>IFERROR(__xludf.DUMMYFUNCTION("""COMPUTED_VALUE"""),"DG cannot run and need to change and test nozzles also mix with oil and fuel inside engine")</f>
        <v>DG cannot run and need to change and test nozzles also mix with oil and fuel inside engine</v>
      </c>
      <c r="AH67" s="330"/>
      <c r="AI67" s="330"/>
      <c r="AJ67" s="331"/>
      <c r="AK67" s="332"/>
      <c r="AL67" s="361">
        <f>IFERROR(__xludf.DUMMYFUNCTION("""COMPUTED_VALUE"""),1.0)</f>
        <v>1</v>
      </c>
      <c r="AM67" s="361">
        <f>IFERROR(__xludf.DUMMYFUNCTION("""COMPUTED_VALUE"""),1.0)</f>
        <v>1</v>
      </c>
      <c r="AN67" s="121"/>
      <c r="AO67" s="121"/>
      <c r="AP67" s="121"/>
      <c r="AQ67" s="121"/>
      <c r="AR67" s="121"/>
      <c r="AS67" s="121"/>
      <c r="AT67" s="121"/>
    </row>
    <row r="68">
      <c r="A68" s="232">
        <f>IFERROR(__xludf.DUMMYFUNCTION("""COMPUTED_VALUE"""),65.0)</f>
        <v>65</v>
      </c>
      <c r="B68" s="181" t="str">
        <f>IFERROR(__xludf.DUMMYFUNCTION("""COMPUTED_VALUE"""),"TNI0273")</f>
        <v>TNI0273</v>
      </c>
      <c r="C68" s="317" t="str">
        <f>IFERROR(__xludf.DUMMYFUNCTION("""COMPUTED_VALUE"""),"C")</f>
        <v>C</v>
      </c>
      <c r="D68" s="181" t="str">
        <f>IFERROR(__xludf.DUMMYFUNCTION("""COMPUTED_VALUE"""),"IGT")</f>
        <v>IGT</v>
      </c>
      <c r="E68" s="357" t="str">
        <f>IFERROR(__xludf.DUMMYFUNCTION("""COMPUTED_VALUE"""),"T1")</f>
        <v>T1</v>
      </c>
      <c r="F68" s="181" t="str">
        <f>IFERROR(__xludf.DUMMYFUNCTION("""COMPUTED_VALUE"""),"Thayetchaung")</f>
        <v>Thayetchaung</v>
      </c>
      <c r="G68" s="181" t="str">
        <f>IFERROR(__xludf.DUMMYFUNCTION("""COMPUTED_VALUE"""),"Bhone Htet Aung")</f>
        <v>Bhone Htet Aung</v>
      </c>
      <c r="H68" s="232"/>
      <c r="I68" s="181"/>
      <c r="J68" s="232"/>
      <c r="K68" s="358">
        <f>IFERROR(__xludf.DUMMYFUNCTION("""COMPUTED_VALUE"""),30.0)</f>
        <v>30</v>
      </c>
      <c r="L68" s="232" t="str">
        <f>IFERROR(__xludf.DUMMYFUNCTION("""COMPUTED_VALUE"""),"24*7")</f>
        <v>24*7</v>
      </c>
      <c r="M68" s="232" t="str">
        <f>IFERROR(__xludf.DUMMYFUNCTION("""COMPUTED_VALUE"""),"Grid+BB")</f>
        <v>Grid+BB</v>
      </c>
      <c r="N68" s="359" t="str">
        <f>IFERROR(__xludf.DUMMYFUNCTION("""COMPUTED_VALUE"""),"ok")</f>
        <v>ok</v>
      </c>
      <c r="O68" s="318"/>
      <c r="P68" s="318"/>
      <c r="Q68" s="320" t="str">
        <f>IFERROR(__xludf.DUMMYFUNCTION("""COMPUTED_VALUE""")," Door open alarm: 24/02/2025 08:41")</f>
        <v> Door open alarm: 24/02/2025 08:41</v>
      </c>
      <c r="R68" s="321">
        <f>IFERROR(__xludf.DUMMYFUNCTION("""COMPUTED_VALUE"""),11840.64)</f>
        <v>11840.64</v>
      </c>
      <c r="S68" s="322"/>
      <c r="T68" s="323"/>
      <c r="U68" s="340"/>
      <c r="V68" s="324"/>
      <c r="W68" s="340"/>
      <c r="X68" s="325"/>
      <c r="Y68" s="326"/>
      <c r="Z68" s="320"/>
      <c r="AA68" s="320"/>
      <c r="AB68" s="327">
        <f>IFERROR(__xludf.DUMMYFUNCTION("""COMPUTED_VALUE"""),46205.65431712963)</f>
        <v>46205.65432</v>
      </c>
      <c r="AC68" s="328">
        <f>IFERROR(__xludf.DUMMYFUNCTION("""COMPUTED_VALUE"""),2.925706388836261)</f>
        <v>2.925706389</v>
      </c>
      <c r="AD68" s="327"/>
      <c r="AE68" s="328"/>
      <c r="AF68" s="329">
        <f>IFERROR(__xludf.DUMMYFUNCTION("""COMPUTED_VALUE"""),1097.0)</f>
        <v>1097</v>
      </c>
      <c r="AG68" s="330" t="str">
        <f>IFERROR(__xludf.DUMMYFUNCTION("""COMPUTED_VALUE"""),"Grid fail, non DG")</f>
        <v>Grid fail, non DG</v>
      </c>
      <c r="AH68" s="330" t="str">
        <f>IFERROR(__xludf.DUMMYFUNCTION("""COMPUTED_VALUE"""),"T-NYC")</f>
        <v>T-NYC</v>
      </c>
      <c r="AI68" s="330"/>
      <c r="AJ68" s="331" t="str">
        <f>IFERROR(__xludf.DUMMYFUNCTION("""COMPUTED_VALUE"""),"Equip_co-operational card hangup, BTS/NodeB RF card hangup")</f>
        <v>Equip_co-operational card hangup, BTS/NodeB RF card hangup</v>
      </c>
      <c r="AK68" s="332" t="str">
        <f>IFERROR(__xludf.DUMMYFUNCTION("""COMPUTED_VALUE"""),"2100 S1 down by hardwre fault&gt;&gt;need to check RRU module and RRU")</f>
        <v>2100 S1 down by hardwre fault&gt;&gt;need to check RRU module and RRU</v>
      </c>
      <c r="AL68" s="361">
        <f>IFERROR(__xludf.DUMMYFUNCTION("""COMPUTED_VALUE"""),0.0)</f>
        <v>0</v>
      </c>
      <c r="AM68" s="361">
        <f>IFERROR(__xludf.DUMMYFUNCTION("""COMPUTED_VALUE"""),0.0)</f>
        <v>0</v>
      </c>
      <c r="AN68" s="121"/>
      <c r="AO68" s="121"/>
      <c r="AP68" s="121"/>
      <c r="AQ68" s="121"/>
      <c r="AR68" s="121"/>
      <c r="AS68" s="121"/>
      <c r="AT68" s="121"/>
    </row>
    <row r="69">
      <c r="A69" s="232">
        <f>IFERROR(__xludf.DUMMYFUNCTION("""COMPUTED_VALUE"""),66.0)</f>
        <v>66</v>
      </c>
      <c r="B69" s="181" t="str">
        <f>IFERROR(__xludf.DUMMYFUNCTION("""COMPUTED_VALUE"""),"TNI0321")</f>
        <v>TNI0321</v>
      </c>
      <c r="C69" s="317" t="str">
        <f>IFERROR(__xludf.DUMMYFUNCTION("""COMPUTED_VALUE"""),"C")</f>
        <v>C</v>
      </c>
      <c r="D69" s="181" t="str">
        <f>IFERROR(__xludf.DUMMYFUNCTION("""COMPUTED_VALUE"""),"Mytel")</f>
        <v>Mytel</v>
      </c>
      <c r="E69" s="357" t="str">
        <f>IFERROR(__xludf.DUMMYFUNCTION("""COMPUTED_VALUE"""),"T1")</f>
        <v>T1</v>
      </c>
      <c r="F69" s="181" t="str">
        <f>IFERROR(__xludf.DUMMYFUNCTION("""COMPUTED_VALUE"""),"Thayetchaung")</f>
        <v>Thayetchaung</v>
      </c>
      <c r="G69" s="181" t="str">
        <f>IFERROR(__xludf.DUMMYFUNCTION("""COMPUTED_VALUE"""),"Thar Htoo Aung")</f>
        <v>Thar Htoo Aung</v>
      </c>
      <c r="H69" s="232"/>
      <c r="I69" s="181"/>
      <c r="J69" s="232"/>
      <c r="K69" s="358">
        <f>IFERROR(__xludf.DUMMYFUNCTION("""COMPUTED_VALUE"""),90.0)</f>
        <v>90</v>
      </c>
      <c r="L69" s="232" t="str">
        <f>IFERROR(__xludf.DUMMYFUNCTION("""COMPUTED_VALUE"""),"24*7")</f>
        <v>24*7</v>
      </c>
      <c r="M69" s="232" t="str">
        <f>IFERROR(__xludf.DUMMYFUNCTION("""COMPUTED_VALUE"""),"1DG+BB")</f>
        <v>1DG+BB</v>
      </c>
      <c r="N69" s="359" t="str">
        <f>IFERROR(__xludf.DUMMYFUNCTION("""COMPUTED_VALUE"""),"0")</f>
        <v>0</v>
      </c>
      <c r="O69" s="318"/>
      <c r="P69" s="318"/>
      <c r="Q69" s="320"/>
      <c r="R69" s="321"/>
      <c r="S69" s="322"/>
      <c r="T69" s="323"/>
      <c r="U69" s="340" t="str">
        <f>IFERROR(__xludf.DUMMYFUNCTION("""COMPUTED_VALUE"""),"3603.53")</f>
        <v>3603.53</v>
      </c>
      <c r="V69" s="324"/>
      <c r="W69" s="340"/>
      <c r="X69" s="325"/>
      <c r="Y69" s="326"/>
      <c r="Z69" s="320"/>
      <c r="AA69" s="320"/>
      <c r="AB69" s="327">
        <f>IFERROR(__xludf.DUMMYFUNCTION("""COMPUTED_VALUE"""),46184.0621875)</f>
        <v>46184.06219</v>
      </c>
      <c r="AC69" s="328">
        <f>IFERROR(__xludf.DUMMYFUNCTION("""COMPUTED_VALUE"""),521.136817499937)</f>
        <v>521.1368175</v>
      </c>
      <c r="AD69" s="327">
        <f>IFERROR(__xludf.DUMMYFUNCTION("""COMPUTED_VALUE"""),46184.06212962963)</f>
        <v>46184.06213</v>
      </c>
      <c r="AE69" s="328">
        <f>IFERROR(__xludf.DUMMYFUNCTION("""COMPUTED_VALUE"""),521.1382063888013)</f>
        <v>521.1382064</v>
      </c>
      <c r="AF69" s="329">
        <f>IFERROR(__xludf.DUMMYFUNCTION("""COMPUTED_VALUE"""),0.0)</f>
        <v>0</v>
      </c>
      <c r="AG69" s="330" t="str">
        <f>IFERROR(__xludf.DUMMYFUNCTION("""COMPUTED_VALUE"""),"Need to Realignment at the TNI0321")</f>
        <v>Need to Realignment at the TNI0321</v>
      </c>
      <c r="AH69" s="330"/>
      <c r="AI69" s="330"/>
      <c r="AJ69" s="331"/>
      <c r="AK69" s="332"/>
      <c r="AL69" s="361">
        <f>IFERROR(__xludf.DUMMYFUNCTION("""COMPUTED_VALUE"""),1.0)</f>
        <v>1</v>
      </c>
      <c r="AM69" s="361">
        <f>IFERROR(__xludf.DUMMYFUNCTION("""COMPUTED_VALUE"""),1.0)</f>
        <v>1</v>
      </c>
      <c r="AN69" s="121"/>
      <c r="AO69" s="121"/>
      <c r="AP69" s="121"/>
      <c r="AQ69" s="121"/>
      <c r="AR69" s="121"/>
      <c r="AS69" s="121"/>
      <c r="AT69" s="121"/>
    </row>
    <row r="70">
      <c r="A70" s="232">
        <f>IFERROR(__xludf.DUMMYFUNCTION("""COMPUTED_VALUE"""),67.0)</f>
        <v>67</v>
      </c>
      <c r="B70" s="181" t="str">
        <f>IFERROR(__xludf.DUMMYFUNCTION("""COMPUTED_VALUE"""),"TNI0013")</f>
        <v>TNI0013</v>
      </c>
      <c r="C70" s="317" t="str">
        <f>IFERROR(__xludf.DUMMYFUNCTION("""COMPUTED_VALUE"""),"A")</f>
        <v>A</v>
      </c>
      <c r="D70" s="181" t="str">
        <f>IFERROR(__xludf.DUMMYFUNCTION("""COMPUTED_VALUE"""),"Mytel")</f>
        <v>Mytel</v>
      </c>
      <c r="E70" s="357" t="str">
        <f>IFERROR(__xludf.DUMMYFUNCTION("""COMPUTED_VALUE"""),"T1")</f>
        <v>T1</v>
      </c>
      <c r="F70" s="181" t="str">
        <f>IFERROR(__xludf.DUMMYFUNCTION("""COMPUTED_VALUE"""),"Dawei")</f>
        <v>Dawei</v>
      </c>
      <c r="G70" s="181" t="str">
        <f>IFERROR(__xludf.DUMMYFUNCTION("""COMPUTED_VALUE"""),"Bone Myat Naing")</f>
        <v>Bone Myat Naing</v>
      </c>
      <c r="H70" s="232" t="str">
        <f>IFERROR(__xludf.DUMMYFUNCTION("""COMPUTED_VALUE"""),"Daw Sandar Aye: 09254825783")</f>
        <v>Daw Sandar Aye: 09254825783</v>
      </c>
      <c r="I70" s="181"/>
      <c r="J70" s="232" t="str">
        <f>IFERROR(__xludf.DUMMYFUNCTION("""COMPUTED_VALUE"""),"OLT")</f>
        <v>OLT</v>
      </c>
      <c r="K70" s="358">
        <f>IFERROR(__xludf.DUMMYFUNCTION("""COMPUTED_VALUE"""),45.0)</f>
        <v>45</v>
      </c>
      <c r="L70" s="232" t="str">
        <f>IFERROR(__xludf.DUMMYFUNCTION("""COMPUTED_VALUE"""),"10:00PM-4:00AM")</f>
        <v>10:00PM-4:00AM</v>
      </c>
      <c r="M70" s="232" t="str">
        <f>IFERROR(__xludf.DUMMYFUNCTION("""COMPUTED_VALUE"""),"1DG+Solar+Grid+BB")</f>
        <v>1DG+Solar+Grid+BB</v>
      </c>
      <c r="N70" s="359" t="str">
        <f>IFERROR(__xludf.DUMMYFUNCTION("""COMPUTED_VALUE"""),"0")</f>
        <v>0</v>
      </c>
      <c r="O70" s="318"/>
      <c r="P70" s="318"/>
      <c r="Q70" s="320"/>
      <c r="R70" s="321"/>
      <c r="S70" s="322"/>
      <c r="T70" s="323"/>
      <c r="U70" s="340"/>
      <c r="V70" s="324"/>
      <c r="W70" s="340"/>
      <c r="X70" s="325"/>
      <c r="Y70" s="326"/>
      <c r="Z70" s="320"/>
      <c r="AA70" s="320"/>
      <c r="AB70" s="327">
        <f>IFERROR(__xludf.DUMMYFUNCTION("""COMPUTED_VALUE"""),46205.67409722222)</f>
        <v>46205.6741</v>
      </c>
      <c r="AC70" s="328">
        <f>IFERROR(__xludf.DUMMYFUNCTION("""COMPUTED_VALUE"""),2.4509841665276326)</f>
        <v>2.450984167</v>
      </c>
      <c r="AD70" s="327"/>
      <c r="AE70" s="328"/>
      <c r="AF70" s="329">
        <f>IFERROR(__xludf.DUMMYFUNCTION("""COMPUTED_VALUE"""),1401.0)</f>
        <v>1401</v>
      </c>
      <c r="AG70" s="330" t="str">
        <f>IFERROR(__xludf.DUMMYFUNCTION("""COMPUTED_VALUE"""),"Unsafe")</f>
        <v>Unsafe</v>
      </c>
      <c r="AH70" s="330"/>
      <c r="AI70" s="330"/>
      <c r="AJ70" s="331" t="str">
        <f>IFERROR(__xludf.DUMMYFUNCTION("""COMPUTED_VALUE"""),"Equip_VSWR over threshold afffect cell down")</f>
        <v>Equip_VSWR over threshold afffect cell down</v>
      </c>
      <c r="AK70" s="332" t="str">
        <f>IFERROR(__xludf.DUMMYFUNCTION("""COMPUTED_VALUE"""),"1800 S2 down by VSWR &gt;&gt; Need to check jumper cable")</f>
        <v>1800 S2 down by VSWR &gt;&gt; Need to check jumper cable</v>
      </c>
      <c r="AL70" s="361">
        <f>IFERROR(__xludf.DUMMYFUNCTION("""COMPUTED_VALUE"""),0.0)</f>
        <v>0</v>
      </c>
      <c r="AM70" s="361">
        <f>IFERROR(__xludf.DUMMYFUNCTION("""COMPUTED_VALUE"""),0.0)</f>
        <v>0</v>
      </c>
      <c r="AN70" s="121"/>
      <c r="AO70" s="121"/>
      <c r="AP70" s="121"/>
      <c r="AQ70" s="121"/>
      <c r="AR70" s="121"/>
      <c r="AS70" s="121"/>
      <c r="AT70" s="121"/>
    </row>
    <row r="71">
      <c r="A71" s="232">
        <f>IFERROR(__xludf.DUMMYFUNCTION("""COMPUTED_VALUE"""),68.0)</f>
        <v>68</v>
      </c>
      <c r="B71" s="181" t="str">
        <f>IFERROR(__xludf.DUMMYFUNCTION("""COMPUTED_VALUE"""),"TNI0069")</f>
        <v>TNI0069</v>
      </c>
      <c r="C71" s="317" t="str">
        <f>IFERROR(__xludf.DUMMYFUNCTION("""COMPUTED_VALUE"""),"C")</f>
        <v>C</v>
      </c>
      <c r="D71" s="181" t="str">
        <f>IFERROR(__xludf.DUMMYFUNCTION("""COMPUTED_VALUE"""),"Mytel")</f>
        <v>Mytel</v>
      </c>
      <c r="E71" s="357" t="str">
        <f>IFERROR(__xludf.DUMMYFUNCTION("""COMPUTED_VALUE"""),"T1")</f>
        <v>T1</v>
      </c>
      <c r="F71" s="181" t="str">
        <f>IFERROR(__xludf.DUMMYFUNCTION("""COMPUTED_VALUE"""),"Dawei")</f>
        <v>Dawei</v>
      </c>
      <c r="G71" s="181" t="str">
        <f>IFERROR(__xludf.DUMMYFUNCTION("""COMPUTED_VALUE"""),"Bone Myat Naing")</f>
        <v>Bone Myat Naing</v>
      </c>
      <c r="H71" s="232"/>
      <c r="I71" s="181"/>
      <c r="J71" s="232"/>
      <c r="K71" s="358">
        <f>IFERROR(__xludf.DUMMYFUNCTION("""COMPUTED_VALUE"""),30.0)</f>
        <v>30</v>
      </c>
      <c r="L71" s="232" t="str">
        <f>IFERROR(__xludf.DUMMYFUNCTION("""COMPUTED_VALUE"""),"24*7")</f>
        <v>24*7</v>
      </c>
      <c r="M71" s="232" t="str">
        <f>IFERROR(__xludf.DUMMYFUNCTION("""COMPUTED_VALUE"""),"Grid+Solar+BB")</f>
        <v>Grid+Solar+BB</v>
      </c>
      <c r="N71" s="359" t="str">
        <f>IFERROR(__xludf.DUMMYFUNCTION("""COMPUTED_VALUE"""),"ok")</f>
        <v>ok</v>
      </c>
      <c r="O71" s="318"/>
      <c r="P71" s="318"/>
      <c r="Q71" s="320"/>
      <c r="R71" s="321"/>
      <c r="S71" s="322"/>
      <c r="T71" s="323"/>
      <c r="U71" s="340"/>
      <c r="V71" s="324" t="str">
        <f>IFERROR(__xludf.DUMMYFUNCTION("""COMPUTED_VALUE"""),"12771.89")</f>
        <v>12771.89</v>
      </c>
      <c r="W71" s="340"/>
      <c r="X71" s="325"/>
      <c r="Y71" s="326"/>
      <c r="Z71" s="320"/>
      <c r="AA71" s="320"/>
      <c r="AB71" s="327"/>
      <c r="AC71" s="328"/>
      <c r="AD71" s="327"/>
      <c r="AE71" s="328"/>
      <c r="AF71" s="329">
        <f>IFERROR(__xludf.DUMMYFUNCTION("""COMPUTED_VALUE"""),1023.0)</f>
        <v>1023</v>
      </c>
      <c r="AG71" s="330" t="str">
        <f>IFERROR(__xludf.DUMMYFUNCTION("""COMPUTED_VALUE"""),"Checking with team")</f>
        <v>Checking with team</v>
      </c>
      <c r="AH71" s="330"/>
      <c r="AI71" s="330"/>
      <c r="AJ71" s="331"/>
      <c r="AK71" s="332"/>
      <c r="AL71" s="361">
        <f>IFERROR(__xludf.DUMMYFUNCTION("""COMPUTED_VALUE"""),0.0)</f>
        <v>0</v>
      </c>
      <c r="AM71" s="361">
        <f>IFERROR(__xludf.DUMMYFUNCTION("""COMPUTED_VALUE"""),0.0)</f>
        <v>0</v>
      </c>
      <c r="AN71" s="121"/>
      <c r="AO71" s="121"/>
      <c r="AP71" s="121"/>
      <c r="AQ71" s="121"/>
      <c r="AR71" s="121"/>
      <c r="AS71" s="121"/>
      <c r="AT71" s="121"/>
    </row>
    <row r="72">
      <c r="A72" s="232">
        <f>IFERROR(__xludf.DUMMYFUNCTION("""COMPUTED_VALUE"""),69.0)</f>
        <v>69</v>
      </c>
      <c r="B72" s="181" t="str">
        <f>IFERROR(__xludf.DUMMYFUNCTION("""COMPUTED_VALUE"""),"TNI0071")</f>
        <v>TNI0071</v>
      </c>
      <c r="C72" s="317" t="str">
        <f>IFERROR(__xludf.DUMMYFUNCTION("""COMPUTED_VALUE"""),"B")</f>
        <v>B</v>
      </c>
      <c r="D72" s="181" t="str">
        <f>IFERROR(__xludf.DUMMYFUNCTION("""COMPUTED_VALUE"""),"Mytel")</f>
        <v>Mytel</v>
      </c>
      <c r="E72" s="357" t="str">
        <f>IFERROR(__xludf.DUMMYFUNCTION("""COMPUTED_VALUE"""),"T1")</f>
        <v>T1</v>
      </c>
      <c r="F72" s="181" t="str">
        <f>IFERROR(__xludf.DUMMYFUNCTION("""COMPUTED_VALUE"""),"Dawei")</f>
        <v>Dawei</v>
      </c>
      <c r="G72" s="181" t="str">
        <f>IFERROR(__xludf.DUMMYFUNCTION("""COMPUTED_VALUE"""),"Bone Myat Naing")</f>
        <v>Bone Myat Naing</v>
      </c>
      <c r="H72" s="232"/>
      <c r="I72" s="181"/>
      <c r="J72" s="232" t="str">
        <f>IFERROR(__xludf.DUMMYFUNCTION("""COMPUTED_VALUE"""),"OLT")</f>
        <v>OLT</v>
      </c>
      <c r="K72" s="358">
        <f>IFERROR(__xludf.DUMMYFUNCTION("""COMPUTED_VALUE"""),30.0)</f>
        <v>30</v>
      </c>
      <c r="L72" s="232" t="str">
        <f>IFERROR(__xludf.DUMMYFUNCTION("""COMPUTED_VALUE"""),"10:00PM-4:00AM")</f>
        <v>10:00PM-4:00AM</v>
      </c>
      <c r="M72" s="232" t="str">
        <f>IFERROR(__xludf.DUMMYFUNCTION("""COMPUTED_VALUE"""),"1DG+Solar+Grid+BB")</f>
        <v>1DG+Solar+Grid+BB</v>
      </c>
      <c r="N72" s="359" t="str">
        <f>IFERROR(__xludf.DUMMYFUNCTION("""COMPUTED_VALUE"""),"0")</f>
        <v>0</v>
      </c>
      <c r="O72" s="318"/>
      <c r="P72" s="318"/>
      <c r="Q72" s="320"/>
      <c r="R72" s="321"/>
      <c r="S72" s="322"/>
      <c r="T72" s="323"/>
      <c r="U72" s="340" t="str">
        <f>IFERROR(__xludf.DUMMYFUNCTION("""COMPUTED_VALUE"""),"8.94")</f>
        <v>8.94</v>
      </c>
      <c r="V72" s="324"/>
      <c r="W72" s="340"/>
      <c r="X72" s="325"/>
      <c r="Y72" s="326"/>
      <c r="Z72" s="320"/>
      <c r="AA72" s="320"/>
      <c r="AB72" s="327"/>
      <c r="AC72" s="328"/>
      <c r="AD72" s="327"/>
      <c r="AE72" s="328"/>
      <c r="AF72" s="329">
        <f>IFERROR(__xludf.DUMMYFUNCTION("""COMPUTED_VALUE"""),1412.0)</f>
        <v>1412</v>
      </c>
      <c r="AG72" s="330"/>
      <c r="AH72" s="330"/>
      <c r="AI72" s="330"/>
      <c r="AJ72" s="331"/>
      <c r="AK72" s="332"/>
      <c r="AL72" s="361">
        <f>IFERROR(__xludf.DUMMYFUNCTION("""COMPUTED_VALUE"""),0.0)</f>
        <v>0</v>
      </c>
      <c r="AM72" s="361">
        <f>IFERROR(__xludf.DUMMYFUNCTION("""COMPUTED_VALUE"""),0.0)</f>
        <v>0</v>
      </c>
      <c r="AN72" s="121"/>
      <c r="AO72" s="121"/>
      <c r="AP72" s="121"/>
      <c r="AQ72" s="121"/>
      <c r="AR72" s="121"/>
      <c r="AS72" s="121"/>
      <c r="AT72" s="121"/>
    </row>
    <row r="73">
      <c r="A73" s="232">
        <f>IFERROR(__xludf.DUMMYFUNCTION("""COMPUTED_VALUE"""),70.0)</f>
        <v>70</v>
      </c>
      <c r="B73" s="181" t="str">
        <f>IFERROR(__xludf.DUMMYFUNCTION("""COMPUTED_VALUE"""),"TNI0061")</f>
        <v>TNI0061</v>
      </c>
      <c r="C73" s="317" t="str">
        <f>IFERROR(__xludf.DUMMYFUNCTION("""COMPUTED_VALUE"""),"C")</f>
        <v>C</v>
      </c>
      <c r="D73" s="181" t="str">
        <f>IFERROR(__xludf.DUMMYFUNCTION("""COMPUTED_VALUE"""),"PAT")</f>
        <v>PAT</v>
      </c>
      <c r="E73" s="357" t="str">
        <f>IFERROR(__xludf.DUMMYFUNCTION("""COMPUTED_VALUE"""),"T1")</f>
        <v>T1</v>
      </c>
      <c r="F73" s="181" t="str">
        <f>IFERROR(__xludf.DUMMYFUNCTION("""COMPUTED_VALUE"""),"Dawei")</f>
        <v>Dawei</v>
      </c>
      <c r="G73" s="181" t="str">
        <f>IFERROR(__xludf.DUMMYFUNCTION("""COMPUTED_VALUE"""),"Bone Myat Naing")</f>
        <v>Bone Myat Naing</v>
      </c>
      <c r="H73" s="232"/>
      <c r="I73" s="181"/>
      <c r="J73" s="232"/>
      <c r="K73" s="358">
        <f>IFERROR(__xludf.DUMMYFUNCTION("""COMPUTED_VALUE"""),30.0)</f>
        <v>30</v>
      </c>
      <c r="L73" s="232" t="str">
        <f>IFERROR(__xludf.DUMMYFUNCTION("""COMPUTED_VALUE"""),"8:00PM-5:00AM")</f>
        <v>8:00PM-5:00AM</v>
      </c>
      <c r="M73" s="232" t="str">
        <f>IFERROR(__xludf.DUMMYFUNCTION("""COMPUTED_VALUE"""),"1DG+BB")</f>
        <v>1DG+BB</v>
      </c>
      <c r="N73" s="359" t="str">
        <f>IFERROR(__xludf.DUMMYFUNCTION("""COMPUTED_VALUE"""),"57")</f>
        <v>57</v>
      </c>
      <c r="O73" s="318"/>
      <c r="P73" s="318"/>
      <c r="Q73" s="320"/>
      <c r="R73" s="321"/>
      <c r="S73" s="322"/>
      <c r="T73" s="323"/>
      <c r="U73" s="340"/>
      <c r="V73" s="324"/>
      <c r="W73" s="340"/>
      <c r="X73" s="325"/>
      <c r="Y73" s="326"/>
      <c r="Z73" s="320"/>
      <c r="AA73" s="320"/>
      <c r="AB73" s="327"/>
      <c r="AC73" s="328"/>
      <c r="AD73" s="327"/>
      <c r="AE73" s="328"/>
      <c r="AF73" s="329">
        <f>IFERROR(__xludf.DUMMYFUNCTION("""COMPUTED_VALUE"""),1323.0)</f>
        <v>1323</v>
      </c>
      <c r="AG73" s="330" t="str">
        <f>IFERROR(__xludf.DUMMYFUNCTION("""COMPUTED_VALUE"""),"ETA 7:30 AM")</f>
        <v>ETA 7:30 AM</v>
      </c>
      <c r="AH73" s="330"/>
      <c r="AI73" s="330"/>
      <c r="AJ73" s="331"/>
      <c r="AK73" s="332"/>
      <c r="AL73" s="361">
        <f>IFERROR(__xludf.DUMMYFUNCTION("""COMPUTED_VALUE"""),0.0)</f>
        <v>0</v>
      </c>
      <c r="AM73" s="361">
        <f>IFERROR(__xludf.DUMMYFUNCTION("""COMPUTED_VALUE"""),0.0)</f>
        <v>0</v>
      </c>
      <c r="AN73" s="121"/>
      <c r="AO73" s="121"/>
      <c r="AP73" s="121"/>
      <c r="AQ73" s="121"/>
      <c r="AR73" s="121"/>
      <c r="AS73" s="121"/>
      <c r="AT73" s="121"/>
    </row>
    <row r="74">
      <c r="A74" s="232">
        <f>IFERROR(__xludf.DUMMYFUNCTION("""COMPUTED_VALUE"""),71.0)</f>
        <v>71</v>
      </c>
      <c r="B74" s="181" t="str">
        <f>IFERROR(__xludf.DUMMYFUNCTION("""COMPUTED_VALUE"""),"TNI0054")</f>
        <v>TNI0054</v>
      </c>
      <c r="C74" s="317" t="str">
        <f>IFERROR(__xludf.DUMMYFUNCTION("""COMPUTED_VALUE"""),"B")</f>
        <v>B</v>
      </c>
      <c r="D74" s="181" t="str">
        <f>IFERROR(__xludf.DUMMYFUNCTION("""COMPUTED_VALUE"""),"Apollo")</f>
        <v>Apollo</v>
      </c>
      <c r="E74" s="357" t="str">
        <f>IFERROR(__xludf.DUMMYFUNCTION("""COMPUTED_VALUE"""),"T1")</f>
        <v>T1</v>
      </c>
      <c r="F74" s="181" t="str">
        <f>IFERROR(__xludf.DUMMYFUNCTION("""COMPUTED_VALUE"""),"Dawei")</f>
        <v>Dawei</v>
      </c>
      <c r="G74" s="181" t="str">
        <f>IFERROR(__xludf.DUMMYFUNCTION("""COMPUTED_VALUE"""),"Win Htet Aung")</f>
        <v>Win Htet Aung</v>
      </c>
      <c r="H74" s="232"/>
      <c r="I74" s="181"/>
      <c r="J74" s="232" t="str">
        <f>IFERROR(__xludf.DUMMYFUNCTION("""COMPUTED_VALUE"""),"OLT")</f>
        <v>OLT</v>
      </c>
      <c r="K74" s="358">
        <f>IFERROR(__xludf.DUMMYFUNCTION("""COMPUTED_VALUE"""),20.0)</f>
        <v>20</v>
      </c>
      <c r="L74" s="232" t="str">
        <f>IFERROR(__xludf.DUMMYFUNCTION("""COMPUTED_VALUE"""),"24*7")</f>
        <v>24*7</v>
      </c>
      <c r="M74" s="232" t="str">
        <f>IFERROR(__xludf.DUMMYFUNCTION("""COMPUTED_VALUE"""),"Grid+BB")</f>
        <v>Grid+BB</v>
      </c>
      <c r="N74" s="359" t="str">
        <f>IFERROR(__xludf.DUMMYFUNCTION("""COMPUTED_VALUE"""),"ok")</f>
        <v>ok</v>
      </c>
      <c r="O74" s="318"/>
      <c r="P74" s="318"/>
      <c r="Q74" s="320" t="str">
        <f>IFERROR(__xludf.DUMMYFUNCTION("""COMPUTED_VALUE""")," Door open alarm: 19/02/2026 17:27")</f>
        <v> Door open alarm: 19/02/2026 17:27</v>
      </c>
      <c r="R74" s="321">
        <f>IFERROR(__xludf.DUMMYFUNCTION("""COMPUTED_VALUE"""),3191.88)</f>
        <v>3191.88</v>
      </c>
      <c r="S74" s="322"/>
      <c r="T74" s="323"/>
      <c r="U74" s="340"/>
      <c r="V74" s="324"/>
      <c r="W74" s="340"/>
      <c r="X74" s="325"/>
      <c r="Y74" s="326"/>
      <c r="Z74" s="320"/>
      <c r="AA74" s="320"/>
      <c r="AB74" s="327"/>
      <c r="AC74" s="328"/>
      <c r="AD74" s="327"/>
      <c r="AE74" s="328"/>
      <c r="AF74" s="329">
        <f>IFERROR(__xludf.DUMMYFUNCTION("""COMPUTED_VALUE"""),1737.0)</f>
        <v>1737</v>
      </c>
      <c r="AG74" s="330" t="str">
        <f>IFERROR(__xludf.DUMMYFUNCTION("""COMPUTED_VALUE"""),"Unsafe")</f>
        <v>Unsafe</v>
      </c>
      <c r="AH74" s="330"/>
      <c r="AI74" s="330"/>
      <c r="AJ74" s="331"/>
      <c r="AK74" s="332"/>
      <c r="AL74" s="361">
        <f>IFERROR(__xludf.DUMMYFUNCTION("""COMPUTED_VALUE"""),0.0)</f>
        <v>0</v>
      </c>
      <c r="AM74" s="361">
        <f>IFERROR(__xludf.DUMMYFUNCTION("""COMPUTED_VALUE"""),0.0)</f>
        <v>0</v>
      </c>
      <c r="AN74" s="121"/>
      <c r="AO74" s="121"/>
      <c r="AP74" s="121"/>
      <c r="AQ74" s="121"/>
      <c r="AR74" s="121"/>
      <c r="AS74" s="121"/>
      <c r="AT74" s="121"/>
    </row>
    <row r="75">
      <c r="A75" s="232">
        <f>IFERROR(__xludf.DUMMYFUNCTION("""COMPUTED_VALUE"""),72.0)</f>
        <v>72</v>
      </c>
      <c r="B75" s="181" t="str">
        <f>IFERROR(__xludf.DUMMYFUNCTION("""COMPUTED_VALUE"""),"TNI0049")</f>
        <v>TNI0049</v>
      </c>
      <c r="C75" s="317" t="str">
        <f>IFERROR(__xludf.DUMMYFUNCTION("""COMPUTED_VALUE"""),"B")</f>
        <v>B</v>
      </c>
      <c r="D75" s="181" t="str">
        <f>IFERROR(__xludf.DUMMYFUNCTION("""COMPUTED_VALUE"""),"MEC")</f>
        <v>MEC</v>
      </c>
      <c r="E75" s="357" t="str">
        <f>IFERROR(__xludf.DUMMYFUNCTION("""COMPUTED_VALUE"""),"T1")</f>
        <v>T1</v>
      </c>
      <c r="F75" s="181" t="str">
        <f>IFERROR(__xludf.DUMMYFUNCTION("""COMPUTED_VALUE"""),"Dawei")</f>
        <v>Dawei</v>
      </c>
      <c r="G75" s="181" t="str">
        <f>IFERROR(__xludf.DUMMYFUNCTION("""COMPUTED_VALUE"""),"Win Htet Aung")</f>
        <v>Win Htet Aung</v>
      </c>
      <c r="H75" s="232"/>
      <c r="I75" s="181"/>
      <c r="J75" s="232"/>
      <c r="K75" s="358">
        <f>IFERROR(__xludf.DUMMYFUNCTION("""COMPUTED_VALUE"""),30.0)</f>
        <v>30</v>
      </c>
      <c r="L75" s="232" t="str">
        <f>IFERROR(__xludf.DUMMYFUNCTION("""COMPUTED_VALUE"""),"8:00PM-5:00AM")</f>
        <v>8:00PM-5:00AM</v>
      </c>
      <c r="M75" s="232" t="str">
        <f>IFERROR(__xludf.DUMMYFUNCTION("""COMPUTED_VALUE"""),"1DG+Solar+BB")</f>
        <v>1DG+Solar+BB</v>
      </c>
      <c r="N75" s="359" t="str">
        <f>IFERROR(__xludf.DUMMYFUNCTION("""COMPUTED_VALUE"""),"135")</f>
        <v>135</v>
      </c>
      <c r="O75" s="318"/>
      <c r="P75" s="318"/>
      <c r="Q75" s="320"/>
      <c r="R75" s="321"/>
      <c r="S75" s="322">
        <f>IFERROR(__xludf.DUMMYFUNCTION("""COMPUTED_VALUE"""),46205.66155092593)</f>
        <v>46205.66155</v>
      </c>
      <c r="T75" s="323">
        <f>IFERROR(__xludf.DUMMYFUNCTION("""COMPUTED_VALUE"""),2.752095277654007)</f>
        <v>2.752095278</v>
      </c>
      <c r="U75" s="340"/>
      <c r="V75" s="324"/>
      <c r="W75" s="340"/>
      <c r="X75" s="325"/>
      <c r="Y75" s="326"/>
      <c r="Z75" s="320"/>
      <c r="AA75" s="320"/>
      <c r="AB75" s="327"/>
      <c r="AC75" s="328"/>
      <c r="AD75" s="327"/>
      <c r="AE75" s="328"/>
      <c r="AF75" s="329">
        <f>IFERROR(__xludf.DUMMYFUNCTION("""COMPUTED_VALUE"""),1023.0)</f>
        <v>1023</v>
      </c>
      <c r="AG75" s="330" t="str">
        <f>IFERROR(__xludf.DUMMYFUNCTION("""COMPUTED_VALUE"""),"ETA 8 AM, gate access issue")</f>
        <v>ETA 8 AM, gate access issue</v>
      </c>
      <c r="AH75" s="330"/>
      <c r="AI75" s="330"/>
      <c r="AJ75" s="331"/>
      <c r="AK75" s="332"/>
      <c r="AL75" s="361">
        <f>IFERROR(__xludf.DUMMYFUNCTION("""COMPUTED_VALUE"""),0.0)</f>
        <v>0</v>
      </c>
      <c r="AM75" s="361">
        <f>IFERROR(__xludf.DUMMYFUNCTION("""COMPUTED_VALUE"""),0.0)</f>
        <v>0</v>
      </c>
      <c r="AN75" s="121"/>
      <c r="AO75" s="121"/>
      <c r="AP75" s="121"/>
      <c r="AQ75" s="121"/>
      <c r="AR75" s="121"/>
      <c r="AS75" s="121"/>
      <c r="AT75" s="121"/>
    </row>
    <row r="76">
      <c r="A76" s="232">
        <f>IFERROR(__xludf.DUMMYFUNCTION("""COMPUTED_VALUE"""),73.0)</f>
        <v>73</v>
      </c>
      <c r="B76" s="181" t="str">
        <f>IFERROR(__xludf.DUMMYFUNCTION("""COMPUTED_VALUE"""),"TNI0050")</f>
        <v>TNI0050</v>
      </c>
      <c r="C76" s="317" t="str">
        <f>IFERROR(__xludf.DUMMYFUNCTION("""COMPUTED_VALUE"""),"C")</f>
        <v>C</v>
      </c>
      <c r="D76" s="181" t="str">
        <f>IFERROR(__xludf.DUMMYFUNCTION("""COMPUTED_VALUE"""),"Mytel")</f>
        <v>Mytel</v>
      </c>
      <c r="E76" s="357" t="str">
        <f>IFERROR(__xludf.DUMMYFUNCTION("""COMPUTED_VALUE"""),"T1")</f>
        <v>T1</v>
      </c>
      <c r="F76" s="181" t="str">
        <f>IFERROR(__xludf.DUMMYFUNCTION("""COMPUTED_VALUE"""),"Dawei")</f>
        <v>Dawei</v>
      </c>
      <c r="G76" s="181" t="str">
        <f>IFERROR(__xludf.DUMMYFUNCTION("""COMPUTED_VALUE"""),"Bhone Htet Aung")</f>
        <v>Bhone Htet Aung</v>
      </c>
      <c r="H76" s="232"/>
      <c r="I76" s="181"/>
      <c r="J76" s="232"/>
      <c r="K76" s="358">
        <f>IFERROR(__xludf.DUMMYFUNCTION("""COMPUTED_VALUE"""),30.0)</f>
        <v>30</v>
      </c>
      <c r="L76" s="232" t="str">
        <f>IFERROR(__xludf.DUMMYFUNCTION("""COMPUTED_VALUE"""),"8:00PM-5:00AM")</f>
        <v>8:00PM-5:00AM</v>
      </c>
      <c r="M76" s="232" t="str">
        <f>IFERROR(__xludf.DUMMYFUNCTION("""COMPUTED_VALUE"""),"1DG+Solar+Grid+BB")</f>
        <v>1DG+Solar+Grid+BB</v>
      </c>
      <c r="N76" s="359" t="str">
        <f>IFERROR(__xludf.DUMMYFUNCTION("""COMPUTED_VALUE"""),"ok")</f>
        <v>ok</v>
      </c>
      <c r="O76" s="318"/>
      <c r="P76" s="318"/>
      <c r="Q76" s="320"/>
      <c r="R76" s="321"/>
      <c r="S76" s="322"/>
      <c r="T76" s="323"/>
      <c r="U76" s="340"/>
      <c r="V76" s="324"/>
      <c r="W76" s="340"/>
      <c r="X76" s="325">
        <f>IFERROR(__xludf.DUMMYFUNCTION("""COMPUTED_VALUE"""),46127.8193287037)</f>
        <v>46127.81933</v>
      </c>
      <c r="Y76" s="326">
        <f>IFERROR(__xludf.DUMMYFUNCTION("""COMPUTED_VALUE"""),1870.9654286109726)</f>
        <v>1870.965429</v>
      </c>
      <c r="Z76" s="320"/>
      <c r="AA76" s="320"/>
      <c r="AB76" s="327"/>
      <c r="AC76" s="328"/>
      <c r="AD76" s="327"/>
      <c r="AE76" s="328"/>
      <c r="AF76" s="329">
        <f>IFERROR(__xludf.DUMMYFUNCTION("""COMPUTED_VALUE"""),1052.0)</f>
        <v>1052</v>
      </c>
      <c r="AG76" s="330"/>
      <c r="AH76" s="330"/>
      <c r="AI76" s="330"/>
      <c r="AJ76" s="331"/>
      <c r="AK76" s="332"/>
      <c r="AL76" s="361">
        <f>IFERROR(__xludf.DUMMYFUNCTION("""COMPUTED_VALUE"""),0.0)</f>
        <v>0</v>
      </c>
      <c r="AM76" s="361">
        <f>IFERROR(__xludf.DUMMYFUNCTION("""COMPUTED_VALUE"""),0.0)</f>
        <v>0</v>
      </c>
      <c r="AN76" s="121"/>
      <c r="AO76" s="121"/>
      <c r="AP76" s="121"/>
      <c r="AQ76" s="121"/>
      <c r="AR76" s="121"/>
      <c r="AS76" s="121"/>
      <c r="AT76" s="121"/>
    </row>
    <row r="77">
      <c r="A77" s="232">
        <f>IFERROR(__xludf.DUMMYFUNCTION("""COMPUTED_VALUE"""),74.0)</f>
        <v>74</v>
      </c>
      <c r="B77" s="181" t="str">
        <f>IFERROR(__xludf.DUMMYFUNCTION("""COMPUTED_VALUE"""),"TNI0264_01")</f>
        <v>TNI0264_01</v>
      </c>
      <c r="C77" s="317" t="str">
        <f>IFERROR(__xludf.DUMMYFUNCTION("""COMPUTED_VALUE"""),"C")</f>
        <v>C</v>
      </c>
      <c r="D77" s="181" t="str">
        <f>IFERROR(__xludf.DUMMYFUNCTION("""COMPUTED_VALUE"""),"Mytel")</f>
        <v>Mytel</v>
      </c>
      <c r="E77" s="357" t="str">
        <f>IFERROR(__xludf.DUMMYFUNCTION("""COMPUTED_VALUE"""),"T1")</f>
        <v>T1</v>
      </c>
      <c r="F77" s="181" t="str">
        <f>IFERROR(__xludf.DUMMYFUNCTION("""COMPUTED_VALUE"""),"Dawei")</f>
        <v>Dawei</v>
      </c>
      <c r="G77" s="181" t="str">
        <f>IFERROR(__xludf.DUMMYFUNCTION("""COMPUTED_VALUE"""),"Win Htet Aung")</f>
        <v>Win Htet Aung</v>
      </c>
      <c r="H77" s="232"/>
      <c r="I77" s="181"/>
      <c r="J77" s="232"/>
      <c r="K77" s="358">
        <f>IFERROR(__xludf.DUMMYFUNCTION("""COMPUTED_VALUE"""),30.0)</f>
        <v>30</v>
      </c>
      <c r="L77" s="232" t="str">
        <f>IFERROR(__xludf.DUMMYFUNCTION("""COMPUTED_VALUE"""),"24*7")</f>
        <v>24*7</v>
      </c>
      <c r="M77" s="232" t="str">
        <f>IFERROR(__xludf.DUMMYFUNCTION("""COMPUTED_VALUE"""),"Grid+BB")</f>
        <v>Grid+BB</v>
      </c>
      <c r="N77" s="359" t="str">
        <f>IFERROR(__xludf.DUMMYFUNCTION("""COMPUTED_VALUE"""),"ok")</f>
        <v>ok</v>
      </c>
      <c r="O77" s="318"/>
      <c r="P77" s="318"/>
      <c r="Q77" s="320"/>
      <c r="R77" s="321"/>
      <c r="S77" s="322"/>
      <c r="T77" s="323"/>
      <c r="U77" s="340"/>
      <c r="V77" s="324"/>
      <c r="W77" s="340"/>
      <c r="X77" s="325"/>
      <c r="Y77" s="326"/>
      <c r="Z77" s="320"/>
      <c r="AA77" s="320"/>
      <c r="AB77" s="327"/>
      <c r="AC77" s="328"/>
      <c r="AD77" s="327"/>
      <c r="AE77" s="328"/>
      <c r="AF77" s="329">
        <f>IFERROR(__xludf.DUMMYFUNCTION("""COMPUTED_VALUE"""),221.0)</f>
        <v>221</v>
      </c>
      <c r="AG77" s="330" t="str">
        <f>IFERROR(__xludf.DUMMYFUNCTION("""COMPUTED_VALUE"""),"Unsafe")</f>
        <v>Unsafe</v>
      </c>
      <c r="AH77" s="330" t="str">
        <f>IFERROR(__xludf.DUMMYFUNCTION("""COMPUTED_VALUE"""),"Unsafe NYC")</f>
        <v>Unsafe NYC</v>
      </c>
      <c r="AI77" s="330" t="str">
        <f>IFERROR(__xludf.DUMMYFUNCTION("""COMPUTED_VALUE"""),"18/10/2025 00:47:22 1800 S1 down &gt;&gt;need to check CPRI and module")</f>
        <v>18/10/2025 00:47:22 1800 S1 down &gt;&gt;need to check CPRI and module</v>
      </c>
      <c r="AJ77" s="331"/>
      <c r="AK77" s="332"/>
      <c r="AL77" s="361">
        <f>IFERROR(__xludf.DUMMYFUNCTION("""COMPUTED_VALUE"""),0.0)</f>
        <v>0</v>
      </c>
      <c r="AM77" s="361">
        <f>IFERROR(__xludf.DUMMYFUNCTION("""COMPUTED_VALUE"""),0.0)</f>
        <v>0</v>
      </c>
      <c r="AN77" s="121"/>
      <c r="AO77" s="121"/>
      <c r="AP77" s="121"/>
      <c r="AQ77" s="121"/>
      <c r="AR77" s="121"/>
      <c r="AS77" s="121"/>
      <c r="AT77" s="121"/>
    </row>
    <row r="78">
      <c r="A78" s="232">
        <f>IFERROR(__xludf.DUMMYFUNCTION("""COMPUTED_VALUE"""),75.0)</f>
        <v>75</v>
      </c>
      <c r="B78" s="181" t="str">
        <f>IFERROR(__xludf.DUMMYFUNCTION("""COMPUTED_VALUE"""),"TNI0426")</f>
        <v>TNI0426</v>
      </c>
      <c r="C78" s="317" t="str">
        <f>IFERROR(__xludf.DUMMYFUNCTION("""COMPUTED_VALUE"""),"C")</f>
        <v>C</v>
      </c>
      <c r="D78" s="181" t="str">
        <f>IFERROR(__xludf.DUMMYFUNCTION("""COMPUTED_VALUE"""),"Edotco")</f>
        <v>Edotco</v>
      </c>
      <c r="E78" s="357" t="str">
        <f>IFERROR(__xludf.DUMMYFUNCTION("""COMPUTED_VALUE"""),"T1")</f>
        <v>T1</v>
      </c>
      <c r="F78" s="181" t="str">
        <f>IFERROR(__xludf.DUMMYFUNCTION("""COMPUTED_VALUE"""),"Yebyu")</f>
        <v>Yebyu</v>
      </c>
      <c r="G78" s="181" t="str">
        <f>IFERROR(__xludf.DUMMYFUNCTION("""COMPUTED_VALUE"""),"Bone Myat Naing")</f>
        <v>Bone Myat Naing</v>
      </c>
      <c r="H78" s="232"/>
      <c r="I78" s="181"/>
      <c r="J78" s="232"/>
      <c r="K78" s="358">
        <f>IFERROR(__xludf.DUMMYFUNCTION("""COMPUTED_VALUE"""),90.0)</f>
        <v>90</v>
      </c>
      <c r="L78" s="232" t="str">
        <f>IFERROR(__xludf.DUMMYFUNCTION("""COMPUTED_VALUE"""),"24*7")</f>
        <v>24*7</v>
      </c>
      <c r="M78" s="232" t="str">
        <f>IFERROR(__xludf.DUMMYFUNCTION("""COMPUTED_VALUE"""),"1DG+BB")</f>
        <v>1DG+BB</v>
      </c>
      <c r="N78" s="359" t="str">
        <f>IFERROR(__xludf.DUMMYFUNCTION("""COMPUTED_VALUE"""),"ok")</f>
        <v>ok</v>
      </c>
      <c r="O78" s="318"/>
      <c r="P78" s="318"/>
      <c r="Q78" s="320"/>
      <c r="R78" s="321"/>
      <c r="S78" s="322"/>
      <c r="T78" s="323"/>
      <c r="U78" s="340"/>
      <c r="V78" s="324"/>
      <c r="W78" s="340"/>
      <c r="X78" s="325"/>
      <c r="Y78" s="326"/>
      <c r="Z78" s="320"/>
      <c r="AA78" s="320"/>
      <c r="AB78" s="327">
        <f>IFERROR(__xludf.DUMMYFUNCTION("""COMPUTED_VALUE"""),46184.0622337963)</f>
        <v>46184.06223</v>
      </c>
      <c r="AC78" s="328">
        <f>IFERROR(__xludf.DUMMYFUNCTION("""COMPUTED_VALUE"""),521.1357063887408)</f>
        <v>521.1357064</v>
      </c>
      <c r="AD78" s="327">
        <f>IFERROR(__xludf.DUMMYFUNCTION("""COMPUTED_VALUE"""),46184.06217592592)</f>
        <v>46184.06218</v>
      </c>
      <c r="AE78" s="328">
        <f>IFERROR(__xludf.DUMMYFUNCTION("""COMPUTED_VALUE"""),521.1370952777797)</f>
        <v>521.1370953</v>
      </c>
      <c r="AF78" s="329">
        <f>IFERROR(__xludf.DUMMYFUNCTION("""COMPUTED_VALUE"""),0.0)</f>
        <v>0</v>
      </c>
      <c r="AG78" s="330" t="str">
        <f>IFERROR(__xludf.DUMMYFUNCTION("""COMPUTED_VALUE"""),"Access Issue (War Zone)")</f>
        <v>Access Issue (War Zone)</v>
      </c>
      <c r="AH78" s="330"/>
      <c r="AI78" s="330" t="str">
        <f>IFERROR(__xludf.DUMMYFUNCTION("""COMPUTED_VALUE"""),"Local team not access")</f>
        <v>Local team not access</v>
      </c>
      <c r="AJ78" s="331"/>
      <c r="AK78" s="332"/>
      <c r="AL78" s="361">
        <f>IFERROR(__xludf.DUMMYFUNCTION("""COMPUTED_VALUE"""),0.0)</f>
        <v>0</v>
      </c>
      <c r="AM78" s="361">
        <f>IFERROR(__xludf.DUMMYFUNCTION("""COMPUTED_VALUE"""),0.0)</f>
        <v>0</v>
      </c>
      <c r="AN78" s="121"/>
      <c r="AO78" s="121"/>
      <c r="AP78" s="121"/>
      <c r="AQ78" s="121"/>
      <c r="AR78" s="121"/>
      <c r="AS78" s="121"/>
      <c r="AT78" s="121"/>
    </row>
    <row r="79">
      <c r="A79" s="232">
        <f>IFERROR(__xludf.DUMMYFUNCTION("""COMPUTED_VALUE"""),76.0)</f>
        <v>76</v>
      </c>
      <c r="B79" s="181" t="str">
        <f>IFERROR(__xludf.DUMMYFUNCTION("""COMPUTED_VALUE"""),"TNI0051")</f>
        <v>TNI0051</v>
      </c>
      <c r="C79" s="317" t="str">
        <f>IFERROR(__xludf.DUMMYFUNCTION("""COMPUTED_VALUE"""),"C")</f>
        <v>C</v>
      </c>
      <c r="D79" s="181" t="str">
        <f>IFERROR(__xludf.DUMMYFUNCTION("""COMPUTED_VALUE"""),"Mytel")</f>
        <v>Mytel</v>
      </c>
      <c r="E79" s="357" t="str">
        <f>IFERROR(__xludf.DUMMYFUNCTION("""COMPUTED_VALUE"""),"T1")</f>
        <v>T1</v>
      </c>
      <c r="F79" s="181" t="str">
        <f>IFERROR(__xludf.DUMMYFUNCTION("""COMPUTED_VALUE"""),"Launglon")</f>
        <v>Launglon</v>
      </c>
      <c r="G79" s="181" t="str">
        <f>IFERROR(__xludf.DUMMYFUNCTION("""COMPUTED_VALUE"""),"Bone Myat Naing")</f>
        <v>Bone Myat Naing</v>
      </c>
      <c r="H79" s="232"/>
      <c r="I79" s="181"/>
      <c r="J79" s="232"/>
      <c r="K79" s="358">
        <f>IFERROR(__xludf.DUMMYFUNCTION("""COMPUTED_VALUE"""),30.0)</f>
        <v>30</v>
      </c>
      <c r="L79" s="232" t="str">
        <f>IFERROR(__xludf.DUMMYFUNCTION("""COMPUTED_VALUE"""),"24*7")</f>
        <v>24*7</v>
      </c>
      <c r="M79" s="232" t="str">
        <f>IFERROR(__xludf.DUMMYFUNCTION("""COMPUTED_VALUE"""),"1DG+Grid+BB")</f>
        <v>1DG+Grid+BB</v>
      </c>
      <c r="N79" s="359" t="str">
        <f>IFERROR(__xludf.DUMMYFUNCTION("""COMPUTED_VALUE"""),"0")</f>
        <v>0</v>
      </c>
      <c r="O79" s="318">
        <f>IFERROR(__xludf.DUMMYFUNCTION("""COMPUTED_VALUE"""),46148.50809027778)</f>
        <v>46148.50809</v>
      </c>
      <c r="P79" s="318" t="str">
        <f>IFERROR(__xludf.DUMMYFUNCTION("""COMPUTED_VALUE"""),"1374:26")</f>
        <v>1374:26</v>
      </c>
      <c r="Q79" s="320" t="str">
        <f>IFERROR(__xludf.DUMMYFUNCTION("""COMPUTED_VALUE""")," +Door Alarm: 06/05/2026 15:52")</f>
        <v> +Door Alarm: 06/05/2026 15:52</v>
      </c>
      <c r="R79" s="321">
        <f>IFERROR(__xludf.DUMMYFUNCTION("""COMPUTED_VALUE"""),1369.46)</f>
        <v>1369.46</v>
      </c>
      <c r="S79" s="322"/>
      <c r="T79" s="323"/>
      <c r="U79" s="340"/>
      <c r="V79" s="324"/>
      <c r="W79" s="340"/>
      <c r="X79" s="325">
        <f>IFERROR(__xludf.DUMMYFUNCTION("""COMPUTED_VALUE"""),46148.54400462963)</f>
        <v>46148.544</v>
      </c>
      <c r="Y79" s="326">
        <f>IFERROR(__xludf.DUMMYFUNCTION("""COMPUTED_VALUE"""),1373.5732066666824)</f>
        <v>1373.573207</v>
      </c>
      <c r="Z79" s="320"/>
      <c r="AA79" s="320"/>
      <c r="AB79" s="327">
        <f>IFERROR(__xludf.DUMMYFUNCTION("""COMPUTED_VALUE"""),46179.527962962966)</f>
        <v>46179.52796</v>
      </c>
      <c r="AC79" s="328">
        <f>IFERROR(__xludf.DUMMYFUNCTION("""COMPUTED_VALUE"""),629.9582063887501)</f>
        <v>629.9582064</v>
      </c>
      <c r="AD79" s="327"/>
      <c r="AE79" s="328"/>
      <c r="AF79" s="329">
        <f>IFERROR(__xludf.DUMMYFUNCTION("""COMPUTED_VALUE"""),803.0)</f>
        <v>803</v>
      </c>
      <c r="AG79" s="330" t="str">
        <f>IFERROR(__xludf.DUMMYFUNCTION("""COMPUTED_VALUE"""),"Fuel outage and will refill soon")</f>
        <v>Fuel outage and will refill soon</v>
      </c>
      <c r="AH79" s="330"/>
      <c r="AI79" s="330" t="str">
        <f>IFERROR(__xludf.DUMMYFUNCTION("""COMPUTED_VALUE"""),"physical up")</f>
        <v>physical up</v>
      </c>
      <c r="AJ79" s="331" t="str">
        <f>IFERROR(__xludf.DUMMYFUNCTION("""COMPUTED_VALUE"""),"Equip_ Data Cable Error (Y-Link,CPRI,Bus)")</f>
        <v>Equip_ Data Cable Error (Y-Link,CPRI,Bus)</v>
      </c>
      <c r="AK79" s="332" t="str">
        <f>IFERROR(__xludf.DUMMYFUNCTION("""COMPUTED_VALUE"""),"2100 S1 down , Need to check CPRI and module")</f>
        <v>2100 S1 down , Need to check CPRI and module</v>
      </c>
      <c r="AL79" s="361">
        <f>IFERROR(__xludf.DUMMYFUNCTION("""COMPUTED_VALUE"""),0.0)</f>
        <v>0</v>
      </c>
      <c r="AM79" s="361">
        <f>IFERROR(__xludf.DUMMYFUNCTION("""COMPUTED_VALUE"""),0.0)</f>
        <v>0</v>
      </c>
      <c r="AN79" s="121"/>
      <c r="AO79" s="121"/>
      <c r="AP79" s="121"/>
      <c r="AQ79" s="121"/>
      <c r="AR79" s="121"/>
      <c r="AS79" s="121"/>
      <c r="AT79" s="121"/>
    </row>
    <row r="80">
      <c r="A80" s="232">
        <f>IFERROR(__xludf.DUMMYFUNCTION("""COMPUTED_VALUE"""),77.0)</f>
        <v>77</v>
      </c>
      <c r="B80" s="181" t="str">
        <f>IFERROR(__xludf.DUMMYFUNCTION("""COMPUTED_VALUE"""),"TNI0052")</f>
        <v>TNI0052</v>
      </c>
      <c r="C80" s="317" t="str">
        <f>IFERROR(__xludf.DUMMYFUNCTION("""COMPUTED_VALUE"""),"C")</f>
        <v>C</v>
      </c>
      <c r="D80" s="181" t="str">
        <f>IFERROR(__xludf.DUMMYFUNCTION("""COMPUTED_VALUE"""),"Mytel")</f>
        <v>Mytel</v>
      </c>
      <c r="E80" s="357" t="str">
        <f>IFERROR(__xludf.DUMMYFUNCTION("""COMPUTED_VALUE"""),"T1")</f>
        <v>T1</v>
      </c>
      <c r="F80" s="181" t="str">
        <f>IFERROR(__xludf.DUMMYFUNCTION("""COMPUTED_VALUE"""),"Launglon")</f>
        <v>Launglon</v>
      </c>
      <c r="G80" s="181" t="str">
        <f>IFERROR(__xludf.DUMMYFUNCTION("""COMPUTED_VALUE"""),"Bone Myat Naing")</f>
        <v>Bone Myat Naing</v>
      </c>
      <c r="H80" s="232"/>
      <c r="I80" s="181"/>
      <c r="J80" s="232" t="str">
        <f>IFERROR(__xludf.DUMMYFUNCTION("""COMPUTED_VALUE"""),"OLT")</f>
        <v>OLT</v>
      </c>
      <c r="K80" s="358">
        <f>IFERROR(__xludf.DUMMYFUNCTION("""COMPUTED_VALUE"""),90.0)</f>
        <v>90</v>
      </c>
      <c r="L80" s="232" t="str">
        <f>IFERROR(__xludf.DUMMYFUNCTION("""COMPUTED_VALUE"""),"24*7")</f>
        <v>24*7</v>
      </c>
      <c r="M80" s="232" t="str">
        <f>IFERROR(__xludf.DUMMYFUNCTION("""COMPUTED_VALUE"""),"1DG+BB")</f>
        <v>1DG+BB</v>
      </c>
      <c r="N80" s="359" t="str">
        <f>IFERROR(__xludf.DUMMYFUNCTION("""COMPUTED_VALUE"""),"0")</f>
        <v>0</v>
      </c>
      <c r="O80" s="318">
        <f>IFERROR(__xludf.DUMMYFUNCTION("""COMPUTED_VALUE"""),45848.450219907405)</f>
        <v>45848.45022</v>
      </c>
      <c r="P80" s="318" t="str">
        <f>IFERROR(__xludf.DUMMYFUNCTION("""COMPUTED_VALUE"""),"8575:49")</f>
        <v>8575:49</v>
      </c>
      <c r="Q80" s="320"/>
      <c r="R80" s="321"/>
      <c r="S80" s="322"/>
      <c r="T80" s="323"/>
      <c r="U80" s="340"/>
      <c r="V80" s="324" t="str">
        <f>IFERROR(__xludf.DUMMYFUNCTION("""COMPUTED_VALUE"""),"27295.75")</f>
        <v>27295.75</v>
      </c>
      <c r="W80" s="340"/>
      <c r="X80" s="325"/>
      <c r="Y80" s="326"/>
      <c r="Z80" s="320"/>
      <c r="AA80" s="320"/>
      <c r="AB80" s="327">
        <f>IFERROR(__xludf.DUMMYFUNCTION("""COMPUTED_VALUE"""),46203.88134259259)</f>
        <v>46203.88134</v>
      </c>
      <c r="AC80" s="328">
        <f>IFERROR(__xludf.DUMMYFUNCTION("""COMPUTED_VALUE"""),45.47709527774714)</f>
        <v>45.47709528</v>
      </c>
      <c r="AD80" s="327"/>
      <c r="AE80" s="328"/>
      <c r="AF80" s="329">
        <f>IFERROR(__xludf.DUMMYFUNCTION("""COMPUTED_VALUE"""),676.0)</f>
        <v>676</v>
      </c>
      <c r="AG80" s="330" t="str">
        <f>IFERROR(__xludf.DUMMYFUNCTION("""COMPUTED_VALUE"""),"Fuel outage, today will refill")</f>
        <v>Fuel outage, today will refill</v>
      </c>
      <c r="AH80" s="330"/>
      <c r="AI80" s="330"/>
      <c r="AJ80" s="331" t="str">
        <f>IFERROR(__xludf.DUMMYFUNCTION("""COMPUTED_VALUE"""),"Equip_ Data Cable Error (Y-Link,CPRI,Bus)")</f>
        <v>Equip_ Data Cable Error (Y-Link,CPRI,Bus)</v>
      </c>
      <c r="AK80" s="332" t="str">
        <f>IFERROR(__xludf.DUMMYFUNCTION("""COMPUTED_VALUE"""),"1800 S3 down, need to check CPRI and module")</f>
        <v>1800 S3 down, need to check CPRI and module</v>
      </c>
      <c r="AL80" s="361">
        <f>IFERROR(__xludf.DUMMYFUNCTION("""COMPUTED_VALUE"""),0.0)</f>
        <v>0</v>
      </c>
      <c r="AM80" s="361">
        <f>IFERROR(__xludf.DUMMYFUNCTION("""COMPUTED_VALUE"""),0.0)</f>
        <v>0</v>
      </c>
      <c r="AN80" s="121"/>
      <c r="AO80" s="121"/>
      <c r="AP80" s="121"/>
      <c r="AQ80" s="121"/>
      <c r="AR80" s="121"/>
      <c r="AS80" s="121"/>
      <c r="AT80" s="121"/>
    </row>
    <row r="81">
      <c r="A81" s="232">
        <f>IFERROR(__xludf.DUMMYFUNCTION("""COMPUTED_VALUE"""),78.0)</f>
        <v>78</v>
      </c>
      <c r="B81" s="181" t="str">
        <f>IFERROR(__xludf.DUMMYFUNCTION("""COMPUTED_VALUE"""),"TNI0360")</f>
        <v>TNI0360</v>
      </c>
      <c r="C81" s="317" t="str">
        <f>IFERROR(__xludf.DUMMYFUNCTION("""COMPUTED_VALUE"""),"C")</f>
        <v>C</v>
      </c>
      <c r="D81" s="181" t="str">
        <f>IFERROR(__xludf.DUMMYFUNCTION("""COMPUTED_VALUE"""),"EFT")</f>
        <v>EFT</v>
      </c>
      <c r="E81" s="357" t="str">
        <f>IFERROR(__xludf.DUMMYFUNCTION("""COMPUTED_VALUE"""),"T1")</f>
        <v>T1</v>
      </c>
      <c r="F81" s="181" t="str">
        <f>IFERROR(__xludf.DUMMYFUNCTION("""COMPUTED_VALUE"""),"Launglon")</f>
        <v>Launglon</v>
      </c>
      <c r="G81" s="181" t="str">
        <f>IFERROR(__xludf.DUMMYFUNCTION("""COMPUTED_VALUE"""),"Bone Myat Naing")</f>
        <v>Bone Myat Naing</v>
      </c>
      <c r="H81" s="232" t="str">
        <f>IFERROR(__xludf.DUMMYFUNCTION("""COMPUTED_VALUE"""),"Mg Myo Thu: 09791489539")</f>
        <v>Mg Myo Thu: 09791489539</v>
      </c>
      <c r="I81" s="181"/>
      <c r="J81" s="232"/>
      <c r="K81" s="358">
        <f>IFERROR(__xludf.DUMMYFUNCTION("""COMPUTED_VALUE"""),120.0)</f>
        <v>120</v>
      </c>
      <c r="L81" s="232" t="str">
        <f>IFERROR(__xludf.DUMMYFUNCTION("""COMPUTED_VALUE"""),"24*7")</f>
        <v>24*7</v>
      </c>
      <c r="M81" s="232" t="str">
        <f>IFERROR(__xludf.DUMMYFUNCTION("""COMPUTED_VALUE"""),"1DG+BB")</f>
        <v>1DG+BB</v>
      </c>
      <c r="N81" s="359" t="str">
        <f>IFERROR(__xludf.DUMMYFUNCTION("""COMPUTED_VALUE"""),"ok")</f>
        <v>ok</v>
      </c>
      <c r="O81" s="318"/>
      <c r="P81" s="318"/>
      <c r="Q81" s="320"/>
      <c r="R81" s="321"/>
      <c r="S81" s="322"/>
      <c r="T81" s="323"/>
      <c r="U81" s="340"/>
      <c r="V81" s="324"/>
      <c r="W81" s="340"/>
      <c r="X81" s="325"/>
      <c r="Y81" s="326"/>
      <c r="Z81" s="320"/>
      <c r="AA81" s="320"/>
      <c r="AB81" s="327"/>
      <c r="AC81" s="328"/>
      <c r="AD81" s="327"/>
      <c r="AE81" s="328"/>
      <c r="AF81" s="329">
        <f>IFERROR(__xludf.DUMMYFUNCTION("""COMPUTED_VALUE"""),2116.0)</f>
        <v>2116</v>
      </c>
      <c r="AG81" s="330" t="str">
        <f>IFERROR(__xludf.DUMMYFUNCTION("""COMPUTED_VALUE"""),"Checking with TCO team ")</f>
        <v>Checking with TCO team </v>
      </c>
      <c r="AH81" s="330"/>
      <c r="AI81" s="330"/>
      <c r="AJ81" s="331"/>
      <c r="AK81" s="332"/>
      <c r="AL81" s="361">
        <f>IFERROR(__xludf.DUMMYFUNCTION("""COMPUTED_VALUE"""),0.0)</f>
        <v>0</v>
      </c>
      <c r="AM81" s="361">
        <f>IFERROR(__xludf.DUMMYFUNCTION("""COMPUTED_VALUE"""),0.0)</f>
        <v>0</v>
      </c>
      <c r="AN81" s="121"/>
      <c r="AO81" s="121"/>
      <c r="AP81" s="121"/>
      <c r="AQ81" s="121"/>
      <c r="AR81" s="121"/>
      <c r="AS81" s="121"/>
      <c r="AT81" s="121"/>
    </row>
    <row r="82">
      <c r="A82" s="232">
        <f>IFERROR(__xludf.DUMMYFUNCTION("""COMPUTED_VALUE"""),79.0)</f>
        <v>79</v>
      </c>
      <c r="B82" s="181" t="str">
        <f>IFERROR(__xludf.DUMMYFUNCTION("""COMPUTED_VALUE"""),"TNI0356")</f>
        <v>TNI0356</v>
      </c>
      <c r="C82" s="317" t="str">
        <f>IFERROR(__xludf.DUMMYFUNCTION("""COMPUTED_VALUE"""),"B")</f>
        <v>B</v>
      </c>
      <c r="D82" s="181" t="str">
        <f>IFERROR(__xludf.DUMMYFUNCTION("""COMPUTED_VALUE"""),"IGT")</f>
        <v>IGT</v>
      </c>
      <c r="E82" s="357" t="str">
        <f>IFERROR(__xludf.DUMMYFUNCTION("""COMPUTED_VALUE"""),"T1")</f>
        <v>T1</v>
      </c>
      <c r="F82" s="181" t="str">
        <f>IFERROR(__xludf.DUMMYFUNCTION("""COMPUTED_VALUE"""),"Launglon")</f>
        <v>Launglon</v>
      </c>
      <c r="G82" s="181" t="str">
        <f>IFERROR(__xludf.DUMMYFUNCTION("""COMPUTED_VALUE"""),"Bone Myat Naing")</f>
        <v>Bone Myat Naing</v>
      </c>
      <c r="H82" s="232"/>
      <c r="I82" s="181"/>
      <c r="J82" s="232"/>
      <c r="K82" s="358">
        <f>IFERROR(__xludf.DUMMYFUNCTION("""COMPUTED_VALUE"""),45.0)</f>
        <v>45</v>
      </c>
      <c r="L82" s="232" t="str">
        <f>IFERROR(__xludf.DUMMYFUNCTION("""COMPUTED_VALUE"""),"24*7")</f>
        <v>24*7</v>
      </c>
      <c r="M82" s="232" t="str">
        <f>IFERROR(__xludf.DUMMYFUNCTION("""COMPUTED_VALUE"""),"1DG+BB")</f>
        <v>1DG+BB</v>
      </c>
      <c r="N82" s="359" t="str">
        <f>IFERROR(__xludf.DUMMYFUNCTION("""COMPUTED_VALUE"""),"ok")</f>
        <v>ok</v>
      </c>
      <c r="O82" s="318"/>
      <c r="P82" s="318"/>
      <c r="Q82" s="320"/>
      <c r="R82" s="321"/>
      <c r="S82" s="322"/>
      <c r="T82" s="323"/>
      <c r="U82" s="340"/>
      <c r="V82" s="324"/>
      <c r="W82" s="340"/>
      <c r="X82" s="325"/>
      <c r="Y82" s="326"/>
      <c r="Z82" s="320"/>
      <c r="AA82" s="320"/>
      <c r="AB82" s="327"/>
      <c r="AC82" s="328"/>
      <c r="AD82" s="327"/>
      <c r="AE82" s="328"/>
      <c r="AF82" s="329">
        <f>IFERROR(__xludf.DUMMYFUNCTION("""COMPUTED_VALUE"""),1292.0)</f>
        <v>1292</v>
      </c>
      <c r="AG82" s="330" t="str">
        <f>IFERROR(__xludf.DUMMYFUNCTION("""COMPUTED_VALUE"""),"Team splicing at the fault point")</f>
        <v>Team splicing at the fault point</v>
      </c>
      <c r="AH82" s="330"/>
      <c r="AI82" s="330"/>
      <c r="AJ82" s="331"/>
      <c r="AK82" s="332"/>
      <c r="AL82" s="361">
        <f>IFERROR(__xludf.DUMMYFUNCTION("""COMPUTED_VALUE"""),0.0)</f>
        <v>0</v>
      </c>
      <c r="AM82" s="361">
        <f>IFERROR(__xludf.DUMMYFUNCTION("""COMPUTED_VALUE"""),0.0)</f>
        <v>0</v>
      </c>
      <c r="AN82" s="121"/>
      <c r="AO82" s="121"/>
      <c r="AP82" s="121"/>
      <c r="AQ82" s="121"/>
      <c r="AR82" s="121"/>
      <c r="AS82" s="121"/>
      <c r="AT82" s="121"/>
    </row>
    <row r="83">
      <c r="A83" s="232">
        <f>IFERROR(__xludf.DUMMYFUNCTION("""COMPUTED_VALUE"""),80.0)</f>
        <v>80</v>
      </c>
      <c r="B83" s="181" t="str">
        <f>IFERROR(__xludf.DUMMYFUNCTION("""COMPUTED_VALUE"""),"TNI0366")</f>
        <v>TNI0366</v>
      </c>
      <c r="C83" s="317" t="str">
        <f>IFERROR(__xludf.DUMMYFUNCTION("""COMPUTED_VALUE"""),"C")</f>
        <v>C</v>
      </c>
      <c r="D83" s="181" t="str">
        <f>IFERROR(__xludf.DUMMYFUNCTION("""COMPUTED_VALUE"""),"MEC.PNC")</f>
        <v>MEC.PNC</v>
      </c>
      <c r="E83" s="357" t="str">
        <f>IFERROR(__xludf.DUMMYFUNCTION("""COMPUTED_VALUE"""),"T1")</f>
        <v>T1</v>
      </c>
      <c r="F83" s="181" t="str">
        <f>IFERROR(__xludf.DUMMYFUNCTION("""COMPUTED_VALUE"""),"Launglon")</f>
        <v>Launglon</v>
      </c>
      <c r="G83" s="181" t="str">
        <f>IFERROR(__xludf.DUMMYFUNCTION("""COMPUTED_VALUE"""),"Win Htet Aung")</f>
        <v>Win Htet Aung</v>
      </c>
      <c r="H83" s="232"/>
      <c r="I83" s="181"/>
      <c r="J83" s="232"/>
      <c r="K83" s="358">
        <f>IFERROR(__xludf.DUMMYFUNCTION("""COMPUTED_VALUE"""),50.0)</f>
        <v>50</v>
      </c>
      <c r="L83" s="232" t="str">
        <f>IFERROR(__xludf.DUMMYFUNCTION("""COMPUTED_VALUE"""),"24*7")</f>
        <v>24*7</v>
      </c>
      <c r="M83" s="232" t="str">
        <f>IFERROR(__xludf.DUMMYFUNCTION("""COMPUTED_VALUE"""),"1DG+BB")</f>
        <v>1DG+BB</v>
      </c>
      <c r="N83" s="359" t="str">
        <f>IFERROR(__xludf.DUMMYFUNCTION("""COMPUTED_VALUE"""),"ok")</f>
        <v>ok</v>
      </c>
      <c r="O83" s="318"/>
      <c r="P83" s="318"/>
      <c r="Q83" s="320"/>
      <c r="R83" s="321"/>
      <c r="S83" s="322"/>
      <c r="T83" s="323"/>
      <c r="U83" s="340"/>
      <c r="V83" s="324"/>
      <c r="W83" s="340"/>
      <c r="X83" s="325"/>
      <c r="Y83" s="326"/>
      <c r="Z83" s="320"/>
      <c r="AA83" s="320"/>
      <c r="AB83" s="327"/>
      <c r="AC83" s="328"/>
      <c r="AD83" s="327"/>
      <c r="AE83" s="328"/>
      <c r="AF83" s="329">
        <f>IFERROR(__xludf.DUMMYFUNCTION("""COMPUTED_VALUE"""),355.0)</f>
        <v>355</v>
      </c>
      <c r="AG83" s="330" t="str">
        <f>IFERROR(__xludf.DUMMYFUNCTION("""COMPUTED_VALUE"""),"Hub site TNI0216 down")</f>
        <v>Hub site TNI0216 down</v>
      </c>
      <c r="AH83" s="330"/>
      <c r="AI83" s="330"/>
      <c r="AJ83" s="331"/>
      <c r="AK83" s="332"/>
      <c r="AL83" s="361">
        <f>IFERROR(__xludf.DUMMYFUNCTION("""COMPUTED_VALUE"""),0.0)</f>
        <v>0</v>
      </c>
      <c r="AM83" s="361">
        <f>IFERROR(__xludf.DUMMYFUNCTION("""COMPUTED_VALUE"""),0.0)</f>
        <v>0</v>
      </c>
      <c r="AN83" s="121"/>
      <c r="AO83" s="121"/>
      <c r="AP83" s="121"/>
      <c r="AQ83" s="121"/>
      <c r="AR83" s="121"/>
      <c r="AS83" s="121"/>
      <c r="AT83" s="121"/>
    </row>
    <row r="84">
      <c r="A84" s="232">
        <f>IFERROR(__xludf.DUMMYFUNCTION("""COMPUTED_VALUE"""),81.0)</f>
        <v>81</v>
      </c>
      <c r="B84" s="181" t="str">
        <f>IFERROR(__xludf.DUMMYFUNCTION("""COMPUTED_VALUE"""),"TNI0211")</f>
        <v>TNI0211</v>
      </c>
      <c r="C84" s="317" t="str">
        <f>IFERROR(__xludf.DUMMYFUNCTION("""COMPUTED_VALUE"""),"B")</f>
        <v>B</v>
      </c>
      <c r="D84" s="181" t="str">
        <f>IFERROR(__xludf.DUMMYFUNCTION("""COMPUTED_VALUE"""),"Mytel")</f>
        <v>Mytel</v>
      </c>
      <c r="E84" s="357" t="str">
        <f>IFERROR(__xludf.DUMMYFUNCTION("""COMPUTED_VALUE"""),"T1")</f>
        <v>T1</v>
      </c>
      <c r="F84" s="181" t="str">
        <f>IFERROR(__xludf.DUMMYFUNCTION("""COMPUTED_VALUE"""),"Launglon")</f>
        <v>Launglon</v>
      </c>
      <c r="G84" s="181" t="str">
        <f>IFERROR(__xludf.DUMMYFUNCTION("""COMPUTED_VALUE"""),"Bone Myat Naing")</f>
        <v>Bone Myat Naing</v>
      </c>
      <c r="H84" s="232"/>
      <c r="I84" s="181"/>
      <c r="J84" s="232"/>
      <c r="K84" s="358">
        <f>IFERROR(__xludf.DUMMYFUNCTION("""COMPUTED_VALUE"""),90.0)</f>
        <v>90</v>
      </c>
      <c r="L84" s="232" t="str">
        <f>IFERROR(__xludf.DUMMYFUNCTION("""COMPUTED_VALUE"""),"24*7")</f>
        <v>24*7</v>
      </c>
      <c r="M84" s="232" t="str">
        <f>IFERROR(__xludf.DUMMYFUNCTION("""COMPUTED_VALUE"""),"1DG+Grid+BB")</f>
        <v>1DG+Grid+BB</v>
      </c>
      <c r="N84" s="359" t="str">
        <f>IFERROR(__xludf.DUMMYFUNCTION("""COMPUTED_VALUE"""),"0")</f>
        <v>0</v>
      </c>
      <c r="O84" s="318">
        <f>IFERROR(__xludf.DUMMYFUNCTION("""COMPUTED_VALUE"""),45066.34633101852)</f>
        <v>45066.34633</v>
      </c>
      <c r="P84" s="318" t="str">
        <f>IFERROR(__xludf.DUMMYFUNCTION("""COMPUTED_VALUE"""),"27346:19")</f>
        <v>27346:19</v>
      </c>
      <c r="Q84" s="320"/>
      <c r="R84" s="321"/>
      <c r="S84" s="322"/>
      <c r="T84" s="323"/>
      <c r="U84" s="340"/>
      <c r="V84" s="324"/>
      <c r="W84" s="340"/>
      <c r="X84" s="325">
        <f>IFERROR(__xludf.DUMMYFUNCTION("""COMPUTED_VALUE"""),45061.46622685185)</f>
        <v>45061.46623</v>
      </c>
      <c r="Y84" s="326">
        <f>IFERROR(__xludf.DUMMYFUNCTION("""COMPUTED_VALUE"""),27463.439873333322)</f>
        <v>27463.43987</v>
      </c>
      <c r="Z84" s="320"/>
      <c r="AA84" s="320"/>
      <c r="AB84" s="327"/>
      <c r="AC84" s="328"/>
      <c r="AD84" s="327"/>
      <c r="AE84" s="328"/>
      <c r="AF84" s="329">
        <f>IFERROR(__xludf.DUMMYFUNCTION("""COMPUTED_VALUE"""),453.0)</f>
        <v>453</v>
      </c>
      <c r="AG84" s="330" t="str">
        <f>IFERROR(__xludf.DUMMYFUNCTION("""COMPUTED_VALUE"""),"Fuel outage, checking with team")</f>
        <v>Fuel outage, checking with team</v>
      </c>
      <c r="AH84" s="330" t="str">
        <f>IFERROR(__xludf.DUMMYFUNCTION("""COMPUTED_VALUE"""),"T-NYC")</f>
        <v>T-NYC</v>
      </c>
      <c r="AI84" s="330"/>
      <c r="AJ84" s="331"/>
      <c r="AK84" s="332"/>
      <c r="AL84" s="361">
        <f>IFERROR(__xludf.DUMMYFUNCTION("""COMPUTED_VALUE"""),0.0)</f>
        <v>0</v>
      </c>
      <c r="AM84" s="361">
        <f>IFERROR(__xludf.DUMMYFUNCTION("""COMPUTED_VALUE"""),0.0)</f>
        <v>0</v>
      </c>
      <c r="AN84" s="121"/>
      <c r="AO84" s="121"/>
      <c r="AP84" s="121"/>
      <c r="AQ84" s="121"/>
      <c r="AR84" s="121"/>
      <c r="AS84" s="121"/>
      <c r="AT84" s="121"/>
    </row>
    <row r="85">
      <c r="A85" s="232">
        <f>IFERROR(__xludf.DUMMYFUNCTION("""COMPUTED_VALUE"""),82.0)</f>
        <v>82</v>
      </c>
      <c r="B85" s="181" t="str">
        <f>IFERROR(__xludf.DUMMYFUNCTION("""COMPUTED_VALUE"""),"TNI0305")</f>
        <v>TNI0305</v>
      </c>
      <c r="C85" s="317" t="str">
        <f>IFERROR(__xludf.DUMMYFUNCTION("""COMPUTED_VALUE"""),"C")</f>
        <v>C</v>
      </c>
      <c r="D85" s="181" t="str">
        <f>IFERROR(__xludf.DUMMYFUNCTION("""COMPUTED_VALUE"""),"Mytel")</f>
        <v>Mytel</v>
      </c>
      <c r="E85" s="357" t="str">
        <f>IFERROR(__xludf.DUMMYFUNCTION("""COMPUTED_VALUE"""),"T1")</f>
        <v>T1</v>
      </c>
      <c r="F85" s="181" t="str">
        <f>IFERROR(__xludf.DUMMYFUNCTION("""COMPUTED_VALUE"""),"Launglon")</f>
        <v>Launglon</v>
      </c>
      <c r="G85" s="181" t="str">
        <f>IFERROR(__xludf.DUMMYFUNCTION("""COMPUTED_VALUE"""),"Bone Myat Naing")</f>
        <v>Bone Myat Naing</v>
      </c>
      <c r="H85" s="232" t="str">
        <f>IFERROR(__xludf.DUMMYFUNCTION("""COMPUTED_VALUE"""),"Daw lay: 09261666854")</f>
        <v>Daw lay: 09261666854</v>
      </c>
      <c r="I85" s="181"/>
      <c r="J85" s="232"/>
      <c r="K85" s="358">
        <f>IFERROR(__xludf.DUMMYFUNCTION("""COMPUTED_VALUE"""),60.0)</f>
        <v>60</v>
      </c>
      <c r="L85" s="232" t="str">
        <f>IFERROR(__xludf.DUMMYFUNCTION("""COMPUTED_VALUE"""),"24*7")</f>
        <v>24*7</v>
      </c>
      <c r="M85" s="232" t="str">
        <f>IFERROR(__xludf.DUMMYFUNCTION("""COMPUTED_VALUE"""),"1DG+Grid+BB")</f>
        <v>1DG+Grid+BB</v>
      </c>
      <c r="N85" s="359" t="str">
        <f>IFERROR(__xludf.DUMMYFUNCTION("""COMPUTED_VALUE"""),"ok")</f>
        <v>ok</v>
      </c>
      <c r="O85" s="318"/>
      <c r="P85" s="318"/>
      <c r="Q85" s="320" t="str">
        <f>IFERROR(__xludf.DUMMYFUNCTION("""COMPUTED_VALUE""")," +Door Alarm: 30/10/2025 11:05")</f>
        <v> +Door Alarm: 30/10/2025 11:05</v>
      </c>
      <c r="R85" s="321">
        <f>IFERROR(__xludf.DUMMYFUNCTION("""COMPUTED_VALUE"""),5886.24)</f>
        <v>5886.24</v>
      </c>
      <c r="S85" s="322"/>
      <c r="T85" s="323"/>
      <c r="U85" s="340"/>
      <c r="V85" s="324"/>
      <c r="W85" s="340"/>
      <c r="X85" s="325"/>
      <c r="Y85" s="326"/>
      <c r="Z85" s="320"/>
      <c r="AA85" s="320"/>
      <c r="AB85" s="327">
        <f>IFERROR(__xludf.DUMMYFUNCTION("""COMPUTED_VALUE"""),46203.881886574076)</f>
        <v>46203.88189</v>
      </c>
      <c r="AC85" s="328">
        <f>IFERROR(__xludf.DUMMYFUNCTION("""COMPUTED_VALUE"""),45.46403999993345)</f>
        <v>45.46404</v>
      </c>
      <c r="AD85" s="327">
        <f>IFERROR(__xludf.DUMMYFUNCTION("""COMPUTED_VALUE"""),46203.88423611112)</f>
        <v>46203.88424</v>
      </c>
      <c r="AE85" s="328">
        <f>IFERROR(__xludf.DUMMYFUNCTION("""COMPUTED_VALUE"""),45.40765111113433)</f>
        <v>45.40765111</v>
      </c>
      <c r="AF85" s="329">
        <f>IFERROR(__xludf.DUMMYFUNCTION("""COMPUTED_VALUE"""),508.0)</f>
        <v>508</v>
      </c>
      <c r="AG85" s="330" t="str">
        <f>IFERROR(__xludf.DUMMYFUNCTION("""COMPUTED_VALUE"""),"Today ground condition not good, tmr will check again")</f>
        <v>Today ground condition not good, tmr will check again</v>
      </c>
      <c r="AH85" s="330" t="str">
        <f>IFERROR(__xludf.DUMMYFUNCTION("""COMPUTED_VALUE"""),"Run MDG")</f>
        <v>Run MDG</v>
      </c>
      <c r="AI85" s="330"/>
      <c r="AJ85" s="331" t="str">
        <f>IFERROR(__xludf.DUMMYFUNCTION("""COMPUTED_VALUE"""),"Natural Calamity_Cannot Get To Site Because Of Natural Calamity,Security Problems")</f>
        <v>Natural Calamity_Cannot Get To Site Because Of Natural Calamity,Security Problems</v>
      </c>
      <c r="AK85" s="332" t="str">
        <f>IFERROR(__xludf.DUMMYFUNCTION("""COMPUTED_VALUE"""),"Unsafe")</f>
        <v>Unsafe</v>
      </c>
      <c r="AL85" s="361">
        <f>IFERROR(__xludf.DUMMYFUNCTION("""COMPUTED_VALUE"""),1.0)</f>
        <v>1</v>
      </c>
      <c r="AM85" s="361">
        <f>IFERROR(__xludf.DUMMYFUNCTION("""COMPUTED_VALUE"""),2.0)</f>
        <v>2</v>
      </c>
      <c r="AN85" s="121"/>
      <c r="AO85" s="121"/>
      <c r="AP85" s="121"/>
      <c r="AQ85" s="121"/>
      <c r="AR85" s="121"/>
      <c r="AS85" s="121"/>
      <c r="AT85" s="121"/>
    </row>
    <row r="86">
      <c r="A86" s="232">
        <f>IFERROR(__xludf.DUMMYFUNCTION("""COMPUTED_VALUE"""),83.0)</f>
        <v>83</v>
      </c>
      <c r="B86" s="181" t="str">
        <f>IFERROR(__xludf.DUMMYFUNCTION("""COMPUTED_VALUE"""),"TNI0306")</f>
        <v>TNI0306</v>
      </c>
      <c r="C86" s="317" t="str">
        <f>IFERROR(__xludf.DUMMYFUNCTION("""COMPUTED_VALUE"""),"C")</f>
        <v>C</v>
      </c>
      <c r="D86" s="181" t="str">
        <f>IFERROR(__xludf.DUMMYFUNCTION("""COMPUTED_VALUE"""),"Mytel")</f>
        <v>Mytel</v>
      </c>
      <c r="E86" s="357" t="str">
        <f>IFERROR(__xludf.DUMMYFUNCTION("""COMPUTED_VALUE"""),"T1")</f>
        <v>T1</v>
      </c>
      <c r="F86" s="181" t="str">
        <f>IFERROR(__xludf.DUMMYFUNCTION("""COMPUTED_VALUE"""),"Launglon")</f>
        <v>Launglon</v>
      </c>
      <c r="G86" s="181" t="str">
        <f>IFERROR(__xludf.DUMMYFUNCTION("""COMPUTED_VALUE"""),"Bone Myat Naing")</f>
        <v>Bone Myat Naing</v>
      </c>
      <c r="H86" s="232"/>
      <c r="I86" s="181"/>
      <c r="J86" s="232"/>
      <c r="K86" s="358">
        <f>IFERROR(__xludf.DUMMYFUNCTION("""COMPUTED_VALUE"""),60.0)</f>
        <v>60</v>
      </c>
      <c r="L86" s="232" t="str">
        <f>IFERROR(__xludf.DUMMYFUNCTION("""COMPUTED_VALUE"""),"24*7")</f>
        <v>24*7</v>
      </c>
      <c r="M86" s="232" t="str">
        <f>IFERROR(__xludf.DUMMYFUNCTION("""COMPUTED_VALUE"""),"1DG+Grid+BB")</f>
        <v>1DG+Grid+BB</v>
      </c>
      <c r="N86" s="359" t="str">
        <f>IFERROR(__xludf.DUMMYFUNCTION("""COMPUTED_VALUE"""),"154")</f>
        <v>154</v>
      </c>
      <c r="O86" s="318">
        <f>IFERROR(__xludf.DUMMYFUNCTION("""COMPUTED_VALUE"""),46184.56768518519)</f>
        <v>46184.56769</v>
      </c>
      <c r="P86" s="318" t="str">
        <f>IFERROR(__xludf.DUMMYFUNCTION("""COMPUTED_VALUE"""),"509:0")</f>
        <v>509:0</v>
      </c>
      <c r="Q86" s="320" t="str">
        <f>IFERROR(__xludf.DUMMYFUNCTION("""COMPUTED_VALUE""")," +Door Alarm: 04/10/2025 06:25")</f>
        <v> +Door Alarm: 04/10/2025 06:25</v>
      </c>
      <c r="R86" s="321">
        <f>IFERROR(__xludf.DUMMYFUNCTION("""COMPUTED_VALUE"""),6514.91)</f>
        <v>6514.91</v>
      </c>
      <c r="S86" s="322">
        <f>IFERROR(__xludf.DUMMYFUNCTION("""COMPUTED_VALUE"""),46205.71449074074)</f>
        <v>46205.71449</v>
      </c>
      <c r="T86" s="323">
        <f>IFERROR(__xludf.DUMMYFUNCTION("""COMPUTED_VALUE"""),1.4815399999497458)</f>
        <v>1.48154</v>
      </c>
      <c r="U86" s="340" t="str">
        <f>IFERROR(__xludf.DUMMYFUNCTION("""COMPUTED_VALUE"""),"28.19")</f>
        <v>28.19</v>
      </c>
      <c r="V86" s="324"/>
      <c r="W86" s="340"/>
      <c r="X86" s="325"/>
      <c r="Y86" s="326"/>
      <c r="Z86" s="320"/>
      <c r="AA86" s="320"/>
      <c r="AB86" s="327">
        <f>IFERROR(__xludf.DUMMYFUNCTION("""COMPUTED_VALUE"""),46190.28407407408)</f>
        <v>46190.28407</v>
      </c>
      <c r="AC86" s="328">
        <f>IFERROR(__xludf.DUMMYFUNCTION("""COMPUTED_VALUE"""),371.81154000002425)</f>
        <v>371.81154</v>
      </c>
      <c r="AD86" s="327"/>
      <c r="AE86" s="328"/>
      <c r="AF86" s="329">
        <f>IFERROR(__xludf.DUMMYFUNCTION("""COMPUTED_VALUE"""),845.0)</f>
        <v>845</v>
      </c>
      <c r="AG86" s="330" t="str">
        <f>IFERROR(__xludf.DUMMYFUNCTION("""COMPUTED_VALUE"""),"Fuel outage issue and team going on the way")</f>
        <v>Fuel outage issue and team going on the way</v>
      </c>
      <c r="AH86" s="330" t="str">
        <f>IFERROR(__xludf.DUMMYFUNCTION("""COMPUTED_VALUE"""),"T-NYC")</f>
        <v>T-NYC</v>
      </c>
      <c r="AI86" s="330" t="str">
        <f>IFERROR(__xludf.DUMMYFUNCTION("""COMPUTED_VALUE"""),"CPRI")</f>
        <v>CPRI</v>
      </c>
      <c r="AJ86" s="331" t="str">
        <f>IFERROR(__xludf.DUMMYFUNCTION("""COMPUTED_VALUE"""),"Equip_ Data Cable Error (Y-Link,CPRI,Bus)")</f>
        <v>Equip_ Data Cable Error (Y-Link,CPRI,Bus)</v>
      </c>
      <c r="AK86" s="332" t="str">
        <f>IFERROR(__xludf.DUMMYFUNCTION("""COMPUTED_VALUE"""),"2100 S2 down&gt;&gt; Need to check CPRI and module")</f>
        <v>2100 S2 down&gt;&gt; Need to check CPRI and module</v>
      </c>
      <c r="AL86" s="361">
        <f>IFERROR(__xludf.DUMMYFUNCTION("""COMPUTED_VALUE"""),0.0)</f>
        <v>0</v>
      </c>
      <c r="AM86" s="361">
        <f>IFERROR(__xludf.DUMMYFUNCTION("""COMPUTED_VALUE"""),0.0)</f>
        <v>0</v>
      </c>
      <c r="AN86" s="121"/>
      <c r="AO86" s="121"/>
      <c r="AP86" s="121"/>
      <c r="AQ86" s="121"/>
      <c r="AR86" s="121"/>
      <c r="AS86" s="121"/>
      <c r="AT86" s="121"/>
    </row>
    <row r="87">
      <c r="A87" s="232">
        <f>IFERROR(__xludf.DUMMYFUNCTION("""COMPUTED_VALUE"""),84.0)</f>
        <v>84</v>
      </c>
      <c r="B87" s="181" t="str">
        <f>IFERROR(__xludf.DUMMYFUNCTION("""COMPUTED_VALUE"""),"TNI0333")</f>
        <v>TNI0333</v>
      </c>
      <c r="C87" s="317" t="str">
        <f>IFERROR(__xludf.DUMMYFUNCTION("""COMPUTED_VALUE"""),"C")</f>
        <v>C</v>
      </c>
      <c r="D87" s="181" t="str">
        <f>IFERROR(__xludf.DUMMYFUNCTION("""COMPUTED_VALUE"""),"Mytel")</f>
        <v>Mytel</v>
      </c>
      <c r="E87" s="357" t="str">
        <f>IFERROR(__xludf.DUMMYFUNCTION("""COMPUTED_VALUE"""),"T1")</f>
        <v>T1</v>
      </c>
      <c r="F87" s="181" t="str">
        <f>IFERROR(__xludf.DUMMYFUNCTION("""COMPUTED_VALUE"""),"Launglon")</f>
        <v>Launglon</v>
      </c>
      <c r="G87" s="181" t="str">
        <f>IFERROR(__xludf.DUMMYFUNCTION("""COMPUTED_VALUE"""),"Bone Myat Naing")</f>
        <v>Bone Myat Naing</v>
      </c>
      <c r="H87" s="232" t="str">
        <f>IFERROR(__xludf.DUMMYFUNCTION("""COMPUTED_VALUE"""),"Pteam: 09 756 048787")</f>
        <v>Pteam: 09 756 048787</v>
      </c>
      <c r="I87" s="181"/>
      <c r="J87" s="232"/>
      <c r="K87" s="358">
        <f>IFERROR(__xludf.DUMMYFUNCTION("""COMPUTED_VALUE"""),60.0)</f>
        <v>60</v>
      </c>
      <c r="L87" s="232" t="str">
        <f>IFERROR(__xludf.DUMMYFUNCTION("""COMPUTED_VALUE"""),"24*7")</f>
        <v>24*7</v>
      </c>
      <c r="M87" s="232" t="str">
        <f>IFERROR(__xludf.DUMMYFUNCTION("""COMPUTED_VALUE"""),"1DG+Grid+BB")</f>
        <v>1DG+Grid+BB</v>
      </c>
      <c r="N87" s="359" t="str">
        <f>IFERROR(__xludf.DUMMYFUNCTION("""COMPUTED_VALUE"""),"ok")</f>
        <v>ok</v>
      </c>
      <c r="O87" s="318">
        <f>IFERROR(__xludf.DUMMYFUNCTION("""COMPUTED_VALUE"""),45210.706828703704)</f>
        <v>45210.70683</v>
      </c>
      <c r="P87" s="318" t="str">
        <f>IFERROR(__xludf.DUMMYFUNCTION("""COMPUTED_VALUE"""),"23881:40")</f>
        <v>23881:40</v>
      </c>
      <c r="Q87" s="320"/>
      <c r="R87" s="321"/>
      <c r="S87" s="322"/>
      <c r="T87" s="323"/>
      <c r="U87" s="340"/>
      <c r="V87" s="324"/>
      <c r="W87" s="340"/>
      <c r="X87" s="325"/>
      <c r="Y87" s="326"/>
      <c r="Z87" s="320"/>
      <c r="AA87" s="320"/>
      <c r="AB87" s="327">
        <f>IFERROR(__xludf.DUMMYFUNCTION("""COMPUTED_VALUE"""),46200.3187037037)</f>
        <v>46200.3187</v>
      </c>
      <c r="AC87" s="328">
        <f>IFERROR(__xludf.DUMMYFUNCTION("""COMPUTED_VALUE"""),130.98042888881173)</f>
        <v>130.9804289</v>
      </c>
      <c r="AD87" s="327"/>
      <c r="AE87" s="328"/>
      <c r="AF87" s="329">
        <f>IFERROR(__xludf.DUMMYFUNCTION("""COMPUTED_VALUE"""),94.0)</f>
        <v>94</v>
      </c>
      <c r="AG87" s="330" t="str">
        <f>IFERROR(__xludf.DUMMYFUNCTION("""COMPUTED_VALUE"""),"Hub site TNI0035 down")</f>
        <v>Hub site TNI0035 down</v>
      </c>
      <c r="AH87" s="330" t="str">
        <f>IFERROR(__xludf.DUMMYFUNCTION("""COMPUTED_VALUE"""),"Run MDG")</f>
        <v>Run MDG</v>
      </c>
      <c r="AI87" s="330"/>
      <c r="AJ87" s="331" t="str">
        <f>IFERROR(__xludf.DUMMYFUNCTION("""COMPUTED_VALUE"""),"Equip_ Data Cable Error (Y-Link,CPRI,Bus)")</f>
        <v>Equip_ Data Cable Error (Y-Link,CPRI,Bus)</v>
      </c>
      <c r="AK87" s="332" t="str">
        <f>IFERROR(__xludf.DUMMYFUNCTION("""COMPUTED_VALUE"""),"900 S2 &amp; S3 , 1800 all sectors down due to Incorrect frequency configuration, need to check CPRI connection")</f>
        <v>900 S2 &amp; S3 , 1800 all sectors down due to Incorrect frequency configuration, need to check CPRI connection</v>
      </c>
      <c r="AL87" s="361">
        <f>IFERROR(__xludf.DUMMYFUNCTION("""COMPUTED_VALUE"""),0.0)</f>
        <v>0</v>
      </c>
      <c r="AM87" s="361">
        <f>IFERROR(__xludf.DUMMYFUNCTION("""COMPUTED_VALUE"""),0.0)</f>
        <v>0</v>
      </c>
      <c r="AN87" s="121"/>
      <c r="AO87" s="121"/>
      <c r="AP87" s="121"/>
      <c r="AQ87" s="121"/>
      <c r="AR87" s="121"/>
      <c r="AS87" s="121"/>
      <c r="AT87" s="121"/>
    </row>
    <row r="88">
      <c r="A88" s="232">
        <f>IFERROR(__xludf.DUMMYFUNCTION("""COMPUTED_VALUE"""),85.0)</f>
        <v>85</v>
      </c>
      <c r="B88" s="181" t="str">
        <f>IFERROR(__xludf.DUMMYFUNCTION("""COMPUTED_VALUE"""),"TNI0018_01")</f>
        <v>TNI0018_01</v>
      </c>
      <c r="C88" s="317" t="str">
        <f>IFERROR(__xludf.DUMMYFUNCTION("""COMPUTED_VALUE"""),"C")</f>
        <v>C</v>
      </c>
      <c r="D88" s="181" t="str">
        <f>IFERROR(__xludf.DUMMYFUNCTION("""COMPUTED_VALUE"""),"Mytel")</f>
        <v>Mytel</v>
      </c>
      <c r="E88" s="357" t="str">
        <f>IFERROR(__xludf.DUMMYFUNCTION("""COMPUTED_VALUE"""),"T1")</f>
        <v>T1</v>
      </c>
      <c r="F88" s="181" t="str">
        <f>IFERROR(__xludf.DUMMYFUNCTION("""COMPUTED_VALUE"""),"Launglon")</f>
        <v>Launglon</v>
      </c>
      <c r="G88" s="181" t="str">
        <f>IFERROR(__xludf.DUMMYFUNCTION("""COMPUTED_VALUE"""),"Bhone Htet Aung")</f>
        <v>Bhone Htet Aung</v>
      </c>
      <c r="H88" s="232"/>
      <c r="I88" s="181"/>
      <c r="J88" s="232"/>
      <c r="K88" s="358">
        <f>IFERROR(__xludf.DUMMYFUNCTION("""COMPUTED_VALUE"""),40.0)</f>
        <v>40</v>
      </c>
      <c r="L88" s="232" t="str">
        <f>IFERROR(__xludf.DUMMYFUNCTION("""COMPUTED_VALUE"""),"24*7")</f>
        <v>24*7</v>
      </c>
      <c r="M88" s="232" t="str">
        <f>IFERROR(__xludf.DUMMYFUNCTION("""COMPUTED_VALUE"""),"Grid+BB")</f>
        <v>Grid+BB</v>
      </c>
      <c r="N88" s="359" t="str">
        <f>IFERROR(__xludf.DUMMYFUNCTION("""COMPUTED_VALUE"""),"ok")</f>
        <v>ok</v>
      </c>
      <c r="O88" s="318"/>
      <c r="P88" s="318"/>
      <c r="Q88" s="320"/>
      <c r="R88" s="321"/>
      <c r="S88" s="322"/>
      <c r="T88" s="323"/>
      <c r="U88" s="340"/>
      <c r="V88" s="324"/>
      <c r="W88" s="340"/>
      <c r="X88" s="325"/>
      <c r="Y88" s="326"/>
      <c r="Z88" s="320"/>
      <c r="AA88" s="320"/>
      <c r="AB88" s="327"/>
      <c r="AC88" s="328"/>
      <c r="AD88" s="327"/>
      <c r="AE88" s="328"/>
      <c r="AF88" s="329">
        <f>IFERROR(__xludf.DUMMYFUNCTION("""COMPUTED_VALUE"""),158.0)</f>
        <v>158</v>
      </c>
      <c r="AG88" s="330" t="str">
        <f>IFERROR(__xludf.DUMMYFUNCTION("""COMPUTED_VALUE"""),"Unsafe")</f>
        <v>Unsafe</v>
      </c>
      <c r="AH88" s="330"/>
      <c r="AI88" s="330"/>
      <c r="AJ88" s="331"/>
      <c r="AK88" s="332"/>
      <c r="AL88" s="361">
        <f>IFERROR(__xludf.DUMMYFUNCTION("""COMPUTED_VALUE"""),0.0)</f>
        <v>0</v>
      </c>
      <c r="AM88" s="361">
        <f>IFERROR(__xludf.DUMMYFUNCTION("""COMPUTED_VALUE"""),0.0)</f>
        <v>0</v>
      </c>
      <c r="AN88" s="121"/>
      <c r="AO88" s="121"/>
      <c r="AP88" s="121"/>
      <c r="AQ88" s="121"/>
      <c r="AR88" s="121"/>
      <c r="AS88" s="121"/>
      <c r="AT88" s="121"/>
    </row>
    <row r="89">
      <c r="A89" s="232">
        <f>IFERROR(__xludf.DUMMYFUNCTION("""COMPUTED_VALUE"""),86.0)</f>
        <v>86</v>
      </c>
      <c r="B89" s="181" t="str">
        <f>IFERROR(__xludf.DUMMYFUNCTION("""COMPUTED_VALUE"""),"TNI0031")</f>
        <v>TNI0031</v>
      </c>
      <c r="C89" s="317" t="str">
        <f>IFERROR(__xludf.DUMMYFUNCTION("""COMPUTED_VALUE"""),"B")</f>
        <v>B</v>
      </c>
      <c r="D89" s="181" t="str">
        <f>IFERROR(__xludf.DUMMYFUNCTION("""COMPUTED_VALUE"""),"Mytel")</f>
        <v>Mytel</v>
      </c>
      <c r="E89" s="357" t="str">
        <f>IFERROR(__xludf.DUMMYFUNCTION("""COMPUTED_VALUE"""),"T1")</f>
        <v>T1</v>
      </c>
      <c r="F89" s="181" t="str">
        <f>IFERROR(__xludf.DUMMYFUNCTION("""COMPUTED_VALUE"""),"Launglon")</f>
        <v>Launglon</v>
      </c>
      <c r="G89" s="181" t="str">
        <f>IFERROR(__xludf.DUMMYFUNCTION("""COMPUTED_VALUE"""),"Bone Myat Naing")</f>
        <v>Bone Myat Naing</v>
      </c>
      <c r="H89" s="232"/>
      <c r="I89" s="181"/>
      <c r="J89" s="232" t="str">
        <f>IFERROR(__xludf.DUMMYFUNCTION("""COMPUTED_VALUE"""),"OLT")</f>
        <v>OLT</v>
      </c>
      <c r="K89" s="358">
        <f>IFERROR(__xludf.DUMMYFUNCTION("""COMPUTED_VALUE"""),60.0)</f>
        <v>60</v>
      </c>
      <c r="L89" s="232" t="str">
        <f>IFERROR(__xludf.DUMMYFUNCTION("""COMPUTED_VALUE"""),"24*7")</f>
        <v>24*7</v>
      </c>
      <c r="M89" s="232" t="str">
        <f>IFERROR(__xludf.DUMMYFUNCTION("""COMPUTED_VALUE"""),"1DG+Grid+BB")</f>
        <v>1DG+Grid+BB</v>
      </c>
      <c r="N89" s="359" t="str">
        <f>IFERROR(__xludf.DUMMYFUNCTION("""COMPUTED_VALUE"""),"257")</f>
        <v>257</v>
      </c>
      <c r="O89" s="318">
        <f>IFERROR(__xludf.DUMMYFUNCTION("""COMPUTED_VALUE"""),45210.72121527778)</f>
        <v>45210.72122</v>
      </c>
      <c r="P89" s="318" t="str">
        <f>IFERROR(__xludf.DUMMYFUNCTION("""COMPUTED_VALUE"""),"23881:19")</f>
        <v>23881:19</v>
      </c>
      <c r="Q89" s="320" t="str">
        <f>IFERROR(__xludf.DUMMYFUNCTION("""COMPUTED_VALUE""")," DG Door: 21/04/2026 15:25")</f>
        <v> DG Door: 21/04/2026 15:25</v>
      </c>
      <c r="R89" s="321">
        <f>IFERROR(__xludf.DUMMYFUNCTION("""COMPUTED_VALUE"""),1729.9)</f>
        <v>1729.9</v>
      </c>
      <c r="S89" s="322"/>
      <c r="T89" s="323"/>
      <c r="U89" s="340" t="str">
        <f>IFERROR(__xludf.DUMMYFUNCTION("""COMPUTED_VALUE"""),"197.72")</f>
        <v>197.72</v>
      </c>
      <c r="V89" s="324"/>
      <c r="W89" s="340"/>
      <c r="X89" s="325"/>
      <c r="Y89" s="326"/>
      <c r="Z89" s="320"/>
      <c r="AA89" s="320"/>
      <c r="AB89" s="327"/>
      <c r="AC89" s="328"/>
      <c r="AD89" s="327"/>
      <c r="AE89" s="328"/>
      <c r="AF89" s="329">
        <f>IFERROR(__xludf.DUMMYFUNCTION("""COMPUTED_VALUE"""),311.0)</f>
        <v>311</v>
      </c>
      <c r="AG89" s="330" t="str">
        <f>IFERROR(__xludf.DUMMYFUNCTION("""COMPUTED_VALUE"""),"Today team cannot go rescue due to battle happened yesterday")</f>
        <v>Today team cannot go rescue due to battle happened yesterday</v>
      </c>
      <c r="AH89" s="330"/>
      <c r="AI89" s="330"/>
      <c r="AJ89" s="331"/>
      <c r="AK89" s="332"/>
      <c r="AL89" s="361">
        <f>IFERROR(__xludf.DUMMYFUNCTION("""COMPUTED_VALUE"""),0.0)</f>
        <v>0</v>
      </c>
      <c r="AM89" s="361">
        <f>IFERROR(__xludf.DUMMYFUNCTION("""COMPUTED_VALUE"""),0.0)</f>
        <v>0</v>
      </c>
      <c r="AN89" s="121"/>
      <c r="AO89" s="121"/>
      <c r="AP89" s="121"/>
      <c r="AQ89" s="121"/>
      <c r="AR89" s="121"/>
      <c r="AS89" s="121"/>
      <c r="AT89" s="121"/>
    </row>
    <row r="90">
      <c r="A90" s="232">
        <f>IFERROR(__xludf.DUMMYFUNCTION("""COMPUTED_VALUE"""),87.0)</f>
        <v>87</v>
      </c>
      <c r="B90" s="181" t="str">
        <f>IFERROR(__xludf.DUMMYFUNCTION("""COMPUTED_VALUE"""),"TNI0095")</f>
        <v>TNI0095</v>
      </c>
      <c r="C90" s="317" t="str">
        <f>IFERROR(__xludf.DUMMYFUNCTION("""COMPUTED_VALUE"""),"C")</f>
        <v>C</v>
      </c>
      <c r="D90" s="181" t="str">
        <f>IFERROR(__xludf.DUMMYFUNCTION("""COMPUTED_VALUE"""),"IGT")</f>
        <v>IGT</v>
      </c>
      <c r="E90" s="357" t="str">
        <f>IFERROR(__xludf.DUMMYFUNCTION("""COMPUTED_VALUE"""),"T1")</f>
        <v>T1</v>
      </c>
      <c r="F90" s="181" t="str">
        <f>IFERROR(__xludf.DUMMYFUNCTION("""COMPUTED_VALUE"""),"Launglon")</f>
        <v>Launglon</v>
      </c>
      <c r="G90" s="181" t="str">
        <f>IFERROR(__xludf.DUMMYFUNCTION("""COMPUTED_VALUE"""),"Bone Myat Naing")</f>
        <v>Bone Myat Naing</v>
      </c>
      <c r="H90" s="232"/>
      <c r="I90" s="181"/>
      <c r="J90" s="232"/>
      <c r="K90" s="358">
        <f>IFERROR(__xludf.DUMMYFUNCTION("""COMPUTED_VALUE"""),90.0)</f>
        <v>90</v>
      </c>
      <c r="L90" s="232" t="str">
        <f>IFERROR(__xludf.DUMMYFUNCTION("""COMPUTED_VALUE"""),"24*7")</f>
        <v>24*7</v>
      </c>
      <c r="M90" s="232" t="str">
        <f>IFERROR(__xludf.DUMMYFUNCTION("""COMPUTED_VALUE"""),"1DG+BB")</f>
        <v>1DG+BB</v>
      </c>
      <c r="N90" s="359" t="str">
        <f>IFERROR(__xludf.DUMMYFUNCTION("""COMPUTED_VALUE"""),"ok")</f>
        <v>ok</v>
      </c>
      <c r="O90" s="318"/>
      <c r="P90" s="318"/>
      <c r="Q90" s="320" t="str">
        <f>IFERROR(__xludf.DUMMYFUNCTION("""COMPUTED_VALUE""")," Door open alarm: 23/09/2025 14:19")</f>
        <v> Door open alarm: 23/09/2025 14:19</v>
      </c>
      <c r="R90" s="321">
        <f>IFERROR(__xludf.DUMMYFUNCTION("""COMPUTED_VALUE"""),6771.0)</f>
        <v>6771</v>
      </c>
      <c r="S90" s="322"/>
      <c r="T90" s="323"/>
      <c r="U90" s="340"/>
      <c r="V90" s="324"/>
      <c r="W90" s="340"/>
      <c r="X90" s="325"/>
      <c r="Y90" s="326"/>
      <c r="Z90" s="320"/>
      <c r="AA90" s="320"/>
      <c r="AB90" s="327"/>
      <c r="AC90" s="328"/>
      <c r="AD90" s="327"/>
      <c r="AE90" s="328"/>
      <c r="AF90" s="329">
        <f>IFERROR(__xludf.DUMMYFUNCTION("""COMPUTED_VALUE"""),470.0)</f>
        <v>470</v>
      </c>
      <c r="AG90" s="330" t="str">
        <f>IFERROR(__xludf.DUMMYFUNCTION("""COMPUTED_VALUE"""),"Grid fail, access issue")</f>
        <v>Grid fail, access issue</v>
      </c>
      <c r="AH90" s="330"/>
      <c r="AI90" s="330"/>
      <c r="AJ90" s="331"/>
      <c r="AK90" s="332"/>
      <c r="AL90" s="361">
        <f>IFERROR(__xludf.DUMMYFUNCTION("""COMPUTED_VALUE"""),0.0)</f>
        <v>0</v>
      </c>
      <c r="AM90" s="361">
        <f>IFERROR(__xludf.DUMMYFUNCTION("""COMPUTED_VALUE"""),0.0)</f>
        <v>0</v>
      </c>
      <c r="AN90" s="121"/>
      <c r="AO90" s="121"/>
      <c r="AP90" s="121"/>
      <c r="AQ90" s="121"/>
      <c r="AR90" s="121"/>
      <c r="AS90" s="121"/>
      <c r="AT90" s="121"/>
    </row>
    <row r="91">
      <c r="A91" s="232">
        <f>IFERROR(__xludf.DUMMYFUNCTION("""COMPUTED_VALUE"""),88.0)</f>
        <v>88</v>
      </c>
      <c r="B91" s="181" t="str">
        <f>IFERROR(__xludf.DUMMYFUNCTION("""COMPUTED_VALUE"""),"TNI0038")</f>
        <v>TNI0038</v>
      </c>
      <c r="C91" s="317" t="str">
        <f>IFERROR(__xludf.DUMMYFUNCTION("""COMPUTED_VALUE"""),"C")</f>
        <v>C</v>
      </c>
      <c r="D91" s="181" t="str">
        <f>IFERROR(__xludf.DUMMYFUNCTION("""COMPUTED_VALUE"""),"Mytel")</f>
        <v>Mytel</v>
      </c>
      <c r="E91" s="357" t="str">
        <f>IFERROR(__xludf.DUMMYFUNCTION("""COMPUTED_VALUE"""),"T1")</f>
        <v>T1</v>
      </c>
      <c r="F91" s="181" t="str">
        <f>IFERROR(__xludf.DUMMYFUNCTION("""COMPUTED_VALUE"""),"Launglon")</f>
        <v>Launglon</v>
      </c>
      <c r="G91" s="181" t="str">
        <f>IFERROR(__xludf.DUMMYFUNCTION("""COMPUTED_VALUE"""),"Bone Myat Naing")</f>
        <v>Bone Myat Naing</v>
      </c>
      <c r="H91" s="232"/>
      <c r="I91" s="181"/>
      <c r="J91" s="232" t="str">
        <f>IFERROR(__xludf.DUMMYFUNCTION("""COMPUTED_VALUE"""),"OLT")</f>
        <v>OLT</v>
      </c>
      <c r="K91" s="358">
        <f>IFERROR(__xludf.DUMMYFUNCTION("""COMPUTED_VALUE"""),45.0)</f>
        <v>45</v>
      </c>
      <c r="L91" s="232" t="str">
        <f>IFERROR(__xludf.DUMMYFUNCTION("""COMPUTED_VALUE"""),"24*7")</f>
        <v>24*7</v>
      </c>
      <c r="M91" s="232" t="str">
        <f>IFERROR(__xludf.DUMMYFUNCTION("""COMPUTED_VALUE"""),"1DG+Grid+BB")</f>
        <v>1DG+Grid+BB</v>
      </c>
      <c r="N91" s="359" t="str">
        <f>IFERROR(__xludf.DUMMYFUNCTION("""COMPUTED_VALUE"""),"0")</f>
        <v>0</v>
      </c>
      <c r="O91" s="318"/>
      <c r="P91" s="318"/>
      <c r="Q91" s="320" t="str">
        <f>IFERROR(__xludf.DUMMYFUNCTION("""COMPUTED_VALUE""")," +Door Alarm: 30/01/2026 15:46 +Battery Door: 30/01/2026 15:46")</f>
        <v> +Door Alarm: 30/01/2026 15:46 +Battery Door: 30/01/2026 15:46</v>
      </c>
      <c r="R91" s="321">
        <f>IFERROR(__xludf.DUMMYFUNCTION("""COMPUTED_VALUE"""),3673.55)</f>
        <v>3673.55</v>
      </c>
      <c r="S91" s="322"/>
      <c r="T91" s="323"/>
      <c r="U91" s="340"/>
      <c r="V91" s="324" t="str">
        <f>IFERROR(__xludf.DUMMYFUNCTION("""COMPUTED_VALUE"""),"3673.55")</f>
        <v>3673.55</v>
      </c>
      <c r="W91" s="340"/>
      <c r="X91" s="325"/>
      <c r="Y91" s="326"/>
      <c r="Z91" s="320"/>
      <c r="AA91" s="320"/>
      <c r="AB91" s="327">
        <f>IFERROR(__xludf.DUMMYFUNCTION("""COMPUTED_VALUE"""),46184.062210648146)</f>
        <v>46184.06221</v>
      </c>
      <c r="AC91" s="328">
        <f>IFERROR(__xludf.DUMMYFUNCTION("""COMPUTED_VALUE"""),521.1362622222514)</f>
        <v>521.1362622</v>
      </c>
      <c r="AD91" s="327">
        <f>IFERROR(__xludf.DUMMYFUNCTION("""COMPUTED_VALUE"""),46184.06215277778)</f>
        <v>46184.06215</v>
      </c>
      <c r="AE91" s="328">
        <f>IFERROR(__xludf.DUMMYFUNCTION("""COMPUTED_VALUE"""),521.1376511111157)</f>
        <v>521.1376511</v>
      </c>
      <c r="AF91" s="329">
        <f>IFERROR(__xludf.DUMMYFUNCTION("""COMPUTED_VALUE"""),0.0)</f>
        <v>0</v>
      </c>
      <c r="AG91" s="330" t="str">
        <f>IFERROR(__xludf.DUMMYFUNCTION("""COMPUTED_VALUE"""),"Destroy site")</f>
        <v>Destroy site</v>
      </c>
      <c r="AH91" s="330"/>
      <c r="AI91" s="330"/>
      <c r="AJ91" s="331"/>
      <c r="AK91" s="332"/>
      <c r="AL91" s="361">
        <f>IFERROR(__xludf.DUMMYFUNCTION("""COMPUTED_VALUE"""),1.0)</f>
        <v>1</v>
      </c>
      <c r="AM91" s="361">
        <f>IFERROR(__xludf.DUMMYFUNCTION("""COMPUTED_VALUE"""),2.0)</f>
        <v>2</v>
      </c>
      <c r="AN91" s="121"/>
      <c r="AO91" s="121"/>
      <c r="AP91" s="121"/>
      <c r="AQ91" s="121"/>
      <c r="AR91" s="121"/>
      <c r="AS91" s="121"/>
      <c r="AT91" s="121"/>
    </row>
    <row r="92">
      <c r="A92" s="232">
        <f>IFERROR(__xludf.DUMMYFUNCTION("""COMPUTED_VALUE"""),89.0)</f>
        <v>89</v>
      </c>
      <c r="B92" s="181" t="str">
        <f>IFERROR(__xludf.DUMMYFUNCTION("""COMPUTED_VALUE"""),"TNI0041")</f>
        <v>TNI0041</v>
      </c>
      <c r="C92" s="317" t="str">
        <f>IFERROR(__xludf.DUMMYFUNCTION("""COMPUTED_VALUE"""),"C")</f>
        <v>C</v>
      </c>
      <c r="D92" s="181" t="str">
        <f>IFERROR(__xludf.DUMMYFUNCTION("""COMPUTED_VALUE"""),"Mytel")</f>
        <v>Mytel</v>
      </c>
      <c r="E92" s="357" t="str">
        <f>IFERROR(__xludf.DUMMYFUNCTION("""COMPUTED_VALUE"""),"T1")</f>
        <v>T1</v>
      </c>
      <c r="F92" s="181" t="str">
        <f>IFERROR(__xludf.DUMMYFUNCTION("""COMPUTED_VALUE"""),"Launglon")</f>
        <v>Launglon</v>
      </c>
      <c r="G92" s="181" t="str">
        <f>IFERROR(__xludf.DUMMYFUNCTION("""COMPUTED_VALUE"""),"Bone Myat Naing")</f>
        <v>Bone Myat Naing</v>
      </c>
      <c r="H92" s="232" t="str">
        <f>IFERROR(__xludf.DUMMYFUNCTION("""COMPUTED_VALUE"""),"U lay: 09667226877")</f>
        <v>U lay: 09667226877</v>
      </c>
      <c r="I92" s="181"/>
      <c r="J92" s="232" t="str">
        <f>IFERROR(__xludf.DUMMYFUNCTION("""COMPUTED_VALUE"""),"OLT")</f>
        <v>OLT</v>
      </c>
      <c r="K92" s="358">
        <f>IFERROR(__xludf.DUMMYFUNCTION("""COMPUTED_VALUE"""),60.0)</f>
        <v>60</v>
      </c>
      <c r="L92" s="232" t="str">
        <f>IFERROR(__xludf.DUMMYFUNCTION("""COMPUTED_VALUE"""),"24*7")</f>
        <v>24*7</v>
      </c>
      <c r="M92" s="232" t="str">
        <f>IFERROR(__xludf.DUMMYFUNCTION("""COMPUTED_VALUE"""),"1DG+Grid+BB")</f>
        <v>1DG+Grid+BB</v>
      </c>
      <c r="N92" s="359" t="str">
        <f>IFERROR(__xludf.DUMMYFUNCTION("""COMPUTED_VALUE"""),"ok")</f>
        <v>ok</v>
      </c>
      <c r="O92" s="318"/>
      <c r="P92" s="318"/>
      <c r="Q92" s="320"/>
      <c r="R92" s="321"/>
      <c r="S92" s="322"/>
      <c r="T92" s="323"/>
      <c r="U92" s="340"/>
      <c r="V92" s="324" t="str">
        <f>IFERROR(__xludf.DUMMYFUNCTION("""COMPUTED_VALUE"""),"11570.43")</f>
        <v>11570.43</v>
      </c>
      <c r="W92" s="340"/>
      <c r="X92" s="325"/>
      <c r="Y92" s="326"/>
      <c r="Z92" s="320"/>
      <c r="AA92" s="320"/>
      <c r="AB92" s="327"/>
      <c r="AC92" s="328"/>
      <c r="AD92" s="327"/>
      <c r="AE92" s="328"/>
      <c r="AF92" s="329">
        <f>IFERROR(__xludf.DUMMYFUNCTION("""COMPUTED_VALUE"""),673.0)</f>
        <v>673</v>
      </c>
      <c r="AG92" s="330" t="str">
        <f>IFERROR(__xludf.DUMMYFUNCTION("""COMPUTED_VALUE"""),"Hub site TNI0035 down")</f>
        <v>Hub site TNI0035 down</v>
      </c>
      <c r="AH92" s="330" t="str">
        <f>IFERROR(__xludf.DUMMYFUNCTION("""COMPUTED_VALUE"""),"Run MDG")</f>
        <v>Run MDG</v>
      </c>
      <c r="AI92" s="330"/>
      <c r="AJ92" s="331"/>
      <c r="AK92" s="332"/>
      <c r="AL92" s="361">
        <f>IFERROR(__xludf.DUMMYFUNCTION("""COMPUTED_VALUE"""),0.0)</f>
        <v>0</v>
      </c>
      <c r="AM92" s="361">
        <f>IFERROR(__xludf.DUMMYFUNCTION("""COMPUTED_VALUE"""),0.0)</f>
        <v>0</v>
      </c>
      <c r="AN92" s="121"/>
      <c r="AO92" s="121"/>
      <c r="AP92" s="121"/>
      <c r="AQ92" s="121"/>
      <c r="AR92" s="121"/>
      <c r="AS92" s="121"/>
      <c r="AT92" s="121"/>
    </row>
    <row r="93">
      <c r="A93" s="232">
        <f>IFERROR(__xludf.DUMMYFUNCTION("""COMPUTED_VALUE"""),90.0)</f>
        <v>90</v>
      </c>
      <c r="B93" s="181" t="str">
        <f>IFERROR(__xludf.DUMMYFUNCTION("""COMPUTED_VALUE"""),"TNI0335")</f>
        <v>TNI0335</v>
      </c>
      <c r="C93" s="317" t="str">
        <f>IFERROR(__xludf.DUMMYFUNCTION("""COMPUTED_VALUE"""),"C")</f>
        <v>C</v>
      </c>
      <c r="D93" s="181" t="str">
        <f>IFERROR(__xludf.DUMMYFUNCTION("""COMPUTED_VALUE"""),"OCK")</f>
        <v>OCK</v>
      </c>
      <c r="E93" s="357" t="str">
        <f>IFERROR(__xludf.DUMMYFUNCTION("""COMPUTED_VALUE"""),"T1")</f>
        <v>T1</v>
      </c>
      <c r="F93" s="181" t="str">
        <f>IFERROR(__xludf.DUMMYFUNCTION("""COMPUTED_VALUE"""),"Launglon")</f>
        <v>Launglon</v>
      </c>
      <c r="G93" s="181" t="str">
        <f>IFERROR(__xludf.DUMMYFUNCTION("""COMPUTED_VALUE"""),"Bone Myat Naing")</f>
        <v>Bone Myat Naing</v>
      </c>
      <c r="H93" s="232"/>
      <c r="I93" s="181"/>
      <c r="J93" s="232"/>
      <c r="K93" s="358">
        <f>IFERROR(__xludf.DUMMYFUNCTION("""COMPUTED_VALUE"""),120.0)</f>
        <v>120</v>
      </c>
      <c r="L93" s="232" t="str">
        <f>IFERROR(__xludf.DUMMYFUNCTION("""COMPUTED_VALUE"""),"24*7")</f>
        <v>24*7</v>
      </c>
      <c r="M93" s="232" t="str">
        <f>IFERROR(__xludf.DUMMYFUNCTION("""COMPUTED_VALUE"""),"1DG+BB")</f>
        <v>1DG+BB</v>
      </c>
      <c r="N93" s="359" t="str">
        <f>IFERROR(__xludf.DUMMYFUNCTION("""COMPUTED_VALUE"""),"ok")</f>
        <v>ok</v>
      </c>
      <c r="O93" s="318"/>
      <c r="P93" s="318"/>
      <c r="Q93" s="320"/>
      <c r="R93" s="321"/>
      <c r="S93" s="322"/>
      <c r="T93" s="323"/>
      <c r="U93" s="340"/>
      <c r="V93" s="324"/>
      <c r="W93" s="340"/>
      <c r="X93" s="325"/>
      <c r="Y93" s="326"/>
      <c r="Z93" s="320"/>
      <c r="AA93" s="320"/>
      <c r="AB93" s="327">
        <f>IFERROR(__xludf.DUMMYFUNCTION("""COMPUTED_VALUE"""),46184.0621875)</f>
        <v>46184.06219</v>
      </c>
      <c r="AC93" s="328">
        <f>IFERROR(__xludf.DUMMYFUNCTION("""COMPUTED_VALUE"""),521.1368177777622)</f>
        <v>521.1368178</v>
      </c>
      <c r="AD93" s="327">
        <f>IFERROR(__xludf.DUMMYFUNCTION("""COMPUTED_VALUE"""),46184.06212962963)</f>
        <v>46184.06213</v>
      </c>
      <c r="AE93" s="328">
        <f>IFERROR(__xludf.DUMMYFUNCTION("""COMPUTED_VALUE"""),521.1382066666265)</f>
        <v>521.1382067</v>
      </c>
      <c r="AF93" s="329">
        <f>IFERROR(__xludf.DUMMYFUNCTION("""COMPUTED_VALUE"""),0.0)</f>
        <v>0</v>
      </c>
      <c r="AG93" s="330" t="str">
        <f>IFERROR(__xludf.DUMMYFUNCTION("""COMPUTED_VALUE"""),"TNI0095-TNI0335 link down")</f>
        <v>TNI0095-TNI0335 link down</v>
      </c>
      <c r="AH93" s="330"/>
      <c r="AI93" s="330"/>
      <c r="AJ93" s="331"/>
      <c r="AK93" s="332"/>
      <c r="AL93" s="361">
        <f>IFERROR(__xludf.DUMMYFUNCTION("""COMPUTED_VALUE"""),1.0)</f>
        <v>1</v>
      </c>
      <c r="AM93" s="361">
        <f>IFERROR(__xludf.DUMMYFUNCTION("""COMPUTED_VALUE"""),1.0)</f>
        <v>1</v>
      </c>
      <c r="AN93" s="121"/>
      <c r="AO93" s="121"/>
      <c r="AP93" s="121"/>
      <c r="AQ93" s="121"/>
      <c r="AR93" s="121"/>
      <c r="AS93" s="121"/>
      <c r="AT93" s="121"/>
    </row>
    <row r="94">
      <c r="A94" s="232">
        <f>IFERROR(__xludf.DUMMYFUNCTION("""COMPUTED_VALUE"""),91.0)</f>
        <v>91</v>
      </c>
      <c r="B94" s="181" t="str">
        <f>IFERROR(__xludf.DUMMYFUNCTION("""COMPUTED_VALUE"""),"TNI0329")</f>
        <v>TNI0329</v>
      </c>
      <c r="C94" s="317" t="str">
        <f>IFERROR(__xludf.DUMMYFUNCTION("""COMPUTED_VALUE"""),"C")</f>
        <v>C</v>
      </c>
      <c r="D94" s="181" t="str">
        <f>IFERROR(__xludf.DUMMYFUNCTION("""COMPUTED_VALUE"""),"Apollo")</f>
        <v>Apollo</v>
      </c>
      <c r="E94" s="357" t="str">
        <f>IFERROR(__xludf.DUMMYFUNCTION("""COMPUTED_VALUE"""),"T1")</f>
        <v>T1</v>
      </c>
      <c r="F94" s="181" t="str">
        <f>IFERROR(__xludf.DUMMYFUNCTION("""COMPUTED_VALUE"""),"Launglon")</f>
        <v>Launglon</v>
      </c>
      <c r="G94" s="181" t="str">
        <f>IFERROR(__xludf.DUMMYFUNCTION("""COMPUTED_VALUE"""),"Bone Myat Naing")</f>
        <v>Bone Myat Naing</v>
      </c>
      <c r="H94" s="232"/>
      <c r="I94" s="181"/>
      <c r="J94" s="232"/>
      <c r="K94" s="358">
        <f>IFERROR(__xludf.DUMMYFUNCTION("""COMPUTED_VALUE"""),90.0)</f>
        <v>90</v>
      </c>
      <c r="L94" s="232" t="str">
        <f>IFERROR(__xludf.DUMMYFUNCTION("""COMPUTED_VALUE"""),"24*7")</f>
        <v>24*7</v>
      </c>
      <c r="M94" s="232" t="str">
        <f>IFERROR(__xludf.DUMMYFUNCTION("""COMPUTED_VALUE"""),"1DG+BB")</f>
        <v>1DG+BB</v>
      </c>
      <c r="N94" s="359" t="str">
        <f>IFERROR(__xludf.DUMMYFUNCTION("""COMPUTED_VALUE"""),"ok")</f>
        <v>ok</v>
      </c>
      <c r="O94" s="318"/>
      <c r="P94" s="318"/>
      <c r="Q94" s="320"/>
      <c r="R94" s="321"/>
      <c r="S94" s="322"/>
      <c r="T94" s="323"/>
      <c r="U94" s="340"/>
      <c r="V94" s="324"/>
      <c r="W94" s="340"/>
      <c r="X94" s="325"/>
      <c r="Y94" s="326"/>
      <c r="Z94" s="320"/>
      <c r="AA94" s="320"/>
      <c r="AB94" s="327"/>
      <c r="AC94" s="328"/>
      <c r="AD94" s="327"/>
      <c r="AE94" s="328"/>
      <c r="AF94" s="329">
        <f>IFERROR(__xludf.DUMMYFUNCTION("""COMPUTED_VALUE"""),398.0)</f>
        <v>398</v>
      </c>
      <c r="AG94" s="330" t="str">
        <f>IFERROR(__xludf.DUMMYFUNCTION("""COMPUTED_VALUE"""),"Hub site TNI0305 down")</f>
        <v>Hub site TNI0305 down</v>
      </c>
      <c r="AH94" s="330"/>
      <c r="AI94" s="330"/>
      <c r="AJ94" s="331"/>
      <c r="AK94" s="332"/>
      <c r="AL94" s="361">
        <f>IFERROR(__xludf.DUMMYFUNCTION("""COMPUTED_VALUE"""),0.0)</f>
        <v>0</v>
      </c>
      <c r="AM94" s="361">
        <f>IFERROR(__xludf.DUMMYFUNCTION("""COMPUTED_VALUE"""),0.0)</f>
        <v>0</v>
      </c>
      <c r="AN94" s="121"/>
      <c r="AO94" s="121"/>
      <c r="AP94" s="121"/>
      <c r="AQ94" s="121"/>
      <c r="AR94" s="121"/>
      <c r="AS94" s="121"/>
      <c r="AT94" s="121"/>
    </row>
    <row r="95">
      <c r="A95" s="232">
        <f>IFERROR(__xludf.DUMMYFUNCTION("""COMPUTED_VALUE"""),92.0)</f>
        <v>92</v>
      </c>
      <c r="B95" s="181" t="str">
        <f>IFERROR(__xludf.DUMMYFUNCTION("""COMPUTED_VALUE"""),"TNI0316")</f>
        <v>TNI0316</v>
      </c>
      <c r="C95" s="317" t="str">
        <f>IFERROR(__xludf.DUMMYFUNCTION("""COMPUTED_VALUE"""),"B")</f>
        <v>B</v>
      </c>
      <c r="D95" s="181" t="str">
        <f>IFERROR(__xludf.DUMMYFUNCTION("""COMPUTED_VALUE"""),"Edotco")</f>
        <v>Edotco</v>
      </c>
      <c r="E95" s="357" t="str">
        <f>IFERROR(__xludf.DUMMYFUNCTION("""COMPUTED_VALUE"""),"T1")</f>
        <v>T1</v>
      </c>
      <c r="F95" s="181" t="str">
        <f>IFERROR(__xludf.DUMMYFUNCTION("""COMPUTED_VALUE"""),"Launglon")</f>
        <v>Launglon</v>
      </c>
      <c r="G95" s="181" t="str">
        <f>IFERROR(__xludf.DUMMYFUNCTION("""COMPUTED_VALUE"""),"Bone Myat Naing")</f>
        <v>Bone Myat Naing</v>
      </c>
      <c r="H95" s="232"/>
      <c r="I95" s="181"/>
      <c r="J95" s="232"/>
      <c r="K95" s="358">
        <f>IFERROR(__xludf.DUMMYFUNCTION("""COMPUTED_VALUE"""),90.0)</f>
        <v>90</v>
      </c>
      <c r="L95" s="232" t="str">
        <f>IFERROR(__xludf.DUMMYFUNCTION("""COMPUTED_VALUE"""),"24*7")</f>
        <v>24*7</v>
      </c>
      <c r="M95" s="232" t="str">
        <f>IFERROR(__xludf.DUMMYFUNCTION("""COMPUTED_VALUE"""),"1DG+BB")</f>
        <v>1DG+BB</v>
      </c>
      <c r="N95" s="359" t="str">
        <f>IFERROR(__xludf.DUMMYFUNCTION("""COMPUTED_VALUE"""),"ok")</f>
        <v>ok</v>
      </c>
      <c r="O95" s="318"/>
      <c r="P95" s="318"/>
      <c r="Q95" s="320"/>
      <c r="R95" s="321"/>
      <c r="S95" s="322"/>
      <c r="T95" s="323"/>
      <c r="U95" s="340"/>
      <c r="V95" s="324"/>
      <c r="W95" s="340"/>
      <c r="X95" s="325"/>
      <c r="Y95" s="326"/>
      <c r="Z95" s="320"/>
      <c r="AA95" s="320"/>
      <c r="AB95" s="327"/>
      <c r="AC95" s="328"/>
      <c r="AD95" s="327"/>
      <c r="AE95" s="328"/>
      <c r="AF95" s="329">
        <f>IFERROR(__xludf.DUMMYFUNCTION("""COMPUTED_VALUE"""),706.0)</f>
        <v>706</v>
      </c>
      <c r="AG95" s="330" t="str">
        <f>IFERROR(__xludf.DUMMYFUNCTION("""COMPUTED_VALUE"""),"Team splicing at the fault point")</f>
        <v>Team splicing at the fault point</v>
      </c>
      <c r="AH95" s="330"/>
      <c r="AI95" s="330"/>
      <c r="AJ95" s="331"/>
      <c r="AK95" s="332"/>
      <c r="AL95" s="361">
        <f>IFERROR(__xludf.DUMMYFUNCTION("""COMPUTED_VALUE"""),0.0)</f>
        <v>0</v>
      </c>
      <c r="AM95" s="361">
        <f>IFERROR(__xludf.DUMMYFUNCTION("""COMPUTED_VALUE"""),0.0)</f>
        <v>0</v>
      </c>
      <c r="AN95" s="121"/>
      <c r="AO95" s="121"/>
      <c r="AP95" s="121"/>
      <c r="AQ95" s="121"/>
      <c r="AR95" s="121"/>
      <c r="AS95" s="121"/>
      <c r="AT95" s="121"/>
    </row>
    <row r="96">
      <c r="A96" s="232">
        <f>IFERROR(__xludf.DUMMYFUNCTION("""COMPUTED_VALUE"""),93.0)</f>
        <v>93</v>
      </c>
      <c r="B96" s="181" t="str">
        <f>IFERROR(__xludf.DUMMYFUNCTION("""COMPUTED_VALUE"""),"TNI0219")</f>
        <v>TNI0219</v>
      </c>
      <c r="C96" s="317" t="str">
        <f>IFERROR(__xludf.DUMMYFUNCTION("""COMPUTED_VALUE"""),"C")</f>
        <v>C</v>
      </c>
      <c r="D96" s="181" t="str">
        <f>IFERROR(__xludf.DUMMYFUNCTION("""COMPUTED_VALUE"""),"Mytel")</f>
        <v>Mytel</v>
      </c>
      <c r="E96" s="357" t="str">
        <f>IFERROR(__xludf.DUMMYFUNCTION("""COMPUTED_VALUE"""),"T1")</f>
        <v>T1</v>
      </c>
      <c r="F96" s="181" t="str">
        <f>IFERROR(__xludf.DUMMYFUNCTION("""COMPUTED_VALUE"""),"Launglon")</f>
        <v>Launglon</v>
      </c>
      <c r="G96" s="181" t="str">
        <f>IFERROR(__xludf.DUMMYFUNCTION("""COMPUTED_VALUE"""),"Thar Htoo Aung")</f>
        <v>Thar Htoo Aung</v>
      </c>
      <c r="H96" s="232"/>
      <c r="I96" s="181"/>
      <c r="J96" s="232"/>
      <c r="K96" s="358">
        <f>IFERROR(__xludf.DUMMYFUNCTION("""COMPUTED_VALUE"""),60.0)</f>
        <v>60</v>
      </c>
      <c r="L96" s="232" t="str">
        <f>IFERROR(__xludf.DUMMYFUNCTION("""COMPUTED_VALUE"""),"24*7")</f>
        <v>24*7</v>
      </c>
      <c r="M96" s="232" t="str">
        <f>IFERROR(__xludf.DUMMYFUNCTION("""COMPUTED_VALUE"""),"1DG+Solar+BB")</f>
        <v>1DG+Solar+BB</v>
      </c>
      <c r="N96" s="359" t="str">
        <f>IFERROR(__xludf.DUMMYFUNCTION("""COMPUTED_VALUE"""),"ok")</f>
        <v>ok</v>
      </c>
      <c r="O96" s="318"/>
      <c r="P96" s="318"/>
      <c r="Q96" s="320"/>
      <c r="R96" s="321"/>
      <c r="S96" s="322"/>
      <c r="T96" s="323"/>
      <c r="U96" s="340"/>
      <c r="V96" s="324"/>
      <c r="W96" s="340"/>
      <c r="X96" s="325"/>
      <c r="Y96" s="326"/>
      <c r="Z96" s="320"/>
      <c r="AA96" s="320"/>
      <c r="AB96" s="327">
        <f>IFERROR(__xludf.DUMMYFUNCTION("""COMPUTED_VALUE"""),46205.30229166667)</f>
        <v>46205.30229</v>
      </c>
      <c r="AC96" s="328">
        <f>IFERROR(__xludf.DUMMYFUNCTION("""COMPUTED_VALUE"""),11.374317777750548)</f>
        <v>11.37431778</v>
      </c>
      <c r="AD96" s="327"/>
      <c r="AE96" s="328"/>
      <c r="AF96" s="329">
        <f>IFERROR(__xludf.DUMMYFUNCTION("""COMPUTED_VALUE"""),152.0)</f>
        <v>152</v>
      </c>
      <c r="AG96" s="330" t="str">
        <f>IFERROR(__xludf.DUMMYFUNCTION("""COMPUTED_VALUE"""),"Unsafe, solar")</f>
        <v>Unsafe, solar</v>
      </c>
      <c r="AH96" s="330"/>
      <c r="AI96" s="330"/>
      <c r="AJ96" s="331" t="str">
        <f>IFERROR(__xludf.DUMMYFUNCTION("""COMPUTED_VALUE"""),"Loss_Power_Cannot_Access(Sercurity,Owner…)")</f>
        <v>Loss_Power_Cannot_Access(Sercurity,Owner…)</v>
      </c>
      <c r="AK96" s="332" t="str">
        <f>IFERROR(__xludf.DUMMYFUNCTION("""COMPUTED_VALUE"""),"Unsafe area")</f>
        <v>Unsafe area</v>
      </c>
      <c r="AL96" s="361">
        <f>IFERROR(__xludf.DUMMYFUNCTION("""COMPUTED_VALUE"""),0.0)</f>
        <v>0</v>
      </c>
      <c r="AM96" s="361">
        <f>IFERROR(__xludf.DUMMYFUNCTION("""COMPUTED_VALUE"""),0.0)</f>
        <v>0</v>
      </c>
      <c r="AN96" s="121"/>
      <c r="AO96" s="121"/>
      <c r="AP96" s="121"/>
      <c r="AQ96" s="121"/>
      <c r="AR96" s="121"/>
      <c r="AS96" s="121"/>
      <c r="AT96" s="121"/>
    </row>
    <row r="97">
      <c r="A97" s="232">
        <f>IFERROR(__xludf.DUMMYFUNCTION("""COMPUTED_VALUE"""),94.0)</f>
        <v>94</v>
      </c>
      <c r="B97" s="181" t="str">
        <f>IFERROR(__xludf.DUMMYFUNCTION("""COMPUTED_VALUE"""),"TNI0334")</f>
        <v>TNI0334</v>
      </c>
      <c r="C97" s="317" t="str">
        <f>IFERROR(__xludf.DUMMYFUNCTION("""COMPUTED_VALUE"""),"B")</f>
        <v>B</v>
      </c>
      <c r="D97" s="181" t="str">
        <f>IFERROR(__xludf.DUMMYFUNCTION("""COMPUTED_VALUE"""),"Mytel")</f>
        <v>Mytel</v>
      </c>
      <c r="E97" s="357" t="str">
        <f>IFERROR(__xludf.DUMMYFUNCTION("""COMPUTED_VALUE"""),"T1")</f>
        <v>T1</v>
      </c>
      <c r="F97" s="181" t="str">
        <f>IFERROR(__xludf.DUMMYFUNCTION("""COMPUTED_VALUE"""),"Launglon")</f>
        <v>Launglon</v>
      </c>
      <c r="G97" s="181" t="str">
        <f>IFERROR(__xludf.DUMMYFUNCTION("""COMPUTED_VALUE"""),"Bone Myat Naing")</f>
        <v>Bone Myat Naing</v>
      </c>
      <c r="H97" s="232"/>
      <c r="I97" s="181"/>
      <c r="J97" s="232"/>
      <c r="K97" s="358">
        <f>IFERROR(__xludf.DUMMYFUNCTION("""COMPUTED_VALUE"""),60.0)</f>
        <v>60</v>
      </c>
      <c r="L97" s="232" t="str">
        <f>IFERROR(__xludf.DUMMYFUNCTION("""COMPUTED_VALUE"""),"24*7")</f>
        <v>24*7</v>
      </c>
      <c r="M97" s="232" t="str">
        <f>IFERROR(__xludf.DUMMYFUNCTION("""COMPUTED_VALUE"""),"1DG+Grid+BB")</f>
        <v>1DG+Grid+BB</v>
      </c>
      <c r="N97" s="359" t="str">
        <f>IFERROR(__xludf.DUMMYFUNCTION("""COMPUTED_VALUE"""),"ok")</f>
        <v>ok</v>
      </c>
      <c r="O97" s="318"/>
      <c r="P97" s="318"/>
      <c r="Q97" s="320" t="str">
        <f>IFERROR(__xludf.DUMMYFUNCTION("""COMPUTED_VALUE""")," +Door Alarm: 04/03/2026 15:42")</f>
        <v> +Door Alarm: 04/03/2026 15:42</v>
      </c>
      <c r="R97" s="321">
        <f>IFERROR(__xludf.DUMMYFUNCTION("""COMPUTED_VALUE"""),2881.62)</f>
        <v>2881.62</v>
      </c>
      <c r="S97" s="322"/>
      <c r="T97" s="323"/>
      <c r="U97" s="340"/>
      <c r="V97" s="324"/>
      <c r="W97" s="340"/>
      <c r="X97" s="325"/>
      <c r="Y97" s="326"/>
      <c r="Z97" s="320"/>
      <c r="AA97" s="320"/>
      <c r="AB97" s="327"/>
      <c r="AC97" s="328"/>
      <c r="AD97" s="327"/>
      <c r="AE97" s="328"/>
      <c r="AF97" s="329">
        <f>IFERROR(__xludf.DUMMYFUNCTION("""COMPUTED_VALUE"""),0.0)</f>
        <v>0</v>
      </c>
      <c r="AG97" s="330" t="str">
        <f>IFERROR(__xludf.DUMMYFUNCTION("""COMPUTED_VALUE"""),"MDG fuel outage issue")</f>
        <v>MDG fuel outage issue</v>
      </c>
      <c r="AH97" s="330" t="str">
        <f>IFERROR(__xludf.DUMMYFUNCTION("""COMPUTED_VALUE"""),"Run MDG")</f>
        <v>Run MDG</v>
      </c>
      <c r="AI97" s="330"/>
      <c r="AJ97" s="331"/>
      <c r="AK97" s="332"/>
      <c r="AL97" s="361">
        <f>IFERROR(__xludf.DUMMYFUNCTION("""COMPUTED_VALUE"""),0.0)</f>
        <v>0</v>
      </c>
      <c r="AM97" s="361">
        <f>IFERROR(__xludf.DUMMYFUNCTION("""COMPUTED_VALUE"""),0.0)</f>
        <v>0</v>
      </c>
      <c r="AN97" s="121"/>
      <c r="AO97" s="121"/>
      <c r="AP97" s="121"/>
      <c r="AQ97" s="121"/>
      <c r="AR97" s="121"/>
      <c r="AS97" s="121"/>
      <c r="AT97" s="121"/>
    </row>
    <row r="98">
      <c r="A98" s="232">
        <f>IFERROR(__xludf.DUMMYFUNCTION("""COMPUTED_VALUE"""),95.0)</f>
        <v>95</v>
      </c>
      <c r="B98" s="181" t="str">
        <f>IFERROR(__xludf.DUMMYFUNCTION("""COMPUTED_VALUE"""),"TNI0394")</f>
        <v>TNI0394</v>
      </c>
      <c r="C98" s="317" t="str">
        <f>IFERROR(__xludf.DUMMYFUNCTION("""COMPUTED_VALUE"""),"B")</f>
        <v>B</v>
      </c>
      <c r="D98" s="181" t="str">
        <f>IFERROR(__xludf.DUMMYFUNCTION("""COMPUTED_VALUE"""),"Mytel")</f>
        <v>Mytel</v>
      </c>
      <c r="E98" s="357" t="str">
        <f>IFERROR(__xludf.DUMMYFUNCTION("""COMPUTED_VALUE"""),"T1")</f>
        <v>T1</v>
      </c>
      <c r="F98" s="181" t="str">
        <f>IFERROR(__xludf.DUMMYFUNCTION("""COMPUTED_VALUE"""),"Launglon")</f>
        <v>Launglon</v>
      </c>
      <c r="G98" s="181" t="str">
        <f>IFERROR(__xludf.DUMMYFUNCTION("""COMPUTED_VALUE"""),"Thar Htoo Aung")</f>
        <v>Thar Htoo Aung</v>
      </c>
      <c r="H98" s="232"/>
      <c r="I98" s="181"/>
      <c r="J98" s="232"/>
      <c r="K98" s="358">
        <f>IFERROR(__xludf.DUMMYFUNCTION("""COMPUTED_VALUE"""),180.0)</f>
        <v>180</v>
      </c>
      <c r="L98" s="232" t="str">
        <f>IFERROR(__xludf.DUMMYFUNCTION("""COMPUTED_VALUE"""),"24*7")</f>
        <v>24*7</v>
      </c>
      <c r="M98" s="232" t="str">
        <f>IFERROR(__xludf.DUMMYFUNCTION("""COMPUTED_VALUE"""),"1DG+BB")</f>
        <v>1DG+BB</v>
      </c>
      <c r="N98" s="359" t="str">
        <f>IFERROR(__xludf.DUMMYFUNCTION("""COMPUTED_VALUE"""),"114")</f>
        <v>114</v>
      </c>
      <c r="O98" s="318"/>
      <c r="P98" s="318"/>
      <c r="Q98" s="320"/>
      <c r="R98" s="321"/>
      <c r="S98" s="322"/>
      <c r="T98" s="323"/>
      <c r="U98" s="340"/>
      <c r="V98" s="324"/>
      <c r="W98" s="340"/>
      <c r="X98" s="325"/>
      <c r="Y98" s="326"/>
      <c r="Z98" s="320"/>
      <c r="AA98" s="320"/>
      <c r="AB98" s="327">
        <f>IFERROR(__xludf.DUMMYFUNCTION("""COMPUTED_VALUE"""),46203.87613425926)</f>
        <v>46203.87613</v>
      </c>
      <c r="AC98" s="328">
        <f>IFERROR(__xludf.DUMMYFUNCTION("""COMPUTED_VALUE"""),45.60209555545589)</f>
        <v>45.60209556</v>
      </c>
      <c r="AD98" s="327">
        <f>IFERROR(__xludf.DUMMYFUNCTION("""COMPUTED_VALUE"""),46203.878333333334)</f>
        <v>46203.87833</v>
      </c>
      <c r="AE98" s="328">
        <f>IFERROR(__xludf.DUMMYFUNCTION("""COMPUTED_VALUE"""),45.549317777738906)</f>
        <v>45.54931778</v>
      </c>
      <c r="AF98" s="329">
        <f>IFERROR(__xludf.DUMMYFUNCTION("""COMPUTED_VALUE"""),0.0)</f>
        <v>0</v>
      </c>
      <c r="AG98" s="330" t="str">
        <f>IFERROR(__xludf.DUMMYFUNCTION("""COMPUTED_VALUE"""),"Will check again with villager")</f>
        <v>Will check again with villager</v>
      </c>
      <c r="AH98" s="330"/>
      <c r="AI98" s="330"/>
      <c r="AJ98" s="331" t="str">
        <f>IFERROR(__xludf.DUMMYFUNCTION("""COMPUTED_VALUE"""),"Loss_Power_Cannot_Access(Sercurity,Owner…)")</f>
        <v>Loss_Power_Cannot_Access(Sercurity,Owner…)</v>
      </c>
      <c r="AK98" s="332" t="str">
        <f>IFERROR(__xludf.DUMMYFUNCTION("""COMPUTED_VALUE"""),"Unsafe area")</f>
        <v>Unsafe area</v>
      </c>
      <c r="AL98" s="361">
        <f>IFERROR(__xludf.DUMMYFUNCTION("""COMPUTED_VALUE"""),1.0)</f>
        <v>1</v>
      </c>
      <c r="AM98" s="361">
        <f>IFERROR(__xludf.DUMMYFUNCTION("""COMPUTED_VALUE"""),1.0)</f>
        <v>1</v>
      </c>
      <c r="AN98" s="121"/>
      <c r="AO98" s="121"/>
      <c r="AP98" s="121"/>
      <c r="AQ98" s="121"/>
      <c r="AR98" s="121"/>
      <c r="AS98" s="121"/>
      <c r="AT98" s="121"/>
    </row>
    <row r="99">
      <c r="A99" s="232">
        <f>IFERROR(__xludf.DUMMYFUNCTION("""COMPUTED_VALUE"""),96.0)</f>
        <v>96</v>
      </c>
      <c r="B99" s="181" t="str">
        <f>IFERROR(__xludf.DUMMYFUNCTION("""COMPUTED_VALUE"""),"TNI0361")</f>
        <v>TNI0361</v>
      </c>
      <c r="C99" s="317" t="str">
        <f>IFERROR(__xludf.DUMMYFUNCTION("""COMPUTED_VALUE"""),"B")</f>
        <v>B</v>
      </c>
      <c r="D99" s="181" t="str">
        <f>IFERROR(__xludf.DUMMYFUNCTION("""COMPUTED_VALUE"""),"TIP")</f>
        <v>TIP</v>
      </c>
      <c r="E99" s="357" t="str">
        <f>IFERROR(__xludf.DUMMYFUNCTION("""COMPUTED_VALUE"""),"T1")</f>
        <v>T1</v>
      </c>
      <c r="F99" s="181" t="str">
        <f>IFERROR(__xludf.DUMMYFUNCTION("""COMPUTED_VALUE"""),"Launglon")</f>
        <v>Launglon</v>
      </c>
      <c r="G99" s="181" t="str">
        <f>IFERROR(__xludf.DUMMYFUNCTION("""COMPUTED_VALUE"""),"Bone Myat Naing")</f>
        <v>Bone Myat Naing</v>
      </c>
      <c r="H99" s="232" t="str">
        <f>IFERROR(__xludf.DUMMYFUNCTION("""COMPUTED_VALUE"""),"U Nyi Min Lay: 09676916466")</f>
        <v>U Nyi Min Lay: 09676916466</v>
      </c>
      <c r="I99" s="181"/>
      <c r="J99" s="232"/>
      <c r="K99" s="358">
        <f>IFERROR(__xludf.DUMMYFUNCTION("""COMPUTED_VALUE"""),180.0)</f>
        <v>180</v>
      </c>
      <c r="L99" s="232" t="str">
        <f>IFERROR(__xludf.DUMMYFUNCTION("""COMPUTED_VALUE"""),"24*7")</f>
        <v>24*7</v>
      </c>
      <c r="M99" s="232" t="str">
        <f>IFERROR(__xludf.DUMMYFUNCTION("""COMPUTED_VALUE"""),"1DG+BB")</f>
        <v>1DG+BB</v>
      </c>
      <c r="N99" s="359" t="str">
        <f>IFERROR(__xludf.DUMMYFUNCTION("""COMPUTED_VALUE"""),"ok")</f>
        <v>ok</v>
      </c>
      <c r="O99" s="318"/>
      <c r="P99" s="318"/>
      <c r="Q99" s="320" t="str">
        <f>IFERROR(__xludf.DUMMYFUNCTION("""COMPUTED_VALUE""")," Door open alarm: 03/01/2026 06:46")</f>
        <v> Door open alarm: 03/01/2026 06:46</v>
      </c>
      <c r="R99" s="321">
        <f>IFERROR(__xludf.DUMMYFUNCTION("""COMPUTED_VALUE"""),4330.56)</f>
        <v>4330.56</v>
      </c>
      <c r="S99" s="322"/>
      <c r="T99" s="323"/>
      <c r="U99" s="340"/>
      <c r="V99" s="324"/>
      <c r="W99" s="340"/>
      <c r="X99" s="325"/>
      <c r="Y99" s="326"/>
      <c r="Z99" s="320"/>
      <c r="AA99" s="320"/>
      <c r="AB99" s="327">
        <f>IFERROR(__xludf.DUMMYFUNCTION("""COMPUTED_VALUE"""),46203.1935300926)</f>
        <v>46203.19353</v>
      </c>
      <c r="AC99" s="328">
        <f>IFERROR(__xludf.DUMMYFUNCTION("""COMPUTED_VALUE"""),61.98459555557929)</f>
        <v>61.98459556</v>
      </c>
      <c r="AD99" s="327"/>
      <c r="AE99" s="328"/>
      <c r="AF99" s="329">
        <f>IFERROR(__xludf.DUMMYFUNCTION("""COMPUTED_VALUE"""),449.0)</f>
        <v>449</v>
      </c>
      <c r="AG99" s="330" t="str">
        <f>IFERROR(__xludf.DUMMYFUNCTION("""COMPUTED_VALUE"""),"Hub site TNI0201 down")</f>
        <v>Hub site TNI0201 down</v>
      </c>
      <c r="AH99" s="330" t="str">
        <f>IFERROR(__xludf.DUMMYFUNCTION("""COMPUTED_VALUE"""),"T-NYC")</f>
        <v>T-NYC</v>
      </c>
      <c r="AI99" s="330"/>
      <c r="AJ99" s="331" t="str">
        <f>IFERROR(__xludf.DUMMYFUNCTION("""COMPUTED_VALUE"""),"Equip_ Data Cable Error (Y-Link,CPRI,Bus)")</f>
        <v>Equip_ Data Cable Error (Y-Link,CPRI,Bus)</v>
      </c>
      <c r="AK99" s="332" t="str">
        <f>IFERROR(__xludf.DUMMYFUNCTION("""COMPUTED_VALUE"""),"1800 S2down &gt;&gt; need to check CPRI and module")</f>
        <v>1800 S2down &gt;&gt; need to check CPRI and module</v>
      </c>
      <c r="AL99" s="361">
        <f>IFERROR(__xludf.DUMMYFUNCTION("""COMPUTED_VALUE"""),0.0)</f>
        <v>0</v>
      </c>
      <c r="AM99" s="361">
        <f>IFERROR(__xludf.DUMMYFUNCTION("""COMPUTED_VALUE"""),0.0)</f>
        <v>0</v>
      </c>
      <c r="AN99" s="121"/>
      <c r="AO99" s="121"/>
      <c r="AP99" s="121"/>
      <c r="AQ99" s="121"/>
      <c r="AR99" s="121"/>
      <c r="AS99" s="121"/>
      <c r="AT99" s="121"/>
    </row>
    <row r="100">
      <c r="A100" s="232">
        <f>IFERROR(__xludf.DUMMYFUNCTION("""COMPUTED_VALUE"""),97.0)</f>
        <v>97</v>
      </c>
      <c r="B100" s="181" t="str">
        <f>IFERROR(__xludf.DUMMYFUNCTION("""COMPUTED_VALUE"""),"TNI0322")</f>
        <v>TNI0322</v>
      </c>
      <c r="C100" s="317" t="str">
        <f>IFERROR(__xludf.DUMMYFUNCTION("""COMPUTED_VALUE"""),"B")</f>
        <v>B</v>
      </c>
      <c r="D100" s="181" t="str">
        <f>IFERROR(__xludf.DUMMYFUNCTION("""COMPUTED_VALUE"""),"Mytel")</f>
        <v>Mytel</v>
      </c>
      <c r="E100" s="357" t="str">
        <f>IFERROR(__xludf.DUMMYFUNCTION("""COMPUTED_VALUE"""),"T1")</f>
        <v>T1</v>
      </c>
      <c r="F100" s="181" t="str">
        <f>IFERROR(__xludf.DUMMYFUNCTION("""COMPUTED_VALUE"""),"Thayetchaung")</f>
        <v>Thayetchaung</v>
      </c>
      <c r="G100" s="181" t="str">
        <f>IFERROR(__xludf.DUMMYFUNCTION("""COMPUTED_VALUE"""),"Thar Htoo Aung")</f>
        <v>Thar Htoo Aung</v>
      </c>
      <c r="H100" s="232"/>
      <c r="I100" s="181"/>
      <c r="J100" s="232"/>
      <c r="K100" s="358">
        <f>IFERROR(__xludf.DUMMYFUNCTION("""COMPUTED_VALUE"""),100.0)</f>
        <v>100</v>
      </c>
      <c r="L100" s="232" t="str">
        <f>IFERROR(__xludf.DUMMYFUNCTION("""COMPUTED_VALUE"""),"24*7")</f>
        <v>24*7</v>
      </c>
      <c r="M100" s="232" t="str">
        <f>IFERROR(__xludf.DUMMYFUNCTION("""COMPUTED_VALUE"""),"1DG+BB")</f>
        <v>1DG+BB</v>
      </c>
      <c r="N100" s="359" t="str">
        <f>IFERROR(__xludf.DUMMYFUNCTION("""COMPUTED_VALUE"""),"0")</f>
        <v>0</v>
      </c>
      <c r="O100" s="318"/>
      <c r="P100" s="318"/>
      <c r="Q100" s="320"/>
      <c r="R100" s="321"/>
      <c r="S100" s="322"/>
      <c r="T100" s="323"/>
      <c r="U100" s="340"/>
      <c r="V100" s="324" t="str">
        <f>IFERROR(__xludf.DUMMYFUNCTION("""COMPUTED_VALUE"""),"3476.23")</f>
        <v>3476.23</v>
      </c>
      <c r="W100" s="340"/>
      <c r="X100" s="325"/>
      <c r="Y100" s="326"/>
      <c r="Z100" s="320"/>
      <c r="AA100" s="320"/>
      <c r="AB100" s="327"/>
      <c r="AC100" s="328"/>
      <c r="AD100" s="327"/>
      <c r="AE100" s="328"/>
      <c r="AF100" s="329">
        <f>IFERROR(__xludf.DUMMYFUNCTION("""COMPUTED_VALUE"""),1723.0)</f>
        <v>1723</v>
      </c>
      <c r="AG100" s="330" t="str">
        <f>IFERROR(__xludf.DUMMYFUNCTION("""COMPUTED_VALUE"""),"Checking with team")</f>
        <v>Checking with team</v>
      </c>
      <c r="AH100" s="330"/>
      <c r="AI100" s="330"/>
      <c r="AJ100" s="331"/>
      <c r="AK100" s="332"/>
      <c r="AL100" s="361">
        <f>IFERROR(__xludf.DUMMYFUNCTION("""COMPUTED_VALUE"""),0.0)</f>
        <v>0</v>
      </c>
      <c r="AM100" s="361">
        <f>IFERROR(__xludf.DUMMYFUNCTION("""COMPUTED_VALUE"""),0.0)</f>
        <v>0</v>
      </c>
      <c r="AN100" s="121"/>
      <c r="AO100" s="121"/>
      <c r="AP100" s="121"/>
      <c r="AQ100" s="121"/>
      <c r="AR100" s="121"/>
      <c r="AS100" s="121"/>
      <c r="AT100" s="121"/>
    </row>
    <row r="101">
      <c r="A101" s="232">
        <f>IFERROR(__xludf.DUMMYFUNCTION("""COMPUTED_VALUE"""),98.0)</f>
        <v>98</v>
      </c>
      <c r="B101" s="181" t="str">
        <f>IFERROR(__xludf.DUMMYFUNCTION("""COMPUTED_VALUE"""),"TNI0312")</f>
        <v>TNI0312</v>
      </c>
      <c r="C101" s="317" t="str">
        <f>IFERROR(__xludf.DUMMYFUNCTION("""COMPUTED_VALUE"""),"B")</f>
        <v>B</v>
      </c>
      <c r="D101" s="181" t="str">
        <f>IFERROR(__xludf.DUMMYFUNCTION("""COMPUTED_VALUE"""),"MEC")</f>
        <v>MEC</v>
      </c>
      <c r="E101" s="357" t="str">
        <f>IFERROR(__xludf.DUMMYFUNCTION("""COMPUTED_VALUE"""),"T1")</f>
        <v>T1</v>
      </c>
      <c r="F101" s="181" t="str">
        <f>IFERROR(__xludf.DUMMYFUNCTION("""COMPUTED_VALUE"""),"Yebyu")</f>
        <v>Yebyu</v>
      </c>
      <c r="G101" s="181" t="str">
        <f>IFERROR(__xludf.DUMMYFUNCTION("""COMPUTED_VALUE"""),"Bhone Htet Aung")</f>
        <v>Bhone Htet Aung</v>
      </c>
      <c r="H101" s="232"/>
      <c r="I101" s="181"/>
      <c r="J101" s="232"/>
      <c r="K101" s="358">
        <f>IFERROR(__xludf.DUMMYFUNCTION("""COMPUTED_VALUE"""),45.0)</f>
        <v>45</v>
      </c>
      <c r="L101" s="232" t="str">
        <f>IFERROR(__xludf.DUMMYFUNCTION("""COMPUTED_VALUE"""),"9:00PM-5:00AM")</f>
        <v>9:00PM-5:00AM</v>
      </c>
      <c r="M101" s="232" t="str">
        <f>IFERROR(__xludf.DUMMYFUNCTION("""COMPUTED_VALUE"""),"1DG+Solar+BB")</f>
        <v>1DG+Solar+BB</v>
      </c>
      <c r="N101" s="359" t="str">
        <f>IFERROR(__xludf.DUMMYFUNCTION("""COMPUTED_VALUE"""),"0")</f>
        <v>0</v>
      </c>
      <c r="O101" s="318"/>
      <c r="P101" s="318"/>
      <c r="Q101" s="320"/>
      <c r="R101" s="321"/>
      <c r="S101" s="322"/>
      <c r="T101" s="323"/>
      <c r="U101" s="340"/>
      <c r="V101" s="324"/>
      <c r="W101" s="340"/>
      <c r="X101" s="325"/>
      <c r="Y101" s="326"/>
      <c r="Z101" s="320"/>
      <c r="AA101" s="320"/>
      <c r="AB101" s="327"/>
      <c r="AC101" s="328"/>
      <c r="AD101" s="327"/>
      <c r="AE101" s="328"/>
      <c r="AF101" s="329">
        <f>IFERROR(__xludf.DUMMYFUNCTION("""COMPUTED_VALUE"""),676.0)</f>
        <v>676</v>
      </c>
      <c r="AG101" s="330" t="str">
        <f>IFERROR(__xludf.DUMMYFUNCTION("""COMPUTED_VALUE"""),"Team going on the way")</f>
        <v>Team going on the way</v>
      </c>
      <c r="AH101" s="330"/>
      <c r="AI101" s="330"/>
      <c r="AJ101" s="331"/>
      <c r="AK101" s="332"/>
      <c r="AL101" s="361">
        <f>IFERROR(__xludf.DUMMYFUNCTION("""COMPUTED_VALUE"""),0.0)</f>
        <v>0</v>
      </c>
      <c r="AM101" s="361">
        <f>IFERROR(__xludf.DUMMYFUNCTION("""COMPUTED_VALUE"""),0.0)</f>
        <v>0</v>
      </c>
      <c r="AN101" s="121"/>
      <c r="AO101" s="121"/>
      <c r="AP101" s="121"/>
      <c r="AQ101" s="121"/>
      <c r="AR101" s="121"/>
      <c r="AS101" s="121"/>
      <c r="AT101" s="121"/>
    </row>
    <row r="102">
      <c r="A102" s="232">
        <f>IFERROR(__xludf.DUMMYFUNCTION("""COMPUTED_VALUE"""),99.0)</f>
        <v>99</v>
      </c>
      <c r="B102" s="181" t="str">
        <f>IFERROR(__xludf.DUMMYFUNCTION("""COMPUTED_VALUE"""),"TNI0216")</f>
        <v>TNI0216</v>
      </c>
      <c r="C102" s="317" t="str">
        <f>IFERROR(__xludf.DUMMYFUNCTION("""COMPUTED_VALUE"""),"C")</f>
        <v>C</v>
      </c>
      <c r="D102" s="181" t="str">
        <f>IFERROR(__xludf.DUMMYFUNCTION("""COMPUTED_VALUE"""),"Mytel")</f>
        <v>Mytel</v>
      </c>
      <c r="E102" s="357" t="str">
        <f>IFERROR(__xludf.DUMMYFUNCTION("""COMPUTED_VALUE"""),"T1")</f>
        <v>T1</v>
      </c>
      <c r="F102" s="181" t="str">
        <f>IFERROR(__xludf.DUMMYFUNCTION("""COMPUTED_VALUE"""),"Launglon")</f>
        <v>Launglon</v>
      </c>
      <c r="G102" s="181" t="str">
        <f>IFERROR(__xludf.DUMMYFUNCTION("""COMPUTED_VALUE"""),"Win Htet Aung")</f>
        <v>Win Htet Aung</v>
      </c>
      <c r="H102" s="232"/>
      <c r="I102" s="181"/>
      <c r="J102" s="232" t="str">
        <f>IFERROR(__xludf.DUMMYFUNCTION("""COMPUTED_VALUE"""),"OLT")</f>
        <v>OLT</v>
      </c>
      <c r="K102" s="358">
        <f>IFERROR(__xludf.DUMMYFUNCTION("""COMPUTED_VALUE"""),60.0)</f>
        <v>60</v>
      </c>
      <c r="L102" s="232" t="str">
        <f>IFERROR(__xludf.DUMMYFUNCTION("""COMPUTED_VALUE"""),"24*7")</f>
        <v>24*7</v>
      </c>
      <c r="M102" s="232" t="str">
        <f>IFERROR(__xludf.DUMMYFUNCTION("""COMPUTED_VALUE"""),"1DG+Grid+BB")</f>
        <v>1DG+Grid+BB</v>
      </c>
      <c r="N102" s="359" t="str">
        <f>IFERROR(__xludf.DUMMYFUNCTION("""COMPUTED_VALUE"""),"ok")</f>
        <v>ok</v>
      </c>
      <c r="O102" s="318"/>
      <c r="P102" s="318"/>
      <c r="Q102" s="320" t="str">
        <f>IFERROR(__xludf.DUMMYFUNCTION("""COMPUTED_VALUE""")," +Door Alarm: 28/10/2025 10:26")</f>
        <v> +Door Alarm: 28/10/2025 10:26</v>
      </c>
      <c r="R102" s="321">
        <f>IFERROR(__xludf.DUMMYFUNCTION("""COMPUTED_VALUE"""),5934.89)</f>
        <v>5934.89</v>
      </c>
      <c r="S102" s="322"/>
      <c r="T102" s="323"/>
      <c r="U102" s="340"/>
      <c r="V102" s="324" t="str">
        <f>IFERROR(__xludf.DUMMYFUNCTION("""COMPUTED_VALUE"""),"7878.09")</f>
        <v>7878.09</v>
      </c>
      <c r="W102" s="340"/>
      <c r="X102" s="325">
        <f>IFERROR(__xludf.DUMMYFUNCTION("""COMPUTED_VALUE"""),45981.64986111112)</f>
        <v>45981.64986</v>
      </c>
      <c r="Y102" s="326">
        <f>IFERROR(__xludf.DUMMYFUNCTION("""COMPUTED_VALUE"""),5379.032651111134)</f>
        <v>5379.032651</v>
      </c>
      <c r="Z102" s="320"/>
      <c r="AA102" s="320"/>
      <c r="AB102" s="327"/>
      <c r="AC102" s="328"/>
      <c r="AD102" s="327"/>
      <c r="AE102" s="328"/>
      <c r="AF102" s="329">
        <f>IFERROR(__xludf.DUMMYFUNCTION("""COMPUTED_VALUE"""),314.0)</f>
        <v>314</v>
      </c>
      <c r="AG102" s="330" t="str">
        <f>IFERROR(__xludf.DUMMYFUNCTION("""COMPUTED_VALUE"""),"Grid fail, unsafe")</f>
        <v>Grid fail, unsafe</v>
      </c>
      <c r="AH102" s="330"/>
      <c r="AI102" s="330"/>
      <c r="AJ102" s="331"/>
      <c r="AK102" s="332"/>
      <c r="AL102" s="361">
        <f>IFERROR(__xludf.DUMMYFUNCTION("""COMPUTED_VALUE"""),0.0)</f>
        <v>0</v>
      </c>
      <c r="AM102" s="361">
        <f>IFERROR(__xludf.DUMMYFUNCTION("""COMPUTED_VALUE"""),0.0)</f>
        <v>0</v>
      </c>
      <c r="AN102" s="121"/>
      <c r="AO102" s="121"/>
      <c r="AP102" s="121"/>
      <c r="AQ102" s="121"/>
      <c r="AR102" s="121"/>
      <c r="AS102" s="121"/>
      <c r="AT102" s="121"/>
    </row>
    <row r="103">
      <c r="A103" s="232">
        <f>IFERROR(__xludf.DUMMYFUNCTION("""COMPUTED_VALUE"""),100.0)</f>
        <v>100</v>
      </c>
      <c r="B103" s="181" t="str">
        <f>IFERROR(__xludf.DUMMYFUNCTION("""COMPUTED_VALUE"""),"TNI0197")</f>
        <v>TNI0197</v>
      </c>
      <c r="C103" s="317" t="str">
        <f>IFERROR(__xludf.DUMMYFUNCTION("""COMPUTED_VALUE"""),"B")</f>
        <v>B</v>
      </c>
      <c r="D103" s="181" t="str">
        <f>IFERROR(__xludf.DUMMYFUNCTION("""COMPUTED_VALUE"""),"IGT")</f>
        <v>IGT</v>
      </c>
      <c r="E103" s="357" t="str">
        <f>IFERROR(__xludf.DUMMYFUNCTION("""COMPUTED_VALUE"""),"T1")</f>
        <v>T1</v>
      </c>
      <c r="F103" s="181" t="str">
        <f>IFERROR(__xludf.DUMMYFUNCTION("""COMPUTED_VALUE"""),"Yebyu")</f>
        <v>Yebyu</v>
      </c>
      <c r="G103" s="181" t="str">
        <f>IFERROR(__xludf.DUMMYFUNCTION("""COMPUTED_VALUE"""),"Thar Htoo Aung")</f>
        <v>Thar Htoo Aung</v>
      </c>
      <c r="H103" s="232"/>
      <c r="I103" s="181"/>
      <c r="J103" s="232" t="str">
        <f>IFERROR(__xludf.DUMMYFUNCTION("""COMPUTED_VALUE"""),"OLT")</f>
        <v>OLT</v>
      </c>
      <c r="K103" s="358">
        <f>IFERROR(__xludf.DUMMYFUNCTION("""COMPUTED_VALUE"""),45.0)</f>
        <v>45</v>
      </c>
      <c r="L103" s="232" t="str">
        <f>IFERROR(__xludf.DUMMYFUNCTION("""COMPUTED_VALUE"""),"24*7")</f>
        <v>24*7</v>
      </c>
      <c r="M103" s="232" t="str">
        <f>IFERROR(__xludf.DUMMYFUNCTION("""COMPUTED_VALUE"""),"Grid+BB")</f>
        <v>Grid+BB</v>
      </c>
      <c r="N103" s="359" t="str">
        <f>IFERROR(__xludf.DUMMYFUNCTION("""COMPUTED_VALUE"""),"ok")</f>
        <v>ok</v>
      </c>
      <c r="O103" s="318"/>
      <c r="P103" s="318"/>
      <c r="Q103" s="320" t="str">
        <f>IFERROR(__xludf.DUMMYFUNCTION("""COMPUTED_VALUE""")," Door open alarm: 26/02/2026 10:44")</f>
        <v> Door open alarm: 26/02/2026 10:44</v>
      </c>
      <c r="R103" s="321">
        <f>IFERROR(__xludf.DUMMYFUNCTION("""COMPUTED_VALUE"""),3030.59)</f>
        <v>3030.59</v>
      </c>
      <c r="S103" s="322"/>
      <c r="T103" s="323"/>
      <c r="U103" s="340"/>
      <c r="V103" s="324"/>
      <c r="W103" s="340"/>
      <c r="X103" s="325"/>
      <c r="Y103" s="326"/>
      <c r="Z103" s="320"/>
      <c r="AA103" s="320"/>
      <c r="AB103" s="327"/>
      <c r="AC103" s="328"/>
      <c r="AD103" s="327"/>
      <c r="AE103" s="328"/>
      <c r="AF103" s="329">
        <f>IFERROR(__xludf.DUMMYFUNCTION("""COMPUTED_VALUE"""),1265.0)</f>
        <v>1265</v>
      </c>
      <c r="AG103" s="330" t="str">
        <f>IFERROR(__xludf.DUMMYFUNCTION("""COMPUTED_VALUE"""),"Hub site TNI0189 down")</f>
        <v>Hub site TNI0189 down</v>
      </c>
      <c r="AH103" s="298"/>
      <c r="AI103" s="330"/>
      <c r="AJ103" s="331"/>
      <c r="AK103" s="332"/>
      <c r="AL103" s="361">
        <f>IFERROR(__xludf.DUMMYFUNCTION("""COMPUTED_VALUE"""),0.0)</f>
        <v>0</v>
      </c>
      <c r="AM103" s="361">
        <f>IFERROR(__xludf.DUMMYFUNCTION("""COMPUTED_VALUE"""),0.0)</f>
        <v>0</v>
      </c>
      <c r="AN103" s="121"/>
      <c r="AO103" s="121"/>
      <c r="AP103" s="121"/>
      <c r="AQ103" s="121"/>
      <c r="AR103" s="121"/>
      <c r="AS103" s="121"/>
      <c r="AT103" s="121"/>
    </row>
    <row r="104">
      <c r="A104" s="98">
        <f>IFERROR(__xludf.DUMMYFUNCTION("""COMPUTED_VALUE"""),101.0)</f>
        <v>101</v>
      </c>
      <c r="B104" s="98" t="str">
        <f>IFERROR(__xludf.DUMMYFUNCTION("""COMPUTED_VALUE"""),"TNI0208")</f>
        <v>TNI0208</v>
      </c>
      <c r="C104" s="98" t="str">
        <f>IFERROR(__xludf.DUMMYFUNCTION("""COMPUTED_VALUE"""),"B")</f>
        <v>B</v>
      </c>
      <c r="D104" s="98" t="str">
        <f>IFERROR(__xludf.DUMMYFUNCTION("""COMPUTED_VALUE"""),"IGT")</f>
        <v>IGT</v>
      </c>
      <c r="E104" s="98" t="str">
        <f>IFERROR(__xludf.DUMMYFUNCTION("""COMPUTED_VALUE"""),"T1")</f>
        <v>T1</v>
      </c>
      <c r="F104" s="98" t="str">
        <f>IFERROR(__xludf.DUMMYFUNCTION("""COMPUTED_VALUE"""),"Yebyu")</f>
        <v>Yebyu</v>
      </c>
      <c r="G104" s="98" t="str">
        <f>IFERROR(__xludf.DUMMYFUNCTION("""COMPUTED_VALUE"""),"Win Htet Aung")</f>
        <v>Win Htet Aung</v>
      </c>
      <c r="H104" s="98"/>
      <c r="I104" s="98"/>
      <c r="J104" s="98" t="str">
        <f>IFERROR(__xludf.DUMMYFUNCTION("""COMPUTED_VALUE"""),"OLT")</f>
        <v>OLT</v>
      </c>
      <c r="K104" s="362">
        <f>IFERROR(__xludf.DUMMYFUNCTION("""COMPUTED_VALUE"""),45.0)</f>
        <v>45</v>
      </c>
      <c r="L104" s="98" t="str">
        <f>IFERROR(__xludf.DUMMYFUNCTION("""COMPUTED_VALUE"""),"24*7")</f>
        <v>24*7</v>
      </c>
      <c r="M104" s="98" t="str">
        <f>IFERROR(__xludf.DUMMYFUNCTION("""COMPUTED_VALUE"""),"Grid+BB")</f>
        <v>Grid+BB</v>
      </c>
      <c r="N104" s="98" t="str">
        <f>IFERROR(__xludf.DUMMYFUNCTION("""COMPUTED_VALUE"""),"ok")</f>
        <v>ok</v>
      </c>
      <c r="O104" s="363"/>
      <c r="P104" s="98"/>
      <c r="Q104" s="98"/>
      <c r="R104" s="100"/>
      <c r="S104" s="363"/>
      <c r="T104" s="100"/>
      <c r="U104" s="98"/>
      <c r="V104" s="100"/>
      <c r="W104" s="98"/>
      <c r="X104" s="363"/>
      <c r="Y104" s="100"/>
      <c r="Z104" s="363"/>
      <c r="AA104" s="98"/>
      <c r="AB104" s="363"/>
      <c r="AC104" s="100"/>
      <c r="AD104" s="363"/>
      <c r="AE104" s="100"/>
      <c r="AF104" s="364">
        <f>IFERROR(__xludf.DUMMYFUNCTION("""COMPUTED_VALUE"""),524.0)</f>
        <v>524</v>
      </c>
      <c r="AG104" s="98" t="str">
        <f>IFERROR(__xludf.DUMMYFUNCTION("""COMPUTED_VALUE"""),"Hub site TNI0189 down")</f>
        <v>Hub site TNI0189 down</v>
      </c>
      <c r="AH104" s="98"/>
      <c r="AI104" s="98"/>
      <c r="AJ104" s="98"/>
      <c r="AK104" s="98"/>
      <c r="AL104" s="364">
        <f>IFERROR(__xludf.DUMMYFUNCTION("""COMPUTED_VALUE"""),0.0)</f>
        <v>0</v>
      </c>
      <c r="AM104" s="364">
        <f>IFERROR(__xludf.DUMMYFUNCTION("""COMPUTED_VALUE"""),0.0)</f>
        <v>0</v>
      </c>
    </row>
    <row r="105">
      <c r="A105" s="98">
        <f>IFERROR(__xludf.DUMMYFUNCTION("""COMPUTED_VALUE"""),102.0)</f>
        <v>102</v>
      </c>
      <c r="B105" s="98" t="str">
        <f>IFERROR(__xludf.DUMMYFUNCTION("""COMPUTED_VALUE"""),"TNI0351")</f>
        <v>TNI0351</v>
      </c>
      <c r="C105" s="98" t="str">
        <f>IFERROR(__xludf.DUMMYFUNCTION("""COMPUTED_VALUE"""),"C")</f>
        <v>C</v>
      </c>
      <c r="D105" s="98" t="str">
        <f>IFERROR(__xludf.DUMMYFUNCTION("""COMPUTED_VALUE"""),"IGT")</f>
        <v>IGT</v>
      </c>
      <c r="E105" s="98" t="str">
        <f>IFERROR(__xludf.DUMMYFUNCTION("""COMPUTED_VALUE"""),"T1")</f>
        <v>T1</v>
      </c>
      <c r="F105" s="98" t="str">
        <f>IFERROR(__xludf.DUMMYFUNCTION("""COMPUTED_VALUE"""),"Yebyu")</f>
        <v>Yebyu</v>
      </c>
      <c r="G105" s="98" t="str">
        <f>IFERROR(__xludf.DUMMYFUNCTION("""COMPUTED_VALUE"""),"Thar Htoo Aung")</f>
        <v>Thar Htoo Aung</v>
      </c>
      <c r="H105" s="98"/>
      <c r="I105" s="98"/>
      <c r="J105" s="98"/>
      <c r="K105" s="362">
        <f>IFERROR(__xludf.DUMMYFUNCTION("""COMPUTED_VALUE"""),60.0)</f>
        <v>60</v>
      </c>
      <c r="L105" s="98" t="str">
        <f>IFERROR(__xludf.DUMMYFUNCTION("""COMPUTED_VALUE"""),"24*7")</f>
        <v>24*7</v>
      </c>
      <c r="M105" s="98" t="str">
        <f>IFERROR(__xludf.DUMMYFUNCTION("""COMPUTED_VALUE"""),"1DG+BB")</f>
        <v>1DG+BB</v>
      </c>
      <c r="N105" s="98" t="str">
        <f>IFERROR(__xludf.DUMMYFUNCTION("""COMPUTED_VALUE"""),"90")</f>
        <v>90</v>
      </c>
      <c r="O105" s="363"/>
      <c r="P105" s="98"/>
      <c r="Q105" s="98"/>
      <c r="R105" s="100"/>
      <c r="S105" s="363">
        <f>IFERROR(__xludf.DUMMYFUNCTION("""COMPUTED_VALUE"""),46205.67113425926)</f>
        <v>46205.67113</v>
      </c>
      <c r="T105" s="100">
        <f>IFERROR(__xludf.DUMMYFUNCTION("""COMPUTED_VALUE"""),2.522095555497799)</f>
        <v>2.522095555</v>
      </c>
      <c r="U105" s="98"/>
      <c r="V105" s="100"/>
      <c r="W105" s="98"/>
      <c r="X105" s="363"/>
      <c r="Y105" s="100"/>
      <c r="Z105" s="363"/>
      <c r="AA105" s="98"/>
      <c r="AB105" s="363"/>
      <c r="AC105" s="100"/>
      <c r="AD105" s="363"/>
      <c r="AE105" s="100"/>
      <c r="AF105" s="364">
        <f>IFERROR(__xludf.DUMMYFUNCTION("""COMPUTED_VALUE"""),134.0)</f>
        <v>134</v>
      </c>
      <c r="AG105" s="98" t="str">
        <f>IFERROR(__xludf.DUMMYFUNCTION("""COMPUTED_VALUE"""),"Hub site TNI0312 down")</f>
        <v>Hub site TNI0312 down</v>
      </c>
      <c r="AH105" s="98"/>
      <c r="AI105" s="98"/>
      <c r="AJ105" s="98"/>
      <c r="AK105" s="98"/>
      <c r="AL105" s="364">
        <f>IFERROR(__xludf.DUMMYFUNCTION("""COMPUTED_VALUE"""),0.0)</f>
        <v>0</v>
      </c>
      <c r="AM105" s="364">
        <f>IFERROR(__xludf.DUMMYFUNCTION("""COMPUTED_VALUE"""),0.0)</f>
        <v>0</v>
      </c>
    </row>
    <row r="106">
      <c r="A106" s="98">
        <f>IFERROR(__xludf.DUMMYFUNCTION("""COMPUTED_VALUE"""),103.0)</f>
        <v>103</v>
      </c>
      <c r="B106" s="98" t="str">
        <f>IFERROR(__xludf.DUMMYFUNCTION("""COMPUTED_VALUE"""),"TNI0330")</f>
        <v>TNI0330</v>
      </c>
      <c r="C106" s="98" t="str">
        <f>IFERROR(__xludf.DUMMYFUNCTION("""COMPUTED_VALUE"""),"C")</f>
        <v>C</v>
      </c>
      <c r="D106" s="98" t="str">
        <f>IFERROR(__xludf.DUMMYFUNCTION("""COMPUTED_VALUE"""),"Edotco")</f>
        <v>Edotco</v>
      </c>
      <c r="E106" s="98" t="str">
        <f>IFERROR(__xludf.DUMMYFUNCTION("""COMPUTED_VALUE"""),"T1")</f>
        <v>T1</v>
      </c>
      <c r="F106" s="98" t="str">
        <f>IFERROR(__xludf.DUMMYFUNCTION("""COMPUTED_VALUE"""),"Yebyu")</f>
        <v>Yebyu</v>
      </c>
      <c r="G106" s="98" t="str">
        <f>IFERROR(__xludf.DUMMYFUNCTION("""COMPUTED_VALUE"""),"Thu Rain Niang")</f>
        <v>Thu Rain Niang</v>
      </c>
      <c r="H106" s="98"/>
      <c r="I106" s="98"/>
      <c r="J106" s="98"/>
      <c r="K106" s="362">
        <f>IFERROR(__xludf.DUMMYFUNCTION("""COMPUTED_VALUE"""),90.0)</f>
        <v>90</v>
      </c>
      <c r="L106" s="98" t="str">
        <f>IFERROR(__xludf.DUMMYFUNCTION("""COMPUTED_VALUE"""),"9:00PM-5:00AM")</f>
        <v>9:00PM-5:00AM</v>
      </c>
      <c r="M106" s="98" t="str">
        <f>IFERROR(__xludf.DUMMYFUNCTION("""COMPUTED_VALUE"""),"1DG+BB")</f>
        <v>1DG+BB</v>
      </c>
      <c r="N106" s="98" t="str">
        <f>IFERROR(__xludf.DUMMYFUNCTION("""COMPUTED_VALUE"""),"ok")</f>
        <v>ok</v>
      </c>
      <c r="O106" s="363"/>
      <c r="P106" s="98"/>
      <c r="Q106" s="98"/>
      <c r="R106" s="100"/>
      <c r="S106" s="363"/>
      <c r="T106" s="100"/>
      <c r="U106" s="98"/>
      <c r="V106" s="100"/>
      <c r="W106" s="98"/>
      <c r="X106" s="363"/>
      <c r="Y106" s="100"/>
      <c r="Z106" s="363"/>
      <c r="AA106" s="98"/>
      <c r="AB106" s="363"/>
      <c r="AC106" s="100"/>
      <c r="AD106" s="363"/>
      <c r="AE106" s="100"/>
      <c r="AF106" s="364">
        <f>IFERROR(__xludf.DUMMYFUNCTION("""COMPUTED_VALUE"""),379.0)</f>
        <v>379</v>
      </c>
      <c r="AG106" s="98" t="str">
        <f>IFERROR(__xludf.DUMMYFUNCTION("""COMPUTED_VALUE"""),"HUB site MON0073 down")</f>
        <v>HUB site MON0073 down</v>
      </c>
      <c r="AH106" s="98"/>
      <c r="AI106" s="98"/>
      <c r="AJ106" s="98"/>
      <c r="AK106" s="98"/>
      <c r="AL106" s="364">
        <f>IFERROR(__xludf.DUMMYFUNCTION("""COMPUTED_VALUE"""),0.0)</f>
        <v>0</v>
      </c>
      <c r="AM106" s="364">
        <f>IFERROR(__xludf.DUMMYFUNCTION("""COMPUTED_VALUE"""),0.0)</f>
        <v>0</v>
      </c>
    </row>
    <row r="107">
      <c r="A107" s="98">
        <f>IFERROR(__xludf.DUMMYFUNCTION("""COMPUTED_VALUE"""),104.0)</f>
        <v>104</v>
      </c>
      <c r="B107" s="98" t="str">
        <f>IFERROR(__xludf.DUMMYFUNCTION("""COMPUTED_VALUE"""),"TNI0213")</f>
        <v>TNI0213</v>
      </c>
      <c r="C107" s="98" t="str">
        <f>IFERROR(__xludf.DUMMYFUNCTION("""COMPUTED_VALUE"""),"B")</f>
        <v>B</v>
      </c>
      <c r="D107" s="98" t="str">
        <f>IFERROR(__xludf.DUMMYFUNCTION("""COMPUTED_VALUE"""),"EFT")</f>
        <v>EFT</v>
      </c>
      <c r="E107" s="98" t="str">
        <f>IFERROR(__xludf.DUMMYFUNCTION("""COMPUTED_VALUE"""),"T1")</f>
        <v>T1</v>
      </c>
      <c r="F107" s="98" t="str">
        <f>IFERROR(__xludf.DUMMYFUNCTION("""COMPUTED_VALUE"""),"Yebyu")</f>
        <v>Yebyu</v>
      </c>
      <c r="G107" s="98" t="str">
        <f>IFERROR(__xludf.DUMMYFUNCTION("""COMPUTED_VALUE"""),"Thu Rain Niang")</f>
        <v>Thu Rain Niang</v>
      </c>
      <c r="H107" s="98"/>
      <c r="I107" s="98"/>
      <c r="J107" s="98" t="str">
        <f>IFERROR(__xludf.DUMMYFUNCTION("""COMPUTED_VALUE"""),"OLT")</f>
        <v>OLT</v>
      </c>
      <c r="K107" s="362">
        <f>IFERROR(__xludf.DUMMYFUNCTION("""COMPUTED_VALUE"""),60.0)</f>
        <v>60</v>
      </c>
      <c r="L107" s="98" t="str">
        <f>IFERROR(__xludf.DUMMYFUNCTION("""COMPUTED_VALUE"""),"6:00PM-6:00AM")</f>
        <v>6:00PM-6:00AM</v>
      </c>
      <c r="M107" s="98" t="str">
        <f>IFERROR(__xludf.DUMMYFUNCTION("""COMPUTED_VALUE"""),"1DG+BB")</f>
        <v>1DG+BB</v>
      </c>
      <c r="N107" s="98" t="str">
        <f>IFERROR(__xludf.DUMMYFUNCTION("""COMPUTED_VALUE"""),"131")</f>
        <v>131</v>
      </c>
      <c r="O107" s="363"/>
      <c r="P107" s="98"/>
      <c r="Q107" s="98" t="str">
        <f>IFERROR(__xludf.DUMMYFUNCTION("""COMPUTED_VALUE""")," Door open alarm: 28/04/2025 17:56")</f>
        <v> Door open alarm: 28/04/2025 17:56</v>
      </c>
      <c r="R107" s="100">
        <f>IFERROR(__xludf.DUMMYFUNCTION("""COMPUTED_VALUE"""),10319.39)</f>
        <v>10319.39</v>
      </c>
      <c r="S107" s="363">
        <f>IFERROR(__xludf.DUMMYFUNCTION("""COMPUTED_VALUE"""),46205.7139699074)</f>
        <v>46205.71397</v>
      </c>
      <c r="T107" s="100">
        <f>IFERROR(__xludf.DUMMYFUNCTION("""COMPUTED_VALUE"""),1.4940399999031797)</f>
        <v>1.49404</v>
      </c>
      <c r="U107" s="98"/>
      <c r="V107" s="100"/>
      <c r="W107" s="98"/>
      <c r="X107" s="363"/>
      <c r="Y107" s="100"/>
      <c r="Z107" s="363"/>
      <c r="AA107" s="98"/>
      <c r="AB107" s="363"/>
      <c r="AC107" s="100"/>
      <c r="AD107" s="363"/>
      <c r="AE107" s="100"/>
      <c r="AF107" s="364">
        <f>IFERROR(__xludf.DUMMYFUNCTION("""COMPUTED_VALUE"""),5100.0)</f>
        <v>5100</v>
      </c>
      <c r="AG107" s="98" t="str">
        <f>IFERROR(__xludf.DUMMYFUNCTION("""COMPUTED_VALUE"""),"Checking with team")</f>
        <v>Checking with team</v>
      </c>
      <c r="AH107" s="98"/>
      <c r="AI107" s="98"/>
      <c r="AJ107" s="98"/>
      <c r="AK107" s="98"/>
      <c r="AL107" s="364">
        <f>IFERROR(__xludf.DUMMYFUNCTION("""COMPUTED_VALUE"""),0.0)</f>
        <v>0</v>
      </c>
      <c r="AM107" s="364">
        <f>IFERROR(__xludf.DUMMYFUNCTION("""COMPUTED_VALUE"""),0.0)</f>
        <v>0</v>
      </c>
    </row>
    <row r="108">
      <c r="A108" s="98">
        <f>IFERROR(__xludf.DUMMYFUNCTION("""COMPUTED_VALUE"""),105.0)</f>
        <v>105</v>
      </c>
      <c r="B108" s="98" t="str">
        <f>IFERROR(__xludf.DUMMYFUNCTION("""COMPUTED_VALUE"""),"TNI0430")</f>
        <v>TNI0430</v>
      </c>
      <c r="C108" s="98" t="str">
        <f>IFERROR(__xludf.DUMMYFUNCTION("""COMPUTED_VALUE"""),"C")</f>
        <v>C</v>
      </c>
      <c r="D108" s="98" t="str">
        <f>IFERROR(__xludf.DUMMYFUNCTION("""COMPUTED_VALUE"""),"EFT")</f>
        <v>EFT</v>
      </c>
      <c r="E108" s="98" t="str">
        <f>IFERROR(__xludf.DUMMYFUNCTION("""COMPUTED_VALUE"""),"T1")</f>
        <v>T1</v>
      </c>
      <c r="F108" s="98" t="str">
        <f>IFERROR(__xludf.DUMMYFUNCTION("""COMPUTED_VALUE"""),"Yebyu")</f>
        <v>Yebyu</v>
      </c>
      <c r="G108" s="98" t="str">
        <f>IFERROR(__xludf.DUMMYFUNCTION("""COMPUTED_VALUE"""),"Thu Rain Niang")</f>
        <v>Thu Rain Niang</v>
      </c>
      <c r="H108" s="98"/>
      <c r="I108" s="98"/>
      <c r="J108" s="98"/>
      <c r="K108" s="362">
        <f>IFERROR(__xludf.DUMMYFUNCTION("""COMPUTED_VALUE"""),90.0)</f>
        <v>90</v>
      </c>
      <c r="L108" s="98" t="str">
        <f>IFERROR(__xludf.DUMMYFUNCTION("""COMPUTED_VALUE"""),"6:00PM-6:00AM")</f>
        <v>6:00PM-6:00AM</v>
      </c>
      <c r="M108" s="98" t="str">
        <f>IFERROR(__xludf.DUMMYFUNCTION("""COMPUTED_VALUE"""),"1DG+BB")</f>
        <v>1DG+BB</v>
      </c>
      <c r="N108" s="98" t="str">
        <f>IFERROR(__xludf.DUMMYFUNCTION("""COMPUTED_VALUE"""),"ok")</f>
        <v>ok</v>
      </c>
      <c r="O108" s="363"/>
      <c r="P108" s="98"/>
      <c r="Q108" s="98"/>
      <c r="R108" s="100"/>
      <c r="S108" s="363"/>
      <c r="T108" s="100"/>
      <c r="U108" s="98"/>
      <c r="V108" s="100"/>
      <c r="W108" s="98"/>
      <c r="X108" s="363"/>
      <c r="Y108" s="100"/>
      <c r="Z108" s="363"/>
      <c r="AA108" s="98"/>
      <c r="AB108" s="363"/>
      <c r="AC108" s="100"/>
      <c r="AD108" s="363"/>
      <c r="AE108" s="100"/>
      <c r="AF108" s="364">
        <f>IFERROR(__xludf.DUMMYFUNCTION("""COMPUTED_VALUE"""),1368.0)</f>
        <v>1368</v>
      </c>
      <c r="AG108" s="98" t="str">
        <f>IFERROR(__xludf.DUMMYFUNCTION("""COMPUTED_VALUE"""),"Contact loose with team")</f>
        <v>Contact loose with team</v>
      </c>
      <c r="AH108" s="98"/>
      <c r="AI108" s="98"/>
      <c r="AJ108" s="98"/>
      <c r="AK108" s="98"/>
      <c r="AL108" s="364">
        <f>IFERROR(__xludf.DUMMYFUNCTION("""COMPUTED_VALUE"""),0.0)</f>
        <v>0</v>
      </c>
      <c r="AM108" s="364">
        <f>IFERROR(__xludf.DUMMYFUNCTION("""COMPUTED_VALUE"""),0.0)</f>
        <v>0</v>
      </c>
    </row>
    <row r="109">
      <c r="A109" s="98">
        <f>IFERROR(__xludf.DUMMYFUNCTION("""COMPUTED_VALUE"""),106.0)</f>
        <v>106</v>
      </c>
      <c r="B109" s="98" t="str">
        <f>IFERROR(__xludf.DUMMYFUNCTION("""COMPUTED_VALUE"""),"TNI0146")</f>
        <v>TNI0146</v>
      </c>
      <c r="C109" s="98" t="str">
        <f>IFERROR(__xludf.DUMMYFUNCTION("""COMPUTED_VALUE"""),"C")</f>
        <v>C</v>
      </c>
      <c r="D109" s="98" t="str">
        <f>IFERROR(__xludf.DUMMYFUNCTION("""COMPUTED_VALUE"""),"IGT")</f>
        <v>IGT</v>
      </c>
      <c r="E109" s="98" t="str">
        <f>IFERROR(__xludf.DUMMYFUNCTION("""COMPUTED_VALUE"""),"T1")</f>
        <v>T1</v>
      </c>
      <c r="F109" s="98" t="str">
        <f>IFERROR(__xludf.DUMMYFUNCTION("""COMPUTED_VALUE"""),"Yebyu")</f>
        <v>Yebyu</v>
      </c>
      <c r="G109" s="98" t="str">
        <f>IFERROR(__xludf.DUMMYFUNCTION("""COMPUTED_VALUE"""),"Win Htet Aung")</f>
        <v>Win Htet Aung</v>
      </c>
      <c r="H109" s="98"/>
      <c r="I109" s="98"/>
      <c r="J109" s="98" t="str">
        <f>IFERROR(__xludf.DUMMYFUNCTION("""COMPUTED_VALUE"""),"OLT")</f>
        <v>OLT</v>
      </c>
      <c r="K109" s="362">
        <f>IFERROR(__xludf.DUMMYFUNCTION("""COMPUTED_VALUE"""),60.0)</f>
        <v>60</v>
      </c>
      <c r="L109" s="98" t="str">
        <f>IFERROR(__xludf.DUMMYFUNCTION("""COMPUTED_VALUE"""),"24*7")</f>
        <v>24*7</v>
      </c>
      <c r="M109" s="98" t="str">
        <f>IFERROR(__xludf.DUMMYFUNCTION("""COMPUTED_VALUE"""),"Grid+BB")</f>
        <v>Grid+BB</v>
      </c>
      <c r="N109" s="98" t="str">
        <f>IFERROR(__xludf.DUMMYFUNCTION("""COMPUTED_VALUE"""),"ok")</f>
        <v>ok</v>
      </c>
      <c r="O109" s="363"/>
      <c r="P109" s="98"/>
      <c r="Q109" s="98"/>
      <c r="R109" s="100"/>
      <c r="S109" s="363"/>
      <c r="T109" s="100"/>
      <c r="U109" s="98"/>
      <c r="V109" s="100"/>
      <c r="W109" s="98"/>
      <c r="X109" s="363"/>
      <c r="Y109" s="100"/>
      <c r="Z109" s="363"/>
      <c r="AA109" s="98"/>
      <c r="AB109" s="363">
        <f>IFERROR(__xludf.DUMMYFUNCTION("""COMPUTED_VALUE"""),46201.4605787037)</f>
        <v>46201.46058</v>
      </c>
      <c r="AC109" s="100">
        <f>IFERROR(__xludf.DUMMYFUNCTION("""COMPUTED_VALUE"""),103.57542888878379)</f>
        <v>103.5754289</v>
      </c>
      <c r="AD109" s="363"/>
      <c r="AE109" s="100"/>
      <c r="AF109" s="364">
        <f>IFERROR(__xludf.DUMMYFUNCTION("""COMPUTED_VALUE"""),121.0)</f>
        <v>121</v>
      </c>
      <c r="AG109" s="98" t="str">
        <f>IFERROR(__xludf.DUMMYFUNCTION("""COMPUTED_VALUE"""),"Grid fail, non DG site (Unsafe)")</f>
        <v>Grid fail, non DG site (Unsafe)</v>
      </c>
      <c r="AH109" s="98"/>
      <c r="AI109" s="98"/>
      <c r="AJ109" s="98" t="str">
        <f>IFERROR(__xludf.DUMMYFUNCTION("""COMPUTED_VALUE"""),"Equip_ Data Cable Error (Y-Link,CPRI,Bus)")</f>
        <v>Equip_ Data Cable Error (Y-Link,CPRI,Bus)</v>
      </c>
      <c r="AK109" s="98" t="str">
        <f>IFERROR(__xludf.DUMMYFUNCTION("""COMPUTED_VALUE"""),"1800 S2 down &gt;&gt;Need to check CPRI and module")</f>
        <v>1800 S2 down &gt;&gt;Need to check CPRI and module</v>
      </c>
      <c r="AL109" s="364">
        <f>IFERROR(__xludf.DUMMYFUNCTION("""COMPUTED_VALUE"""),0.0)</f>
        <v>0</v>
      </c>
      <c r="AM109" s="364">
        <f>IFERROR(__xludf.DUMMYFUNCTION("""COMPUTED_VALUE"""),0.0)</f>
        <v>0</v>
      </c>
    </row>
    <row r="110">
      <c r="A110" s="98">
        <f>IFERROR(__xludf.DUMMYFUNCTION("""COMPUTED_VALUE"""),107.0)</f>
        <v>107</v>
      </c>
      <c r="B110" s="98" t="str">
        <f>IFERROR(__xludf.DUMMYFUNCTION("""COMPUTED_VALUE"""),"TNI0147")</f>
        <v>TNI0147</v>
      </c>
      <c r="C110" s="98" t="str">
        <f>IFERROR(__xludf.DUMMYFUNCTION("""COMPUTED_VALUE"""),"C")</f>
        <v>C</v>
      </c>
      <c r="D110" s="98" t="str">
        <f>IFERROR(__xludf.DUMMYFUNCTION("""COMPUTED_VALUE"""),"IGT")</f>
        <v>IGT</v>
      </c>
      <c r="E110" s="98" t="str">
        <f>IFERROR(__xludf.DUMMYFUNCTION("""COMPUTED_VALUE"""),"T1")</f>
        <v>T1</v>
      </c>
      <c r="F110" s="98" t="str">
        <f>IFERROR(__xludf.DUMMYFUNCTION("""COMPUTED_VALUE"""),"Yebyu")</f>
        <v>Yebyu</v>
      </c>
      <c r="G110" s="98" t="str">
        <f>IFERROR(__xludf.DUMMYFUNCTION("""COMPUTED_VALUE"""),"Win Htet Aung")</f>
        <v>Win Htet Aung</v>
      </c>
      <c r="H110" s="98"/>
      <c r="I110" s="98"/>
      <c r="J110" s="98"/>
      <c r="K110" s="362">
        <f>IFERROR(__xludf.DUMMYFUNCTION("""COMPUTED_VALUE"""),90.0)</f>
        <v>90</v>
      </c>
      <c r="L110" s="98" t="str">
        <f>IFERROR(__xludf.DUMMYFUNCTION("""COMPUTED_VALUE"""),"24*7")</f>
        <v>24*7</v>
      </c>
      <c r="M110" s="98" t="str">
        <f>IFERROR(__xludf.DUMMYFUNCTION("""COMPUTED_VALUE"""),"1DG+Grid+BB")</f>
        <v>1DG+Grid+BB</v>
      </c>
      <c r="N110" s="98" t="str">
        <f>IFERROR(__xludf.DUMMYFUNCTION("""COMPUTED_VALUE"""),"ok")</f>
        <v>ok</v>
      </c>
      <c r="O110" s="363"/>
      <c r="P110" s="98"/>
      <c r="Q110" s="98"/>
      <c r="R110" s="100"/>
      <c r="S110" s="363"/>
      <c r="T110" s="100"/>
      <c r="U110" s="98"/>
      <c r="V110" s="100"/>
      <c r="W110" s="98"/>
      <c r="X110" s="363"/>
      <c r="Y110" s="100"/>
      <c r="Z110" s="363"/>
      <c r="AA110" s="98"/>
      <c r="AB110" s="363"/>
      <c r="AC110" s="100"/>
      <c r="AD110" s="363"/>
      <c r="AE110" s="100"/>
      <c r="AF110" s="364">
        <f>IFERROR(__xludf.DUMMYFUNCTION("""COMPUTED_VALUE"""),753.0)</f>
        <v>753</v>
      </c>
      <c r="AG110" s="98" t="str">
        <f>IFERROR(__xludf.DUMMYFUNCTION("""COMPUTED_VALUE"""),"Hub site TNI0146 down")</f>
        <v>Hub site TNI0146 down</v>
      </c>
      <c r="AH110" s="98"/>
      <c r="AI110" s="98"/>
      <c r="AJ110" s="98"/>
      <c r="AK110" s="98"/>
      <c r="AL110" s="364">
        <f>IFERROR(__xludf.DUMMYFUNCTION("""COMPUTED_VALUE"""),0.0)</f>
        <v>0</v>
      </c>
      <c r="AM110" s="364">
        <f>IFERROR(__xludf.DUMMYFUNCTION("""COMPUTED_VALUE"""),0.0)</f>
        <v>0</v>
      </c>
    </row>
    <row r="111">
      <c r="A111" s="98">
        <f>IFERROR(__xludf.DUMMYFUNCTION("""COMPUTED_VALUE"""),108.0)</f>
        <v>108</v>
      </c>
      <c r="B111" s="98" t="str">
        <f>IFERROR(__xludf.DUMMYFUNCTION("""COMPUTED_VALUE"""),"TNI0283")</f>
        <v>TNI0283</v>
      </c>
      <c r="C111" s="98" t="str">
        <f>IFERROR(__xludf.DUMMYFUNCTION("""COMPUTED_VALUE"""),"C")</f>
        <v>C</v>
      </c>
      <c r="D111" s="98" t="str">
        <f>IFERROR(__xludf.DUMMYFUNCTION("""COMPUTED_VALUE"""),"IGT")</f>
        <v>IGT</v>
      </c>
      <c r="E111" s="98" t="str">
        <f>IFERROR(__xludf.DUMMYFUNCTION("""COMPUTED_VALUE"""),"T1")</f>
        <v>T1</v>
      </c>
      <c r="F111" s="98" t="str">
        <f>IFERROR(__xludf.DUMMYFUNCTION("""COMPUTED_VALUE"""),"Yebyu")</f>
        <v>Yebyu</v>
      </c>
      <c r="G111" s="98" t="str">
        <f>IFERROR(__xludf.DUMMYFUNCTION("""COMPUTED_VALUE"""),"Thu Rain Niang")</f>
        <v>Thu Rain Niang</v>
      </c>
      <c r="H111" s="98"/>
      <c r="I111" s="98"/>
      <c r="J111" s="98"/>
      <c r="K111" s="362">
        <f>IFERROR(__xludf.DUMMYFUNCTION("""COMPUTED_VALUE"""),60.0)</f>
        <v>60</v>
      </c>
      <c r="L111" s="98" t="str">
        <f>IFERROR(__xludf.DUMMYFUNCTION("""COMPUTED_VALUE"""),"9:00PM-5:00AM")</f>
        <v>9:00PM-5:00AM</v>
      </c>
      <c r="M111" s="98" t="str">
        <f>IFERROR(__xludf.DUMMYFUNCTION("""COMPUTED_VALUE"""),"1DG+Grid+BB")</f>
        <v>1DG+Grid+BB</v>
      </c>
      <c r="N111" s="98" t="str">
        <f>IFERROR(__xludf.DUMMYFUNCTION("""COMPUTED_VALUE"""),"ok")</f>
        <v>ok</v>
      </c>
      <c r="O111" s="363"/>
      <c r="P111" s="98"/>
      <c r="Q111" s="98"/>
      <c r="R111" s="100"/>
      <c r="S111" s="363"/>
      <c r="T111" s="100"/>
      <c r="U111" s="98"/>
      <c r="V111" s="100"/>
      <c r="W111" s="98"/>
      <c r="X111" s="363"/>
      <c r="Y111" s="100"/>
      <c r="Z111" s="363"/>
      <c r="AA111" s="98"/>
      <c r="AB111" s="363"/>
      <c r="AC111" s="100"/>
      <c r="AD111" s="363"/>
      <c r="AE111" s="100"/>
      <c r="AF111" s="364">
        <f>IFERROR(__xludf.DUMMYFUNCTION("""COMPUTED_VALUE"""),644.0)</f>
        <v>644</v>
      </c>
      <c r="AG111" s="98" t="str">
        <f>IFERROR(__xludf.DUMMYFUNCTION("""COMPUTED_VALUE"""),"DWDM : MON0002 to TNI0006 MFOCN segment down ")</f>
        <v>DWDM : MON0002 to TNI0006 MFOCN segment down </v>
      </c>
      <c r="AH111" s="98"/>
      <c r="AI111" s="98"/>
      <c r="AJ111" s="98"/>
      <c r="AK111" s="98"/>
      <c r="AL111" s="364">
        <f>IFERROR(__xludf.DUMMYFUNCTION("""COMPUTED_VALUE"""),0.0)</f>
        <v>0</v>
      </c>
      <c r="AM111" s="364">
        <f>IFERROR(__xludf.DUMMYFUNCTION("""COMPUTED_VALUE"""),0.0)</f>
        <v>0</v>
      </c>
    </row>
    <row r="112">
      <c r="A112" s="98">
        <f>IFERROR(__xludf.DUMMYFUNCTION("""COMPUTED_VALUE"""),109.0)</f>
        <v>109</v>
      </c>
      <c r="B112" s="98" t="str">
        <f>IFERROR(__xludf.DUMMYFUNCTION("""COMPUTED_VALUE"""),"TNI0331")</f>
        <v>TNI0331</v>
      </c>
      <c r="C112" s="98" t="str">
        <f>IFERROR(__xludf.DUMMYFUNCTION("""COMPUTED_VALUE"""),"C")</f>
        <v>C</v>
      </c>
      <c r="D112" s="98" t="str">
        <f>IFERROR(__xludf.DUMMYFUNCTION("""COMPUTED_VALUE"""),"IGT")</f>
        <v>IGT</v>
      </c>
      <c r="E112" s="98" t="str">
        <f>IFERROR(__xludf.DUMMYFUNCTION("""COMPUTED_VALUE"""),"T1")</f>
        <v>T1</v>
      </c>
      <c r="F112" s="98" t="str">
        <f>IFERROR(__xludf.DUMMYFUNCTION("""COMPUTED_VALUE"""),"Yebyu")</f>
        <v>Yebyu</v>
      </c>
      <c r="G112" s="98" t="str">
        <f>IFERROR(__xludf.DUMMYFUNCTION("""COMPUTED_VALUE"""),"Thu Rain Niang")</f>
        <v>Thu Rain Niang</v>
      </c>
      <c r="H112" s="98"/>
      <c r="I112" s="98"/>
      <c r="J112" s="98"/>
      <c r="K112" s="362">
        <f>IFERROR(__xludf.DUMMYFUNCTION("""COMPUTED_VALUE"""),40.0)</f>
        <v>40</v>
      </c>
      <c r="L112" s="98" t="str">
        <f>IFERROR(__xludf.DUMMYFUNCTION("""COMPUTED_VALUE"""),"24*7")</f>
        <v>24*7</v>
      </c>
      <c r="M112" s="98" t="str">
        <f>IFERROR(__xludf.DUMMYFUNCTION("""COMPUTED_VALUE"""),"Grid+BB")</f>
        <v>Grid+BB</v>
      </c>
      <c r="N112" s="98" t="str">
        <f>IFERROR(__xludf.DUMMYFUNCTION("""COMPUTED_VALUE"""),"ok")</f>
        <v>ok</v>
      </c>
      <c r="O112" s="363"/>
      <c r="P112" s="98"/>
      <c r="Q112" s="98"/>
      <c r="R112" s="100"/>
      <c r="S112" s="363"/>
      <c r="T112" s="100"/>
      <c r="U112" s="98"/>
      <c r="V112" s="100"/>
      <c r="W112" s="98"/>
      <c r="X112" s="363"/>
      <c r="Y112" s="100"/>
      <c r="Z112" s="363"/>
      <c r="AA112" s="98"/>
      <c r="AB112" s="363"/>
      <c r="AC112" s="100"/>
      <c r="AD112" s="363"/>
      <c r="AE112" s="100"/>
      <c r="AF112" s="364">
        <f>IFERROR(__xludf.DUMMYFUNCTION("""COMPUTED_VALUE"""),350.0)</f>
        <v>350</v>
      </c>
      <c r="AG112" s="98" t="str">
        <f>IFERROR(__xludf.DUMMYFUNCTION("""COMPUTED_VALUE"""),"Grid fail, non DG")</f>
        <v>Grid fail, non DG</v>
      </c>
      <c r="AH112" s="98"/>
      <c r="AI112" s="98"/>
      <c r="AJ112" s="98"/>
      <c r="AK112" s="98"/>
      <c r="AL112" s="364">
        <f>IFERROR(__xludf.DUMMYFUNCTION("""COMPUTED_VALUE"""),0.0)</f>
        <v>0</v>
      </c>
      <c r="AM112" s="364">
        <f>IFERROR(__xludf.DUMMYFUNCTION("""COMPUTED_VALUE"""),0.0)</f>
        <v>0</v>
      </c>
    </row>
    <row r="113">
      <c r="A113" s="98">
        <f>IFERROR(__xludf.DUMMYFUNCTION("""COMPUTED_VALUE"""),110.0)</f>
        <v>110</v>
      </c>
      <c r="B113" s="98" t="str">
        <f>IFERROR(__xludf.DUMMYFUNCTION("""COMPUTED_VALUE"""),"TNI0129")</f>
        <v>TNI0129</v>
      </c>
      <c r="C113" s="98" t="str">
        <f>IFERROR(__xludf.DUMMYFUNCTION("""COMPUTED_VALUE"""),"B")</f>
        <v>B</v>
      </c>
      <c r="D113" s="98" t="str">
        <f>IFERROR(__xludf.DUMMYFUNCTION("""COMPUTED_VALUE"""),"MEC")</f>
        <v>MEC</v>
      </c>
      <c r="E113" s="98" t="str">
        <f>IFERROR(__xludf.DUMMYFUNCTION("""COMPUTED_VALUE"""),"T1")</f>
        <v>T1</v>
      </c>
      <c r="F113" s="98" t="str">
        <f>IFERROR(__xludf.DUMMYFUNCTION("""COMPUTED_VALUE"""),"Yebyu")</f>
        <v>Yebyu</v>
      </c>
      <c r="G113" s="98" t="str">
        <f>IFERROR(__xludf.DUMMYFUNCTION("""COMPUTED_VALUE"""),"Thu Rain Niang")</f>
        <v>Thu Rain Niang</v>
      </c>
      <c r="H113" s="98"/>
      <c r="I113" s="98"/>
      <c r="J113" s="98"/>
      <c r="K113" s="362">
        <f>IFERROR(__xludf.DUMMYFUNCTION("""COMPUTED_VALUE"""),30.0)</f>
        <v>30</v>
      </c>
      <c r="L113" s="98" t="str">
        <f>IFERROR(__xludf.DUMMYFUNCTION("""COMPUTED_VALUE"""),"6:00PM-5:00AM")</f>
        <v>6:00PM-5:00AM</v>
      </c>
      <c r="M113" s="98" t="str">
        <f>IFERROR(__xludf.DUMMYFUNCTION("""COMPUTED_VALUE"""),"1DG+Solar+BB")</f>
        <v>1DG+Solar+BB</v>
      </c>
      <c r="N113" s="98" t="str">
        <f>IFERROR(__xludf.DUMMYFUNCTION("""COMPUTED_VALUE"""),"264")</f>
        <v>264</v>
      </c>
      <c r="O113" s="363"/>
      <c r="P113" s="98"/>
      <c r="Q113" s="98"/>
      <c r="R113" s="100"/>
      <c r="S113" s="363"/>
      <c r="T113" s="100"/>
      <c r="U113" s="98"/>
      <c r="V113" s="100" t="str">
        <f>IFERROR(__xludf.DUMMYFUNCTION("""COMPUTED_VALUE"""),"12655.18")</f>
        <v>12655.18</v>
      </c>
      <c r="W113" s="98"/>
      <c r="X113" s="363"/>
      <c r="Y113" s="100"/>
      <c r="Z113" s="363"/>
      <c r="AA113" s="98"/>
      <c r="AB113" s="363"/>
      <c r="AC113" s="100"/>
      <c r="AD113" s="363"/>
      <c r="AE113" s="100"/>
      <c r="AF113" s="364">
        <f>IFERROR(__xludf.DUMMYFUNCTION("""COMPUTED_VALUE"""),1287.0)</f>
        <v>1287</v>
      </c>
      <c r="AG113" s="98" t="str">
        <f>IFERROR(__xludf.DUMMYFUNCTION("""COMPUTED_VALUE"""),"Team onsite")</f>
        <v>Team onsite</v>
      </c>
      <c r="AH113" s="98"/>
      <c r="AI113" s="98" t="str">
        <f>IFERROR(__xludf.DUMMYFUNCTION("""COMPUTED_VALUE"""),"MYT side need to support")</f>
        <v>MYT side need to support</v>
      </c>
      <c r="AJ113" s="98"/>
      <c r="AK113" s="98"/>
      <c r="AL113" s="364">
        <f>IFERROR(__xludf.DUMMYFUNCTION("""COMPUTED_VALUE"""),0.0)</f>
        <v>0</v>
      </c>
      <c r="AM113" s="364">
        <f>IFERROR(__xludf.DUMMYFUNCTION("""COMPUTED_VALUE"""),0.0)</f>
        <v>0</v>
      </c>
    </row>
    <row r="114">
      <c r="A114" s="98">
        <f>IFERROR(__xludf.DUMMYFUNCTION("""COMPUTED_VALUE"""),111.0)</f>
        <v>111</v>
      </c>
      <c r="B114" s="98" t="str">
        <f>IFERROR(__xludf.DUMMYFUNCTION("""COMPUTED_VALUE"""),"TNI0220")</f>
        <v>TNI0220</v>
      </c>
      <c r="C114" s="98" t="str">
        <f>IFERROR(__xludf.DUMMYFUNCTION("""COMPUTED_VALUE"""),"B")</f>
        <v>B</v>
      </c>
      <c r="D114" s="98" t="str">
        <f>IFERROR(__xludf.DUMMYFUNCTION("""COMPUTED_VALUE"""),"MEC.PNC")</f>
        <v>MEC.PNC</v>
      </c>
      <c r="E114" s="98" t="str">
        <f>IFERROR(__xludf.DUMMYFUNCTION("""COMPUTED_VALUE"""),"T1")</f>
        <v>T1</v>
      </c>
      <c r="F114" s="98" t="str">
        <f>IFERROR(__xludf.DUMMYFUNCTION("""COMPUTED_VALUE"""),"Yebyu")</f>
        <v>Yebyu</v>
      </c>
      <c r="G114" s="98" t="str">
        <f>IFERROR(__xludf.DUMMYFUNCTION("""COMPUTED_VALUE"""),"Thu Rain Niang")</f>
        <v>Thu Rain Niang</v>
      </c>
      <c r="H114" s="98"/>
      <c r="I114" s="98"/>
      <c r="J114" s="98"/>
      <c r="K114" s="362">
        <f>IFERROR(__xludf.DUMMYFUNCTION("""COMPUTED_VALUE"""),60.0)</f>
        <v>60</v>
      </c>
      <c r="L114" s="98" t="str">
        <f>IFERROR(__xludf.DUMMYFUNCTION("""COMPUTED_VALUE"""),"6:00PM-6:00AM")</f>
        <v>6:00PM-6:00AM</v>
      </c>
      <c r="M114" s="98" t="str">
        <f>IFERROR(__xludf.DUMMYFUNCTION("""COMPUTED_VALUE"""),"1DG+Grid+BB")</f>
        <v>1DG+Grid+BB</v>
      </c>
      <c r="N114" s="98" t="str">
        <f>IFERROR(__xludf.DUMMYFUNCTION("""COMPUTED_VALUE"""),"0")</f>
        <v>0</v>
      </c>
      <c r="O114" s="363"/>
      <c r="P114" s="98"/>
      <c r="Q114" s="98"/>
      <c r="R114" s="100"/>
      <c r="S114" s="363"/>
      <c r="T114" s="100"/>
      <c r="U114" s="98"/>
      <c r="V114" s="100"/>
      <c r="W114" s="98" t="str">
        <f>IFERROR(__xludf.DUMMYFUNCTION("""COMPUTED_VALUE"""),"293.28")</f>
        <v>293.28</v>
      </c>
      <c r="X114" s="363"/>
      <c r="Y114" s="100"/>
      <c r="Z114" s="363"/>
      <c r="AA114" s="98"/>
      <c r="AB114" s="363"/>
      <c r="AC114" s="100"/>
      <c r="AD114" s="363"/>
      <c r="AE114" s="100"/>
      <c r="AF114" s="364">
        <f>IFERROR(__xludf.DUMMYFUNCTION("""COMPUTED_VALUE"""),1352.0)</f>
        <v>1352</v>
      </c>
      <c r="AG114" s="98" t="str">
        <f>IFERROR(__xludf.DUMMYFUNCTION("""COMPUTED_VALUE"""),"DWDM : MON0002 to TNI0006 MFOCN segment down ")</f>
        <v>DWDM : MON0002 to TNI0006 MFOCN segment down </v>
      </c>
      <c r="AH114" s="98" t="str">
        <f>IFERROR(__xludf.DUMMYFUNCTION("""COMPUTED_VALUE"""),"T-NYC")</f>
        <v>T-NYC</v>
      </c>
      <c r="AI114" s="98" t="str">
        <f>IFERROR(__xludf.DUMMYFUNCTION("""COMPUTED_VALUE"""),"22/10/2025 05:23:47 Team not yet check 4TNI0220EA431, 4TNI0220MA231,4TNI0220EA131")</f>
        <v>22/10/2025 05:23:47 Team not yet check 4TNI0220EA431, 4TNI0220MA231,4TNI0220EA131</v>
      </c>
      <c r="AJ114" s="98"/>
      <c r="AK114" s="98"/>
      <c r="AL114" s="364">
        <f>IFERROR(__xludf.DUMMYFUNCTION("""COMPUTED_VALUE"""),0.0)</f>
        <v>0</v>
      </c>
      <c r="AM114" s="364">
        <f>IFERROR(__xludf.DUMMYFUNCTION("""COMPUTED_VALUE"""),0.0)</f>
        <v>0</v>
      </c>
    </row>
    <row r="115">
      <c r="A115" s="98">
        <f>IFERROR(__xludf.DUMMYFUNCTION("""COMPUTED_VALUE"""),112.0)</f>
        <v>112</v>
      </c>
      <c r="B115" s="98" t="str">
        <f>IFERROR(__xludf.DUMMYFUNCTION("""COMPUTED_VALUE"""),"TNI0213_01")</f>
        <v>TNI0213_01</v>
      </c>
      <c r="C115" s="98" t="str">
        <f>IFERROR(__xludf.DUMMYFUNCTION("""COMPUTED_VALUE"""),"#N/A")</f>
        <v>#N/A</v>
      </c>
      <c r="D115" s="98"/>
      <c r="E115" s="98"/>
      <c r="F115" s="98"/>
      <c r="G115" s="98"/>
      <c r="H115" s="98"/>
      <c r="I115" s="98"/>
      <c r="J115" s="98"/>
      <c r="K115" s="362"/>
      <c r="L115" s="98"/>
      <c r="M115" s="98"/>
      <c r="N115" s="98" t="str">
        <f>IFERROR(__xludf.DUMMYFUNCTION("""COMPUTED_VALUE"""),"ok")</f>
        <v>ok</v>
      </c>
      <c r="O115" s="363"/>
      <c r="P115" s="98"/>
      <c r="Q115" s="98"/>
      <c r="R115" s="100"/>
      <c r="S115" s="363"/>
      <c r="T115" s="100"/>
      <c r="U115" s="98"/>
      <c r="V115" s="100"/>
      <c r="W115" s="98"/>
      <c r="X115" s="363"/>
      <c r="Y115" s="100"/>
      <c r="Z115" s="363"/>
      <c r="AA115" s="98"/>
      <c r="AB115" s="363"/>
      <c r="AC115" s="100"/>
      <c r="AD115" s="363"/>
      <c r="AE115" s="100"/>
      <c r="AF115" s="364"/>
      <c r="AG115" s="98" t="str">
        <f>IFERROR(__xludf.DUMMYFUNCTION("""COMPUTED_VALUE"""),"Hub site TNI0146 down")</f>
        <v>Hub site TNI0146 down</v>
      </c>
      <c r="AH115" s="98"/>
      <c r="AI115" s="98" t="str">
        <f>IFERROR(__xludf.DUMMYFUNCTION("""COMPUTED_VALUE"""),"Hub site TNI0146 down")</f>
        <v>Hub site TNI0146 down</v>
      </c>
      <c r="AJ115" s="98"/>
      <c r="AK115" s="98"/>
      <c r="AL115" s="364">
        <f>IFERROR(__xludf.DUMMYFUNCTION("""COMPUTED_VALUE"""),0.0)</f>
        <v>0</v>
      </c>
      <c r="AM115" s="364">
        <f>IFERROR(__xludf.DUMMYFUNCTION("""COMPUTED_VALUE"""),0.0)</f>
        <v>0</v>
      </c>
    </row>
    <row r="116">
      <c r="A116" s="98">
        <f>IFERROR(__xludf.DUMMYFUNCTION("""COMPUTED_VALUE"""),113.0)</f>
        <v>113</v>
      </c>
      <c r="B116" s="98" t="str">
        <f>IFERROR(__xludf.DUMMYFUNCTION("""COMPUTED_VALUE"""),"TNI0284")</f>
        <v>TNI0284</v>
      </c>
      <c r="C116" s="98" t="str">
        <f>IFERROR(__xludf.DUMMYFUNCTION("""COMPUTED_VALUE"""),"C")</f>
        <v>C</v>
      </c>
      <c r="D116" s="98" t="str">
        <f>IFERROR(__xludf.DUMMYFUNCTION("""COMPUTED_VALUE"""),"Mytel")</f>
        <v>Mytel</v>
      </c>
      <c r="E116" s="98" t="str">
        <f>IFERROR(__xludf.DUMMYFUNCTION("""COMPUTED_VALUE"""),"T1")</f>
        <v>T1</v>
      </c>
      <c r="F116" s="98" t="str">
        <f>IFERROR(__xludf.DUMMYFUNCTION("""COMPUTED_VALUE"""),"Yebyu")</f>
        <v>Yebyu</v>
      </c>
      <c r="G116" s="98" t="str">
        <f>IFERROR(__xludf.DUMMYFUNCTION("""COMPUTED_VALUE"""),"Thu Rain Niang")</f>
        <v>Thu Rain Niang</v>
      </c>
      <c r="H116" s="98"/>
      <c r="I116" s="98"/>
      <c r="J116" s="98"/>
      <c r="K116" s="362">
        <f>IFERROR(__xludf.DUMMYFUNCTION("""COMPUTED_VALUE"""),60.0)</f>
        <v>60</v>
      </c>
      <c r="L116" s="98" t="str">
        <f>IFERROR(__xludf.DUMMYFUNCTION("""COMPUTED_VALUE"""),"6:00PM-5:00AM")</f>
        <v>6:00PM-5:00AM</v>
      </c>
      <c r="M116" s="98" t="str">
        <f>IFERROR(__xludf.DUMMYFUNCTION("""COMPUTED_VALUE"""),"1DG+BB")</f>
        <v>1DG+BB</v>
      </c>
      <c r="N116" s="98" t="str">
        <f>IFERROR(__xludf.DUMMYFUNCTION("""COMPUTED_VALUE"""),"0")</f>
        <v>0</v>
      </c>
      <c r="O116" s="363"/>
      <c r="P116" s="98"/>
      <c r="Q116" s="98"/>
      <c r="R116" s="100"/>
      <c r="S116" s="363"/>
      <c r="T116" s="100"/>
      <c r="U116" s="98"/>
      <c r="V116" s="100"/>
      <c r="W116" s="98"/>
      <c r="X116" s="363"/>
      <c r="Y116" s="100"/>
      <c r="Z116" s="363"/>
      <c r="AA116" s="98"/>
      <c r="AB116" s="363"/>
      <c r="AC116" s="100"/>
      <c r="AD116" s="363"/>
      <c r="AE116" s="100"/>
      <c r="AF116" s="364">
        <f>IFERROR(__xludf.DUMMYFUNCTION("""COMPUTED_VALUE"""),590.0)</f>
        <v>590</v>
      </c>
      <c r="AG116" s="98" t="str">
        <f>IFERROR(__xludf.DUMMYFUNCTION("""COMPUTED_VALUE"""),"Checking with team")</f>
        <v>Checking with team</v>
      </c>
      <c r="AH116" s="98"/>
      <c r="AI116" s="98"/>
      <c r="AJ116" s="98"/>
      <c r="AK116" s="98"/>
      <c r="AL116" s="364">
        <f>IFERROR(__xludf.DUMMYFUNCTION("""COMPUTED_VALUE"""),0.0)</f>
        <v>0</v>
      </c>
      <c r="AM116" s="364">
        <f>IFERROR(__xludf.DUMMYFUNCTION("""COMPUTED_VALUE"""),0.0)</f>
        <v>0</v>
      </c>
    </row>
    <row r="117">
      <c r="A117" s="98">
        <f>IFERROR(__xludf.DUMMYFUNCTION("""COMPUTED_VALUE"""),114.0)</f>
        <v>114</v>
      </c>
      <c r="B117" s="98" t="str">
        <f>IFERROR(__xludf.DUMMYFUNCTION("""COMPUTED_VALUE"""),"TNI0148")</f>
        <v>TNI0148</v>
      </c>
      <c r="C117" s="98" t="str">
        <f>IFERROR(__xludf.DUMMYFUNCTION("""COMPUTED_VALUE"""),"B")</f>
        <v>B</v>
      </c>
      <c r="D117" s="98" t="str">
        <f>IFERROR(__xludf.DUMMYFUNCTION("""COMPUTED_VALUE"""),"OCK")</f>
        <v>OCK</v>
      </c>
      <c r="E117" s="98" t="str">
        <f>IFERROR(__xludf.DUMMYFUNCTION("""COMPUTED_VALUE"""),"T1")</f>
        <v>T1</v>
      </c>
      <c r="F117" s="98" t="str">
        <f>IFERROR(__xludf.DUMMYFUNCTION("""COMPUTED_VALUE"""),"Yebyu")</f>
        <v>Yebyu</v>
      </c>
      <c r="G117" s="98" t="str">
        <f>IFERROR(__xludf.DUMMYFUNCTION("""COMPUTED_VALUE"""),"Thu Rain Niang")</f>
        <v>Thu Rain Niang</v>
      </c>
      <c r="H117" s="98"/>
      <c r="I117" s="98"/>
      <c r="J117" s="98"/>
      <c r="K117" s="362">
        <f>IFERROR(__xludf.DUMMYFUNCTION("""COMPUTED_VALUE"""),90.0)</f>
        <v>90</v>
      </c>
      <c r="L117" s="98" t="str">
        <f>IFERROR(__xludf.DUMMYFUNCTION("""COMPUTED_VALUE"""),"24*7")</f>
        <v>24*7</v>
      </c>
      <c r="M117" s="98" t="str">
        <f>IFERROR(__xludf.DUMMYFUNCTION("""COMPUTED_VALUE"""),"1DG+BB")</f>
        <v>1DG+BB</v>
      </c>
      <c r="N117" s="98" t="str">
        <f>IFERROR(__xludf.DUMMYFUNCTION("""COMPUTED_VALUE"""),"ok")</f>
        <v>ok</v>
      </c>
      <c r="O117" s="363"/>
      <c r="P117" s="98"/>
      <c r="Q117" s="98"/>
      <c r="R117" s="100"/>
      <c r="S117" s="363"/>
      <c r="T117" s="100"/>
      <c r="U117" s="98" t="str">
        <f>IFERROR(__xludf.DUMMYFUNCTION("""COMPUTED_VALUE"""),"20162.73")</f>
        <v>20162.73</v>
      </c>
      <c r="V117" s="100"/>
      <c r="W117" s="98"/>
      <c r="X117" s="363"/>
      <c r="Y117" s="100"/>
      <c r="Z117" s="363"/>
      <c r="AA117" s="98"/>
      <c r="AB117" s="363"/>
      <c r="AC117" s="100"/>
      <c r="AD117" s="363">
        <f>IFERROR(__xludf.DUMMYFUNCTION("""COMPUTED_VALUE"""),46153.59027777778)</f>
        <v>46153.59028</v>
      </c>
      <c r="AE117" s="100">
        <f>IFERROR(__xludf.DUMMYFUNCTION("""COMPUTED_VALUE"""),1252.462651388836)</f>
        <v>1252.462651</v>
      </c>
      <c r="AF117" s="364">
        <f>IFERROR(__xludf.DUMMYFUNCTION("""COMPUTED_VALUE"""),0.0)</f>
        <v>0</v>
      </c>
      <c r="AG117" s="98" t="str">
        <f>IFERROR(__xludf.DUMMYFUNCTION("""COMPUTED_VALUE"""),"Unsafe area")</f>
        <v>Unsafe area</v>
      </c>
      <c r="AH117" s="98" t="str">
        <f>IFERROR(__xludf.DUMMYFUNCTION("""COMPUTED_VALUE"""),"Run MDG")</f>
        <v>Run MDG</v>
      </c>
      <c r="AI117" s="98"/>
      <c r="AJ117" s="98" t="str">
        <f>IFERROR(__xludf.DUMMYFUNCTION("""COMPUTED_VALUE"""),"TCO_Loss_Power_Cannot_Access(Sercurity,Owner…)")</f>
        <v>TCO_Loss_Power_Cannot_Access(Sercurity,Owner…)</v>
      </c>
      <c r="AK117" s="98" t="str">
        <f>IFERROR(__xludf.DUMMYFUNCTION("""COMPUTED_VALUE"""),"Unsafe area")</f>
        <v>Unsafe area</v>
      </c>
      <c r="AL117" s="364">
        <f>IFERROR(__xludf.DUMMYFUNCTION("""COMPUTED_VALUE"""),1.0)</f>
        <v>1</v>
      </c>
      <c r="AM117" s="364">
        <f>IFERROR(__xludf.DUMMYFUNCTION("""COMPUTED_VALUE"""),1.0)</f>
        <v>1</v>
      </c>
    </row>
    <row r="118">
      <c r="A118" s="98">
        <f>IFERROR(__xludf.DUMMYFUNCTION("""COMPUTED_VALUE"""),115.0)</f>
        <v>115</v>
      </c>
      <c r="B118" s="98" t="str">
        <f>IFERROR(__xludf.DUMMYFUNCTION("""COMPUTED_VALUE"""),"TNI0149")</f>
        <v>TNI0149</v>
      </c>
      <c r="C118" s="98" t="str">
        <f>IFERROR(__xludf.DUMMYFUNCTION("""COMPUTED_VALUE"""),"C")</f>
        <v>C</v>
      </c>
      <c r="D118" s="98" t="str">
        <f>IFERROR(__xludf.DUMMYFUNCTION("""COMPUTED_VALUE"""),"OCK")</f>
        <v>OCK</v>
      </c>
      <c r="E118" s="98" t="str">
        <f>IFERROR(__xludf.DUMMYFUNCTION("""COMPUTED_VALUE"""),"T1")</f>
        <v>T1</v>
      </c>
      <c r="F118" s="98" t="str">
        <f>IFERROR(__xludf.DUMMYFUNCTION("""COMPUTED_VALUE"""),"Yebyu")</f>
        <v>Yebyu</v>
      </c>
      <c r="G118" s="98" t="str">
        <f>IFERROR(__xludf.DUMMYFUNCTION("""COMPUTED_VALUE"""),"Thu Rain Niang")</f>
        <v>Thu Rain Niang</v>
      </c>
      <c r="H118" s="98"/>
      <c r="I118" s="98"/>
      <c r="J118" s="98"/>
      <c r="K118" s="362">
        <f>IFERROR(__xludf.DUMMYFUNCTION("""COMPUTED_VALUE"""),200.0)</f>
        <v>200</v>
      </c>
      <c r="L118" s="98" t="str">
        <f>IFERROR(__xludf.DUMMYFUNCTION("""COMPUTED_VALUE"""),"24*7")</f>
        <v>24*7</v>
      </c>
      <c r="M118" s="98" t="str">
        <f>IFERROR(__xludf.DUMMYFUNCTION("""COMPUTED_VALUE"""),"1DG+BB")</f>
        <v>1DG+BB</v>
      </c>
      <c r="N118" s="98" t="str">
        <f>IFERROR(__xludf.DUMMYFUNCTION("""COMPUTED_VALUE"""),"ok")</f>
        <v>ok</v>
      </c>
      <c r="O118" s="363"/>
      <c r="P118" s="98"/>
      <c r="Q118" s="98"/>
      <c r="R118" s="100"/>
      <c r="S118" s="363"/>
      <c r="T118" s="100"/>
      <c r="U118" s="98"/>
      <c r="V118" s="100"/>
      <c r="W118" s="98"/>
      <c r="X118" s="363"/>
      <c r="Y118" s="100"/>
      <c r="Z118" s="363"/>
      <c r="AA118" s="98"/>
      <c r="AB118" s="363">
        <f>IFERROR(__xludf.DUMMYFUNCTION("""COMPUTED_VALUE"""),46204.28569444444)</f>
        <v>46204.28569</v>
      </c>
      <c r="AC118" s="100">
        <f>IFERROR(__xludf.DUMMYFUNCTION("""COMPUTED_VALUE"""),35.77265138895018)</f>
        <v>35.77265139</v>
      </c>
      <c r="AD118" s="363">
        <f>IFERROR(__xludf.DUMMYFUNCTION("""COMPUTED_VALUE"""),46204.28791666667)</f>
        <v>46204.28792</v>
      </c>
      <c r="AE118" s="100">
        <f>IFERROR(__xludf.DUMMYFUNCTION("""COMPUTED_VALUE"""),35.719318055547774)</f>
        <v>35.71931806</v>
      </c>
      <c r="AF118" s="364">
        <f>IFERROR(__xludf.DUMMYFUNCTION("""COMPUTED_VALUE"""),2182.0)</f>
        <v>2182</v>
      </c>
      <c r="AG118" s="98" t="str">
        <f>IFERROR(__xludf.DUMMYFUNCTION("""COMPUTED_VALUE"""),"TCO team unsafe area")</f>
        <v>TCO team unsafe area</v>
      </c>
      <c r="AH118" s="98"/>
      <c r="AI118" s="98"/>
      <c r="AJ118" s="98" t="str">
        <f>IFERROR(__xludf.DUMMYFUNCTION("""COMPUTED_VALUE"""),"TCO_Loss_Power_Cannot_Access(Sercurity,Owner…)")</f>
        <v>TCO_Loss_Power_Cannot_Access(Sercurity,Owner…)</v>
      </c>
      <c r="AK118" s="98" t="str">
        <f>IFERROR(__xludf.DUMMYFUNCTION("""COMPUTED_VALUE"""),"Unsafe area")</f>
        <v>Unsafe area</v>
      </c>
      <c r="AL118" s="364">
        <f>IFERROR(__xludf.DUMMYFUNCTION("""COMPUTED_VALUE"""),1.0)</f>
        <v>1</v>
      </c>
      <c r="AM118" s="364">
        <f>IFERROR(__xludf.DUMMYFUNCTION("""COMPUTED_VALUE"""),1.0)</f>
        <v>1</v>
      </c>
    </row>
    <row r="119">
      <c r="A119" s="98">
        <f>IFERROR(__xludf.DUMMYFUNCTION("""COMPUTED_VALUE"""),116.0)</f>
        <v>116</v>
      </c>
      <c r="B119" s="98" t="str">
        <f>IFERROR(__xludf.DUMMYFUNCTION("""COMPUTED_VALUE"""),"TNI0326")</f>
        <v>TNI0326</v>
      </c>
      <c r="C119" s="98" t="str">
        <f>IFERROR(__xludf.DUMMYFUNCTION("""COMPUTED_VALUE"""),"C")</f>
        <v>C</v>
      </c>
      <c r="D119" s="98" t="str">
        <f>IFERROR(__xludf.DUMMYFUNCTION("""COMPUTED_VALUE"""),"PAT")</f>
        <v>PAT</v>
      </c>
      <c r="E119" s="98" t="str">
        <f>IFERROR(__xludf.DUMMYFUNCTION("""COMPUTED_VALUE"""),"T1")</f>
        <v>T1</v>
      </c>
      <c r="F119" s="98" t="str">
        <f>IFERROR(__xludf.DUMMYFUNCTION("""COMPUTED_VALUE"""),"Yebyu")</f>
        <v>Yebyu</v>
      </c>
      <c r="G119" s="98" t="str">
        <f>IFERROR(__xludf.DUMMYFUNCTION("""COMPUTED_VALUE"""),"Thu Rain Niang")</f>
        <v>Thu Rain Niang</v>
      </c>
      <c r="H119" s="98"/>
      <c r="I119" s="98"/>
      <c r="J119" s="98"/>
      <c r="K119" s="362">
        <f>IFERROR(__xludf.DUMMYFUNCTION("""COMPUTED_VALUE"""),90.0)</f>
        <v>90</v>
      </c>
      <c r="L119" s="98" t="str">
        <f>IFERROR(__xludf.DUMMYFUNCTION("""COMPUTED_VALUE"""),"24*7")</f>
        <v>24*7</v>
      </c>
      <c r="M119" s="98" t="str">
        <f>IFERROR(__xludf.DUMMYFUNCTION("""COMPUTED_VALUE"""),"1DG+BB")</f>
        <v>1DG+BB</v>
      </c>
      <c r="N119" s="98" t="str">
        <f>IFERROR(__xludf.DUMMYFUNCTION("""COMPUTED_VALUE"""),"ok")</f>
        <v>ok</v>
      </c>
      <c r="O119" s="363"/>
      <c r="P119" s="98"/>
      <c r="Q119" s="98"/>
      <c r="R119" s="100"/>
      <c r="S119" s="363"/>
      <c r="T119" s="100"/>
      <c r="U119" s="98"/>
      <c r="V119" s="100"/>
      <c r="W119" s="98"/>
      <c r="X119" s="363"/>
      <c r="Y119" s="100"/>
      <c r="Z119" s="363"/>
      <c r="AA119" s="98"/>
      <c r="AB119" s="363">
        <f>IFERROR(__xludf.DUMMYFUNCTION("""COMPUTED_VALUE"""),46203.56711805555)</f>
        <v>46203.56712</v>
      </c>
      <c r="AC119" s="100">
        <f>IFERROR(__xludf.DUMMYFUNCTION("""COMPUTED_VALUE"""),53.01848472218262)</f>
        <v>53.01848472</v>
      </c>
      <c r="AD119" s="363">
        <f>IFERROR(__xludf.DUMMYFUNCTION("""COMPUTED_VALUE"""),46203.569375)</f>
        <v>46203.56938</v>
      </c>
      <c r="AE119" s="100">
        <f>IFERROR(__xludf.DUMMYFUNCTION("""COMPUTED_VALUE"""),52.964318055601325)</f>
        <v>52.96431806</v>
      </c>
      <c r="AF119" s="364">
        <f>IFERROR(__xludf.DUMMYFUNCTION("""COMPUTED_VALUE"""),201.0)</f>
        <v>201</v>
      </c>
      <c r="AG119" s="98" t="str">
        <f>IFERROR(__xludf.DUMMYFUNCTION("""COMPUTED_VALUE"""),"Checking with TCO team ")</f>
        <v>Checking with TCO team </v>
      </c>
      <c r="AH119" s="98"/>
      <c r="AI119" s="98"/>
      <c r="AJ119" s="98" t="str">
        <f>IFERROR(__xludf.DUMMYFUNCTION("""COMPUTED_VALUE"""),"Trans_Opt_Cable Broken On 2 Directions (Same Way)")</f>
        <v>Trans_Opt_Cable Broken On 2 Directions (Same Way)</v>
      </c>
      <c r="AK119" s="98" t="str">
        <f>IFERROR(__xludf.DUMMYFUNCTION("""COMPUTED_VALUE"""),"IP: TNI0188SRT001-TNI0330SRT001 link down 30/06/2026 13:34:00")</f>
        <v>IP: TNI0188SRT001-TNI0330SRT001 link down 30/06/2026 13:34:00</v>
      </c>
      <c r="AL119" s="364">
        <f>IFERROR(__xludf.DUMMYFUNCTION("""COMPUTED_VALUE"""),0.0)</f>
        <v>0</v>
      </c>
      <c r="AM119" s="364">
        <f>IFERROR(__xludf.DUMMYFUNCTION("""COMPUTED_VALUE"""),0.0)</f>
        <v>0</v>
      </c>
    </row>
    <row r="120">
      <c r="A120" s="98">
        <f>IFERROR(__xludf.DUMMYFUNCTION("""COMPUTED_VALUE"""),117.0)</f>
        <v>117</v>
      </c>
      <c r="B120" s="98" t="str">
        <f>IFERROR(__xludf.DUMMYFUNCTION("""COMPUTED_VALUE"""),"TNI0390")</f>
        <v>TNI0390</v>
      </c>
      <c r="C120" s="98" t="str">
        <f>IFERROR(__xludf.DUMMYFUNCTION("""COMPUTED_VALUE"""),"C")</f>
        <v>C</v>
      </c>
      <c r="D120" s="98" t="str">
        <f>IFERROR(__xludf.DUMMYFUNCTION("""COMPUTED_VALUE"""),"TIP")</f>
        <v>TIP</v>
      </c>
      <c r="E120" s="98" t="str">
        <f>IFERROR(__xludf.DUMMYFUNCTION("""COMPUTED_VALUE"""),"T1")</f>
        <v>T1</v>
      </c>
      <c r="F120" s="98" t="str">
        <f>IFERROR(__xludf.DUMMYFUNCTION("""COMPUTED_VALUE"""),"Yebyu")</f>
        <v>Yebyu</v>
      </c>
      <c r="G120" s="98" t="str">
        <f>IFERROR(__xludf.DUMMYFUNCTION("""COMPUTED_VALUE"""),"Thu Rain Niang")</f>
        <v>Thu Rain Niang</v>
      </c>
      <c r="H120" s="98"/>
      <c r="I120" s="98"/>
      <c r="J120" s="98"/>
      <c r="K120" s="362">
        <f>IFERROR(__xludf.DUMMYFUNCTION("""COMPUTED_VALUE"""),60.0)</f>
        <v>60</v>
      </c>
      <c r="L120" s="98" t="str">
        <f>IFERROR(__xludf.DUMMYFUNCTION("""COMPUTED_VALUE"""),"24*7")</f>
        <v>24*7</v>
      </c>
      <c r="M120" s="98" t="str">
        <f>IFERROR(__xludf.DUMMYFUNCTION("""COMPUTED_VALUE"""),"1DG+BB")</f>
        <v>1DG+BB</v>
      </c>
      <c r="N120" s="98" t="str">
        <f>IFERROR(__xludf.DUMMYFUNCTION("""COMPUTED_VALUE"""),"ok")</f>
        <v>ok</v>
      </c>
      <c r="O120" s="363"/>
      <c r="P120" s="98"/>
      <c r="Q120" s="98" t="str">
        <f>IFERROR(__xludf.DUMMYFUNCTION("""COMPUTED_VALUE""")," Door open alarm: 26/06/2026 22:11")</f>
        <v> Door open alarm: 26/06/2026 22:11</v>
      </c>
      <c r="R120" s="100">
        <f>IFERROR(__xludf.DUMMYFUNCTION("""COMPUTED_VALUE"""),139.13)</f>
        <v>139.13</v>
      </c>
      <c r="S120" s="363"/>
      <c r="T120" s="100"/>
      <c r="U120" s="98"/>
      <c r="V120" s="100"/>
      <c r="W120" s="98"/>
      <c r="X120" s="363"/>
      <c r="Y120" s="100"/>
      <c r="Z120" s="363"/>
      <c r="AA120" s="98"/>
      <c r="AB120" s="363">
        <f>IFERROR(__xludf.DUMMYFUNCTION("""COMPUTED_VALUE"""),46205.699328703704)</f>
        <v>46205.69933</v>
      </c>
      <c r="AC120" s="100">
        <f>IFERROR(__xludf.DUMMYFUNCTION("""COMPUTED_VALUE"""),1.8454291666857898)</f>
        <v>1.845429167</v>
      </c>
      <c r="AD120" s="363"/>
      <c r="AE120" s="100"/>
      <c r="AF120" s="364">
        <f>IFERROR(__xludf.DUMMYFUNCTION("""COMPUTED_VALUE"""),31.0)</f>
        <v>31</v>
      </c>
      <c r="AG120" s="98" t="str">
        <f>IFERROR(__xludf.DUMMYFUNCTION("""COMPUTED_VALUE"""),"Grid fail, unsafe")</f>
        <v>Grid fail, unsafe</v>
      </c>
      <c r="AH120" s="98"/>
      <c r="AI120" s="98" t="str">
        <f>IFERROR(__xludf.DUMMYFUNCTION("""COMPUTED_VALUE"""),"waiting all material to reonair")</f>
        <v>waiting all material to reonair</v>
      </c>
      <c r="AJ120" s="98"/>
      <c r="AK120" s="98"/>
      <c r="AL120" s="364">
        <f>IFERROR(__xludf.DUMMYFUNCTION("""COMPUTED_VALUE"""),0.0)</f>
        <v>0</v>
      </c>
      <c r="AM120" s="364">
        <f>IFERROR(__xludf.DUMMYFUNCTION("""COMPUTED_VALUE"""),0.0)</f>
        <v>0</v>
      </c>
    </row>
    <row r="121">
      <c r="A121" s="98">
        <f>IFERROR(__xludf.DUMMYFUNCTION("""COMPUTED_VALUE"""),118.0)</f>
        <v>118</v>
      </c>
      <c r="B121" s="98" t="str">
        <f>IFERROR(__xludf.DUMMYFUNCTION("""COMPUTED_VALUE"""),"TNI0188")</f>
        <v>TNI0188</v>
      </c>
      <c r="C121" s="98" t="str">
        <f>IFERROR(__xludf.DUMMYFUNCTION("""COMPUTED_VALUE"""),"C")</f>
        <v>C</v>
      </c>
      <c r="D121" s="98" t="str">
        <f>IFERROR(__xludf.DUMMYFUNCTION("""COMPUTED_VALUE"""),"IGT")</f>
        <v>IGT</v>
      </c>
      <c r="E121" s="98" t="str">
        <f>IFERROR(__xludf.DUMMYFUNCTION("""COMPUTED_VALUE"""),"T1")</f>
        <v>T1</v>
      </c>
      <c r="F121" s="98" t="str">
        <f>IFERROR(__xludf.DUMMYFUNCTION("""COMPUTED_VALUE"""),"Yebyu")</f>
        <v>Yebyu</v>
      </c>
      <c r="G121" s="98" t="str">
        <f>IFERROR(__xludf.DUMMYFUNCTION("""COMPUTED_VALUE"""),"Thu Rain Niang")</f>
        <v>Thu Rain Niang</v>
      </c>
      <c r="H121" s="98"/>
      <c r="I121" s="98"/>
      <c r="J121" s="98"/>
      <c r="K121" s="362">
        <f>IFERROR(__xludf.DUMMYFUNCTION("""COMPUTED_VALUE"""),90.0)</f>
        <v>90</v>
      </c>
      <c r="L121" s="98" t="str">
        <f>IFERROR(__xludf.DUMMYFUNCTION("""COMPUTED_VALUE"""),"24*7")</f>
        <v>24*7</v>
      </c>
      <c r="M121" s="98" t="str">
        <f>IFERROR(__xludf.DUMMYFUNCTION("""COMPUTED_VALUE"""),"1DG+BB")</f>
        <v>1DG+BB</v>
      </c>
      <c r="N121" s="98" t="str">
        <f>IFERROR(__xludf.DUMMYFUNCTION("""COMPUTED_VALUE"""),"ok")</f>
        <v>ok</v>
      </c>
      <c r="O121" s="363"/>
      <c r="P121" s="98"/>
      <c r="Q121" s="98"/>
      <c r="R121" s="100"/>
      <c r="S121" s="363"/>
      <c r="T121" s="100"/>
      <c r="U121" s="98"/>
      <c r="V121" s="100"/>
      <c r="W121" s="98"/>
      <c r="X121" s="363"/>
      <c r="Y121" s="100"/>
      <c r="Z121" s="363"/>
      <c r="AA121" s="98"/>
      <c r="AB121" s="363">
        <f>IFERROR(__xludf.DUMMYFUNCTION("""COMPUTED_VALUE"""),46203.56717592593)</f>
        <v>46203.56718</v>
      </c>
      <c r="AC121" s="100">
        <f>IFERROR(__xludf.DUMMYFUNCTION("""COMPUTED_VALUE"""),53.01709583331831)</f>
        <v>53.01709583</v>
      </c>
      <c r="AD121" s="363">
        <f>IFERROR(__xludf.DUMMYFUNCTION("""COMPUTED_VALUE"""),46203.56922453704)</f>
        <v>46203.56922</v>
      </c>
      <c r="AE121" s="100">
        <f>IFERROR(__xludf.DUMMYFUNCTION("""COMPUTED_VALUE"""),52.96792916668346)</f>
        <v>52.96792917</v>
      </c>
      <c r="AF121" s="364">
        <f>IFERROR(__xludf.DUMMYFUNCTION("""COMPUTED_VALUE"""),311.0)</f>
        <v>311</v>
      </c>
      <c r="AG121" s="98" t="str">
        <f>IFERROR(__xludf.DUMMYFUNCTION("""COMPUTED_VALUE"""),"Today ground condition not good")</f>
        <v>Today ground condition not good</v>
      </c>
      <c r="AH121" s="98" t="str">
        <f>IFERROR(__xludf.DUMMYFUNCTION("""COMPUTED_VALUE"""),"T-NYC")</f>
        <v>T-NYC</v>
      </c>
      <c r="AI121" s="98"/>
      <c r="AJ121" s="98" t="str">
        <f>IFERROR(__xludf.DUMMYFUNCTION("""COMPUTED_VALUE"""),"Trans_Opt_Cable Broken On 2 Directions (Same Way)")</f>
        <v>Trans_Opt_Cable Broken On 2 Directions (Same Way)</v>
      </c>
      <c r="AK121" s="98" t="str">
        <f>IFERROR(__xludf.DUMMYFUNCTION("""COMPUTED_VALUE"""),"IP: TNI0188SRT001-TNI0330SRT001 link down 30/06/2026 13:34:00")</f>
        <v>IP: TNI0188SRT001-TNI0330SRT001 link down 30/06/2026 13:34:00</v>
      </c>
      <c r="AL121" s="364">
        <f>IFERROR(__xludf.DUMMYFUNCTION("""COMPUTED_VALUE"""),1.0)</f>
        <v>1</v>
      </c>
      <c r="AM121" s="364">
        <f>IFERROR(__xludf.DUMMYFUNCTION("""COMPUTED_VALUE"""),1.0)</f>
        <v>1</v>
      </c>
    </row>
    <row r="122">
      <c r="A122" s="98">
        <f>IFERROR(__xludf.DUMMYFUNCTION("""COMPUTED_VALUE"""),119.0)</f>
        <v>119</v>
      </c>
      <c r="B122" s="98" t="str">
        <f>IFERROR(__xludf.DUMMYFUNCTION("""COMPUTED_VALUE"""),"TNI0185")</f>
        <v>TNI0185</v>
      </c>
      <c r="C122" s="98" t="str">
        <f>IFERROR(__xludf.DUMMYFUNCTION("""COMPUTED_VALUE"""),"C")</f>
        <v>C</v>
      </c>
      <c r="D122" s="98" t="str">
        <f>IFERROR(__xludf.DUMMYFUNCTION("""COMPUTED_VALUE"""),"Mytel")</f>
        <v>Mytel</v>
      </c>
      <c r="E122" s="98" t="str">
        <f>IFERROR(__xludf.DUMMYFUNCTION("""COMPUTED_VALUE"""),"T1")</f>
        <v>T1</v>
      </c>
      <c r="F122" s="98" t="str">
        <f>IFERROR(__xludf.DUMMYFUNCTION("""COMPUTED_VALUE"""),"Yebyu")</f>
        <v>Yebyu</v>
      </c>
      <c r="G122" s="98" t="str">
        <f>IFERROR(__xludf.DUMMYFUNCTION("""COMPUTED_VALUE"""),"Thu Rain Niang")</f>
        <v>Thu Rain Niang</v>
      </c>
      <c r="H122" s="98"/>
      <c r="I122" s="98"/>
      <c r="J122" s="98"/>
      <c r="K122" s="362">
        <f>IFERROR(__xludf.DUMMYFUNCTION("""COMPUTED_VALUE"""),120.0)</f>
        <v>120</v>
      </c>
      <c r="L122" s="98" t="str">
        <f>IFERROR(__xludf.DUMMYFUNCTION("""COMPUTED_VALUE"""),"24*7")</f>
        <v>24*7</v>
      </c>
      <c r="M122" s="98" t="str">
        <f>IFERROR(__xludf.DUMMYFUNCTION("""COMPUTED_VALUE"""),"1DG+Solar+Grid+BB")</f>
        <v>1DG+Solar+Grid+BB</v>
      </c>
      <c r="N122" s="98" t="str">
        <f>IFERROR(__xludf.DUMMYFUNCTION("""COMPUTED_VALUE"""),"0")</f>
        <v>0</v>
      </c>
      <c r="O122" s="363"/>
      <c r="P122" s="98"/>
      <c r="Q122" s="98"/>
      <c r="R122" s="100"/>
      <c r="S122" s="363"/>
      <c r="T122" s="100"/>
      <c r="U122" s="98"/>
      <c r="V122" s="100"/>
      <c r="W122" s="98"/>
      <c r="X122" s="363">
        <f>IFERROR(__xludf.DUMMYFUNCTION("""COMPUTED_VALUE"""),46203.33083333333)</f>
        <v>46203.33083</v>
      </c>
      <c r="Y122" s="100">
        <f>IFERROR(__xludf.DUMMYFUNCTION("""COMPUTED_VALUE"""),58.68931805557804)</f>
        <v>58.68931806</v>
      </c>
      <c r="Z122" s="363"/>
      <c r="AA122" s="98"/>
      <c r="AB122" s="363">
        <f>IFERROR(__xludf.DUMMYFUNCTION("""COMPUTED_VALUE"""),46203.56711805555)</f>
        <v>46203.56712</v>
      </c>
      <c r="AC122" s="100">
        <f>IFERROR(__xludf.DUMMYFUNCTION("""COMPUTED_VALUE"""),53.01848472218262)</f>
        <v>53.01848472</v>
      </c>
      <c r="AD122" s="363">
        <f>IFERROR(__xludf.DUMMYFUNCTION("""COMPUTED_VALUE"""),46203.56922453704)</f>
        <v>46203.56922</v>
      </c>
      <c r="AE122" s="100">
        <f>IFERROR(__xludf.DUMMYFUNCTION("""COMPUTED_VALUE"""),52.96792916668346)</f>
        <v>52.96792917</v>
      </c>
      <c r="AF122" s="364">
        <f>IFERROR(__xludf.DUMMYFUNCTION("""COMPUTED_VALUE"""),928.0)</f>
        <v>928</v>
      </c>
      <c r="AG122" s="98" t="str">
        <f>IFERROR(__xludf.DUMMYFUNCTION("""COMPUTED_VALUE"""),"Today ground condition not good")</f>
        <v>Today ground condition not good</v>
      </c>
      <c r="AH122" s="98"/>
      <c r="AI122" s="98"/>
      <c r="AJ122" s="98" t="str">
        <f>IFERROR(__xludf.DUMMYFUNCTION("""COMPUTED_VALUE"""),"Trans_Opt_Cable Broken On 2 Directions (Same Way)")</f>
        <v>Trans_Opt_Cable Broken On 2 Directions (Same Way)</v>
      </c>
      <c r="AK122" s="98" t="str">
        <f>IFERROR(__xludf.DUMMYFUNCTION("""COMPUTED_VALUE"""),"IP: TNI0188SRT001-TNI0330SRT001 link down 30/06/2026 13:34:00")</f>
        <v>IP: TNI0188SRT001-TNI0330SRT001 link down 30/06/2026 13:34:00</v>
      </c>
      <c r="AL122" s="364">
        <f>IFERROR(__xludf.DUMMYFUNCTION("""COMPUTED_VALUE"""),1.0)</f>
        <v>1</v>
      </c>
      <c r="AM122" s="364">
        <f>IFERROR(__xludf.DUMMYFUNCTION("""COMPUTED_VALUE"""),1.0)</f>
        <v>1</v>
      </c>
    </row>
    <row r="123">
      <c r="A123" s="98">
        <f>IFERROR(__xludf.DUMMYFUNCTION("""COMPUTED_VALUE"""),120.0)</f>
        <v>120</v>
      </c>
      <c r="B123" s="98" t="str">
        <f>IFERROR(__xludf.DUMMYFUNCTION("""COMPUTED_VALUE"""),"TNI0498")</f>
        <v>TNI0498</v>
      </c>
      <c r="C123" s="98" t="str">
        <f>IFERROR(__xludf.DUMMYFUNCTION("""COMPUTED_VALUE"""),"C")</f>
        <v>C</v>
      </c>
      <c r="D123" s="98" t="str">
        <f>IFERROR(__xludf.DUMMYFUNCTION("""COMPUTED_VALUE"""),"Apollo")</f>
        <v>Apollo</v>
      </c>
      <c r="E123" s="98" t="str">
        <f>IFERROR(__xludf.DUMMYFUNCTION("""COMPUTED_VALUE"""),"T1")</f>
        <v>T1</v>
      </c>
      <c r="F123" s="98" t="str">
        <f>IFERROR(__xludf.DUMMYFUNCTION("""COMPUTED_VALUE"""),"Yebyu")</f>
        <v>Yebyu</v>
      </c>
      <c r="G123" s="98" t="str">
        <f>IFERROR(__xludf.DUMMYFUNCTION("""COMPUTED_VALUE"""),"Thu Rain Niang")</f>
        <v>Thu Rain Niang</v>
      </c>
      <c r="H123" s="98"/>
      <c r="I123" s="98"/>
      <c r="J123" s="98"/>
      <c r="K123" s="362">
        <f>IFERROR(__xludf.DUMMYFUNCTION("""COMPUTED_VALUE"""),120.0)</f>
        <v>120</v>
      </c>
      <c r="L123" s="98" t="str">
        <f>IFERROR(__xludf.DUMMYFUNCTION("""COMPUTED_VALUE"""),"8:00 PM - 5:00 AM")</f>
        <v>8:00 PM - 5:00 AM</v>
      </c>
      <c r="M123" s="98" t="str">
        <f>IFERROR(__xludf.DUMMYFUNCTION("""COMPUTED_VALUE"""),"1DG+BB")</f>
        <v>1DG+BB</v>
      </c>
      <c r="N123" s="98" t="str">
        <f>IFERROR(__xludf.DUMMYFUNCTION("""COMPUTED_VALUE"""),"ok")</f>
        <v>ok</v>
      </c>
      <c r="O123" s="363"/>
      <c r="P123" s="98"/>
      <c r="Q123" s="98"/>
      <c r="R123" s="100"/>
      <c r="S123" s="363"/>
      <c r="T123" s="100"/>
      <c r="U123" s="98"/>
      <c r="V123" s="100"/>
      <c r="W123" s="98"/>
      <c r="X123" s="363"/>
      <c r="Y123" s="100"/>
      <c r="Z123" s="363"/>
      <c r="AA123" s="98"/>
      <c r="AB123" s="363"/>
      <c r="AC123" s="100"/>
      <c r="AD123" s="363"/>
      <c r="AE123" s="100"/>
      <c r="AF123" s="364">
        <f>IFERROR(__xludf.DUMMYFUNCTION("""COMPUTED_VALUE"""),1185.0)</f>
        <v>1185</v>
      </c>
      <c r="AG123" s="98" t="str">
        <f>IFERROR(__xludf.DUMMYFUNCTION("""COMPUTED_VALUE"""),"DWDM : MON0002 to TNI0006 MFOCN segment down ")</f>
        <v>DWDM : MON0002 to TNI0006 MFOCN segment down </v>
      </c>
      <c r="AH123" s="98"/>
      <c r="AI123" s="98"/>
      <c r="AJ123" s="98"/>
      <c r="AK123" s="98"/>
      <c r="AL123" s="364">
        <f>IFERROR(__xludf.DUMMYFUNCTION("""COMPUTED_VALUE"""),0.0)</f>
        <v>0</v>
      </c>
      <c r="AM123" s="364">
        <f>IFERROR(__xludf.DUMMYFUNCTION("""COMPUTED_VALUE"""),0.0)</f>
        <v>0</v>
      </c>
    </row>
    <row r="124">
      <c r="A124" s="98">
        <f>IFERROR(__xludf.DUMMYFUNCTION("""COMPUTED_VALUE"""),121.0)</f>
        <v>121</v>
      </c>
      <c r="B124" s="98" t="str">
        <f>IFERROR(__xludf.DUMMYFUNCTION("""COMPUTED_VALUE"""),"TNI0189")</f>
        <v>TNI0189</v>
      </c>
      <c r="C124" s="98" t="str">
        <f>IFERROR(__xludf.DUMMYFUNCTION("""COMPUTED_VALUE"""),"C")</f>
        <v>C</v>
      </c>
      <c r="D124" s="98" t="str">
        <f>IFERROR(__xludf.DUMMYFUNCTION("""COMPUTED_VALUE"""),"IGT")</f>
        <v>IGT</v>
      </c>
      <c r="E124" s="98" t="str">
        <f>IFERROR(__xludf.DUMMYFUNCTION("""COMPUTED_VALUE"""),"T1")</f>
        <v>T1</v>
      </c>
      <c r="F124" s="98" t="str">
        <f>IFERROR(__xludf.DUMMYFUNCTION("""COMPUTED_VALUE"""),"Yebyu")</f>
        <v>Yebyu</v>
      </c>
      <c r="G124" s="98" t="str">
        <f>IFERROR(__xludf.DUMMYFUNCTION("""COMPUTED_VALUE"""),"Thu Rain Niang")</f>
        <v>Thu Rain Niang</v>
      </c>
      <c r="H124" s="98"/>
      <c r="I124" s="98"/>
      <c r="J124" s="98"/>
      <c r="K124" s="362">
        <f>IFERROR(__xludf.DUMMYFUNCTION("""COMPUTED_VALUE"""),60.0)</f>
        <v>60</v>
      </c>
      <c r="L124" s="98" t="str">
        <f>IFERROR(__xludf.DUMMYFUNCTION("""COMPUTED_VALUE"""),"24*7")</f>
        <v>24*7</v>
      </c>
      <c r="M124" s="98" t="str">
        <f>IFERROR(__xludf.DUMMYFUNCTION("""COMPUTED_VALUE"""),"1DG+BB")</f>
        <v>1DG+BB</v>
      </c>
      <c r="N124" s="98" t="str">
        <f>IFERROR(__xludf.DUMMYFUNCTION("""COMPUTED_VALUE"""),"ok")</f>
        <v>ok</v>
      </c>
      <c r="O124" s="363"/>
      <c r="P124" s="98"/>
      <c r="Q124" s="98"/>
      <c r="R124" s="100"/>
      <c r="S124" s="363"/>
      <c r="T124" s="100"/>
      <c r="U124" s="98"/>
      <c r="V124" s="100"/>
      <c r="W124" s="98"/>
      <c r="X124" s="363"/>
      <c r="Y124" s="100"/>
      <c r="Z124" s="363"/>
      <c r="AA124" s="98"/>
      <c r="AB124" s="363"/>
      <c r="AC124" s="100"/>
      <c r="AD124" s="363"/>
      <c r="AE124" s="100"/>
      <c r="AF124" s="364">
        <f>IFERROR(__xludf.DUMMYFUNCTION("""COMPUTED_VALUE"""),106.0)</f>
        <v>106</v>
      </c>
      <c r="AG124" s="98" t="str">
        <f>IFERROR(__xludf.DUMMYFUNCTION("""COMPUTED_VALUE"""),"TCO team ETA 9 AM")</f>
        <v>TCO team ETA 9 AM</v>
      </c>
      <c r="AH124" s="98"/>
      <c r="AI124" s="98" t="str">
        <f>IFERROR(__xludf.DUMMYFUNCTION("""COMPUTED_VALUE"""),"Facing MYT payment issue")</f>
        <v>Facing MYT payment issue</v>
      </c>
      <c r="AJ124" s="98"/>
      <c r="AK124" s="98"/>
      <c r="AL124" s="364">
        <f>IFERROR(__xludf.DUMMYFUNCTION("""COMPUTED_VALUE"""),0.0)</f>
        <v>0</v>
      </c>
      <c r="AM124" s="364">
        <f>IFERROR(__xludf.DUMMYFUNCTION("""COMPUTED_VALUE"""),0.0)</f>
        <v>0</v>
      </c>
    </row>
    <row r="125">
      <c r="A125" s="98">
        <f>IFERROR(__xludf.DUMMYFUNCTION("""COMPUTED_VALUE"""),122.0)</f>
        <v>122</v>
      </c>
      <c r="B125" s="98" t="str">
        <f>IFERROR(__xludf.DUMMYFUNCTION("""COMPUTED_VALUE"""),"TNI0006")</f>
        <v>TNI0006</v>
      </c>
      <c r="C125" s="98" t="str">
        <f>IFERROR(__xludf.DUMMYFUNCTION("""COMPUTED_VALUE"""),"A")</f>
        <v>A</v>
      </c>
      <c r="D125" s="98" t="str">
        <f>IFERROR(__xludf.DUMMYFUNCTION("""COMPUTED_VALUE"""),"Mytel")</f>
        <v>Mytel</v>
      </c>
      <c r="E125" s="98" t="str">
        <f>IFERROR(__xludf.DUMMYFUNCTION("""COMPUTED_VALUE"""),"T1")</f>
        <v>T1</v>
      </c>
      <c r="F125" s="98" t="str">
        <f>IFERROR(__xludf.DUMMYFUNCTION("""COMPUTED_VALUE"""),"Yebyu")</f>
        <v>Yebyu</v>
      </c>
      <c r="G125" s="98" t="str">
        <f>IFERROR(__xludf.DUMMYFUNCTION("""COMPUTED_VALUE"""),"Thu Rain Niang")</f>
        <v>Thu Rain Niang</v>
      </c>
      <c r="H125" s="98" t="str">
        <f>IFERROR(__xludf.DUMMYFUNCTION("""COMPUTED_VALUE"""),"Ko July: 09403519575")</f>
        <v>Ko July: 09403519575</v>
      </c>
      <c r="I125" s="98"/>
      <c r="J125" s="98" t="str">
        <f>IFERROR(__xludf.DUMMYFUNCTION("""COMPUTED_VALUE"""),"OLT")</f>
        <v>OLT</v>
      </c>
      <c r="K125" s="362">
        <f>IFERROR(__xludf.DUMMYFUNCTION("""COMPUTED_VALUE"""),20.0)</f>
        <v>20</v>
      </c>
      <c r="L125" s="98" t="str">
        <f>IFERROR(__xludf.DUMMYFUNCTION("""COMPUTED_VALUE"""),"10:00PM-5:00AM")</f>
        <v>10:00PM-5:00AM</v>
      </c>
      <c r="M125" s="98" t="str">
        <f>IFERROR(__xludf.DUMMYFUNCTION("""COMPUTED_VALUE"""),"1DG+Solar+Grid+BB")</f>
        <v>1DG+Solar+Grid+BB</v>
      </c>
      <c r="N125" s="98" t="str">
        <f>IFERROR(__xludf.DUMMYFUNCTION("""COMPUTED_VALUE"""),"0")</f>
        <v>0</v>
      </c>
      <c r="O125" s="363">
        <f>IFERROR(__xludf.DUMMYFUNCTION("""COMPUTED_VALUE"""),46205.66837962963)</f>
        <v>46205.66838</v>
      </c>
      <c r="P125" s="98" t="str">
        <f>IFERROR(__xludf.DUMMYFUNCTION("""COMPUTED_VALUE"""),"2:35")</f>
        <v>2:35</v>
      </c>
      <c r="Q125" s="98"/>
      <c r="R125" s="100"/>
      <c r="S125" s="363">
        <f>IFERROR(__xludf.DUMMYFUNCTION("""COMPUTED_VALUE"""),46205.589837962965)</f>
        <v>46205.58984</v>
      </c>
      <c r="T125" s="100">
        <f>IFERROR(__xludf.DUMMYFUNCTION("""COMPUTED_VALUE"""),4.4732069444144145)</f>
        <v>4.473206944</v>
      </c>
      <c r="U125" s="98"/>
      <c r="V125" s="100"/>
      <c r="W125" s="98"/>
      <c r="X125" s="363"/>
      <c r="Y125" s="100"/>
      <c r="Z125" s="363"/>
      <c r="AA125" s="98"/>
      <c r="AB125" s="363"/>
      <c r="AC125" s="100"/>
      <c r="AD125" s="363"/>
      <c r="AE125" s="100"/>
      <c r="AF125" s="364">
        <f>IFERROR(__xludf.DUMMYFUNCTION("""COMPUTED_VALUE"""),1704.0)</f>
        <v>1704</v>
      </c>
      <c r="AG125" s="98" t="str">
        <f>IFERROR(__xludf.DUMMYFUNCTION("""COMPUTED_VALUE"""),"DWDM : MON0002 to TNI0006 MFOCN segment down ")</f>
        <v>DWDM : MON0002 to TNI0006 MFOCN segment down </v>
      </c>
      <c r="AH125" s="98"/>
      <c r="AI125" s="98"/>
      <c r="AJ125" s="98"/>
      <c r="AK125" s="98"/>
      <c r="AL125" s="364">
        <f>IFERROR(__xludf.DUMMYFUNCTION("""COMPUTED_VALUE"""),0.0)</f>
        <v>0</v>
      </c>
      <c r="AM125" s="364">
        <f>IFERROR(__xludf.DUMMYFUNCTION("""COMPUTED_VALUE"""),0.0)</f>
        <v>0</v>
      </c>
    </row>
    <row r="126">
      <c r="A126" s="98">
        <f>IFERROR(__xludf.DUMMYFUNCTION("""COMPUTED_VALUE"""),123.0)</f>
        <v>123</v>
      </c>
      <c r="B126" s="98" t="str">
        <f>IFERROR(__xludf.DUMMYFUNCTION("""COMPUTED_VALUE"""),"TNI0148_01")</f>
        <v>TNI0148_01</v>
      </c>
      <c r="C126" s="98" t="str">
        <f>IFERROR(__xludf.DUMMYFUNCTION("""COMPUTED_VALUE"""),"C")</f>
        <v>C</v>
      </c>
      <c r="D126" s="98" t="str">
        <f>IFERROR(__xludf.DUMMYFUNCTION("""COMPUTED_VALUE"""),"Mytel")</f>
        <v>Mytel</v>
      </c>
      <c r="E126" s="98" t="str">
        <f>IFERROR(__xludf.DUMMYFUNCTION("""COMPUTED_VALUE"""),"T1")</f>
        <v>T1</v>
      </c>
      <c r="F126" s="98" t="str">
        <f>IFERROR(__xludf.DUMMYFUNCTION("""COMPUTED_VALUE"""),"Yebyu")</f>
        <v>Yebyu</v>
      </c>
      <c r="G126" s="98" t="str">
        <f>IFERROR(__xludf.DUMMYFUNCTION("""COMPUTED_VALUE"""),"Thu Rain Niang")</f>
        <v>Thu Rain Niang</v>
      </c>
      <c r="H126" s="98"/>
      <c r="I126" s="98"/>
      <c r="J126" s="98"/>
      <c r="K126" s="362">
        <f>IFERROR(__xludf.DUMMYFUNCTION("""COMPUTED_VALUE"""),90.0)</f>
        <v>90</v>
      </c>
      <c r="L126" s="98" t="str">
        <f>IFERROR(__xludf.DUMMYFUNCTION("""COMPUTED_VALUE"""),"24*7")</f>
        <v>24*7</v>
      </c>
      <c r="M126" s="98" t="str">
        <f>IFERROR(__xludf.DUMMYFUNCTION("""COMPUTED_VALUE"""),"1DG+BB")</f>
        <v>1DG+BB</v>
      </c>
      <c r="N126" s="98" t="str">
        <f>IFERROR(__xludf.DUMMYFUNCTION("""COMPUTED_VALUE"""),"ok")</f>
        <v>ok</v>
      </c>
      <c r="O126" s="363"/>
      <c r="P126" s="98"/>
      <c r="Q126" s="98"/>
      <c r="R126" s="100"/>
      <c r="S126" s="363"/>
      <c r="T126" s="100"/>
      <c r="U126" s="98"/>
      <c r="V126" s="100"/>
      <c r="W126" s="98"/>
      <c r="X126" s="363"/>
      <c r="Y126" s="100"/>
      <c r="Z126" s="363"/>
      <c r="AA126" s="98"/>
      <c r="AB126" s="363"/>
      <c r="AC126" s="100"/>
      <c r="AD126" s="363"/>
      <c r="AE126" s="100"/>
      <c r="AF126" s="364">
        <f>IFERROR(__xludf.DUMMYFUNCTION("""COMPUTED_VALUE"""),0.0)</f>
        <v>0</v>
      </c>
      <c r="AG126" s="98" t="str">
        <f>IFERROR(__xludf.DUMMYFUNCTION("""COMPUTED_VALUE"""),"Unsafe, need to check ground")</f>
        <v>Unsafe, need to check ground</v>
      </c>
      <c r="AH126" s="98" t="str">
        <f>IFERROR(__xludf.DUMMYFUNCTION("""COMPUTED_VALUE"""),"T-NYC")</f>
        <v>T-NYC</v>
      </c>
      <c r="AI126" s="98" t="str">
        <f>IFERROR(__xludf.DUMMYFUNCTION("""COMPUTED_VALUE"""),"2TNI0321MA211")</f>
        <v>2TNI0321MA211</v>
      </c>
      <c r="AJ126" s="98"/>
      <c r="AK126" s="98"/>
      <c r="AL126" s="364">
        <f>IFERROR(__xludf.DUMMYFUNCTION("""COMPUTED_VALUE"""),0.0)</f>
        <v>0</v>
      </c>
      <c r="AM126" s="364">
        <f>IFERROR(__xludf.DUMMYFUNCTION("""COMPUTED_VALUE"""),0.0)</f>
        <v>0</v>
      </c>
    </row>
    <row r="127">
      <c r="A127" s="98">
        <f>IFERROR(__xludf.DUMMYFUNCTION("""COMPUTED_VALUE"""),124.0)</f>
        <v>124</v>
      </c>
      <c r="B127" s="98" t="str">
        <f>IFERROR(__xludf.DUMMYFUNCTION("""COMPUTED_VALUE"""),"TNI0153")</f>
        <v>TNI0153</v>
      </c>
      <c r="C127" s="98" t="str">
        <f>IFERROR(__xludf.DUMMYFUNCTION("""COMPUTED_VALUE"""),"C")</f>
        <v>C</v>
      </c>
      <c r="D127" s="98" t="str">
        <f>IFERROR(__xludf.DUMMYFUNCTION("""COMPUTED_VALUE"""),"Mytel")</f>
        <v>Mytel</v>
      </c>
      <c r="E127" s="98" t="str">
        <f>IFERROR(__xludf.DUMMYFUNCTION("""COMPUTED_VALUE"""),"T1")</f>
        <v>T1</v>
      </c>
      <c r="F127" s="98" t="str">
        <f>IFERROR(__xludf.DUMMYFUNCTION("""COMPUTED_VALUE"""),"Yebyu")</f>
        <v>Yebyu</v>
      </c>
      <c r="G127" s="98" t="str">
        <f>IFERROR(__xludf.DUMMYFUNCTION("""COMPUTED_VALUE"""),"Thu Rain Niang")</f>
        <v>Thu Rain Niang</v>
      </c>
      <c r="H127" s="98"/>
      <c r="I127" s="98"/>
      <c r="J127" s="98" t="str">
        <f>IFERROR(__xludf.DUMMYFUNCTION("""COMPUTED_VALUE"""),"OLT")</f>
        <v>OLT</v>
      </c>
      <c r="K127" s="362">
        <f>IFERROR(__xludf.DUMMYFUNCTION("""COMPUTED_VALUE"""),90.0)</f>
        <v>90</v>
      </c>
      <c r="L127" s="98" t="str">
        <f>IFERROR(__xludf.DUMMYFUNCTION("""COMPUTED_VALUE"""),"6:00PM-6:00AM")</f>
        <v>6:00PM-6:00AM</v>
      </c>
      <c r="M127" s="98" t="str">
        <f>IFERROR(__xludf.DUMMYFUNCTION("""COMPUTED_VALUE"""),"1DG+Grid+BB")</f>
        <v>1DG+Grid+BB</v>
      </c>
      <c r="N127" s="98" t="str">
        <f>IFERROR(__xludf.DUMMYFUNCTION("""COMPUTED_VALUE"""),"ok")</f>
        <v>ok</v>
      </c>
      <c r="O127" s="363"/>
      <c r="P127" s="98"/>
      <c r="Q127" s="98"/>
      <c r="R127" s="100"/>
      <c r="S127" s="363"/>
      <c r="T127" s="100"/>
      <c r="U127" s="98"/>
      <c r="V127" s="100"/>
      <c r="W127" s="98"/>
      <c r="X127" s="363"/>
      <c r="Y127" s="100"/>
      <c r="Z127" s="363"/>
      <c r="AA127" s="98"/>
      <c r="AB127" s="363"/>
      <c r="AC127" s="100"/>
      <c r="AD127" s="363"/>
      <c r="AE127" s="100"/>
      <c r="AF127" s="364">
        <f>IFERROR(__xludf.DUMMYFUNCTION("""COMPUTED_VALUE"""),1686.0)</f>
        <v>1686</v>
      </c>
      <c r="AG127" s="98" t="str">
        <f>IFERROR(__xludf.DUMMYFUNCTION("""COMPUTED_VALUE"""),"DWDM : MON0002 to TNI0006 MFOCN segment down ")</f>
        <v>DWDM : MON0002 to TNI0006 MFOCN segment down </v>
      </c>
      <c r="AH127" s="98"/>
      <c r="AI127" s="98"/>
      <c r="AJ127" s="98"/>
      <c r="AK127" s="98"/>
      <c r="AL127" s="364">
        <f>IFERROR(__xludf.DUMMYFUNCTION("""COMPUTED_VALUE"""),0.0)</f>
        <v>0</v>
      </c>
      <c r="AM127" s="364">
        <f>IFERROR(__xludf.DUMMYFUNCTION("""COMPUTED_VALUE"""),0.0)</f>
        <v>0</v>
      </c>
    </row>
    <row r="128">
      <c r="A128" s="98">
        <f>IFERROR(__xludf.DUMMYFUNCTION("""COMPUTED_VALUE"""),125.0)</f>
        <v>125</v>
      </c>
      <c r="B128" s="98" t="str">
        <f>IFERROR(__xludf.DUMMYFUNCTION("""COMPUTED_VALUE"""),"TNI0153_01")</f>
        <v>TNI0153_01</v>
      </c>
      <c r="C128" s="98" t="str">
        <f>IFERROR(__xludf.DUMMYFUNCTION("""COMPUTED_VALUE"""),"C")</f>
        <v>C</v>
      </c>
      <c r="D128" s="98" t="str">
        <f>IFERROR(__xludf.DUMMYFUNCTION("""COMPUTED_VALUE"""),"Mytel")</f>
        <v>Mytel</v>
      </c>
      <c r="E128" s="98" t="str">
        <f>IFERROR(__xludf.DUMMYFUNCTION("""COMPUTED_VALUE"""),"T1")</f>
        <v>T1</v>
      </c>
      <c r="F128" s="98" t="str">
        <f>IFERROR(__xludf.DUMMYFUNCTION("""COMPUTED_VALUE"""),"Yebyu")</f>
        <v>Yebyu</v>
      </c>
      <c r="G128" s="98" t="str">
        <f>IFERROR(__xludf.DUMMYFUNCTION("""COMPUTED_VALUE"""),"Thu Rain Niang")</f>
        <v>Thu Rain Niang</v>
      </c>
      <c r="H128" s="98"/>
      <c r="I128" s="98"/>
      <c r="J128" s="98"/>
      <c r="K128" s="362">
        <f>IFERROR(__xludf.DUMMYFUNCTION("""COMPUTED_VALUE"""),90.0)</f>
        <v>90</v>
      </c>
      <c r="L128" s="98" t="str">
        <f>IFERROR(__xludf.DUMMYFUNCTION("""COMPUTED_VALUE"""),"6:00PM-6:00AM")</f>
        <v>6:00PM-6:00AM</v>
      </c>
      <c r="M128" s="98" t="str">
        <f>IFERROR(__xludf.DUMMYFUNCTION("""COMPUTED_VALUE"""),"Grid+BB")</f>
        <v>Grid+BB</v>
      </c>
      <c r="N128" s="98" t="str">
        <f>IFERROR(__xludf.DUMMYFUNCTION("""COMPUTED_VALUE"""),"ok")</f>
        <v>ok</v>
      </c>
      <c r="O128" s="363"/>
      <c r="P128" s="98"/>
      <c r="Q128" s="98"/>
      <c r="R128" s="100"/>
      <c r="S128" s="363"/>
      <c r="T128" s="100"/>
      <c r="U128" s="98"/>
      <c r="V128" s="100"/>
      <c r="W128" s="98"/>
      <c r="X128" s="363"/>
      <c r="Y128" s="100"/>
      <c r="Z128" s="363"/>
      <c r="AA128" s="98"/>
      <c r="AB128" s="363"/>
      <c r="AC128" s="100"/>
      <c r="AD128" s="363"/>
      <c r="AE128" s="100"/>
      <c r="AF128" s="364">
        <f>IFERROR(__xludf.DUMMYFUNCTION("""COMPUTED_VALUE"""),541.0)</f>
        <v>541</v>
      </c>
      <c r="AG128" s="98" t="str">
        <f>IFERROR(__xludf.DUMMYFUNCTION("""COMPUTED_VALUE"""),"Unsafe")</f>
        <v>Unsafe</v>
      </c>
      <c r="AH128" s="98"/>
      <c r="AI128" s="98"/>
      <c r="AJ128" s="98"/>
      <c r="AK128" s="98"/>
      <c r="AL128" s="364">
        <f>IFERROR(__xludf.DUMMYFUNCTION("""COMPUTED_VALUE"""),0.0)</f>
        <v>0</v>
      </c>
      <c r="AM128" s="364">
        <f>IFERROR(__xludf.DUMMYFUNCTION("""COMPUTED_VALUE"""),0.0)</f>
        <v>0</v>
      </c>
    </row>
    <row r="129">
      <c r="A129" s="98">
        <f>IFERROR(__xludf.DUMMYFUNCTION("""COMPUTED_VALUE"""),126.0)</f>
        <v>126</v>
      </c>
      <c r="B129" s="98" t="str">
        <f>IFERROR(__xludf.DUMMYFUNCTION("""COMPUTED_VALUE"""),"TNI0153_02")</f>
        <v>TNI0153_02</v>
      </c>
      <c r="C129" s="98" t="str">
        <f>IFERROR(__xludf.DUMMYFUNCTION("""COMPUTED_VALUE"""),"C")</f>
        <v>C</v>
      </c>
      <c r="D129" s="98" t="str">
        <f>IFERROR(__xludf.DUMMYFUNCTION("""COMPUTED_VALUE"""),"Mytel")</f>
        <v>Mytel</v>
      </c>
      <c r="E129" s="98" t="str">
        <f>IFERROR(__xludf.DUMMYFUNCTION("""COMPUTED_VALUE"""),"T1")</f>
        <v>T1</v>
      </c>
      <c r="F129" s="98" t="str">
        <f>IFERROR(__xludf.DUMMYFUNCTION("""COMPUTED_VALUE"""),"Yebyu")</f>
        <v>Yebyu</v>
      </c>
      <c r="G129" s="98" t="str">
        <f>IFERROR(__xludf.DUMMYFUNCTION("""COMPUTED_VALUE"""),"Thu Rain Niang")</f>
        <v>Thu Rain Niang</v>
      </c>
      <c r="H129" s="98"/>
      <c r="I129" s="98"/>
      <c r="J129" s="98"/>
      <c r="K129" s="362">
        <f>IFERROR(__xludf.DUMMYFUNCTION("""COMPUTED_VALUE"""),90.0)</f>
        <v>90</v>
      </c>
      <c r="L129" s="98" t="str">
        <f>IFERROR(__xludf.DUMMYFUNCTION("""COMPUTED_VALUE"""),"6:00PM-6:00AM")</f>
        <v>6:00PM-6:00AM</v>
      </c>
      <c r="M129" s="98" t="str">
        <f>IFERROR(__xludf.DUMMYFUNCTION("""COMPUTED_VALUE"""),"Grid+BB")</f>
        <v>Grid+BB</v>
      </c>
      <c r="N129" s="98" t="str">
        <f>IFERROR(__xludf.DUMMYFUNCTION("""COMPUTED_VALUE"""),"ok")</f>
        <v>ok</v>
      </c>
      <c r="O129" s="363"/>
      <c r="P129" s="98"/>
      <c r="Q129" s="98"/>
      <c r="R129" s="100"/>
      <c r="S129" s="363"/>
      <c r="T129" s="100"/>
      <c r="U129" s="98"/>
      <c r="V129" s="100"/>
      <c r="W129" s="98"/>
      <c r="X129" s="363"/>
      <c r="Y129" s="100"/>
      <c r="Z129" s="363"/>
      <c r="AA129" s="98"/>
      <c r="AB129" s="363"/>
      <c r="AC129" s="100"/>
      <c r="AD129" s="363"/>
      <c r="AE129" s="100"/>
      <c r="AF129" s="364">
        <f>IFERROR(__xludf.DUMMYFUNCTION("""COMPUTED_VALUE"""),724.0)</f>
        <v>724</v>
      </c>
      <c r="AG129" s="98" t="str">
        <f>IFERROR(__xludf.DUMMYFUNCTION("""COMPUTED_VALUE"""),"Unsafe")</f>
        <v>Unsafe</v>
      </c>
      <c r="AH129" s="98"/>
      <c r="AI129" s="98" t="str">
        <f>IFERROR(__xludf.DUMMYFUNCTION("""COMPUTED_VALUE"""),"Ground situation not good and current run with solar")</f>
        <v>Ground situation not good and current run with solar</v>
      </c>
      <c r="AJ129" s="98"/>
      <c r="AK129" s="98"/>
      <c r="AL129" s="364">
        <f>IFERROR(__xludf.DUMMYFUNCTION("""COMPUTED_VALUE"""),0.0)</f>
        <v>0</v>
      </c>
      <c r="AM129" s="364">
        <f>IFERROR(__xludf.DUMMYFUNCTION("""COMPUTED_VALUE"""),0.0)</f>
        <v>0</v>
      </c>
    </row>
    <row r="130">
      <c r="A130" s="98">
        <f>IFERROR(__xludf.DUMMYFUNCTION("""COMPUTED_VALUE"""),127.0)</f>
        <v>127</v>
      </c>
      <c r="B130" s="98" t="str">
        <f>IFERROR(__xludf.DUMMYFUNCTION("""COMPUTED_VALUE"""),"TNI0206")</f>
        <v>TNI0206</v>
      </c>
      <c r="C130" s="98" t="str">
        <f>IFERROR(__xludf.DUMMYFUNCTION("""COMPUTED_VALUE"""),"B")</f>
        <v>B</v>
      </c>
      <c r="D130" s="98" t="str">
        <f>IFERROR(__xludf.DUMMYFUNCTION("""COMPUTED_VALUE"""),"Mytel")</f>
        <v>Mytel</v>
      </c>
      <c r="E130" s="98" t="str">
        <f>IFERROR(__xludf.DUMMYFUNCTION("""COMPUTED_VALUE"""),"T1")</f>
        <v>T1</v>
      </c>
      <c r="F130" s="98" t="str">
        <f>IFERROR(__xludf.DUMMYFUNCTION("""COMPUTED_VALUE"""),"Yebyu")</f>
        <v>Yebyu</v>
      </c>
      <c r="G130" s="98" t="str">
        <f>IFERROR(__xludf.DUMMYFUNCTION("""COMPUTED_VALUE"""),"Thu Rain Niang")</f>
        <v>Thu Rain Niang</v>
      </c>
      <c r="H130" s="98"/>
      <c r="I130" s="98"/>
      <c r="J130" s="98" t="str">
        <f>IFERROR(__xludf.DUMMYFUNCTION("""COMPUTED_VALUE"""),"OLT")</f>
        <v>OLT</v>
      </c>
      <c r="K130" s="362">
        <f>IFERROR(__xludf.DUMMYFUNCTION("""COMPUTED_VALUE"""),45.0)</f>
        <v>45</v>
      </c>
      <c r="L130" s="98" t="str">
        <f>IFERROR(__xludf.DUMMYFUNCTION("""COMPUTED_VALUE"""),"24*7")</f>
        <v>24*7</v>
      </c>
      <c r="M130" s="98" t="str">
        <f>IFERROR(__xludf.DUMMYFUNCTION("""COMPUTED_VALUE"""),"1DG+Solar+Grid+BB")</f>
        <v>1DG+Solar+Grid+BB</v>
      </c>
      <c r="N130" s="98" t="str">
        <f>IFERROR(__xludf.DUMMYFUNCTION("""COMPUTED_VALUE"""),"ok")</f>
        <v>ok</v>
      </c>
      <c r="O130" s="363"/>
      <c r="P130" s="98"/>
      <c r="Q130" s="98"/>
      <c r="R130" s="100"/>
      <c r="S130" s="363"/>
      <c r="T130" s="100"/>
      <c r="U130" s="98"/>
      <c r="V130" s="100" t="str">
        <f>IFERROR(__xludf.DUMMYFUNCTION("""COMPUTED_VALUE"""),"12774.52")</f>
        <v>12774.52</v>
      </c>
      <c r="W130" s="98"/>
      <c r="X130" s="363"/>
      <c r="Y130" s="100"/>
      <c r="Z130" s="363"/>
      <c r="AA130" s="98"/>
      <c r="AB130" s="363"/>
      <c r="AC130" s="100"/>
      <c r="AD130" s="363"/>
      <c r="AE130" s="100"/>
      <c r="AF130" s="364">
        <f>IFERROR(__xludf.DUMMYFUNCTION("""COMPUTED_VALUE"""),1668.0)</f>
        <v>1668</v>
      </c>
      <c r="AG130" s="98" t="str">
        <f>IFERROR(__xludf.DUMMYFUNCTION("""COMPUTED_VALUE"""),"DWDM : MON0002 to TNI0006 MFOCN segment down ")</f>
        <v>DWDM : MON0002 to TNI0006 MFOCN segment down </v>
      </c>
      <c r="AH130" s="98"/>
      <c r="AI130" s="98"/>
      <c r="AJ130" s="98"/>
      <c r="AK130" s="98"/>
      <c r="AL130" s="364">
        <f>IFERROR(__xludf.DUMMYFUNCTION("""COMPUTED_VALUE"""),0.0)</f>
        <v>0</v>
      </c>
      <c r="AM130" s="364">
        <f>IFERROR(__xludf.DUMMYFUNCTION("""COMPUTED_VALUE"""),0.0)</f>
        <v>0</v>
      </c>
    </row>
    <row r="131">
      <c r="A131" s="98">
        <f>IFERROR(__xludf.DUMMYFUNCTION("""COMPUTED_VALUE"""),128.0)</f>
        <v>128</v>
      </c>
      <c r="B131" s="98" t="str">
        <f>IFERROR(__xludf.DUMMYFUNCTION("""COMPUTED_VALUE"""),"TNI0314")</f>
        <v>TNI0314</v>
      </c>
      <c r="C131" s="98" t="str">
        <f>IFERROR(__xludf.DUMMYFUNCTION("""COMPUTED_VALUE"""),"B")</f>
        <v>B</v>
      </c>
      <c r="D131" s="98" t="str">
        <f>IFERROR(__xludf.DUMMYFUNCTION("""COMPUTED_VALUE"""),"Mytel")</f>
        <v>Mytel</v>
      </c>
      <c r="E131" s="98" t="str">
        <f>IFERROR(__xludf.DUMMYFUNCTION("""COMPUTED_VALUE"""),"T1")</f>
        <v>T1</v>
      </c>
      <c r="F131" s="98" t="str">
        <f>IFERROR(__xludf.DUMMYFUNCTION("""COMPUTED_VALUE"""),"Yebyu")</f>
        <v>Yebyu</v>
      </c>
      <c r="G131" s="98" t="str">
        <f>IFERROR(__xludf.DUMMYFUNCTION("""COMPUTED_VALUE"""),"Thar Htoo Aung")</f>
        <v>Thar Htoo Aung</v>
      </c>
      <c r="H131" s="98" t="str">
        <f>IFERROR(__xludf.DUMMYFUNCTION("""COMPUTED_VALUE"""),"U Zaw Win: 09669977379")</f>
        <v>U Zaw Win: 09669977379</v>
      </c>
      <c r="I131" s="98"/>
      <c r="J131" s="98"/>
      <c r="K131" s="362">
        <f>IFERROR(__xludf.DUMMYFUNCTION("""COMPUTED_VALUE"""),120.0)</f>
        <v>120</v>
      </c>
      <c r="L131" s="98" t="str">
        <f>IFERROR(__xludf.DUMMYFUNCTION("""COMPUTED_VALUE"""),"24*7")</f>
        <v>24*7</v>
      </c>
      <c r="M131" s="98" t="str">
        <f>IFERROR(__xludf.DUMMYFUNCTION("""COMPUTED_VALUE"""),"1DG+BB")</f>
        <v>1DG+BB</v>
      </c>
      <c r="N131" s="98" t="str">
        <f>IFERROR(__xludf.DUMMYFUNCTION("""COMPUTED_VALUE"""),"281")</f>
        <v>281</v>
      </c>
      <c r="O131" s="363"/>
      <c r="P131" s="98"/>
      <c r="Q131" s="98"/>
      <c r="R131" s="100"/>
      <c r="S131" s="363"/>
      <c r="T131" s="100"/>
      <c r="U131" s="98"/>
      <c r="V131" s="100"/>
      <c r="W131" s="98"/>
      <c r="X131" s="363">
        <f>IFERROR(__xludf.DUMMYFUNCTION("""COMPUTED_VALUE"""),46203.78266203703)</f>
        <v>46203.78266</v>
      </c>
      <c r="Y131" s="100">
        <f>IFERROR(__xludf.DUMMYFUNCTION("""COMPUTED_VALUE"""),47.84542916662758)</f>
        <v>47.84542917</v>
      </c>
      <c r="Z131" s="363">
        <f>IFERROR(__xludf.DUMMYFUNCTION("""COMPUTED_VALUE"""),46203.930972222224)</f>
        <v>46203.93097</v>
      </c>
      <c r="AA131" s="98" t="str">
        <f>IFERROR(__xludf.DUMMYFUNCTION("""COMPUTED_VALUE"""),"44:17")</f>
        <v>44:17</v>
      </c>
      <c r="AB131" s="363">
        <f>IFERROR(__xludf.DUMMYFUNCTION("""COMPUTED_VALUE"""),46203.97693287037)</f>
        <v>46203.97693</v>
      </c>
      <c r="AC131" s="100">
        <f>IFERROR(__xludf.DUMMYFUNCTION("""COMPUTED_VALUE"""),43.18292916670907)</f>
        <v>43.18292917</v>
      </c>
      <c r="AD131" s="363">
        <f>IFERROR(__xludf.DUMMYFUNCTION("""COMPUTED_VALUE"""),46203.97916666667)</f>
        <v>46203.97917</v>
      </c>
      <c r="AE131" s="100">
        <f>IFERROR(__xludf.DUMMYFUNCTION("""COMPUTED_VALUE"""),43.12931805563858)</f>
        <v>43.12931806</v>
      </c>
      <c r="AF131" s="364">
        <f>IFERROR(__xludf.DUMMYFUNCTION("""COMPUTED_VALUE"""),945.0)</f>
        <v>945</v>
      </c>
      <c r="AG131" s="98" t="str">
        <f>IFERROR(__xludf.DUMMYFUNCTION("""COMPUTED_VALUE"""),"Checking with villager")</f>
        <v>Checking with villager</v>
      </c>
      <c r="AH131" s="98"/>
      <c r="AI131" s="98"/>
      <c r="AJ131" s="98" t="str">
        <f>IFERROR(__xludf.DUMMYFUNCTION("""COMPUTED_VALUE"""),"Loss_Power_Cannot_Access(Sercurity,Owner…)")</f>
        <v>Loss_Power_Cannot_Access(Sercurity,Owner…)</v>
      </c>
      <c r="AK131" s="98" t="str">
        <f>IFERROR(__xludf.DUMMYFUNCTION("""COMPUTED_VALUE"""),"Need to check ground first")</f>
        <v>Need to check ground first</v>
      </c>
      <c r="AL131" s="364">
        <f>IFERROR(__xludf.DUMMYFUNCTION("""COMPUTED_VALUE"""),1.0)</f>
        <v>1</v>
      </c>
      <c r="AM131" s="364">
        <f>IFERROR(__xludf.DUMMYFUNCTION("""COMPUTED_VALUE"""),1.0)</f>
        <v>1</v>
      </c>
    </row>
    <row r="132">
      <c r="A132" s="98">
        <f>IFERROR(__xludf.DUMMYFUNCTION("""COMPUTED_VALUE"""),129.0)</f>
        <v>129</v>
      </c>
      <c r="B132" s="98" t="str">
        <f>IFERROR(__xludf.DUMMYFUNCTION("""COMPUTED_VALUE"""),"TNI0150")</f>
        <v>TNI0150</v>
      </c>
      <c r="C132" s="98" t="str">
        <f>IFERROR(__xludf.DUMMYFUNCTION("""COMPUTED_VALUE"""),"B")</f>
        <v>B</v>
      </c>
      <c r="D132" s="98" t="str">
        <f>IFERROR(__xludf.DUMMYFUNCTION("""COMPUTED_VALUE"""),"OCK")</f>
        <v>OCK</v>
      </c>
      <c r="E132" s="98" t="str">
        <f>IFERROR(__xludf.DUMMYFUNCTION("""COMPUTED_VALUE"""),"T1")</f>
        <v>T1</v>
      </c>
      <c r="F132" s="98" t="str">
        <f>IFERROR(__xludf.DUMMYFUNCTION("""COMPUTED_VALUE"""),"Yebyu")</f>
        <v>Yebyu</v>
      </c>
      <c r="G132" s="98" t="str">
        <f>IFERROR(__xludf.DUMMYFUNCTION("""COMPUTED_VALUE"""),"Thu Rain Niang")</f>
        <v>Thu Rain Niang</v>
      </c>
      <c r="H132" s="98"/>
      <c r="I132" s="98"/>
      <c r="J132" s="98" t="str">
        <f>IFERROR(__xludf.DUMMYFUNCTION("""COMPUTED_VALUE"""),"OLT")</f>
        <v>OLT</v>
      </c>
      <c r="K132" s="362">
        <f>IFERROR(__xludf.DUMMYFUNCTION("""COMPUTED_VALUE"""),90.0)</f>
        <v>90</v>
      </c>
      <c r="L132" s="98" t="str">
        <f>IFERROR(__xludf.DUMMYFUNCTION("""COMPUTED_VALUE"""),"24*7")</f>
        <v>24*7</v>
      </c>
      <c r="M132" s="98" t="str">
        <f>IFERROR(__xludf.DUMMYFUNCTION("""COMPUTED_VALUE"""),"1DG+BB")</f>
        <v>1DG+BB</v>
      </c>
      <c r="N132" s="98" t="str">
        <f>IFERROR(__xludf.DUMMYFUNCTION("""COMPUTED_VALUE"""),"ok")</f>
        <v>ok</v>
      </c>
      <c r="O132" s="363"/>
      <c r="P132" s="98"/>
      <c r="Q132" s="98"/>
      <c r="R132" s="100"/>
      <c r="S132" s="363"/>
      <c r="T132" s="100"/>
      <c r="U132" s="98"/>
      <c r="V132" s="100"/>
      <c r="W132" s="98"/>
      <c r="X132" s="363"/>
      <c r="Y132" s="100"/>
      <c r="Z132" s="363"/>
      <c r="AA132" s="98"/>
      <c r="AB132" s="363"/>
      <c r="AC132" s="100"/>
      <c r="AD132" s="363"/>
      <c r="AE132" s="100"/>
      <c r="AF132" s="364">
        <f>IFERROR(__xludf.DUMMYFUNCTION("""COMPUTED_VALUE"""),2426.0)</f>
        <v>2426</v>
      </c>
      <c r="AG132" s="98" t="str">
        <f>IFERROR(__xludf.DUMMYFUNCTION("""COMPUTED_VALUE"""),"Hub site TNI0213 down")</f>
        <v>Hub site TNI0213 down</v>
      </c>
      <c r="AH132" s="98"/>
      <c r="AI132" s="98" t="str">
        <f>IFERROR(__xludf.DUMMYFUNCTION("""COMPUTED_VALUE"""),"TCO MDG rest time")</f>
        <v>TCO MDG rest time</v>
      </c>
      <c r="AJ132" s="98"/>
      <c r="AK132" s="98"/>
      <c r="AL132" s="364">
        <f>IFERROR(__xludf.DUMMYFUNCTION("""COMPUTED_VALUE"""),0.0)</f>
        <v>0</v>
      </c>
      <c r="AM132" s="364">
        <f>IFERROR(__xludf.DUMMYFUNCTION("""COMPUTED_VALUE"""),0.0)</f>
        <v>0</v>
      </c>
    </row>
    <row r="133">
      <c r="A133" s="98">
        <f>IFERROR(__xludf.DUMMYFUNCTION("""COMPUTED_VALUE"""),130.0)</f>
        <v>130</v>
      </c>
      <c r="B133" s="98" t="str">
        <f>IFERROR(__xludf.DUMMYFUNCTION("""COMPUTED_VALUE"""),"TNI0043")</f>
        <v>TNI0043</v>
      </c>
      <c r="C133" s="98" t="str">
        <f>IFERROR(__xludf.DUMMYFUNCTION("""COMPUTED_VALUE"""),"C")</f>
        <v>C</v>
      </c>
      <c r="D133" s="98" t="str">
        <f>IFERROR(__xludf.DUMMYFUNCTION("""COMPUTED_VALUE"""),"Mytel")</f>
        <v>Mytel</v>
      </c>
      <c r="E133" s="98" t="str">
        <f>IFERROR(__xludf.DUMMYFUNCTION("""COMPUTED_VALUE"""),"T1")</f>
        <v>T1</v>
      </c>
      <c r="F133" s="98" t="str">
        <f>IFERROR(__xludf.DUMMYFUNCTION("""COMPUTED_VALUE"""),"Yebyu")</f>
        <v>Yebyu</v>
      </c>
      <c r="G133" s="98" t="str">
        <f>IFERROR(__xludf.DUMMYFUNCTION("""COMPUTED_VALUE"""),"Thu Rain Niang")</f>
        <v>Thu Rain Niang</v>
      </c>
      <c r="H133" s="98"/>
      <c r="I133" s="98"/>
      <c r="J133" s="98"/>
      <c r="K133" s="362">
        <f>IFERROR(__xludf.DUMMYFUNCTION("""COMPUTED_VALUE"""),45.0)</f>
        <v>45</v>
      </c>
      <c r="L133" s="98" t="str">
        <f>IFERROR(__xludf.DUMMYFUNCTION("""COMPUTED_VALUE"""),"6:00PM-6:00AM")</f>
        <v>6:00PM-6:00AM</v>
      </c>
      <c r="M133" s="98" t="str">
        <f>IFERROR(__xludf.DUMMYFUNCTION("""COMPUTED_VALUE"""),"Grid+BB")</f>
        <v>Grid+BB</v>
      </c>
      <c r="N133" s="98" t="str">
        <f>IFERROR(__xludf.DUMMYFUNCTION("""COMPUTED_VALUE"""),"ok")</f>
        <v>ok</v>
      </c>
      <c r="O133" s="363"/>
      <c r="P133" s="98"/>
      <c r="Q133" s="98"/>
      <c r="R133" s="100"/>
      <c r="S133" s="363"/>
      <c r="T133" s="100"/>
      <c r="U133" s="98"/>
      <c r="V133" s="100"/>
      <c r="W133" s="98"/>
      <c r="X133" s="363"/>
      <c r="Y133" s="100"/>
      <c r="Z133" s="363"/>
      <c r="AA133" s="98"/>
      <c r="AB133" s="363"/>
      <c r="AC133" s="100"/>
      <c r="AD133" s="363"/>
      <c r="AE133" s="100"/>
      <c r="AF133" s="364">
        <f>IFERROR(__xludf.DUMMYFUNCTION("""COMPUTED_VALUE"""),913.0)</f>
        <v>913</v>
      </c>
      <c r="AG133" s="98" t="str">
        <f>IFERROR(__xludf.DUMMYFUNCTION("""COMPUTED_VALUE"""),"Contact loose with team")</f>
        <v>Contact loose with team</v>
      </c>
      <c r="AH133" s="98"/>
      <c r="AI133" s="98" t="str">
        <f>IFERROR(__xludf.DUMMYFUNCTION("""COMPUTED_VALUE"""),"Site down at MDG rest time")</f>
        <v>Site down at MDG rest time</v>
      </c>
      <c r="AJ133" s="98"/>
      <c r="AK133" s="98"/>
      <c r="AL133" s="364">
        <f>IFERROR(__xludf.DUMMYFUNCTION("""COMPUTED_VALUE"""),0.0)</f>
        <v>0</v>
      </c>
      <c r="AM133" s="364">
        <f>IFERROR(__xludf.DUMMYFUNCTION("""COMPUTED_VALUE"""),0.0)</f>
        <v>0</v>
      </c>
    </row>
    <row r="134">
      <c r="A134" s="98">
        <f>IFERROR(__xludf.DUMMYFUNCTION("""COMPUTED_VALUE"""),131.0)</f>
        <v>131</v>
      </c>
      <c r="B134" s="98" t="str">
        <f>IFERROR(__xludf.DUMMYFUNCTION("""COMPUTED_VALUE"""),"TNI0178")</f>
        <v>TNI0178</v>
      </c>
      <c r="C134" s="98" t="str">
        <f>IFERROR(__xludf.DUMMYFUNCTION("""COMPUTED_VALUE"""),"C")</f>
        <v>C</v>
      </c>
      <c r="D134" s="98" t="str">
        <f>IFERROR(__xludf.DUMMYFUNCTION("""COMPUTED_VALUE"""),"IGT")</f>
        <v>IGT</v>
      </c>
      <c r="E134" s="98" t="str">
        <f>IFERROR(__xludf.DUMMYFUNCTION("""COMPUTED_VALUE"""),"T2")</f>
        <v>T2</v>
      </c>
      <c r="F134" s="98" t="str">
        <f>IFERROR(__xludf.DUMMYFUNCTION("""COMPUTED_VALUE"""),"Myeik")</f>
        <v>Myeik</v>
      </c>
      <c r="G134" s="98" t="str">
        <f>IFERROR(__xludf.DUMMYFUNCTION("""COMPUTED_VALUE"""),"-")</f>
        <v>-</v>
      </c>
      <c r="H134" s="98"/>
      <c r="I134" s="98"/>
      <c r="J134" s="98"/>
      <c r="K134" s="362">
        <f>IFERROR(__xludf.DUMMYFUNCTION("""COMPUTED_VALUE"""),180.0)</f>
        <v>180</v>
      </c>
      <c r="L134" s="98" t="str">
        <f>IFERROR(__xludf.DUMMYFUNCTION("""COMPUTED_VALUE"""),"24*7")</f>
        <v>24*7</v>
      </c>
      <c r="M134" s="98" t="str">
        <f>IFERROR(__xludf.DUMMYFUNCTION("""COMPUTED_VALUE"""),"Grid+BB")</f>
        <v>Grid+BB</v>
      </c>
      <c r="N134" s="98" t="str">
        <f>IFERROR(__xludf.DUMMYFUNCTION("""COMPUTED_VALUE"""),"ok")</f>
        <v>ok</v>
      </c>
      <c r="O134" s="363"/>
      <c r="P134" s="98"/>
      <c r="Q134" s="98"/>
      <c r="R134" s="100"/>
      <c r="S134" s="363"/>
      <c r="T134" s="100"/>
      <c r="U134" s="98"/>
      <c r="V134" s="100"/>
      <c r="W134" s="98"/>
      <c r="X134" s="363"/>
      <c r="Y134" s="100"/>
      <c r="Z134" s="363"/>
      <c r="AA134" s="98"/>
      <c r="AB134" s="363"/>
      <c r="AC134" s="100"/>
      <c r="AD134" s="363"/>
      <c r="AE134" s="100"/>
      <c r="AF134" s="364">
        <f>IFERROR(__xludf.DUMMYFUNCTION("""COMPUTED_VALUE"""),0.0)</f>
        <v>0</v>
      </c>
      <c r="AG134" s="98"/>
      <c r="AH134" s="98"/>
      <c r="AI134" s="98"/>
      <c r="AJ134" s="98"/>
      <c r="AK134" s="98"/>
      <c r="AL134" s="364">
        <f>IFERROR(__xludf.DUMMYFUNCTION("""COMPUTED_VALUE"""),0.0)</f>
        <v>0</v>
      </c>
      <c r="AM134" s="364">
        <f>IFERROR(__xludf.DUMMYFUNCTION("""COMPUTED_VALUE"""),0.0)</f>
        <v>0</v>
      </c>
    </row>
    <row r="135">
      <c r="A135" s="98">
        <f>IFERROR(__xludf.DUMMYFUNCTION("""COMPUTED_VALUE"""),132.0)</f>
        <v>132</v>
      </c>
      <c r="B135" s="98" t="str">
        <f>IFERROR(__xludf.DUMMYFUNCTION("""COMPUTED_VALUE"""),"TNI0112")</f>
        <v>TNI0112</v>
      </c>
      <c r="C135" s="98" t="str">
        <f>IFERROR(__xludf.DUMMYFUNCTION("""COMPUTED_VALUE"""),"C")</f>
        <v>C</v>
      </c>
      <c r="D135" s="98" t="str">
        <f>IFERROR(__xludf.DUMMYFUNCTION("""COMPUTED_VALUE"""),"Mytel")</f>
        <v>Mytel</v>
      </c>
      <c r="E135" s="98" t="str">
        <f>IFERROR(__xludf.DUMMYFUNCTION("""COMPUTED_VALUE"""),"T2")</f>
        <v>T2</v>
      </c>
      <c r="F135" s="98" t="str">
        <f>IFERROR(__xludf.DUMMYFUNCTION("""COMPUTED_VALUE"""),"Myeik")</f>
        <v>Myeik</v>
      </c>
      <c r="G135" s="98" t="str">
        <f>IFERROR(__xludf.DUMMYFUNCTION("""COMPUTED_VALUE"""),"-")</f>
        <v>-</v>
      </c>
      <c r="H135" s="98"/>
      <c r="I135" s="98">
        <f>IFERROR(__xludf.DUMMYFUNCTION("""COMPUTED_VALUE"""),0.0)</f>
        <v>0</v>
      </c>
      <c r="J135" s="98"/>
      <c r="K135" s="362">
        <f>IFERROR(__xludf.DUMMYFUNCTION("""COMPUTED_VALUE"""),120.0)</f>
        <v>120</v>
      </c>
      <c r="L135" s="98" t="str">
        <f>IFERROR(__xludf.DUMMYFUNCTION("""COMPUTED_VALUE"""),"24*7")</f>
        <v>24*7</v>
      </c>
      <c r="M135" s="98" t="str">
        <f>IFERROR(__xludf.DUMMYFUNCTION("""COMPUTED_VALUE"""),"1DG+BB")</f>
        <v>1DG+BB</v>
      </c>
      <c r="N135" s="98" t="str">
        <f>IFERROR(__xludf.DUMMYFUNCTION("""COMPUTED_VALUE"""),"ok")</f>
        <v>ok</v>
      </c>
      <c r="O135" s="363"/>
      <c r="P135" s="98"/>
      <c r="Q135" s="98"/>
      <c r="R135" s="100"/>
      <c r="S135" s="363"/>
      <c r="T135" s="100"/>
      <c r="U135" s="98"/>
      <c r="V135" s="100"/>
      <c r="W135" s="98"/>
      <c r="X135" s="363"/>
      <c r="Y135" s="100"/>
      <c r="Z135" s="363"/>
      <c r="AA135" s="98"/>
      <c r="AB135" s="363"/>
      <c r="AC135" s="100"/>
      <c r="AD135" s="363"/>
      <c r="AE135" s="100"/>
      <c r="AF135" s="364">
        <f>IFERROR(__xludf.DUMMYFUNCTION("""COMPUTED_VALUE"""),0.0)</f>
        <v>0</v>
      </c>
      <c r="AG135" s="98" t="str">
        <f>IFERROR(__xludf.DUMMYFUNCTION("""COMPUTED_VALUE"""),"TCO ETA 6 AM")</f>
        <v>TCO ETA 6 AM</v>
      </c>
      <c r="AH135" s="98"/>
      <c r="AI135" s="98"/>
      <c r="AJ135" s="98"/>
      <c r="AK135" s="98"/>
      <c r="AL135" s="364">
        <f>IFERROR(__xludf.DUMMYFUNCTION("""COMPUTED_VALUE"""),0.0)</f>
        <v>0</v>
      </c>
      <c r="AM135" s="364">
        <f>IFERROR(__xludf.DUMMYFUNCTION("""COMPUTED_VALUE"""),0.0)</f>
        <v>0</v>
      </c>
    </row>
    <row r="136">
      <c r="A136" s="98">
        <f>IFERROR(__xludf.DUMMYFUNCTION("""COMPUTED_VALUE"""),133.0)</f>
        <v>133</v>
      </c>
      <c r="B136" s="98" t="str">
        <f>IFERROR(__xludf.DUMMYFUNCTION("""COMPUTED_VALUE"""),"TNI0217")</f>
        <v>TNI0217</v>
      </c>
      <c r="C136" s="98" t="str">
        <f>IFERROR(__xludf.DUMMYFUNCTION("""COMPUTED_VALUE"""),"C")</f>
        <v>C</v>
      </c>
      <c r="D136" s="98" t="str">
        <f>IFERROR(__xludf.DUMMYFUNCTION("""COMPUTED_VALUE"""),"Mytel")</f>
        <v>Mytel</v>
      </c>
      <c r="E136" s="98" t="str">
        <f>IFERROR(__xludf.DUMMYFUNCTION("""COMPUTED_VALUE"""),"T2")</f>
        <v>T2</v>
      </c>
      <c r="F136" s="98" t="str">
        <f>IFERROR(__xludf.DUMMYFUNCTION("""COMPUTED_VALUE"""),"Myeik")</f>
        <v>Myeik</v>
      </c>
      <c r="G136" s="98" t="str">
        <f>IFERROR(__xludf.DUMMYFUNCTION("""COMPUTED_VALUE"""),"-")</f>
        <v>-</v>
      </c>
      <c r="H136" s="98"/>
      <c r="I136" s="98"/>
      <c r="J136" s="98"/>
      <c r="K136" s="362">
        <f>IFERROR(__xludf.DUMMYFUNCTION("""COMPUTED_VALUE"""),180.0)</f>
        <v>180</v>
      </c>
      <c r="L136" s="98" t="str">
        <f>IFERROR(__xludf.DUMMYFUNCTION("""COMPUTED_VALUE"""),"24*7")</f>
        <v>24*7</v>
      </c>
      <c r="M136" s="98" t="str">
        <f>IFERROR(__xludf.DUMMYFUNCTION("""COMPUTED_VALUE"""),"1DG+BB")</f>
        <v>1DG+BB</v>
      </c>
      <c r="N136" s="98" t="str">
        <f>IFERROR(__xludf.DUMMYFUNCTION("""COMPUTED_VALUE"""),"ok")</f>
        <v>ok</v>
      </c>
      <c r="O136" s="363"/>
      <c r="P136" s="98"/>
      <c r="Q136" s="98"/>
      <c r="R136" s="100"/>
      <c r="S136" s="363"/>
      <c r="T136" s="100"/>
      <c r="U136" s="98"/>
      <c r="V136" s="100"/>
      <c r="W136" s="98"/>
      <c r="X136" s="363"/>
      <c r="Y136" s="100"/>
      <c r="Z136" s="363"/>
      <c r="AA136" s="98"/>
      <c r="AB136" s="363"/>
      <c r="AC136" s="100"/>
      <c r="AD136" s="363"/>
      <c r="AE136" s="100"/>
      <c r="AF136" s="364">
        <f>IFERROR(__xludf.DUMMYFUNCTION("""COMPUTED_VALUE"""),0.0)</f>
        <v>0</v>
      </c>
      <c r="AG136" s="98"/>
      <c r="AH136" s="98"/>
      <c r="AI136" s="98"/>
      <c r="AJ136" s="98"/>
      <c r="AK136" s="98"/>
      <c r="AL136" s="364">
        <f>IFERROR(__xludf.DUMMYFUNCTION("""COMPUTED_VALUE"""),0.0)</f>
        <v>0</v>
      </c>
      <c r="AM136" s="364">
        <f>IFERROR(__xludf.DUMMYFUNCTION("""COMPUTED_VALUE"""),0.0)</f>
        <v>0</v>
      </c>
    </row>
    <row r="137">
      <c r="A137" s="98">
        <f>IFERROR(__xludf.DUMMYFUNCTION("""COMPUTED_VALUE"""),134.0)</f>
        <v>134</v>
      </c>
      <c r="B137" s="98" t="str">
        <f>IFERROR(__xludf.DUMMYFUNCTION("""COMPUTED_VALUE"""),"TNI0224")</f>
        <v>TNI0224</v>
      </c>
      <c r="C137" s="98" t="str">
        <f>IFERROR(__xludf.DUMMYFUNCTION("""COMPUTED_VALUE"""),"B")</f>
        <v>B</v>
      </c>
      <c r="D137" s="98" t="str">
        <f>IFERROR(__xludf.DUMMYFUNCTION("""COMPUTED_VALUE"""),"Mytel")</f>
        <v>Mytel</v>
      </c>
      <c r="E137" s="98" t="str">
        <f>IFERROR(__xludf.DUMMYFUNCTION("""COMPUTED_VALUE"""),"T2")</f>
        <v>T2</v>
      </c>
      <c r="F137" s="98" t="str">
        <f>IFERROR(__xludf.DUMMYFUNCTION("""COMPUTED_VALUE"""),"Myeik")</f>
        <v>Myeik</v>
      </c>
      <c r="G137" s="98" t="str">
        <f>IFERROR(__xludf.DUMMYFUNCTION("""COMPUTED_VALUE"""),"-")</f>
        <v>-</v>
      </c>
      <c r="H137" s="98"/>
      <c r="I137" s="98">
        <f>IFERROR(__xludf.DUMMYFUNCTION("""COMPUTED_VALUE"""),0.0)</f>
        <v>0</v>
      </c>
      <c r="J137" s="98"/>
      <c r="K137" s="362">
        <f>IFERROR(__xludf.DUMMYFUNCTION("""COMPUTED_VALUE"""),120.0)</f>
        <v>120</v>
      </c>
      <c r="L137" s="98" t="str">
        <f>IFERROR(__xludf.DUMMYFUNCTION("""COMPUTED_VALUE"""),"24*7")</f>
        <v>24*7</v>
      </c>
      <c r="M137" s="98" t="str">
        <f>IFERROR(__xludf.DUMMYFUNCTION("""COMPUTED_VALUE"""),"1DG+BB")</f>
        <v>1DG+BB</v>
      </c>
      <c r="N137" s="98" t="str">
        <f>IFERROR(__xludf.DUMMYFUNCTION("""COMPUTED_VALUE"""),"ok")</f>
        <v>ok</v>
      </c>
      <c r="O137" s="363"/>
      <c r="P137" s="98"/>
      <c r="Q137" s="98"/>
      <c r="R137" s="100"/>
      <c r="S137" s="363"/>
      <c r="T137" s="100"/>
      <c r="U137" s="98"/>
      <c r="V137" s="100"/>
      <c r="W137" s="98"/>
      <c r="X137" s="363"/>
      <c r="Y137" s="100"/>
      <c r="Z137" s="363"/>
      <c r="AA137" s="98"/>
      <c r="AB137" s="363"/>
      <c r="AC137" s="100"/>
      <c r="AD137" s="363"/>
      <c r="AE137" s="100"/>
      <c r="AF137" s="364">
        <f>IFERROR(__xludf.DUMMYFUNCTION("""COMPUTED_VALUE"""),0.0)</f>
        <v>0</v>
      </c>
      <c r="AG137" s="98"/>
      <c r="AH137" s="98"/>
      <c r="AI137" s="98"/>
      <c r="AJ137" s="98"/>
      <c r="AK137" s="98"/>
      <c r="AL137" s="364">
        <f>IFERROR(__xludf.DUMMYFUNCTION("""COMPUTED_VALUE"""),0.0)</f>
        <v>0</v>
      </c>
      <c r="AM137" s="364">
        <f>IFERROR(__xludf.DUMMYFUNCTION("""COMPUTED_VALUE"""),0.0)</f>
        <v>0</v>
      </c>
    </row>
    <row r="138">
      <c r="A138" s="98">
        <f>IFERROR(__xludf.DUMMYFUNCTION("""COMPUTED_VALUE"""),135.0)</f>
        <v>135</v>
      </c>
      <c r="B138" s="98" t="str">
        <f>IFERROR(__xludf.DUMMYFUNCTION("""COMPUTED_VALUE"""),"TNI0367")</f>
        <v>TNI0367</v>
      </c>
      <c r="C138" s="98" t="str">
        <f>IFERROR(__xludf.DUMMYFUNCTION("""COMPUTED_VALUE"""),"C")</f>
        <v>C</v>
      </c>
      <c r="D138" s="98" t="str">
        <f>IFERROR(__xludf.DUMMYFUNCTION("""COMPUTED_VALUE"""),"Mytel")</f>
        <v>Mytel</v>
      </c>
      <c r="E138" s="98" t="str">
        <f>IFERROR(__xludf.DUMMYFUNCTION("""COMPUTED_VALUE"""),"T2")</f>
        <v>T2</v>
      </c>
      <c r="F138" s="98" t="str">
        <f>IFERROR(__xludf.DUMMYFUNCTION("""COMPUTED_VALUE"""),"Tanintharyi")</f>
        <v>Tanintharyi</v>
      </c>
      <c r="G138" s="98" t="str">
        <f>IFERROR(__xludf.DUMMYFUNCTION("""COMPUTED_VALUE"""),"-")</f>
        <v>-</v>
      </c>
      <c r="H138" s="98"/>
      <c r="I138" s="98"/>
      <c r="J138" s="98"/>
      <c r="K138" s="362">
        <f>IFERROR(__xludf.DUMMYFUNCTION("""COMPUTED_VALUE"""),240.0)</f>
        <v>240</v>
      </c>
      <c r="L138" s="98" t="str">
        <f>IFERROR(__xludf.DUMMYFUNCTION("""COMPUTED_VALUE"""),"24*7")</f>
        <v>24*7</v>
      </c>
      <c r="M138" s="98" t="str">
        <f>IFERROR(__xludf.DUMMYFUNCTION("""COMPUTED_VALUE"""),"1DG+BB")</f>
        <v>1DG+BB</v>
      </c>
      <c r="N138" s="98" t="str">
        <f>IFERROR(__xludf.DUMMYFUNCTION("""COMPUTED_VALUE"""),"ok")</f>
        <v>ok</v>
      </c>
      <c r="O138" s="363"/>
      <c r="P138" s="98"/>
      <c r="Q138" s="98"/>
      <c r="R138" s="100"/>
      <c r="S138" s="363"/>
      <c r="T138" s="100"/>
      <c r="U138" s="98"/>
      <c r="V138" s="100"/>
      <c r="W138" s="98"/>
      <c r="X138" s="363"/>
      <c r="Y138" s="100"/>
      <c r="Z138" s="363"/>
      <c r="AA138" s="98"/>
      <c r="AB138" s="363"/>
      <c r="AC138" s="100"/>
      <c r="AD138" s="363"/>
      <c r="AE138" s="100"/>
      <c r="AF138" s="364">
        <f>IFERROR(__xludf.DUMMYFUNCTION("""COMPUTED_VALUE"""),0.0)</f>
        <v>0</v>
      </c>
      <c r="AG138" s="98"/>
      <c r="AH138" s="98"/>
      <c r="AI138" s="98"/>
      <c r="AJ138" s="98"/>
      <c r="AK138" s="98"/>
      <c r="AL138" s="364">
        <f>IFERROR(__xludf.DUMMYFUNCTION("""COMPUTED_VALUE"""),0.0)</f>
        <v>0</v>
      </c>
      <c r="AM138" s="364">
        <f>IFERROR(__xludf.DUMMYFUNCTION("""COMPUTED_VALUE"""),0.0)</f>
        <v>0</v>
      </c>
    </row>
    <row r="139">
      <c r="A139" s="98">
        <f>IFERROR(__xludf.DUMMYFUNCTION("""COMPUTED_VALUE"""),136.0)</f>
        <v>136</v>
      </c>
      <c r="B139" s="98" t="str">
        <f>IFERROR(__xludf.DUMMYFUNCTION("""COMPUTED_VALUE"""),"TNI0218")</f>
        <v>TNI0218</v>
      </c>
      <c r="C139" s="98" t="str">
        <f>IFERROR(__xludf.DUMMYFUNCTION("""COMPUTED_VALUE"""),"C")</f>
        <v>C</v>
      </c>
      <c r="D139" s="98" t="str">
        <f>IFERROR(__xludf.DUMMYFUNCTION("""COMPUTED_VALUE"""),"Mytel")</f>
        <v>Mytel</v>
      </c>
      <c r="E139" s="98" t="str">
        <f>IFERROR(__xludf.DUMMYFUNCTION("""COMPUTED_VALUE"""),"T2")</f>
        <v>T2</v>
      </c>
      <c r="F139" s="98" t="str">
        <f>IFERROR(__xludf.DUMMYFUNCTION("""COMPUTED_VALUE"""),"Myeik")</f>
        <v>Myeik</v>
      </c>
      <c r="G139" s="98" t="str">
        <f>IFERROR(__xludf.DUMMYFUNCTION("""COMPUTED_VALUE"""),"-")</f>
        <v>-</v>
      </c>
      <c r="H139" s="98"/>
      <c r="I139" s="98">
        <f>IFERROR(__xludf.DUMMYFUNCTION("""COMPUTED_VALUE"""),0.0)</f>
        <v>0</v>
      </c>
      <c r="J139" s="98"/>
      <c r="K139" s="362">
        <f>IFERROR(__xludf.DUMMYFUNCTION("""COMPUTED_VALUE"""),120.0)</f>
        <v>120</v>
      </c>
      <c r="L139" s="98" t="str">
        <f>IFERROR(__xludf.DUMMYFUNCTION("""COMPUTED_VALUE"""),"24*7")</f>
        <v>24*7</v>
      </c>
      <c r="M139" s="98" t="str">
        <f>IFERROR(__xludf.DUMMYFUNCTION("""COMPUTED_VALUE"""),"1DG+BB")</f>
        <v>1DG+BB</v>
      </c>
      <c r="N139" s="98" t="str">
        <f>IFERROR(__xludf.DUMMYFUNCTION("""COMPUTED_VALUE"""),"ok")</f>
        <v>ok</v>
      </c>
      <c r="O139" s="363"/>
      <c r="P139" s="98"/>
      <c r="Q139" s="98"/>
      <c r="R139" s="100"/>
      <c r="S139" s="363"/>
      <c r="T139" s="100"/>
      <c r="U139" s="98"/>
      <c r="V139" s="100"/>
      <c r="W139" s="98"/>
      <c r="X139" s="363"/>
      <c r="Y139" s="100"/>
      <c r="Z139" s="363"/>
      <c r="AA139" s="98"/>
      <c r="AB139" s="363"/>
      <c r="AC139" s="100"/>
      <c r="AD139" s="363"/>
      <c r="AE139" s="100"/>
      <c r="AF139" s="364">
        <f>IFERROR(__xludf.DUMMYFUNCTION("""COMPUTED_VALUE"""),0.0)</f>
        <v>0</v>
      </c>
      <c r="AG139" s="98"/>
      <c r="AH139" s="98"/>
      <c r="AI139" s="98"/>
      <c r="AJ139" s="98"/>
      <c r="AK139" s="98"/>
      <c r="AL139" s="364">
        <f>IFERROR(__xludf.DUMMYFUNCTION("""COMPUTED_VALUE"""),0.0)</f>
        <v>0</v>
      </c>
      <c r="AM139" s="364">
        <f>IFERROR(__xludf.DUMMYFUNCTION("""COMPUTED_VALUE"""),0.0)</f>
        <v>0</v>
      </c>
    </row>
    <row r="140">
      <c r="A140" s="98">
        <f>IFERROR(__xludf.DUMMYFUNCTION("""COMPUTED_VALUE"""),137.0)</f>
        <v>137</v>
      </c>
      <c r="B140" s="98" t="str">
        <f>IFERROR(__xludf.DUMMYFUNCTION("""COMPUTED_VALUE"""),"TNI0450")</f>
        <v>TNI0450</v>
      </c>
      <c r="C140" s="98" t="str">
        <f>IFERROR(__xludf.DUMMYFUNCTION("""COMPUTED_VALUE"""),"C")</f>
        <v>C</v>
      </c>
      <c r="D140" s="98" t="str">
        <f>IFERROR(__xludf.DUMMYFUNCTION("""COMPUTED_VALUE"""),"OCK")</f>
        <v>OCK</v>
      </c>
      <c r="E140" s="98" t="str">
        <f>IFERROR(__xludf.DUMMYFUNCTION("""COMPUTED_VALUE"""),"T2")</f>
        <v>T2</v>
      </c>
      <c r="F140" s="98" t="str">
        <f>IFERROR(__xludf.DUMMYFUNCTION("""COMPUTED_VALUE"""),"Myeik")</f>
        <v>Myeik</v>
      </c>
      <c r="G140" s="98" t="str">
        <f>IFERROR(__xludf.DUMMYFUNCTION("""COMPUTED_VALUE"""),"-")</f>
        <v>-</v>
      </c>
      <c r="H140" s="98"/>
      <c r="I140" s="98"/>
      <c r="J140" s="98"/>
      <c r="K140" s="362">
        <f>IFERROR(__xludf.DUMMYFUNCTION("""COMPUTED_VALUE"""),180.0)</f>
        <v>180</v>
      </c>
      <c r="L140" s="98" t="str">
        <f>IFERROR(__xludf.DUMMYFUNCTION("""COMPUTED_VALUE"""),"24*7")</f>
        <v>24*7</v>
      </c>
      <c r="M140" s="98" t="str">
        <f>IFERROR(__xludf.DUMMYFUNCTION("""COMPUTED_VALUE"""),"Grid+BB")</f>
        <v>Grid+BB</v>
      </c>
      <c r="N140" s="98" t="str">
        <f>IFERROR(__xludf.DUMMYFUNCTION("""COMPUTED_VALUE"""),"ok")</f>
        <v>ok</v>
      </c>
      <c r="O140" s="363"/>
      <c r="P140" s="98"/>
      <c r="Q140" s="98"/>
      <c r="R140" s="100"/>
      <c r="S140" s="363"/>
      <c r="T140" s="100"/>
      <c r="U140" s="98"/>
      <c r="V140" s="100"/>
      <c r="W140" s="98"/>
      <c r="X140" s="363"/>
      <c r="Y140" s="100"/>
      <c r="Z140" s="363"/>
      <c r="AA140" s="98"/>
      <c r="AB140" s="363"/>
      <c r="AC140" s="100"/>
      <c r="AD140" s="363"/>
      <c r="AE140" s="100"/>
      <c r="AF140" s="364">
        <f>IFERROR(__xludf.DUMMYFUNCTION("""COMPUTED_VALUE"""),0.0)</f>
        <v>0</v>
      </c>
      <c r="AG140" s="98" t="str">
        <f>IFERROR(__xludf.DUMMYFUNCTION("""COMPUTED_VALUE"""),"Checking with team")</f>
        <v>Checking with team</v>
      </c>
      <c r="AH140" s="98"/>
      <c r="AI140" s="98"/>
      <c r="AJ140" s="98"/>
      <c r="AK140" s="98"/>
      <c r="AL140" s="364">
        <f>IFERROR(__xludf.DUMMYFUNCTION("""COMPUTED_VALUE"""),0.0)</f>
        <v>0</v>
      </c>
      <c r="AM140" s="364">
        <f>IFERROR(__xludf.DUMMYFUNCTION("""COMPUTED_VALUE"""),0.0)</f>
        <v>0</v>
      </c>
    </row>
    <row r="141">
      <c r="A141" s="98">
        <f>IFERROR(__xludf.DUMMYFUNCTION("""COMPUTED_VALUE"""),138.0)</f>
        <v>138</v>
      </c>
      <c r="B141" s="98" t="str">
        <f>IFERROR(__xludf.DUMMYFUNCTION("""COMPUTED_VALUE"""),"TNI0097")</f>
        <v>TNI0097</v>
      </c>
      <c r="C141" s="98" t="str">
        <f>IFERROR(__xludf.DUMMYFUNCTION("""COMPUTED_VALUE"""),"C")</f>
        <v>C</v>
      </c>
      <c r="D141" s="98" t="str">
        <f>IFERROR(__xludf.DUMMYFUNCTION("""COMPUTED_VALUE"""),"IGT")</f>
        <v>IGT</v>
      </c>
      <c r="E141" s="98" t="str">
        <f>IFERROR(__xludf.DUMMYFUNCTION("""COMPUTED_VALUE"""),"T2")</f>
        <v>T2</v>
      </c>
      <c r="F141" s="98" t="str">
        <f>IFERROR(__xludf.DUMMYFUNCTION("""COMPUTED_VALUE"""),"Palaw")</f>
        <v>Palaw</v>
      </c>
      <c r="G141" s="98" t="str">
        <f>IFERROR(__xludf.DUMMYFUNCTION("""COMPUTED_VALUE"""),"-")</f>
        <v>-</v>
      </c>
      <c r="H141" s="98"/>
      <c r="I141" s="98">
        <f>IFERROR(__xludf.DUMMYFUNCTION("""COMPUTED_VALUE"""),0.0)</f>
        <v>0</v>
      </c>
      <c r="J141" s="98"/>
      <c r="K141" s="362">
        <f>IFERROR(__xludf.DUMMYFUNCTION("""COMPUTED_VALUE"""),120.0)</f>
        <v>120</v>
      </c>
      <c r="L141" s="98" t="str">
        <f>IFERROR(__xludf.DUMMYFUNCTION("""COMPUTED_VALUE"""),"24*7")</f>
        <v>24*7</v>
      </c>
      <c r="M141" s="98" t="str">
        <f>IFERROR(__xludf.DUMMYFUNCTION("""COMPUTED_VALUE"""),"1DG+Grid+BB")</f>
        <v>1DG+Grid+BB</v>
      </c>
      <c r="N141" s="98" t="str">
        <f>IFERROR(__xludf.DUMMYFUNCTION("""COMPUTED_VALUE"""),"ok")</f>
        <v>ok</v>
      </c>
      <c r="O141" s="363"/>
      <c r="P141" s="98"/>
      <c r="Q141" s="98"/>
      <c r="R141" s="100"/>
      <c r="S141" s="363"/>
      <c r="T141" s="100"/>
      <c r="U141" s="98"/>
      <c r="V141" s="100"/>
      <c r="W141" s="98"/>
      <c r="X141" s="363"/>
      <c r="Y141" s="100"/>
      <c r="Z141" s="363"/>
      <c r="AA141" s="98"/>
      <c r="AB141" s="363"/>
      <c r="AC141" s="100"/>
      <c r="AD141" s="363"/>
      <c r="AE141" s="100"/>
      <c r="AF141" s="364">
        <f>IFERROR(__xludf.DUMMYFUNCTION("""COMPUTED_VALUE"""),0.0)</f>
        <v>0</v>
      </c>
      <c r="AG141" s="98"/>
      <c r="AH141" s="98"/>
      <c r="AI141" s="98"/>
      <c r="AJ141" s="98"/>
      <c r="AK141" s="98"/>
      <c r="AL141" s="364">
        <f>IFERROR(__xludf.DUMMYFUNCTION("""COMPUTED_VALUE"""),0.0)</f>
        <v>0</v>
      </c>
      <c r="AM141" s="364">
        <f>IFERROR(__xludf.DUMMYFUNCTION("""COMPUTED_VALUE"""),0.0)</f>
        <v>0</v>
      </c>
    </row>
    <row r="142">
      <c r="A142" s="98">
        <f>IFERROR(__xludf.DUMMYFUNCTION("""COMPUTED_VALUE"""),139.0)</f>
        <v>139</v>
      </c>
      <c r="B142" s="98" t="str">
        <f>IFERROR(__xludf.DUMMYFUNCTION("""COMPUTED_VALUE"""),"TNI0091")</f>
        <v>TNI0091</v>
      </c>
      <c r="C142" s="98" t="str">
        <f>IFERROR(__xludf.DUMMYFUNCTION("""COMPUTED_VALUE"""),"B")</f>
        <v>B</v>
      </c>
      <c r="D142" s="98" t="str">
        <f>IFERROR(__xludf.DUMMYFUNCTION("""COMPUTED_VALUE"""),"Mytel")</f>
        <v>Mytel</v>
      </c>
      <c r="E142" s="98" t="str">
        <f>IFERROR(__xludf.DUMMYFUNCTION("""COMPUTED_VALUE"""),"T2")</f>
        <v>T2</v>
      </c>
      <c r="F142" s="98" t="str">
        <f>IFERROR(__xludf.DUMMYFUNCTION("""COMPUTED_VALUE"""),"Palaw")</f>
        <v>Palaw</v>
      </c>
      <c r="G142" s="98" t="str">
        <f>IFERROR(__xludf.DUMMYFUNCTION("""COMPUTED_VALUE"""),"-")</f>
        <v>-</v>
      </c>
      <c r="H142" s="98"/>
      <c r="I142" s="98">
        <f>IFERROR(__xludf.DUMMYFUNCTION("""COMPUTED_VALUE"""),0.0)</f>
        <v>0</v>
      </c>
      <c r="J142" s="98"/>
      <c r="K142" s="362">
        <f>IFERROR(__xludf.DUMMYFUNCTION("""COMPUTED_VALUE"""),120.0)</f>
        <v>120</v>
      </c>
      <c r="L142" s="98" t="str">
        <f>IFERROR(__xludf.DUMMYFUNCTION("""COMPUTED_VALUE"""),"6:00PM-6:00AM")</f>
        <v>6:00PM-6:00AM</v>
      </c>
      <c r="M142" s="98" t="str">
        <f>IFERROR(__xludf.DUMMYFUNCTION("""COMPUTED_VALUE"""),"1DG+Grid+BB")</f>
        <v>1DG+Grid+BB</v>
      </c>
      <c r="N142" s="98" t="str">
        <f>IFERROR(__xludf.DUMMYFUNCTION("""COMPUTED_VALUE"""),"ok")</f>
        <v>ok</v>
      </c>
      <c r="O142" s="363"/>
      <c r="P142" s="98"/>
      <c r="Q142" s="98"/>
      <c r="R142" s="100"/>
      <c r="S142" s="363"/>
      <c r="T142" s="100"/>
      <c r="U142" s="98"/>
      <c r="V142" s="100"/>
      <c r="W142" s="98"/>
      <c r="X142" s="363"/>
      <c r="Y142" s="100"/>
      <c r="Z142" s="363"/>
      <c r="AA142" s="98"/>
      <c r="AB142" s="363"/>
      <c r="AC142" s="100"/>
      <c r="AD142" s="363"/>
      <c r="AE142" s="100"/>
      <c r="AF142" s="364">
        <f>IFERROR(__xludf.DUMMYFUNCTION("""COMPUTED_VALUE"""),0.0)</f>
        <v>0</v>
      </c>
      <c r="AG142" s="98" t="str">
        <f>IFERROR(__xludf.DUMMYFUNCTION("""COMPUTED_VALUE"""),"Checking with TCO team")</f>
        <v>Checking with TCO team</v>
      </c>
      <c r="AH142" s="98"/>
      <c r="AI142" s="98"/>
      <c r="AJ142" s="98"/>
      <c r="AK142" s="98"/>
      <c r="AL142" s="364">
        <f>IFERROR(__xludf.DUMMYFUNCTION("""COMPUTED_VALUE"""),0.0)</f>
        <v>0</v>
      </c>
      <c r="AM142" s="364">
        <f>IFERROR(__xludf.DUMMYFUNCTION("""COMPUTED_VALUE"""),0.0)</f>
        <v>0</v>
      </c>
    </row>
    <row r="143">
      <c r="A143" s="98">
        <f>IFERROR(__xludf.DUMMYFUNCTION("""COMPUTED_VALUE"""),140.0)</f>
        <v>140</v>
      </c>
      <c r="B143" s="98" t="str">
        <f>IFERROR(__xludf.DUMMYFUNCTION("""COMPUTED_VALUE"""),"TNI0520")</f>
        <v>TNI0520</v>
      </c>
      <c r="C143" s="98" t="str">
        <f>IFERROR(__xludf.DUMMYFUNCTION("""COMPUTED_VALUE"""),"C")</f>
        <v>C</v>
      </c>
      <c r="D143" s="98" t="str">
        <f>IFERROR(__xludf.DUMMYFUNCTION("""COMPUTED_VALUE"""),"EFT")</f>
        <v>EFT</v>
      </c>
      <c r="E143" s="98" t="str">
        <f>IFERROR(__xludf.DUMMYFUNCTION("""COMPUTED_VALUE"""),"T2")</f>
        <v>T2</v>
      </c>
      <c r="F143" s="98" t="str">
        <f>IFERROR(__xludf.DUMMYFUNCTION("""COMPUTED_VALUE"""),"Kyunsu")</f>
        <v>Kyunsu</v>
      </c>
      <c r="G143" s="98" t="str">
        <f>IFERROR(__xludf.DUMMYFUNCTION("""COMPUTED_VALUE"""),"Maung Maung")</f>
        <v>Maung Maung</v>
      </c>
      <c r="H143" s="98"/>
      <c r="I143" s="98"/>
      <c r="J143" s="98"/>
      <c r="K143" s="362">
        <f>IFERROR(__xludf.DUMMYFUNCTION("""COMPUTED_VALUE"""),300.0)</f>
        <v>300</v>
      </c>
      <c r="L143" s="98" t="str">
        <f>IFERROR(__xludf.DUMMYFUNCTION("""COMPUTED_VALUE"""),"24*7")</f>
        <v>24*7</v>
      </c>
      <c r="M143" s="98" t="str">
        <f>IFERROR(__xludf.DUMMYFUNCTION("""COMPUTED_VALUE"""),"1DG+BB")</f>
        <v>1DG+BB</v>
      </c>
      <c r="N143" s="98" t="str">
        <f>IFERROR(__xludf.DUMMYFUNCTION("""COMPUTED_VALUE"""),"ok")</f>
        <v>ok</v>
      </c>
      <c r="O143" s="363"/>
      <c r="P143" s="98"/>
      <c r="Q143" s="98"/>
      <c r="R143" s="100"/>
      <c r="S143" s="363"/>
      <c r="T143" s="100"/>
      <c r="U143" s="98"/>
      <c r="V143" s="100"/>
      <c r="W143" s="98"/>
      <c r="X143" s="363"/>
      <c r="Y143" s="100"/>
      <c r="Z143" s="363"/>
      <c r="AA143" s="98"/>
      <c r="AB143" s="363"/>
      <c r="AC143" s="100"/>
      <c r="AD143" s="363"/>
      <c r="AE143" s="100"/>
      <c r="AF143" s="364">
        <f>IFERROR(__xludf.DUMMYFUNCTION("""COMPUTED_VALUE"""),1943.0)</f>
        <v>1943</v>
      </c>
      <c r="AG143" s="98" t="str">
        <f>IFERROR(__xludf.DUMMYFUNCTION("""COMPUTED_VALUE"""),"Checking with team")</f>
        <v>Checking with team</v>
      </c>
      <c r="AH143" s="98"/>
      <c r="AI143" s="98"/>
      <c r="AJ143" s="98"/>
      <c r="AK143" s="98"/>
      <c r="AL143" s="364">
        <f>IFERROR(__xludf.DUMMYFUNCTION("""COMPUTED_VALUE"""),0.0)</f>
        <v>0</v>
      </c>
      <c r="AM143" s="364">
        <f>IFERROR(__xludf.DUMMYFUNCTION("""COMPUTED_VALUE"""),0.0)</f>
        <v>0</v>
      </c>
    </row>
    <row r="144">
      <c r="A144" s="98">
        <f>IFERROR(__xludf.DUMMYFUNCTION("""COMPUTED_VALUE"""),141.0)</f>
        <v>141</v>
      </c>
      <c r="B144" s="98" t="str">
        <f>IFERROR(__xludf.DUMMYFUNCTION("""COMPUTED_VALUE"""),"TNI0003")</f>
        <v>TNI0003</v>
      </c>
      <c r="C144" s="98" t="str">
        <f>IFERROR(__xludf.DUMMYFUNCTION("""COMPUTED_VALUE"""),"A")</f>
        <v>A</v>
      </c>
      <c r="D144" s="98" t="str">
        <f>IFERROR(__xludf.DUMMYFUNCTION("""COMPUTED_VALUE"""),"Mytel")</f>
        <v>Mytel</v>
      </c>
      <c r="E144" s="98" t="str">
        <f>IFERROR(__xludf.DUMMYFUNCTION("""COMPUTED_VALUE"""),"T2")</f>
        <v>T2</v>
      </c>
      <c r="F144" s="98" t="str">
        <f>IFERROR(__xludf.DUMMYFUNCTION("""COMPUTED_VALUE"""),"Myeik")</f>
        <v>Myeik</v>
      </c>
      <c r="G144" s="98" t="str">
        <f>IFERROR(__xludf.DUMMYFUNCTION("""COMPUTED_VALUE"""),"Wanna Oo")</f>
        <v>Wanna Oo</v>
      </c>
      <c r="H144" s="98" t="str">
        <f>IFERROR(__xludf.DUMMYFUNCTION("""COMPUTED_VALUE"""),"Khin Zaw: 09422217129")</f>
        <v>Khin Zaw: 09422217129</v>
      </c>
      <c r="I144" s="98"/>
      <c r="J144" s="98" t="str">
        <f>IFERROR(__xludf.DUMMYFUNCTION("""COMPUTED_VALUE"""),"OLT")</f>
        <v>OLT</v>
      </c>
      <c r="K144" s="362">
        <f>IFERROR(__xludf.DUMMYFUNCTION("""COMPUTED_VALUE"""),60.0)</f>
        <v>60</v>
      </c>
      <c r="L144" s="98" t="str">
        <f>IFERROR(__xludf.DUMMYFUNCTION("""COMPUTED_VALUE"""),"10:00PM-4:00AM")</f>
        <v>10:00PM-4:00AM</v>
      </c>
      <c r="M144" s="98" t="str">
        <f>IFERROR(__xludf.DUMMYFUNCTION("""COMPUTED_VALUE"""),"1DG+Solar+Grid+BB")</f>
        <v>1DG+Solar+Grid+BB</v>
      </c>
      <c r="N144" s="98" t="str">
        <f>IFERROR(__xludf.DUMMYFUNCTION("""COMPUTED_VALUE"""),"0")</f>
        <v>0</v>
      </c>
      <c r="O144" s="363"/>
      <c r="P144" s="98"/>
      <c r="Q144" s="98" t="str">
        <f>IFERROR(__xludf.DUMMYFUNCTION("""COMPUTED_VALUE""")," +Door Alarm: 01/06/2026 13:19")</f>
        <v> +Door Alarm: 01/06/2026 13:19</v>
      </c>
      <c r="R144" s="100">
        <f>IFERROR(__xludf.DUMMYFUNCTION("""COMPUTED_VALUE"""),748.01)</f>
        <v>748.01</v>
      </c>
      <c r="S144" s="363"/>
      <c r="T144" s="100"/>
      <c r="U144" s="98" t="str">
        <f>IFERROR(__xludf.DUMMYFUNCTION("""COMPUTED_VALUE"""),"1253.8")</f>
        <v>1253.8</v>
      </c>
      <c r="V144" s="100"/>
      <c r="W144" s="98"/>
      <c r="X144" s="363"/>
      <c r="Y144" s="100"/>
      <c r="Z144" s="363"/>
      <c r="AA144" s="98"/>
      <c r="AB144" s="363"/>
      <c r="AC144" s="100"/>
      <c r="AD144" s="363"/>
      <c r="AE144" s="100"/>
      <c r="AF144" s="364">
        <f>IFERROR(__xludf.DUMMYFUNCTION("""COMPUTED_VALUE"""),1206.0)</f>
        <v>1206</v>
      </c>
      <c r="AG144" s="98" t="str">
        <f>IFERROR(__xludf.DUMMYFUNCTION("""COMPUTED_VALUE"""),"checking with TCO team")</f>
        <v>checking with TCO team</v>
      </c>
      <c r="AH144" s="98"/>
      <c r="AI144" s="98"/>
      <c r="AJ144" s="98"/>
      <c r="AK144" s="98"/>
      <c r="AL144" s="364">
        <f>IFERROR(__xludf.DUMMYFUNCTION("""COMPUTED_VALUE"""),0.0)</f>
        <v>0</v>
      </c>
      <c r="AM144" s="364">
        <f>IFERROR(__xludf.DUMMYFUNCTION("""COMPUTED_VALUE"""),0.0)</f>
        <v>0</v>
      </c>
    </row>
    <row r="145">
      <c r="A145" s="98">
        <f>IFERROR(__xludf.DUMMYFUNCTION("""COMPUTED_VALUE"""),142.0)</f>
        <v>142</v>
      </c>
      <c r="B145" s="98" t="str">
        <f>IFERROR(__xludf.DUMMYFUNCTION("""COMPUTED_VALUE"""),"TNI0047")</f>
        <v>TNI0047</v>
      </c>
      <c r="C145" s="98" t="str">
        <f>IFERROR(__xludf.DUMMYFUNCTION("""COMPUTED_VALUE"""),"C")</f>
        <v>C</v>
      </c>
      <c r="D145" s="98" t="str">
        <f>IFERROR(__xludf.DUMMYFUNCTION("""COMPUTED_VALUE"""),"Mytel")</f>
        <v>Mytel</v>
      </c>
      <c r="E145" s="98" t="str">
        <f>IFERROR(__xludf.DUMMYFUNCTION("""COMPUTED_VALUE"""),"T2")</f>
        <v>T2</v>
      </c>
      <c r="F145" s="98" t="str">
        <f>IFERROR(__xludf.DUMMYFUNCTION("""COMPUTED_VALUE"""),"Myeik")</f>
        <v>Myeik</v>
      </c>
      <c r="G145" s="98" t="str">
        <f>IFERROR(__xludf.DUMMYFUNCTION("""COMPUTED_VALUE"""),"Maung Maung")</f>
        <v>Maung Maung</v>
      </c>
      <c r="H145" s="98"/>
      <c r="I145" s="98"/>
      <c r="J145" s="98"/>
      <c r="K145" s="362">
        <f>IFERROR(__xludf.DUMMYFUNCTION("""COMPUTED_VALUE"""),40.0)</f>
        <v>40</v>
      </c>
      <c r="L145" s="98" t="str">
        <f>IFERROR(__xludf.DUMMYFUNCTION("""COMPUTED_VALUE"""),"10:00PM-4:00AM")</f>
        <v>10:00PM-4:00AM</v>
      </c>
      <c r="M145" s="98" t="str">
        <f>IFERROR(__xludf.DUMMYFUNCTION("""COMPUTED_VALUE"""),"1DG+Solar+Grid+BB")</f>
        <v>1DG+Solar+Grid+BB</v>
      </c>
      <c r="N145" s="98" t="str">
        <f>IFERROR(__xludf.DUMMYFUNCTION("""COMPUTED_VALUE"""),"337")</f>
        <v>337</v>
      </c>
      <c r="O145" s="363"/>
      <c r="P145" s="98"/>
      <c r="Q145" s="98"/>
      <c r="R145" s="100"/>
      <c r="S145" s="363"/>
      <c r="T145" s="100"/>
      <c r="U145" s="98"/>
      <c r="V145" s="100"/>
      <c r="W145" s="98"/>
      <c r="X145" s="363">
        <f>IFERROR(__xludf.DUMMYFUNCTION("""COMPUTED_VALUE"""),46145.33017361111)</f>
        <v>46145.33017</v>
      </c>
      <c r="Y145" s="100">
        <f>IFERROR(__xludf.DUMMYFUNCTION("""COMPUTED_VALUE"""),1450.7051513889455)</f>
        <v>1450.705151</v>
      </c>
      <c r="Z145" s="363"/>
      <c r="AA145" s="98"/>
      <c r="AB145" s="363"/>
      <c r="AC145" s="100"/>
      <c r="AD145" s="363"/>
      <c r="AE145" s="100"/>
      <c r="AF145" s="364">
        <f>IFERROR(__xludf.DUMMYFUNCTION("""COMPUTED_VALUE"""),2483.0)</f>
        <v>2483</v>
      </c>
      <c r="AG145" s="98" t="str">
        <f>IFERROR(__xludf.DUMMYFUNCTION("""COMPUTED_VALUE"""),"CT ETA 8 AM")</f>
        <v>CT ETA 8 AM</v>
      </c>
      <c r="AH145" s="98"/>
      <c r="AI145" s="98"/>
      <c r="AJ145" s="98"/>
      <c r="AK145" s="98"/>
      <c r="AL145" s="364">
        <f>IFERROR(__xludf.DUMMYFUNCTION("""COMPUTED_VALUE"""),0.0)</f>
        <v>0</v>
      </c>
      <c r="AM145" s="364">
        <f>IFERROR(__xludf.DUMMYFUNCTION("""COMPUTED_VALUE"""),0.0)</f>
        <v>0</v>
      </c>
    </row>
    <row r="146">
      <c r="A146" s="98">
        <f>IFERROR(__xludf.DUMMYFUNCTION("""COMPUTED_VALUE"""),143.0)</f>
        <v>143</v>
      </c>
      <c r="B146" s="98" t="str">
        <f>IFERROR(__xludf.DUMMYFUNCTION("""COMPUTED_VALUE"""),"TNI0258")</f>
        <v>TNI0258</v>
      </c>
      <c r="C146" s="98" t="str">
        <f>IFERROR(__xludf.DUMMYFUNCTION("""COMPUTED_VALUE"""),"B")</f>
        <v>B</v>
      </c>
      <c r="D146" s="98" t="str">
        <f>IFERROR(__xludf.DUMMYFUNCTION("""COMPUTED_VALUE"""),"Mytel")</f>
        <v>Mytel</v>
      </c>
      <c r="E146" s="98" t="str">
        <f>IFERROR(__xludf.DUMMYFUNCTION("""COMPUTED_VALUE"""),"T2")</f>
        <v>T2</v>
      </c>
      <c r="F146" s="98" t="str">
        <f>IFERROR(__xludf.DUMMYFUNCTION("""COMPUTED_VALUE"""),"Myeik")</f>
        <v>Myeik</v>
      </c>
      <c r="G146" s="98" t="str">
        <f>IFERROR(__xludf.DUMMYFUNCTION("""COMPUTED_VALUE"""),"Maung Maung")</f>
        <v>Maung Maung</v>
      </c>
      <c r="H146" s="98"/>
      <c r="I146" s="98">
        <f>IFERROR(__xludf.DUMMYFUNCTION("""COMPUTED_VALUE"""),0.0)</f>
        <v>0</v>
      </c>
      <c r="J146" s="98" t="str">
        <f>IFERROR(__xludf.DUMMYFUNCTION("""COMPUTED_VALUE"""),"OLT")</f>
        <v>OLT</v>
      </c>
      <c r="K146" s="362">
        <f>IFERROR(__xludf.DUMMYFUNCTION("""COMPUTED_VALUE"""),30.0)</f>
        <v>30</v>
      </c>
      <c r="L146" s="98" t="str">
        <f>IFERROR(__xludf.DUMMYFUNCTION("""COMPUTED_VALUE"""),"24*7")</f>
        <v>24*7</v>
      </c>
      <c r="M146" s="98" t="str">
        <f>IFERROR(__xludf.DUMMYFUNCTION("""COMPUTED_VALUE"""),"1DG+Grid+BB")</f>
        <v>1DG+Grid+BB</v>
      </c>
      <c r="N146" s="98" t="str">
        <f>IFERROR(__xludf.DUMMYFUNCTION("""COMPUTED_VALUE"""),"ok")</f>
        <v>ok</v>
      </c>
      <c r="O146" s="363"/>
      <c r="P146" s="98"/>
      <c r="Q146" s="98" t="str">
        <f>IFERROR(__xludf.DUMMYFUNCTION("""COMPUTED_VALUE""")," +Door Alarm: 06/09/2025 14:07 +Battery Door: 16/05/2025 07:00")</f>
        <v> +Door Alarm: 06/09/2025 14:07 +Battery Door: 16/05/2025 07:00</v>
      </c>
      <c r="R146" s="100">
        <f>IFERROR(__xludf.DUMMYFUNCTION("""COMPUTED_VALUE"""),7179.21)</f>
        <v>7179.21</v>
      </c>
      <c r="S146" s="363"/>
      <c r="T146" s="100"/>
      <c r="U146" s="98"/>
      <c r="V146" s="100"/>
      <c r="W146" s="98"/>
      <c r="X146" s="363"/>
      <c r="Y146" s="100"/>
      <c r="Z146" s="363"/>
      <c r="AA146" s="98"/>
      <c r="AB146" s="363"/>
      <c r="AC146" s="100"/>
      <c r="AD146" s="363"/>
      <c r="AE146" s="100"/>
      <c r="AF146" s="364">
        <f>IFERROR(__xludf.DUMMYFUNCTION("""COMPUTED_VALUE"""),3793.0)</f>
        <v>3793</v>
      </c>
      <c r="AG146" s="98" t="str">
        <f>IFERROR(__xludf.DUMMYFUNCTION("""COMPUTED_VALUE"""),"RRU lacking ")</f>
        <v>RRU lacking </v>
      </c>
      <c r="AH146" s="98"/>
      <c r="AI146" s="98"/>
      <c r="AJ146" s="98"/>
      <c r="AK146" s="98"/>
      <c r="AL146" s="364">
        <f>IFERROR(__xludf.DUMMYFUNCTION("""COMPUTED_VALUE"""),0.0)</f>
        <v>0</v>
      </c>
      <c r="AM146" s="364">
        <f>IFERROR(__xludf.DUMMYFUNCTION("""COMPUTED_VALUE"""),0.0)</f>
        <v>0</v>
      </c>
    </row>
    <row r="147">
      <c r="A147" s="98">
        <f>IFERROR(__xludf.DUMMYFUNCTION("""COMPUTED_VALUE"""),144.0)</f>
        <v>144</v>
      </c>
      <c r="B147" s="98" t="str">
        <f>IFERROR(__xludf.DUMMYFUNCTION("""COMPUTED_VALUE"""),"TNI0026")</f>
        <v>TNI0026</v>
      </c>
      <c r="C147" s="98" t="str">
        <f>IFERROR(__xludf.DUMMYFUNCTION("""COMPUTED_VALUE"""),"B")</f>
        <v>B</v>
      </c>
      <c r="D147" s="98" t="str">
        <f>IFERROR(__xludf.DUMMYFUNCTION("""COMPUTED_VALUE"""),"Edotco")</f>
        <v>Edotco</v>
      </c>
      <c r="E147" s="98" t="str">
        <f>IFERROR(__xludf.DUMMYFUNCTION("""COMPUTED_VALUE"""),"T2")</f>
        <v>T2</v>
      </c>
      <c r="F147" s="98" t="str">
        <f>IFERROR(__xludf.DUMMYFUNCTION("""COMPUTED_VALUE"""),"Kyunsu")</f>
        <v>Kyunsu</v>
      </c>
      <c r="G147" s="98" t="str">
        <f>IFERROR(__xludf.DUMMYFUNCTION("""COMPUTED_VALUE"""),"Maung Maung")</f>
        <v>Maung Maung</v>
      </c>
      <c r="H147" s="98"/>
      <c r="I147" s="98"/>
      <c r="J147" s="98"/>
      <c r="K147" s="362">
        <f>IFERROR(__xludf.DUMMYFUNCTION("""COMPUTED_VALUE"""),120.0)</f>
        <v>120</v>
      </c>
      <c r="L147" s="98" t="str">
        <f>IFERROR(__xludf.DUMMYFUNCTION("""COMPUTED_VALUE"""),"7:00PM-6:00AM")</f>
        <v>7:00PM-6:00AM</v>
      </c>
      <c r="M147" s="98" t="str">
        <f>IFERROR(__xludf.DUMMYFUNCTION("""COMPUTED_VALUE"""),"Grid+BB")</f>
        <v>Grid+BB</v>
      </c>
      <c r="N147" s="98" t="str">
        <f>IFERROR(__xludf.DUMMYFUNCTION("""COMPUTED_VALUE"""),"ok")</f>
        <v>ok</v>
      </c>
      <c r="O147" s="363"/>
      <c r="P147" s="98"/>
      <c r="Q147" s="98"/>
      <c r="R147" s="100"/>
      <c r="S147" s="363"/>
      <c r="T147" s="100"/>
      <c r="U147" s="98"/>
      <c r="V147" s="100"/>
      <c r="W147" s="98"/>
      <c r="X147" s="363"/>
      <c r="Y147" s="100"/>
      <c r="Z147" s="363"/>
      <c r="AA147" s="98"/>
      <c r="AB147" s="363"/>
      <c r="AC147" s="100"/>
      <c r="AD147" s="363"/>
      <c r="AE147" s="100"/>
      <c r="AF147" s="364">
        <f>IFERROR(__xludf.DUMMYFUNCTION("""COMPUTED_VALUE"""),2618.0)</f>
        <v>2618</v>
      </c>
      <c r="AG147" s="98" t="str">
        <f>IFERROR(__xludf.DUMMYFUNCTION("""COMPUTED_VALUE"""),"checking with TCO team")</f>
        <v>checking with TCO team</v>
      </c>
      <c r="AH147" s="98"/>
      <c r="AI147" s="98"/>
      <c r="AJ147" s="98"/>
      <c r="AK147" s="98"/>
      <c r="AL147" s="364">
        <f>IFERROR(__xludf.DUMMYFUNCTION("""COMPUTED_VALUE"""),0.0)</f>
        <v>0</v>
      </c>
      <c r="AM147" s="364">
        <f>IFERROR(__xludf.DUMMYFUNCTION("""COMPUTED_VALUE"""),0.0)</f>
        <v>0</v>
      </c>
    </row>
    <row r="148">
      <c r="A148" s="98">
        <f>IFERROR(__xludf.DUMMYFUNCTION("""COMPUTED_VALUE"""),145.0)</f>
        <v>145</v>
      </c>
      <c r="B148" s="98" t="str">
        <f>IFERROR(__xludf.DUMMYFUNCTION("""COMPUTED_VALUE"""),"TNI0025")</f>
        <v>TNI0025</v>
      </c>
      <c r="C148" s="98" t="str">
        <f>IFERROR(__xludf.DUMMYFUNCTION("""COMPUTED_VALUE"""),"B")</f>
        <v>B</v>
      </c>
      <c r="D148" s="98" t="str">
        <f>IFERROR(__xludf.DUMMYFUNCTION("""COMPUTED_VALUE"""),"Edotco")</f>
        <v>Edotco</v>
      </c>
      <c r="E148" s="98" t="str">
        <f>IFERROR(__xludf.DUMMYFUNCTION("""COMPUTED_VALUE"""),"T2")</f>
        <v>T2</v>
      </c>
      <c r="F148" s="98" t="str">
        <f>IFERROR(__xludf.DUMMYFUNCTION("""COMPUTED_VALUE"""),"Myeik")</f>
        <v>Myeik</v>
      </c>
      <c r="G148" s="98" t="str">
        <f>IFERROR(__xludf.DUMMYFUNCTION("""COMPUTED_VALUE"""),"Maung Maung")</f>
        <v>Maung Maung</v>
      </c>
      <c r="H148" s="98"/>
      <c r="I148" s="98">
        <f>IFERROR(__xludf.DUMMYFUNCTION("""COMPUTED_VALUE"""),0.0)</f>
        <v>0</v>
      </c>
      <c r="J148" s="98" t="str">
        <f>IFERROR(__xludf.DUMMYFUNCTION("""COMPUTED_VALUE"""),"OLT")</f>
        <v>OLT</v>
      </c>
      <c r="K148" s="362">
        <f>IFERROR(__xludf.DUMMYFUNCTION("""COMPUTED_VALUE"""),40.0)</f>
        <v>40</v>
      </c>
      <c r="L148" s="98" t="str">
        <f>IFERROR(__xludf.DUMMYFUNCTION("""COMPUTED_VALUE"""),"10:00PM-4:00AM")</f>
        <v>10:00PM-4:00AM</v>
      </c>
      <c r="M148" s="98" t="str">
        <f>IFERROR(__xludf.DUMMYFUNCTION("""COMPUTED_VALUE"""),"1DG+Grid+BB")</f>
        <v>1DG+Grid+BB</v>
      </c>
      <c r="N148" s="98" t="str">
        <f>IFERROR(__xludf.DUMMYFUNCTION("""COMPUTED_VALUE"""),"ok")</f>
        <v>ok</v>
      </c>
      <c r="O148" s="363"/>
      <c r="P148" s="98"/>
      <c r="Q148" s="98"/>
      <c r="R148" s="100"/>
      <c r="S148" s="363"/>
      <c r="T148" s="100"/>
      <c r="U148" s="98"/>
      <c r="V148" s="100"/>
      <c r="W148" s="98"/>
      <c r="X148" s="363"/>
      <c r="Y148" s="100"/>
      <c r="Z148" s="363"/>
      <c r="AA148" s="98"/>
      <c r="AB148" s="363"/>
      <c r="AC148" s="100"/>
      <c r="AD148" s="363"/>
      <c r="AE148" s="100"/>
      <c r="AF148" s="364">
        <f>IFERROR(__xludf.DUMMYFUNCTION("""COMPUTED_VALUE"""),3696.0)</f>
        <v>3696</v>
      </c>
      <c r="AG148" s="98"/>
      <c r="AH148" s="98"/>
      <c r="AI148" s="98"/>
      <c r="AJ148" s="98"/>
      <c r="AK148" s="98"/>
      <c r="AL148" s="364">
        <f>IFERROR(__xludf.DUMMYFUNCTION("""COMPUTED_VALUE"""),0.0)</f>
        <v>0</v>
      </c>
      <c r="AM148" s="364">
        <f>IFERROR(__xludf.DUMMYFUNCTION("""COMPUTED_VALUE"""),0.0)</f>
        <v>0</v>
      </c>
    </row>
    <row r="149">
      <c r="A149" s="98">
        <f>IFERROR(__xludf.DUMMYFUNCTION("""COMPUTED_VALUE"""),146.0)</f>
        <v>146</v>
      </c>
      <c r="B149" s="98" t="str">
        <f>IFERROR(__xludf.DUMMYFUNCTION("""COMPUTED_VALUE"""),"TNI0261")</f>
        <v>TNI0261</v>
      </c>
      <c r="C149" s="98" t="str">
        <f>IFERROR(__xludf.DUMMYFUNCTION("""COMPUTED_VALUE"""),"B")</f>
        <v>B</v>
      </c>
      <c r="D149" s="98" t="str">
        <f>IFERROR(__xludf.DUMMYFUNCTION("""COMPUTED_VALUE"""),"Mytel")</f>
        <v>Mytel</v>
      </c>
      <c r="E149" s="98" t="str">
        <f>IFERROR(__xludf.DUMMYFUNCTION("""COMPUTED_VALUE"""),"T2")</f>
        <v>T2</v>
      </c>
      <c r="F149" s="98" t="str">
        <f>IFERROR(__xludf.DUMMYFUNCTION("""COMPUTED_VALUE"""),"Myeik")</f>
        <v>Myeik</v>
      </c>
      <c r="G149" s="98" t="str">
        <f>IFERROR(__xludf.DUMMYFUNCTION("""COMPUTED_VALUE"""),"Maung Maung")</f>
        <v>Maung Maung</v>
      </c>
      <c r="H149" s="98"/>
      <c r="I149" s="98">
        <f>IFERROR(__xludf.DUMMYFUNCTION("""COMPUTED_VALUE"""),0.0)</f>
        <v>0</v>
      </c>
      <c r="J149" s="98" t="str">
        <f>IFERROR(__xludf.DUMMYFUNCTION("""COMPUTED_VALUE"""),"OLT")</f>
        <v>OLT</v>
      </c>
      <c r="K149" s="362">
        <f>IFERROR(__xludf.DUMMYFUNCTION("""COMPUTED_VALUE"""),30.0)</f>
        <v>30</v>
      </c>
      <c r="L149" s="98" t="str">
        <f>IFERROR(__xludf.DUMMYFUNCTION("""COMPUTED_VALUE"""),"24*7")</f>
        <v>24*7</v>
      </c>
      <c r="M149" s="98" t="str">
        <f>IFERROR(__xludf.DUMMYFUNCTION("""COMPUTED_VALUE"""),"1DG+Grid+BB")</f>
        <v>1DG+Grid+BB</v>
      </c>
      <c r="N149" s="98" t="str">
        <f>IFERROR(__xludf.DUMMYFUNCTION("""COMPUTED_VALUE"""),"ok")</f>
        <v>ok</v>
      </c>
      <c r="O149" s="363"/>
      <c r="P149" s="98"/>
      <c r="Q149" s="98" t="str">
        <f>IFERROR(__xludf.DUMMYFUNCTION("""COMPUTED_VALUE""")," +Battery Door: 19/05/2026 15:00")</f>
        <v> +Battery Door: 19/05/2026 15:00</v>
      </c>
      <c r="R149" s="100">
        <f>IFERROR(__xludf.DUMMYFUNCTION("""COMPUTED_VALUE"""),1058.32)</f>
        <v>1058.32</v>
      </c>
      <c r="S149" s="363"/>
      <c r="T149" s="100"/>
      <c r="U149" s="98"/>
      <c r="V149" s="100" t="str">
        <f>IFERROR(__xludf.DUMMYFUNCTION("""COMPUTED_VALUE"""),"5712.81")</f>
        <v>5712.81</v>
      </c>
      <c r="W149" s="98"/>
      <c r="X149" s="363"/>
      <c r="Y149" s="100"/>
      <c r="Z149" s="363"/>
      <c r="AA149" s="98"/>
      <c r="AB149" s="363"/>
      <c r="AC149" s="100"/>
      <c r="AD149" s="363"/>
      <c r="AE149" s="100"/>
      <c r="AF149" s="364">
        <f>IFERROR(__xludf.DUMMYFUNCTION("""COMPUTED_VALUE"""),1984.0)</f>
        <v>1984</v>
      </c>
      <c r="AG149" s="98"/>
      <c r="AH149" s="98"/>
      <c r="AI149" s="98"/>
      <c r="AJ149" s="98"/>
      <c r="AK149" s="98"/>
      <c r="AL149" s="364">
        <f>IFERROR(__xludf.DUMMYFUNCTION("""COMPUTED_VALUE"""),0.0)</f>
        <v>0</v>
      </c>
      <c r="AM149" s="364">
        <f>IFERROR(__xludf.DUMMYFUNCTION("""COMPUTED_VALUE"""),0.0)</f>
        <v>0</v>
      </c>
    </row>
    <row r="150">
      <c r="A150" s="98">
        <f>IFERROR(__xludf.DUMMYFUNCTION("""COMPUTED_VALUE"""),147.0)</f>
        <v>147</v>
      </c>
      <c r="B150" s="98" t="str">
        <f>IFERROR(__xludf.DUMMYFUNCTION("""COMPUTED_VALUE"""),"TNI0280")</f>
        <v>TNI0280</v>
      </c>
      <c r="C150" s="98" t="str">
        <f>IFERROR(__xludf.DUMMYFUNCTION("""COMPUTED_VALUE"""),"C")</f>
        <v>C</v>
      </c>
      <c r="D150" s="98" t="str">
        <f>IFERROR(__xludf.DUMMYFUNCTION("""COMPUTED_VALUE"""),"Apollo")</f>
        <v>Apollo</v>
      </c>
      <c r="E150" s="98" t="str">
        <f>IFERROR(__xludf.DUMMYFUNCTION("""COMPUTED_VALUE"""),"T2")</f>
        <v>T2</v>
      </c>
      <c r="F150" s="98" t="str">
        <f>IFERROR(__xludf.DUMMYFUNCTION("""COMPUTED_VALUE"""),"Myeik")</f>
        <v>Myeik</v>
      </c>
      <c r="G150" s="98" t="str">
        <f>IFERROR(__xludf.DUMMYFUNCTION("""COMPUTED_VALUE"""),"Maung Maung")</f>
        <v>Maung Maung</v>
      </c>
      <c r="H150" s="98"/>
      <c r="I150" s="98">
        <f>IFERROR(__xludf.DUMMYFUNCTION("""COMPUTED_VALUE"""),0.0)</f>
        <v>0</v>
      </c>
      <c r="J150" s="98"/>
      <c r="K150" s="362">
        <f>IFERROR(__xludf.DUMMYFUNCTION("""COMPUTED_VALUE"""),60.0)</f>
        <v>60</v>
      </c>
      <c r="L150" s="98" t="str">
        <f>IFERROR(__xludf.DUMMYFUNCTION("""COMPUTED_VALUE"""),"24*7")</f>
        <v>24*7</v>
      </c>
      <c r="M150" s="98" t="str">
        <f>IFERROR(__xludf.DUMMYFUNCTION("""COMPUTED_VALUE"""),"Grid+BB")</f>
        <v>Grid+BB</v>
      </c>
      <c r="N150" s="98" t="str">
        <f>IFERROR(__xludf.DUMMYFUNCTION("""COMPUTED_VALUE"""),"ok")</f>
        <v>ok</v>
      </c>
      <c r="O150" s="363"/>
      <c r="P150" s="98"/>
      <c r="Q150" s="98"/>
      <c r="R150" s="100"/>
      <c r="S150" s="363"/>
      <c r="T150" s="100"/>
      <c r="U150" s="98"/>
      <c r="V150" s="100"/>
      <c r="W150" s="98"/>
      <c r="X150" s="363"/>
      <c r="Y150" s="100"/>
      <c r="Z150" s="363"/>
      <c r="AA150" s="98"/>
      <c r="AB150" s="363"/>
      <c r="AC150" s="100"/>
      <c r="AD150" s="363"/>
      <c r="AE150" s="100"/>
      <c r="AF150" s="364">
        <f>IFERROR(__xludf.DUMMYFUNCTION("""COMPUTED_VALUE"""),530.0)</f>
        <v>530</v>
      </c>
      <c r="AG150" s="98"/>
      <c r="AH150" s="98"/>
      <c r="AI150" s="98"/>
      <c r="AJ150" s="98"/>
      <c r="AK150" s="98"/>
      <c r="AL150" s="364">
        <f>IFERROR(__xludf.DUMMYFUNCTION("""COMPUTED_VALUE"""),0.0)</f>
        <v>0</v>
      </c>
      <c r="AM150" s="364">
        <f>IFERROR(__xludf.DUMMYFUNCTION("""COMPUTED_VALUE"""),0.0)</f>
        <v>0</v>
      </c>
    </row>
    <row r="151">
      <c r="A151" s="98">
        <f>IFERROR(__xludf.DUMMYFUNCTION("""COMPUTED_VALUE"""),148.0)</f>
        <v>148</v>
      </c>
      <c r="B151" s="98" t="str">
        <f>IFERROR(__xludf.DUMMYFUNCTION("""COMPUTED_VALUE"""),"TNI0270")</f>
        <v>TNI0270</v>
      </c>
      <c r="C151" s="98" t="str">
        <f>IFERROR(__xludf.DUMMYFUNCTION("""COMPUTED_VALUE"""),"B")</f>
        <v>B</v>
      </c>
      <c r="D151" s="98" t="str">
        <f>IFERROR(__xludf.DUMMYFUNCTION("""COMPUTED_VALUE"""),"Mytel")</f>
        <v>Mytel</v>
      </c>
      <c r="E151" s="98" t="str">
        <f>IFERROR(__xludf.DUMMYFUNCTION("""COMPUTED_VALUE"""),"T2")</f>
        <v>T2</v>
      </c>
      <c r="F151" s="98" t="str">
        <f>IFERROR(__xludf.DUMMYFUNCTION("""COMPUTED_VALUE"""),"Myeik")</f>
        <v>Myeik</v>
      </c>
      <c r="G151" s="98" t="str">
        <f>IFERROR(__xludf.DUMMYFUNCTION("""COMPUTED_VALUE"""),"Maung Maung")</f>
        <v>Maung Maung</v>
      </c>
      <c r="H151" s="98"/>
      <c r="I151" s="98">
        <f>IFERROR(__xludf.DUMMYFUNCTION("""COMPUTED_VALUE"""),0.0)</f>
        <v>0</v>
      </c>
      <c r="J151" s="98" t="str">
        <f>IFERROR(__xludf.DUMMYFUNCTION("""COMPUTED_VALUE"""),"OLT")</f>
        <v>OLT</v>
      </c>
      <c r="K151" s="362">
        <f>IFERROR(__xludf.DUMMYFUNCTION("""COMPUTED_VALUE"""),30.0)</f>
        <v>30</v>
      </c>
      <c r="L151" s="98" t="str">
        <f>IFERROR(__xludf.DUMMYFUNCTION("""COMPUTED_VALUE"""),"24*7")</f>
        <v>24*7</v>
      </c>
      <c r="M151" s="98" t="str">
        <f>IFERROR(__xludf.DUMMYFUNCTION("""COMPUTED_VALUE"""),"Grid+Solar+BB")</f>
        <v>Grid+Solar+BB</v>
      </c>
      <c r="N151" s="98" t="str">
        <f>IFERROR(__xludf.DUMMYFUNCTION("""COMPUTED_VALUE"""),"ok")</f>
        <v>ok</v>
      </c>
      <c r="O151" s="363"/>
      <c r="P151" s="98"/>
      <c r="Q151" s="98"/>
      <c r="R151" s="100"/>
      <c r="S151" s="363"/>
      <c r="T151" s="100"/>
      <c r="U151" s="98"/>
      <c r="V151" s="100"/>
      <c r="W151" s="98"/>
      <c r="X151" s="363"/>
      <c r="Y151" s="100"/>
      <c r="Z151" s="363"/>
      <c r="AA151" s="98"/>
      <c r="AB151" s="363"/>
      <c r="AC151" s="100"/>
      <c r="AD151" s="363"/>
      <c r="AE151" s="100"/>
      <c r="AF151" s="364">
        <f>IFERROR(__xludf.DUMMYFUNCTION("""COMPUTED_VALUE"""),1484.0)</f>
        <v>1484</v>
      </c>
      <c r="AG151" s="98" t="str">
        <f>IFERROR(__xludf.DUMMYFUNCTION("""COMPUTED_VALUE"""),"Hub site TNI0107 down")</f>
        <v>Hub site TNI0107 down</v>
      </c>
      <c r="AH151" s="98"/>
      <c r="AI151" s="98"/>
      <c r="AJ151" s="98"/>
      <c r="AK151" s="98"/>
      <c r="AL151" s="364">
        <f>IFERROR(__xludf.DUMMYFUNCTION("""COMPUTED_VALUE"""),0.0)</f>
        <v>0</v>
      </c>
      <c r="AM151" s="364">
        <f>IFERROR(__xludf.DUMMYFUNCTION("""COMPUTED_VALUE"""),0.0)</f>
        <v>0</v>
      </c>
    </row>
    <row r="152">
      <c r="A152" s="98">
        <f>IFERROR(__xludf.DUMMYFUNCTION("""COMPUTED_VALUE"""),149.0)</f>
        <v>149</v>
      </c>
      <c r="B152" s="98" t="str">
        <f>IFERROR(__xludf.DUMMYFUNCTION("""COMPUTED_VALUE"""),"TNI0232")</f>
        <v>TNI0232</v>
      </c>
      <c r="C152" s="98" t="str">
        <f>IFERROR(__xludf.DUMMYFUNCTION("""COMPUTED_VALUE"""),"C")</f>
        <v>C</v>
      </c>
      <c r="D152" s="98" t="str">
        <f>IFERROR(__xludf.DUMMYFUNCTION("""COMPUTED_VALUE"""),"OCK")</f>
        <v>OCK</v>
      </c>
      <c r="E152" s="98" t="str">
        <f>IFERROR(__xludf.DUMMYFUNCTION("""COMPUTED_VALUE"""),"T2")</f>
        <v>T2</v>
      </c>
      <c r="F152" s="98" t="str">
        <f>IFERROR(__xludf.DUMMYFUNCTION("""COMPUTED_VALUE"""),"Myeik")</f>
        <v>Myeik</v>
      </c>
      <c r="G152" s="98" t="str">
        <f>IFERROR(__xludf.DUMMYFUNCTION("""COMPUTED_VALUE"""),"Maung Maung")</f>
        <v>Maung Maung</v>
      </c>
      <c r="H152" s="98"/>
      <c r="I152" s="98">
        <f>IFERROR(__xludf.DUMMYFUNCTION("""COMPUTED_VALUE"""),0.0)</f>
        <v>0</v>
      </c>
      <c r="J152" s="98"/>
      <c r="K152" s="362">
        <f>IFERROR(__xludf.DUMMYFUNCTION("""COMPUTED_VALUE"""),60.0)</f>
        <v>60</v>
      </c>
      <c r="L152" s="98" t="str">
        <f>IFERROR(__xludf.DUMMYFUNCTION("""COMPUTED_VALUE"""),"8:00PM-5:00AM")</f>
        <v>8:00PM-5:00AM</v>
      </c>
      <c r="M152" s="98" t="str">
        <f>IFERROR(__xludf.DUMMYFUNCTION("""COMPUTED_VALUE"""),"Grid+BB")</f>
        <v>Grid+BB</v>
      </c>
      <c r="N152" s="98" t="str">
        <f>IFERROR(__xludf.DUMMYFUNCTION("""COMPUTED_VALUE"""),"ok")</f>
        <v>ok</v>
      </c>
      <c r="O152" s="363"/>
      <c r="P152" s="98"/>
      <c r="Q152" s="98"/>
      <c r="R152" s="100"/>
      <c r="S152" s="363"/>
      <c r="T152" s="100"/>
      <c r="U152" s="98"/>
      <c r="V152" s="100"/>
      <c r="W152" s="98"/>
      <c r="X152" s="363"/>
      <c r="Y152" s="100"/>
      <c r="Z152" s="363"/>
      <c r="AA152" s="98"/>
      <c r="AB152" s="363"/>
      <c r="AC152" s="100"/>
      <c r="AD152" s="363"/>
      <c r="AE152" s="100"/>
      <c r="AF152" s="364">
        <f>IFERROR(__xludf.DUMMYFUNCTION("""COMPUTED_VALUE"""),2385.0)</f>
        <v>2385</v>
      </c>
      <c r="AG152" s="98" t="str">
        <f>IFERROR(__xludf.DUMMYFUNCTION("""COMPUTED_VALUE"""),"EPC cable burn issue")</f>
        <v>EPC cable burn issue</v>
      </c>
      <c r="AH152" s="98"/>
      <c r="AI152" s="98"/>
      <c r="AJ152" s="98"/>
      <c r="AK152" s="98"/>
      <c r="AL152" s="364">
        <f>IFERROR(__xludf.DUMMYFUNCTION("""COMPUTED_VALUE"""),0.0)</f>
        <v>0</v>
      </c>
      <c r="AM152" s="364">
        <f>IFERROR(__xludf.DUMMYFUNCTION("""COMPUTED_VALUE"""),0.0)</f>
        <v>0</v>
      </c>
    </row>
    <row r="153">
      <c r="A153" s="98">
        <f>IFERROR(__xludf.DUMMYFUNCTION("""COMPUTED_VALUE"""),150.0)</f>
        <v>150</v>
      </c>
      <c r="B153" s="98" t="str">
        <f>IFERROR(__xludf.DUMMYFUNCTION("""COMPUTED_VALUE"""),"TNI0324")</f>
        <v>TNI0324</v>
      </c>
      <c r="C153" s="98" t="str">
        <f>IFERROR(__xludf.DUMMYFUNCTION("""COMPUTED_VALUE"""),"C")</f>
        <v>C</v>
      </c>
      <c r="D153" s="98" t="str">
        <f>IFERROR(__xludf.DUMMYFUNCTION("""COMPUTED_VALUE"""),"Apollo")</f>
        <v>Apollo</v>
      </c>
      <c r="E153" s="98" t="str">
        <f>IFERROR(__xludf.DUMMYFUNCTION("""COMPUTED_VALUE"""),"T2")</f>
        <v>T2</v>
      </c>
      <c r="F153" s="98" t="str">
        <f>IFERROR(__xludf.DUMMYFUNCTION("""COMPUTED_VALUE"""),"Myeik")</f>
        <v>Myeik</v>
      </c>
      <c r="G153" s="98" t="str">
        <f>IFERROR(__xludf.DUMMYFUNCTION("""COMPUTED_VALUE"""),"Maung Maung")</f>
        <v>Maung Maung</v>
      </c>
      <c r="H153" s="98"/>
      <c r="I153" s="98">
        <f>IFERROR(__xludf.DUMMYFUNCTION("""COMPUTED_VALUE"""),0.0)</f>
        <v>0</v>
      </c>
      <c r="J153" s="98"/>
      <c r="K153" s="362">
        <f>IFERROR(__xludf.DUMMYFUNCTION("""COMPUTED_VALUE"""),180.0)</f>
        <v>180</v>
      </c>
      <c r="L153" s="98" t="str">
        <f>IFERROR(__xludf.DUMMYFUNCTION("""COMPUTED_VALUE"""),"24*7")</f>
        <v>24*7</v>
      </c>
      <c r="M153" s="98" t="str">
        <f>IFERROR(__xludf.DUMMYFUNCTION("""COMPUTED_VALUE"""),"Grid+BB")</f>
        <v>Grid+BB</v>
      </c>
      <c r="N153" s="98" t="str">
        <f>IFERROR(__xludf.DUMMYFUNCTION("""COMPUTED_VALUE"""),"ok")</f>
        <v>ok</v>
      </c>
      <c r="O153" s="363"/>
      <c r="P153" s="98"/>
      <c r="Q153" s="98"/>
      <c r="R153" s="100"/>
      <c r="S153" s="363"/>
      <c r="T153" s="100"/>
      <c r="U153" s="98"/>
      <c r="V153" s="100"/>
      <c r="W153" s="98"/>
      <c r="X153" s="363"/>
      <c r="Y153" s="100"/>
      <c r="Z153" s="363"/>
      <c r="AA153" s="98"/>
      <c r="AB153" s="363"/>
      <c r="AC153" s="100"/>
      <c r="AD153" s="363"/>
      <c r="AE153" s="100"/>
      <c r="AF153" s="364">
        <f>IFERROR(__xludf.DUMMYFUNCTION("""COMPUTED_VALUE"""),1821.0)</f>
        <v>1821</v>
      </c>
      <c r="AG153" s="98" t="str">
        <f>IFERROR(__xludf.DUMMYFUNCTION("""COMPUTED_VALUE"""),"TCO team ETA 12:30 PM")</f>
        <v>TCO team ETA 12:30 PM</v>
      </c>
      <c r="AH153" s="98"/>
      <c r="AI153" s="98"/>
      <c r="AJ153" s="98"/>
      <c r="AK153" s="98"/>
      <c r="AL153" s="364">
        <f>IFERROR(__xludf.DUMMYFUNCTION("""COMPUTED_VALUE"""),0.0)</f>
        <v>0</v>
      </c>
      <c r="AM153" s="364">
        <f>IFERROR(__xludf.DUMMYFUNCTION("""COMPUTED_VALUE"""),0.0)</f>
        <v>0</v>
      </c>
    </row>
    <row r="154">
      <c r="A154" s="98">
        <f>IFERROR(__xludf.DUMMYFUNCTION("""COMPUTED_VALUE"""),151.0)</f>
        <v>151</v>
      </c>
      <c r="B154" s="98" t="str">
        <f>IFERROR(__xludf.DUMMYFUNCTION("""COMPUTED_VALUE"""),"TNI0398")</f>
        <v>TNI0398</v>
      </c>
      <c r="C154" s="98" t="str">
        <f>IFERROR(__xludf.DUMMYFUNCTION("""COMPUTED_VALUE"""),"C")</f>
        <v>C</v>
      </c>
      <c r="D154" s="98" t="str">
        <f>IFERROR(__xludf.DUMMYFUNCTION("""COMPUTED_VALUE"""),"NTD")</f>
        <v>NTD</v>
      </c>
      <c r="E154" s="98" t="str">
        <f>IFERROR(__xludf.DUMMYFUNCTION("""COMPUTED_VALUE"""),"T2")</f>
        <v>T2</v>
      </c>
      <c r="F154" s="98" t="str">
        <f>IFERROR(__xludf.DUMMYFUNCTION("""COMPUTED_VALUE"""),"Kyunsu")</f>
        <v>Kyunsu</v>
      </c>
      <c r="G154" s="98" t="str">
        <f>IFERROR(__xludf.DUMMYFUNCTION("""COMPUTED_VALUE"""),"Maung Maung")</f>
        <v>Maung Maung</v>
      </c>
      <c r="H154" s="98" t="str">
        <f>IFERROR(__xludf.DUMMYFUNCTION("""COMPUTED_VALUE"""),"U Kyaw Min: 09680163294")</f>
        <v>U Kyaw Min: 09680163294</v>
      </c>
      <c r="I154" s="98"/>
      <c r="J154" s="98"/>
      <c r="K154" s="362">
        <f>IFERROR(__xludf.DUMMYFUNCTION("""COMPUTED_VALUE"""),180.0)</f>
        <v>180</v>
      </c>
      <c r="L154" s="98" t="str">
        <f>IFERROR(__xludf.DUMMYFUNCTION("""COMPUTED_VALUE"""),"8:00 PM - 5:00 AM")</f>
        <v>8:00 PM - 5:00 AM</v>
      </c>
      <c r="M154" s="98" t="str">
        <f>IFERROR(__xludf.DUMMYFUNCTION("""COMPUTED_VALUE"""),"Grid+BB")</f>
        <v>Grid+BB</v>
      </c>
      <c r="N154" s="98" t="str">
        <f>IFERROR(__xludf.DUMMYFUNCTION("""COMPUTED_VALUE"""),"ok")</f>
        <v>ok</v>
      </c>
      <c r="O154" s="363"/>
      <c r="P154" s="98"/>
      <c r="Q154" s="98" t="str">
        <f>IFERROR(__xludf.DUMMYFUNCTION("""COMPUTED_VALUE""")," Door open alarm: 09/11/2025 22:13")</f>
        <v> Door open alarm: 09/11/2025 22:13</v>
      </c>
      <c r="R154" s="100">
        <f>IFERROR(__xludf.DUMMYFUNCTION("""COMPUTED_VALUE"""),5635.11)</f>
        <v>5635.11</v>
      </c>
      <c r="S154" s="363"/>
      <c r="T154" s="100"/>
      <c r="U154" s="98"/>
      <c r="V154" s="100"/>
      <c r="W154" s="98"/>
      <c r="X154" s="363"/>
      <c r="Y154" s="100"/>
      <c r="Z154" s="363"/>
      <c r="AA154" s="98"/>
      <c r="AB154" s="363"/>
      <c r="AC154" s="100"/>
      <c r="AD154" s="363"/>
      <c r="AE154" s="100"/>
      <c r="AF154" s="364">
        <f>IFERROR(__xludf.DUMMYFUNCTION("""COMPUTED_VALUE"""),604.0)</f>
        <v>604</v>
      </c>
      <c r="AG154" s="98" t="str">
        <f>IFERROR(__xludf.DUMMYFUNCTION("""COMPUTED_VALUE"""),"Hub site TNI0399 down")</f>
        <v>Hub site TNI0399 down</v>
      </c>
      <c r="AH154" s="98"/>
      <c r="AI154" s="98"/>
      <c r="AJ154" s="98"/>
      <c r="AK154" s="98"/>
      <c r="AL154" s="364">
        <f>IFERROR(__xludf.DUMMYFUNCTION("""COMPUTED_VALUE"""),0.0)</f>
        <v>0</v>
      </c>
      <c r="AM154" s="364">
        <f>IFERROR(__xludf.DUMMYFUNCTION("""COMPUTED_VALUE"""),0.0)</f>
        <v>0</v>
      </c>
    </row>
    <row r="155">
      <c r="A155" s="98">
        <f>IFERROR(__xludf.DUMMYFUNCTION("""COMPUTED_VALUE"""),152.0)</f>
        <v>152</v>
      </c>
      <c r="B155" s="98" t="str">
        <f>IFERROR(__xludf.DUMMYFUNCTION("""COMPUTED_VALUE"""),"TNI0269")</f>
        <v>TNI0269</v>
      </c>
      <c r="C155" s="98" t="str">
        <f>IFERROR(__xludf.DUMMYFUNCTION("""COMPUTED_VALUE"""),"C")</f>
        <v>C</v>
      </c>
      <c r="D155" s="98" t="str">
        <f>IFERROR(__xludf.DUMMYFUNCTION("""COMPUTED_VALUE"""),"OCK")</f>
        <v>OCK</v>
      </c>
      <c r="E155" s="98" t="str">
        <f>IFERROR(__xludf.DUMMYFUNCTION("""COMPUTED_VALUE"""),"T2")</f>
        <v>T2</v>
      </c>
      <c r="F155" s="98" t="str">
        <f>IFERROR(__xludf.DUMMYFUNCTION("""COMPUTED_VALUE"""),"Myeik")</f>
        <v>Myeik</v>
      </c>
      <c r="G155" s="98" t="str">
        <f>IFERROR(__xludf.DUMMYFUNCTION("""COMPUTED_VALUE"""),"Maung Maung")</f>
        <v>Maung Maung</v>
      </c>
      <c r="H155" s="98"/>
      <c r="I155" s="98">
        <f>IFERROR(__xludf.DUMMYFUNCTION("""COMPUTED_VALUE"""),0.0)</f>
        <v>0</v>
      </c>
      <c r="J155" s="98"/>
      <c r="K155" s="362">
        <f>IFERROR(__xludf.DUMMYFUNCTION("""COMPUTED_VALUE"""),30.0)</f>
        <v>30</v>
      </c>
      <c r="L155" s="98" t="str">
        <f>IFERROR(__xludf.DUMMYFUNCTION("""COMPUTED_VALUE"""),"24*7")</f>
        <v>24*7</v>
      </c>
      <c r="M155" s="98" t="str">
        <f>IFERROR(__xludf.DUMMYFUNCTION("""COMPUTED_VALUE"""),"Grid+BB")</f>
        <v>Grid+BB</v>
      </c>
      <c r="N155" s="98" t="str">
        <f>IFERROR(__xludf.DUMMYFUNCTION("""COMPUTED_VALUE"""),"ok")</f>
        <v>ok</v>
      </c>
      <c r="O155" s="363"/>
      <c r="P155" s="98"/>
      <c r="Q155" s="98"/>
      <c r="R155" s="100"/>
      <c r="S155" s="363"/>
      <c r="T155" s="100"/>
      <c r="U155" s="98"/>
      <c r="V155" s="100"/>
      <c r="W155" s="98"/>
      <c r="X155" s="363"/>
      <c r="Y155" s="100"/>
      <c r="Z155" s="363"/>
      <c r="AA155" s="98"/>
      <c r="AB155" s="363"/>
      <c r="AC155" s="100"/>
      <c r="AD155" s="363"/>
      <c r="AE155" s="100"/>
      <c r="AF155" s="364">
        <f>IFERROR(__xludf.DUMMYFUNCTION("""COMPUTED_VALUE"""),1193.0)</f>
        <v>1193</v>
      </c>
      <c r="AG155" s="98"/>
      <c r="AH155" s="98"/>
      <c r="AI155" s="98"/>
      <c r="AJ155" s="98"/>
      <c r="AK155" s="98"/>
      <c r="AL155" s="364">
        <f>IFERROR(__xludf.DUMMYFUNCTION("""COMPUTED_VALUE"""),0.0)</f>
        <v>0</v>
      </c>
      <c r="AM155" s="364">
        <f>IFERROR(__xludf.DUMMYFUNCTION("""COMPUTED_VALUE"""),0.0)</f>
        <v>0</v>
      </c>
    </row>
    <row r="156">
      <c r="A156" s="98">
        <f>IFERROR(__xludf.DUMMYFUNCTION("""COMPUTED_VALUE"""),153.0)</f>
        <v>153</v>
      </c>
      <c r="B156" s="98" t="str">
        <f>IFERROR(__xludf.DUMMYFUNCTION("""COMPUTED_VALUE"""),"TNI0167")</f>
        <v>TNI0167</v>
      </c>
      <c r="C156" s="98" t="str">
        <f>IFERROR(__xludf.DUMMYFUNCTION("""COMPUTED_VALUE"""),"C")</f>
        <v>C</v>
      </c>
      <c r="D156" s="98" t="str">
        <f>IFERROR(__xludf.DUMMYFUNCTION("""COMPUTED_VALUE"""),"IGT")</f>
        <v>IGT</v>
      </c>
      <c r="E156" s="98" t="str">
        <f>IFERROR(__xludf.DUMMYFUNCTION("""COMPUTED_VALUE"""),"T2")</f>
        <v>T2</v>
      </c>
      <c r="F156" s="98" t="str">
        <f>IFERROR(__xludf.DUMMYFUNCTION("""COMPUTED_VALUE"""),"Myeik")</f>
        <v>Myeik</v>
      </c>
      <c r="G156" s="98" t="str">
        <f>IFERROR(__xludf.DUMMYFUNCTION("""COMPUTED_VALUE"""),"Maung Maung")</f>
        <v>Maung Maung</v>
      </c>
      <c r="H156" s="98"/>
      <c r="I156" s="98">
        <f>IFERROR(__xludf.DUMMYFUNCTION("""COMPUTED_VALUE"""),0.0)</f>
        <v>0</v>
      </c>
      <c r="J156" s="98"/>
      <c r="K156" s="362">
        <f>IFERROR(__xludf.DUMMYFUNCTION("""COMPUTED_VALUE"""),60.0)</f>
        <v>60</v>
      </c>
      <c r="L156" s="98" t="str">
        <f>IFERROR(__xludf.DUMMYFUNCTION("""COMPUTED_VALUE"""),"24*7")</f>
        <v>24*7</v>
      </c>
      <c r="M156" s="98" t="str">
        <f>IFERROR(__xludf.DUMMYFUNCTION("""COMPUTED_VALUE"""),"1DG+Grid+BB")</f>
        <v>1DG+Grid+BB</v>
      </c>
      <c r="N156" s="98" t="str">
        <f>IFERROR(__xludf.DUMMYFUNCTION("""COMPUTED_VALUE"""),"ok")</f>
        <v>ok</v>
      </c>
      <c r="O156" s="363"/>
      <c r="P156" s="98"/>
      <c r="Q156" s="98"/>
      <c r="R156" s="100"/>
      <c r="S156" s="363"/>
      <c r="T156" s="100"/>
      <c r="U156" s="98"/>
      <c r="V156" s="100"/>
      <c r="W156" s="98"/>
      <c r="X156" s="363"/>
      <c r="Y156" s="100"/>
      <c r="Z156" s="363"/>
      <c r="AA156" s="98"/>
      <c r="AB156" s="363"/>
      <c r="AC156" s="100"/>
      <c r="AD156" s="363"/>
      <c r="AE156" s="100"/>
      <c r="AF156" s="364">
        <f>IFERROR(__xludf.DUMMYFUNCTION("""COMPUTED_VALUE"""),2624.0)</f>
        <v>2624</v>
      </c>
      <c r="AG156" s="98" t="str">
        <f>IFERROR(__xludf.DUMMYFUNCTION("""COMPUTED_VALUE"""),"Checking with TCO team")</f>
        <v>Checking with TCO team</v>
      </c>
      <c r="AH156" s="98"/>
      <c r="AI156" s="98"/>
      <c r="AJ156" s="98"/>
      <c r="AK156" s="98"/>
      <c r="AL156" s="364">
        <f>IFERROR(__xludf.DUMMYFUNCTION("""COMPUTED_VALUE"""),0.0)</f>
        <v>0</v>
      </c>
      <c r="AM156" s="364">
        <f>IFERROR(__xludf.DUMMYFUNCTION("""COMPUTED_VALUE"""),0.0)</f>
        <v>0</v>
      </c>
    </row>
    <row r="157">
      <c r="A157" s="98">
        <f>IFERROR(__xludf.DUMMYFUNCTION("""COMPUTED_VALUE"""),154.0)</f>
        <v>154</v>
      </c>
      <c r="B157" s="98" t="str">
        <f>IFERROR(__xludf.DUMMYFUNCTION("""COMPUTED_VALUE"""),"TNI0137")</f>
        <v>TNI0137</v>
      </c>
      <c r="C157" s="98" t="str">
        <f>IFERROR(__xludf.DUMMYFUNCTION("""COMPUTED_VALUE"""),"B")</f>
        <v>B</v>
      </c>
      <c r="D157" s="98" t="str">
        <f>IFERROR(__xludf.DUMMYFUNCTION("""COMPUTED_VALUE"""),"Mytel")</f>
        <v>Mytel</v>
      </c>
      <c r="E157" s="98" t="str">
        <f>IFERROR(__xludf.DUMMYFUNCTION("""COMPUTED_VALUE"""),"T2")</f>
        <v>T2</v>
      </c>
      <c r="F157" s="98" t="str">
        <f>IFERROR(__xludf.DUMMYFUNCTION("""COMPUTED_VALUE"""),"Kyunsu")</f>
        <v>Kyunsu</v>
      </c>
      <c r="G157" s="98" t="str">
        <f>IFERROR(__xludf.DUMMYFUNCTION("""COMPUTED_VALUE"""),"Maung Maung")</f>
        <v>Maung Maung</v>
      </c>
      <c r="H157" s="98" t="str">
        <f>IFERROR(__xludf.DUMMYFUNCTION("""COMPUTED_VALUE"""),"Khant That Oo: 09454389923")</f>
        <v>Khant That Oo: 09454389923</v>
      </c>
      <c r="I157" s="98"/>
      <c r="J157" s="98"/>
      <c r="K157" s="362">
        <f>IFERROR(__xludf.DUMMYFUNCTION("""COMPUTED_VALUE"""),120.0)</f>
        <v>120</v>
      </c>
      <c r="L157" s="98" t="str">
        <f>IFERROR(__xludf.DUMMYFUNCTION("""COMPUTED_VALUE"""),"24*7")</f>
        <v>24*7</v>
      </c>
      <c r="M157" s="98" t="str">
        <f>IFERROR(__xludf.DUMMYFUNCTION("""COMPUTED_VALUE"""),"1DG+Solar+Grid+BB")</f>
        <v>1DG+Solar+Grid+BB</v>
      </c>
      <c r="N157" s="98" t="str">
        <f>IFERROR(__xludf.DUMMYFUNCTION("""COMPUTED_VALUE"""),"193")</f>
        <v>193</v>
      </c>
      <c r="O157" s="363"/>
      <c r="P157" s="98"/>
      <c r="Q157" s="98"/>
      <c r="R157" s="100"/>
      <c r="S157" s="363"/>
      <c r="T157" s="100"/>
      <c r="U157" s="98"/>
      <c r="V157" s="100"/>
      <c r="W157" s="98"/>
      <c r="X157" s="363"/>
      <c r="Y157" s="100"/>
      <c r="Z157" s="363"/>
      <c r="AA157" s="98"/>
      <c r="AB157" s="363"/>
      <c r="AC157" s="100"/>
      <c r="AD157" s="363"/>
      <c r="AE157" s="100"/>
      <c r="AF157" s="364">
        <f>IFERROR(__xludf.DUMMYFUNCTION("""COMPUTED_VALUE"""),1539.0)</f>
        <v>1539</v>
      </c>
      <c r="AG157" s="98"/>
      <c r="AH157" s="98"/>
      <c r="AI157" s="98"/>
      <c r="AJ157" s="98"/>
      <c r="AK157" s="98"/>
      <c r="AL157" s="364">
        <f>IFERROR(__xludf.DUMMYFUNCTION("""COMPUTED_VALUE"""),0.0)</f>
        <v>0</v>
      </c>
      <c r="AM157" s="364">
        <f>IFERROR(__xludf.DUMMYFUNCTION("""COMPUTED_VALUE"""),0.0)</f>
        <v>0</v>
      </c>
    </row>
    <row r="158">
      <c r="A158" s="98">
        <f>IFERROR(__xludf.DUMMYFUNCTION("""COMPUTED_VALUE"""),155.0)</f>
        <v>155</v>
      </c>
      <c r="B158" s="98" t="str">
        <f>IFERROR(__xludf.DUMMYFUNCTION("""COMPUTED_VALUE"""),"TNI0399")</f>
        <v>TNI0399</v>
      </c>
      <c r="C158" s="98" t="str">
        <f>IFERROR(__xludf.DUMMYFUNCTION("""COMPUTED_VALUE"""),"C")</f>
        <v>C</v>
      </c>
      <c r="D158" s="98" t="str">
        <f>IFERROR(__xludf.DUMMYFUNCTION("""COMPUTED_VALUE"""),"NTD")</f>
        <v>NTD</v>
      </c>
      <c r="E158" s="98" t="str">
        <f>IFERROR(__xludf.DUMMYFUNCTION("""COMPUTED_VALUE"""),"T2")</f>
        <v>T2</v>
      </c>
      <c r="F158" s="98" t="str">
        <f>IFERROR(__xludf.DUMMYFUNCTION("""COMPUTED_VALUE"""),"Kyunsu")</f>
        <v>Kyunsu</v>
      </c>
      <c r="G158" s="98" t="str">
        <f>IFERROR(__xludf.DUMMYFUNCTION("""COMPUTED_VALUE"""),"Maung Maung")</f>
        <v>Maung Maung</v>
      </c>
      <c r="H158" s="98" t="str">
        <f>IFERROR(__xludf.DUMMYFUNCTION("""COMPUTED_VALUE"""),"Kyaw Min Khaung: 09680864044")</f>
        <v>Kyaw Min Khaung: 09680864044</v>
      </c>
      <c r="I158" s="98"/>
      <c r="J158" s="98"/>
      <c r="K158" s="362">
        <f>IFERROR(__xludf.DUMMYFUNCTION("""COMPUTED_VALUE"""),180.0)</f>
        <v>180</v>
      </c>
      <c r="L158" s="98" t="str">
        <f>IFERROR(__xludf.DUMMYFUNCTION("""COMPUTED_VALUE"""),"24*7")</f>
        <v>24*7</v>
      </c>
      <c r="M158" s="98" t="str">
        <f>IFERROR(__xludf.DUMMYFUNCTION("""COMPUTED_VALUE"""),"Grid+BB")</f>
        <v>Grid+BB</v>
      </c>
      <c r="N158" s="98" t="str">
        <f>IFERROR(__xludf.DUMMYFUNCTION("""COMPUTED_VALUE"""),"ok")</f>
        <v>ok</v>
      </c>
      <c r="O158" s="363"/>
      <c r="P158" s="98"/>
      <c r="Q158" s="98"/>
      <c r="R158" s="100"/>
      <c r="S158" s="363"/>
      <c r="T158" s="100"/>
      <c r="U158" s="98"/>
      <c r="V158" s="100"/>
      <c r="W158" s="98"/>
      <c r="X158" s="363"/>
      <c r="Y158" s="100"/>
      <c r="Z158" s="363"/>
      <c r="AA158" s="98"/>
      <c r="AB158" s="363"/>
      <c r="AC158" s="100"/>
      <c r="AD158" s="363"/>
      <c r="AE158" s="100"/>
      <c r="AF158" s="364">
        <f>IFERROR(__xludf.DUMMYFUNCTION("""COMPUTED_VALUE"""),927.0)</f>
        <v>927</v>
      </c>
      <c r="AG158" s="98" t="str">
        <f>IFERROR(__xludf.DUMMYFUNCTION("""COMPUTED_VALUE"""),"CT ETA 11:45 AM")</f>
        <v>CT ETA 11:45 AM</v>
      </c>
      <c r="AH158" s="98"/>
      <c r="AI158" s="98"/>
      <c r="AJ158" s="98"/>
      <c r="AK158" s="98"/>
      <c r="AL158" s="364">
        <f>IFERROR(__xludf.DUMMYFUNCTION("""COMPUTED_VALUE"""),0.0)</f>
        <v>0</v>
      </c>
      <c r="AM158" s="364">
        <f>IFERROR(__xludf.DUMMYFUNCTION("""COMPUTED_VALUE"""),0.0)</f>
        <v>0</v>
      </c>
    </row>
    <row r="159">
      <c r="A159" s="98">
        <f>IFERROR(__xludf.DUMMYFUNCTION("""COMPUTED_VALUE"""),156.0)</f>
        <v>156</v>
      </c>
      <c r="B159" s="98" t="str">
        <f>IFERROR(__xludf.DUMMYFUNCTION("""COMPUTED_VALUE"""),"TNI0077")</f>
        <v>TNI0077</v>
      </c>
      <c r="C159" s="98" t="str">
        <f>IFERROR(__xludf.DUMMYFUNCTION("""COMPUTED_VALUE"""),"B")</f>
        <v>B</v>
      </c>
      <c r="D159" s="98" t="str">
        <f>IFERROR(__xludf.DUMMYFUNCTION("""COMPUTED_VALUE"""),"IGT")</f>
        <v>IGT</v>
      </c>
      <c r="E159" s="98" t="str">
        <f>IFERROR(__xludf.DUMMYFUNCTION("""COMPUTED_VALUE"""),"T2")</f>
        <v>T2</v>
      </c>
      <c r="F159" s="98" t="str">
        <f>IFERROR(__xludf.DUMMYFUNCTION("""COMPUTED_VALUE"""),"Myeik")</f>
        <v>Myeik</v>
      </c>
      <c r="G159" s="98" t="str">
        <f>IFERROR(__xludf.DUMMYFUNCTION("""COMPUTED_VALUE"""),"Maung Maung")</f>
        <v>Maung Maung</v>
      </c>
      <c r="H159" s="98"/>
      <c r="I159" s="98">
        <f>IFERROR(__xludf.DUMMYFUNCTION("""COMPUTED_VALUE"""),0.0)</f>
        <v>0</v>
      </c>
      <c r="J159" s="98" t="str">
        <f>IFERROR(__xludf.DUMMYFUNCTION("""COMPUTED_VALUE"""),"OLT")</f>
        <v>OLT</v>
      </c>
      <c r="K159" s="362">
        <f>IFERROR(__xludf.DUMMYFUNCTION("""COMPUTED_VALUE"""),40.0)</f>
        <v>40</v>
      </c>
      <c r="L159" s="98" t="str">
        <f>IFERROR(__xludf.DUMMYFUNCTION("""COMPUTED_VALUE"""),"10:00PM-4:00AM")</f>
        <v>10:00PM-4:00AM</v>
      </c>
      <c r="M159" s="98" t="str">
        <f>IFERROR(__xludf.DUMMYFUNCTION("""COMPUTED_VALUE"""),"1DG+Grid+BB")</f>
        <v>1DG+Grid+BB</v>
      </c>
      <c r="N159" s="98" t="str">
        <f>IFERROR(__xludf.DUMMYFUNCTION("""COMPUTED_VALUE"""),"ok")</f>
        <v>ok</v>
      </c>
      <c r="O159" s="363"/>
      <c r="P159" s="98"/>
      <c r="Q159" s="98"/>
      <c r="R159" s="100"/>
      <c r="S159" s="363"/>
      <c r="T159" s="100"/>
      <c r="U159" s="98"/>
      <c r="V159" s="100"/>
      <c r="W159" s="98"/>
      <c r="X159" s="363"/>
      <c r="Y159" s="100"/>
      <c r="Z159" s="363"/>
      <c r="AA159" s="98"/>
      <c r="AB159" s="363"/>
      <c r="AC159" s="100"/>
      <c r="AD159" s="363"/>
      <c r="AE159" s="100"/>
      <c r="AF159" s="364">
        <f>IFERROR(__xludf.DUMMYFUNCTION("""COMPUTED_VALUE"""),3752.0)</f>
        <v>3752</v>
      </c>
      <c r="AG159" s="98" t="str">
        <f>IFERROR(__xludf.DUMMYFUNCTION("""COMPUTED_VALUE"""),"Checking with TCO team ")</f>
        <v>Checking with TCO team </v>
      </c>
      <c r="AH159" s="98"/>
      <c r="AI159" s="98"/>
      <c r="AJ159" s="98"/>
      <c r="AK159" s="98"/>
      <c r="AL159" s="364">
        <f>IFERROR(__xludf.DUMMYFUNCTION("""COMPUTED_VALUE"""),0.0)</f>
        <v>0</v>
      </c>
      <c r="AM159" s="364">
        <f>IFERROR(__xludf.DUMMYFUNCTION("""COMPUTED_VALUE"""),0.0)</f>
        <v>0</v>
      </c>
    </row>
    <row r="160">
      <c r="A160" s="98">
        <f>IFERROR(__xludf.DUMMYFUNCTION("""COMPUTED_VALUE"""),157.0)</f>
        <v>157</v>
      </c>
      <c r="B160" s="98" t="str">
        <f>IFERROR(__xludf.DUMMYFUNCTION("""COMPUTED_VALUE"""),"TNI0308")</f>
        <v>TNI0308</v>
      </c>
      <c r="C160" s="98" t="str">
        <f>IFERROR(__xludf.DUMMYFUNCTION("""COMPUTED_VALUE"""),"C")</f>
        <v>C</v>
      </c>
      <c r="D160" s="98" t="str">
        <f>IFERROR(__xludf.DUMMYFUNCTION("""COMPUTED_VALUE"""),"OCK")</f>
        <v>OCK</v>
      </c>
      <c r="E160" s="98" t="str">
        <f>IFERROR(__xludf.DUMMYFUNCTION("""COMPUTED_VALUE"""),"T2")</f>
        <v>T2</v>
      </c>
      <c r="F160" s="98" t="str">
        <f>IFERROR(__xludf.DUMMYFUNCTION("""COMPUTED_VALUE"""),"Myeik")</f>
        <v>Myeik</v>
      </c>
      <c r="G160" s="98" t="str">
        <f>IFERROR(__xludf.DUMMYFUNCTION("""COMPUTED_VALUE"""),"Zin Min Shein")</f>
        <v>Zin Min Shein</v>
      </c>
      <c r="H160" s="98"/>
      <c r="I160" s="98"/>
      <c r="J160" s="98"/>
      <c r="K160" s="362">
        <f>IFERROR(__xludf.DUMMYFUNCTION("""COMPUTED_VALUE"""),180.0)</f>
        <v>180</v>
      </c>
      <c r="L160" s="98" t="str">
        <f>IFERROR(__xludf.DUMMYFUNCTION("""COMPUTED_VALUE"""),"24*7")</f>
        <v>24*7</v>
      </c>
      <c r="M160" s="98" t="str">
        <f>IFERROR(__xludf.DUMMYFUNCTION("""COMPUTED_VALUE"""),"Grid+BB")</f>
        <v>Grid+BB</v>
      </c>
      <c r="N160" s="98" t="str">
        <f>IFERROR(__xludf.DUMMYFUNCTION("""COMPUTED_VALUE"""),"ok")</f>
        <v>ok</v>
      </c>
      <c r="O160" s="363"/>
      <c r="P160" s="98"/>
      <c r="Q160" s="98"/>
      <c r="R160" s="100"/>
      <c r="S160" s="363"/>
      <c r="T160" s="100"/>
      <c r="U160" s="98"/>
      <c r="V160" s="100"/>
      <c r="W160" s="98"/>
      <c r="X160" s="363"/>
      <c r="Y160" s="100"/>
      <c r="Z160" s="363"/>
      <c r="AA160" s="98"/>
      <c r="AB160" s="363">
        <f>IFERROR(__xludf.DUMMYFUNCTION("""COMPUTED_VALUE"""),46205.641921296294)</f>
        <v>46205.64192</v>
      </c>
      <c r="AC160" s="100">
        <f>IFERROR(__xludf.DUMMYFUNCTION("""COMPUTED_VALUE"""),3.22320694453083)</f>
        <v>3.223206945</v>
      </c>
      <c r="AD160" s="363">
        <f>IFERROR(__xludf.DUMMYFUNCTION("""COMPUTED_VALUE"""),46205.64421296296)</f>
        <v>46205.64421</v>
      </c>
      <c r="AE160" s="100">
        <f>IFERROR(__xludf.DUMMYFUNCTION("""COMPUTED_VALUE"""),3.1682069444213994)</f>
        <v>3.168206944</v>
      </c>
      <c r="AF160" s="364">
        <f>IFERROR(__xludf.DUMMYFUNCTION("""COMPUTED_VALUE"""),2940.0)</f>
        <v>2940</v>
      </c>
      <c r="AG160" s="98" t="str">
        <f>IFERROR(__xludf.DUMMYFUNCTION("""COMPUTED_VALUE"""),"Hub site TNI0365 down")</f>
        <v>Hub site TNI0365 down</v>
      </c>
      <c r="AH160" s="98"/>
      <c r="AI160" s="98"/>
      <c r="AJ160" s="98" t="str">
        <f>IFERROR(__xludf.DUMMYFUNCTION("""COMPUTED_VALUE"""),"Trans_MW_Interference Frequency")</f>
        <v>Trans_MW_Interference Frequency</v>
      </c>
      <c r="AK160" s="98" t="str">
        <f>IFERROR(__xludf.DUMMYFUNCTION("""COMPUTED_VALUE"""),"MW TNI0308-TNI0365 link flapping")</f>
        <v>MW TNI0308-TNI0365 link flapping</v>
      </c>
      <c r="AL160" s="364">
        <f>IFERROR(__xludf.DUMMYFUNCTION("""COMPUTED_VALUE"""),1.0)</f>
        <v>1</v>
      </c>
      <c r="AM160" s="364">
        <f>IFERROR(__xludf.DUMMYFUNCTION("""COMPUTED_VALUE"""),1.0)</f>
        <v>1</v>
      </c>
    </row>
    <row r="161">
      <c r="A161" s="98">
        <f>IFERROR(__xludf.DUMMYFUNCTION("""COMPUTED_VALUE"""),158.0)</f>
        <v>158</v>
      </c>
      <c r="B161" s="98" t="str">
        <f>IFERROR(__xludf.DUMMYFUNCTION("""COMPUTED_VALUE"""),"TNI0024")</f>
        <v>TNI0024</v>
      </c>
      <c r="C161" s="98" t="str">
        <f>IFERROR(__xludf.DUMMYFUNCTION("""COMPUTED_VALUE"""),"B")</f>
        <v>B</v>
      </c>
      <c r="D161" s="98" t="str">
        <f>IFERROR(__xludf.DUMMYFUNCTION("""COMPUTED_VALUE"""),"Edotco")</f>
        <v>Edotco</v>
      </c>
      <c r="E161" s="98" t="str">
        <f>IFERROR(__xludf.DUMMYFUNCTION("""COMPUTED_VALUE"""),"T2")</f>
        <v>T2</v>
      </c>
      <c r="F161" s="98" t="str">
        <f>IFERROR(__xludf.DUMMYFUNCTION("""COMPUTED_VALUE"""),"Myeik")</f>
        <v>Myeik</v>
      </c>
      <c r="G161" s="98" t="str">
        <f>IFERROR(__xludf.DUMMYFUNCTION("""COMPUTED_VALUE"""),"Maung Maung")</f>
        <v>Maung Maung</v>
      </c>
      <c r="H161" s="98"/>
      <c r="I161" s="98">
        <f>IFERROR(__xludf.DUMMYFUNCTION("""COMPUTED_VALUE"""),0.0)</f>
        <v>0</v>
      </c>
      <c r="J161" s="98"/>
      <c r="K161" s="362">
        <f>IFERROR(__xludf.DUMMYFUNCTION("""COMPUTED_VALUE"""),40.0)</f>
        <v>40</v>
      </c>
      <c r="L161" s="98" t="str">
        <f>IFERROR(__xludf.DUMMYFUNCTION("""COMPUTED_VALUE"""),"10:00PM-4:00AM")</f>
        <v>10:00PM-4:00AM</v>
      </c>
      <c r="M161" s="98" t="str">
        <f>IFERROR(__xludf.DUMMYFUNCTION("""COMPUTED_VALUE"""),"1DG+Grid+BB")</f>
        <v>1DG+Grid+BB</v>
      </c>
      <c r="N161" s="98" t="str">
        <f>IFERROR(__xludf.DUMMYFUNCTION("""COMPUTED_VALUE"""),"ok")</f>
        <v>ok</v>
      </c>
      <c r="O161" s="363"/>
      <c r="P161" s="98"/>
      <c r="Q161" s="98" t="str">
        <f>IFERROR(__xludf.DUMMYFUNCTION("""COMPUTED_VALUE""")," Door open alarm: 21/04/2026 07:18")</f>
        <v> Door open alarm: 21/04/2026 07:18</v>
      </c>
      <c r="R161" s="100">
        <f>IFERROR(__xludf.DUMMYFUNCTION("""COMPUTED_VALUE"""),1738.02)</f>
        <v>1738.02</v>
      </c>
      <c r="S161" s="363"/>
      <c r="T161" s="100"/>
      <c r="U161" s="98"/>
      <c r="V161" s="100"/>
      <c r="W161" s="98"/>
      <c r="X161" s="363"/>
      <c r="Y161" s="100"/>
      <c r="Z161" s="363"/>
      <c r="AA161" s="98"/>
      <c r="AB161" s="363"/>
      <c r="AC161" s="100"/>
      <c r="AD161" s="363"/>
      <c r="AE161" s="100"/>
      <c r="AF161" s="364">
        <f>IFERROR(__xludf.DUMMYFUNCTION("""COMPUTED_VALUE"""),3571.0)</f>
        <v>3571</v>
      </c>
      <c r="AG161" s="98" t="str">
        <f>IFERROR(__xludf.DUMMYFUNCTION("""COMPUTED_VALUE"""),"Checking with TCO team ")</f>
        <v>Checking with TCO team </v>
      </c>
      <c r="AH161" s="98"/>
      <c r="AI161" s="98" t="str">
        <f>IFERROR(__xludf.DUMMYFUNCTION("""COMPUTED_VALUE"""),"Hub site TNI0365 down")</f>
        <v>Hub site TNI0365 down</v>
      </c>
      <c r="AJ161" s="98"/>
      <c r="AK161" s="98"/>
      <c r="AL161" s="364">
        <f>IFERROR(__xludf.DUMMYFUNCTION("""COMPUTED_VALUE"""),0.0)</f>
        <v>0</v>
      </c>
      <c r="AM161" s="364">
        <f>IFERROR(__xludf.DUMMYFUNCTION("""COMPUTED_VALUE"""),0.0)</f>
        <v>0</v>
      </c>
    </row>
    <row r="162">
      <c r="A162" s="98">
        <f>IFERROR(__xludf.DUMMYFUNCTION("""COMPUTED_VALUE"""),159.0)</f>
        <v>159</v>
      </c>
      <c r="B162" s="98" t="str">
        <f>IFERROR(__xludf.DUMMYFUNCTION("""COMPUTED_VALUE"""),"TNI0260")</f>
        <v>TNI0260</v>
      </c>
      <c r="C162" s="98" t="str">
        <f>IFERROR(__xludf.DUMMYFUNCTION("""COMPUTED_VALUE"""),"B")</f>
        <v>B</v>
      </c>
      <c r="D162" s="98" t="str">
        <f>IFERROR(__xludf.DUMMYFUNCTION("""COMPUTED_VALUE"""),"Mytel")</f>
        <v>Mytel</v>
      </c>
      <c r="E162" s="98" t="str">
        <f>IFERROR(__xludf.DUMMYFUNCTION("""COMPUTED_VALUE"""),"T2")</f>
        <v>T2</v>
      </c>
      <c r="F162" s="98" t="str">
        <f>IFERROR(__xludf.DUMMYFUNCTION("""COMPUTED_VALUE"""),"Myeik")</f>
        <v>Myeik</v>
      </c>
      <c r="G162" s="98" t="str">
        <f>IFERROR(__xludf.DUMMYFUNCTION("""COMPUTED_VALUE"""),"Ye Lin")</f>
        <v>Ye Lin</v>
      </c>
      <c r="H162" s="98"/>
      <c r="I162" s="98">
        <f>IFERROR(__xludf.DUMMYFUNCTION("""COMPUTED_VALUE"""),0.0)</f>
        <v>0</v>
      </c>
      <c r="J162" s="98" t="str">
        <f>IFERROR(__xludf.DUMMYFUNCTION("""COMPUTED_VALUE"""),"OLT")</f>
        <v>OLT</v>
      </c>
      <c r="K162" s="362">
        <f>IFERROR(__xludf.DUMMYFUNCTION("""COMPUTED_VALUE"""),30.0)</f>
        <v>30</v>
      </c>
      <c r="L162" s="98" t="str">
        <f>IFERROR(__xludf.DUMMYFUNCTION("""COMPUTED_VALUE"""),"24*7")</f>
        <v>24*7</v>
      </c>
      <c r="M162" s="98" t="str">
        <f>IFERROR(__xludf.DUMMYFUNCTION("""COMPUTED_VALUE"""),"1DG+Solar+Grid+BB")</f>
        <v>1DG+Solar+Grid+BB</v>
      </c>
      <c r="N162" s="98" t="str">
        <f>IFERROR(__xludf.DUMMYFUNCTION("""COMPUTED_VALUE"""),"ok")</f>
        <v>ok</v>
      </c>
      <c r="O162" s="363"/>
      <c r="P162" s="98"/>
      <c r="Q162" s="98"/>
      <c r="R162" s="100"/>
      <c r="S162" s="363"/>
      <c r="T162" s="100"/>
      <c r="U162" s="98"/>
      <c r="V162" s="100"/>
      <c r="W162" s="98"/>
      <c r="X162" s="363">
        <f>IFERROR(__xludf.DUMMYFUNCTION("""COMPUTED_VALUE"""),46061.31236111111)</f>
        <v>46061.31236</v>
      </c>
      <c r="Y162" s="100">
        <f>IFERROR(__xludf.DUMMYFUNCTION("""COMPUTED_VALUE"""),3467.1326513889944)</f>
        <v>3467.132651</v>
      </c>
      <c r="Z162" s="363"/>
      <c r="AA162" s="98"/>
      <c r="AB162" s="363"/>
      <c r="AC162" s="100"/>
      <c r="AD162" s="363"/>
      <c r="AE162" s="100"/>
      <c r="AF162" s="364">
        <f>IFERROR(__xludf.DUMMYFUNCTION("""COMPUTED_VALUE"""),1086.0)</f>
        <v>1086</v>
      </c>
      <c r="AG162" s="98"/>
      <c r="AH162" s="98"/>
      <c r="AI162" s="98"/>
      <c r="AJ162" s="98"/>
      <c r="AK162" s="98"/>
      <c r="AL162" s="364">
        <f>IFERROR(__xludf.DUMMYFUNCTION("""COMPUTED_VALUE"""),0.0)</f>
        <v>0</v>
      </c>
      <c r="AM162" s="364">
        <f>IFERROR(__xludf.DUMMYFUNCTION("""COMPUTED_VALUE"""),0.0)</f>
        <v>0</v>
      </c>
    </row>
    <row r="163">
      <c r="A163" s="98">
        <f>IFERROR(__xludf.DUMMYFUNCTION("""COMPUTED_VALUE"""),160.0)</f>
        <v>160</v>
      </c>
      <c r="B163" s="98" t="str">
        <f>IFERROR(__xludf.DUMMYFUNCTION("""COMPUTED_VALUE"""),"TNI0239")</f>
        <v>TNI0239</v>
      </c>
      <c r="C163" s="98" t="str">
        <f>IFERROR(__xludf.DUMMYFUNCTION("""COMPUTED_VALUE"""),"B")</f>
        <v>B</v>
      </c>
      <c r="D163" s="98" t="str">
        <f>IFERROR(__xludf.DUMMYFUNCTION("""COMPUTED_VALUE"""),"IGT")</f>
        <v>IGT</v>
      </c>
      <c r="E163" s="98" t="str">
        <f>IFERROR(__xludf.DUMMYFUNCTION("""COMPUTED_VALUE"""),"T2")</f>
        <v>T2</v>
      </c>
      <c r="F163" s="98" t="str">
        <f>IFERROR(__xludf.DUMMYFUNCTION("""COMPUTED_VALUE"""),"Myeik")</f>
        <v>Myeik</v>
      </c>
      <c r="G163" s="98" t="str">
        <f>IFERROR(__xludf.DUMMYFUNCTION("""COMPUTED_VALUE"""),"Maung Maung")</f>
        <v>Maung Maung</v>
      </c>
      <c r="H163" s="98"/>
      <c r="I163" s="98">
        <f>IFERROR(__xludf.DUMMYFUNCTION("""COMPUTED_VALUE"""),0.0)</f>
        <v>0</v>
      </c>
      <c r="J163" s="98"/>
      <c r="K163" s="362">
        <f>IFERROR(__xludf.DUMMYFUNCTION("""COMPUTED_VALUE"""),60.0)</f>
        <v>60</v>
      </c>
      <c r="L163" s="98" t="str">
        <f>IFERROR(__xludf.DUMMYFUNCTION("""COMPUTED_VALUE"""),"24*7")</f>
        <v>24*7</v>
      </c>
      <c r="M163" s="98" t="str">
        <f>IFERROR(__xludf.DUMMYFUNCTION("""COMPUTED_VALUE"""),"Grid+BB")</f>
        <v>Grid+BB</v>
      </c>
      <c r="N163" s="98" t="str">
        <f>IFERROR(__xludf.DUMMYFUNCTION("""COMPUTED_VALUE"""),"ok")</f>
        <v>ok</v>
      </c>
      <c r="O163" s="363"/>
      <c r="P163" s="98"/>
      <c r="Q163" s="98"/>
      <c r="R163" s="100"/>
      <c r="S163" s="363"/>
      <c r="T163" s="100"/>
      <c r="U163" s="98"/>
      <c r="V163" s="100"/>
      <c r="W163" s="98"/>
      <c r="X163" s="363"/>
      <c r="Y163" s="100"/>
      <c r="Z163" s="363"/>
      <c r="AA163" s="98"/>
      <c r="AB163" s="363"/>
      <c r="AC163" s="100"/>
      <c r="AD163" s="363"/>
      <c r="AE163" s="100"/>
      <c r="AF163" s="364">
        <f>IFERROR(__xludf.DUMMYFUNCTION("""COMPUTED_VALUE"""),1607.0)</f>
        <v>1607</v>
      </c>
      <c r="AG163" s="98"/>
      <c r="AH163" s="98"/>
      <c r="AI163" s="98"/>
      <c r="AJ163" s="98"/>
      <c r="AK163" s="98"/>
      <c r="AL163" s="364">
        <f>IFERROR(__xludf.DUMMYFUNCTION("""COMPUTED_VALUE"""),0.0)</f>
        <v>0</v>
      </c>
      <c r="AM163" s="364">
        <f>IFERROR(__xludf.DUMMYFUNCTION("""COMPUTED_VALUE"""),0.0)</f>
        <v>0</v>
      </c>
    </row>
    <row r="164">
      <c r="A164" s="98">
        <f>IFERROR(__xludf.DUMMYFUNCTION("""COMPUTED_VALUE"""),161.0)</f>
        <v>161</v>
      </c>
      <c r="B164" s="98" t="str">
        <f>IFERROR(__xludf.DUMMYFUNCTION("""COMPUTED_VALUE"""),"TNI0242")</f>
        <v>TNI0242</v>
      </c>
      <c r="C164" s="98" t="str">
        <f>IFERROR(__xludf.DUMMYFUNCTION("""COMPUTED_VALUE"""),"B")</f>
        <v>B</v>
      </c>
      <c r="D164" s="98" t="str">
        <f>IFERROR(__xludf.DUMMYFUNCTION("""COMPUTED_VALUE"""),"Mytel")</f>
        <v>Mytel</v>
      </c>
      <c r="E164" s="98" t="str">
        <f>IFERROR(__xludf.DUMMYFUNCTION("""COMPUTED_VALUE"""),"T2")</f>
        <v>T2</v>
      </c>
      <c r="F164" s="98" t="str">
        <f>IFERROR(__xludf.DUMMYFUNCTION("""COMPUTED_VALUE"""),"Myeik")</f>
        <v>Myeik</v>
      </c>
      <c r="G164" s="98" t="str">
        <f>IFERROR(__xludf.DUMMYFUNCTION("""COMPUTED_VALUE"""),"Pyi Kyaw Aung")</f>
        <v>Pyi Kyaw Aung</v>
      </c>
      <c r="H164" s="98"/>
      <c r="I164" s="98">
        <f>IFERROR(__xludf.DUMMYFUNCTION("""COMPUTED_VALUE"""),0.0)</f>
        <v>0</v>
      </c>
      <c r="J164" s="98" t="str">
        <f>IFERROR(__xludf.DUMMYFUNCTION("""COMPUTED_VALUE"""),"OLT")</f>
        <v>OLT</v>
      </c>
      <c r="K164" s="362">
        <f>IFERROR(__xludf.DUMMYFUNCTION("""COMPUTED_VALUE"""),60.0)</f>
        <v>60</v>
      </c>
      <c r="L164" s="98" t="str">
        <f>IFERROR(__xludf.DUMMYFUNCTION("""COMPUTED_VALUE"""),"8:00PM-5:00AM")</f>
        <v>8:00PM-5:00AM</v>
      </c>
      <c r="M164" s="98" t="str">
        <f>IFERROR(__xludf.DUMMYFUNCTION("""COMPUTED_VALUE"""),"1DG+Grid+BB")</f>
        <v>1DG+Grid+BB</v>
      </c>
      <c r="N164" s="98" t="str">
        <f>IFERROR(__xludf.DUMMYFUNCTION("""COMPUTED_VALUE"""),"ok")</f>
        <v>ok</v>
      </c>
      <c r="O164" s="363"/>
      <c r="P164" s="98"/>
      <c r="Q164" s="98" t="str">
        <f>IFERROR(__xludf.DUMMYFUNCTION("""COMPUTED_VALUE""")," +Door Alarm: 06/06/2026 08:21")</f>
        <v> +Door Alarm: 06/06/2026 08:21</v>
      </c>
      <c r="R164" s="100">
        <f>IFERROR(__xludf.DUMMYFUNCTION("""COMPUTED_VALUE"""),632.98)</f>
        <v>632.98</v>
      </c>
      <c r="S164" s="363"/>
      <c r="T164" s="100"/>
      <c r="U164" s="98"/>
      <c r="V164" s="100"/>
      <c r="W164" s="98"/>
      <c r="X164" s="363">
        <f>IFERROR(__xludf.DUMMYFUNCTION("""COMPUTED_VALUE"""),46173.60056712963)</f>
        <v>46173.60057</v>
      </c>
      <c r="Y164" s="100">
        <f>IFERROR(__xludf.DUMMYFUNCTION("""COMPUTED_VALUE"""),772.2157069444656)</f>
        <v>772.2157069</v>
      </c>
      <c r="Z164" s="363"/>
      <c r="AA164" s="98"/>
      <c r="AB164" s="363"/>
      <c r="AC164" s="100"/>
      <c r="AD164" s="363"/>
      <c r="AE164" s="100"/>
      <c r="AF164" s="364">
        <f>IFERROR(__xludf.DUMMYFUNCTION("""COMPUTED_VALUE"""),1935.0)</f>
        <v>1935</v>
      </c>
      <c r="AG164" s="98"/>
      <c r="AH164" s="98"/>
      <c r="AI164" s="98"/>
      <c r="AJ164" s="98"/>
      <c r="AK164" s="98"/>
      <c r="AL164" s="364">
        <f>IFERROR(__xludf.DUMMYFUNCTION("""COMPUTED_VALUE"""),0.0)</f>
        <v>0</v>
      </c>
      <c r="AM164" s="364">
        <f>IFERROR(__xludf.DUMMYFUNCTION("""COMPUTED_VALUE"""),0.0)</f>
        <v>0</v>
      </c>
    </row>
    <row r="165">
      <c r="A165" s="98">
        <f>IFERROR(__xludf.DUMMYFUNCTION("""COMPUTED_VALUE"""),162.0)</f>
        <v>162</v>
      </c>
      <c r="B165" s="98" t="str">
        <f>IFERROR(__xludf.DUMMYFUNCTION("""COMPUTED_VALUE"""),"TNI0267")</f>
        <v>TNI0267</v>
      </c>
      <c r="C165" s="98" t="str">
        <f>IFERROR(__xludf.DUMMYFUNCTION("""COMPUTED_VALUE"""),"C")</f>
        <v>C</v>
      </c>
      <c r="D165" s="98" t="str">
        <f>IFERROR(__xludf.DUMMYFUNCTION("""COMPUTED_VALUE"""),"Mytel")</f>
        <v>Mytel</v>
      </c>
      <c r="E165" s="98" t="str">
        <f>IFERROR(__xludf.DUMMYFUNCTION("""COMPUTED_VALUE"""),"T2")</f>
        <v>T2</v>
      </c>
      <c r="F165" s="98" t="str">
        <f>IFERROR(__xludf.DUMMYFUNCTION("""COMPUTED_VALUE"""),"Myeik")</f>
        <v>Myeik</v>
      </c>
      <c r="G165" s="98" t="str">
        <f>IFERROR(__xludf.DUMMYFUNCTION("""COMPUTED_VALUE"""),"Zin Min Shein")</f>
        <v>Zin Min Shein</v>
      </c>
      <c r="H165" s="98"/>
      <c r="I165" s="98">
        <f>IFERROR(__xludf.DUMMYFUNCTION("""COMPUTED_VALUE"""),0.0)</f>
        <v>0</v>
      </c>
      <c r="J165" s="98"/>
      <c r="K165" s="362">
        <f>IFERROR(__xludf.DUMMYFUNCTION("""COMPUTED_VALUE"""),30.0)</f>
        <v>30</v>
      </c>
      <c r="L165" s="98" t="str">
        <f>IFERROR(__xludf.DUMMYFUNCTION("""COMPUTED_VALUE"""),"24*7")</f>
        <v>24*7</v>
      </c>
      <c r="M165" s="98" t="str">
        <f>IFERROR(__xludf.DUMMYFUNCTION("""COMPUTED_VALUE"""),"Grid+Solar+BB")</f>
        <v>Grid+Solar+BB</v>
      </c>
      <c r="N165" s="98" t="str">
        <f>IFERROR(__xludf.DUMMYFUNCTION("""COMPUTED_VALUE"""),"ok")</f>
        <v>ok</v>
      </c>
      <c r="O165" s="363"/>
      <c r="P165" s="98"/>
      <c r="Q165" s="98" t="str">
        <f>IFERROR(__xludf.DUMMYFUNCTION("""COMPUTED_VALUE""")," +Door Alarm: 05/12/2023 17:13")</f>
        <v> +Door Alarm: 05/12/2023 17:13</v>
      </c>
      <c r="R165" s="100">
        <f>IFERROR(__xludf.DUMMYFUNCTION("""COMPUTED_VALUE"""),22560.11)</f>
        <v>22560.11</v>
      </c>
      <c r="S165" s="363"/>
      <c r="T165" s="100"/>
      <c r="U165" s="98"/>
      <c r="V165" s="100"/>
      <c r="W165" s="98"/>
      <c r="X165" s="363"/>
      <c r="Y165" s="100"/>
      <c r="Z165" s="363"/>
      <c r="AA165" s="98"/>
      <c r="AB165" s="363"/>
      <c r="AC165" s="100"/>
      <c r="AD165" s="363"/>
      <c r="AE165" s="100"/>
      <c r="AF165" s="364">
        <f>IFERROR(__xludf.DUMMYFUNCTION("""COMPUTED_VALUE"""),2214.0)</f>
        <v>2214</v>
      </c>
      <c r="AG165" s="98"/>
      <c r="AH165" s="98"/>
      <c r="AI165" s="98"/>
      <c r="AJ165" s="98"/>
      <c r="AK165" s="98"/>
      <c r="AL165" s="364">
        <f>IFERROR(__xludf.DUMMYFUNCTION("""COMPUTED_VALUE"""),0.0)</f>
        <v>0</v>
      </c>
      <c r="AM165" s="364">
        <f>IFERROR(__xludf.DUMMYFUNCTION("""COMPUTED_VALUE"""),0.0)</f>
        <v>0</v>
      </c>
    </row>
    <row r="166">
      <c r="A166" s="98">
        <f>IFERROR(__xludf.DUMMYFUNCTION("""COMPUTED_VALUE"""),163.0)</f>
        <v>163</v>
      </c>
      <c r="B166" s="98" t="str">
        <f>IFERROR(__xludf.DUMMYFUNCTION("""COMPUTED_VALUE"""),"TNI0422")</f>
        <v>TNI0422</v>
      </c>
      <c r="C166" s="98" t="str">
        <f>IFERROR(__xludf.DUMMYFUNCTION("""COMPUTED_VALUE"""),"C")</f>
        <v>C</v>
      </c>
      <c r="D166" s="98" t="str">
        <f>IFERROR(__xludf.DUMMYFUNCTION("""COMPUTED_VALUE"""),"NTD")</f>
        <v>NTD</v>
      </c>
      <c r="E166" s="98" t="str">
        <f>IFERROR(__xludf.DUMMYFUNCTION("""COMPUTED_VALUE"""),"T2")</f>
        <v>T2</v>
      </c>
      <c r="F166" s="98" t="str">
        <f>IFERROR(__xludf.DUMMYFUNCTION("""COMPUTED_VALUE"""),"Kyunsu")</f>
        <v>Kyunsu</v>
      </c>
      <c r="G166" s="98" t="str">
        <f>IFERROR(__xludf.DUMMYFUNCTION("""COMPUTED_VALUE"""),"Zin Min Shein")</f>
        <v>Zin Min Shein</v>
      </c>
      <c r="H166" s="98"/>
      <c r="I166" s="98"/>
      <c r="J166" s="98"/>
      <c r="K166" s="362">
        <f>IFERROR(__xludf.DUMMYFUNCTION("""COMPUTED_VALUE"""),180.0)</f>
        <v>180</v>
      </c>
      <c r="L166" s="98" t="str">
        <f>IFERROR(__xludf.DUMMYFUNCTION("""COMPUTED_VALUE"""),"10:00PM-4:00AM")</f>
        <v>10:00PM-4:00AM</v>
      </c>
      <c r="M166" s="98" t="str">
        <f>IFERROR(__xludf.DUMMYFUNCTION("""COMPUTED_VALUE"""),"Grid+BB")</f>
        <v>Grid+BB</v>
      </c>
      <c r="N166" s="98" t="str">
        <f>IFERROR(__xludf.DUMMYFUNCTION("""COMPUTED_VALUE"""),"ok")</f>
        <v>ok</v>
      </c>
      <c r="O166" s="363"/>
      <c r="P166" s="98"/>
      <c r="Q166" s="98"/>
      <c r="R166" s="100"/>
      <c r="S166" s="363"/>
      <c r="T166" s="100"/>
      <c r="U166" s="98"/>
      <c r="V166" s="100"/>
      <c r="W166" s="98"/>
      <c r="X166" s="363"/>
      <c r="Y166" s="100"/>
      <c r="Z166" s="363"/>
      <c r="AA166" s="98"/>
      <c r="AB166" s="363"/>
      <c r="AC166" s="100"/>
      <c r="AD166" s="363"/>
      <c r="AE166" s="100"/>
      <c r="AF166" s="364">
        <f>IFERROR(__xludf.DUMMYFUNCTION("""COMPUTED_VALUE"""),1084.0)</f>
        <v>1084</v>
      </c>
      <c r="AG166" s="98" t="str">
        <f>IFERROR(__xludf.DUMMYFUNCTION("""COMPUTED_VALUE"""),"TCO team facing fuel issue")</f>
        <v>TCO team facing fuel issue</v>
      </c>
      <c r="AH166" s="98"/>
      <c r="AI166" s="98"/>
      <c r="AJ166" s="98"/>
      <c r="AK166" s="98"/>
      <c r="AL166" s="364">
        <f>IFERROR(__xludf.DUMMYFUNCTION("""COMPUTED_VALUE"""),0.0)</f>
        <v>0</v>
      </c>
      <c r="AM166" s="364">
        <f>IFERROR(__xludf.DUMMYFUNCTION("""COMPUTED_VALUE"""),0.0)</f>
        <v>0</v>
      </c>
    </row>
    <row r="167">
      <c r="A167" s="98">
        <f>IFERROR(__xludf.DUMMYFUNCTION("""COMPUTED_VALUE"""),164.0)</f>
        <v>164</v>
      </c>
      <c r="B167" s="98" t="str">
        <f>IFERROR(__xludf.DUMMYFUNCTION("""COMPUTED_VALUE"""),"TNI0519")</f>
        <v>TNI0519</v>
      </c>
      <c r="C167" s="98" t="str">
        <f>IFERROR(__xludf.DUMMYFUNCTION("""COMPUTED_VALUE"""),"C")</f>
        <v>C</v>
      </c>
      <c r="D167" s="98" t="str">
        <f>IFERROR(__xludf.DUMMYFUNCTION("""COMPUTED_VALUE"""),"Mytel")</f>
        <v>Mytel</v>
      </c>
      <c r="E167" s="98" t="str">
        <f>IFERROR(__xludf.DUMMYFUNCTION("""COMPUTED_VALUE"""),"T2")</f>
        <v>T2</v>
      </c>
      <c r="F167" s="98" t="str">
        <f>IFERROR(__xludf.DUMMYFUNCTION("""COMPUTED_VALUE"""),"Myeik")</f>
        <v>Myeik</v>
      </c>
      <c r="G167" s="98" t="str">
        <f>IFERROR(__xludf.DUMMYFUNCTION("""COMPUTED_VALUE"""),"Zin Min Shein")</f>
        <v>Zin Min Shein</v>
      </c>
      <c r="H167" s="98" t="str">
        <f>IFERROR(__xludf.DUMMYFUNCTION("""COMPUTED_VALUE"""),"Nay Myo Min: 09685856721")</f>
        <v>Nay Myo Min: 09685856721</v>
      </c>
      <c r="I167" s="98"/>
      <c r="J167" s="98"/>
      <c r="K167" s="362">
        <f>IFERROR(__xludf.DUMMYFUNCTION("""COMPUTED_VALUE"""),160.0)</f>
        <v>160</v>
      </c>
      <c r="L167" s="98" t="str">
        <f>IFERROR(__xludf.DUMMYFUNCTION("""COMPUTED_VALUE"""),"24*7")</f>
        <v>24*7</v>
      </c>
      <c r="M167" s="98" t="str">
        <f>IFERROR(__xludf.DUMMYFUNCTION("""COMPUTED_VALUE"""),"1DG+BB")</f>
        <v>1DG+BB</v>
      </c>
      <c r="N167" s="98" t="str">
        <f>IFERROR(__xludf.DUMMYFUNCTION("""COMPUTED_VALUE"""),"0")</f>
        <v>0</v>
      </c>
      <c r="O167" s="363"/>
      <c r="P167" s="98"/>
      <c r="Q167" s="98"/>
      <c r="R167" s="100"/>
      <c r="S167" s="363"/>
      <c r="T167" s="100"/>
      <c r="U167" s="98"/>
      <c r="V167" s="100"/>
      <c r="W167" s="98"/>
      <c r="X167" s="363"/>
      <c r="Y167" s="100"/>
      <c r="Z167" s="363"/>
      <c r="AA167" s="98"/>
      <c r="AB167" s="363"/>
      <c r="AC167" s="100"/>
      <c r="AD167" s="363"/>
      <c r="AE167" s="100"/>
      <c r="AF167" s="364">
        <f>IFERROR(__xludf.DUMMYFUNCTION("""COMPUTED_VALUE"""),1194.0)</f>
        <v>1194</v>
      </c>
      <c r="AG167" s="98" t="str">
        <f>IFERROR(__xludf.DUMMYFUNCTION("""COMPUTED_VALUE"""),"Hub site TNI0107 down")</f>
        <v>Hub site TNI0107 down</v>
      </c>
      <c r="AH167" s="98"/>
      <c r="AI167" s="98"/>
      <c r="AJ167" s="98"/>
      <c r="AK167" s="98"/>
      <c r="AL167" s="364">
        <f>IFERROR(__xludf.DUMMYFUNCTION("""COMPUTED_VALUE"""),0.0)</f>
        <v>0</v>
      </c>
      <c r="AM167" s="364">
        <f>IFERROR(__xludf.DUMMYFUNCTION("""COMPUTED_VALUE"""),0.0)</f>
        <v>0</v>
      </c>
    </row>
    <row r="168">
      <c r="A168" s="98">
        <f>IFERROR(__xludf.DUMMYFUNCTION("""COMPUTED_VALUE"""),165.0)</f>
        <v>165</v>
      </c>
      <c r="B168" s="98" t="str">
        <f>IFERROR(__xludf.DUMMYFUNCTION("""COMPUTED_VALUE"""),"TNI0406")</f>
        <v>TNI0406</v>
      </c>
      <c r="C168" s="98" t="str">
        <f>IFERROR(__xludf.DUMMYFUNCTION("""COMPUTED_VALUE"""),"C")</f>
        <v>C</v>
      </c>
      <c r="D168" s="98" t="str">
        <f>IFERROR(__xludf.DUMMYFUNCTION("""COMPUTED_VALUE"""),"OCK")</f>
        <v>OCK</v>
      </c>
      <c r="E168" s="98" t="str">
        <f>IFERROR(__xludf.DUMMYFUNCTION("""COMPUTED_VALUE"""),"T2")</f>
        <v>T2</v>
      </c>
      <c r="F168" s="98" t="str">
        <f>IFERROR(__xludf.DUMMYFUNCTION("""COMPUTED_VALUE"""),"Kyunsu")</f>
        <v>Kyunsu</v>
      </c>
      <c r="G168" s="98" t="str">
        <f>IFERROR(__xludf.DUMMYFUNCTION("""COMPUTED_VALUE"""),"Zin Min Shein")</f>
        <v>Zin Min Shein</v>
      </c>
      <c r="H168" s="98"/>
      <c r="I168" s="98"/>
      <c r="J168" s="98"/>
      <c r="K168" s="362">
        <f>IFERROR(__xludf.DUMMYFUNCTION("""COMPUTED_VALUE"""),180.0)</f>
        <v>180</v>
      </c>
      <c r="L168" s="98" t="str">
        <f>IFERROR(__xludf.DUMMYFUNCTION("""COMPUTED_VALUE"""),"8:00 PM - 5:00 AM")</f>
        <v>8:00 PM - 5:00 AM</v>
      </c>
      <c r="M168" s="98" t="str">
        <f>IFERROR(__xludf.DUMMYFUNCTION("""COMPUTED_VALUE"""),"Grid+BB")</f>
        <v>Grid+BB</v>
      </c>
      <c r="N168" s="98" t="str">
        <f>IFERROR(__xludf.DUMMYFUNCTION("""COMPUTED_VALUE"""),"ok")</f>
        <v>ok</v>
      </c>
      <c r="O168" s="363"/>
      <c r="P168" s="98"/>
      <c r="Q168" s="98"/>
      <c r="R168" s="100"/>
      <c r="S168" s="363"/>
      <c r="T168" s="100"/>
      <c r="U168" s="98"/>
      <c r="V168" s="100"/>
      <c r="W168" s="98"/>
      <c r="X168" s="363"/>
      <c r="Y168" s="100"/>
      <c r="Z168" s="363"/>
      <c r="AA168" s="98"/>
      <c r="AB168" s="363"/>
      <c r="AC168" s="100"/>
      <c r="AD168" s="363"/>
      <c r="AE168" s="100"/>
      <c r="AF168" s="364">
        <f>IFERROR(__xludf.DUMMYFUNCTION("""COMPUTED_VALUE"""),1468.0)</f>
        <v>1468</v>
      </c>
      <c r="AG168" s="98" t="str">
        <f>IFERROR(__xludf.DUMMYFUNCTION("""COMPUTED_VALUE"""),"TCO team ETA 8:30 AM")</f>
        <v>TCO team ETA 8:30 AM</v>
      </c>
      <c r="AH168" s="98"/>
      <c r="AI168" s="98"/>
      <c r="AJ168" s="98"/>
      <c r="AK168" s="98"/>
      <c r="AL168" s="364">
        <f>IFERROR(__xludf.DUMMYFUNCTION("""COMPUTED_VALUE"""),0.0)</f>
        <v>0</v>
      </c>
      <c r="AM168" s="364">
        <f>IFERROR(__xludf.DUMMYFUNCTION("""COMPUTED_VALUE"""),0.0)</f>
        <v>0</v>
      </c>
    </row>
    <row r="169">
      <c r="A169" s="98">
        <f>IFERROR(__xludf.DUMMYFUNCTION("""COMPUTED_VALUE"""),166.0)</f>
        <v>166</v>
      </c>
      <c r="B169" s="98" t="str">
        <f>IFERROR(__xludf.DUMMYFUNCTION("""COMPUTED_VALUE"""),"TNI0081")</f>
        <v>TNI0081</v>
      </c>
      <c r="C169" s="98" t="str">
        <f>IFERROR(__xludf.DUMMYFUNCTION("""COMPUTED_VALUE"""),"B")</f>
        <v>B</v>
      </c>
      <c r="D169" s="98" t="str">
        <f>IFERROR(__xludf.DUMMYFUNCTION("""COMPUTED_VALUE"""),"Mytel")</f>
        <v>Mytel</v>
      </c>
      <c r="E169" s="98" t="str">
        <f>IFERROR(__xludf.DUMMYFUNCTION("""COMPUTED_VALUE"""),"T2")</f>
        <v>T2</v>
      </c>
      <c r="F169" s="98" t="str">
        <f>IFERROR(__xludf.DUMMYFUNCTION("""COMPUTED_VALUE"""),"Myeik")</f>
        <v>Myeik</v>
      </c>
      <c r="G169" s="98" t="str">
        <f>IFERROR(__xludf.DUMMYFUNCTION("""COMPUTED_VALUE"""),"Ye Lin")</f>
        <v>Ye Lin</v>
      </c>
      <c r="H169" s="98"/>
      <c r="I169" s="98">
        <f>IFERROR(__xludf.DUMMYFUNCTION("""COMPUTED_VALUE"""),0.0)</f>
        <v>0</v>
      </c>
      <c r="J169" s="98"/>
      <c r="K169" s="362">
        <f>IFERROR(__xludf.DUMMYFUNCTION("""COMPUTED_VALUE"""),60.0)</f>
        <v>60</v>
      </c>
      <c r="L169" s="98" t="str">
        <f>IFERROR(__xludf.DUMMYFUNCTION("""COMPUTED_VALUE"""),"10:00PM-4:00AM")</f>
        <v>10:00PM-4:00AM</v>
      </c>
      <c r="M169" s="98" t="str">
        <f>IFERROR(__xludf.DUMMYFUNCTION("""COMPUTED_VALUE"""),"Grid+Solar+BB")</f>
        <v>Grid+Solar+BB</v>
      </c>
      <c r="N169" s="98" t="str">
        <f>IFERROR(__xludf.DUMMYFUNCTION("""COMPUTED_VALUE"""),"ok")</f>
        <v>ok</v>
      </c>
      <c r="O169" s="363"/>
      <c r="P169" s="98"/>
      <c r="Q169" s="98"/>
      <c r="R169" s="100"/>
      <c r="S169" s="363"/>
      <c r="T169" s="100"/>
      <c r="U169" s="98"/>
      <c r="V169" s="100" t="str">
        <f>IFERROR(__xludf.DUMMYFUNCTION("""COMPUTED_VALUE"""),"13014.6")</f>
        <v>13014.6</v>
      </c>
      <c r="W169" s="98"/>
      <c r="X169" s="363"/>
      <c r="Y169" s="100"/>
      <c r="Z169" s="363"/>
      <c r="AA169" s="98"/>
      <c r="AB169" s="363"/>
      <c r="AC169" s="100"/>
      <c r="AD169" s="363"/>
      <c r="AE169" s="100"/>
      <c r="AF169" s="364">
        <f>IFERROR(__xludf.DUMMYFUNCTION("""COMPUTED_VALUE"""),1698.0)</f>
        <v>1698</v>
      </c>
      <c r="AG169" s="98" t="str">
        <f>IFERROR(__xludf.DUMMYFUNCTION("""COMPUTED_VALUE"""),"Checking with TCO")</f>
        <v>Checking with TCO</v>
      </c>
      <c r="AH169" s="98"/>
      <c r="AI169" s="98"/>
      <c r="AJ169" s="98"/>
      <c r="AK169" s="98"/>
      <c r="AL169" s="364">
        <f>IFERROR(__xludf.DUMMYFUNCTION("""COMPUTED_VALUE"""),0.0)</f>
        <v>0</v>
      </c>
      <c r="AM169" s="364">
        <f>IFERROR(__xludf.DUMMYFUNCTION("""COMPUTED_VALUE"""),0.0)</f>
        <v>0</v>
      </c>
    </row>
    <row r="170">
      <c r="A170" s="98">
        <f>IFERROR(__xludf.DUMMYFUNCTION("""COMPUTED_VALUE"""),167.0)</f>
        <v>167</v>
      </c>
      <c r="B170" s="98" t="str">
        <f>IFERROR(__xludf.DUMMYFUNCTION("""COMPUTED_VALUE"""),"TNI0381")</f>
        <v>TNI0381</v>
      </c>
      <c r="C170" s="98" t="str">
        <f>IFERROR(__xludf.DUMMYFUNCTION("""COMPUTED_VALUE"""),"C")</f>
        <v>C</v>
      </c>
      <c r="D170" s="98" t="str">
        <f>IFERROR(__xludf.DUMMYFUNCTION("""COMPUTED_VALUE"""),"TIP")</f>
        <v>TIP</v>
      </c>
      <c r="E170" s="98" t="str">
        <f>IFERROR(__xludf.DUMMYFUNCTION("""COMPUTED_VALUE"""),"T2")</f>
        <v>T2</v>
      </c>
      <c r="F170" s="98" t="str">
        <f>IFERROR(__xludf.DUMMYFUNCTION("""COMPUTED_VALUE"""),"Kyunsu")</f>
        <v>Kyunsu</v>
      </c>
      <c r="G170" s="98" t="str">
        <f>IFERROR(__xludf.DUMMYFUNCTION("""COMPUTED_VALUE"""),"Ye Lin")</f>
        <v>Ye Lin</v>
      </c>
      <c r="H170" s="98" t="str">
        <f>IFERROR(__xludf.DUMMYFUNCTION("""COMPUTED_VALUE"""),"Nadi Kyaw Linn: 09660933525")</f>
        <v>Nadi Kyaw Linn: 09660933525</v>
      </c>
      <c r="I170" s="98"/>
      <c r="J170" s="98"/>
      <c r="K170" s="362">
        <f>IFERROR(__xludf.DUMMYFUNCTION("""COMPUTED_VALUE"""),360.0)</f>
        <v>360</v>
      </c>
      <c r="L170" s="98" t="str">
        <f>IFERROR(__xludf.DUMMYFUNCTION("""COMPUTED_VALUE"""),"6PM-6AM")</f>
        <v>6PM-6AM</v>
      </c>
      <c r="M170" s="98" t="str">
        <f>IFERROR(__xludf.DUMMYFUNCTION("""COMPUTED_VALUE"""),"1DG+BB")</f>
        <v>1DG+BB</v>
      </c>
      <c r="N170" s="98" t="str">
        <f>IFERROR(__xludf.DUMMYFUNCTION("""COMPUTED_VALUE"""),"0")</f>
        <v>0</v>
      </c>
      <c r="O170" s="363"/>
      <c r="P170" s="98"/>
      <c r="Q170" s="98" t="str">
        <f>IFERROR(__xludf.DUMMYFUNCTION("""COMPUTED_VALUE""")," Door open alarm: 03/06/2026 13:32")</f>
        <v> Door open alarm: 03/06/2026 13:32</v>
      </c>
      <c r="R170" s="100">
        <f>IFERROR(__xludf.DUMMYFUNCTION("""COMPUTED_VALUE"""),699.79)</f>
        <v>699.79</v>
      </c>
      <c r="S170" s="363">
        <f>IFERROR(__xludf.DUMMYFUNCTION("""COMPUTED_VALUE"""),46205.70908564815)</f>
        <v>46205.70909</v>
      </c>
      <c r="T170" s="100">
        <f>IFERROR(__xludf.DUMMYFUNCTION("""COMPUTED_VALUE"""),1.6112625001114793)</f>
        <v>1.6112625</v>
      </c>
      <c r="U170" s="98"/>
      <c r="V170" s="100"/>
      <c r="W170" s="98"/>
      <c r="X170" s="363"/>
      <c r="Y170" s="100"/>
      <c r="Z170" s="363"/>
      <c r="AA170" s="98"/>
      <c r="AB170" s="363"/>
      <c r="AC170" s="100"/>
      <c r="AD170" s="363"/>
      <c r="AE170" s="100"/>
      <c r="AF170" s="364">
        <f>IFERROR(__xludf.DUMMYFUNCTION("""COMPUTED_VALUE"""),2864.0)</f>
        <v>2864</v>
      </c>
      <c r="AG170" s="98" t="str">
        <f>IFERROR(__xludf.DUMMYFUNCTION("""COMPUTED_VALUE"""),"Checking with CT")</f>
        <v>Checking with CT</v>
      </c>
      <c r="AH170" s="98"/>
      <c r="AI170" s="98"/>
      <c r="AJ170" s="98"/>
      <c r="AK170" s="98"/>
      <c r="AL170" s="364">
        <f>IFERROR(__xludf.DUMMYFUNCTION("""COMPUTED_VALUE"""),0.0)</f>
        <v>0</v>
      </c>
      <c r="AM170" s="364">
        <f>IFERROR(__xludf.DUMMYFUNCTION("""COMPUTED_VALUE"""),0.0)</f>
        <v>0</v>
      </c>
    </row>
    <row r="171">
      <c r="A171" s="98">
        <f>IFERROR(__xludf.DUMMYFUNCTION("""COMPUTED_VALUE"""),168.0)</f>
        <v>168</v>
      </c>
      <c r="B171" s="98" t="str">
        <f>IFERROR(__xludf.DUMMYFUNCTION("""COMPUTED_VALUE"""),"TNI0279")</f>
        <v>TNI0279</v>
      </c>
      <c r="C171" s="98" t="str">
        <f>IFERROR(__xludf.DUMMYFUNCTION("""COMPUTED_VALUE"""),"C")</f>
        <v>C</v>
      </c>
      <c r="D171" s="98" t="str">
        <f>IFERROR(__xludf.DUMMYFUNCTION("""COMPUTED_VALUE"""),"Apollo")</f>
        <v>Apollo</v>
      </c>
      <c r="E171" s="98" t="str">
        <f>IFERROR(__xludf.DUMMYFUNCTION("""COMPUTED_VALUE"""),"T2")</f>
        <v>T2</v>
      </c>
      <c r="F171" s="98" t="str">
        <f>IFERROR(__xludf.DUMMYFUNCTION("""COMPUTED_VALUE"""),"Myeik")</f>
        <v>Myeik</v>
      </c>
      <c r="G171" s="98" t="str">
        <f>IFERROR(__xludf.DUMMYFUNCTION("""COMPUTED_VALUE"""),"Wanna Oo")</f>
        <v>Wanna Oo</v>
      </c>
      <c r="H171" s="98"/>
      <c r="I171" s="98">
        <f>IFERROR(__xludf.DUMMYFUNCTION("""COMPUTED_VALUE"""),0.0)</f>
        <v>0</v>
      </c>
      <c r="J171" s="98"/>
      <c r="K171" s="362">
        <f>IFERROR(__xludf.DUMMYFUNCTION("""COMPUTED_VALUE"""),60.0)</f>
        <v>60</v>
      </c>
      <c r="L171" s="98" t="str">
        <f>IFERROR(__xludf.DUMMYFUNCTION("""COMPUTED_VALUE"""),"24*7")</f>
        <v>24*7</v>
      </c>
      <c r="M171" s="98" t="str">
        <f>IFERROR(__xludf.DUMMYFUNCTION("""COMPUTED_VALUE"""),"Grid+BB")</f>
        <v>Grid+BB</v>
      </c>
      <c r="N171" s="98" t="str">
        <f>IFERROR(__xludf.DUMMYFUNCTION("""COMPUTED_VALUE"""),"ok")</f>
        <v>ok</v>
      </c>
      <c r="O171" s="363"/>
      <c r="P171" s="98"/>
      <c r="Q171" s="98"/>
      <c r="R171" s="100"/>
      <c r="S171" s="363"/>
      <c r="T171" s="100"/>
      <c r="U171" s="98"/>
      <c r="V171" s="100"/>
      <c r="W171" s="98"/>
      <c r="X171" s="363"/>
      <c r="Y171" s="100"/>
      <c r="Z171" s="363"/>
      <c r="AA171" s="98"/>
      <c r="AB171" s="363"/>
      <c r="AC171" s="100"/>
      <c r="AD171" s="363"/>
      <c r="AE171" s="100"/>
      <c r="AF171" s="364">
        <f>IFERROR(__xludf.DUMMYFUNCTION("""COMPUTED_VALUE"""),1849.0)</f>
        <v>1849</v>
      </c>
      <c r="AG171" s="98"/>
      <c r="AH171" s="98"/>
      <c r="AI171" s="98" t="str">
        <f>IFERROR(__xludf.DUMMYFUNCTION("""COMPUTED_VALUE"""),"sites is directly running with DG and rectifier")</f>
        <v>sites is directly running with DG and rectifier</v>
      </c>
      <c r="AJ171" s="98"/>
      <c r="AK171" s="98"/>
      <c r="AL171" s="364">
        <f>IFERROR(__xludf.DUMMYFUNCTION("""COMPUTED_VALUE"""),0.0)</f>
        <v>0</v>
      </c>
      <c r="AM171" s="364">
        <f>IFERROR(__xludf.DUMMYFUNCTION("""COMPUTED_VALUE"""),0.0)</f>
        <v>0</v>
      </c>
    </row>
    <row r="172">
      <c r="A172" s="98">
        <f>IFERROR(__xludf.DUMMYFUNCTION("""COMPUTED_VALUE"""),169.0)</f>
        <v>169</v>
      </c>
      <c r="B172" s="98" t="str">
        <f>IFERROR(__xludf.DUMMYFUNCTION("""COMPUTED_VALUE"""),"TNI0236")</f>
        <v>TNI0236</v>
      </c>
      <c r="C172" s="98" t="str">
        <f>IFERROR(__xludf.DUMMYFUNCTION("""COMPUTED_VALUE"""),"C")</f>
        <v>C</v>
      </c>
      <c r="D172" s="98" t="str">
        <f>IFERROR(__xludf.DUMMYFUNCTION("""COMPUTED_VALUE"""),"Edotco")</f>
        <v>Edotco</v>
      </c>
      <c r="E172" s="98" t="str">
        <f>IFERROR(__xludf.DUMMYFUNCTION("""COMPUTED_VALUE"""),"T2")</f>
        <v>T2</v>
      </c>
      <c r="F172" s="98" t="str">
        <f>IFERROR(__xludf.DUMMYFUNCTION("""COMPUTED_VALUE"""),"Myeik")</f>
        <v>Myeik</v>
      </c>
      <c r="G172" s="98" t="str">
        <f>IFERROR(__xludf.DUMMYFUNCTION("""COMPUTED_VALUE"""),"Pyi Kyaw Aung")</f>
        <v>Pyi Kyaw Aung</v>
      </c>
      <c r="H172" s="98"/>
      <c r="I172" s="98">
        <f>IFERROR(__xludf.DUMMYFUNCTION("""COMPUTED_VALUE"""),0.0)</f>
        <v>0</v>
      </c>
      <c r="J172" s="98"/>
      <c r="K172" s="362">
        <f>IFERROR(__xludf.DUMMYFUNCTION("""COMPUTED_VALUE"""),60.0)</f>
        <v>60</v>
      </c>
      <c r="L172" s="98" t="str">
        <f>IFERROR(__xludf.DUMMYFUNCTION("""COMPUTED_VALUE"""),"8:00PM-5:00AM")</f>
        <v>8:00PM-5:00AM</v>
      </c>
      <c r="M172" s="98" t="str">
        <f>IFERROR(__xludf.DUMMYFUNCTION("""COMPUTED_VALUE"""),"1DG+Grid+BB")</f>
        <v>1DG+Grid+BB</v>
      </c>
      <c r="N172" s="98" t="str">
        <f>IFERROR(__xludf.DUMMYFUNCTION("""COMPUTED_VALUE"""),"ok")</f>
        <v>ok</v>
      </c>
      <c r="O172" s="363"/>
      <c r="P172" s="98"/>
      <c r="Q172" s="98"/>
      <c r="R172" s="100"/>
      <c r="S172" s="363"/>
      <c r="T172" s="100"/>
      <c r="U172" s="98"/>
      <c r="V172" s="100"/>
      <c r="W172" s="98"/>
      <c r="X172" s="363"/>
      <c r="Y172" s="100"/>
      <c r="Z172" s="363"/>
      <c r="AA172" s="98"/>
      <c r="AB172" s="363"/>
      <c r="AC172" s="100"/>
      <c r="AD172" s="363"/>
      <c r="AE172" s="100"/>
      <c r="AF172" s="364">
        <f>IFERROR(__xludf.DUMMYFUNCTION("""COMPUTED_VALUE"""),2271.0)</f>
        <v>2271</v>
      </c>
      <c r="AG172" s="98" t="str">
        <f>IFERROR(__xludf.DUMMYFUNCTION("""COMPUTED_VALUE"""),"Hub site TNI0386 dwon")</f>
        <v>Hub site TNI0386 dwon</v>
      </c>
      <c r="AH172" s="98"/>
      <c r="AI172" s="98"/>
      <c r="AJ172" s="98"/>
      <c r="AK172" s="98"/>
      <c r="AL172" s="364">
        <f>IFERROR(__xludf.DUMMYFUNCTION("""COMPUTED_VALUE"""),0.0)</f>
        <v>0</v>
      </c>
      <c r="AM172" s="364">
        <f>IFERROR(__xludf.DUMMYFUNCTION("""COMPUTED_VALUE"""),0.0)</f>
        <v>0</v>
      </c>
    </row>
    <row r="173">
      <c r="A173" s="98">
        <f>IFERROR(__xludf.DUMMYFUNCTION("""COMPUTED_VALUE"""),170.0)</f>
        <v>170</v>
      </c>
      <c r="B173" s="98" t="str">
        <f>IFERROR(__xludf.DUMMYFUNCTION("""COMPUTED_VALUE"""),"TNI0266")</f>
        <v>TNI0266</v>
      </c>
      <c r="C173" s="98" t="str">
        <f>IFERROR(__xludf.DUMMYFUNCTION("""COMPUTED_VALUE"""),"C")</f>
        <v>C</v>
      </c>
      <c r="D173" s="98" t="str">
        <f>IFERROR(__xludf.DUMMYFUNCTION("""COMPUTED_VALUE"""),"Mytel")</f>
        <v>Mytel</v>
      </c>
      <c r="E173" s="98" t="str">
        <f>IFERROR(__xludf.DUMMYFUNCTION("""COMPUTED_VALUE"""),"T2")</f>
        <v>T2</v>
      </c>
      <c r="F173" s="98" t="str">
        <f>IFERROR(__xludf.DUMMYFUNCTION("""COMPUTED_VALUE"""),"Myeik")</f>
        <v>Myeik</v>
      </c>
      <c r="G173" s="98" t="str">
        <f>IFERROR(__xludf.DUMMYFUNCTION("""COMPUTED_VALUE"""),"Pyi Kyaw Aung")</f>
        <v>Pyi Kyaw Aung</v>
      </c>
      <c r="H173" s="98"/>
      <c r="I173" s="98">
        <f>IFERROR(__xludf.DUMMYFUNCTION("""COMPUTED_VALUE"""),0.0)</f>
        <v>0</v>
      </c>
      <c r="J173" s="98"/>
      <c r="K173" s="362">
        <f>IFERROR(__xludf.DUMMYFUNCTION("""COMPUTED_VALUE"""),30.0)</f>
        <v>30</v>
      </c>
      <c r="L173" s="98" t="str">
        <f>IFERROR(__xludf.DUMMYFUNCTION("""COMPUTED_VALUE"""),"24*7")</f>
        <v>24*7</v>
      </c>
      <c r="M173" s="98" t="str">
        <f>IFERROR(__xludf.DUMMYFUNCTION("""COMPUTED_VALUE"""),"Grid+BB")</f>
        <v>Grid+BB</v>
      </c>
      <c r="N173" s="98" t="str">
        <f>IFERROR(__xludf.DUMMYFUNCTION("""COMPUTED_VALUE"""),"ok")</f>
        <v>ok</v>
      </c>
      <c r="O173" s="363"/>
      <c r="P173" s="98"/>
      <c r="Q173" s="98"/>
      <c r="R173" s="100"/>
      <c r="S173" s="363"/>
      <c r="T173" s="100"/>
      <c r="U173" s="98"/>
      <c r="V173" s="100"/>
      <c r="W173" s="98"/>
      <c r="X173" s="363"/>
      <c r="Y173" s="100"/>
      <c r="Z173" s="363"/>
      <c r="AA173" s="98"/>
      <c r="AB173" s="363"/>
      <c r="AC173" s="100"/>
      <c r="AD173" s="363"/>
      <c r="AE173" s="100"/>
      <c r="AF173" s="364">
        <f>IFERROR(__xludf.DUMMYFUNCTION("""COMPUTED_VALUE"""),1205.0)</f>
        <v>1205</v>
      </c>
      <c r="AG173" s="98" t="str">
        <f>IFERROR(__xludf.DUMMYFUNCTION("""COMPUTED_VALUE"""),"CT ETA 6:30 AM")</f>
        <v>CT ETA 6:30 AM</v>
      </c>
      <c r="AH173" s="98"/>
      <c r="AI173" s="98"/>
      <c r="AJ173" s="98"/>
      <c r="AK173" s="98"/>
      <c r="AL173" s="364">
        <f>IFERROR(__xludf.DUMMYFUNCTION("""COMPUTED_VALUE"""),0.0)</f>
        <v>0</v>
      </c>
      <c r="AM173" s="364">
        <f>IFERROR(__xludf.DUMMYFUNCTION("""COMPUTED_VALUE"""),0.0)</f>
        <v>0</v>
      </c>
    </row>
    <row r="174">
      <c r="A174" s="98">
        <f>IFERROR(__xludf.DUMMYFUNCTION("""COMPUTED_VALUE"""),171.0)</f>
        <v>171</v>
      </c>
      <c r="B174" s="98" t="str">
        <f>IFERROR(__xludf.DUMMYFUNCTION("""COMPUTED_VALUE"""),"TNI0449")</f>
        <v>TNI0449</v>
      </c>
      <c r="C174" s="98" t="str">
        <f>IFERROR(__xludf.DUMMYFUNCTION("""COMPUTED_VALUE"""),"C")</f>
        <v>C</v>
      </c>
      <c r="D174" s="98" t="str">
        <f>IFERROR(__xludf.DUMMYFUNCTION("""COMPUTED_VALUE"""),"OCK")</f>
        <v>OCK</v>
      </c>
      <c r="E174" s="98" t="str">
        <f>IFERROR(__xludf.DUMMYFUNCTION("""COMPUTED_VALUE"""),"T2")</f>
        <v>T2</v>
      </c>
      <c r="F174" s="98" t="str">
        <f>IFERROR(__xludf.DUMMYFUNCTION("""COMPUTED_VALUE"""),"Myeik")</f>
        <v>Myeik</v>
      </c>
      <c r="G174" s="98" t="str">
        <f>IFERROR(__xludf.DUMMYFUNCTION("""COMPUTED_VALUE"""),"Pyi Kyaw Aung")</f>
        <v>Pyi Kyaw Aung</v>
      </c>
      <c r="H174" s="98"/>
      <c r="I174" s="98"/>
      <c r="J174" s="98"/>
      <c r="K174" s="362">
        <f>IFERROR(__xludf.DUMMYFUNCTION("""COMPUTED_VALUE"""),180.0)</f>
        <v>180</v>
      </c>
      <c r="L174" s="98" t="str">
        <f>IFERROR(__xludf.DUMMYFUNCTION("""COMPUTED_VALUE"""),"10:00PM-4:00AM")</f>
        <v>10:00PM-4:00AM</v>
      </c>
      <c r="M174" s="98" t="str">
        <f>IFERROR(__xludf.DUMMYFUNCTION("""COMPUTED_VALUE"""),"Grid+BB")</f>
        <v>Grid+BB</v>
      </c>
      <c r="N174" s="98" t="str">
        <f>IFERROR(__xludf.DUMMYFUNCTION("""COMPUTED_VALUE"""),"ok")</f>
        <v>ok</v>
      </c>
      <c r="O174" s="363"/>
      <c r="P174" s="98"/>
      <c r="Q174" s="98"/>
      <c r="R174" s="100"/>
      <c r="S174" s="363"/>
      <c r="T174" s="100"/>
      <c r="U174" s="98"/>
      <c r="V174" s="100"/>
      <c r="W174" s="98"/>
      <c r="X174" s="363"/>
      <c r="Y174" s="100"/>
      <c r="Z174" s="363"/>
      <c r="AA174" s="98"/>
      <c r="AB174" s="363"/>
      <c r="AC174" s="100"/>
      <c r="AD174" s="363"/>
      <c r="AE174" s="100"/>
      <c r="AF174" s="364">
        <f>IFERROR(__xludf.DUMMYFUNCTION("""COMPUTED_VALUE"""),1387.0)</f>
        <v>1387</v>
      </c>
      <c r="AG174" s="98" t="str">
        <f>IFERROR(__xludf.DUMMYFUNCTION("""COMPUTED_VALUE"""),"TCO team ETA 8:30 AM")</f>
        <v>TCO team ETA 8:30 AM</v>
      </c>
      <c r="AH174" s="98"/>
      <c r="AI174" s="98"/>
      <c r="AJ174" s="98"/>
      <c r="AK174" s="98"/>
      <c r="AL174" s="364">
        <f>IFERROR(__xludf.DUMMYFUNCTION("""COMPUTED_VALUE"""),0.0)</f>
        <v>0</v>
      </c>
      <c r="AM174" s="364">
        <f>IFERROR(__xludf.DUMMYFUNCTION("""COMPUTED_VALUE"""),0.0)</f>
        <v>0</v>
      </c>
    </row>
    <row r="175">
      <c r="A175" s="98">
        <f>IFERROR(__xludf.DUMMYFUNCTION("""COMPUTED_VALUE"""),172.0)</f>
        <v>172</v>
      </c>
      <c r="B175" s="98" t="str">
        <f>IFERROR(__xludf.DUMMYFUNCTION("""COMPUTED_VALUE"""),"TNI0027")</f>
        <v>TNI0027</v>
      </c>
      <c r="C175" s="98" t="str">
        <f>IFERROR(__xludf.DUMMYFUNCTION("""COMPUTED_VALUE"""),"B")</f>
        <v>B</v>
      </c>
      <c r="D175" s="98" t="str">
        <f>IFERROR(__xludf.DUMMYFUNCTION("""COMPUTED_VALUE"""),"Edotco")</f>
        <v>Edotco</v>
      </c>
      <c r="E175" s="98" t="str">
        <f>IFERROR(__xludf.DUMMYFUNCTION("""COMPUTED_VALUE"""),"T2")</f>
        <v>T2</v>
      </c>
      <c r="F175" s="98" t="str">
        <f>IFERROR(__xludf.DUMMYFUNCTION("""COMPUTED_VALUE"""),"Myeik")</f>
        <v>Myeik</v>
      </c>
      <c r="G175" s="98" t="str">
        <f>IFERROR(__xludf.DUMMYFUNCTION("""COMPUTED_VALUE"""),"Pyi Kyaw Aung")</f>
        <v>Pyi Kyaw Aung</v>
      </c>
      <c r="H175" s="98"/>
      <c r="I175" s="98">
        <f>IFERROR(__xludf.DUMMYFUNCTION("""COMPUTED_VALUE"""),0.0)</f>
        <v>0</v>
      </c>
      <c r="J175" s="98"/>
      <c r="K175" s="362">
        <f>IFERROR(__xludf.DUMMYFUNCTION("""COMPUTED_VALUE"""),40.0)</f>
        <v>40</v>
      </c>
      <c r="L175" s="98" t="str">
        <f>IFERROR(__xludf.DUMMYFUNCTION("""COMPUTED_VALUE"""),"10:00PM-4:00AM")</f>
        <v>10:00PM-4:00AM</v>
      </c>
      <c r="M175" s="98" t="str">
        <f>IFERROR(__xludf.DUMMYFUNCTION("""COMPUTED_VALUE"""),"1DG+Grid+BB")</f>
        <v>1DG+Grid+BB</v>
      </c>
      <c r="N175" s="98" t="str">
        <f>IFERROR(__xludf.DUMMYFUNCTION("""COMPUTED_VALUE"""),"ok")</f>
        <v>ok</v>
      </c>
      <c r="O175" s="363"/>
      <c r="P175" s="98"/>
      <c r="Q175" s="98"/>
      <c r="R175" s="100"/>
      <c r="S175" s="363"/>
      <c r="T175" s="100"/>
      <c r="U175" s="98"/>
      <c r="V175" s="100"/>
      <c r="W175" s="98"/>
      <c r="X175" s="363"/>
      <c r="Y175" s="100"/>
      <c r="Z175" s="363"/>
      <c r="AA175" s="98"/>
      <c r="AB175" s="363"/>
      <c r="AC175" s="100"/>
      <c r="AD175" s="363"/>
      <c r="AE175" s="100"/>
      <c r="AF175" s="364">
        <f>IFERROR(__xludf.DUMMYFUNCTION("""COMPUTED_VALUE"""),2114.0)</f>
        <v>2114</v>
      </c>
      <c r="AG175" s="98" t="str">
        <f>IFERROR(__xludf.DUMMYFUNCTION("""COMPUTED_VALUE"""),"Checking with TCO team ")</f>
        <v>Checking with TCO team </v>
      </c>
      <c r="AH175" s="98"/>
      <c r="AI175" s="98"/>
      <c r="AJ175" s="98"/>
      <c r="AK175" s="98"/>
      <c r="AL175" s="364">
        <f>IFERROR(__xludf.DUMMYFUNCTION("""COMPUTED_VALUE"""),0.0)</f>
        <v>0</v>
      </c>
      <c r="AM175" s="364">
        <f>IFERROR(__xludf.DUMMYFUNCTION("""COMPUTED_VALUE"""),0.0)</f>
        <v>0</v>
      </c>
    </row>
    <row r="176">
      <c r="A176" s="98">
        <f>IFERROR(__xludf.DUMMYFUNCTION("""COMPUTED_VALUE"""),173.0)</f>
        <v>173</v>
      </c>
      <c r="B176" s="98" t="str">
        <f>IFERROR(__xludf.DUMMYFUNCTION("""COMPUTED_VALUE"""),"TNI0028")</f>
        <v>TNI0028</v>
      </c>
      <c r="C176" s="98" t="str">
        <f>IFERROR(__xludf.DUMMYFUNCTION("""COMPUTED_VALUE"""),"C")</f>
        <v>C</v>
      </c>
      <c r="D176" s="98" t="str">
        <f>IFERROR(__xludf.DUMMYFUNCTION("""COMPUTED_VALUE"""),"Apollo")</f>
        <v>Apollo</v>
      </c>
      <c r="E176" s="98" t="str">
        <f>IFERROR(__xludf.DUMMYFUNCTION("""COMPUTED_VALUE"""),"T2")</f>
        <v>T2</v>
      </c>
      <c r="F176" s="98" t="str">
        <f>IFERROR(__xludf.DUMMYFUNCTION("""COMPUTED_VALUE"""),"Myeik")</f>
        <v>Myeik</v>
      </c>
      <c r="G176" s="98" t="str">
        <f>IFERROR(__xludf.DUMMYFUNCTION("""COMPUTED_VALUE"""),"Pyi Kyaw Aung")</f>
        <v>Pyi Kyaw Aung</v>
      </c>
      <c r="H176" s="98"/>
      <c r="I176" s="98">
        <f>IFERROR(__xludf.DUMMYFUNCTION("""COMPUTED_VALUE"""),0.0)</f>
        <v>0</v>
      </c>
      <c r="J176" s="98"/>
      <c r="K176" s="362">
        <f>IFERROR(__xludf.DUMMYFUNCTION("""COMPUTED_VALUE"""),40.0)</f>
        <v>40</v>
      </c>
      <c r="L176" s="98" t="str">
        <f>IFERROR(__xludf.DUMMYFUNCTION("""COMPUTED_VALUE"""),"7:00PM-6:00AM")</f>
        <v>7:00PM-6:00AM</v>
      </c>
      <c r="M176" s="98" t="str">
        <f>IFERROR(__xludf.DUMMYFUNCTION("""COMPUTED_VALUE"""),"1DG+Grid+BB")</f>
        <v>1DG+Grid+BB</v>
      </c>
      <c r="N176" s="98" t="str">
        <f>IFERROR(__xludf.DUMMYFUNCTION("""COMPUTED_VALUE"""),"ok")</f>
        <v>ok</v>
      </c>
      <c r="O176" s="363"/>
      <c r="P176" s="98"/>
      <c r="Q176" s="98"/>
      <c r="R176" s="100"/>
      <c r="S176" s="363"/>
      <c r="T176" s="100"/>
      <c r="U176" s="98"/>
      <c r="V176" s="100"/>
      <c r="W176" s="98"/>
      <c r="X176" s="363"/>
      <c r="Y176" s="100"/>
      <c r="Z176" s="363"/>
      <c r="AA176" s="98"/>
      <c r="AB176" s="363"/>
      <c r="AC176" s="100"/>
      <c r="AD176" s="363"/>
      <c r="AE176" s="100"/>
      <c r="AF176" s="364">
        <f>IFERROR(__xludf.DUMMYFUNCTION("""COMPUTED_VALUE"""),1695.0)</f>
        <v>1695</v>
      </c>
      <c r="AG176" s="98"/>
      <c r="AH176" s="98"/>
      <c r="AI176" s="98"/>
      <c r="AJ176" s="98"/>
      <c r="AK176" s="98"/>
      <c r="AL176" s="364">
        <f>IFERROR(__xludf.DUMMYFUNCTION("""COMPUTED_VALUE"""),0.0)</f>
        <v>0</v>
      </c>
      <c r="AM176" s="364">
        <f>IFERROR(__xludf.DUMMYFUNCTION("""COMPUTED_VALUE"""),0.0)</f>
        <v>0</v>
      </c>
    </row>
    <row r="177">
      <c r="A177" s="98">
        <f>IFERROR(__xludf.DUMMYFUNCTION("""COMPUTED_VALUE"""),174.0)</f>
        <v>174</v>
      </c>
      <c r="B177" s="98" t="str">
        <f>IFERROR(__xludf.DUMMYFUNCTION("""COMPUTED_VALUE"""),"TNI0002")</f>
        <v>TNI0002</v>
      </c>
      <c r="C177" s="98" t="str">
        <f>IFERROR(__xludf.DUMMYFUNCTION("""COMPUTED_VALUE"""),"B")</f>
        <v>B</v>
      </c>
      <c r="D177" s="98" t="str">
        <f>IFERROR(__xludf.DUMMYFUNCTION("""COMPUTED_VALUE"""),"MEC")</f>
        <v>MEC</v>
      </c>
      <c r="E177" s="98" t="str">
        <f>IFERROR(__xludf.DUMMYFUNCTION("""COMPUTED_VALUE"""),"T2")</f>
        <v>T2</v>
      </c>
      <c r="F177" s="98" t="str">
        <f>IFERROR(__xludf.DUMMYFUNCTION("""COMPUTED_VALUE"""),"Myeik")</f>
        <v>Myeik</v>
      </c>
      <c r="G177" s="98" t="str">
        <f>IFERROR(__xludf.DUMMYFUNCTION("""COMPUTED_VALUE"""),"Pyi Kyaw Aung")</f>
        <v>Pyi Kyaw Aung</v>
      </c>
      <c r="H177" s="98"/>
      <c r="I177" s="98">
        <f>IFERROR(__xludf.DUMMYFUNCTION("""COMPUTED_VALUE"""),0.0)</f>
        <v>0</v>
      </c>
      <c r="J177" s="98"/>
      <c r="K177" s="362">
        <f>IFERROR(__xludf.DUMMYFUNCTION("""COMPUTED_VALUE"""),30.0)</f>
        <v>30</v>
      </c>
      <c r="L177" s="98" t="str">
        <f>IFERROR(__xludf.DUMMYFUNCTION("""COMPUTED_VALUE"""),"10:00PM-4:00AM")</f>
        <v>10:00PM-4:00AM</v>
      </c>
      <c r="M177" s="98" t="str">
        <f>IFERROR(__xludf.DUMMYFUNCTION("""COMPUTED_VALUE"""),"1DG+Solar+Grid+BB")</f>
        <v>1DG+Solar+Grid+BB</v>
      </c>
      <c r="N177" s="98" t="str">
        <f>IFERROR(__xludf.DUMMYFUNCTION("""COMPUTED_VALUE"""),"0")</f>
        <v>0</v>
      </c>
      <c r="O177" s="363">
        <f>IFERROR(__xludf.DUMMYFUNCTION("""COMPUTED_VALUE"""),46205.59886574074)</f>
        <v>46205.59887</v>
      </c>
      <c r="P177" s="98" t="str">
        <f>IFERROR(__xludf.DUMMYFUNCTION("""COMPUTED_VALUE"""),"4:15")</f>
        <v>4:15</v>
      </c>
      <c r="Q177" s="98" t="str">
        <f>IFERROR(__xludf.DUMMYFUNCTION("""COMPUTED_VALUE""")," +Battery Door: 05/12/2024 12:42")</f>
        <v> +Battery Door: 05/12/2024 12:42</v>
      </c>
      <c r="R177" s="100">
        <f>IFERROR(__xludf.DUMMYFUNCTION("""COMPUTED_VALUE"""),13780.62)</f>
        <v>13780.62</v>
      </c>
      <c r="S177" s="363">
        <f>IFERROR(__xludf.DUMMYFUNCTION("""COMPUTED_VALUE"""),46205.60393518519)</f>
        <v>46205.60394</v>
      </c>
      <c r="T177" s="100">
        <f>IFERROR(__xludf.DUMMYFUNCTION("""COMPUTED_VALUE"""),4.134873611095827)</f>
        <v>4.134873611</v>
      </c>
      <c r="U177" s="98"/>
      <c r="V177" s="100" t="str">
        <f>IFERROR(__xludf.DUMMYFUNCTION("""COMPUTED_VALUE"""),"13781.05")</f>
        <v>13781.05</v>
      </c>
      <c r="W177" s="98"/>
      <c r="X177" s="363">
        <f>IFERROR(__xludf.DUMMYFUNCTION("""COMPUTED_VALUE"""),46154.66740740741)</f>
        <v>46154.66741</v>
      </c>
      <c r="Y177" s="100">
        <f>IFERROR(__xludf.DUMMYFUNCTION("""COMPUTED_VALUE"""),1226.6115402777214)</f>
        <v>1226.61154</v>
      </c>
      <c r="Z177" s="363"/>
      <c r="AA177" s="98"/>
      <c r="AB177" s="363"/>
      <c r="AC177" s="100"/>
      <c r="AD177" s="363"/>
      <c r="AE177" s="100"/>
      <c r="AF177" s="364">
        <f>IFERROR(__xludf.DUMMYFUNCTION("""COMPUTED_VALUE"""),1343.0)</f>
        <v>1343</v>
      </c>
      <c r="AG177" s="98"/>
      <c r="AH177" s="98"/>
      <c r="AI177" s="98"/>
      <c r="AJ177" s="98"/>
      <c r="AK177" s="98"/>
      <c r="AL177" s="364">
        <f>IFERROR(__xludf.DUMMYFUNCTION("""COMPUTED_VALUE"""),0.0)</f>
        <v>0</v>
      </c>
      <c r="AM177" s="364">
        <f>IFERROR(__xludf.DUMMYFUNCTION("""COMPUTED_VALUE"""),0.0)</f>
        <v>0</v>
      </c>
    </row>
    <row r="178">
      <c r="A178" s="98">
        <f>IFERROR(__xludf.DUMMYFUNCTION("""COMPUTED_VALUE"""),175.0)</f>
        <v>175</v>
      </c>
      <c r="B178" s="98" t="str">
        <f>IFERROR(__xludf.DUMMYFUNCTION("""COMPUTED_VALUE"""),"TNI0228")</f>
        <v>TNI0228</v>
      </c>
      <c r="C178" s="98" t="str">
        <f>IFERROR(__xludf.DUMMYFUNCTION("""COMPUTED_VALUE"""),"C")</f>
        <v>C</v>
      </c>
      <c r="D178" s="98" t="str">
        <f>IFERROR(__xludf.DUMMYFUNCTION("""COMPUTED_VALUE"""),"MEC")</f>
        <v>MEC</v>
      </c>
      <c r="E178" s="98" t="str">
        <f>IFERROR(__xludf.DUMMYFUNCTION("""COMPUTED_VALUE"""),"T2")</f>
        <v>T2</v>
      </c>
      <c r="F178" s="98" t="str">
        <f>IFERROR(__xludf.DUMMYFUNCTION("""COMPUTED_VALUE"""),"Myeik")</f>
        <v>Myeik</v>
      </c>
      <c r="G178" s="98" t="str">
        <f>IFERROR(__xludf.DUMMYFUNCTION("""COMPUTED_VALUE"""),"Pyi Kyaw Aung")</f>
        <v>Pyi Kyaw Aung</v>
      </c>
      <c r="H178" s="98"/>
      <c r="I178" s="98">
        <f>IFERROR(__xludf.DUMMYFUNCTION("""COMPUTED_VALUE"""),0.0)</f>
        <v>0</v>
      </c>
      <c r="J178" s="98"/>
      <c r="K178" s="362">
        <f>IFERROR(__xludf.DUMMYFUNCTION("""COMPUTED_VALUE"""),60.0)</f>
        <v>60</v>
      </c>
      <c r="L178" s="98" t="str">
        <f>IFERROR(__xludf.DUMMYFUNCTION("""COMPUTED_VALUE"""),"8:00PM-5:00AM")</f>
        <v>8:00PM-5:00AM</v>
      </c>
      <c r="M178" s="98" t="str">
        <f>IFERROR(__xludf.DUMMYFUNCTION("""COMPUTED_VALUE"""),"1DG+Solar+BB")</f>
        <v>1DG+Solar+BB</v>
      </c>
      <c r="N178" s="98" t="str">
        <f>IFERROR(__xludf.DUMMYFUNCTION("""COMPUTED_VALUE"""),"317")</f>
        <v>317</v>
      </c>
      <c r="O178" s="363"/>
      <c r="P178" s="98"/>
      <c r="Q178" s="98"/>
      <c r="R178" s="100"/>
      <c r="S178" s="363"/>
      <c r="T178" s="100"/>
      <c r="U178" s="98"/>
      <c r="V178" s="100"/>
      <c r="W178" s="98"/>
      <c r="X178" s="363">
        <f>IFERROR(__xludf.DUMMYFUNCTION("""COMPUTED_VALUE"""),46204.91918981481)</f>
        <v>46204.91919</v>
      </c>
      <c r="Y178" s="100">
        <f>IFERROR(__xludf.DUMMYFUNCTION("""COMPUTED_VALUE"""),20.568762500071898)</f>
        <v>20.5687625</v>
      </c>
      <c r="Z178" s="363">
        <f>IFERROR(__xludf.DUMMYFUNCTION("""COMPUTED_VALUE"""),46205.454675925925)</f>
        <v>46205.45468</v>
      </c>
      <c r="AA178" s="98" t="str">
        <f>IFERROR(__xludf.DUMMYFUNCTION("""COMPUTED_VALUE"""),"7:43")</f>
        <v>7:43</v>
      </c>
      <c r="AB178" s="363"/>
      <c r="AC178" s="100"/>
      <c r="AD178" s="363"/>
      <c r="AE178" s="100"/>
      <c r="AF178" s="364">
        <f>IFERROR(__xludf.DUMMYFUNCTION("""COMPUTED_VALUE"""),2261.0)</f>
        <v>2261</v>
      </c>
      <c r="AG178" s="98" t="str">
        <f>IFERROR(__xludf.DUMMYFUNCTION("""COMPUTED_VALUE"""),"Checking with team")</f>
        <v>Checking with team</v>
      </c>
      <c r="AH178" s="98"/>
      <c r="AI178" s="98"/>
      <c r="AJ178" s="98"/>
      <c r="AK178" s="98"/>
      <c r="AL178" s="364">
        <f>IFERROR(__xludf.DUMMYFUNCTION("""COMPUTED_VALUE"""),0.0)</f>
        <v>0</v>
      </c>
      <c r="AM178" s="364">
        <f>IFERROR(__xludf.DUMMYFUNCTION("""COMPUTED_VALUE"""),0.0)</f>
        <v>0</v>
      </c>
    </row>
    <row r="179">
      <c r="A179" s="98">
        <f>IFERROR(__xludf.DUMMYFUNCTION("""COMPUTED_VALUE"""),176.0)</f>
        <v>176</v>
      </c>
      <c r="B179" s="98" t="str">
        <f>IFERROR(__xludf.DUMMYFUNCTION("""COMPUTED_VALUE"""),"TNI0447")</f>
        <v>TNI0447</v>
      </c>
      <c r="C179" s="98" t="str">
        <f>IFERROR(__xludf.DUMMYFUNCTION("""COMPUTED_VALUE"""),"C")</f>
        <v>C</v>
      </c>
      <c r="D179" s="98" t="str">
        <f>IFERROR(__xludf.DUMMYFUNCTION("""COMPUTED_VALUE"""),"OCK")</f>
        <v>OCK</v>
      </c>
      <c r="E179" s="98" t="str">
        <f>IFERROR(__xludf.DUMMYFUNCTION("""COMPUTED_VALUE"""),"T2")</f>
        <v>T2</v>
      </c>
      <c r="F179" s="98" t="str">
        <f>IFERROR(__xludf.DUMMYFUNCTION("""COMPUTED_VALUE"""),"Myeik")</f>
        <v>Myeik</v>
      </c>
      <c r="G179" s="98" t="str">
        <f>IFERROR(__xludf.DUMMYFUNCTION("""COMPUTED_VALUE"""),"Pyi Kyaw Aung")</f>
        <v>Pyi Kyaw Aung</v>
      </c>
      <c r="H179" s="98"/>
      <c r="I179" s="98"/>
      <c r="J179" s="98"/>
      <c r="K179" s="362">
        <f>IFERROR(__xludf.DUMMYFUNCTION("""COMPUTED_VALUE"""),180.0)</f>
        <v>180</v>
      </c>
      <c r="L179" s="98" t="str">
        <f>IFERROR(__xludf.DUMMYFUNCTION("""COMPUTED_VALUE"""),"10:00PM-4:00AM")</f>
        <v>10:00PM-4:00AM</v>
      </c>
      <c r="M179" s="98" t="str">
        <f>IFERROR(__xludf.DUMMYFUNCTION("""COMPUTED_VALUE"""),"Grid+BB")</f>
        <v>Grid+BB</v>
      </c>
      <c r="N179" s="98" t="str">
        <f>IFERROR(__xludf.DUMMYFUNCTION("""COMPUTED_VALUE"""),"ok")</f>
        <v>ok</v>
      </c>
      <c r="O179" s="363"/>
      <c r="P179" s="98"/>
      <c r="Q179" s="98"/>
      <c r="R179" s="100"/>
      <c r="S179" s="363"/>
      <c r="T179" s="100"/>
      <c r="U179" s="98"/>
      <c r="V179" s="100"/>
      <c r="W179" s="98"/>
      <c r="X179" s="363"/>
      <c r="Y179" s="100"/>
      <c r="Z179" s="363"/>
      <c r="AA179" s="98"/>
      <c r="AB179" s="363"/>
      <c r="AC179" s="100"/>
      <c r="AD179" s="363"/>
      <c r="AE179" s="100"/>
      <c r="AF179" s="364">
        <f>IFERROR(__xludf.DUMMYFUNCTION("""COMPUTED_VALUE"""),1555.0)</f>
        <v>1555</v>
      </c>
      <c r="AG179" s="98" t="str">
        <f>IFERROR(__xludf.DUMMYFUNCTION("""COMPUTED_VALUE"""),"Hub site TNI0346 down")</f>
        <v>Hub site TNI0346 down</v>
      </c>
      <c r="AH179" s="98"/>
      <c r="AI179" s="98"/>
      <c r="AJ179" s="98"/>
      <c r="AK179" s="98"/>
      <c r="AL179" s="364">
        <f>IFERROR(__xludf.DUMMYFUNCTION("""COMPUTED_VALUE"""),0.0)</f>
        <v>0</v>
      </c>
      <c r="AM179" s="364">
        <f>IFERROR(__xludf.DUMMYFUNCTION("""COMPUTED_VALUE"""),0.0)</f>
        <v>0</v>
      </c>
    </row>
    <row r="180">
      <c r="A180" s="98">
        <f>IFERROR(__xludf.DUMMYFUNCTION("""COMPUTED_VALUE"""),177.0)</f>
        <v>177</v>
      </c>
      <c r="B180" s="98" t="str">
        <f>IFERROR(__xludf.DUMMYFUNCTION("""COMPUTED_VALUE"""),"TNI0380")</f>
        <v>TNI0380</v>
      </c>
      <c r="C180" s="98" t="str">
        <f>IFERROR(__xludf.DUMMYFUNCTION("""COMPUTED_VALUE"""),"C")</f>
        <v>C</v>
      </c>
      <c r="D180" s="98" t="str">
        <f>IFERROR(__xludf.DUMMYFUNCTION("""COMPUTED_VALUE"""),"TIP")</f>
        <v>TIP</v>
      </c>
      <c r="E180" s="98" t="str">
        <f>IFERROR(__xludf.DUMMYFUNCTION("""COMPUTED_VALUE"""),"T2")</f>
        <v>T2</v>
      </c>
      <c r="F180" s="98" t="str">
        <f>IFERROR(__xludf.DUMMYFUNCTION("""COMPUTED_VALUE"""),"Kyunsu")</f>
        <v>Kyunsu</v>
      </c>
      <c r="G180" s="98" t="str">
        <f>IFERROR(__xludf.DUMMYFUNCTION("""COMPUTED_VALUE"""),"Pyi Kyaw Aung")</f>
        <v>Pyi Kyaw Aung</v>
      </c>
      <c r="H180" s="98" t="str">
        <f>IFERROR(__xludf.DUMMYFUNCTION("""COMPUTED_VALUE"""),"Tun Tun Naing: 09693612728")</f>
        <v>Tun Tun Naing: 09693612728</v>
      </c>
      <c r="I180" s="98"/>
      <c r="J180" s="98"/>
      <c r="K180" s="362">
        <f>IFERROR(__xludf.DUMMYFUNCTION("""COMPUTED_VALUE"""),180.0)</f>
        <v>180</v>
      </c>
      <c r="L180" s="98" t="str">
        <f>IFERROR(__xludf.DUMMYFUNCTION("""COMPUTED_VALUE"""),"6PM-6AM")</f>
        <v>6PM-6AM</v>
      </c>
      <c r="M180" s="98" t="str">
        <f>IFERROR(__xludf.DUMMYFUNCTION("""COMPUTED_VALUE"""),"Grid+BB")</f>
        <v>Grid+BB</v>
      </c>
      <c r="N180" s="98" t="str">
        <f>IFERROR(__xludf.DUMMYFUNCTION("""COMPUTED_VALUE"""),"0")</f>
        <v>0</v>
      </c>
      <c r="O180" s="363"/>
      <c r="P180" s="98"/>
      <c r="Q180" s="98"/>
      <c r="R180" s="100"/>
      <c r="S180" s="363"/>
      <c r="T180" s="100"/>
      <c r="U180" s="98"/>
      <c r="V180" s="100"/>
      <c r="W180" s="98"/>
      <c r="X180" s="363"/>
      <c r="Y180" s="100"/>
      <c r="Z180" s="363"/>
      <c r="AA180" s="98"/>
      <c r="AB180" s="363"/>
      <c r="AC180" s="100"/>
      <c r="AD180" s="363"/>
      <c r="AE180" s="100"/>
      <c r="AF180" s="364">
        <f>IFERROR(__xludf.DUMMYFUNCTION("""COMPUTED_VALUE"""),2462.0)</f>
        <v>2462</v>
      </c>
      <c r="AG180" s="98" t="str">
        <f>IFERROR(__xludf.DUMMYFUNCTION("""COMPUTED_VALUE"""),"Checking with CT")</f>
        <v>Checking with CT</v>
      </c>
      <c r="AH180" s="98"/>
      <c r="AI180" s="98"/>
      <c r="AJ180" s="98"/>
      <c r="AK180" s="98"/>
      <c r="AL180" s="364">
        <f>IFERROR(__xludf.DUMMYFUNCTION("""COMPUTED_VALUE"""),0.0)</f>
        <v>0</v>
      </c>
      <c r="AM180" s="364">
        <f>IFERROR(__xludf.DUMMYFUNCTION("""COMPUTED_VALUE"""),0.0)</f>
        <v>0</v>
      </c>
    </row>
    <row r="181">
      <c r="A181" s="98">
        <f>IFERROR(__xludf.DUMMYFUNCTION("""COMPUTED_VALUE"""),178.0)</f>
        <v>178</v>
      </c>
      <c r="B181" s="98" t="str">
        <f>IFERROR(__xludf.DUMMYFUNCTION("""COMPUTED_VALUE"""),"TNI0029")</f>
        <v>TNI0029</v>
      </c>
      <c r="C181" s="98" t="str">
        <f>IFERROR(__xludf.DUMMYFUNCTION("""COMPUTED_VALUE"""),"C")</f>
        <v>C</v>
      </c>
      <c r="D181" s="98" t="str">
        <f>IFERROR(__xludf.DUMMYFUNCTION("""COMPUTED_VALUE"""),"Apollo")</f>
        <v>Apollo</v>
      </c>
      <c r="E181" s="98" t="str">
        <f>IFERROR(__xludf.DUMMYFUNCTION("""COMPUTED_VALUE"""),"T2")</f>
        <v>T2</v>
      </c>
      <c r="F181" s="98" t="str">
        <f>IFERROR(__xludf.DUMMYFUNCTION("""COMPUTED_VALUE"""),"Myeik")</f>
        <v>Myeik</v>
      </c>
      <c r="G181" s="98" t="str">
        <f>IFERROR(__xludf.DUMMYFUNCTION("""COMPUTED_VALUE"""),"Pyi Kyaw Aung")</f>
        <v>Pyi Kyaw Aung</v>
      </c>
      <c r="H181" s="98"/>
      <c r="I181" s="98">
        <f>IFERROR(__xludf.DUMMYFUNCTION("""COMPUTED_VALUE"""),0.0)</f>
        <v>0</v>
      </c>
      <c r="J181" s="98"/>
      <c r="K181" s="362">
        <f>IFERROR(__xludf.DUMMYFUNCTION("""COMPUTED_VALUE"""),40.0)</f>
        <v>40</v>
      </c>
      <c r="L181" s="98" t="str">
        <f>IFERROR(__xludf.DUMMYFUNCTION("""COMPUTED_VALUE"""),"10:00PM-4:00AM")</f>
        <v>10:00PM-4:00AM</v>
      </c>
      <c r="M181" s="98" t="str">
        <f>IFERROR(__xludf.DUMMYFUNCTION("""COMPUTED_VALUE"""),"1DG+Grid+BB")</f>
        <v>1DG+Grid+BB</v>
      </c>
      <c r="N181" s="98" t="str">
        <f>IFERROR(__xludf.DUMMYFUNCTION("""COMPUTED_VALUE"""),"ok")</f>
        <v>ok</v>
      </c>
      <c r="O181" s="363"/>
      <c r="P181" s="98"/>
      <c r="Q181" s="98"/>
      <c r="R181" s="100"/>
      <c r="S181" s="363"/>
      <c r="T181" s="100"/>
      <c r="U181" s="98"/>
      <c r="V181" s="100"/>
      <c r="W181" s="98"/>
      <c r="X181" s="363"/>
      <c r="Y181" s="100"/>
      <c r="Z181" s="363"/>
      <c r="AA181" s="98"/>
      <c r="AB181" s="363"/>
      <c r="AC181" s="100"/>
      <c r="AD181" s="363"/>
      <c r="AE181" s="100"/>
      <c r="AF181" s="364">
        <f>IFERROR(__xludf.DUMMYFUNCTION("""COMPUTED_VALUE"""),1175.0)</f>
        <v>1175</v>
      </c>
      <c r="AG181" s="98" t="str">
        <f>IFERROR(__xludf.DUMMYFUNCTION("""COMPUTED_VALUE"""),"Checking with TCO team ")</f>
        <v>Checking with TCO team </v>
      </c>
      <c r="AH181" s="98"/>
      <c r="AI181" s="98"/>
      <c r="AJ181" s="98"/>
      <c r="AK181" s="98"/>
      <c r="AL181" s="364">
        <f>IFERROR(__xludf.DUMMYFUNCTION("""COMPUTED_VALUE"""),0.0)</f>
        <v>0</v>
      </c>
      <c r="AM181" s="364">
        <f>IFERROR(__xludf.DUMMYFUNCTION("""COMPUTED_VALUE"""),0.0)</f>
        <v>0</v>
      </c>
    </row>
    <row r="182">
      <c r="A182" s="98">
        <f>IFERROR(__xludf.DUMMYFUNCTION("""COMPUTED_VALUE"""),179.0)</f>
        <v>179</v>
      </c>
      <c r="B182" s="98" t="str">
        <f>IFERROR(__xludf.DUMMYFUNCTION("""COMPUTED_VALUE"""),"TNI0349")</f>
        <v>TNI0349</v>
      </c>
      <c r="C182" s="98" t="str">
        <f>IFERROR(__xludf.DUMMYFUNCTION("""COMPUTED_VALUE"""),"C")</f>
        <v>C</v>
      </c>
      <c r="D182" s="98" t="str">
        <f>IFERROR(__xludf.DUMMYFUNCTION("""COMPUTED_VALUE"""),"EFT")</f>
        <v>EFT</v>
      </c>
      <c r="E182" s="98" t="str">
        <f>IFERROR(__xludf.DUMMYFUNCTION("""COMPUTED_VALUE"""),"T2")</f>
        <v>T2</v>
      </c>
      <c r="F182" s="98" t="str">
        <f>IFERROR(__xludf.DUMMYFUNCTION("""COMPUTED_VALUE"""),"Myeik")</f>
        <v>Myeik</v>
      </c>
      <c r="G182" s="98" t="str">
        <f>IFERROR(__xludf.DUMMYFUNCTION("""COMPUTED_VALUE"""),"Pyi Kyaw Aung")</f>
        <v>Pyi Kyaw Aung</v>
      </c>
      <c r="H182" s="98"/>
      <c r="I182" s="98">
        <f>IFERROR(__xludf.DUMMYFUNCTION("""COMPUTED_VALUE"""),0.0)</f>
        <v>0</v>
      </c>
      <c r="J182" s="98"/>
      <c r="K182" s="362">
        <f>IFERROR(__xludf.DUMMYFUNCTION("""COMPUTED_VALUE"""),180.0)</f>
        <v>180</v>
      </c>
      <c r="L182" s="98" t="str">
        <f>IFERROR(__xludf.DUMMYFUNCTION("""COMPUTED_VALUE"""),"24*7")</f>
        <v>24*7</v>
      </c>
      <c r="M182" s="98" t="str">
        <f>IFERROR(__xludf.DUMMYFUNCTION("""COMPUTED_VALUE"""),"Grid+BB")</f>
        <v>Grid+BB</v>
      </c>
      <c r="N182" s="98" t="str">
        <f>IFERROR(__xludf.DUMMYFUNCTION("""COMPUTED_VALUE"""),"ok")</f>
        <v>ok</v>
      </c>
      <c r="O182" s="363"/>
      <c r="P182" s="98"/>
      <c r="Q182" s="98"/>
      <c r="R182" s="100"/>
      <c r="S182" s="363"/>
      <c r="T182" s="100"/>
      <c r="U182" s="98"/>
      <c r="V182" s="100"/>
      <c r="W182" s="98"/>
      <c r="X182" s="363"/>
      <c r="Y182" s="100"/>
      <c r="Z182" s="363"/>
      <c r="AA182" s="98"/>
      <c r="AB182" s="363"/>
      <c r="AC182" s="100"/>
      <c r="AD182" s="363"/>
      <c r="AE182" s="100"/>
      <c r="AF182" s="364">
        <f>IFERROR(__xludf.DUMMYFUNCTION("""COMPUTED_VALUE"""),848.0)</f>
        <v>848</v>
      </c>
      <c r="AG182" s="98" t="str">
        <f>IFERROR(__xludf.DUMMYFUNCTION("""COMPUTED_VALUE"""),"TCO team ETA 10:40 AM")</f>
        <v>TCO team ETA 10:40 AM</v>
      </c>
      <c r="AH182" s="98"/>
      <c r="AI182" s="98"/>
      <c r="AJ182" s="98"/>
      <c r="AK182" s="98"/>
      <c r="AL182" s="364">
        <f>IFERROR(__xludf.DUMMYFUNCTION("""COMPUTED_VALUE"""),0.0)</f>
        <v>0</v>
      </c>
      <c r="AM182" s="364">
        <f>IFERROR(__xludf.DUMMYFUNCTION("""COMPUTED_VALUE"""),0.0)</f>
        <v>0</v>
      </c>
    </row>
    <row r="183">
      <c r="A183" s="98">
        <f>IFERROR(__xludf.DUMMYFUNCTION("""COMPUTED_VALUE"""),180.0)</f>
        <v>180</v>
      </c>
      <c r="B183" s="98" t="str">
        <f>IFERROR(__xludf.DUMMYFUNCTION("""COMPUTED_VALUE"""),"TNI0294")</f>
        <v>TNI0294</v>
      </c>
      <c r="C183" s="98" t="str">
        <f>IFERROR(__xludf.DUMMYFUNCTION("""COMPUTED_VALUE"""),"C")</f>
        <v>C</v>
      </c>
      <c r="D183" s="98" t="str">
        <f>IFERROR(__xludf.DUMMYFUNCTION("""COMPUTED_VALUE"""),"Mytel")</f>
        <v>Mytel</v>
      </c>
      <c r="E183" s="98" t="str">
        <f>IFERROR(__xludf.DUMMYFUNCTION("""COMPUTED_VALUE"""),"T2")</f>
        <v>T2</v>
      </c>
      <c r="F183" s="98" t="str">
        <f>IFERROR(__xludf.DUMMYFUNCTION("""COMPUTED_VALUE"""),"Myeik")</f>
        <v>Myeik</v>
      </c>
      <c r="G183" s="98" t="str">
        <f>IFERROR(__xludf.DUMMYFUNCTION("""COMPUTED_VALUE"""),"Pyi Kyaw Aung")</f>
        <v>Pyi Kyaw Aung</v>
      </c>
      <c r="H183" s="98"/>
      <c r="I183" s="98">
        <f>IFERROR(__xludf.DUMMYFUNCTION("""COMPUTED_VALUE"""),0.0)</f>
        <v>0</v>
      </c>
      <c r="J183" s="98"/>
      <c r="K183" s="362">
        <f>IFERROR(__xludf.DUMMYFUNCTION("""COMPUTED_VALUE"""),180.0)</f>
        <v>180</v>
      </c>
      <c r="L183" s="98" t="str">
        <f>IFERROR(__xludf.DUMMYFUNCTION("""COMPUTED_VALUE"""),"24*7")</f>
        <v>24*7</v>
      </c>
      <c r="M183" s="98" t="str">
        <f>IFERROR(__xludf.DUMMYFUNCTION("""COMPUTED_VALUE"""),"Grid+BB")</f>
        <v>Grid+BB</v>
      </c>
      <c r="N183" s="98" t="str">
        <f>IFERROR(__xludf.DUMMYFUNCTION("""COMPUTED_VALUE"""),"ok")</f>
        <v>ok</v>
      </c>
      <c r="O183" s="363"/>
      <c r="P183" s="98"/>
      <c r="Q183" s="98"/>
      <c r="R183" s="100"/>
      <c r="S183" s="363"/>
      <c r="T183" s="100"/>
      <c r="U183" s="98"/>
      <c r="V183" s="100"/>
      <c r="W183" s="98"/>
      <c r="X183" s="363"/>
      <c r="Y183" s="100"/>
      <c r="Z183" s="363"/>
      <c r="AA183" s="98"/>
      <c r="AB183" s="363"/>
      <c r="AC183" s="100"/>
      <c r="AD183" s="363"/>
      <c r="AE183" s="100"/>
      <c r="AF183" s="364">
        <f>IFERROR(__xludf.DUMMYFUNCTION("""COMPUTED_VALUE"""),1322.0)</f>
        <v>1322</v>
      </c>
      <c r="AG183" s="98"/>
      <c r="AH183" s="98"/>
      <c r="AI183" s="98"/>
      <c r="AJ183" s="98"/>
      <c r="AK183" s="98"/>
      <c r="AL183" s="364">
        <f>IFERROR(__xludf.DUMMYFUNCTION("""COMPUTED_VALUE"""),0.0)</f>
        <v>0</v>
      </c>
      <c r="AM183" s="364">
        <f>IFERROR(__xludf.DUMMYFUNCTION("""COMPUTED_VALUE"""),0.0)</f>
        <v>0</v>
      </c>
    </row>
    <row r="184">
      <c r="A184" s="98">
        <f>IFERROR(__xludf.DUMMYFUNCTION("""COMPUTED_VALUE"""),181.0)</f>
        <v>181</v>
      </c>
      <c r="B184" s="98" t="str">
        <f>IFERROR(__xludf.DUMMYFUNCTION("""COMPUTED_VALUE"""),"TNI0415")</f>
        <v>TNI0415</v>
      </c>
      <c r="C184" s="98" t="str">
        <f>IFERROR(__xludf.DUMMYFUNCTION("""COMPUTED_VALUE"""),"C")</f>
        <v>C</v>
      </c>
      <c r="D184" s="98" t="str">
        <f>IFERROR(__xludf.DUMMYFUNCTION("""COMPUTED_VALUE"""),"OCK")</f>
        <v>OCK</v>
      </c>
      <c r="E184" s="98" t="str">
        <f>IFERROR(__xludf.DUMMYFUNCTION("""COMPUTED_VALUE"""),"T2")</f>
        <v>T2</v>
      </c>
      <c r="F184" s="98" t="str">
        <f>IFERROR(__xludf.DUMMYFUNCTION("""COMPUTED_VALUE"""),"Kyunsu")</f>
        <v>Kyunsu</v>
      </c>
      <c r="G184" s="98" t="str">
        <f>IFERROR(__xludf.DUMMYFUNCTION("""COMPUTED_VALUE"""),"Pyi Kyaw Aung")</f>
        <v>Pyi Kyaw Aung</v>
      </c>
      <c r="H184" s="98"/>
      <c r="I184" s="98"/>
      <c r="J184" s="98"/>
      <c r="K184" s="362">
        <f>IFERROR(__xludf.DUMMYFUNCTION("""COMPUTED_VALUE"""),180.0)</f>
        <v>180</v>
      </c>
      <c r="L184" s="98" t="str">
        <f>IFERROR(__xludf.DUMMYFUNCTION("""COMPUTED_VALUE"""),"10:00PM-4:00AM")</f>
        <v>10:00PM-4:00AM</v>
      </c>
      <c r="M184" s="98" t="str">
        <f>IFERROR(__xludf.DUMMYFUNCTION("""COMPUTED_VALUE"""),"Grid+BB")</f>
        <v>Grid+BB</v>
      </c>
      <c r="N184" s="98" t="str">
        <f>IFERROR(__xludf.DUMMYFUNCTION("""COMPUTED_VALUE"""),"ok")</f>
        <v>ok</v>
      </c>
      <c r="O184" s="363"/>
      <c r="P184" s="98"/>
      <c r="Q184" s="98"/>
      <c r="R184" s="100"/>
      <c r="S184" s="363"/>
      <c r="T184" s="100"/>
      <c r="U184" s="98"/>
      <c r="V184" s="100"/>
      <c r="W184" s="98"/>
      <c r="X184" s="363"/>
      <c r="Y184" s="100"/>
      <c r="Z184" s="363"/>
      <c r="AA184" s="98"/>
      <c r="AB184" s="363"/>
      <c r="AC184" s="100"/>
      <c r="AD184" s="363"/>
      <c r="AE184" s="100"/>
      <c r="AF184" s="364">
        <f>IFERROR(__xludf.DUMMYFUNCTION("""COMPUTED_VALUE"""),631.0)</f>
        <v>631</v>
      </c>
      <c r="AG184" s="98" t="str">
        <f>IFERROR(__xludf.DUMMYFUNCTION("""COMPUTED_VALUE"""),"TCO team only run Solar+BB (Main DG broken at unsafa area)")</f>
        <v>TCO team only run Solar+BB (Main DG broken at unsafa area)</v>
      </c>
      <c r="AH184" s="98"/>
      <c r="AI184" s="98" t="str">
        <f>IFERROR(__xludf.DUMMYFUNCTION("""COMPUTED_VALUE"""),"TCO power issue, only run with solar")</f>
        <v>TCO power issue, only run with solar</v>
      </c>
      <c r="AJ184" s="98"/>
      <c r="AK184" s="98"/>
      <c r="AL184" s="364">
        <f>IFERROR(__xludf.DUMMYFUNCTION("""COMPUTED_VALUE"""),0.0)</f>
        <v>0</v>
      </c>
      <c r="AM184" s="364">
        <f>IFERROR(__xludf.DUMMYFUNCTION("""COMPUTED_VALUE"""),0.0)</f>
        <v>0</v>
      </c>
    </row>
    <row r="185">
      <c r="A185" s="98">
        <f>IFERROR(__xludf.DUMMYFUNCTION("""COMPUTED_VALUE"""),182.0)</f>
        <v>182</v>
      </c>
      <c r="B185" s="98" t="str">
        <f>IFERROR(__xludf.DUMMYFUNCTION("""COMPUTED_VALUE"""),"TNI0413")</f>
        <v>TNI0413</v>
      </c>
      <c r="C185" s="98" t="str">
        <f>IFERROR(__xludf.DUMMYFUNCTION("""COMPUTED_VALUE"""),"C")</f>
        <v>C</v>
      </c>
      <c r="D185" s="98" t="str">
        <f>IFERROR(__xludf.DUMMYFUNCTION("""COMPUTED_VALUE"""),"Mytel")</f>
        <v>Mytel</v>
      </c>
      <c r="E185" s="98" t="str">
        <f>IFERROR(__xludf.DUMMYFUNCTION("""COMPUTED_VALUE"""),"T2")</f>
        <v>T2</v>
      </c>
      <c r="F185" s="98" t="str">
        <f>IFERROR(__xludf.DUMMYFUNCTION("""COMPUTED_VALUE"""),"Kyunsu")</f>
        <v>Kyunsu</v>
      </c>
      <c r="G185" s="98" t="str">
        <f>IFERROR(__xludf.DUMMYFUNCTION("""COMPUTED_VALUE"""),"Pyi Kyaw Aung")</f>
        <v>Pyi Kyaw Aung</v>
      </c>
      <c r="H185" s="98" t="str">
        <f>IFERROR(__xludf.DUMMYFUNCTION("""COMPUTED_VALUE"""),"Kyaw Soe Moe: 09662988029")</f>
        <v>Kyaw Soe Moe: 09662988029</v>
      </c>
      <c r="I185" s="98"/>
      <c r="J185" s="98"/>
      <c r="K185" s="362">
        <f>IFERROR(__xludf.DUMMYFUNCTION("""COMPUTED_VALUE"""),720.0)</f>
        <v>720</v>
      </c>
      <c r="L185" s="98" t="str">
        <f>IFERROR(__xludf.DUMMYFUNCTION("""COMPUTED_VALUE"""),"24*7")</f>
        <v>24*7</v>
      </c>
      <c r="M185" s="98" t="str">
        <f>IFERROR(__xludf.DUMMYFUNCTION("""COMPUTED_VALUE"""),"1DG+BB")</f>
        <v>1DG+BB</v>
      </c>
      <c r="N185" s="98" t="str">
        <f>IFERROR(__xludf.DUMMYFUNCTION("""COMPUTED_VALUE"""),"161")</f>
        <v>161</v>
      </c>
      <c r="O185" s="363"/>
      <c r="P185" s="98"/>
      <c r="Q185" s="98" t="str">
        <f>IFERROR(__xludf.DUMMYFUNCTION("""COMPUTED_VALUE""")," +Door Alarm: 11/11/2025 09:23 +Battery Door: 11/11/2025 09:23")</f>
        <v> +Door Alarm: 11/11/2025 09:23 +Battery Door: 11/11/2025 09:23</v>
      </c>
      <c r="R185" s="100">
        <f>IFERROR(__xludf.DUMMYFUNCTION("""COMPUTED_VALUE"""),5599.95)</f>
        <v>5599.95</v>
      </c>
      <c r="S185" s="363"/>
      <c r="T185" s="100"/>
      <c r="U185" s="98"/>
      <c r="V185" s="100" t="str">
        <f>IFERROR(__xludf.DUMMYFUNCTION("""COMPUTED_VALUE"""),"5599.95")</f>
        <v>5599.95</v>
      </c>
      <c r="W185" s="98"/>
      <c r="X185" s="363">
        <f>IFERROR(__xludf.DUMMYFUNCTION("""COMPUTED_VALUE"""),46205.635462962964)</f>
        <v>46205.63546</v>
      </c>
      <c r="Y185" s="100">
        <f>IFERROR(__xludf.DUMMYFUNCTION("""COMPUTED_VALUE"""),3.378206944442354)</f>
        <v>3.378206944</v>
      </c>
      <c r="Z185" s="363"/>
      <c r="AA185" s="98"/>
      <c r="AB185" s="363"/>
      <c r="AC185" s="100"/>
      <c r="AD185" s="363"/>
      <c r="AE185" s="100"/>
      <c r="AF185" s="364">
        <f>IFERROR(__xludf.DUMMYFUNCTION("""COMPUTED_VALUE"""),2836.0)</f>
        <v>2836</v>
      </c>
      <c r="AG185" s="98" t="str">
        <f>IFERROR(__xludf.DUMMYFUNCTION("""COMPUTED_VALUE"""),"Checking with CT")</f>
        <v>Checking with CT</v>
      </c>
      <c r="AH185" s="98" t="str">
        <f>IFERROR(__xludf.DUMMYFUNCTION("""COMPUTED_VALUE"""),"T-NYC")</f>
        <v>T-NYC</v>
      </c>
      <c r="AI185" s="98" t="str">
        <f>IFERROR(__xludf.DUMMYFUNCTION("""COMPUTED_VALUE"""),"TCO team break MYT power due to not enough power")</f>
        <v>TCO team break MYT power due to not enough power</v>
      </c>
      <c r="AJ185" s="98"/>
      <c r="AK185" s="98"/>
      <c r="AL185" s="364">
        <f>IFERROR(__xludf.DUMMYFUNCTION("""COMPUTED_VALUE"""),0.0)</f>
        <v>0</v>
      </c>
      <c r="AM185" s="364">
        <f>IFERROR(__xludf.DUMMYFUNCTION("""COMPUTED_VALUE"""),0.0)</f>
        <v>0</v>
      </c>
    </row>
    <row r="186">
      <c r="A186" s="98">
        <f>IFERROR(__xludf.DUMMYFUNCTION("""COMPUTED_VALUE"""),183.0)</f>
        <v>183</v>
      </c>
      <c r="B186" s="98" t="str">
        <f>IFERROR(__xludf.DUMMYFUNCTION("""COMPUTED_VALUE"""),"TNI0382")</f>
        <v>TNI0382</v>
      </c>
      <c r="C186" s="98" t="str">
        <f>IFERROR(__xludf.DUMMYFUNCTION("""COMPUTED_VALUE"""),"C")</f>
        <v>C</v>
      </c>
      <c r="D186" s="98" t="str">
        <f>IFERROR(__xludf.DUMMYFUNCTION("""COMPUTED_VALUE"""),"TIP")</f>
        <v>TIP</v>
      </c>
      <c r="E186" s="98" t="str">
        <f>IFERROR(__xludf.DUMMYFUNCTION("""COMPUTED_VALUE"""),"T2")</f>
        <v>T2</v>
      </c>
      <c r="F186" s="98" t="str">
        <f>IFERROR(__xludf.DUMMYFUNCTION("""COMPUTED_VALUE"""),"Bokpyin")</f>
        <v>Bokpyin</v>
      </c>
      <c r="G186" s="98" t="str">
        <f>IFERROR(__xludf.DUMMYFUNCTION("""COMPUTED_VALUE"""),"Pyi Kyaw Aung")</f>
        <v>Pyi Kyaw Aung</v>
      </c>
      <c r="H186" s="98" t="str">
        <f>IFERROR(__xludf.DUMMYFUNCTION("""COMPUTED_VALUE"""),"They Mon Oo: 09697945990")</f>
        <v>They Mon Oo: 09697945990</v>
      </c>
      <c r="I186" s="98"/>
      <c r="J186" s="98"/>
      <c r="K186" s="362">
        <f>IFERROR(__xludf.DUMMYFUNCTION("""COMPUTED_VALUE"""),300.0)</f>
        <v>300</v>
      </c>
      <c r="L186" s="98" t="str">
        <f>IFERROR(__xludf.DUMMYFUNCTION("""COMPUTED_VALUE"""),"6PM-6AM")</f>
        <v>6PM-6AM</v>
      </c>
      <c r="M186" s="98" t="str">
        <f>IFERROR(__xludf.DUMMYFUNCTION("""COMPUTED_VALUE"""),"1DG+BB")</f>
        <v>1DG+BB</v>
      </c>
      <c r="N186" s="98" t="str">
        <f>IFERROR(__xludf.DUMMYFUNCTION("""COMPUTED_VALUE"""),"0")</f>
        <v>0</v>
      </c>
      <c r="O186" s="363"/>
      <c r="P186" s="98"/>
      <c r="Q186" s="98" t="str">
        <f>IFERROR(__xludf.DUMMYFUNCTION("""COMPUTED_VALUE""")," Door open alarm: 17/06/2026 14:24")</f>
        <v> Door open alarm: 17/06/2026 14:24</v>
      </c>
      <c r="R186" s="100">
        <f>IFERROR(__xludf.DUMMYFUNCTION("""COMPUTED_VALUE"""),362.93)</f>
        <v>362.93</v>
      </c>
      <c r="S186" s="363"/>
      <c r="T186" s="100"/>
      <c r="U186" s="98"/>
      <c r="V186" s="100"/>
      <c r="W186" s="98"/>
      <c r="X186" s="363"/>
      <c r="Y186" s="100"/>
      <c r="Z186" s="363"/>
      <c r="AA186" s="98"/>
      <c r="AB186" s="363"/>
      <c r="AC186" s="100"/>
      <c r="AD186" s="363"/>
      <c r="AE186" s="100"/>
      <c r="AF186" s="364">
        <f>IFERROR(__xludf.DUMMYFUNCTION("""COMPUTED_VALUE"""),645.0)</f>
        <v>645</v>
      </c>
      <c r="AG186" s="98" t="str">
        <f>IFERROR(__xludf.DUMMYFUNCTION("""COMPUTED_VALUE"""),"MDG rest time")</f>
        <v>MDG rest time</v>
      </c>
      <c r="AH186" s="98" t="str">
        <f>IFERROR(__xludf.DUMMYFUNCTION("""COMPUTED_VALUE"""),"Run MDG")</f>
        <v>Run MDG</v>
      </c>
      <c r="AI186" s="98"/>
      <c r="AJ186" s="98"/>
      <c r="AK186" s="98"/>
      <c r="AL186" s="364">
        <f>IFERROR(__xludf.DUMMYFUNCTION("""COMPUTED_VALUE"""),0.0)</f>
        <v>0</v>
      </c>
      <c r="AM186" s="364">
        <f>IFERROR(__xludf.DUMMYFUNCTION("""COMPUTED_VALUE"""),0.0)</f>
        <v>0</v>
      </c>
    </row>
    <row r="187">
      <c r="A187" s="98">
        <f>IFERROR(__xludf.DUMMYFUNCTION("""COMPUTED_VALUE"""),184.0)</f>
        <v>184</v>
      </c>
      <c r="B187" s="98" t="str">
        <f>IFERROR(__xludf.DUMMYFUNCTION("""COMPUTED_VALUE"""),"TNI0352")</f>
        <v>TNI0352</v>
      </c>
      <c r="C187" s="98" t="str">
        <f>IFERROR(__xludf.DUMMYFUNCTION("""COMPUTED_VALUE"""),"C")</f>
        <v>C</v>
      </c>
      <c r="D187" s="98" t="str">
        <f>IFERROR(__xludf.DUMMYFUNCTION("""COMPUTED_VALUE"""),"IGT")</f>
        <v>IGT</v>
      </c>
      <c r="E187" s="98" t="str">
        <f>IFERROR(__xludf.DUMMYFUNCTION("""COMPUTED_VALUE"""),"T2")</f>
        <v>T2</v>
      </c>
      <c r="F187" s="98" t="str">
        <f>IFERROR(__xludf.DUMMYFUNCTION("""COMPUTED_VALUE"""),"Myeik")</f>
        <v>Myeik</v>
      </c>
      <c r="G187" s="98" t="str">
        <f>IFERROR(__xludf.DUMMYFUNCTION("""COMPUTED_VALUE"""),"Wanna Oo")</f>
        <v>Wanna Oo</v>
      </c>
      <c r="H187" s="98"/>
      <c r="I187" s="98">
        <f>IFERROR(__xludf.DUMMYFUNCTION("""COMPUTED_VALUE"""),0.0)</f>
        <v>0</v>
      </c>
      <c r="J187" s="98"/>
      <c r="K187" s="362">
        <f>IFERROR(__xludf.DUMMYFUNCTION("""COMPUTED_VALUE"""),180.0)</f>
        <v>180</v>
      </c>
      <c r="L187" s="98" t="str">
        <f>IFERROR(__xludf.DUMMYFUNCTION("""COMPUTED_VALUE"""),"6PM-6AM")</f>
        <v>6PM-6AM</v>
      </c>
      <c r="M187" s="98" t="str">
        <f>IFERROR(__xludf.DUMMYFUNCTION("""COMPUTED_VALUE"""),"Grid+BB")</f>
        <v>Grid+BB</v>
      </c>
      <c r="N187" s="98" t="str">
        <f>IFERROR(__xludf.DUMMYFUNCTION("""COMPUTED_VALUE"""),"ok")</f>
        <v>ok</v>
      </c>
      <c r="O187" s="363"/>
      <c r="P187" s="98"/>
      <c r="Q187" s="98"/>
      <c r="R187" s="100"/>
      <c r="S187" s="363"/>
      <c r="T187" s="100"/>
      <c r="U187" s="98"/>
      <c r="V187" s="100"/>
      <c r="W187" s="98"/>
      <c r="X187" s="363"/>
      <c r="Y187" s="100"/>
      <c r="Z187" s="363"/>
      <c r="AA187" s="98"/>
      <c r="AB187" s="363">
        <f>IFERROR(__xludf.DUMMYFUNCTION("""COMPUTED_VALUE"""),46184.062210648146)</f>
        <v>46184.06221</v>
      </c>
      <c r="AC187" s="100">
        <f>IFERROR(__xludf.DUMMYFUNCTION("""COMPUTED_VALUE"""),521.1362625000766)</f>
        <v>521.1362625</v>
      </c>
      <c r="AD187" s="363">
        <f>IFERROR(__xludf.DUMMYFUNCTION("""COMPUTED_VALUE"""),46184.06215277778)</f>
        <v>46184.06215</v>
      </c>
      <c r="AE187" s="100">
        <f>IFERROR(__xludf.DUMMYFUNCTION("""COMPUTED_VALUE"""),521.1376513889409)</f>
        <v>521.1376514</v>
      </c>
      <c r="AF187" s="364">
        <f>IFERROR(__xludf.DUMMYFUNCTION("""COMPUTED_VALUE"""),0.0)</f>
        <v>0</v>
      </c>
      <c r="AG187" s="98" t="str">
        <f>IFERROR(__xludf.DUMMYFUNCTION("""COMPUTED_VALUE"""),"Unsafe, Cannot go")</f>
        <v>Unsafe, Cannot go</v>
      </c>
      <c r="AH187" s="98"/>
      <c r="AI187" s="98" t="str">
        <f>IFERROR(__xludf.DUMMYFUNCTION("""COMPUTED_VALUE"""),"TCO power Destroyed site")</f>
        <v>TCO power Destroyed site</v>
      </c>
      <c r="AJ187" s="98"/>
      <c r="AK187" s="98"/>
      <c r="AL187" s="364">
        <f>IFERROR(__xludf.DUMMYFUNCTION("""COMPUTED_VALUE"""),0.0)</f>
        <v>0</v>
      </c>
      <c r="AM187" s="364">
        <f>IFERROR(__xludf.DUMMYFUNCTION("""COMPUTED_VALUE"""),0.0)</f>
        <v>0</v>
      </c>
    </row>
    <row r="188">
      <c r="A188" s="98">
        <f>IFERROR(__xludf.DUMMYFUNCTION("""COMPUTED_VALUE"""),185.0)</f>
        <v>185</v>
      </c>
      <c r="B188" s="98" t="str">
        <f>IFERROR(__xludf.DUMMYFUNCTION("""COMPUTED_VALUE"""),"TNI0248")</f>
        <v>TNI0248</v>
      </c>
      <c r="C188" s="98" t="str">
        <f>IFERROR(__xludf.DUMMYFUNCTION("""COMPUTED_VALUE"""),"B")</f>
        <v>B</v>
      </c>
      <c r="D188" s="98" t="str">
        <f>IFERROR(__xludf.DUMMYFUNCTION("""COMPUTED_VALUE"""),"Mytel")</f>
        <v>Mytel</v>
      </c>
      <c r="E188" s="98" t="str">
        <f>IFERROR(__xludf.DUMMYFUNCTION("""COMPUTED_VALUE"""),"T2")</f>
        <v>T2</v>
      </c>
      <c r="F188" s="98" t="str">
        <f>IFERROR(__xludf.DUMMYFUNCTION("""COMPUTED_VALUE"""),"Myeik")</f>
        <v>Myeik</v>
      </c>
      <c r="G188" s="98" t="str">
        <f>IFERROR(__xludf.DUMMYFUNCTION("""COMPUTED_VALUE"""),"Pyi Kyaw Aung")</f>
        <v>Pyi Kyaw Aung</v>
      </c>
      <c r="H188" s="98"/>
      <c r="I188" s="98">
        <f>IFERROR(__xludf.DUMMYFUNCTION("""COMPUTED_VALUE"""),0.0)</f>
        <v>0</v>
      </c>
      <c r="J188" s="98"/>
      <c r="K188" s="362">
        <f>IFERROR(__xludf.DUMMYFUNCTION("""COMPUTED_VALUE"""),30.0)</f>
        <v>30</v>
      </c>
      <c r="L188" s="98" t="str">
        <f>IFERROR(__xludf.DUMMYFUNCTION("""COMPUTED_VALUE"""),"24*7")</f>
        <v>24*7</v>
      </c>
      <c r="M188" s="98" t="str">
        <f>IFERROR(__xludf.DUMMYFUNCTION("""COMPUTED_VALUE"""),"1DG+Solar+Grid+BB")</f>
        <v>1DG+Solar+Grid+BB</v>
      </c>
      <c r="N188" s="98" t="str">
        <f>IFERROR(__xludf.DUMMYFUNCTION("""COMPUTED_VALUE"""),"96")</f>
        <v>96</v>
      </c>
      <c r="O188" s="363">
        <f>IFERROR(__xludf.DUMMYFUNCTION("""COMPUTED_VALUE"""),46151.29849537037)</f>
        <v>46151.2985</v>
      </c>
      <c r="P188" s="98" t="str">
        <f>IFERROR(__xludf.DUMMYFUNCTION("""COMPUTED_VALUE"""),"1307:28")</f>
        <v>1307:28</v>
      </c>
      <c r="Q188" s="98"/>
      <c r="R188" s="100"/>
      <c r="S188" s="363"/>
      <c r="T188" s="100"/>
      <c r="U188" s="98"/>
      <c r="V188" s="100"/>
      <c r="W188" s="98"/>
      <c r="X188" s="363"/>
      <c r="Y188" s="100"/>
      <c r="Z188" s="363"/>
      <c r="AA188" s="98"/>
      <c r="AB188" s="363"/>
      <c r="AC188" s="100"/>
      <c r="AD188" s="363"/>
      <c r="AE188" s="100"/>
      <c r="AF188" s="364">
        <f>IFERROR(__xludf.DUMMYFUNCTION("""COMPUTED_VALUE"""),2537.0)</f>
        <v>2537</v>
      </c>
      <c r="AG188" s="98" t="str">
        <f>IFERROR(__xludf.DUMMYFUNCTION("""COMPUTED_VALUE"""),"Fuel team will refill")</f>
        <v>Fuel team will refill</v>
      </c>
      <c r="AH188" s="98"/>
      <c r="AI188" s="98"/>
      <c r="AJ188" s="98"/>
      <c r="AK188" s="98"/>
      <c r="AL188" s="364">
        <f>IFERROR(__xludf.DUMMYFUNCTION("""COMPUTED_VALUE"""),0.0)</f>
        <v>0</v>
      </c>
      <c r="AM188" s="364">
        <f>IFERROR(__xludf.DUMMYFUNCTION("""COMPUTED_VALUE"""),0.0)</f>
        <v>0</v>
      </c>
    </row>
    <row r="189">
      <c r="A189" s="98">
        <f>IFERROR(__xludf.DUMMYFUNCTION("""COMPUTED_VALUE"""),186.0)</f>
        <v>186</v>
      </c>
      <c r="B189" s="98" t="str">
        <f>IFERROR(__xludf.DUMMYFUNCTION("""COMPUTED_VALUE"""),"TNI0252")</f>
        <v>TNI0252</v>
      </c>
      <c r="C189" s="98" t="str">
        <f>IFERROR(__xludf.DUMMYFUNCTION("""COMPUTED_VALUE"""),"C")</f>
        <v>C</v>
      </c>
      <c r="D189" s="98" t="str">
        <f>IFERROR(__xludf.DUMMYFUNCTION("""COMPUTED_VALUE"""),"Mytel")</f>
        <v>Mytel</v>
      </c>
      <c r="E189" s="98" t="str">
        <f>IFERROR(__xludf.DUMMYFUNCTION("""COMPUTED_VALUE"""),"T2")</f>
        <v>T2</v>
      </c>
      <c r="F189" s="98" t="str">
        <f>IFERROR(__xludf.DUMMYFUNCTION("""COMPUTED_VALUE"""),"Myeik")</f>
        <v>Myeik</v>
      </c>
      <c r="G189" s="98" t="str">
        <f>IFERROR(__xludf.DUMMYFUNCTION("""COMPUTED_VALUE"""),"Wanna Oo")</f>
        <v>Wanna Oo</v>
      </c>
      <c r="H189" s="98"/>
      <c r="I189" s="98">
        <f>IFERROR(__xludf.DUMMYFUNCTION("""COMPUTED_VALUE"""),0.0)</f>
        <v>0</v>
      </c>
      <c r="J189" s="98"/>
      <c r="K189" s="362">
        <f>IFERROR(__xludf.DUMMYFUNCTION("""COMPUTED_VALUE"""),30.0)</f>
        <v>30</v>
      </c>
      <c r="L189" s="98" t="str">
        <f>IFERROR(__xludf.DUMMYFUNCTION("""COMPUTED_VALUE"""),"24*7")</f>
        <v>24*7</v>
      </c>
      <c r="M189" s="98" t="str">
        <f>IFERROR(__xludf.DUMMYFUNCTION("""COMPUTED_VALUE"""),"1DG+Solar+Grid+BB")</f>
        <v>1DG+Solar+Grid+BB</v>
      </c>
      <c r="N189" s="98" t="str">
        <f>IFERROR(__xludf.DUMMYFUNCTION("""COMPUTED_VALUE"""),"0")</f>
        <v>0</v>
      </c>
      <c r="O189" s="363"/>
      <c r="P189" s="98"/>
      <c r="Q189" s="98" t="str">
        <f>IFERROR(__xludf.DUMMYFUNCTION("""COMPUTED_VALUE""")," +Door Alarm: 18/02/2026 10:24")</f>
        <v> +Door Alarm: 18/02/2026 10:24</v>
      </c>
      <c r="R189" s="100">
        <f>IFERROR(__xludf.DUMMYFUNCTION("""COMPUTED_VALUE"""),3222.92)</f>
        <v>3222.92</v>
      </c>
      <c r="S189" s="363"/>
      <c r="T189" s="100"/>
      <c r="U189" s="98"/>
      <c r="V189" s="100"/>
      <c r="W189" s="98"/>
      <c r="X189" s="363"/>
      <c r="Y189" s="100"/>
      <c r="Z189" s="363"/>
      <c r="AA189" s="98"/>
      <c r="AB189" s="363"/>
      <c r="AC189" s="100"/>
      <c r="AD189" s="363"/>
      <c r="AE189" s="100"/>
      <c r="AF189" s="364">
        <f>IFERROR(__xludf.DUMMYFUNCTION("""COMPUTED_VALUE"""),1707.0)</f>
        <v>1707</v>
      </c>
      <c r="AG189" s="98" t="str">
        <f>IFERROR(__xludf.DUMMYFUNCTION("""COMPUTED_VALUE"""),"Checking with Team")</f>
        <v>Checking with Team</v>
      </c>
      <c r="AH189" s="98"/>
      <c r="AI189" s="98" t="str">
        <f>IFERROR(__xludf.DUMMYFUNCTION("""COMPUTED_VALUE"""),"Backup battary issue")</f>
        <v>Backup battary issue</v>
      </c>
      <c r="AJ189" s="98"/>
      <c r="AK189" s="98"/>
      <c r="AL189" s="364">
        <f>IFERROR(__xludf.DUMMYFUNCTION("""COMPUTED_VALUE"""),0.0)</f>
        <v>0</v>
      </c>
      <c r="AM189" s="364">
        <f>IFERROR(__xludf.DUMMYFUNCTION("""COMPUTED_VALUE"""),0.0)</f>
        <v>0</v>
      </c>
    </row>
    <row r="190">
      <c r="A190" s="98">
        <f>IFERROR(__xludf.DUMMYFUNCTION("""COMPUTED_VALUE"""),187.0)</f>
        <v>187</v>
      </c>
      <c r="B190" s="98" t="str">
        <f>IFERROR(__xludf.DUMMYFUNCTION("""COMPUTED_VALUE"""),"TNI0440")</f>
        <v>TNI0440</v>
      </c>
      <c r="C190" s="98" t="str">
        <f>IFERROR(__xludf.DUMMYFUNCTION("""COMPUTED_VALUE"""),"C")</f>
        <v>C</v>
      </c>
      <c r="D190" s="98" t="str">
        <f>IFERROR(__xludf.DUMMYFUNCTION("""COMPUTED_VALUE"""),"OCK")</f>
        <v>OCK</v>
      </c>
      <c r="E190" s="98" t="str">
        <f>IFERROR(__xludf.DUMMYFUNCTION("""COMPUTED_VALUE"""),"T2")</f>
        <v>T2</v>
      </c>
      <c r="F190" s="98" t="str">
        <f>IFERROR(__xludf.DUMMYFUNCTION("""COMPUTED_VALUE"""),"Kyunsu")</f>
        <v>Kyunsu</v>
      </c>
      <c r="G190" s="98" t="str">
        <f>IFERROR(__xludf.DUMMYFUNCTION("""COMPUTED_VALUE"""),"Wanna Oo")</f>
        <v>Wanna Oo</v>
      </c>
      <c r="H190" s="98"/>
      <c r="I190" s="98"/>
      <c r="J190" s="98"/>
      <c r="K190" s="362">
        <f>IFERROR(__xludf.DUMMYFUNCTION("""COMPUTED_VALUE"""),180.0)</f>
        <v>180</v>
      </c>
      <c r="L190" s="98" t="str">
        <f>IFERROR(__xludf.DUMMYFUNCTION("""COMPUTED_VALUE"""),"6:00PM-6:00AM")</f>
        <v>6:00PM-6:00AM</v>
      </c>
      <c r="M190" s="98" t="str">
        <f>IFERROR(__xludf.DUMMYFUNCTION("""COMPUTED_VALUE"""),"Grid+BB")</f>
        <v>Grid+BB</v>
      </c>
      <c r="N190" s="98" t="str">
        <f>IFERROR(__xludf.DUMMYFUNCTION("""COMPUTED_VALUE"""),"ok")</f>
        <v>ok</v>
      </c>
      <c r="O190" s="363"/>
      <c r="P190" s="98"/>
      <c r="Q190" s="98"/>
      <c r="R190" s="100"/>
      <c r="S190" s="363"/>
      <c r="T190" s="100"/>
      <c r="U190" s="98"/>
      <c r="V190" s="100"/>
      <c r="W190" s="98"/>
      <c r="X190" s="363"/>
      <c r="Y190" s="100"/>
      <c r="Z190" s="363"/>
      <c r="AA190" s="98"/>
      <c r="AB190" s="363"/>
      <c r="AC190" s="100"/>
      <c r="AD190" s="363"/>
      <c r="AE190" s="100"/>
      <c r="AF190" s="364">
        <f>IFERROR(__xludf.DUMMYFUNCTION("""COMPUTED_VALUE"""),1123.0)</f>
        <v>1123</v>
      </c>
      <c r="AG190" s="98" t="str">
        <f>IFERROR(__xludf.DUMMYFUNCTION("""COMPUTED_VALUE"""),"Checking with TCO team")</f>
        <v>Checking with TCO team</v>
      </c>
      <c r="AH190" s="98"/>
      <c r="AI190" s="98"/>
      <c r="AJ190" s="98"/>
      <c r="AK190" s="98"/>
      <c r="AL190" s="364">
        <f>IFERROR(__xludf.DUMMYFUNCTION("""COMPUTED_VALUE"""),0.0)</f>
        <v>0</v>
      </c>
      <c r="AM190" s="364">
        <f>IFERROR(__xludf.DUMMYFUNCTION("""COMPUTED_VALUE"""),0.0)</f>
        <v>0</v>
      </c>
    </row>
    <row r="191">
      <c r="A191" s="98">
        <f>IFERROR(__xludf.DUMMYFUNCTION("""COMPUTED_VALUE"""),188.0)</f>
        <v>188</v>
      </c>
      <c r="B191" s="98" t="str">
        <f>IFERROR(__xludf.DUMMYFUNCTION("""COMPUTED_VALUE"""),"TNI0030")</f>
        <v>TNI0030</v>
      </c>
      <c r="C191" s="98" t="str">
        <f>IFERROR(__xludf.DUMMYFUNCTION("""COMPUTED_VALUE"""),"B")</f>
        <v>B</v>
      </c>
      <c r="D191" s="98" t="str">
        <f>IFERROR(__xludf.DUMMYFUNCTION("""COMPUTED_VALUE"""),"Apollo")</f>
        <v>Apollo</v>
      </c>
      <c r="E191" s="98" t="str">
        <f>IFERROR(__xludf.DUMMYFUNCTION("""COMPUTED_VALUE"""),"T2")</f>
        <v>T2</v>
      </c>
      <c r="F191" s="98" t="str">
        <f>IFERROR(__xludf.DUMMYFUNCTION("""COMPUTED_VALUE"""),"Myeik")</f>
        <v>Myeik</v>
      </c>
      <c r="G191" s="98" t="str">
        <f>IFERROR(__xludf.DUMMYFUNCTION("""COMPUTED_VALUE"""),"Wanna Oo")</f>
        <v>Wanna Oo</v>
      </c>
      <c r="H191" s="98"/>
      <c r="I191" s="98"/>
      <c r="J191" s="98"/>
      <c r="K191" s="362">
        <f>IFERROR(__xludf.DUMMYFUNCTION("""COMPUTED_VALUE"""),40.0)</f>
        <v>40</v>
      </c>
      <c r="L191" s="98" t="str">
        <f>IFERROR(__xludf.DUMMYFUNCTION("""COMPUTED_VALUE"""),"10:00PM-4:00AM")</f>
        <v>10:00PM-4:00AM</v>
      </c>
      <c r="M191" s="98" t="str">
        <f>IFERROR(__xludf.DUMMYFUNCTION("""COMPUTED_VALUE"""),"1DG+Grid+BB")</f>
        <v>1DG+Grid+BB</v>
      </c>
      <c r="N191" s="98" t="str">
        <f>IFERROR(__xludf.DUMMYFUNCTION("""COMPUTED_VALUE"""),"ok")</f>
        <v>ok</v>
      </c>
      <c r="O191" s="363"/>
      <c r="P191" s="98"/>
      <c r="Q191" s="98"/>
      <c r="R191" s="100"/>
      <c r="S191" s="363"/>
      <c r="T191" s="100"/>
      <c r="U191" s="98"/>
      <c r="V191" s="100"/>
      <c r="W191" s="98"/>
      <c r="X191" s="363"/>
      <c r="Y191" s="100"/>
      <c r="Z191" s="363"/>
      <c r="AA191" s="98"/>
      <c r="AB191" s="363"/>
      <c r="AC191" s="100"/>
      <c r="AD191" s="363"/>
      <c r="AE191" s="100"/>
      <c r="AF191" s="364">
        <f>IFERROR(__xludf.DUMMYFUNCTION("""COMPUTED_VALUE"""),3330.0)</f>
        <v>3330</v>
      </c>
      <c r="AG191" s="98"/>
      <c r="AH191" s="98"/>
      <c r="AI191" s="98"/>
      <c r="AJ191" s="98"/>
      <c r="AK191" s="98"/>
      <c r="AL191" s="364">
        <f>IFERROR(__xludf.DUMMYFUNCTION("""COMPUTED_VALUE"""),0.0)</f>
        <v>0</v>
      </c>
      <c r="AM191" s="364">
        <f>IFERROR(__xludf.DUMMYFUNCTION("""COMPUTED_VALUE"""),0.0)</f>
        <v>0</v>
      </c>
    </row>
    <row r="192">
      <c r="A192" s="98">
        <f>IFERROR(__xludf.DUMMYFUNCTION("""COMPUTED_VALUE"""),189.0)</f>
        <v>189</v>
      </c>
      <c r="B192" s="98" t="str">
        <f>IFERROR(__xludf.DUMMYFUNCTION("""COMPUTED_VALUE"""),"TNI0023")</f>
        <v>TNI0023</v>
      </c>
      <c r="C192" s="98" t="str">
        <f>IFERROR(__xludf.DUMMYFUNCTION("""COMPUTED_VALUE"""),"B")</f>
        <v>B</v>
      </c>
      <c r="D192" s="98" t="str">
        <f>IFERROR(__xludf.DUMMYFUNCTION("""COMPUTED_VALUE"""),"Edotco")</f>
        <v>Edotco</v>
      </c>
      <c r="E192" s="98" t="str">
        <f>IFERROR(__xludf.DUMMYFUNCTION("""COMPUTED_VALUE"""),"T2")</f>
        <v>T2</v>
      </c>
      <c r="F192" s="98" t="str">
        <f>IFERROR(__xludf.DUMMYFUNCTION("""COMPUTED_VALUE"""),"Kyunsu")</f>
        <v>Kyunsu</v>
      </c>
      <c r="G192" s="98" t="str">
        <f>IFERROR(__xludf.DUMMYFUNCTION("""COMPUTED_VALUE"""),"Wanna Oo")</f>
        <v>Wanna Oo</v>
      </c>
      <c r="H192" s="98"/>
      <c r="I192" s="98"/>
      <c r="J192" s="98"/>
      <c r="K192" s="362">
        <f>IFERROR(__xludf.DUMMYFUNCTION("""COMPUTED_VALUE"""),120.0)</f>
        <v>120</v>
      </c>
      <c r="L192" s="98" t="str">
        <f>IFERROR(__xludf.DUMMYFUNCTION("""COMPUTED_VALUE"""),"10:00PM-4:00AM")</f>
        <v>10:00PM-4:00AM</v>
      </c>
      <c r="M192" s="98" t="str">
        <f>IFERROR(__xludf.DUMMYFUNCTION("""COMPUTED_VALUE"""),"Grid+BB")</f>
        <v>Grid+BB</v>
      </c>
      <c r="N192" s="98" t="str">
        <f>IFERROR(__xludf.DUMMYFUNCTION("""COMPUTED_VALUE"""),"ok")</f>
        <v>ok</v>
      </c>
      <c r="O192" s="363"/>
      <c r="P192" s="98"/>
      <c r="Q192" s="98"/>
      <c r="R192" s="100"/>
      <c r="S192" s="363"/>
      <c r="T192" s="100"/>
      <c r="U192" s="98"/>
      <c r="V192" s="100"/>
      <c r="W192" s="98"/>
      <c r="X192" s="363"/>
      <c r="Y192" s="100"/>
      <c r="Z192" s="363"/>
      <c r="AA192" s="98"/>
      <c r="AB192" s="363"/>
      <c r="AC192" s="100"/>
      <c r="AD192" s="363"/>
      <c r="AE192" s="100"/>
      <c r="AF192" s="364">
        <f>IFERROR(__xludf.DUMMYFUNCTION("""COMPUTED_VALUE"""),3221.0)</f>
        <v>3221</v>
      </c>
      <c r="AG192" s="98"/>
      <c r="AH192" s="98"/>
      <c r="AI192" s="98"/>
      <c r="AJ192" s="98"/>
      <c r="AK192" s="98"/>
      <c r="AL192" s="364">
        <f>IFERROR(__xludf.DUMMYFUNCTION("""COMPUTED_VALUE"""),0.0)</f>
        <v>0</v>
      </c>
      <c r="AM192" s="364">
        <f>IFERROR(__xludf.DUMMYFUNCTION("""COMPUTED_VALUE"""),0.0)</f>
        <v>0</v>
      </c>
    </row>
    <row r="193">
      <c r="A193" s="98">
        <f>IFERROR(__xludf.DUMMYFUNCTION("""COMPUTED_VALUE"""),190.0)</f>
        <v>190</v>
      </c>
      <c r="B193" s="98" t="str">
        <f>IFERROR(__xludf.DUMMYFUNCTION("""COMPUTED_VALUE"""),"TNI0076")</f>
        <v>TNI0076</v>
      </c>
      <c r="C193" s="98" t="str">
        <f>IFERROR(__xludf.DUMMYFUNCTION("""COMPUTED_VALUE"""),"B")</f>
        <v>B</v>
      </c>
      <c r="D193" s="98" t="str">
        <f>IFERROR(__xludf.DUMMYFUNCTION("""COMPUTED_VALUE"""),"IGT")</f>
        <v>IGT</v>
      </c>
      <c r="E193" s="98" t="str">
        <f>IFERROR(__xludf.DUMMYFUNCTION("""COMPUTED_VALUE"""),"T2")</f>
        <v>T2</v>
      </c>
      <c r="F193" s="98" t="str">
        <f>IFERROR(__xludf.DUMMYFUNCTION("""COMPUTED_VALUE"""),"Myeik")</f>
        <v>Myeik</v>
      </c>
      <c r="G193" s="98" t="str">
        <f>IFERROR(__xludf.DUMMYFUNCTION("""COMPUTED_VALUE"""),"Wanna Oo")</f>
        <v>Wanna Oo</v>
      </c>
      <c r="H193" s="98"/>
      <c r="I193" s="98"/>
      <c r="J193" s="98" t="str">
        <f>IFERROR(__xludf.DUMMYFUNCTION("""COMPUTED_VALUE"""),"OLT")</f>
        <v>OLT</v>
      </c>
      <c r="K193" s="362">
        <f>IFERROR(__xludf.DUMMYFUNCTION("""COMPUTED_VALUE"""),40.0)</f>
        <v>40</v>
      </c>
      <c r="L193" s="98" t="str">
        <f>IFERROR(__xludf.DUMMYFUNCTION("""COMPUTED_VALUE"""),"10:00PM-4:00AM")</f>
        <v>10:00PM-4:00AM</v>
      </c>
      <c r="M193" s="98" t="str">
        <f>IFERROR(__xludf.DUMMYFUNCTION("""COMPUTED_VALUE"""),"1DG+Grid+BB")</f>
        <v>1DG+Grid+BB</v>
      </c>
      <c r="N193" s="98" t="str">
        <f>IFERROR(__xludf.DUMMYFUNCTION("""COMPUTED_VALUE"""),"ok")</f>
        <v>ok</v>
      </c>
      <c r="O193" s="363"/>
      <c r="P193" s="98"/>
      <c r="Q193" s="98"/>
      <c r="R193" s="100"/>
      <c r="S193" s="363"/>
      <c r="T193" s="100"/>
      <c r="U193" s="98"/>
      <c r="V193" s="100"/>
      <c r="W193" s="98"/>
      <c r="X193" s="363"/>
      <c r="Y193" s="100"/>
      <c r="Z193" s="363"/>
      <c r="AA193" s="98"/>
      <c r="AB193" s="363"/>
      <c r="AC193" s="100"/>
      <c r="AD193" s="363"/>
      <c r="AE193" s="100"/>
      <c r="AF193" s="364">
        <f>IFERROR(__xludf.DUMMYFUNCTION("""COMPUTED_VALUE"""),2719.0)</f>
        <v>2719</v>
      </c>
      <c r="AG193" s="98" t="str">
        <f>IFERROR(__xludf.DUMMYFUNCTION("""COMPUTED_VALUE"""),"Checking with TCO team ")</f>
        <v>Checking with TCO team </v>
      </c>
      <c r="AH193" s="98"/>
      <c r="AI193" s="98"/>
      <c r="AJ193" s="98"/>
      <c r="AK193" s="98"/>
      <c r="AL193" s="364">
        <f>IFERROR(__xludf.DUMMYFUNCTION("""COMPUTED_VALUE"""),0.0)</f>
        <v>0</v>
      </c>
      <c r="AM193" s="364">
        <f>IFERROR(__xludf.DUMMYFUNCTION("""COMPUTED_VALUE"""),0.0)</f>
        <v>0</v>
      </c>
    </row>
    <row r="194">
      <c r="A194" s="98">
        <f>IFERROR(__xludf.DUMMYFUNCTION("""COMPUTED_VALUE"""),191.0)</f>
        <v>191</v>
      </c>
      <c r="B194" s="98" t="str">
        <f>IFERROR(__xludf.DUMMYFUNCTION("""COMPUTED_VALUE"""),"TNI0516")</f>
        <v>TNI0516</v>
      </c>
      <c r="C194" s="98" t="str">
        <f>IFERROR(__xludf.DUMMYFUNCTION("""COMPUTED_VALUE"""),"C")</f>
        <v>C</v>
      </c>
      <c r="D194" s="98" t="str">
        <f>IFERROR(__xludf.DUMMYFUNCTION("""COMPUTED_VALUE"""),"IGT")</f>
        <v>IGT</v>
      </c>
      <c r="E194" s="98" t="str">
        <f>IFERROR(__xludf.DUMMYFUNCTION("""COMPUTED_VALUE"""),"T2")</f>
        <v>T2</v>
      </c>
      <c r="F194" s="98" t="str">
        <f>IFERROR(__xludf.DUMMYFUNCTION("""COMPUTED_VALUE"""),"Myeik")</f>
        <v>Myeik</v>
      </c>
      <c r="G194" s="98" t="str">
        <f>IFERROR(__xludf.DUMMYFUNCTION("""COMPUTED_VALUE"""),"Wanna Oo")</f>
        <v>Wanna Oo</v>
      </c>
      <c r="H194" s="98"/>
      <c r="I194" s="98"/>
      <c r="J194" s="98"/>
      <c r="K194" s="362">
        <f>IFERROR(__xludf.DUMMYFUNCTION("""COMPUTED_VALUE"""),180.0)</f>
        <v>180</v>
      </c>
      <c r="L194" s="98" t="str">
        <f>IFERROR(__xludf.DUMMYFUNCTION("""COMPUTED_VALUE"""),"24*7")</f>
        <v>24*7</v>
      </c>
      <c r="M194" s="98" t="str">
        <f>IFERROR(__xludf.DUMMYFUNCTION("""COMPUTED_VALUE"""),"Grid+BB")</f>
        <v>Grid+BB</v>
      </c>
      <c r="N194" s="98" t="str">
        <f>IFERROR(__xludf.DUMMYFUNCTION("""COMPUTED_VALUE"""),"ok")</f>
        <v>ok</v>
      </c>
      <c r="O194" s="363"/>
      <c r="P194" s="98"/>
      <c r="Q194" s="98"/>
      <c r="R194" s="100"/>
      <c r="S194" s="363"/>
      <c r="T194" s="100"/>
      <c r="U194" s="98"/>
      <c r="V194" s="100"/>
      <c r="W194" s="98"/>
      <c r="X194" s="363"/>
      <c r="Y194" s="100"/>
      <c r="Z194" s="363"/>
      <c r="AA194" s="98"/>
      <c r="AB194" s="363"/>
      <c r="AC194" s="100"/>
      <c r="AD194" s="363"/>
      <c r="AE194" s="100"/>
      <c r="AF194" s="364">
        <f>IFERROR(__xludf.DUMMYFUNCTION("""COMPUTED_VALUE"""),3060.0)</f>
        <v>3060</v>
      </c>
      <c r="AG194" s="98" t="str">
        <f>IFERROR(__xludf.DUMMYFUNCTION("""COMPUTED_VALUE"""),"Hub site TNI0324 down")</f>
        <v>Hub site TNI0324 down</v>
      </c>
      <c r="AH194" s="98"/>
      <c r="AI194" s="98"/>
      <c r="AJ194" s="98"/>
      <c r="AK194" s="98"/>
      <c r="AL194" s="364">
        <f>IFERROR(__xludf.DUMMYFUNCTION("""COMPUTED_VALUE"""),0.0)</f>
        <v>0</v>
      </c>
      <c r="AM194" s="364">
        <f>IFERROR(__xludf.DUMMYFUNCTION("""COMPUTED_VALUE"""),0.0)</f>
        <v>0</v>
      </c>
    </row>
    <row r="195">
      <c r="A195" s="98">
        <f>IFERROR(__xludf.DUMMYFUNCTION("""COMPUTED_VALUE"""),192.0)</f>
        <v>192</v>
      </c>
      <c r="B195" s="98" t="str">
        <f>IFERROR(__xludf.DUMMYFUNCTION("""COMPUTED_VALUE"""),"TNI0370")</f>
        <v>TNI0370</v>
      </c>
      <c r="C195" s="98" t="str">
        <f>IFERROR(__xludf.DUMMYFUNCTION("""COMPUTED_VALUE"""),"C")</f>
        <v>C</v>
      </c>
      <c r="D195" s="98" t="str">
        <f>IFERROR(__xludf.DUMMYFUNCTION("""COMPUTED_VALUE"""),"NTD")</f>
        <v>NTD</v>
      </c>
      <c r="E195" s="98" t="str">
        <f>IFERROR(__xludf.DUMMYFUNCTION("""COMPUTED_VALUE"""),"T2")</f>
        <v>T2</v>
      </c>
      <c r="F195" s="98" t="str">
        <f>IFERROR(__xludf.DUMMYFUNCTION("""COMPUTED_VALUE"""),"Kyunsu")</f>
        <v>Kyunsu</v>
      </c>
      <c r="G195" s="98" t="str">
        <f>IFERROR(__xludf.DUMMYFUNCTION("""COMPUTED_VALUE"""),"Wanna Oo")</f>
        <v>Wanna Oo</v>
      </c>
      <c r="H195" s="98"/>
      <c r="I195" s="98"/>
      <c r="J195" s="98"/>
      <c r="K195" s="362">
        <f>IFERROR(__xludf.DUMMYFUNCTION("""COMPUTED_VALUE"""),180.0)</f>
        <v>180</v>
      </c>
      <c r="L195" s="98" t="str">
        <f>IFERROR(__xludf.DUMMYFUNCTION("""COMPUTED_VALUE"""),"10:00PM-4:00AM")</f>
        <v>10:00PM-4:00AM</v>
      </c>
      <c r="M195" s="98" t="str">
        <f>IFERROR(__xludf.DUMMYFUNCTION("""COMPUTED_VALUE"""),"Grid+BB")</f>
        <v>Grid+BB</v>
      </c>
      <c r="N195" s="98" t="str">
        <f>IFERROR(__xludf.DUMMYFUNCTION("""COMPUTED_VALUE"""),"ok")</f>
        <v>ok</v>
      </c>
      <c r="O195" s="363"/>
      <c r="P195" s="98"/>
      <c r="Q195" s="98"/>
      <c r="R195" s="100"/>
      <c r="S195" s="363"/>
      <c r="T195" s="100"/>
      <c r="U195" s="98"/>
      <c r="V195" s="100"/>
      <c r="W195" s="98"/>
      <c r="X195" s="363"/>
      <c r="Y195" s="100"/>
      <c r="Z195" s="363"/>
      <c r="AA195" s="98"/>
      <c r="AB195" s="363"/>
      <c r="AC195" s="100"/>
      <c r="AD195" s="363"/>
      <c r="AE195" s="100"/>
      <c r="AF195" s="364">
        <f>IFERROR(__xludf.DUMMYFUNCTION("""COMPUTED_VALUE"""),2358.0)</f>
        <v>2358</v>
      </c>
      <c r="AG195" s="98" t="str">
        <f>IFERROR(__xludf.DUMMYFUNCTION("""COMPUTED_VALUE"""),"Checking with TCO Team")</f>
        <v>Checking with TCO Team</v>
      </c>
      <c r="AH195" s="98"/>
      <c r="AI195" s="98"/>
      <c r="AJ195" s="98"/>
      <c r="AK195" s="98"/>
      <c r="AL195" s="364">
        <f>IFERROR(__xludf.DUMMYFUNCTION("""COMPUTED_VALUE"""),0.0)</f>
        <v>0</v>
      </c>
      <c r="AM195" s="364">
        <f>IFERROR(__xludf.DUMMYFUNCTION("""COMPUTED_VALUE"""),0.0)</f>
        <v>0</v>
      </c>
    </row>
    <row r="196">
      <c r="A196" s="98">
        <f>IFERROR(__xludf.DUMMYFUNCTION("""COMPUTED_VALUE"""),193.0)</f>
        <v>193</v>
      </c>
      <c r="B196" s="98" t="str">
        <f>IFERROR(__xludf.DUMMYFUNCTION("""COMPUTED_VALUE"""),"TNI0200")</f>
        <v>TNI0200</v>
      </c>
      <c r="C196" s="98" t="str">
        <f>IFERROR(__xludf.DUMMYFUNCTION("""COMPUTED_VALUE"""),"B")</f>
        <v>B</v>
      </c>
      <c r="D196" s="98" t="str">
        <f>IFERROR(__xludf.DUMMYFUNCTION("""COMPUTED_VALUE"""),"Mytel")</f>
        <v>Mytel</v>
      </c>
      <c r="E196" s="98" t="str">
        <f>IFERROR(__xludf.DUMMYFUNCTION("""COMPUTED_VALUE"""),"T2")</f>
        <v>T2</v>
      </c>
      <c r="F196" s="98" t="str">
        <f>IFERROR(__xludf.DUMMYFUNCTION("""COMPUTED_VALUE"""),"Kyunsu")</f>
        <v>Kyunsu</v>
      </c>
      <c r="G196" s="98" t="str">
        <f>IFERROR(__xludf.DUMMYFUNCTION("""COMPUTED_VALUE"""),"Wanna Oo")</f>
        <v>Wanna Oo</v>
      </c>
      <c r="H196" s="98" t="str">
        <f>IFERROR(__xludf.DUMMYFUNCTION("""COMPUTED_VALUE"""),"U Gwan Kyi: 09687906307")</f>
        <v>U Gwan Kyi: 09687906307</v>
      </c>
      <c r="I196" s="98"/>
      <c r="J196" s="98"/>
      <c r="K196" s="362">
        <f>IFERROR(__xludf.DUMMYFUNCTION("""COMPUTED_VALUE"""),120.0)</f>
        <v>120</v>
      </c>
      <c r="L196" s="98" t="str">
        <f>IFERROR(__xludf.DUMMYFUNCTION("""COMPUTED_VALUE"""),"24*7")</f>
        <v>24*7</v>
      </c>
      <c r="M196" s="98" t="str">
        <f>IFERROR(__xludf.DUMMYFUNCTION("""COMPUTED_VALUE"""),"1DG+Solar+Grid+BB")</f>
        <v>1DG+Solar+Grid+BB</v>
      </c>
      <c r="N196" s="98" t="str">
        <f>IFERROR(__xludf.DUMMYFUNCTION("""COMPUTED_VALUE"""),"221")</f>
        <v>221</v>
      </c>
      <c r="O196" s="363"/>
      <c r="P196" s="98"/>
      <c r="Q196" s="98"/>
      <c r="R196" s="100"/>
      <c r="S196" s="363"/>
      <c r="T196" s="100"/>
      <c r="U196" s="98"/>
      <c r="V196" s="100"/>
      <c r="W196" s="98"/>
      <c r="X196" s="363"/>
      <c r="Y196" s="100"/>
      <c r="Z196" s="363"/>
      <c r="AA196" s="98"/>
      <c r="AB196" s="363"/>
      <c r="AC196" s="100"/>
      <c r="AD196" s="363"/>
      <c r="AE196" s="100"/>
      <c r="AF196" s="364">
        <f>IFERROR(__xludf.DUMMYFUNCTION("""COMPUTED_VALUE"""),2316.0)</f>
        <v>2316</v>
      </c>
      <c r="AG196" s="98" t="str">
        <f>IFERROR(__xludf.DUMMYFUNCTION("""COMPUTED_VALUE"""),"DG starter battery weak issue")</f>
        <v>DG starter battery weak issue</v>
      </c>
      <c r="AH196" s="98"/>
      <c r="AI196" s="98"/>
      <c r="AJ196" s="98"/>
      <c r="AK196" s="98"/>
      <c r="AL196" s="364">
        <f>IFERROR(__xludf.DUMMYFUNCTION("""COMPUTED_VALUE"""),0.0)</f>
        <v>0</v>
      </c>
      <c r="AM196" s="364">
        <f>IFERROR(__xludf.DUMMYFUNCTION("""COMPUTED_VALUE"""),0.0)</f>
        <v>0</v>
      </c>
    </row>
    <row r="197">
      <c r="A197" s="98">
        <f>IFERROR(__xludf.DUMMYFUNCTION("""COMPUTED_VALUE"""),194.0)</f>
        <v>194</v>
      </c>
      <c r="B197" s="98" t="str">
        <f>IFERROR(__xludf.DUMMYFUNCTION("""COMPUTED_VALUE"""),"TNI0001")</f>
        <v>TNI0001</v>
      </c>
      <c r="C197" s="98" t="str">
        <f>IFERROR(__xludf.DUMMYFUNCTION("""COMPUTED_VALUE"""),"A")</f>
        <v>A</v>
      </c>
      <c r="D197" s="98" t="str">
        <f>IFERROR(__xludf.DUMMYFUNCTION("""COMPUTED_VALUE"""),"Mytel")</f>
        <v>Mytel</v>
      </c>
      <c r="E197" s="98" t="str">
        <f>IFERROR(__xludf.DUMMYFUNCTION("""COMPUTED_VALUE"""),"T2")</f>
        <v>T2</v>
      </c>
      <c r="F197" s="98" t="str">
        <f>IFERROR(__xludf.DUMMYFUNCTION("""COMPUTED_VALUE"""),"Myeik")</f>
        <v>Myeik</v>
      </c>
      <c r="G197" s="98" t="str">
        <f>IFERROR(__xludf.DUMMYFUNCTION("""COMPUTED_VALUE"""),"Maung Maung")</f>
        <v>Maung Maung</v>
      </c>
      <c r="H197" s="98" t="str">
        <f>IFERROR(__xludf.DUMMYFUNCTION("""COMPUTED_VALUE"""),"Aung Min Oo: 09422217129")</f>
        <v>Aung Min Oo: 09422217129</v>
      </c>
      <c r="I197" s="98"/>
      <c r="J197" s="98" t="str">
        <f>IFERROR(__xludf.DUMMYFUNCTION("""COMPUTED_VALUE"""),"OLT")</f>
        <v>OLT</v>
      </c>
      <c r="K197" s="362">
        <f>IFERROR(__xludf.DUMMYFUNCTION("""COMPUTED_VALUE"""),30.0)</f>
        <v>30</v>
      </c>
      <c r="L197" s="98" t="str">
        <f>IFERROR(__xludf.DUMMYFUNCTION("""COMPUTED_VALUE"""),"7:00PM-6:00AM")</f>
        <v>7:00PM-6:00AM</v>
      </c>
      <c r="M197" s="98" t="str">
        <f>IFERROR(__xludf.DUMMYFUNCTION("""COMPUTED_VALUE"""),"1DG+Solar+Grid+BB")</f>
        <v>1DG+Solar+Grid+BB</v>
      </c>
      <c r="N197" s="98" t="str">
        <f>IFERROR(__xludf.DUMMYFUNCTION("""COMPUTED_VALUE"""),"0")</f>
        <v>0</v>
      </c>
      <c r="O197" s="363"/>
      <c r="P197" s="98"/>
      <c r="Q197" s="98" t="str">
        <f>IFERROR(__xludf.DUMMYFUNCTION("""COMPUTED_VALUE""")," +Door Alarm: 17/12/2024 18:31")</f>
        <v> +Door Alarm: 17/12/2024 18:31</v>
      </c>
      <c r="R197" s="100">
        <f>IFERROR(__xludf.DUMMYFUNCTION("""COMPUTED_VALUE"""),13486.81)</f>
        <v>13486.81</v>
      </c>
      <c r="S197" s="363"/>
      <c r="T197" s="100"/>
      <c r="U197" s="98"/>
      <c r="V197" s="100"/>
      <c r="W197" s="98"/>
      <c r="X197" s="363"/>
      <c r="Y197" s="100"/>
      <c r="Z197" s="363"/>
      <c r="AA197" s="98"/>
      <c r="AB197" s="363"/>
      <c r="AC197" s="100"/>
      <c r="AD197" s="363"/>
      <c r="AE197" s="100"/>
      <c r="AF197" s="364">
        <f>IFERROR(__xludf.DUMMYFUNCTION("""COMPUTED_VALUE"""),2843.0)</f>
        <v>2843</v>
      </c>
      <c r="AG197" s="98" t="str">
        <f>IFERROR(__xludf.DUMMYFUNCTION("""COMPUTED_VALUE"""),"Partner team activity")</f>
        <v>Partner team activity</v>
      </c>
      <c r="AH197" s="98"/>
      <c r="AI197" s="98"/>
      <c r="AJ197" s="98"/>
      <c r="AK197" s="98"/>
      <c r="AL197" s="364">
        <f>IFERROR(__xludf.DUMMYFUNCTION("""COMPUTED_VALUE"""),0.0)</f>
        <v>0</v>
      </c>
      <c r="AM197" s="364">
        <f>IFERROR(__xludf.DUMMYFUNCTION("""COMPUTED_VALUE"""),0.0)</f>
        <v>0</v>
      </c>
    </row>
    <row r="198">
      <c r="A198" s="98">
        <f>IFERROR(__xludf.DUMMYFUNCTION("""COMPUTED_VALUE"""),195.0)</f>
        <v>195</v>
      </c>
      <c r="B198" s="98" t="str">
        <f>IFERROR(__xludf.DUMMYFUNCTION("""COMPUTED_VALUE"""),"TNI0255")</f>
        <v>TNI0255</v>
      </c>
      <c r="C198" s="98" t="str">
        <f>IFERROR(__xludf.DUMMYFUNCTION("""COMPUTED_VALUE"""),"C")</f>
        <v>C</v>
      </c>
      <c r="D198" s="98" t="str">
        <f>IFERROR(__xludf.DUMMYFUNCTION("""COMPUTED_VALUE"""),"Mytel")</f>
        <v>Mytel</v>
      </c>
      <c r="E198" s="98" t="str">
        <f>IFERROR(__xludf.DUMMYFUNCTION("""COMPUTED_VALUE"""),"T2")</f>
        <v>T2</v>
      </c>
      <c r="F198" s="98" t="str">
        <f>IFERROR(__xludf.DUMMYFUNCTION("""COMPUTED_VALUE"""),"Myeik")</f>
        <v>Myeik</v>
      </c>
      <c r="G198" s="98" t="str">
        <f>IFERROR(__xludf.DUMMYFUNCTION("""COMPUTED_VALUE"""),"Wanna Oo")</f>
        <v>Wanna Oo</v>
      </c>
      <c r="H198" s="98"/>
      <c r="I198" s="98">
        <f>IFERROR(__xludf.DUMMYFUNCTION("""COMPUTED_VALUE"""),0.0)</f>
        <v>0</v>
      </c>
      <c r="J198" s="98"/>
      <c r="K198" s="362">
        <f>IFERROR(__xludf.DUMMYFUNCTION("""COMPUTED_VALUE"""),30.0)</f>
        <v>30</v>
      </c>
      <c r="L198" s="98" t="str">
        <f>IFERROR(__xludf.DUMMYFUNCTION("""COMPUTED_VALUE"""),"24*7")</f>
        <v>24*7</v>
      </c>
      <c r="M198" s="98" t="str">
        <f>IFERROR(__xludf.DUMMYFUNCTION("""COMPUTED_VALUE"""),"1DG+Solar+Grid+BB")</f>
        <v>1DG+Solar+Grid+BB</v>
      </c>
      <c r="N198" s="98" t="str">
        <f>IFERROR(__xludf.DUMMYFUNCTION("""COMPUTED_VALUE"""),"0")</f>
        <v>0</v>
      </c>
      <c r="O198" s="363"/>
      <c r="P198" s="98"/>
      <c r="Q198" s="98"/>
      <c r="R198" s="100"/>
      <c r="S198" s="363"/>
      <c r="T198" s="100"/>
      <c r="U198" s="98"/>
      <c r="V198" s="100"/>
      <c r="W198" s="98"/>
      <c r="X198" s="363"/>
      <c r="Y198" s="100"/>
      <c r="Z198" s="363"/>
      <c r="AA198" s="98"/>
      <c r="AB198" s="363"/>
      <c r="AC198" s="100"/>
      <c r="AD198" s="363"/>
      <c r="AE198" s="100"/>
      <c r="AF198" s="364">
        <f>IFERROR(__xludf.DUMMYFUNCTION("""COMPUTED_VALUE"""),1491.0)</f>
        <v>1491</v>
      </c>
      <c r="AG198" s="98"/>
      <c r="AH198" s="98"/>
      <c r="AI198" s="98"/>
      <c r="AJ198" s="98"/>
      <c r="AK198" s="98"/>
      <c r="AL198" s="364">
        <f>IFERROR(__xludf.DUMMYFUNCTION("""COMPUTED_VALUE"""),0.0)</f>
        <v>0</v>
      </c>
      <c r="AM198" s="364">
        <f>IFERROR(__xludf.DUMMYFUNCTION("""COMPUTED_VALUE"""),0.0)</f>
        <v>0</v>
      </c>
    </row>
    <row r="199">
      <c r="A199" s="98">
        <f>IFERROR(__xludf.DUMMYFUNCTION("""COMPUTED_VALUE"""),196.0)</f>
        <v>196</v>
      </c>
      <c r="B199" s="98" t="str">
        <f>IFERROR(__xludf.DUMMYFUNCTION("""COMPUTED_VALUE"""),"TNI0048")</f>
        <v>TNI0048</v>
      </c>
      <c r="C199" s="98" t="str">
        <f>IFERROR(__xludf.DUMMYFUNCTION("""COMPUTED_VALUE"""),"B")</f>
        <v>B</v>
      </c>
      <c r="D199" s="98" t="str">
        <f>IFERROR(__xludf.DUMMYFUNCTION("""COMPUTED_VALUE"""),"Mytel")</f>
        <v>Mytel</v>
      </c>
      <c r="E199" s="98" t="str">
        <f>IFERROR(__xludf.DUMMYFUNCTION("""COMPUTED_VALUE"""),"T2")</f>
        <v>T2</v>
      </c>
      <c r="F199" s="98" t="str">
        <f>IFERROR(__xludf.DUMMYFUNCTION("""COMPUTED_VALUE"""),"Myeik")</f>
        <v>Myeik</v>
      </c>
      <c r="G199" s="98" t="str">
        <f>IFERROR(__xludf.DUMMYFUNCTION("""COMPUTED_VALUE"""),"Wanna Oo")</f>
        <v>Wanna Oo</v>
      </c>
      <c r="H199" s="98"/>
      <c r="I199" s="98">
        <f>IFERROR(__xludf.DUMMYFUNCTION("""COMPUTED_VALUE"""),0.0)</f>
        <v>0</v>
      </c>
      <c r="J199" s="98" t="str">
        <f>IFERROR(__xludf.DUMMYFUNCTION("""COMPUTED_VALUE"""),"OLT")</f>
        <v>OLT</v>
      </c>
      <c r="K199" s="362">
        <f>IFERROR(__xludf.DUMMYFUNCTION("""COMPUTED_VALUE"""),40.0)</f>
        <v>40</v>
      </c>
      <c r="L199" s="98" t="str">
        <f>IFERROR(__xludf.DUMMYFUNCTION("""COMPUTED_VALUE"""),"10:00PM-4:00AM")</f>
        <v>10:00PM-4:00AM</v>
      </c>
      <c r="M199" s="98" t="str">
        <f>IFERROR(__xludf.DUMMYFUNCTION("""COMPUTED_VALUE"""),"1DG+Grid+BB")</f>
        <v>1DG+Grid+BB</v>
      </c>
      <c r="N199" s="98" t="str">
        <f>IFERROR(__xludf.DUMMYFUNCTION("""COMPUTED_VALUE"""),"ok")</f>
        <v>ok</v>
      </c>
      <c r="O199" s="363"/>
      <c r="P199" s="98"/>
      <c r="Q199" s="98"/>
      <c r="R199" s="100"/>
      <c r="S199" s="363"/>
      <c r="T199" s="100"/>
      <c r="U199" s="98"/>
      <c r="V199" s="100"/>
      <c r="W199" s="98"/>
      <c r="X199" s="363"/>
      <c r="Y199" s="100"/>
      <c r="Z199" s="363"/>
      <c r="AA199" s="98"/>
      <c r="AB199" s="363"/>
      <c r="AC199" s="100"/>
      <c r="AD199" s="363"/>
      <c r="AE199" s="100"/>
      <c r="AF199" s="364">
        <f>IFERROR(__xludf.DUMMYFUNCTION("""COMPUTED_VALUE"""),2350.0)</f>
        <v>2350</v>
      </c>
      <c r="AG199" s="98"/>
      <c r="AH199" s="98"/>
      <c r="AI199" s="98"/>
      <c r="AJ199" s="98"/>
      <c r="AK199" s="98"/>
      <c r="AL199" s="364">
        <f>IFERROR(__xludf.DUMMYFUNCTION("""COMPUTED_VALUE"""),0.0)</f>
        <v>0</v>
      </c>
      <c r="AM199" s="364">
        <f>IFERROR(__xludf.DUMMYFUNCTION("""COMPUTED_VALUE"""),0.0)</f>
        <v>0</v>
      </c>
    </row>
    <row r="200">
      <c r="A200" s="98">
        <f>IFERROR(__xludf.DUMMYFUNCTION("""COMPUTED_VALUE"""),197.0)</f>
        <v>197</v>
      </c>
      <c r="B200" s="98" t="str">
        <f>IFERROR(__xludf.DUMMYFUNCTION("""COMPUTED_VALUE"""),"TNI0412")</f>
        <v>TNI0412</v>
      </c>
      <c r="C200" s="98" t="str">
        <f>IFERROR(__xludf.DUMMYFUNCTION("""COMPUTED_VALUE"""),"C")</f>
        <v>C</v>
      </c>
      <c r="D200" s="98" t="str">
        <f>IFERROR(__xludf.DUMMYFUNCTION("""COMPUTED_VALUE"""),"NTD")</f>
        <v>NTD</v>
      </c>
      <c r="E200" s="98" t="str">
        <f>IFERROR(__xludf.DUMMYFUNCTION("""COMPUTED_VALUE"""),"T2")</f>
        <v>T2</v>
      </c>
      <c r="F200" s="98" t="str">
        <f>IFERROR(__xludf.DUMMYFUNCTION("""COMPUTED_VALUE"""),"Kyunsu")</f>
        <v>Kyunsu</v>
      </c>
      <c r="G200" s="98" t="str">
        <f>IFERROR(__xludf.DUMMYFUNCTION("""COMPUTED_VALUE"""),"Wanna Oo")</f>
        <v>Wanna Oo</v>
      </c>
      <c r="H200" s="98" t="str">
        <f>IFERROR(__xludf.DUMMYFUNCTION("""COMPUTED_VALUE"""),"Zay Yar Htun: 09662045647")</f>
        <v>Zay Yar Htun: 09662045647</v>
      </c>
      <c r="I200" s="98"/>
      <c r="J200" s="98"/>
      <c r="K200" s="362">
        <f>IFERROR(__xludf.DUMMYFUNCTION("""COMPUTED_VALUE"""),180.0)</f>
        <v>180</v>
      </c>
      <c r="L200" s="98" t="str">
        <f>IFERROR(__xludf.DUMMYFUNCTION("""COMPUTED_VALUE"""),"6PM-6AM")</f>
        <v>6PM-6AM</v>
      </c>
      <c r="M200" s="98" t="str">
        <f>IFERROR(__xludf.DUMMYFUNCTION("""COMPUTED_VALUE"""),"Grid+BB")</f>
        <v>Grid+BB</v>
      </c>
      <c r="N200" s="98" t="str">
        <f>IFERROR(__xludf.DUMMYFUNCTION("""COMPUTED_VALUE"""),"ok")</f>
        <v>ok</v>
      </c>
      <c r="O200" s="363"/>
      <c r="P200" s="98"/>
      <c r="Q200" s="98"/>
      <c r="R200" s="100"/>
      <c r="S200" s="363"/>
      <c r="T200" s="100"/>
      <c r="U200" s="98"/>
      <c r="V200" s="100"/>
      <c r="W200" s="98"/>
      <c r="X200" s="363"/>
      <c r="Y200" s="100"/>
      <c r="Z200" s="363"/>
      <c r="AA200" s="98"/>
      <c r="AB200" s="363"/>
      <c r="AC200" s="100"/>
      <c r="AD200" s="363"/>
      <c r="AE200" s="100"/>
      <c r="AF200" s="364">
        <f>IFERROR(__xludf.DUMMYFUNCTION("""COMPUTED_VALUE"""),3420.0)</f>
        <v>3420</v>
      </c>
      <c r="AG200" s="98" t="str">
        <f>IFERROR(__xludf.DUMMYFUNCTION("""COMPUTED_VALUE"""),"Checking with team")</f>
        <v>Checking with team</v>
      </c>
      <c r="AH200" s="98"/>
      <c r="AI200" s="98" t="str">
        <f>IFERROR(__xludf.DUMMYFUNCTION("""COMPUTED_VALUE"""),"Current ground situation not good")</f>
        <v>Current ground situation not good</v>
      </c>
      <c r="AJ200" s="98"/>
      <c r="AK200" s="98"/>
      <c r="AL200" s="364">
        <f>IFERROR(__xludf.DUMMYFUNCTION("""COMPUTED_VALUE"""),0.0)</f>
        <v>0</v>
      </c>
      <c r="AM200" s="364">
        <f>IFERROR(__xludf.DUMMYFUNCTION("""COMPUTED_VALUE"""),0.0)</f>
        <v>0</v>
      </c>
    </row>
    <row r="201">
      <c r="A201" s="98">
        <f>IFERROR(__xludf.DUMMYFUNCTION("""COMPUTED_VALUE"""),198.0)</f>
        <v>198</v>
      </c>
      <c r="B201" s="98" t="str">
        <f>IFERROR(__xludf.DUMMYFUNCTION("""COMPUTED_VALUE"""),"TNI0411")</f>
        <v>TNI0411</v>
      </c>
      <c r="C201" s="98" t="str">
        <f>IFERROR(__xludf.DUMMYFUNCTION("""COMPUTED_VALUE"""),"C")</f>
        <v>C</v>
      </c>
      <c r="D201" s="98" t="str">
        <f>IFERROR(__xludf.DUMMYFUNCTION("""COMPUTED_VALUE"""),"OCK")</f>
        <v>OCK</v>
      </c>
      <c r="E201" s="98" t="str">
        <f>IFERROR(__xludf.DUMMYFUNCTION("""COMPUTED_VALUE"""),"T2")</f>
        <v>T2</v>
      </c>
      <c r="F201" s="98" t="str">
        <f>IFERROR(__xludf.DUMMYFUNCTION("""COMPUTED_VALUE"""),"Kyunsu")</f>
        <v>Kyunsu</v>
      </c>
      <c r="G201" s="98" t="str">
        <f>IFERROR(__xludf.DUMMYFUNCTION("""COMPUTED_VALUE"""),"Wanna Oo")</f>
        <v>Wanna Oo</v>
      </c>
      <c r="H201" s="98"/>
      <c r="I201" s="98"/>
      <c r="J201" s="98"/>
      <c r="K201" s="362">
        <f>IFERROR(__xludf.DUMMYFUNCTION("""COMPUTED_VALUE"""),180.0)</f>
        <v>180</v>
      </c>
      <c r="L201" s="98" t="str">
        <f>IFERROR(__xludf.DUMMYFUNCTION("""COMPUTED_VALUE"""),"10:00PM-4:00AM")</f>
        <v>10:00PM-4:00AM</v>
      </c>
      <c r="M201" s="98" t="str">
        <f>IFERROR(__xludf.DUMMYFUNCTION("""COMPUTED_VALUE"""),"Grid+BB")</f>
        <v>Grid+BB</v>
      </c>
      <c r="N201" s="98" t="str">
        <f>IFERROR(__xludf.DUMMYFUNCTION("""COMPUTED_VALUE"""),"ok")</f>
        <v>ok</v>
      </c>
      <c r="O201" s="363"/>
      <c r="P201" s="98"/>
      <c r="Q201" s="98"/>
      <c r="R201" s="100"/>
      <c r="S201" s="363"/>
      <c r="T201" s="100"/>
      <c r="U201" s="98"/>
      <c r="V201" s="100"/>
      <c r="W201" s="98"/>
      <c r="X201" s="363"/>
      <c r="Y201" s="100"/>
      <c r="Z201" s="363"/>
      <c r="AA201" s="98"/>
      <c r="AB201" s="363"/>
      <c r="AC201" s="100"/>
      <c r="AD201" s="363"/>
      <c r="AE201" s="100"/>
      <c r="AF201" s="364">
        <f>IFERROR(__xludf.DUMMYFUNCTION("""COMPUTED_VALUE"""),1606.0)</f>
        <v>1606</v>
      </c>
      <c r="AG201" s="98" t="str">
        <f>IFERROR(__xludf.DUMMYFUNCTION("""COMPUTED_VALUE"""),"Checking with TCO team")</f>
        <v>Checking with TCO team</v>
      </c>
      <c r="AH201" s="98"/>
      <c r="AI201" s="98"/>
      <c r="AJ201" s="98"/>
      <c r="AK201" s="98"/>
      <c r="AL201" s="364">
        <f>IFERROR(__xludf.DUMMYFUNCTION("""COMPUTED_VALUE"""),0.0)</f>
        <v>0</v>
      </c>
      <c r="AM201" s="364">
        <f>IFERROR(__xludf.DUMMYFUNCTION("""COMPUTED_VALUE"""),0.0)</f>
        <v>0</v>
      </c>
    </row>
    <row r="202">
      <c r="A202" s="98">
        <f>IFERROR(__xludf.DUMMYFUNCTION("""COMPUTED_VALUE"""),199.0)</f>
        <v>199</v>
      </c>
      <c r="B202" s="98" t="str">
        <f>IFERROR(__xludf.DUMMYFUNCTION("""COMPUTED_VALUE"""),"TNI0161")</f>
        <v>TNI0161</v>
      </c>
      <c r="C202" s="98" t="str">
        <f>IFERROR(__xludf.DUMMYFUNCTION("""COMPUTED_VALUE"""),"C")</f>
        <v>C</v>
      </c>
      <c r="D202" s="98" t="str">
        <f>IFERROR(__xludf.DUMMYFUNCTION("""COMPUTED_VALUE"""),"IGT")</f>
        <v>IGT</v>
      </c>
      <c r="E202" s="98" t="str">
        <f>IFERROR(__xludf.DUMMYFUNCTION("""COMPUTED_VALUE"""),"T2")</f>
        <v>T2</v>
      </c>
      <c r="F202" s="98" t="str">
        <f>IFERROR(__xludf.DUMMYFUNCTION("""COMPUTED_VALUE"""),"Myeik")</f>
        <v>Myeik</v>
      </c>
      <c r="G202" s="98" t="str">
        <f>IFERROR(__xludf.DUMMYFUNCTION("""COMPUTED_VALUE"""),"Wanna Oo")</f>
        <v>Wanna Oo</v>
      </c>
      <c r="H202" s="98"/>
      <c r="I202" s="98"/>
      <c r="J202" s="98"/>
      <c r="K202" s="362">
        <f>IFERROR(__xludf.DUMMYFUNCTION("""COMPUTED_VALUE"""),120.0)</f>
        <v>120</v>
      </c>
      <c r="L202" s="98" t="str">
        <f>IFERROR(__xludf.DUMMYFUNCTION("""COMPUTED_VALUE"""),"24*7")</f>
        <v>24*7</v>
      </c>
      <c r="M202" s="98" t="str">
        <f>IFERROR(__xludf.DUMMYFUNCTION("""COMPUTED_VALUE"""),"Grid+BB")</f>
        <v>Grid+BB</v>
      </c>
      <c r="N202" s="98" t="str">
        <f>IFERROR(__xludf.DUMMYFUNCTION("""COMPUTED_VALUE"""),"ok")</f>
        <v>ok</v>
      </c>
      <c r="O202" s="363"/>
      <c r="P202" s="98"/>
      <c r="Q202" s="98"/>
      <c r="R202" s="100"/>
      <c r="S202" s="363"/>
      <c r="T202" s="100"/>
      <c r="U202" s="98"/>
      <c r="V202" s="100"/>
      <c r="W202" s="98"/>
      <c r="X202" s="363"/>
      <c r="Y202" s="100"/>
      <c r="Z202" s="363"/>
      <c r="AA202" s="98"/>
      <c r="AB202" s="363"/>
      <c r="AC202" s="100"/>
      <c r="AD202" s="363"/>
      <c r="AE202" s="100"/>
      <c r="AF202" s="364">
        <f>IFERROR(__xludf.DUMMYFUNCTION("""COMPUTED_VALUE"""),1817.0)</f>
        <v>1817</v>
      </c>
      <c r="AG202" s="98"/>
      <c r="AH202" s="98"/>
      <c r="AI202" s="98"/>
      <c r="AJ202" s="98"/>
      <c r="AK202" s="98"/>
      <c r="AL202" s="364">
        <f>IFERROR(__xludf.DUMMYFUNCTION("""COMPUTED_VALUE"""),0.0)</f>
        <v>0</v>
      </c>
      <c r="AM202" s="364">
        <f>IFERROR(__xludf.DUMMYFUNCTION("""COMPUTED_VALUE"""),0.0)</f>
        <v>0</v>
      </c>
    </row>
    <row r="203">
      <c r="A203" s="98">
        <f>IFERROR(__xludf.DUMMYFUNCTION("""COMPUTED_VALUE"""),200.0)</f>
        <v>200</v>
      </c>
      <c r="B203" s="98" t="str">
        <f>IFERROR(__xludf.DUMMYFUNCTION("""COMPUTED_VALUE"""),"TNI0240")</f>
        <v>TNI0240</v>
      </c>
      <c r="C203" s="98" t="str">
        <f>IFERROR(__xludf.DUMMYFUNCTION("""COMPUTED_VALUE"""),"B")</f>
        <v>B</v>
      </c>
      <c r="D203" s="98" t="str">
        <f>IFERROR(__xludf.DUMMYFUNCTION("""COMPUTED_VALUE"""),"MEC")</f>
        <v>MEC</v>
      </c>
      <c r="E203" s="98" t="str">
        <f>IFERROR(__xludf.DUMMYFUNCTION("""COMPUTED_VALUE"""),"T2")</f>
        <v>T2</v>
      </c>
      <c r="F203" s="98" t="str">
        <f>IFERROR(__xludf.DUMMYFUNCTION("""COMPUTED_VALUE"""),"Myeik")</f>
        <v>Myeik</v>
      </c>
      <c r="G203" s="98" t="str">
        <f>IFERROR(__xludf.DUMMYFUNCTION("""COMPUTED_VALUE"""),"Wanna Oo")</f>
        <v>Wanna Oo</v>
      </c>
      <c r="H203" s="98"/>
      <c r="I203" s="98"/>
      <c r="J203" s="98"/>
      <c r="K203" s="362">
        <f>IFERROR(__xludf.DUMMYFUNCTION("""COMPUTED_VALUE"""),30.0)</f>
        <v>30</v>
      </c>
      <c r="L203" s="98" t="str">
        <f>IFERROR(__xludf.DUMMYFUNCTION("""COMPUTED_VALUE"""),"8:00PM-5:00AM")</f>
        <v>8:00PM-5:00AM</v>
      </c>
      <c r="M203" s="98" t="str">
        <f>IFERROR(__xludf.DUMMYFUNCTION("""COMPUTED_VALUE"""),"1DG+Solar+Grid+BB")</f>
        <v>1DG+Solar+Grid+BB</v>
      </c>
      <c r="N203" s="98" t="str">
        <f>IFERROR(__xludf.DUMMYFUNCTION("""COMPUTED_VALUE"""),"ok")</f>
        <v>ok</v>
      </c>
      <c r="O203" s="363"/>
      <c r="P203" s="98"/>
      <c r="Q203" s="98"/>
      <c r="R203" s="100"/>
      <c r="S203" s="363"/>
      <c r="T203" s="100"/>
      <c r="U203" s="98"/>
      <c r="V203" s="100"/>
      <c r="W203" s="98"/>
      <c r="X203" s="363"/>
      <c r="Y203" s="100"/>
      <c r="Z203" s="363"/>
      <c r="AA203" s="98"/>
      <c r="AB203" s="363"/>
      <c r="AC203" s="100"/>
      <c r="AD203" s="363"/>
      <c r="AE203" s="100"/>
      <c r="AF203" s="364">
        <f>IFERROR(__xludf.DUMMYFUNCTION("""COMPUTED_VALUE"""),3065.0)</f>
        <v>3065</v>
      </c>
      <c r="AG203" s="98" t="str">
        <f>IFERROR(__xludf.DUMMYFUNCTION("""COMPUTED_VALUE"""),"Conflict area")</f>
        <v>Conflict area</v>
      </c>
      <c r="AH203" s="98"/>
      <c r="AI203" s="98"/>
      <c r="AJ203" s="98"/>
      <c r="AK203" s="98"/>
      <c r="AL203" s="364">
        <f>IFERROR(__xludf.DUMMYFUNCTION("""COMPUTED_VALUE"""),0.0)</f>
        <v>0</v>
      </c>
      <c r="AM203" s="364">
        <f>IFERROR(__xludf.DUMMYFUNCTION("""COMPUTED_VALUE"""),0.0)</f>
        <v>0</v>
      </c>
    </row>
    <row r="204">
      <c r="A204" s="98">
        <f>IFERROR(__xludf.DUMMYFUNCTION("""COMPUTED_VALUE"""),201.0)</f>
        <v>201</v>
      </c>
      <c r="B204" s="98" t="str">
        <f>IFERROR(__xludf.DUMMYFUNCTION("""COMPUTED_VALUE"""),"TNI0036")</f>
        <v>TNI0036</v>
      </c>
      <c r="C204" s="98" t="str">
        <f>IFERROR(__xludf.DUMMYFUNCTION("""COMPUTED_VALUE"""),"C")</f>
        <v>C</v>
      </c>
      <c r="D204" s="98" t="str">
        <f>IFERROR(__xludf.DUMMYFUNCTION("""COMPUTED_VALUE"""),"OCK")</f>
        <v>OCK</v>
      </c>
      <c r="E204" s="98" t="str">
        <f>IFERROR(__xludf.DUMMYFUNCTION("""COMPUTED_VALUE"""),"T2")</f>
        <v>T2</v>
      </c>
      <c r="F204" s="98" t="str">
        <f>IFERROR(__xludf.DUMMYFUNCTION("""COMPUTED_VALUE"""),"Myeik")</f>
        <v>Myeik</v>
      </c>
      <c r="G204" s="98" t="str">
        <f>IFERROR(__xludf.DUMMYFUNCTION("""COMPUTED_VALUE"""),"Wanna Oo")</f>
        <v>Wanna Oo</v>
      </c>
      <c r="H204" s="98"/>
      <c r="I204" s="98">
        <f>IFERROR(__xludf.DUMMYFUNCTION("""COMPUTED_VALUE"""),0.0)</f>
        <v>0</v>
      </c>
      <c r="J204" s="98"/>
      <c r="K204" s="362">
        <f>IFERROR(__xludf.DUMMYFUNCTION("""COMPUTED_VALUE"""),40.0)</f>
        <v>40</v>
      </c>
      <c r="L204" s="98" t="str">
        <f>IFERROR(__xludf.DUMMYFUNCTION("""COMPUTED_VALUE"""),"10:00PM-4:00AM")</f>
        <v>10:00PM-4:00AM</v>
      </c>
      <c r="M204" s="98" t="str">
        <f>IFERROR(__xludf.DUMMYFUNCTION("""COMPUTED_VALUE"""),"1DG+Grid+BB")</f>
        <v>1DG+Grid+BB</v>
      </c>
      <c r="N204" s="98" t="str">
        <f>IFERROR(__xludf.DUMMYFUNCTION("""COMPUTED_VALUE"""),"ok")</f>
        <v>ok</v>
      </c>
      <c r="O204" s="363"/>
      <c r="P204" s="98"/>
      <c r="Q204" s="98"/>
      <c r="R204" s="100"/>
      <c r="S204" s="363"/>
      <c r="T204" s="100"/>
      <c r="U204" s="98"/>
      <c r="V204" s="100"/>
      <c r="W204" s="98"/>
      <c r="X204" s="363"/>
      <c r="Y204" s="100"/>
      <c r="Z204" s="363"/>
      <c r="AA204" s="98"/>
      <c r="AB204" s="363">
        <f>IFERROR(__xludf.DUMMYFUNCTION("""COMPUTED_VALUE"""),46205.7196412037)</f>
        <v>46205.71964</v>
      </c>
      <c r="AC204" s="100">
        <f>IFERROR(__xludf.DUMMYFUNCTION("""COMPUTED_VALUE"""),1.3579294444061816)</f>
        <v>1.357929444</v>
      </c>
      <c r="AD204" s="363"/>
      <c r="AE204" s="100"/>
      <c r="AF204" s="364">
        <f>IFERROR(__xludf.DUMMYFUNCTION("""COMPUTED_VALUE"""),1257.0)</f>
        <v>1257</v>
      </c>
      <c r="AG204" s="98" t="str">
        <f>IFERROR(__xludf.DUMMYFUNCTION("""COMPUTED_VALUE"""),"MDG rest time")</f>
        <v>MDG rest time</v>
      </c>
      <c r="AH204" s="98"/>
      <c r="AI204" s="98"/>
      <c r="AJ204" s="98"/>
      <c r="AK204" s="98"/>
      <c r="AL204" s="364">
        <f>IFERROR(__xludf.DUMMYFUNCTION("""COMPUTED_VALUE"""),0.0)</f>
        <v>0</v>
      </c>
      <c r="AM204" s="364">
        <f>IFERROR(__xludf.DUMMYFUNCTION("""COMPUTED_VALUE"""),0.0)</f>
        <v>0</v>
      </c>
    </row>
    <row r="205">
      <c r="A205" s="98">
        <f>IFERROR(__xludf.DUMMYFUNCTION("""COMPUTED_VALUE"""),202.0)</f>
        <v>202</v>
      </c>
      <c r="B205" s="98" t="str">
        <f>IFERROR(__xludf.DUMMYFUNCTION("""COMPUTED_VALUE"""),"TNI0371")</f>
        <v>TNI0371</v>
      </c>
      <c r="C205" s="98" t="str">
        <f>IFERROR(__xludf.DUMMYFUNCTION("""COMPUTED_VALUE"""),"C")</f>
        <v>C</v>
      </c>
      <c r="D205" s="98" t="str">
        <f>IFERROR(__xludf.DUMMYFUNCTION("""COMPUTED_VALUE"""),"OCK")</f>
        <v>OCK</v>
      </c>
      <c r="E205" s="98" t="str">
        <f>IFERROR(__xludf.DUMMYFUNCTION("""COMPUTED_VALUE"""),"T2")</f>
        <v>T2</v>
      </c>
      <c r="F205" s="98" t="str">
        <f>IFERROR(__xludf.DUMMYFUNCTION("""COMPUTED_VALUE"""),"Kyunsu")</f>
        <v>Kyunsu</v>
      </c>
      <c r="G205" s="98" t="str">
        <f>IFERROR(__xludf.DUMMYFUNCTION("""COMPUTED_VALUE"""),"Ye Lin")</f>
        <v>Ye Lin</v>
      </c>
      <c r="H205" s="98"/>
      <c r="I205" s="98">
        <f>IFERROR(__xludf.DUMMYFUNCTION("""COMPUTED_VALUE"""),0.0)</f>
        <v>0</v>
      </c>
      <c r="J205" s="98"/>
      <c r="K205" s="362">
        <f>IFERROR(__xludf.DUMMYFUNCTION("""COMPUTED_VALUE"""),180.0)</f>
        <v>180</v>
      </c>
      <c r="L205" s="98" t="str">
        <f>IFERROR(__xludf.DUMMYFUNCTION("""COMPUTED_VALUE"""),"10:00PM-4:00AM")</f>
        <v>10:00PM-4:00AM</v>
      </c>
      <c r="M205" s="98" t="str">
        <f>IFERROR(__xludf.DUMMYFUNCTION("""COMPUTED_VALUE"""),"Grid+BB")</f>
        <v>Grid+BB</v>
      </c>
      <c r="N205" s="98" t="str">
        <f>IFERROR(__xludf.DUMMYFUNCTION("""COMPUTED_VALUE"""),"ok")</f>
        <v>ok</v>
      </c>
      <c r="O205" s="363"/>
      <c r="P205" s="98"/>
      <c r="Q205" s="98"/>
      <c r="R205" s="100"/>
      <c r="S205" s="363"/>
      <c r="T205" s="100"/>
      <c r="U205" s="98"/>
      <c r="V205" s="100"/>
      <c r="W205" s="98"/>
      <c r="X205" s="363"/>
      <c r="Y205" s="100"/>
      <c r="Z205" s="363"/>
      <c r="AA205" s="98"/>
      <c r="AB205" s="363"/>
      <c r="AC205" s="100"/>
      <c r="AD205" s="363"/>
      <c r="AE205" s="100"/>
      <c r="AF205" s="364">
        <f>IFERROR(__xludf.DUMMYFUNCTION("""COMPUTED_VALUE"""),997.0)</f>
        <v>997</v>
      </c>
      <c r="AG205" s="98" t="str">
        <f>IFERROR(__xludf.DUMMYFUNCTION("""COMPUTED_VALUE"""),"Checking with TCO team")</f>
        <v>Checking with TCO team</v>
      </c>
      <c r="AH205" s="98"/>
      <c r="AI205" s="98"/>
      <c r="AJ205" s="98"/>
      <c r="AK205" s="98"/>
      <c r="AL205" s="364">
        <f>IFERROR(__xludf.DUMMYFUNCTION("""COMPUTED_VALUE"""),0.0)</f>
        <v>0</v>
      </c>
      <c r="AM205" s="364">
        <f>IFERROR(__xludf.DUMMYFUNCTION("""COMPUTED_VALUE"""),0.0)</f>
        <v>0</v>
      </c>
    </row>
    <row r="206">
      <c r="A206" s="98">
        <f>IFERROR(__xludf.DUMMYFUNCTION("""COMPUTED_VALUE"""),203.0)</f>
        <v>203</v>
      </c>
      <c r="B206" s="98" t="str">
        <f>IFERROR(__xludf.DUMMYFUNCTION("""COMPUTED_VALUE"""),"TNI0020")</f>
        <v>TNI0020</v>
      </c>
      <c r="C206" s="98" t="str">
        <f>IFERROR(__xludf.DUMMYFUNCTION("""COMPUTED_VALUE"""),"B")</f>
        <v>B</v>
      </c>
      <c r="D206" s="98" t="str">
        <f>IFERROR(__xludf.DUMMYFUNCTION("""COMPUTED_VALUE"""),"PAT")</f>
        <v>PAT</v>
      </c>
      <c r="E206" s="98" t="str">
        <f>IFERROR(__xludf.DUMMYFUNCTION("""COMPUTED_VALUE"""),"T2")</f>
        <v>T2</v>
      </c>
      <c r="F206" s="98" t="str">
        <f>IFERROR(__xludf.DUMMYFUNCTION("""COMPUTED_VALUE"""),"Myeik")</f>
        <v>Myeik</v>
      </c>
      <c r="G206" s="98" t="str">
        <f>IFERROR(__xludf.DUMMYFUNCTION("""COMPUTED_VALUE"""),"Ye Lin")</f>
        <v>Ye Lin</v>
      </c>
      <c r="H206" s="98"/>
      <c r="I206" s="98">
        <f>IFERROR(__xludf.DUMMYFUNCTION("""COMPUTED_VALUE"""),0.0)</f>
        <v>0</v>
      </c>
      <c r="J206" s="98" t="str">
        <f>IFERROR(__xludf.DUMMYFUNCTION("""COMPUTED_VALUE"""),"OLT")</f>
        <v>OLT</v>
      </c>
      <c r="K206" s="362">
        <f>IFERROR(__xludf.DUMMYFUNCTION("""COMPUTED_VALUE"""),40.0)</f>
        <v>40</v>
      </c>
      <c r="L206" s="98" t="str">
        <f>IFERROR(__xludf.DUMMYFUNCTION("""COMPUTED_VALUE"""),"10:00PM-4:00AM")</f>
        <v>10:00PM-4:00AM</v>
      </c>
      <c r="M206" s="98" t="str">
        <f>IFERROR(__xludf.DUMMYFUNCTION("""COMPUTED_VALUE"""),"1DG+Grid+BB")</f>
        <v>1DG+Grid+BB</v>
      </c>
      <c r="N206" s="98" t="str">
        <f>IFERROR(__xludf.DUMMYFUNCTION("""COMPUTED_VALUE"""),"ok")</f>
        <v>ok</v>
      </c>
      <c r="O206" s="363"/>
      <c r="P206" s="98"/>
      <c r="Q206" s="98" t="str">
        <f>IFERROR(__xludf.DUMMYFUNCTION("""COMPUTED_VALUE""")," +Door Alarm: 14/05/2025 15:13 DG Door: 30/06/2025 16:49")</f>
        <v> +Door Alarm: 14/05/2025 15:13 DG Door: 30/06/2025 16:49</v>
      </c>
      <c r="R206" s="100">
        <f>IFERROR(__xludf.DUMMYFUNCTION("""COMPUTED_VALUE"""),8808.51)</f>
        <v>8808.51</v>
      </c>
      <c r="S206" s="363"/>
      <c r="T206" s="100"/>
      <c r="U206" s="98"/>
      <c r="V206" s="100"/>
      <c r="W206" s="98"/>
      <c r="X206" s="363"/>
      <c r="Y206" s="100"/>
      <c r="Z206" s="363"/>
      <c r="AA206" s="98"/>
      <c r="AB206" s="363"/>
      <c r="AC206" s="100"/>
      <c r="AD206" s="363"/>
      <c r="AE206" s="100"/>
      <c r="AF206" s="364">
        <f>IFERROR(__xludf.DUMMYFUNCTION("""COMPUTED_VALUE"""),4135.0)</f>
        <v>4135</v>
      </c>
      <c r="AG206" s="98"/>
      <c r="AH206" s="98"/>
      <c r="AI206" s="98"/>
      <c r="AJ206" s="98"/>
      <c r="AK206" s="98"/>
      <c r="AL206" s="364">
        <f>IFERROR(__xludf.DUMMYFUNCTION("""COMPUTED_VALUE"""),0.0)</f>
        <v>0</v>
      </c>
      <c r="AM206" s="364">
        <f>IFERROR(__xludf.DUMMYFUNCTION("""COMPUTED_VALUE"""),0.0)</f>
        <v>0</v>
      </c>
    </row>
    <row r="207">
      <c r="A207" s="98">
        <f>IFERROR(__xludf.DUMMYFUNCTION("""COMPUTED_VALUE"""),204.0)</f>
        <v>204</v>
      </c>
      <c r="B207" s="98" t="str">
        <f>IFERROR(__xludf.DUMMYFUNCTION("""COMPUTED_VALUE"""),"TNI0237")</f>
        <v>TNI0237</v>
      </c>
      <c r="C207" s="98" t="str">
        <f>IFERROR(__xludf.DUMMYFUNCTION("""COMPUTED_VALUE"""),"B")</f>
        <v>B</v>
      </c>
      <c r="D207" s="98" t="str">
        <f>IFERROR(__xludf.DUMMYFUNCTION("""COMPUTED_VALUE"""),"Edotco")</f>
        <v>Edotco</v>
      </c>
      <c r="E207" s="98" t="str">
        <f>IFERROR(__xludf.DUMMYFUNCTION("""COMPUTED_VALUE"""),"T2")</f>
        <v>T2</v>
      </c>
      <c r="F207" s="98" t="str">
        <f>IFERROR(__xludf.DUMMYFUNCTION("""COMPUTED_VALUE"""),"Myeik")</f>
        <v>Myeik</v>
      </c>
      <c r="G207" s="98" t="str">
        <f>IFERROR(__xludf.DUMMYFUNCTION("""COMPUTED_VALUE"""),"Ye Lin")</f>
        <v>Ye Lin</v>
      </c>
      <c r="H207" s="98"/>
      <c r="I207" s="98">
        <f>IFERROR(__xludf.DUMMYFUNCTION("""COMPUTED_VALUE"""),0.0)</f>
        <v>0</v>
      </c>
      <c r="J207" s="98"/>
      <c r="K207" s="362">
        <f>IFERROR(__xludf.DUMMYFUNCTION("""COMPUTED_VALUE"""),60.0)</f>
        <v>60</v>
      </c>
      <c r="L207" s="98" t="str">
        <f>IFERROR(__xludf.DUMMYFUNCTION("""COMPUTED_VALUE"""),"8:00PM-5:00AM")</f>
        <v>8:00PM-5:00AM</v>
      </c>
      <c r="M207" s="98" t="str">
        <f>IFERROR(__xludf.DUMMYFUNCTION("""COMPUTED_VALUE"""),"1DG+Grid+BB")</f>
        <v>1DG+Grid+BB</v>
      </c>
      <c r="N207" s="98" t="str">
        <f>IFERROR(__xludf.DUMMYFUNCTION("""COMPUTED_VALUE"""),"ok")</f>
        <v>ok</v>
      </c>
      <c r="O207" s="363"/>
      <c r="P207" s="98"/>
      <c r="Q207" s="98"/>
      <c r="R207" s="100"/>
      <c r="S207" s="363"/>
      <c r="T207" s="100"/>
      <c r="U207" s="98"/>
      <c r="V207" s="100"/>
      <c r="W207" s="98"/>
      <c r="X207" s="363"/>
      <c r="Y207" s="100"/>
      <c r="Z207" s="363"/>
      <c r="AA207" s="98"/>
      <c r="AB207" s="363"/>
      <c r="AC207" s="100"/>
      <c r="AD207" s="363"/>
      <c r="AE207" s="100"/>
      <c r="AF207" s="364">
        <f>IFERROR(__xludf.DUMMYFUNCTION("""COMPUTED_VALUE"""),2342.0)</f>
        <v>2342</v>
      </c>
      <c r="AG207" s="98"/>
      <c r="AH207" s="98"/>
      <c r="AI207" s="98"/>
      <c r="AJ207" s="98"/>
      <c r="AK207" s="98"/>
      <c r="AL207" s="364">
        <f>IFERROR(__xludf.DUMMYFUNCTION("""COMPUTED_VALUE"""),0.0)</f>
        <v>0</v>
      </c>
      <c r="AM207" s="364">
        <f>IFERROR(__xludf.DUMMYFUNCTION("""COMPUTED_VALUE"""),0.0)</f>
        <v>0</v>
      </c>
    </row>
    <row r="208">
      <c r="A208" s="98">
        <f>IFERROR(__xludf.DUMMYFUNCTION("""COMPUTED_VALUE"""),205.0)</f>
        <v>205</v>
      </c>
      <c r="B208" s="98" t="str">
        <f>IFERROR(__xludf.DUMMYFUNCTION("""COMPUTED_VALUE"""),"TNI0034")</f>
        <v>TNI0034</v>
      </c>
      <c r="C208" s="98" t="str">
        <f>IFERROR(__xludf.DUMMYFUNCTION("""COMPUTED_VALUE"""),"C")</f>
        <v>C</v>
      </c>
      <c r="D208" s="98" t="str">
        <f>IFERROR(__xludf.DUMMYFUNCTION("""COMPUTED_VALUE"""),"EFT")</f>
        <v>EFT</v>
      </c>
      <c r="E208" s="98" t="str">
        <f>IFERROR(__xludf.DUMMYFUNCTION("""COMPUTED_VALUE"""),"T2")</f>
        <v>T2</v>
      </c>
      <c r="F208" s="98" t="str">
        <f>IFERROR(__xludf.DUMMYFUNCTION("""COMPUTED_VALUE"""),"Myeik")</f>
        <v>Myeik</v>
      </c>
      <c r="G208" s="98" t="str">
        <f>IFERROR(__xludf.DUMMYFUNCTION("""COMPUTED_VALUE"""),"Ye Lin")</f>
        <v>Ye Lin</v>
      </c>
      <c r="H208" s="98"/>
      <c r="I208" s="98">
        <f>IFERROR(__xludf.DUMMYFUNCTION("""COMPUTED_VALUE"""),0.0)</f>
        <v>0</v>
      </c>
      <c r="J208" s="98"/>
      <c r="K208" s="362">
        <f>IFERROR(__xludf.DUMMYFUNCTION("""COMPUTED_VALUE"""),40.0)</f>
        <v>40</v>
      </c>
      <c r="L208" s="98" t="str">
        <f>IFERROR(__xludf.DUMMYFUNCTION("""COMPUTED_VALUE"""),"10:00PM-4:00AM")</f>
        <v>10:00PM-4:00AM</v>
      </c>
      <c r="M208" s="98" t="str">
        <f>IFERROR(__xludf.DUMMYFUNCTION("""COMPUTED_VALUE"""),"1DG+Grid+BB")</f>
        <v>1DG+Grid+BB</v>
      </c>
      <c r="N208" s="98" t="str">
        <f>IFERROR(__xludf.DUMMYFUNCTION("""COMPUTED_VALUE"""),"ok")</f>
        <v>ok</v>
      </c>
      <c r="O208" s="363"/>
      <c r="P208" s="98"/>
      <c r="Q208" s="98"/>
      <c r="R208" s="100"/>
      <c r="S208" s="363"/>
      <c r="T208" s="100"/>
      <c r="U208" s="98"/>
      <c r="V208" s="100"/>
      <c r="W208" s="98"/>
      <c r="X208" s="363"/>
      <c r="Y208" s="100"/>
      <c r="Z208" s="363"/>
      <c r="AA208" s="98"/>
      <c r="AB208" s="363"/>
      <c r="AC208" s="100"/>
      <c r="AD208" s="363"/>
      <c r="AE208" s="100"/>
      <c r="AF208" s="364">
        <f>IFERROR(__xludf.DUMMYFUNCTION("""COMPUTED_VALUE"""),1028.0)</f>
        <v>1028</v>
      </c>
      <c r="AG208" s="98" t="str">
        <f>IFERROR(__xludf.DUMMYFUNCTION("""COMPUTED_VALUE"""),"Grid fail, non DG")</f>
        <v>Grid fail, non DG</v>
      </c>
      <c r="AH208" s="98"/>
      <c r="AI208" s="98"/>
      <c r="AJ208" s="98"/>
      <c r="AK208" s="98"/>
      <c r="AL208" s="364">
        <f>IFERROR(__xludf.DUMMYFUNCTION("""COMPUTED_VALUE"""),0.0)</f>
        <v>0</v>
      </c>
      <c r="AM208" s="364">
        <f>IFERROR(__xludf.DUMMYFUNCTION("""COMPUTED_VALUE"""),0.0)</f>
        <v>0</v>
      </c>
    </row>
    <row r="209">
      <c r="A209" s="98">
        <f>IFERROR(__xludf.DUMMYFUNCTION("""COMPUTED_VALUE"""),206.0)</f>
        <v>206</v>
      </c>
      <c r="B209" s="98" t="str">
        <f>IFERROR(__xludf.DUMMYFUNCTION("""COMPUTED_VALUE"""),"TNI0263")</f>
        <v>TNI0263</v>
      </c>
      <c r="C209" s="98" t="str">
        <f>IFERROR(__xludf.DUMMYFUNCTION("""COMPUTED_VALUE"""),"B")</f>
        <v>B</v>
      </c>
      <c r="D209" s="98" t="str">
        <f>IFERROR(__xludf.DUMMYFUNCTION("""COMPUTED_VALUE"""),"Mytel")</f>
        <v>Mytel</v>
      </c>
      <c r="E209" s="98" t="str">
        <f>IFERROR(__xludf.DUMMYFUNCTION("""COMPUTED_VALUE"""),"T2")</f>
        <v>T2</v>
      </c>
      <c r="F209" s="98" t="str">
        <f>IFERROR(__xludf.DUMMYFUNCTION("""COMPUTED_VALUE"""),"Myeik")</f>
        <v>Myeik</v>
      </c>
      <c r="G209" s="98" t="str">
        <f>IFERROR(__xludf.DUMMYFUNCTION("""COMPUTED_VALUE"""),"Ye Lin")</f>
        <v>Ye Lin</v>
      </c>
      <c r="H209" s="98"/>
      <c r="I209" s="98">
        <f>IFERROR(__xludf.DUMMYFUNCTION("""COMPUTED_VALUE"""),0.0)</f>
        <v>0</v>
      </c>
      <c r="J209" s="98" t="str">
        <f>IFERROR(__xludf.DUMMYFUNCTION("""COMPUTED_VALUE"""),"OLT")</f>
        <v>OLT</v>
      </c>
      <c r="K209" s="362">
        <f>IFERROR(__xludf.DUMMYFUNCTION("""COMPUTED_VALUE"""),30.0)</f>
        <v>30</v>
      </c>
      <c r="L209" s="98" t="str">
        <f>IFERROR(__xludf.DUMMYFUNCTION("""COMPUTED_VALUE"""),"24*7")</f>
        <v>24*7</v>
      </c>
      <c r="M209" s="98" t="str">
        <f>IFERROR(__xludf.DUMMYFUNCTION("""COMPUTED_VALUE"""),"1DG+Grid+BB")</f>
        <v>1DG+Grid+BB</v>
      </c>
      <c r="N209" s="98" t="str">
        <f>IFERROR(__xludf.DUMMYFUNCTION("""COMPUTED_VALUE"""),"ok")</f>
        <v>ok</v>
      </c>
      <c r="O209" s="363"/>
      <c r="P209" s="98"/>
      <c r="Q209" s="98"/>
      <c r="R209" s="100"/>
      <c r="S209" s="363"/>
      <c r="T209" s="100"/>
      <c r="U209" s="98" t="str">
        <f>IFERROR(__xludf.DUMMYFUNCTION("""COMPUTED_VALUE"""),"18260.18")</f>
        <v>18260.18</v>
      </c>
      <c r="V209" s="100"/>
      <c r="W209" s="98"/>
      <c r="X209" s="363"/>
      <c r="Y209" s="100"/>
      <c r="Z209" s="363"/>
      <c r="AA209" s="98"/>
      <c r="AB209" s="363"/>
      <c r="AC209" s="100"/>
      <c r="AD209" s="363"/>
      <c r="AE209" s="100"/>
      <c r="AF209" s="364">
        <f>IFERROR(__xludf.DUMMYFUNCTION("""COMPUTED_VALUE"""),2984.0)</f>
        <v>2984</v>
      </c>
      <c r="AG209" s="98" t="str">
        <f>IFERROR(__xludf.DUMMYFUNCTION("""COMPUTED_VALUE"""),"Checking with TCO team ")</f>
        <v>Checking with TCO team </v>
      </c>
      <c r="AH209" s="98"/>
      <c r="AI209" s="98"/>
      <c r="AJ209" s="98"/>
      <c r="AK209" s="98"/>
      <c r="AL209" s="364">
        <f>IFERROR(__xludf.DUMMYFUNCTION("""COMPUTED_VALUE"""),0.0)</f>
        <v>0</v>
      </c>
      <c r="AM209" s="364">
        <f>IFERROR(__xludf.DUMMYFUNCTION("""COMPUTED_VALUE"""),0.0)</f>
        <v>0</v>
      </c>
    </row>
    <row r="210">
      <c r="A210" s="98">
        <f>IFERROR(__xludf.DUMMYFUNCTION("""COMPUTED_VALUE"""),207.0)</f>
        <v>207</v>
      </c>
      <c r="B210" s="98" t="str">
        <f>IFERROR(__xludf.DUMMYFUNCTION("""COMPUTED_VALUE"""),"TNI0354")</f>
        <v>TNI0354</v>
      </c>
      <c r="C210" s="98" t="str">
        <f>IFERROR(__xludf.DUMMYFUNCTION("""COMPUTED_VALUE"""),"C")</f>
        <v>C</v>
      </c>
      <c r="D210" s="98" t="str">
        <f>IFERROR(__xludf.DUMMYFUNCTION("""COMPUTED_VALUE"""),"PAT")</f>
        <v>PAT</v>
      </c>
      <c r="E210" s="98" t="str">
        <f>IFERROR(__xludf.DUMMYFUNCTION("""COMPUTED_VALUE"""),"T2")</f>
        <v>T2</v>
      </c>
      <c r="F210" s="98" t="str">
        <f>IFERROR(__xludf.DUMMYFUNCTION("""COMPUTED_VALUE"""),"Myeik")</f>
        <v>Myeik</v>
      </c>
      <c r="G210" s="98" t="str">
        <f>IFERROR(__xludf.DUMMYFUNCTION("""COMPUTED_VALUE"""),"Ye Lin")</f>
        <v>Ye Lin</v>
      </c>
      <c r="H210" s="98"/>
      <c r="I210" s="98">
        <f>IFERROR(__xludf.DUMMYFUNCTION("""COMPUTED_VALUE"""),0.0)</f>
        <v>0</v>
      </c>
      <c r="J210" s="98"/>
      <c r="K210" s="362">
        <f>IFERROR(__xludf.DUMMYFUNCTION("""COMPUTED_VALUE"""),180.0)</f>
        <v>180</v>
      </c>
      <c r="L210" s="98" t="str">
        <f>IFERROR(__xludf.DUMMYFUNCTION("""COMPUTED_VALUE"""),"6PM-6AM")</f>
        <v>6PM-6AM</v>
      </c>
      <c r="M210" s="98" t="str">
        <f>IFERROR(__xludf.DUMMYFUNCTION("""COMPUTED_VALUE"""),"Grid+BB")</f>
        <v>Grid+BB</v>
      </c>
      <c r="N210" s="98" t="str">
        <f>IFERROR(__xludf.DUMMYFUNCTION("""COMPUTED_VALUE"""),"ok")</f>
        <v>ok</v>
      </c>
      <c r="O210" s="363"/>
      <c r="P210" s="98"/>
      <c r="Q210" s="98"/>
      <c r="R210" s="100"/>
      <c r="S210" s="363"/>
      <c r="T210" s="100"/>
      <c r="U210" s="98"/>
      <c r="V210" s="100"/>
      <c r="W210" s="98"/>
      <c r="X210" s="363"/>
      <c r="Y210" s="100"/>
      <c r="Z210" s="363"/>
      <c r="AA210" s="98"/>
      <c r="AB210" s="363"/>
      <c r="AC210" s="100"/>
      <c r="AD210" s="363"/>
      <c r="AE210" s="100"/>
      <c r="AF210" s="364">
        <f>IFERROR(__xludf.DUMMYFUNCTION("""COMPUTED_VALUE"""),228.0)</f>
        <v>228</v>
      </c>
      <c r="AG210" s="98" t="str">
        <f>IFERROR(__xludf.DUMMYFUNCTION("""COMPUTED_VALUE"""),"Hub site TNI0107 down")</f>
        <v>Hub site TNI0107 down</v>
      </c>
      <c r="AH210" s="98"/>
      <c r="AI210" s="98"/>
      <c r="AJ210" s="98"/>
      <c r="AK210" s="98"/>
      <c r="AL210" s="364">
        <f>IFERROR(__xludf.DUMMYFUNCTION("""COMPUTED_VALUE"""),0.0)</f>
        <v>0</v>
      </c>
      <c r="AM210" s="364">
        <f>IFERROR(__xludf.DUMMYFUNCTION("""COMPUTED_VALUE"""),0.0)</f>
        <v>0</v>
      </c>
    </row>
    <row r="211">
      <c r="A211" s="98">
        <f>IFERROR(__xludf.DUMMYFUNCTION("""COMPUTED_VALUE"""),208.0)</f>
        <v>208</v>
      </c>
      <c r="B211" s="98" t="str">
        <f>IFERROR(__xludf.DUMMYFUNCTION("""COMPUTED_VALUE"""),"TNI0423")</f>
        <v>TNI0423</v>
      </c>
      <c r="C211" s="98" t="str">
        <f>IFERROR(__xludf.DUMMYFUNCTION("""COMPUTED_VALUE"""),"C")</f>
        <v>C</v>
      </c>
      <c r="D211" s="98" t="str">
        <f>IFERROR(__xludf.DUMMYFUNCTION("""COMPUTED_VALUE"""),"NTD")</f>
        <v>NTD</v>
      </c>
      <c r="E211" s="98" t="str">
        <f>IFERROR(__xludf.DUMMYFUNCTION("""COMPUTED_VALUE"""),"T2")</f>
        <v>T2</v>
      </c>
      <c r="F211" s="98" t="str">
        <f>IFERROR(__xludf.DUMMYFUNCTION("""COMPUTED_VALUE"""),"Kyunsu")</f>
        <v>Kyunsu</v>
      </c>
      <c r="G211" s="98" t="str">
        <f>IFERROR(__xludf.DUMMYFUNCTION("""COMPUTED_VALUE"""),"Ye Lin")</f>
        <v>Ye Lin</v>
      </c>
      <c r="H211" s="98" t="str">
        <f>IFERROR(__xludf.DUMMYFUNCTION("""COMPUTED_VALUE"""),"Wai Yan Soe: 09693424355")</f>
        <v>Wai Yan Soe: 09693424355</v>
      </c>
      <c r="I211" s="98"/>
      <c r="J211" s="98"/>
      <c r="K211" s="362">
        <f>IFERROR(__xludf.DUMMYFUNCTION("""COMPUTED_VALUE"""),180.0)</f>
        <v>180</v>
      </c>
      <c r="L211" s="98" t="str">
        <f>IFERROR(__xludf.DUMMYFUNCTION("""COMPUTED_VALUE"""),"10:00PM-4:00AM")</f>
        <v>10:00PM-4:00AM</v>
      </c>
      <c r="M211" s="98" t="str">
        <f>IFERROR(__xludf.DUMMYFUNCTION("""COMPUTED_VALUE"""),"Grid+BB")</f>
        <v>Grid+BB</v>
      </c>
      <c r="N211" s="98" t="str">
        <f>IFERROR(__xludf.DUMMYFUNCTION("""COMPUTED_VALUE"""),"ok")</f>
        <v>ok</v>
      </c>
      <c r="O211" s="363"/>
      <c r="P211" s="98"/>
      <c r="Q211" s="98"/>
      <c r="R211" s="100"/>
      <c r="S211" s="363"/>
      <c r="T211" s="100"/>
      <c r="U211" s="98"/>
      <c r="V211" s="100"/>
      <c r="W211" s="98"/>
      <c r="X211" s="363"/>
      <c r="Y211" s="100"/>
      <c r="Z211" s="363"/>
      <c r="AA211" s="98"/>
      <c r="AB211" s="363"/>
      <c r="AC211" s="100"/>
      <c r="AD211" s="363"/>
      <c r="AE211" s="100"/>
      <c r="AF211" s="364">
        <f>IFERROR(__xludf.DUMMYFUNCTION("""COMPUTED_VALUE"""),1450.0)</f>
        <v>1450</v>
      </c>
      <c r="AG211" s="98" t="str">
        <f>IFERROR(__xludf.DUMMYFUNCTION("""COMPUTED_VALUE"""),"MDG will be run at 8 AM")</f>
        <v>MDG will be run at 8 AM</v>
      </c>
      <c r="AH211" s="98"/>
      <c r="AI211" s="98"/>
      <c r="AJ211" s="98"/>
      <c r="AK211" s="98"/>
      <c r="AL211" s="364">
        <f>IFERROR(__xludf.DUMMYFUNCTION("""COMPUTED_VALUE"""),0.0)</f>
        <v>0</v>
      </c>
      <c r="AM211" s="364">
        <f>IFERROR(__xludf.DUMMYFUNCTION("""COMPUTED_VALUE"""),0.0)</f>
        <v>0</v>
      </c>
    </row>
    <row r="212">
      <c r="A212" s="98">
        <f>IFERROR(__xludf.DUMMYFUNCTION("""COMPUTED_VALUE"""),209.0)</f>
        <v>209</v>
      </c>
      <c r="B212" s="98" t="str">
        <f>IFERROR(__xludf.DUMMYFUNCTION("""COMPUTED_VALUE"""),"TNI0384")</f>
        <v>TNI0384</v>
      </c>
      <c r="C212" s="98" t="str">
        <f>IFERROR(__xludf.DUMMYFUNCTION("""COMPUTED_VALUE"""),"C")</f>
        <v>C</v>
      </c>
      <c r="D212" s="98" t="str">
        <f>IFERROR(__xludf.DUMMYFUNCTION("""COMPUTED_VALUE"""),"TIP")</f>
        <v>TIP</v>
      </c>
      <c r="E212" s="98" t="str">
        <f>IFERROR(__xludf.DUMMYFUNCTION("""COMPUTED_VALUE"""),"T2")</f>
        <v>T2</v>
      </c>
      <c r="F212" s="98" t="str">
        <f>IFERROR(__xludf.DUMMYFUNCTION("""COMPUTED_VALUE"""),"Kyunsu")</f>
        <v>Kyunsu</v>
      </c>
      <c r="G212" s="98" t="str">
        <f>IFERROR(__xludf.DUMMYFUNCTION("""COMPUTED_VALUE"""),"Ye Lin")</f>
        <v>Ye Lin</v>
      </c>
      <c r="H212" s="98" t="str">
        <f>IFERROR(__xludf.DUMMYFUNCTION("""COMPUTED_VALUE"""),"Min Htet  Aung: 09662975605")</f>
        <v>Min Htet  Aung: 09662975605</v>
      </c>
      <c r="I212" s="98"/>
      <c r="J212" s="98"/>
      <c r="K212" s="362">
        <f>IFERROR(__xludf.DUMMYFUNCTION("""COMPUTED_VALUE"""),180.0)</f>
        <v>180</v>
      </c>
      <c r="L212" s="98" t="str">
        <f>IFERROR(__xludf.DUMMYFUNCTION("""COMPUTED_VALUE"""),"10:00PM-4:00AM")</f>
        <v>10:00PM-4:00AM</v>
      </c>
      <c r="M212" s="98" t="str">
        <f>IFERROR(__xludf.DUMMYFUNCTION("""COMPUTED_VALUE"""),"Grid+BB")</f>
        <v>Grid+BB</v>
      </c>
      <c r="N212" s="98" t="str">
        <f>IFERROR(__xludf.DUMMYFUNCTION("""COMPUTED_VALUE"""),"173")</f>
        <v>173</v>
      </c>
      <c r="O212" s="363"/>
      <c r="P212" s="98"/>
      <c r="Q212" s="98"/>
      <c r="R212" s="100"/>
      <c r="S212" s="363">
        <f>IFERROR(__xludf.DUMMYFUNCTION("""COMPUTED_VALUE"""),46205.70706018519)</f>
        <v>46205.70706</v>
      </c>
      <c r="T212" s="100">
        <f>IFERROR(__xludf.DUMMYFUNCTION("""COMPUTED_VALUE"""),1.659873888711445)</f>
        <v>1.659873889</v>
      </c>
      <c r="U212" s="98"/>
      <c r="V212" s="100"/>
      <c r="W212" s="98"/>
      <c r="X212" s="363"/>
      <c r="Y212" s="100"/>
      <c r="Z212" s="363"/>
      <c r="AA212" s="98"/>
      <c r="AB212" s="363"/>
      <c r="AC212" s="100"/>
      <c r="AD212" s="363"/>
      <c r="AE212" s="100"/>
      <c r="AF212" s="364">
        <f>IFERROR(__xludf.DUMMYFUNCTION("""COMPUTED_VALUE"""),2825.0)</f>
        <v>2825</v>
      </c>
      <c r="AG212" s="98" t="str">
        <f>IFERROR(__xludf.DUMMYFUNCTION("""COMPUTED_VALUE"""),"Checking with CT")</f>
        <v>Checking with CT</v>
      </c>
      <c r="AH212" s="98"/>
      <c r="AI212" s="98"/>
      <c r="AJ212" s="98"/>
      <c r="AK212" s="98"/>
      <c r="AL212" s="364">
        <f>IFERROR(__xludf.DUMMYFUNCTION("""COMPUTED_VALUE"""),0.0)</f>
        <v>0</v>
      </c>
      <c r="AM212" s="364">
        <f>IFERROR(__xludf.DUMMYFUNCTION("""COMPUTED_VALUE"""),0.0)</f>
        <v>0</v>
      </c>
    </row>
    <row r="213">
      <c r="A213" s="98">
        <f>IFERROR(__xludf.DUMMYFUNCTION("""COMPUTED_VALUE"""),210.0)</f>
        <v>210</v>
      </c>
      <c r="B213" s="98" t="str">
        <f>IFERROR(__xludf.DUMMYFUNCTION("""COMPUTED_VALUE"""),"TNI0385")</f>
        <v>TNI0385</v>
      </c>
      <c r="C213" s="98" t="str">
        <f>IFERROR(__xludf.DUMMYFUNCTION("""COMPUTED_VALUE"""),"C")</f>
        <v>C</v>
      </c>
      <c r="D213" s="98" t="str">
        <f>IFERROR(__xludf.DUMMYFUNCTION("""COMPUTED_VALUE"""),"TIP")</f>
        <v>TIP</v>
      </c>
      <c r="E213" s="98" t="str">
        <f>IFERROR(__xludf.DUMMYFUNCTION("""COMPUTED_VALUE"""),"T2")</f>
        <v>T2</v>
      </c>
      <c r="F213" s="98" t="str">
        <f>IFERROR(__xludf.DUMMYFUNCTION("""COMPUTED_VALUE"""),"Kyunsu")</f>
        <v>Kyunsu</v>
      </c>
      <c r="G213" s="98" t="str">
        <f>IFERROR(__xludf.DUMMYFUNCTION("""COMPUTED_VALUE"""),"Ye Lin")</f>
        <v>Ye Lin</v>
      </c>
      <c r="H213" s="98" t="str">
        <f>IFERROR(__xludf.DUMMYFUNCTION("""COMPUTED_VALUE"""),"U Min Aung: 09661321431")</f>
        <v>U Min Aung: 09661321431</v>
      </c>
      <c r="I213" s="98"/>
      <c r="J213" s="98"/>
      <c r="K213" s="362">
        <f>IFERROR(__xludf.DUMMYFUNCTION("""COMPUTED_VALUE"""),180.0)</f>
        <v>180</v>
      </c>
      <c r="L213" s="98" t="str">
        <f>IFERROR(__xludf.DUMMYFUNCTION("""COMPUTED_VALUE"""),"10:00PM-4:00AM")</f>
        <v>10:00PM-4:00AM</v>
      </c>
      <c r="M213" s="98" t="str">
        <f>IFERROR(__xludf.DUMMYFUNCTION("""COMPUTED_VALUE"""),"Grid+BB")</f>
        <v>Grid+BB</v>
      </c>
      <c r="N213" s="98" t="str">
        <f>IFERROR(__xludf.DUMMYFUNCTION("""COMPUTED_VALUE"""),"0")</f>
        <v>0</v>
      </c>
      <c r="O213" s="363"/>
      <c r="P213" s="98"/>
      <c r="Q213" s="98"/>
      <c r="R213" s="100"/>
      <c r="S213" s="363"/>
      <c r="T213" s="100"/>
      <c r="U213" s="98"/>
      <c r="V213" s="100"/>
      <c r="W213" s="98"/>
      <c r="X213" s="363"/>
      <c r="Y213" s="100"/>
      <c r="Z213" s="363"/>
      <c r="AA213" s="98"/>
      <c r="AB213" s="363"/>
      <c r="AC213" s="100"/>
      <c r="AD213" s="363"/>
      <c r="AE213" s="100"/>
      <c r="AF213" s="364">
        <f>IFERROR(__xludf.DUMMYFUNCTION("""COMPUTED_VALUE"""),1452.0)</f>
        <v>1452</v>
      </c>
      <c r="AG213" s="98" t="str">
        <f>IFERROR(__xludf.DUMMYFUNCTION("""COMPUTED_VALUE"""),"Hub site TNI0385 down")</f>
        <v>Hub site TNI0385 down</v>
      </c>
      <c r="AH213" s="98"/>
      <c r="AI213" s="98"/>
      <c r="AJ213" s="98"/>
      <c r="AK213" s="98"/>
      <c r="AL213" s="364">
        <f>IFERROR(__xludf.DUMMYFUNCTION("""COMPUTED_VALUE"""),0.0)</f>
        <v>0</v>
      </c>
      <c r="AM213" s="364">
        <f>IFERROR(__xludf.DUMMYFUNCTION("""COMPUTED_VALUE"""),0.0)</f>
        <v>0</v>
      </c>
    </row>
    <row r="214">
      <c r="A214" s="98">
        <f>IFERROR(__xludf.DUMMYFUNCTION("""COMPUTED_VALUE"""),211.0)</f>
        <v>211</v>
      </c>
      <c r="B214" s="98" t="str">
        <f>IFERROR(__xludf.DUMMYFUNCTION("""COMPUTED_VALUE"""),"TNI0386")</f>
        <v>TNI0386</v>
      </c>
      <c r="C214" s="98" t="str">
        <f>IFERROR(__xludf.DUMMYFUNCTION("""COMPUTED_VALUE"""),"C")</f>
        <v>C</v>
      </c>
      <c r="D214" s="98" t="str">
        <f>IFERROR(__xludf.DUMMYFUNCTION("""COMPUTED_VALUE"""),"TIP")</f>
        <v>TIP</v>
      </c>
      <c r="E214" s="98" t="str">
        <f>IFERROR(__xludf.DUMMYFUNCTION("""COMPUTED_VALUE"""),"T2")</f>
        <v>T2</v>
      </c>
      <c r="F214" s="98" t="str">
        <f>IFERROR(__xludf.DUMMYFUNCTION("""COMPUTED_VALUE"""),"Kyunsu")</f>
        <v>Kyunsu</v>
      </c>
      <c r="G214" s="98" t="str">
        <f>IFERROR(__xludf.DUMMYFUNCTION("""COMPUTED_VALUE"""),"Ye Lin")</f>
        <v>Ye Lin</v>
      </c>
      <c r="H214" s="98" t="str">
        <f>IFERROR(__xludf.DUMMYFUNCTION("""COMPUTED_VALUE"""),"Aung Zay Latt: 09696207358")</f>
        <v>Aung Zay Latt: 09696207358</v>
      </c>
      <c r="I214" s="98"/>
      <c r="J214" s="98"/>
      <c r="K214" s="362">
        <f>IFERROR(__xludf.DUMMYFUNCTION("""COMPUTED_VALUE"""),180.0)</f>
        <v>180</v>
      </c>
      <c r="L214" s="98" t="str">
        <f>IFERROR(__xludf.DUMMYFUNCTION("""COMPUTED_VALUE"""),"10:00PM-4:00AM")</f>
        <v>10:00PM-4:00AM</v>
      </c>
      <c r="M214" s="98" t="str">
        <f>IFERROR(__xludf.DUMMYFUNCTION("""COMPUTED_VALUE"""),"Grid+BB")</f>
        <v>Grid+BB</v>
      </c>
      <c r="N214" s="98" t="str">
        <f>IFERROR(__xludf.DUMMYFUNCTION("""COMPUTED_VALUE"""),"0")</f>
        <v>0</v>
      </c>
      <c r="O214" s="363"/>
      <c r="P214" s="98"/>
      <c r="Q214" s="98"/>
      <c r="R214" s="100"/>
      <c r="S214" s="363"/>
      <c r="T214" s="100"/>
      <c r="U214" s="98"/>
      <c r="V214" s="100"/>
      <c r="W214" s="98"/>
      <c r="X214" s="363"/>
      <c r="Y214" s="100"/>
      <c r="Z214" s="363"/>
      <c r="AA214" s="98"/>
      <c r="AB214" s="363"/>
      <c r="AC214" s="100"/>
      <c r="AD214" s="363"/>
      <c r="AE214" s="100"/>
      <c r="AF214" s="364">
        <f>IFERROR(__xludf.DUMMYFUNCTION("""COMPUTED_VALUE"""),1825.0)</f>
        <v>1825</v>
      </c>
      <c r="AG214" s="98" t="str">
        <f>IFERROR(__xludf.DUMMYFUNCTION("""COMPUTED_VALUE"""),"Checking with CT")</f>
        <v>Checking with CT</v>
      </c>
      <c r="AH214" s="98"/>
      <c r="AI214" s="98"/>
      <c r="AJ214" s="98"/>
      <c r="AK214" s="98"/>
      <c r="AL214" s="364">
        <f>IFERROR(__xludf.DUMMYFUNCTION("""COMPUTED_VALUE"""),0.0)</f>
        <v>0</v>
      </c>
      <c r="AM214" s="364">
        <f>IFERROR(__xludf.DUMMYFUNCTION("""COMPUTED_VALUE"""),0.0)</f>
        <v>0</v>
      </c>
    </row>
    <row r="215">
      <c r="A215" s="98">
        <f>IFERROR(__xludf.DUMMYFUNCTION("""COMPUTED_VALUE"""),212.0)</f>
        <v>212</v>
      </c>
      <c r="B215" s="98" t="str">
        <f>IFERROR(__xludf.DUMMYFUNCTION("""COMPUTED_VALUE"""),"TNI0277")</f>
        <v>TNI0277</v>
      </c>
      <c r="C215" s="98" t="str">
        <f>IFERROR(__xludf.DUMMYFUNCTION("""COMPUTED_VALUE"""),"B")</f>
        <v>B</v>
      </c>
      <c r="D215" s="98" t="str">
        <f>IFERROR(__xludf.DUMMYFUNCTION("""COMPUTED_VALUE"""),"IGT")</f>
        <v>IGT</v>
      </c>
      <c r="E215" s="98" t="str">
        <f>IFERROR(__xludf.DUMMYFUNCTION("""COMPUTED_VALUE"""),"T2")</f>
        <v>T2</v>
      </c>
      <c r="F215" s="98" t="str">
        <f>IFERROR(__xludf.DUMMYFUNCTION("""COMPUTED_VALUE"""),"Myeik")</f>
        <v>Myeik</v>
      </c>
      <c r="G215" s="98" t="str">
        <f>IFERROR(__xludf.DUMMYFUNCTION("""COMPUTED_VALUE"""),"Ye Lin")</f>
        <v>Ye Lin</v>
      </c>
      <c r="H215" s="98"/>
      <c r="I215" s="98">
        <f>IFERROR(__xludf.DUMMYFUNCTION("""COMPUTED_VALUE"""),0.0)</f>
        <v>0</v>
      </c>
      <c r="J215" s="98"/>
      <c r="K215" s="362">
        <f>IFERROR(__xludf.DUMMYFUNCTION("""COMPUTED_VALUE"""),60.0)</f>
        <v>60</v>
      </c>
      <c r="L215" s="98" t="str">
        <f>IFERROR(__xludf.DUMMYFUNCTION("""COMPUTED_VALUE"""),"24*7")</f>
        <v>24*7</v>
      </c>
      <c r="M215" s="98" t="str">
        <f>IFERROR(__xludf.DUMMYFUNCTION("""COMPUTED_VALUE"""),"1DG+Grid+BB")</f>
        <v>1DG+Grid+BB</v>
      </c>
      <c r="N215" s="98" t="str">
        <f>IFERROR(__xludf.DUMMYFUNCTION("""COMPUTED_VALUE"""),"ok")</f>
        <v>ok</v>
      </c>
      <c r="O215" s="363"/>
      <c r="P215" s="98"/>
      <c r="Q215" s="98"/>
      <c r="R215" s="100"/>
      <c r="S215" s="363"/>
      <c r="T215" s="100"/>
      <c r="U215" s="98"/>
      <c r="V215" s="100"/>
      <c r="W215" s="98"/>
      <c r="X215" s="363"/>
      <c r="Y215" s="100"/>
      <c r="Z215" s="363"/>
      <c r="AA215" s="98"/>
      <c r="AB215" s="363"/>
      <c r="AC215" s="100"/>
      <c r="AD215" s="363"/>
      <c r="AE215" s="100"/>
      <c r="AF215" s="364">
        <f>IFERROR(__xludf.DUMMYFUNCTION("""COMPUTED_VALUE"""),2066.0)</f>
        <v>2066</v>
      </c>
      <c r="AG215" s="98" t="str">
        <f>IFERROR(__xludf.DUMMYFUNCTION("""COMPUTED_VALUE"""),"TCO team CR plan doing")</f>
        <v>TCO team CR plan doing</v>
      </c>
      <c r="AH215" s="98"/>
      <c r="AI215" s="98"/>
      <c r="AJ215" s="98"/>
      <c r="AK215" s="98"/>
      <c r="AL215" s="364">
        <f>IFERROR(__xludf.DUMMYFUNCTION("""COMPUTED_VALUE"""),0.0)</f>
        <v>0</v>
      </c>
      <c r="AM215" s="364">
        <f>IFERROR(__xludf.DUMMYFUNCTION("""COMPUTED_VALUE"""),0.0)</f>
        <v>0</v>
      </c>
    </row>
    <row r="216">
      <c r="A216" s="98">
        <f>IFERROR(__xludf.DUMMYFUNCTION("""COMPUTED_VALUE"""),213.0)</f>
        <v>213</v>
      </c>
      <c r="B216" s="98" t="str">
        <f>IFERROR(__xludf.DUMMYFUNCTION("""COMPUTED_VALUE"""),"TNI0365")</f>
        <v>TNI0365</v>
      </c>
      <c r="C216" s="98" t="str">
        <f>IFERROR(__xludf.DUMMYFUNCTION("""COMPUTED_VALUE"""),"C")</f>
        <v>C</v>
      </c>
      <c r="D216" s="98" t="str">
        <f>IFERROR(__xludf.DUMMYFUNCTION("""COMPUTED_VALUE"""),"OCK")</f>
        <v>OCK</v>
      </c>
      <c r="E216" s="98" t="str">
        <f>IFERROR(__xludf.DUMMYFUNCTION("""COMPUTED_VALUE"""),"T2")</f>
        <v>T2</v>
      </c>
      <c r="F216" s="98" t="str">
        <f>IFERROR(__xludf.DUMMYFUNCTION("""COMPUTED_VALUE"""),"Kyunsu")</f>
        <v>Kyunsu</v>
      </c>
      <c r="G216" s="98" t="str">
        <f>IFERROR(__xludf.DUMMYFUNCTION("""COMPUTED_VALUE"""),"Ye Lin")</f>
        <v>Ye Lin</v>
      </c>
      <c r="H216" s="98"/>
      <c r="I216" s="98"/>
      <c r="J216" s="98"/>
      <c r="K216" s="362">
        <f>IFERROR(__xludf.DUMMYFUNCTION("""COMPUTED_VALUE"""),120.0)</f>
        <v>120</v>
      </c>
      <c r="L216" s="98" t="str">
        <f>IFERROR(__xludf.DUMMYFUNCTION("""COMPUTED_VALUE"""),"24*7")</f>
        <v>24*7</v>
      </c>
      <c r="M216" s="98" t="str">
        <f>IFERROR(__xludf.DUMMYFUNCTION("""COMPUTED_VALUE"""),"Grid+BB")</f>
        <v>Grid+BB</v>
      </c>
      <c r="N216" s="98" t="str">
        <f>IFERROR(__xludf.DUMMYFUNCTION("""COMPUTED_VALUE"""),"ok")</f>
        <v>ok</v>
      </c>
      <c r="O216" s="363"/>
      <c r="P216" s="98"/>
      <c r="Q216" s="98"/>
      <c r="R216" s="100"/>
      <c r="S216" s="363"/>
      <c r="T216" s="100"/>
      <c r="U216" s="98"/>
      <c r="V216" s="100"/>
      <c r="W216" s="98"/>
      <c r="X216" s="363"/>
      <c r="Y216" s="100"/>
      <c r="Z216" s="363"/>
      <c r="AA216" s="98"/>
      <c r="AB216" s="363">
        <f>IFERROR(__xludf.DUMMYFUNCTION("""COMPUTED_VALUE"""),46205.641921296294)</f>
        <v>46205.64192</v>
      </c>
      <c r="AC216" s="100">
        <f>IFERROR(__xludf.DUMMYFUNCTION("""COMPUTED_VALUE"""),3.2232072221813723)</f>
        <v>3.223207222</v>
      </c>
      <c r="AD216" s="363">
        <f>IFERROR(__xludf.DUMMYFUNCTION("""COMPUTED_VALUE"""),46205.64430555556)</f>
        <v>46205.64431</v>
      </c>
      <c r="AE216" s="100">
        <f>IFERROR(__xludf.DUMMYFUNCTION("""COMPUTED_VALUE"""),3.1659849998541176)</f>
        <v>3.165985</v>
      </c>
      <c r="AF216" s="364">
        <f>IFERROR(__xludf.DUMMYFUNCTION("""COMPUTED_VALUE"""),1775.0)</f>
        <v>1775</v>
      </c>
      <c r="AG216" s="98" t="str">
        <f>IFERROR(__xludf.DUMMYFUNCTION("""COMPUTED_VALUE"""),"Checking with TCO team ")</f>
        <v>Checking with TCO team </v>
      </c>
      <c r="AH216" s="98"/>
      <c r="AI216" s="98"/>
      <c r="AJ216" s="98" t="str">
        <f>IFERROR(__xludf.DUMMYFUNCTION("""COMPUTED_VALUE"""),"Trans_MW_Interference Frequency")</f>
        <v>Trans_MW_Interference Frequency</v>
      </c>
      <c r="AK216" s="98" t="str">
        <f>IFERROR(__xludf.DUMMYFUNCTION("""COMPUTED_VALUE"""),"MW TNI0308-TNI0365 link flapping")</f>
        <v>MW TNI0308-TNI0365 link flapping</v>
      </c>
      <c r="AL216" s="364">
        <f>IFERROR(__xludf.DUMMYFUNCTION("""COMPUTED_VALUE"""),1.0)</f>
        <v>1</v>
      </c>
      <c r="AM216" s="364">
        <f>IFERROR(__xludf.DUMMYFUNCTION("""COMPUTED_VALUE"""),1.0)</f>
        <v>1</v>
      </c>
    </row>
    <row r="217">
      <c r="A217" s="98">
        <f>IFERROR(__xludf.DUMMYFUNCTION("""COMPUTED_VALUE"""),214.0)</f>
        <v>214</v>
      </c>
      <c r="B217" s="98" t="str">
        <f>IFERROR(__xludf.DUMMYFUNCTION("""COMPUTED_VALUE"""),"TNI0379")</f>
        <v>TNI0379</v>
      </c>
      <c r="C217" s="98" t="str">
        <f>IFERROR(__xludf.DUMMYFUNCTION("""COMPUTED_VALUE"""),"C")</f>
        <v>C</v>
      </c>
      <c r="D217" s="98" t="str">
        <f>IFERROR(__xludf.DUMMYFUNCTION("""COMPUTED_VALUE"""),"TIP")</f>
        <v>TIP</v>
      </c>
      <c r="E217" s="98" t="str">
        <f>IFERROR(__xludf.DUMMYFUNCTION("""COMPUTED_VALUE"""),"T2")</f>
        <v>T2</v>
      </c>
      <c r="F217" s="98" t="str">
        <f>IFERROR(__xludf.DUMMYFUNCTION("""COMPUTED_VALUE"""),"Kyunsu")</f>
        <v>Kyunsu</v>
      </c>
      <c r="G217" s="98" t="str">
        <f>IFERROR(__xludf.DUMMYFUNCTION("""COMPUTED_VALUE"""),"Zin Min Shein")</f>
        <v>Zin Min Shein</v>
      </c>
      <c r="H217" s="98" t="str">
        <f>IFERROR(__xludf.DUMMYFUNCTION("""COMPUTED_VALUE"""),"Aung Min Naing: 09699217555")</f>
        <v>Aung Min Naing: 09699217555</v>
      </c>
      <c r="I217" s="98"/>
      <c r="J217" s="98"/>
      <c r="K217" s="362">
        <f>IFERROR(__xludf.DUMMYFUNCTION("""COMPUTED_VALUE"""),180.0)</f>
        <v>180</v>
      </c>
      <c r="L217" s="98" t="str">
        <f>IFERROR(__xludf.DUMMYFUNCTION("""COMPUTED_VALUE"""),"6PM-6AM")</f>
        <v>6PM-6AM</v>
      </c>
      <c r="M217" s="98" t="str">
        <f>IFERROR(__xludf.DUMMYFUNCTION("""COMPUTED_VALUE"""),"Grid+BB")</f>
        <v>Grid+BB</v>
      </c>
      <c r="N217" s="98" t="str">
        <f>IFERROR(__xludf.DUMMYFUNCTION("""COMPUTED_VALUE"""),"173")</f>
        <v>173</v>
      </c>
      <c r="O217" s="363"/>
      <c r="P217" s="98"/>
      <c r="Q217" s="98"/>
      <c r="R217" s="100"/>
      <c r="S217" s="363">
        <f>IFERROR(__xludf.DUMMYFUNCTION("""COMPUTED_VALUE"""),46205.68121527778)</f>
        <v>46205.68122</v>
      </c>
      <c r="T217" s="100">
        <f>IFERROR(__xludf.DUMMYFUNCTION("""COMPUTED_VALUE"""),2.2801516665495)</f>
        <v>2.280151667</v>
      </c>
      <c r="U217" s="98"/>
      <c r="V217" s="100"/>
      <c r="W217" s="98"/>
      <c r="X217" s="363"/>
      <c r="Y217" s="100"/>
      <c r="Z217" s="363"/>
      <c r="AA217" s="98"/>
      <c r="AB217" s="363"/>
      <c r="AC217" s="100"/>
      <c r="AD217" s="363"/>
      <c r="AE217" s="100"/>
      <c r="AF217" s="364">
        <f>IFERROR(__xludf.DUMMYFUNCTION("""COMPUTED_VALUE"""),1175.0)</f>
        <v>1175</v>
      </c>
      <c r="AG217" s="98" t="str">
        <f>IFERROR(__xludf.DUMMYFUNCTION("""COMPUTED_VALUE"""),"Checking with CT")</f>
        <v>Checking with CT</v>
      </c>
      <c r="AH217" s="98"/>
      <c r="AI217" s="98"/>
      <c r="AJ217" s="98"/>
      <c r="AK217" s="98"/>
      <c r="AL217" s="364">
        <f>IFERROR(__xludf.DUMMYFUNCTION("""COMPUTED_VALUE"""),0.0)</f>
        <v>0</v>
      </c>
      <c r="AM217" s="364">
        <f>IFERROR(__xludf.DUMMYFUNCTION("""COMPUTED_VALUE"""),0.0)</f>
        <v>0</v>
      </c>
    </row>
    <row r="218">
      <c r="A218" s="98">
        <f>IFERROR(__xludf.DUMMYFUNCTION("""COMPUTED_VALUE"""),215.0)</f>
        <v>215</v>
      </c>
      <c r="B218" s="98" t="str">
        <f>IFERROR(__xludf.DUMMYFUNCTION("""COMPUTED_VALUE"""),"TNI0262")</f>
        <v>TNI0262</v>
      </c>
      <c r="C218" s="98" t="str">
        <f>IFERROR(__xludf.DUMMYFUNCTION("""COMPUTED_VALUE"""),"B")</f>
        <v>B</v>
      </c>
      <c r="D218" s="98" t="str">
        <f>IFERROR(__xludf.DUMMYFUNCTION("""COMPUTED_VALUE"""),"Mytel")</f>
        <v>Mytel</v>
      </c>
      <c r="E218" s="98" t="str">
        <f>IFERROR(__xludf.DUMMYFUNCTION("""COMPUTED_VALUE"""),"T2")</f>
        <v>T2</v>
      </c>
      <c r="F218" s="98" t="str">
        <f>IFERROR(__xludf.DUMMYFUNCTION("""COMPUTED_VALUE"""),"Myeik")</f>
        <v>Myeik</v>
      </c>
      <c r="G218" s="98" t="str">
        <f>IFERROR(__xludf.DUMMYFUNCTION("""COMPUTED_VALUE"""),"Zin Min Shein")</f>
        <v>Zin Min Shein</v>
      </c>
      <c r="H218" s="98"/>
      <c r="I218" s="98">
        <f>IFERROR(__xludf.DUMMYFUNCTION("""COMPUTED_VALUE"""),0.0)</f>
        <v>0</v>
      </c>
      <c r="J218" s="98"/>
      <c r="K218" s="362">
        <f>IFERROR(__xludf.DUMMYFUNCTION("""COMPUTED_VALUE"""),30.0)</f>
        <v>30</v>
      </c>
      <c r="L218" s="98" t="str">
        <f>IFERROR(__xludf.DUMMYFUNCTION("""COMPUTED_VALUE"""),"24*7")</f>
        <v>24*7</v>
      </c>
      <c r="M218" s="98" t="str">
        <f>IFERROR(__xludf.DUMMYFUNCTION("""COMPUTED_VALUE"""),"Grid+Solar+BB")</f>
        <v>Grid+Solar+BB</v>
      </c>
      <c r="N218" s="98" t="str">
        <f>IFERROR(__xludf.DUMMYFUNCTION("""COMPUTED_VALUE"""),"ok")</f>
        <v>ok</v>
      </c>
      <c r="O218" s="363"/>
      <c r="P218" s="98"/>
      <c r="Q218" s="98"/>
      <c r="R218" s="100"/>
      <c r="S218" s="363"/>
      <c r="T218" s="100"/>
      <c r="U218" s="98"/>
      <c r="V218" s="100"/>
      <c r="W218" s="98"/>
      <c r="X218" s="363"/>
      <c r="Y218" s="100"/>
      <c r="Z218" s="363"/>
      <c r="AA218" s="98"/>
      <c r="AB218" s="363"/>
      <c r="AC218" s="100"/>
      <c r="AD218" s="363"/>
      <c r="AE218" s="100"/>
      <c r="AF218" s="364">
        <f>IFERROR(__xludf.DUMMYFUNCTION("""COMPUTED_VALUE"""),2298.0)</f>
        <v>2298</v>
      </c>
      <c r="AG218" s="98"/>
      <c r="AH218" s="98"/>
      <c r="AI218" s="98"/>
      <c r="AJ218" s="98"/>
      <c r="AK218" s="98"/>
      <c r="AL218" s="364">
        <f>IFERROR(__xludf.DUMMYFUNCTION("""COMPUTED_VALUE"""),0.0)</f>
        <v>0</v>
      </c>
      <c r="AM218" s="364">
        <f>IFERROR(__xludf.DUMMYFUNCTION("""COMPUTED_VALUE"""),0.0)</f>
        <v>0</v>
      </c>
    </row>
    <row r="219">
      <c r="A219" s="98">
        <f>IFERROR(__xludf.DUMMYFUNCTION("""COMPUTED_VALUE"""),216.0)</f>
        <v>216</v>
      </c>
      <c r="B219" s="98" t="str">
        <f>IFERROR(__xludf.DUMMYFUNCTION("""COMPUTED_VALUE"""),"TNI0241")</f>
        <v>TNI0241</v>
      </c>
      <c r="C219" s="98" t="str">
        <f>IFERROR(__xludf.DUMMYFUNCTION("""COMPUTED_VALUE"""),"B")</f>
        <v>B</v>
      </c>
      <c r="D219" s="98" t="str">
        <f>IFERROR(__xludf.DUMMYFUNCTION("""COMPUTED_VALUE"""),"Mytel")</f>
        <v>Mytel</v>
      </c>
      <c r="E219" s="98" t="str">
        <f>IFERROR(__xludf.DUMMYFUNCTION("""COMPUTED_VALUE"""),"T2")</f>
        <v>T2</v>
      </c>
      <c r="F219" s="98" t="str">
        <f>IFERROR(__xludf.DUMMYFUNCTION("""COMPUTED_VALUE"""),"Myeik")</f>
        <v>Myeik</v>
      </c>
      <c r="G219" s="98" t="str">
        <f>IFERROR(__xludf.DUMMYFUNCTION("""COMPUTED_VALUE"""),"Zin Min Shein")</f>
        <v>Zin Min Shein</v>
      </c>
      <c r="H219" s="98"/>
      <c r="I219" s="98">
        <f>IFERROR(__xludf.DUMMYFUNCTION("""COMPUTED_VALUE"""),0.0)</f>
        <v>0</v>
      </c>
      <c r="J219" s="98"/>
      <c r="K219" s="362">
        <f>IFERROR(__xludf.DUMMYFUNCTION("""COMPUTED_VALUE"""),60.0)</f>
        <v>60</v>
      </c>
      <c r="L219" s="98" t="str">
        <f>IFERROR(__xludf.DUMMYFUNCTION("""COMPUTED_VALUE"""),"8:00PM-5:00AM")</f>
        <v>8:00PM-5:00AM</v>
      </c>
      <c r="M219" s="98" t="str">
        <f>IFERROR(__xludf.DUMMYFUNCTION("""COMPUTED_VALUE"""),"1DG+Grid+BB")</f>
        <v>1DG+Grid+BB</v>
      </c>
      <c r="N219" s="98" t="str">
        <f>IFERROR(__xludf.DUMMYFUNCTION("""COMPUTED_VALUE"""),"ok")</f>
        <v>ok</v>
      </c>
      <c r="O219" s="363"/>
      <c r="P219" s="98"/>
      <c r="Q219" s="98"/>
      <c r="R219" s="100"/>
      <c r="S219" s="363"/>
      <c r="T219" s="100"/>
      <c r="U219" s="98"/>
      <c r="V219" s="100"/>
      <c r="W219" s="98"/>
      <c r="X219" s="363"/>
      <c r="Y219" s="100"/>
      <c r="Z219" s="363"/>
      <c r="AA219" s="98"/>
      <c r="AB219" s="363"/>
      <c r="AC219" s="100"/>
      <c r="AD219" s="363"/>
      <c r="AE219" s="100"/>
      <c r="AF219" s="364">
        <f>IFERROR(__xludf.DUMMYFUNCTION("""COMPUTED_VALUE"""),1941.0)</f>
        <v>1941</v>
      </c>
      <c r="AG219" s="98" t="str">
        <f>IFERROR(__xludf.DUMMYFUNCTION("""COMPUTED_VALUE"""),"Checking with TCO")</f>
        <v>Checking with TCO</v>
      </c>
      <c r="AH219" s="98"/>
      <c r="AI219" s="98"/>
      <c r="AJ219" s="98"/>
      <c r="AK219" s="98"/>
      <c r="AL219" s="364">
        <f>IFERROR(__xludf.DUMMYFUNCTION("""COMPUTED_VALUE"""),0.0)</f>
        <v>0</v>
      </c>
      <c r="AM219" s="364">
        <f>IFERROR(__xludf.DUMMYFUNCTION("""COMPUTED_VALUE"""),0.0)</f>
        <v>0</v>
      </c>
    </row>
    <row r="220">
      <c r="A220" s="98">
        <f>IFERROR(__xludf.DUMMYFUNCTION("""COMPUTED_VALUE"""),217.0)</f>
        <v>217</v>
      </c>
      <c r="B220" s="98" t="str">
        <f>IFERROR(__xludf.DUMMYFUNCTION("""COMPUTED_VALUE"""),"TNI0107")</f>
        <v>TNI0107</v>
      </c>
      <c r="C220" s="98" t="str">
        <f>IFERROR(__xludf.DUMMYFUNCTION("""COMPUTED_VALUE"""),"B")</f>
        <v>B</v>
      </c>
      <c r="D220" s="98" t="str">
        <f>IFERROR(__xludf.DUMMYFUNCTION("""COMPUTED_VALUE"""),"Edotco")</f>
        <v>Edotco</v>
      </c>
      <c r="E220" s="98" t="str">
        <f>IFERROR(__xludf.DUMMYFUNCTION("""COMPUTED_VALUE"""),"T2")</f>
        <v>T2</v>
      </c>
      <c r="F220" s="98" t="str">
        <f>IFERROR(__xludf.DUMMYFUNCTION("""COMPUTED_VALUE"""),"Myeik")</f>
        <v>Myeik</v>
      </c>
      <c r="G220" s="98" t="str">
        <f>IFERROR(__xludf.DUMMYFUNCTION("""COMPUTED_VALUE"""),"Zin Min Shein")</f>
        <v>Zin Min Shein</v>
      </c>
      <c r="H220" s="98"/>
      <c r="I220" s="98"/>
      <c r="J220" s="98"/>
      <c r="K220" s="362">
        <f>IFERROR(__xludf.DUMMYFUNCTION("""COMPUTED_VALUE"""),90.0)</f>
        <v>90</v>
      </c>
      <c r="L220" s="98" t="str">
        <f>IFERROR(__xludf.DUMMYFUNCTION("""COMPUTED_VALUE"""),"24*7")</f>
        <v>24*7</v>
      </c>
      <c r="M220" s="98" t="str">
        <f>IFERROR(__xludf.DUMMYFUNCTION("""COMPUTED_VALUE"""),"Grid+BB")</f>
        <v>Grid+BB</v>
      </c>
      <c r="N220" s="98" t="str">
        <f>IFERROR(__xludf.DUMMYFUNCTION("""COMPUTED_VALUE"""),"ok")</f>
        <v>ok</v>
      </c>
      <c r="O220" s="363"/>
      <c r="P220" s="98"/>
      <c r="Q220" s="98"/>
      <c r="R220" s="100"/>
      <c r="S220" s="363"/>
      <c r="T220" s="100"/>
      <c r="U220" s="98"/>
      <c r="V220" s="100"/>
      <c r="W220" s="98"/>
      <c r="X220" s="363"/>
      <c r="Y220" s="100"/>
      <c r="Z220" s="363"/>
      <c r="AA220" s="98"/>
      <c r="AB220" s="363"/>
      <c r="AC220" s="100"/>
      <c r="AD220" s="363"/>
      <c r="AE220" s="100"/>
      <c r="AF220" s="364">
        <f>IFERROR(__xludf.DUMMYFUNCTION("""COMPUTED_VALUE"""),4599.0)</f>
        <v>4599</v>
      </c>
      <c r="AG220" s="98" t="str">
        <f>IFERROR(__xludf.DUMMYFUNCTION("""COMPUTED_VALUE"""),"Checking with TCO team")</f>
        <v>Checking with TCO team</v>
      </c>
      <c r="AH220" s="98"/>
      <c r="AI220" s="98"/>
      <c r="AJ220" s="98"/>
      <c r="AK220" s="98"/>
      <c r="AL220" s="364">
        <f>IFERROR(__xludf.DUMMYFUNCTION("""COMPUTED_VALUE"""),0.0)</f>
        <v>0</v>
      </c>
      <c r="AM220" s="364">
        <f>IFERROR(__xludf.DUMMYFUNCTION("""COMPUTED_VALUE"""),0.0)</f>
        <v>0</v>
      </c>
    </row>
    <row r="221">
      <c r="A221" s="98">
        <f>IFERROR(__xludf.DUMMYFUNCTION("""COMPUTED_VALUE"""),218.0)</f>
        <v>218</v>
      </c>
      <c r="B221" s="98" t="str">
        <f>IFERROR(__xludf.DUMMYFUNCTION("""COMPUTED_VALUE"""),"TNI0346")</f>
        <v>TNI0346</v>
      </c>
      <c r="C221" s="98" t="str">
        <f>IFERROR(__xludf.DUMMYFUNCTION("""COMPUTED_VALUE"""),"C")</f>
        <v>C</v>
      </c>
      <c r="D221" s="98" t="str">
        <f>IFERROR(__xludf.DUMMYFUNCTION("""COMPUTED_VALUE"""),"Edotco")</f>
        <v>Edotco</v>
      </c>
      <c r="E221" s="98" t="str">
        <f>IFERROR(__xludf.DUMMYFUNCTION("""COMPUTED_VALUE"""),"T2")</f>
        <v>T2</v>
      </c>
      <c r="F221" s="98" t="str">
        <f>IFERROR(__xludf.DUMMYFUNCTION("""COMPUTED_VALUE"""),"Myeik")</f>
        <v>Myeik</v>
      </c>
      <c r="G221" s="98" t="str">
        <f>IFERROR(__xludf.DUMMYFUNCTION("""COMPUTED_VALUE"""),"Zin Min Shein")</f>
        <v>Zin Min Shein</v>
      </c>
      <c r="H221" s="98"/>
      <c r="I221" s="98"/>
      <c r="J221" s="98"/>
      <c r="K221" s="362">
        <f>IFERROR(__xludf.DUMMYFUNCTION("""COMPUTED_VALUE"""),180.0)</f>
        <v>180</v>
      </c>
      <c r="L221" s="98" t="str">
        <f>IFERROR(__xludf.DUMMYFUNCTION("""COMPUTED_VALUE"""),"6PM-6AM")</f>
        <v>6PM-6AM</v>
      </c>
      <c r="M221" s="98" t="str">
        <f>IFERROR(__xludf.DUMMYFUNCTION("""COMPUTED_VALUE"""),"Grid+BB")</f>
        <v>Grid+BB</v>
      </c>
      <c r="N221" s="98" t="str">
        <f>IFERROR(__xludf.DUMMYFUNCTION("""COMPUTED_VALUE"""),"ok")</f>
        <v>ok</v>
      </c>
      <c r="O221" s="363"/>
      <c r="P221" s="98"/>
      <c r="Q221" s="98"/>
      <c r="R221" s="100"/>
      <c r="S221" s="363"/>
      <c r="T221" s="100"/>
      <c r="U221" s="98"/>
      <c r="V221" s="100"/>
      <c r="W221" s="98"/>
      <c r="X221" s="363"/>
      <c r="Y221" s="100"/>
      <c r="Z221" s="363"/>
      <c r="AA221" s="98"/>
      <c r="AB221" s="363"/>
      <c r="AC221" s="100"/>
      <c r="AD221" s="363"/>
      <c r="AE221" s="100"/>
      <c r="AF221" s="364">
        <f>IFERROR(__xludf.DUMMYFUNCTION("""COMPUTED_VALUE"""),950.0)</f>
        <v>950</v>
      </c>
      <c r="AG221" s="98" t="str">
        <f>IFERROR(__xludf.DUMMYFUNCTION("""COMPUTED_VALUE"""),"Checking with TCO team")</f>
        <v>Checking with TCO team</v>
      </c>
      <c r="AH221" s="98"/>
      <c r="AI221" s="98"/>
      <c r="AJ221" s="98"/>
      <c r="AK221" s="98"/>
      <c r="AL221" s="364">
        <f>IFERROR(__xludf.DUMMYFUNCTION("""COMPUTED_VALUE"""),0.0)</f>
        <v>0</v>
      </c>
      <c r="AM221" s="364">
        <f>IFERROR(__xludf.DUMMYFUNCTION("""COMPUTED_VALUE"""),0.0)</f>
        <v>0</v>
      </c>
    </row>
    <row r="222">
      <c r="A222" s="98">
        <f>IFERROR(__xludf.DUMMYFUNCTION("""COMPUTED_VALUE"""),219.0)</f>
        <v>219</v>
      </c>
      <c r="B222" s="98" t="str">
        <f>IFERROR(__xludf.DUMMYFUNCTION("""COMPUTED_VALUE"""),"TNI0042")</f>
        <v>TNI0042</v>
      </c>
      <c r="C222" s="98" t="str">
        <f>IFERROR(__xludf.DUMMYFUNCTION("""COMPUTED_VALUE"""),"B")</f>
        <v>B</v>
      </c>
      <c r="D222" s="98" t="str">
        <f>IFERROR(__xludf.DUMMYFUNCTION("""COMPUTED_VALUE"""),"MEC")</f>
        <v>MEC</v>
      </c>
      <c r="E222" s="98" t="str">
        <f>IFERROR(__xludf.DUMMYFUNCTION("""COMPUTED_VALUE"""),"T2")</f>
        <v>T2</v>
      </c>
      <c r="F222" s="98" t="str">
        <f>IFERROR(__xludf.DUMMYFUNCTION("""COMPUTED_VALUE"""),"Myeik")</f>
        <v>Myeik</v>
      </c>
      <c r="G222" s="98" t="str">
        <f>IFERROR(__xludf.DUMMYFUNCTION("""COMPUTED_VALUE"""),"Zin Min Shein")</f>
        <v>Zin Min Shein</v>
      </c>
      <c r="H222" s="98"/>
      <c r="I222" s="98">
        <f>IFERROR(__xludf.DUMMYFUNCTION("""COMPUTED_VALUE"""),0.0)</f>
        <v>0</v>
      </c>
      <c r="J222" s="98" t="str">
        <f>IFERROR(__xludf.DUMMYFUNCTION("""COMPUTED_VALUE"""),"OLT")</f>
        <v>OLT</v>
      </c>
      <c r="K222" s="362">
        <f>IFERROR(__xludf.DUMMYFUNCTION("""COMPUTED_VALUE"""),40.0)</f>
        <v>40</v>
      </c>
      <c r="L222" s="98" t="str">
        <f>IFERROR(__xludf.DUMMYFUNCTION("""COMPUTED_VALUE"""),"24*7")</f>
        <v>24*7</v>
      </c>
      <c r="M222" s="98" t="str">
        <f>IFERROR(__xludf.DUMMYFUNCTION("""COMPUTED_VALUE"""),"1DG+Solar+Grid+BB")</f>
        <v>1DG+Solar+Grid+BB</v>
      </c>
      <c r="N222" s="98" t="str">
        <f>IFERROR(__xludf.DUMMYFUNCTION("""COMPUTED_VALUE"""),"0")</f>
        <v>0</v>
      </c>
      <c r="O222" s="363"/>
      <c r="P222" s="98"/>
      <c r="Q222" s="98"/>
      <c r="R222" s="100"/>
      <c r="S222" s="363"/>
      <c r="T222" s="100"/>
      <c r="U222" s="98"/>
      <c r="V222" s="100"/>
      <c r="W222" s="98"/>
      <c r="X222" s="363">
        <f>IFERROR(__xludf.DUMMYFUNCTION("""COMPUTED_VALUE"""),46205.33078703703)</f>
        <v>46205.33079</v>
      </c>
      <c r="Y222" s="100">
        <f>IFERROR(__xludf.DUMMYFUNCTION("""COMPUTED_VALUE"""),10.690429444424808)</f>
        <v>10.69042944</v>
      </c>
      <c r="Z222" s="363"/>
      <c r="AA222" s="98"/>
      <c r="AB222" s="363"/>
      <c r="AC222" s="100"/>
      <c r="AD222" s="363"/>
      <c r="AE222" s="100"/>
      <c r="AF222" s="364">
        <f>IFERROR(__xludf.DUMMYFUNCTION("""COMPUTED_VALUE"""),1504.0)</f>
        <v>1504</v>
      </c>
      <c r="AG222" s="98"/>
      <c r="AH222" s="98"/>
      <c r="AI222" s="98"/>
      <c r="AJ222" s="98"/>
      <c r="AK222" s="98"/>
      <c r="AL222" s="364">
        <f>IFERROR(__xludf.DUMMYFUNCTION("""COMPUTED_VALUE"""),0.0)</f>
        <v>0</v>
      </c>
      <c r="AM222" s="364">
        <f>IFERROR(__xludf.DUMMYFUNCTION("""COMPUTED_VALUE"""),0.0)</f>
        <v>0</v>
      </c>
    </row>
    <row r="223">
      <c r="A223" s="98">
        <f>IFERROR(__xludf.DUMMYFUNCTION("""COMPUTED_VALUE"""),220.0)</f>
        <v>220</v>
      </c>
      <c r="B223" s="98" t="str">
        <f>IFERROR(__xludf.DUMMYFUNCTION("""COMPUTED_VALUE"""),"TNI0268")</f>
        <v>TNI0268</v>
      </c>
      <c r="C223" s="98" t="str">
        <f>IFERROR(__xludf.DUMMYFUNCTION("""COMPUTED_VALUE"""),"B")</f>
        <v>B</v>
      </c>
      <c r="D223" s="98" t="str">
        <f>IFERROR(__xludf.DUMMYFUNCTION("""COMPUTED_VALUE"""),"Mytel")</f>
        <v>Mytel</v>
      </c>
      <c r="E223" s="98" t="str">
        <f>IFERROR(__xludf.DUMMYFUNCTION("""COMPUTED_VALUE"""),"T2")</f>
        <v>T2</v>
      </c>
      <c r="F223" s="98" t="str">
        <f>IFERROR(__xludf.DUMMYFUNCTION("""COMPUTED_VALUE"""),"Myeik")</f>
        <v>Myeik</v>
      </c>
      <c r="G223" s="98" t="str">
        <f>IFERROR(__xludf.DUMMYFUNCTION("""COMPUTED_VALUE"""),"Zin Min Shein")</f>
        <v>Zin Min Shein</v>
      </c>
      <c r="H223" s="98"/>
      <c r="I223" s="98">
        <f>IFERROR(__xludf.DUMMYFUNCTION("""COMPUTED_VALUE"""),0.0)</f>
        <v>0</v>
      </c>
      <c r="J223" s="98"/>
      <c r="K223" s="362">
        <f>IFERROR(__xludf.DUMMYFUNCTION("""COMPUTED_VALUE"""),30.0)</f>
        <v>30</v>
      </c>
      <c r="L223" s="98" t="str">
        <f>IFERROR(__xludf.DUMMYFUNCTION("""COMPUTED_VALUE"""),"24*7")</f>
        <v>24*7</v>
      </c>
      <c r="M223" s="98" t="str">
        <f>IFERROR(__xludf.DUMMYFUNCTION("""COMPUTED_VALUE"""),"Grid+Solar+BB")</f>
        <v>Grid+Solar+BB</v>
      </c>
      <c r="N223" s="98" t="str">
        <f>IFERROR(__xludf.DUMMYFUNCTION("""COMPUTED_VALUE"""),"ok")</f>
        <v>ok</v>
      </c>
      <c r="O223" s="363"/>
      <c r="P223" s="98"/>
      <c r="Q223" s="98"/>
      <c r="R223" s="100"/>
      <c r="S223" s="363"/>
      <c r="T223" s="100"/>
      <c r="U223" s="98"/>
      <c r="V223" s="100"/>
      <c r="W223" s="98"/>
      <c r="X223" s="363"/>
      <c r="Y223" s="100"/>
      <c r="Z223" s="363"/>
      <c r="AA223" s="98"/>
      <c r="AB223" s="363"/>
      <c r="AC223" s="100"/>
      <c r="AD223" s="363"/>
      <c r="AE223" s="100"/>
      <c r="AF223" s="364">
        <f>IFERROR(__xludf.DUMMYFUNCTION("""COMPUTED_VALUE"""),1885.0)</f>
        <v>1885</v>
      </c>
      <c r="AG223" s="98"/>
      <c r="AH223" s="98"/>
      <c r="AI223" s="98"/>
      <c r="AJ223" s="98"/>
      <c r="AK223" s="98"/>
      <c r="AL223" s="364">
        <f>IFERROR(__xludf.DUMMYFUNCTION("""COMPUTED_VALUE"""),0.0)</f>
        <v>0</v>
      </c>
      <c r="AM223" s="364">
        <f>IFERROR(__xludf.DUMMYFUNCTION("""COMPUTED_VALUE"""),0.0)</f>
        <v>0</v>
      </c>
    </row>
    <row r="224">
      <c r="A224" s="98">
        <f>IFERROR(__xludf.DUMMYFUNCTION("""COMPUTED_VALUE"""),221.0)</f>
        <v>221</v>
      </c>
      <c r="B224" s="98" t="str">
        <f>IFERROR(__xludf.DUMMYFUNCTION("""COMPUTED_VALUE"""),"TNI0281")</f>
        <v>TNI0281</v>
      </c>
      <c r="C224" s="98" t="str">
        <f>IFERROR(__xludf.DUMMYFUNCTION("""COMPUTED_VALUE"""),"C")</f>
        <v>C</v>
      </c>
      <c r="D224" s="98" t="str">
        <f>IFERROR(__xludf.DUMMYFUNCTION("""COMPUTED_VALUE"""),"Apollo")</f>
        <v>Apollo</v>
      </c>
      <c r="E224" s="98" t="str">
        <f>IFERROR(__xludf.DUMMYFUNCTION("""COMPUTED_VALUE"""),"T2")</f>
        <v>T2</v>
      </c>
      <c r="F224" s="98" t="str">
        <f>IFERROR(__xludf.DUMMYFUNCTION("""COMPUTED_VALUE"""),"Myeik")</f>
        <v>Myeik</v>
      </c>
      <c r="G224" s="98" t="str">
        <f>IFERROR(__xludf.DUMMYFUNCTION("""COMPUTED_VALUE"""),"Zin Min Shein")</f>
        <v>Zin Min Shein</v>
      </c>
      <c r="H224" s="98"/>
      <c r="I224" s="98">
        <f>IFERROR(__xludf.DUMMYFUNCTION("""COMPUTED_VALUE"""),0.0)</f>
        <v>0</v>
      </c>
      <c r="J224" s="98"/>
      <c r="K224" s="362">
        <f>IFERROR(__xludf.DUMMYFUNCTION("""COMPUTED_VALUE"""),60.0)</f>
        <v>60</v>
      </c>
      <c r="L224" s="98" t="str">
        <f>IFERROR(__xludf.DUMMYFUNCTION("""COMPUTED_VALUE"""),"24*7")</f>
        <v>24*7</v>
      </c>
      <c r="M224" s="98" t="str">
        <f>IFERROR(__xludf.DUMMYFUNCTION("""COMPUTED_VALUE"""),"Grid+BB")</f>
        <v>Grid+BB</v>
      </c>
      <c r="N224" s="98" t="str">
        <f>IFERROR(__xludf.DUMMYFUNCTION("""COMPUTED_VALUE"""),"ok")</f>
        <v>ok</v>
      </c>
      <c r="O224" s="363"/>
      <c r="P224" s="98"/>
      <c r="Q224" s="98"/>
      <c r="R224" s="100"/>
      <c r="S224" s="363"/>
      <c r="T224" s="100"/>
      <c r="U224" s="98"/>
      <c r="V224" s="100"/>
      <c r="W224" s="98"/>
      <c r="X224" s="363"/>
      <c r="Y224" s="100"/>
      <c r="Z224" s="363"/>
      <c r="AA224" s="98"/>
      <c r="AB224" s="363"/>
      <c r="AC224" s="100"/>
      <c r="AD224" s="363"/>
      <c r="AE224" s="100"/>
      <c r="AF224" s="364">
        <f>IFERROR(__xludf.DUMMYFUNCTION("""COMPUTED_VALUE"""),351.0)</f>
        <v>351</v>
      </c>
      <c r="AG224" s="98" t="str">
        <f>IFERROR(__xludf.DUMMYFUNCTION("""COMPUTED_VALUE"""),"Checking with TCO team")</f>
        <v>Checking with TCO team</v>
      </c>
      <c r="AH224" s="98"/>
      <c r="AI224" s="98"/>
      <c r="AJ224" s="98"/>
      <c r="AK224" s="98"/>
      <c r="AL224" s="364">
        <f>IFERROR(__xludf.DUMMYFUNCTION("""COMPUTED_VALUE"""),0.0)</f>
        <v>0</v>
      </c>
      <c r="AM224" s="364">
        <f>IFERROR(__xludf.DUMMYFUNCTION("""COMPUTED_VALUE"""),0.0)</f>
        <v>0</v>
      </c>
    </row>
    <row r="225">
      <c r="A225" s="98">
        <f>IFERROR(__xludf.DUMMYFUNCTION("""COMPUTED_VALUE"""),222.0)</f>
        <v>222</v>
      </c>
      <c r="B225" s="98" t="str">
        <f>IFERROR(__xludf.DUMMYFUNCTION("""COMPUTED_VALUE"""),"TNI0246")</f>
        <v>TNI0246</v>
      </c>
      <c r="C225" s="98" t="str">
        <f>IFERROR(__xludf.DUMMYFUNCTION("""COMPUTED_VALUE"""),"C")</f>
        <v>C</v>
      </c>
      <c r="D225" s="98" t="str">
        <f>IFERROR(__xludf.DUMMYFUNCTION("""COMPUTED_VALUE"""),"Edotco")</f>
        <v>Edotco</v>
      </c>
      <c r="E225" s="98" t="str">
        <f>IFERROR(__xludf.DUMMYFUNCTION("""COMPUTED_VALUE"""),"T2")</f>
        <v>T2</v>
      </c>
      <c r="F225" s="98" t="str">
        <f>IFERROR(__xludf.DUMMYFUNCTION("""COMPUTED_VALUE"""),"Myeik")</f>
        <v>Myeik</v>
      </c>
      <c r="G225" s="98" t="str">
        <f>IFERROR(__xludf.DUMMYFUNCTION("""COMPUTED_VALUE"""),"Zin Min Shein")</f>
        <v>Zin Min Shein</v>
      </c>
      <c r="H225" s="98"/>
      <c r="I225" s="98">
        <f>IFERROR(__xludf.DUMMYFUNCTION("""COMPUTED_VALUE"""),0.0)</f>
        <v>0</v>
      </c>
      <c r="J225" s="98"/>
      <c r="K225" s="362">
        <f>IFERROR(__xludf.DUMMYFUNCTION("""COMPUTED_VALUE"""),120.0)</f>
        <v>120</v>
      </c>
      <c r="L225" s="98" t="str">
        <f>IFERROR(__xludf.DUMMYFUNCTION("""COMPUTED_VALUE"""),"24*7")</f>
        <v>24*7</v>
      </c>
      <c r="M225" s="98" t="str">
        <f>IFERROR(__xludf.DUMMYFUNCTION("""COMPUTED_VALUE"""),"1DG+Grid+BB")</f>
        <v>1DG+Grid+BB</v>
      </c>
      <c r="N225" s="98" t="str">
        <f>IFERROR(__xludf.DUMMYFUNCTION("""COMPUTED_VALUE"""),"ok")</f>
        <v>ok</v>
      </c>
      <c r="O225" s="363"/>
      <c r="P225" s="98"/>
      <c r="Q225" s="98"/>
      <c r="R225" s="100"/>
      <c r="S225" s="363"/>
      <c r="T225" s="100"/>
      <c r="U225" s="98"/>
      <c r="V225" s="100"/>
      <c r="W225" s="98"/>
      <c r="X225" s="363"/>
      <c r="Y225" s="100"/>
      <c r="Z225" s="363"/>
      <c r="AA225" s="98"/>
      <c r="AB225" s="363"/>
      <c r="AC225" s="100"/>
      <c r="AD225" s="363"/>
      <c r="AE225" s="100"/>
      <c r="AF225" s="364">
        <f>IFERROR(__xludf.DUMMYFUNCTION("""COMPUTED_VALUE"""),1357.0)</f>
        <v>1357</v>
      </c>
      <c r="AG225" s="98" t="str">
        <f>IFERROR(__xludf.DUMMYFUNCTION("""COMPUTED_VALUE"""),"Checking with TCO team")</f>
        <v>Checking with TCO team</v>
      </c>
      <c r="AH225" s="98"/>
      <c r="AI225" s="98"/>
      <c r="AJ225" s="98"/>
      <c r="AK225" s="98"/>
      <c r="AL225" s="364">
        <f>IFERROR(__xludf.DUMMYFUNCTION("""COMPUTED_VALUE"""),0.0)</f>
        <v>0</v>
      </c>
      <c r="AM225" s="364">
        <f>IFERROR(__xludf.DUMMYFUNCTION("""COMPUTED_VALUE"""),0.0)</f>
        <v>0</v>
      </c>
    </row>
    <row r="226">
      <c r="A226" s="98">
        <f>IFERROR(__xludf.DUMMYFUNCTION("""COMPUTED_VALUE"""),223.0)</f>
        <v>223</v>
      </c>
      <c r="B226" s="98" t="str">
        <f>IFERROR(__xludf.DUMMYFUNCTION("""COMPUTED_VALUE"""),"TNI0044")</f>
        <v>TNI0044</v>
      </c>
      <c r="C226" s="98" t="str">
        <f>IFERROR(__xludf.DUMMYFUNCTION("""COMPUTED_VALUE"""),"B")</f>
        <v>B</v>
      </c>
      <c r="D226" s="98" t="str">
        <f>IFERROR(__xludf.DUMMYFUNCTION("""COMPUTED_VALUE"""),"IGT")</f>
        <v>IGT</v>
      </c>
      <c r="E226" s="98" t="str">
        <f>IFERROR(__xludf.DUMMYFUNCTION("""COMPUTED_VALUE"""),"T2")</f>
        <v>T2</v>
      </c>
      <c r="F226" s="98" t="str">
        <f>IFERROR(__xludf.DUMMYFUNCTION("""COMPUTED_VALUE"""),"Myeik")</f>
        <v>Myeik</v>
      </c>
      <c r="G226" s="98" t="str">
        <f>IFERROR(__xludf.DUMMYFUNCTION("""COMPUTED_VALUE"""),"Zin Min Shein")</f>
        <v>Zin Min Shein</v>
      </c>
      <c r="H226" s="98"/>
      <c r="I226" s="98">
        <f>IFERROR(__xludf.DUMMYFUNCTION("""COMPUTED_VALUE"""),0.0)</f>
        <v>0</v>
      </c>
      <c r="J226" s="98"/>
      <c r="K226" s="362">
        <f>IFERROR(__xludf.DUMMYFUNCTION("""COMPUTED_VALUE"""),40.0)</f>
        <v>40</v>
      </c>
      <c r="L226" s="98" t="str">
        <f>IFERROR(__xludf.DUMMYFUNCTION("""COMPUTED_VALUE"""),"10:00PM-4:00AM")</f>
        <v>10:00PM-4:00AM</v>
      </c>
      <c r="M226" s="98" t="str">
        <f>IFERROR(__xludf.DUMMYFUNCTION("""COMPUTED_VALUE"""),"1DG+Grid+BB")</f>
        <v>1DG+Grid+BB</v>
      </c>
      <c r="N226" s="98" t="str">
        <f>IFERROR(__xludf.DUMMYFUNCTION("""COMPUTED_VALUE"""),"ok")</f>
        <v>ok</v>
      </c>
      <c r="O226" s="363"/>
      <c r="P226" s="98"/>
      <c r="Q226" s="98"/>
      <c r="R226" s="100"/>
      <c r="S226" s="363"/>
      <c r="T226" s="100"/>
      <c r="U226" s="98"/>
      <c r="V226" s="100"/>
      <c r="W226" s="98"/>
      <c r="X226" s="363"/>
      <c r="Y226" s="100"/>
      <c r="Z226" s="363"/>
      <c r="AA226" s="98"/>
      <c r="AB226" s="363"/>
      <c r="AC226" s="100"/>
      <c r="AD226" s="363"/>
      <c r="AE226" s="100"/>
      <c r="AF226" s="364">
        <f>IFERROR(__xludf.DUMMYFUNCTION("""COMPUTED_VALUE"""),2053.0)</f>
        <v>2053</v>
      </c>
      <c r="AG226" s="98" t="str">
        <f>IFERROR(__xludf.DUMMYFUNCTION("""COMPUTED_VALUE"""),"Partner team upgrade plan")</f>
        <v>Partner team upgrade plan</v>
      </c>
      <c r="AH226" s="98"/>
      <c r="AI226" s="98"/>
      <c r="AJ226" s="98"/>
      <c r="AK226" s="98"/>
      <c r="AL226" s="364">
        <f>IFERROR(__xludf.DUMMYFUNCTION("""COMPUTED_VALUE"""),0.0)</f>
        <v>0</v>
      </c>
      <c r="AM226" s="364">
        <f>IFERROR(__xludf.DUMMYFUNCTION("""COMPUTED_VALUE"""),0.0)</f>
        <v>0</v>
      </c>
    </row>
    <row r="227">
      <c r="A227" s="98">
        <f>IFERROR(__xludf.DUMMYFUNCTION("""COMPUTED_VALUE"""),224.0)</f>
        <v>224</v>
      </c>
      <c r="B227" s="98" t="str">
        <f>IFERROR(__xludf.DUMMYFUNCTION("""COMPUTED_VALUE"""),"TNI0517")</f>
        <v>TNI0517</v>
      </c>
      <c r="C227" s="98" t="str">
        <f>IFERROR(__xludf.DUMMYFUNCTION("""COMPUTED_VALUE"""),"C")</f>
        <v>C</v>
      </c>
      <c r="D227" s="98" t="str">
        <f>IFERROR(__xludf.DUMMYFUNCTION("""COMPUTED_VALUE"""),"PAT")</f>
        <v>PAT</v>
      </c>
      <c r="E227" s="98" t="str">
        <f>IFERROR(__xludf.DUMMYFUNCTION("""COMPUTED_VALUE"""),"T2")</f>
        <v>T2</v>
      </c>
      <c r="F227" s="98" t="str">
        <f>IFERROR(__xludf.DUMMYFUNCTION("""COMPUTED_VALUE"""),"Myeik")</f>
        <v>Myeik</v>
      </c>
      <c r="G227" s="98" t="str">
        <f>IFERROR(__xludf.DUMMYFUNCTION("""COMPUTED_VALUE"""),"Zin Min Shein")</f>
        <v>Zin Min Shein</v>
      </c>
      <c r="H227" s="98"/>
      <c r="I227" s="98"/>
      <c r="J227" s="98"/>
      <c r="K227" s="362">
        <f>IFERROR(__xludf.DUMMYFUNCTION("""COMPUTED_VALUE"""),180.0)</f>
        <v>180</v>
      </c>
      <c r="L227" s="98" t="str">
        <f>IFERROR(__xludf.DUMMYFUNCTION("""COMPUTED_VALUE"""),"24*7")</f>
        <v>24*7</v>
      </c>
      <c r="M227" s="98" t="str">
        <f>IFERROR(__xludf.DUMMYFUNCTION("""COMPUTED_VALUE"""),"Grid+BB")</f>
        <v>Grid+BB</v>
      </c>
      <c r="N227" s="98" t="str">
        <f>IFERROR(__xludf.DUMMYFUNCTION("""COMPUTED_VALUE"""),"ok")</f>
        <v>ok</v>
      </c>
      <c r="O227" s="363"/>
      <c r="P227" s="98"/>
      <c r="Q227" s="98"/>
      <c r="R227" s="100"/>
      <c r="S227" s="363"/>
      <c r="T227" s="100"/>
      <c r="U227" s="98"/>
      <c r="V227" s="100"/>
      <c r="W227" s="98"/>
      <c r="X227" s="363"/>
      <c r="Y227" s="100"/>
      <c r="Z227" s="363"/>
      <c r="AA227" s="98"/>
      <c r="AB227" s="363"/>
      <c r="AC227" s="100"/>
      <c r="AD227" s="363"/>
      <c r="AE227" s="100"/>
      <c r="AF227" s="364">
        <f>IFERROR(__xludf.DUMMYFUNCTION("""COMPUTED_VALUE"""),512.0)</f>
        <v>512</v>
      </c>
      <c r="AG227" s="98" t="str">
        <f>IFERROR(__xludf.DUMMYFUNCTION("""COMPUTED_VALUE"""),"Unsafe")</f>
        <v>Unsafe</v>
      </c>
      <c r="AH227" s="98"/>
      <c r="AI227" s="98"/>
      <c r="AJ227" s="98"/>
      <c r="AK227" s="98"/>
      <c r="AL227" s="364">
        <f>IFERROR(__xludf.DUMMYFUNCTION("""COMPUTED_VALUE"""),0.0)</f>
        <v>0</v>
      </c>
      <c r="AM227" s="364">
        <f>IFERROR(__xludf.DUMMYFUNCTION("""COMPUTED_VALUE"""),0.0)</f>
        <v>0</v>
      </c>
    </row>
    <row r="228">
      <c r="A228" s="98">
        <f>IFERROR(__xludf.DUMMYFUNCTION("""COMPUTED_VALUE"""),225.0)</f>
        <v>225</v>
      </c>
      <c r="B228" s="98" t="str">
        <f>IFERROR(__xludf.DUMMYFUNCTION("""COMPUTED_VALUE"""),"TNI0021")</f>
        <v>TNI0021</v>
      </c>
      <c r="C228" s="98" t="str">
        <f>IFERROR(__xludf.DUMMYFUNCTION("""COMPUTED_VALUE"""),"B")</f>
        <v>B</v>
      </c>
      <c r="D228" s="98" t="str">
        <f>IFERROR(__xludf.DUMMYFUNCTION("""COMPUTED_VALUE"""),"PAT")</f>
        <v>PAT</v>
      </c>
      <c r="E228" s="98" t="str">
        <f>IFERROR(__xludf.DUMMYFUNCTION("""COMPUTED_VALUE"""),"T2")</f>
        <v>T2</v>
      </c>
      <c r="F228" s="98" t="str">
        <f>IFERROR(__xludf.DUMMYFUNCTION("""COMPUTED_VALUE"""),"Myeik")</f>
        <v>Myeik</v>
      </c>
      <c r="G228" s="98" t="str">
        <f>IFERROR(__xludf.DUMMYFUNCTION("""COMPUTED_VALUE"""),"Zin Min Shein")</f>
        <v>Zin Min Shein</v>
      </c>
      <c r="H228" s="98"/>
      <c r="I228" s="98">
        <f>IFERROR(__xludf.DUMMYFUNCTION("""COMPUTED_VALUE"""),0.0)</f>
        <v>0</v>
      </c>
      <c r="J228" s="98"/>
      <c r="K228" s="362">
        <f>IFERROR(__xludf.DUMMYFUNCTION("""COMPUTED_VALUE"""),40.0)</f>
        <v>40</v>
      </c>
      <c r="L228" s="98" t="str">
        <f>IFERROR(__xludf.DUMMYFUNCTION("""COMPUTED_VALUE"""),"10:00PM-4:00AM")</f>
        <v>10:00PM-4:00AM</v>
      </c>
      <c r="M228" s="98" t="str">
        <f>IFERROR(__xludf.DUMMYFUNCTION("""COMPUTED_VALUE"""),"Grid+BB")</f>
        <v>Grid+BB</v>
      </c>
      <c r="N228" s="98" t="str">
        <f>IFERROR(__xludf.DUMMYFUNCTION("""COMPUTED_VALUE"""),"ok")</f>
        <v>ok</v>
      </c>
      <c r="O228" s="363"/>
      <c r="P228" s="98"/>
      <c r="Q228" s="98"/>
      <c r="R228" s="100"/>
      <c r="S228" s="363"/>
      <c r="T228" s="100"/>
      <c r="U228" s="98"/>
      <c r="V228" s="100"/>
      <c r="W228" s="98"/>
      <c r="X228" s="363"/>
      <c r="Y228" s="100"/>
      <c r="Z228" s="363"/>
      <c r="AA228" s="98"/>
      <c r="AB228" s="363"/>
      <c r="AC228" s="100"/>
      <c r="AD228" s="363"/>
      <c r="AE228" s="100"/>
      <c r="AF228" s="364">
        <f>IFERROR(__xludf.DUMMYFUNCTION("""COMPUTED_VALUE"""),3182.0)</f>
        <v>3182</v>
      </c>
      <c r="AG228" s="98" t="str">
        <f>IFERROR(__xludf.DUMMYFUNCTION("""COMPUTED_VALUE"""),"Grid fail, non DG")</f>
        <v>Grid fail, non DG</v>
      </c>
      <c r="AH228" s="98"/>
      <c r="AI228" s="98"/>
      <c r="AJ228" s="98"/>
      <c r="AK228" s="98"/>
      <c r="AL228" s="364">
        <f>IFERROR(__xludf.DUMMYFUNCTION("""COMPUTED_VALUE"""),0.0)</f>
        <v>0</v>
      </c>
      <c r="AM228" s="364">
        <f>IFERROR(__xludf.DUMMYFUNCTION("""COMPUTED_VALUE"""),0.0)</f>
        <v>0</v>
      </c>
    </row>
    <row r="229">
      <c r="A229" s="98">
        <f>IFERROR(__xludf.DUMMYFUNCTION("""COMPUTED_VALUE"""),226.0)</f>
        <v>226</v>
      </c>
      <c r="B229" s="98" t="str">
        <f>IFERROR(__xludf.DUMMYFUNCTION("""COMPUTED_VALUE"""),"TNI0010")</f>
        <v>TNI0010</v>
      </c>
      <c r="C229" s="98" t="str">
        <f>IFERROR(__xludf.DUMMYFUNCTION("""COMPUTED_VALUE"""),"A")</f>
        <v>A</v>
      </c>
      <c r="D229" s="98" t="str">
        <f>IFERROR(__xludf.DUMMYFUNCTION("""COMPUTED_VALUE"""),"Mytel")</f>
        <v>Mytel</v>
      </c>
      <c r="E229" s="98" t="str">
        <f>IFERROR(__xludf.DUMMYFUNCTION("""COMPUTED_VALUE"""),"T3")</f>
        <v>T3</v>
      </c>
      <c r="F229" s="98" t="str">
        <f>IFERROR(__xludf.DUMMYFUNCTION("""COMPUTED_VALUE"""),"Tanintharyi")</f>
        <v>Tanintharyi</v>
      </c>
      <c r="G229" s="98" t="str">
        <f>IFERROR(__xludf.DUMMYFUNCTION("""COMPUTED_VALUE"""),"-")</f>
        <v>-</v>
      </c>
      <c r="H229" s="98"/>
      <c r="I229" s="98"/>
      <c r="J229" s="98"/>
      <c r="K229" s="362">
        <f>IFERROR(__xludf.DUMMYFUNCTION("""COMPUTED_VALUE"""),240.0)</f>
        <v>240</v>
      </c>
      <c r="L229" s="98" t="str">
        <f>IFERROR(__xludf.DUMMYFUNCTION("""COMPUTED_VALUE"""),"24*7")</f>
        <v>24*7</v>
      </c>
      <c r="M229" s="98" t="str">
        <f>IFERROR(__xludf.DUMMYFUNCTION("""COMPUTED_VALUE"""),"1DG+Grid+BB")</f>
        <v>1DG+Grid+BB</v>
      </c>
      <c r="N229" s="98" t="str">
        <f>IFERROR(__xludf.DUMMYFUNCTION("""COMPUTED_VALUE"""),"ok")</f>
        <v>ok</v>
      </c>
      <c r="O229" s="363"/>
      <c r="P229" s="98"/>
      <c r="Q229" s="98" t="str">
        <f>IFERROR(__xludf.DUMMYFUNCTION("""COMPUTED_VALUE""")," +Door Alarm: 04/12/2023 13:59")</f>
        <v> +Door Alarm: 04/12/2023 13:59</v>
      </c>
      <c r="R229" s="100">
        <f>IFERROR(__xludf.DUMMYFUNCTION("""COMPUTED_VALUE"""),22587.34)</f>
        <v>22587.34</v>
      </c>
      <c r="S229" s="363"/>
      <c r="T229" s="100"/>
      <c r="U229" s="98"/>
      <c r="V229" s="100"/>
      <c r="W229" s="98"/>
      <c r="X229" s="363"/>
      <c r="Y229" s="100"/>
      <c r="Z229" s="363"/>
      <c r="AA229" s="98"/>
      <c r="AB229" s="363">
        <f>IFERROR(__xludf.DUMMYFUNCTION("""COMPUTED_VALUE"""),46184.062210648146)</f>
        <v>46184.06221</v>
      </c>
      <c r="AC229" s="100">
        <f>IFERROR(__xludf.DUMMYFUNCTION("""COMPUTED_VALUE"""),521.1362627777271)</f>
        <v>521.1362628</v>
      </c>
      <c r="AD229" s="363">
        <f>IFERROR(__xludf.DUMMYFUNCTION("""COMPUTED_VALUE"""),46184.06215277778)</f>
        <v>46184.06215</v>
      </c>
      <c r="AE229" s="100">
        <f>IFERROR(__xludf.DUMMYFUNCTION("""COMPUTED_VALUE"""),521.1376516665914)</f>
        <v>521.1376517</v>
      </c>
      <c r="AF229" s="364">
        <f>IFERROR(__xludf.DUMMYFUNCTION("""COMPUTED_VALUE"""),0.0)</f>
        <v>0</v>
      </c>
      <c r="AG229" s="98" t="str">
        <f>IFERROR(__xludf.DUMMYFUNCTION("""COMPUTED_VALUE"""),"Unsafe")</f>
        <v>Unsafe</v>
      </c>
      <c r="AH229" s="98"/>
      <c r="AI229" s="98" t="str">
        <f>IFERROR(__xludf.DUMMYFUNCTION("""COMPUTED_VALUE"""),"KNU control area, cannot go")</f>
        <v>KNU control area, cannot go</v>
      </c>
      <c r="AJ229" s="98"/>
      <c r="AK229" s="98"/>
      <c r="AL229" s="364">
        <f>IFERROR(__xludf.DUMMYFUNCTION("""COMPUTED_VALUE"""),0.0)</f>
        <v>0</v>
      </c>
      <c r="AM229" s="364">
        <f>IFERROR(__xludf.DUMMYFUNCTION("""COMPUTED_VALUE"""),0.0)</f>
        <v>0</v>
      </c>
    </row>
    <row r="230">
      <c r="A230" s="98">
        <f>IFERROR(__xludf.DUMMYFUNCTION("""COMPUTED_VALUE"""),227.0)</f>
        <v>227</v>
      </c>
      <c r="B230" s="98" t="str">
        <f>IFERROR(__xludf.DUMMYFUNCTION("""COMPUTED_VALUE"""),"TNI0114")</f>
        <v>TNI0114</v>
      </c>
      <c r="C230" s="98" t="str">
        <f>IFERROR(__xludf.DUMMYFUNCTION("""COMPUTED_VALUE"""),"C")</f>
        <v>C</v>
      </c>
      <c r="D230" s="98" t="str">
        <f>IFERROR(__xludf.DUMMYFUNCTION("""COMPUTED_VALUE"""),"Mytel")</f>
        <v>Mytel</v>
      </c>
      <c r="E230" s="98" t="str">
        <f>IFERROR(__xludf.DUMMYFUNCTION("""COMPUTED_VALUE"""),"T3")</f>
        <v>T3</v>
      </c>
      <c r="F230" s="98" t="str">
        <f>IFERROR(__xludf.DUMMYFUNCTION("""COMPUTED_VALUE"""),"Tanintharyi")</f>
        <v>Tanintharyi</v>
      </c>
      <c r="G230" s="98" t="str">
        <f>IFERROR(__xludf.DUMMYFUNCTION("""COMPUTED_VALUE"""),"-")</f>
        <v>-</v>
      </c>
      <c r="H230" s="98"/>
      <c r="I230" s="98"/>
      <c r="J230" s="98"/>
      <c r="K230" s="362">
        <f>IFERROR(__xludf.DUMMYFUNCTION("""COMPUTED_VALUE"""),60.0)</f>
        <v>60</v>
      </c>
      <c r="L230" s="98" t="str">
        <f>IFERROR(__xludf.DUMMYFUNCTION("""COMPUTED_VALUE"""),"6PM-6AM")</f>
        <v>6PM-6AM</v>
      </c>
      <c r="M230" s="98" t="str">
        <f>IFERROR(__xludf.DUMMYFUNCTION("""COMPUTED_VALUE"""),"1DG+BB")</f>
        <v>1DG+BB</v>
      </c>
      <c r="N230" s="98" t="str">
        <f>IFERROR(__xludf.DUMMYFUNCTION("""COMPUTED_VALUE"""),"ok")</f>
        <v>ok</v>
      </c>
      <c r="O230" s="363"/>
      <c r="P230" s="98"/>
      <c r="Q230" s="98"/>
      <c r="R230" s="100"/>
      <c r="S230" s="363"/>
      <c r="T230" s="100"/>
      <c r="U230" s="98"/>
      <c r="V230" s="100"/>
      <c r="W230" s="98"/>
      <c r="X230" s="363"/>
      <c r="Y230" s="100"/>
      <c r="Z230" s="363"/>
      <c r="AA230" s="98"/>
      <c r="AB230" s="363"/>
      <c r="AC230" s="100"/>
      <c r="AD230" s="363"/>
      <c r="AE230" s="100"/>
      <c r="AF230" s="364">
        <f>IFERROR(__xludf.DUMMYFUNCTION("""COMPUTED_VALUE"""),0.0)</f>
        <v>0</v>
      </c>
      <c r="AG230" s="98"/>
      <c r="AH230" s="98"/>
      <c r="AI230" s="98"/>
      <c r="AJ230" s="98"/>
      <c r="AK230" s="98"/>
      <c r="AL230" s="364">
        <f>IFERROR(__xludf.DUMMYFUNCTION("""COMPUTED_VALUE"""),0.0)</f>
        <v>0</v>
      </c>
      <c r="AM230" s="364">
        <f>IFERROR(__xludf.DUMMYFUNCTION("""COMPUTED_VALUE"""),0.0)</f>
        <v>0</v>
      </c>
    </row>
    <row r="231">
      <c r="A231" s="98">
        <f>IFERROR(__xludf.DUMMYFUNCTION("""COMPUTED_VALUE"""),228.0)</f>
        <v>228</v>
      </c>
      <c r="B231" s="98" t="str">
        <f>IFERROR(__xludf.DUMMYFUNCTION("""COMPUTED_VALUE"""),"TNI0179")</f>
        <v>TNI0179</v>
      </c>
      <c r="C231" s="98" t="str">
        <f>IFERROR(__xludf.DUMMYFUNCTION("""COMPUTED_VALUE"""),"C")</f>
        <v>C</v>
      </c>
      <c r="D231" s="98" t="str">
        <f>IFERROR(__xludf.DUMMYFUNCTION("""COMPUTED_VALUE"""),"Mytel")</f>
        <v>Mytel</v>
      </c>
      <c r="E231" s="98" t="str">
        <f>IFERROR(__xludf.DUMMYFUNCTION("""COMPUTED_VALUE"""),"T3")</f>
        <v>T3</v>
      </c>
      <c r="F231" s="98" t="str">
        <f>IFERROR(__xludf.DUMMYFUNCTION("""COMPUTED_VALUE"""),"Tanintharyi")</f>
        <v>Tanintharyi</v>
      </c>
      <c r="G231" s="98" t="str">
        <f>IFERROR(__xludf.DUMMYFUNCTION("""COMPUTED_VALUE"""),"-")</f>
        <v>-</v>
      </c>
      <c r="H231" s="98"/>
      <c r="I231" s="98"/>
      <c r="J231" s="98"/>
      <c r="K231" s="362">
        <f>IFERROR(__xludf.DUMMYFUNCTION("""COMPUTED_VALUE"""),180.0)</f>
        <v>180</v>
      </c>
      <c r="L231" s="98" t="str">
        <f>IFERROR(__xludf.DUMMYFUNCTION("""COMPUTED_VALUE"""),"24*7")</f>
        <v>24*7</v>
      </c>
      <c r="M231" s="98" t="str">
        <f>IFERROR(__xludf.DUMMYFUNCTION("""COMPUTED_VALUE"""),"1DG+BB")</f>
        <v>1DG+BB</v>
      </c>
      <c r="N231" s="98" t="str">
        <f>IFERROR(__xludf.DUMMYFUNCTION("""COMPUTED_VALUE"""),"ok")</f>
        <v>ok</v>
      </c>
      <c r="O231" s="363"/>
      <c r="P231" s="98"/>
      <c r="Q231" s="98"/>
      <c r="R231" s="100"/>
      <c r="S231" s="363"/>
      <c r="T231" s="100"/>
      <c r="U231" s="98"/>
      <c r="V231" s="100"/>
      <c r="W231" s="98"/>
      <c r="X231" s="363"/>
      <c r="Y231" s="100"/>
      <c r="Z231" s="363"/>
      <c r="AA231" s="98"/>
      <c r="AB231" s="363">
        <f>IFERROR(__xludf.DUMMYFUNCTION("""COMPUTED_VALUE"""),46184.062210648146)</f>
        <v>46184.06221</v>
      </c>
      <c r="AC231" s="100">
        <f>IFERROR(__xludf.DUMMYFUNCTION("""COMPUTED_VALUE"""),521.1362627777271)</f>
        <v>521.1362628</v>
      </c>
      <c r="AD231" s="363">
        <f>IFERROR(__xludf.DUMMYFUNCTION("""COMPUTED_VALUE"""),46184.06215277778)</f>
        <v>46184.06215</v>
      </c>
      <c r="AE231" s="100">
        <f>IFERROR(__xludf.DUMMYFUNCTION("""COMPUTED_VALUE"""),521.1376516665914)</f>
        <v>521.1376517</v>
      </c>
      <c r="AF231" s="364">
        <f>IFERROR(__xludf.DUMMYFUNCTION("""COMPUTED_VALUE"""),0.0)</f>
        <v>0</v>
      </c>
      <c r="AG231" s="98" t="str">
        <f>IFERROR(__xludf.DUMMYFUNCTION("""COMPUTED_VALUE"""),"Unsafe")</f>
        <v>Unsafe</v>
      </c>
      <c r="AH231" s="98"/>
      <c r="AI231" s="98" t="str">
        <f>IFERROR(__xludf.DUMMYFUNCTION("""COMPUTED_VALUE"""),"Need to contact P and KNU team and current battle happening at this region")</f>
        <v>Need to contact P and KNU team and current battle happening at this region</v>
      </c>
      <c r="AJ231" s="98"/>
      <c r="AK231" s="98"/>
      <c r="AL231" s="364">
        <f>IFERROR(__xludf.DUMMYFUNCTION("""COMPUTED_VALUE"""),0.0)</f>
        <v>0</v>
      </c>
      <c r="AM231" s="364">
        <f>IFERROR(__xludf.DUMMYFUNCTION("""COMPUTED_VALUE"""),0.0)</f>
        <v>0</v>
      </c>
    </row>
    <row r="232">
      <c r="A232" s="98">
        <f>IFERROR(__xludf.DUMMYFUNCTION("""COMPUTED_VALUE"""),229.0)</f>
        <v>229</v>
      </c>
      <c r="B232" s="98" t="str">
        <f>IFERROR(__xludf.DUMMYFUNCTION("""COMPUTED_VALUE"""),"TNI0221")</f>
        <v>TNI0221</v>
      </c>
      <c r="C232" s="98" t="str">
        <f>IFERROR(__xludf.DUMMYFUNCTION("""COMPUTED_VALUE"""),"C")</f>
        <v>C</v>
      </c>
      <c r="D232" s="98" t="str">
        <f>IFERROR(__xludf.DUMMYFUNCTION("""COMPUTED_VALUE"""),"Mytel")</f>
        <v>Mytel</v>
      </c>
      <c r="E232" s="98" t="str">
        <f>IFERROR(__xludf.DUMMYFUNCTION("""COMPUTED_VALUE"""),"T3")</f>
        <v>T3</v>
      </c>
      <c r="F232" s="98" t="str">
        <f>IFERROR(__xludf.DUMMYFUNCTION("""COMPUTED_VALUE"""),"Tanintharyi")</f>
        <v>Tanintharyi</v>
      </c>
      <c r="G232" s="98" t="str">
        <f>IFERROR(__xludf.DUMMYFUNCTION("""COMPUTED_VALUE"""),"-")</f>
        <v>-</v>
      </c>
      <c r="H232" s="98"/>
      <c r="I232" s="98"/>
      <c r="J232" s="98"/>
      <c r="K232" s="362">
        <f>IFERROR(__xludf.DUMMYFUNCTION("""COMPUTED_VALUE"""),150.0)</f>
        <v>150</v>
      </c>
      <c r="L232" s="98" t="str">
        <f>IFERROR(__xludf.DUMMYFUNCTION("""COMPUTED_VALUE"""),"24*7")</f>
        <v>24*7</v>
      </c>
      <c r="M232" s="98" t="str">
        <f>IFERROR(__xludf.DUMMYFUNCTION("""COMPUTED_VALUE"""),"1DG+BB")</f>
        <v>1DG+BB</v>
      </c>
      <c r="N232" s="98" t="str">
        <f>IFERROR(__xludf.DUMMYFUNCTION("""COMPUTED_VALUE"""),"ok")</f>
        <v>ok</v>
      </c>
      <c r="O232" s="363"/>
      <c r="P232" s="98"/>
      <c r="Q232" s="98"/>
      <c r="R232" s="100"/>
      <c r="S232" s="363"/>
      <c r="T232" s="100"/>
      <c r="U232" s="98"/>
      <c r="V232" s="100"/>
      <c r="W232" s="98"/>
      <c r="X232" s="363"/>
      <c r="Y232" s="100"/>
      <c r="Z232" s="363"/>
      <c r="AA232" s="98"/>
      <c r="AB232" s="363">
        <f>IFERROR(__xludf.DUMMYFUNCTION("""COMPUTED_VALUE"""),46184.0622337963)</f>
        <v>46184.06223</v>
      </c>
      <c r="AC232" s="100">
        <f>IFERROR(__xludf.DUMMYFUNCTION("""COMPUTED_VALUE"""),521.1357072220417)</f>
        <v>521.1357072</v>
      </c>
      <c r="AD232" s="363">
        <f>IFERROR(__xludf.DUMMYFUNCTION("""COMPUTED_VALUE"""),46184.06217592592)</f>
        <v>46184.06218</v>
      </c>
      <c r="AE232" s="100">
        <f>IFERROR(__xludf.DUMMYFUNCTION("""COMPUTED_VALUE"""),521.1370961110806)</f>
        <v>521.1370961</v>
      </c>
      <c r="AF232" s="364">
        <f>IFERROR(__xludf.DUMMYFUNCTION("""COMPUTED_VALUE"""),0.0)</f>
        <v>0</v>
      </c>
      <c r="AG232" s="98" t="str">
        <f>IFERROR(__xludf.DUMMYFUNCTION("""COMPUTED_VALUE"""),"Unsafe")</f>
        <v>Unsafe</v>
      </c>
      <c r="AH232" s="98"/>
      <c r="AI232" s="98" t="str">
        <f>IFERROR(__xludf.DUMMYFUNCTION("""COMPUTED_VALUE"""),"Need to contact P and KNU team and current battle happening at this region")</f>
        <v>Need to contact P and KNU team and current battle happening at this region</v>
      </c>
      <c r="AJ232" s="98"/>
      <c r="AK232" s="98"/>
      <c r="AL232" s="364">
        <f>IFERROR(__xludf.DUMMYFUNCTION("""COMPUTED_VALUE"""),0.0)</f>
        <v>0</v>
      </c>
      <c r="AM232" s="364">
        <f>IFERROR(__xludf.DUMMYFUNCTION("""COMPUTED_VALUE"""),0.0)</f>
        <v>0</v>
      </c>
    </row>
    <row r="233">
      <c r="A233" s="98">
        <f>IFERROR(__xludf.DUMMYFUNCTION("""COMPUTED_VALUE"""),230.0)</f>
        <v>230</v>
      </c>
      <c r="B233" s="98" t="str">
        <f>IFERROR(__xludf.DUMMYFUNCTION("""COMPUTED_VALUE"""),"TNI0342")</f>
        <v>TNI0342</v>
      </c>
      <c r="C233" s="98" t="str">
        <f>IFERROR(__xludf.DUMMYFUNCTION("""COMPUTED_VALUE"""),"C")</f>
        <v>C</v>
      </c>
      <c r="D233" s="98" t="str">
        <f>IFERROR(__xludf.DUMMYFUNCTION("""COMPUTED_VALUE"""),"OCK")</f>
        <v>OCK</v>
      </c>
      <c r="E233" s="98" t="str">
        <f>IFERROR(__xludf.DUMMYFUNCTION("""COMPUTED_VALUE"""),"T3")</f>
        <v>T3</v>
      </c>
      <c r="F233" s="98" t="str">
        <f>IFERROR(__xludf.DUMMYFUNCTION("""COMPUTED_VALUE"""),"Tanintharyi")</f>
        <v>Tanintharyi</v>
      </c>
      <c r="G233" s="98" t="str">
        <f>IFERROR(__xludf.DUMMYFUNCTION("""COMPUTED_VALUE"""),"-")</f>
        <v>-</v>
      </c>
      <c r="H233" s="98"/>
      <c r="I233" s="98"/>
      <c r="J233" s="98"/>
      <c r="K233" s="362">
        <f>IFERROR(__xludf.DUMMYFUNCTION("""COMPUTED_VALUE"""),180.0)</f>
        <v>180</v>
      </c>
      <c r="L233" s="98" t="str">
        <f>IFERROR(__xludf.DUMMYFUNCTION("""COMPUTED_VALUE"""),"24*7")</f>
        <v>24*7</v>
      </c>
      <c r="M233" s="98" t="str">
        <f>IFERROR(__xludf.DUMMYFUNCTION("""COMPUTED_VALUE"""),"1DG+BB")</f>
        <v>1DG+BB</v>
      </c>
      <c r="N233" s="98" t="str">
        <f>IFERROR(__xludf.DUMMYFUNCTION("""COMPUTED_VALUE"""),"ok")</f>
        <v>ok</v>
      </c>
      <c r="O233" s="363"/>
      <c r="P233" s="98"/>
      <c r="Q233" s="98"/>
      <c r="R233" s="100"/>
      <c r="S233" s="363"/>
      <c r="T233" s="100"/>
      <c r="U233" s="98"/>
      <c r="V233" s="100"/>
      <c r="W233" s="98"/>
      <c r="X233" s="363"/>
      <c r="Y233" s="100"/>
      <c r="Z233" s="363"/>
      <c r="AA233" s="98"/>
      <c r="AB233" s="363">
        <f>IFERROR(__xludf.DUMMYFUNCTION("""COMPUTED_VALUE"""),46184.0622337963)</f>
        <v>46184.06223</v>
      </c>
      <c r="AC233" s="100">
        <f>IFERROR(__xludf.DUMMYFUNCTION("""COMPUTED_VALUE"""),521.1357072220417)</f>
        <v>521.1357072</v>
      </c>
      <c r="AD233" s="363">
        <f>IFERROR(__xludf.DUMMYFUNCTION("""COMPUTED_VALUE"""),46184.06217592592)</f>
        <v>46184.06218</v>
      </c>
      <c r="AE233" s="100">
        <f>IFERROR(__xludf.DUMMYFUNCTION("""COMPUTED_VALUE"""),521.1370961110806)</f>
        <v>521.1370961</v>
      </c>
      <c r="AF233" s="364">
        <f>IFERROR(__xludf.DUMMYFUNCTION("""COMPUTED_VALUE"""),0.0)</f>
        <v>0</v>
      </c>
      <c r="AG233" s="98" t="str">
        <f>IFERROR(__xludf.DUMMYFUNCTION("""COMPUTED_VALUE"""),"Unsafe")</f>
        <v>Unsafe</v>
      </c>
      <c r="AH233" s="98"/>
      <c r="AI233" s="98" t="str">
        <f>IFERROR(__xludf.DUMMYFUNCTION("""COMPUTED_VALUE"""),"KNU control area, cannot go")</f>
        <v>KNU control area, cannot go</v>
      </c>
      <c r="AJ233" s="98"/>
      <c r="AK233" s="98"/>
      <c r="AL233" s="364">
        <f>IFERROR(__xludf.DUMMYFUNCTION("""COMPUTED_VALUE"""),0.0)</f>
        <v>0</v>
      </c>
      <c r="AM233" s="364">
        <f>IFERROR(__xludf.DUMMYFUNCTION("""COMPUTED_VALUE"""),0.0)</f>
        <v>0</v>
      </c>
    </row>
    <row r="234">
      <c r="A234" s="98">
        <f>IFERROR(__xludf.DUMMYFUNCTION("""COMPUTED_VALUE"""),231.0)</f>
        <v>231</v>
      </c>
      <c r="B234" s="98" t="str">
        <f>IFERROR(__xludf.DUMMYFUNCTION("""COMPUTED_VALUE"""),"TNI0348")</f>
        <v>TNI0348</v>
      </c>
      <c r="C234" s="98" t="str">
        <f>IFERROR(__xludf.DUMMYFUNCTION("""COMPUTED_VALUE"""),"C")</f>
        <v>C</v>
      </c>
      <c r="D234" s="98" t="str">
        <f>IFERROR(__xludf.DUMMYFUNCTION("""COMPUTED_VALUE"""),"OCK")</f>
        <v>OCK</v>
      </c>
      <c r="E234" s="98" t="str">
        <f>IFERROR(__xludf.DUMMYFUNCTION("""COMPUTED_VALUE"""),"T3")</f>
        <v>T3</v>
      </c>
      <c r="F234" s="98" t="str">
        <f>IFERROR(__xludf.DUMMYFUNCTION("""COMPUTED_VALUE"""),"Tanintharyi")</f>
        <v>Tanintharyi</v>
      </c>
      <c r="G234" s="98" t="str">
        <f>IFERROR(__xludf.DUMMYFUNCTION("""COMPUTED_VALUE"""),"-")</f>
        <v>-</v>
      </c>
      <c r="H234" s="98"/>
      <c r="I234" s="98"/>
      <c r="J234" s="98"/>
      <c r="K234" s="362">
        <f>IFERROR(__xludf.DUMMYFUNCTION("""COMPUTED_VALUE"""),180.0)</f>
        <v>180</v>
      </c>
      <c r="L234" s="98" t="str">
        <f>IFERROR(__xludf.DUMMYFUNCTION("""COMPUTED_VALUE"""),"24*7")</f>
        <v>24*7</v>
      </c>
      <c r="M234" s="98" t="str">
        <f>IFERROR(__xludf.DUMMYFUNCTION("""COMPUTED_VALUE"""),"1DG+BB")</f>
        <v>1DG+BB</v>
      </c>
      <c r="N234" s="98" t="str">
        <f>IFERROR(__xludf.DUMMYFUNCTION("""COMPUTED_VALUE"""),"ok")</f>
        <v>ok</v>
      </c>
      <c r="O234" s="363"/>
      <c r="P234" s="98"/>
      <c r="Q234" s="98"/>
      <c r="R234" s="100"/>
      <c r="S234" s="363"/>
      <c r="T234" s="100"/>
      <c r="U234" s="98"/>
      <c r="V234" s="100"/>
      <c r="W234" s="98"/>
      <c r="X234" s="363"/>
      <c r="Y234" s="100"/>
      <c r="Z234" s="363"/>
      <c r="AA234" s="98"/>
      <c r="AB234" s="363">
        <f>IFERROR(__xludf.DUMMYFUNCTION("""COMPUTED_VALUE"""),46184.062210648146)</f>
        <v>46184.06221</v>
      </c>
      <c r="AC234" s="100">
        <f>IFERROR(__xludf.DUMMYFUNCTION("""COMPUTED_VALUE"""),521.1362627777271)</f>
        <v>521.1362628</v>
      </c>
      <c r="AD234" s="363">
        <f>IFERROR(__xludf.DUMMYFUNCTION("""COMPUTED_VALUE"""),46184.06215277778)</f>
        <v>46184.06215</v>
      </c>
      <c r="AE234" s="100">
        <f>IFERROR(__xludf.DUMMYFUNCTION("""COMPUTED_VALUE"""),521.1376516665914)</f>
        <v>521.1376517</v>
      </c>
      <c r="AF234" s="364">
        <f>IFERROR(__xludf.DUMMYFUNCTION("""COMPUTED_VALUE"""),0.0)</f>
        <v>0</v>
      </c>
      <c r="AG234" s="98" t="str">
        <f>IFERROR(__xludf.DUMMYFUNCTION("""COMPUTED_VALUE"""),"Unsafe")</f>
        <v>Unsafe</v>
      </c>
      <c r="AH234" s="98"/>
      <c r="AI234" s="98" t="str">
        <f>IFERROR(__xludf.DUMMYFUNCTION("""COMPUTED_VALUE"""),"KNU control area, cannot go")</f>
        <v>KNU control area, cannot go</v>
      </c>
      <c r="AJ234" s="98"/>
      <c r="AK234" s="98"/>
      <c r="AL234" s="364">
        <f>IFERROR(__xludf.DUMMYFUNCTION("""COMPUTED_VALUE"""),0.0)</f>
        <v>0</v>
      </c>
      <c r="AM234" s="364">
        <f>IFERROR(__xludf.DUMMYFUNCTION("""COMPUTED_VALUE"""),0.0)</f>
        <v>0</v>
      </c>
    </row>
    <row r="235">
      <c r="A235" s="98">
        <f>IFERROR(__xludf.DUMMYFUNCTION("""COMPUTED_VALUE"""),232.0)</f>
        <v>232</v>
      </c>
      <c r="B235" s="98" t="str">
        <f>IFERROR(__xludf.DUMMYFUNCTION("""COMPUTED_VALUE"""),"TNI0151")</f>
        <v>TNI0151</v>
      </c>
      <c r="C235" s="98" t="str">
        <f>IFERROR(__xludf.DUMMYFUNCTION("""COMPUTED_VALUE"""),"C")</f>
        <v>C</v>
      </c>
      <c r="D235" s="98" t="str">
        <f>IFERROR(__xludf.DUMMYFUNCTION("""COMPUTED_VALUE"""),"PAT")</f>
        <v>PAT</v>
      </c>
      <c r="E235" s="98" t="str">
        <f>IFERROR(__xludf.DUMMYFUNCTION("""COMPUTED_VALUE"""),"T3")</f>
        <v>T3</v>
      </c>
      <c r="F235" s="98" t="str">
        <f>IFERROR(__xludf.DUMMYFUNCTION("""COMPUTED_VALUE"""),"Tanintharyi")</f>
        <v>Tanintharyi</v>
      </c>
      <c r="G235" s="98" t="str">
        <f>IFERROR(__xludf.DUMMYFUNCTION("""COMPUTED_VALUE"""),"-")</f>
        <v>-</v>
      </c>
      <c r="H235" s="98"/>
      <c r="I235" s="98"/>
      <c r="J235" s="98"/>
      <c r="K235" s="362">
        <f>IFERROR(__xludf.DUMMYFUNCTION("""COMPUTED_VALUE"""),90.0)</f>
        <v>90</v>
      </c>
      <c r="L235" s="98" t="str">
        <f>IFERROR(__xludf.DUMMYFUNCTION("""COMPUTED_VALUE"""),"24*7")</f>
        <v>24*7</v>
      </c>
      <c r="M235" s="98" t="str">
        <f>IFERROR(__xludf.DUMMYFUNCTION("""COMPUTED_VALUE"""),"1DG+BB")</f>
        <v>1DG+BB</v>
      </c>
      <c r="N235" s="98" t="str">
        <f>IFERROR(__xludf.DUMMYFUNCTION("""COMPUTED_VALUE"""),"ok")</f>
        <v>ok</v>
      </c>
      <c r="O235" s="363"/>
      <c r="P235" s="98"/>
      <c r="Q235" s="98"/>
      <c r="R235" s="100"/>
      <c r="S235" s="363"/>
      <c r="T235" s="100"/>
      <c r="U235" s="98"/>
      <c r="V235" s="100"/>
      <c r="W235" s="98"/>
      <c r="X235" s="363"/>
      <c r="Y235" s="100"/>
      <c r="Z235" s="363"/>
      <c r="AA235" s="98"/>
      <c r="AB235" s="363">
        <f>IFERROR(__xludf.DUMMYFUNCTION("""COMPUTED_VALUE"""),46184.06219907408)</f>
        <v>46184.0622</v>
      </c>
      <c r="AC235" s="100">
        <f>IFERROR(__xludf.DUMMYFUNCTION("""COMPUTED_VALUE"""),521.1365405553952)</f>
        <v>521.1365406</v>
      </c>
      <c r="AD235" s="363">
        <f>IFERROR(__xludf.DUMMYFUNCTION("""COMPUTED_VALUE"""),46184.0621412037)</f>
        <v>46184.06214</v>
      </c>
      <c r="AE235" s="100">
        <f>IFERROR(__xludf.DUMMYFUNCTION("""COMPUTED_VALUE"""),521.1379294442595)</f>
        <v>521.1379294</v>
      </c>
      <c r="AF235" s="364">
        <f>IFERROR(__xludf.DUMMYFUNCTION("""COMPUTED_VALUE"""),0.0)</f>
        <v>0</v>
      </c>
      <c r="AG235" s="98" t="str">
        <f>IFERROR(__xludf.DUMMYFUNCTION("""COMPUTED_VALUE"""),"Unsafe")</f>
        <v>Unsafe</v>
      </c>
      <c r="AH235" s="98"/>
      <c r="AI235" s="98" t="str">
        <f>IFERROR(__xludf.DUMMYFUNCTION("""COMPUTED_VALUE"""),"KNU control area, cannot go")</f>
        <v>KNU control area, cannot go</v>
      </c>
      <c r="AJ235" s="98"/>
      <c r="AK235" s="98"/>
      <c r="AL235" s="364">
        <f>IFERROR(__xludf.DUMMYFUNCTION("""COMPUTED_VALUE"""),0.0)</f>
        <v>0</v>
      </c>
      <c r="AM235" s="364">
        <f>IFERROR(__xludf.DUMMYFUNCTION("""COMPUTED_VALUE"""),0.0)</f>
        <v>0</v>
      </c>
    </row>
    <row r="236">
      <c r="A236" s="98">
        <f>IFERROR(__xludf.DUMMYFUNCTION("""COMPUTED_VALUE"""),233.0)</f>
        <v>233</v>
      </c>
      <c r="B236" s="98" t="str">
        <f>IFERROR(__xludf.DUMMYFUNCTION("""COMPUTED_VALUE"""),"TNI0389")</f>
        <v>TNI0389</v>
      </c>
      <c r="C236" s="98" t="str">
        <f>IFERROR(__xludf.DUMMYFUNCTION("""COMPUTED_VALUE"""),"C")</f>
        <v>C</v>
      </c>
      <c r="D236" s="98" t="str">
        <f>IFERROR(__xludf.DUMMYFUNCTION("""COMPUTED_VALUE"""),"TIP")</f>
        <v>TIP</v>
      </c>
      <c r="E236" s="98" t="str">
        <f>IFERROR(__xludf.DUMMYFUNCTION("""COMPUTED_VALUE"""),"T3")</f>
        <v>T3</v>
      </c>
      <c r="F236" s="98" t="str">
        <f>IFERROR(__xludf.DUMMYFUNCTION("""COMPUTED_VALUE"""),"Tanintharyi")</f>
        <v>Tanintharyi</v>
      </c>
      <c r="G236" s="98" t="str">
        <f>IFERROR(__xludf.DUMMYFUNCTION("""COMPUTED_VALUE"""),"-")</f>
        <v>-</v>
      </c>
      <c r="H236" s="98"/>
      <c r="I236" s="98"/>
      <c r="J236" s="98"/>
      <c r="K236" s="362">
        <f>IFERROR(__xludf.DUMMYFUNCTION("""COMPUTED_VALUE"""),120.0)</f>
        <v>120</v>
      </c>
      <c r="L236" s="98" t="str">
        <f>IFERROR(__xludf.DUMMYFUNCTION("""COMPUTED_VALUE"""),"6PM-6AM")</f>
        <v>6PM-6AM</v>
      </c>
      <c r="M236" s="98" t="str">
        <f>IFERROR(__xludf.DUMMYFUNCTION("""COMPUTED_VALUE"""),"1DG+BB")</f>
        <v>1DG+BB</v>
      </c>
      <c r="N236" s="98" t="str">
        <f>IFERROR(__xludf.DUMMYFUNCTION("""COMPUTED_VALUE"""),"ok")</f>
        <v>ok</v>
      </c>
      <c r="O236" s="363"/>
      <c r="P236" s="98"/>
      <c r="Q236" s="98" t="str">
        <f>IFERROR(__xludf.DUMMYFUNCTION("""COMPUTED_VALUE""")," Door open alarm: 09/09/2021 07:44")</f>
        <v> Door open alarm: 09/09/2021 07:44</v>
      </c>
      <c r="R236" s="100">
        <f>IFERROR(__xludf.DUMMYFUNCTION("""COMPUTED_VALUE"""),42177.59)</f>
        <v>42177.59</v>
      </c>
      <c r="S236" s="363"/>
      <c r="T236" s="100"/>
      <c r="U236" s="98"/>
      <c r="V236" s="100"/>
      <c r="W236" s="98"/>
      <c r="X236" s="363"/>
      <c r="Y236" s="100"/>
      <c r="Z236" s="363"/>
      <c r="AA236" s="98"/>
      <c r="AB236" s="363"/>
      <c r="AC236" s="100"/>
      <c r="AD236" s="363"/>
      <c r="AE236" s="100"/>
      <c r="AF236" s="364">
        <f>IFERROR(__xludf.DUMMYFUNCTION("""COMPUTED_VALUE"""),0.0)</f>
        <v>0</v>
      </c>
      <c r="AG236" s="98" t="str">
        <f>IFERROR(__xludf.DUMMYFUNCTION("""COMPUTED_VALUE"""),"Unsafe")</f>
        <v>Unsafe</v>
      </c>
      <c r="AH236" s="98"/>
      <c r="AI236" s="98"/>
      <c r="AJ236" s="98"/>
      <c r="AK236" s="98"/>
      <c r="AL236" s="364">
        <f>IFERROR(__xludf.DUMMYFUNCTION("""COMPUTED_VALUE"""),0.0)</f>
        <v>0</v>
      </c>
      <c r="AM236" s="364">
        <f>IFERROR(__xludf.DUMMYFUNCTION("""COMPUTED_VALUE"""),0.0)</f>
        <v>0</v>
      </c>
    </row>
    <row r="237">
      <c r="A237" s="98">
        <f>IFERROR(__xludf.DUMMYFUNCTION("""COMPUTED_VALUE"""),234.0)</f>
        <v>234</v>
      </c>
      <c r="B237" s="98" t="str">
        <f>IFERROR(__xludf.DUMMYFUNCTION("""COMPUTED_VALUE"""),"TNI0004_01")</f>
        <v>TNI0004_01</v>
      </c>
      <c r="C237" s="98" t="str">
        <f>IFERROR(__xludf.DUMMYFUNCTION("""COMPUTED_VALUE"""),"C")</f>
        <v>C</v>
      </c>
      <c r="D237" s="98" t="str">
        <f>IFERROR(__xludf.DUMMYFUNCTION("""COMPUTED_VALUE"""),"Mytel")</f>
        <v>Mytel</v>
      </c>
      <c r="E237" s="98" t="str">
        <f>IFERROR(__xludf.DUMMYFUNCTION("""COMPUTED_VALUE"""),"T3")</f>
        <v>T3</v>
      </c>
      <c r="F237" s="98" t="str">
        <f>IFERROR(__xludf.DUMMYFUNCTION("""COMPUTED_VALUE"""),"Tanintharyi")</f>
        <v>Tanintharyi</v>
      </c>
      <c r="G237" s="98" t="str">
        <f>IFERROR(__xludf.DUMMYFUNCTION("""COMPUTED_VALUE"""),"Tin Naing Lin")</f>
        <v>Tin Naing Lin</v>
      </c>
      <c r="H237" s="98" t="str">
        <f>IFERROR(__xludf.DUMMYFUNCTION("""COMPUTED_VALUE"""),"U Tin Kywal: 09687117269")</f>
        <v>U Tin Kywal: 09687117269</v>
      </c>
      <c r="I237" s="98"/>
      <c r="J237" s="98"/>
      <c r="K237" s="362">
        <f>IFERROR(__xludf.DUMMYFUNCTION("""COMPUTED_VALUE"""),90.0)</f>
        <v>90</v>
      </c>
      <c r="L237" s="98" t="str">
        <f>IFERROR(__xludf.DUMMYFUNCTION("""COMPUTED_VALUE"""),"24*7")</f>
        <v>24*7</v>
      </c>
      <c r="M237" s="98" t="str">
        <f>IFERROR(__xludf.DUMMYFUNCTION("""COMPUTED_VALUE"""),"Grid+BB")</f>
        <v>Grid+BB</v>
      </c>
      <c r="N237" s="98" t="str">
        <f>IFERROR(__xludf.DUMMYFUNCTION("""COMPUTED_VALUE"""),"ok")</f>
        <v>ok</v>
      </c>
      <c r="O237" s="363"/>
      <c r="P237" s="98"/>
      <c r="Q237" s="98"/>
      <c r="R237" s="100"/>
      <c r="S237" s="363"/>
      <c r="T237" s="100"/>
      <c r="U237" s="98"/>
      <c r="V237" s="100"/>
      <c r="W237" s="98"/>
      <c r="X237" s="363"/>
      <c r="Y237" s="100"/>
      <c r="Z237" s="363"/>
      <c r="AA237" s="98"/>
      <c r="AB237" s="363"/>
      <c r="AC237" s="100"/>
      <c r="AD237" s="363"/>
      <c r="AE237" s="100"/>
      <c r="AF237" s="364">
        <f>IFERROR(__xludf.DUMMYFUNCTION("""COMPUTED_VALUE"""),410.0)</f>
        <v>410</v>
      </c>
      <c r="AG237" s="98"/>
      <c r="AH237" s="98" t="str">
        <f>IFERROR(__xludf.DUMMYFUNCTION("""COMPUTED_VALUE"""),"Run MDG")</f>
        <v>Run MDG</v>
      </c>
      <c r="AI237" s="98"/>
      <c r="AJ237" s="98"/>
      <c r="AK237" s="98"/>
      <c r="AL237" s="364">
        <f>IFERROR(__xludf.DUMMYFUNCTION("""COMPUTED_VALUE"""),0.0)</f>
        <v>0</v>
      </c>
      <c r="AM237" s="364">
        <f>IFERROR(__xludf.DUMMYFUNCTION("""COMPUTED_VALUE"""),0.0)</f>
        <v>0</v>
      </c>
    </row>
    <row r="238">
      <c r="A238" s="98">
        <f>IFERROR(__xludf.DUMMYFUNCTION("""COMPUTED_VALUE"""),235.0)</f>
        <v>235</v>
      </c>
      <c r="B238" s="98" t="str">
        <f>IFERROR(__xludf.DUMMYFUNCTION("""COMPUTED_VALUE"""),"TNI0169")</f>
        <v>TNI0169</v>
      </c>
      <c r="C238" s="98" t="str">
        <f>IFERROR(__xludf.DUMMYFUNCTION("""COMPUTED_VALUE"""),"C")</f>
        <v>C</v>
      </c>
      <c r="D238" s="98" t="str">
        <f>IFERROR(__xludf.DUMMYFUNCTION("""COMPUTED_VALUE"""),"Mytel")</f>
        <v>Mytel</v>
      </c>
      <c r="E238" s="98" t="str">
        <f>IFERROR(__xludf.DUMMYFUNCTION("""COMPUTED_VALUE"""),"T3")</f>
        <v>T3</v>
      </c>
      <c r="F238" s="98" t="str">
        <f>IFERROR(__xludf.DUMMYFUNCTION("""COMPUTED_VALUE"""),"Tanintharyi")</f>
        <v>Tanintharyi</v>
      </c>
      <c r="G238" s="98" t="str">
        <f>IFERROR(__xludf.DUMMYFUNCTION("""COMPUTED_VALUE"""),"Myint Ko Ko Aung")</f>
        <v>Myint Ko Ko Aung</v>
      </c>
      <c r="H238" s="98"/>
      <c r="I238" s="98">
        <f>IFERROR(__xludf.DUMMYFUNCTION("""COMPUTED_VALUE"""),0.0)</f>
        <v>0</v>
      </c>
      <c r="J238" s="98"/>
      <c r="K238" s="362">
        <f>IFERROR(__xludf.DUMMYFUNCTION("""COMPUTED_VALUE"""),120.0)</f>
        <v>120</v>
      </c>
      <c r="L238" s="98" t="str">
        <f>IFERROR(__xludf.DUMMYFUNCTION("""COMPUTED_VALUE"""),"24*7")</f>
        <v>24*7</v>
      </c>
      <c r="M238" s="98" t="str">
        <f>IFERROR(__xludf.DUMMYFUNCTION("""COMPUTED_VALUE"""),"1DG+BB")</f>
        <v>1DG+BB</v>
      </c>
      <c r="N238" s="98" t="str">
        <f>IFERROR(__xludf.DUMMYFUNCTION("""COMPUTED_VALUE"""),"ok")</f>
        <v>ok</v>
      </c>
      <c r="O238" s="363"/>
      <c r="P238" s="98"/>
      <c r="Q238" s="98"/>
      <c r="R238" s="100"/>
      <c r="S238" s="363"/>
      <c r="T238" s="100"/>
      <c r="U238" s="98"/>
      <c r="V238" s="100"/>
      <c r="W238" s="98"/>
      <c r="X238" s="363"/>
      <c r="Y238" s="100"/>
      <c r="Z238" s="363"/>
      <c r="AA238" s="98"/>
      <c r="AB238" s="363">
        <f>IFERROR(__xludf.DUMMYFUNCTION("""COMPUTED_VALUE"""),46184.0622337963)</f>
        <v>46184.06223</v>
      </c>
      <c r="AC238" s="100">
        <f>IFERROR(__xludf.DUMMYFUNCTION("""COMPUTED_VALUE"""),521.1357072220417)</f>
        <v>521.1357072</v>
      </c>
      <c r="AD238" s="363">
        <f>IFERROR(__xludf.DUMMYFUNCTION("""COMPUTED_VALUE"""),46184.06217592592)</f>
        <v>46184.06218</v>
      </c>
      <c r="AE238" s="100">
        <f>IFERROR(__xludf.DUMMYFUNCTION("""COMPUTED_VALUE"""),521.1370961110806)</f>
        <v>521.1370961</v>
      </c>
      <c r="AF238" s="364">
        <f>IFERROR(__xludf.DUMMYFUNCTION("""COMPUTED_VALUE"""),0.0)</f>
        <v>0</v>
      </c>
      <c r="AG238" s="98" t="str">
        <f>IFERROR(__xludf.DUMMYFUNCTION("""COMPUTED_VALUE"""),"Unsafe")</f>
        <v>Unsafe</v>
      </c>
      <c r="AH238" s="98"/>
      <c r="AI238" s="98" t="str">
        <f>IFERROR(__xludf.DUMMYFUNCTION("""COMPUTED_VALUE"""),"All Destroyed site")</f>
        <v>All Destroyed site</v>
      </c>
      <c r="AJ238" s="98"/>
      <c r="AK238" s="98"/>
      <c r="AL238" s="364">
        <f>IFERROR(__xludf.DUMMYFUNCTION("""COMPUTED_VALUE"""),0.0)</f>
        <v>0</v>
      </c>
      <c r="AM238" s="364">
        <f>IFERROR(__xludf.DUMMYFUNCTION("""COMPUTED_VALUE"""),0.0)</f>
        <v>0</v>
      </c>
    </row>
    <row r="239">
      <c r="A239" s="98">
        <f>IFERROR(__xludf.DUMMYFUNCTION("""COMPUTED_VALUE"""),236.0)</f>
        <v>236</v>
      </c>
      <c r="B239" s="98" t="str">
        <f>IFERROR(__xludf.DUMMYFUNCTION("""COMPUTED_VALUE"""),"TNI0173")</f>
        <v>TNI0173</v>
      </c>
      <c r="C239" s="98" t="str">
        <f>IFERROR(__xludf.DUMMYFUNCTION("""COMPUTED_VALUE"""),"B")</f>
        <v>B</v>
      </c>
      <c r="D239" s="98" t="str">
        <f>IFERROR(__xludf.DUMMYFUNCTION("""COMPUTED_VALUE"""),"Edotco")</f>
        <v>Edotco</v>
      </c>
      <c r="E239" s="98" t="str">
        <f>IFERROR(__xludf.DUMMYFUNCTION("""COMPUTED_VALUE"""),"T3")</f>
        <v>T3</v>
      </c>
      <c r="F239" s="98" t="str">
        <f>IFERROR(__xludf.DUMMYFUNCTION("""COMPUTED_VALUE"""),"Tanintharyi")</f>
        <v>Tanintharyi</v>
      </c>
      <c r="G239" s="98" t="str">
        <f>IFERROR(__xludf.DUMMYFUNCTION("""COMPUTED_VALUE"""),"Myint Ko Ko Aung")</f>
        <v>Myint Ko Ko Aung</v>
      </c>
      <c r="H239" s="98"/>
      <c r="I239" s="98"/>
      <c r="J239" s="98"/>
      <c r="K239" s="362">
        <f>IFERROR(__xludf.DUMMYFUNCTION("""COMPUTED_VALUE"""),50.0)</f>
        <v>50</v>
      </c>
      <c r="L239" s="98" t="str">
        <f>IFERROR(__xludf.DUMMYFUNCTION("""COMPUTED_VALUE"""),"6PM-6AM")</f>
        <v>6PM-6AM</v>
      </c>
      <c r="M239" s="98" t="str">
        <f>IFERROR(__xludf.DUMMYFUNCTION("""COMPUTED_VALUE"""),"1DG+BB")</f>
        <v>1DG+BB</v>
      </c>
      <c r="N239" s="98" t="str">
        <f>IFERROR(__xludf.DUMMYFUNCTION("""COMPUTED_VALUE"""),"ok")</f>
        <v>ok</v>
      </c>
      <c r="O239" s="363"/>
      <c r="P239" s="98"/>
      <c r="Q239" s="98"/>
      <c r="R239" s="100"/>
      <c r="S239" s="363"/>
      <c r="T239" s="100"/>
      <c r="U239" s="98"/>
      <c r="V239" s="100"/>
      <c r="W239" s="98"/>
      <c r="X239" s="363"/>
      <c r="Y239" s="100"/>
      <c r="Z239" s="363"/>
      <c r="AA239" s="98"/>
      <c r="AB239" s="363"/>
      <c r="AC239" s="100"/>
      <c r="AD239" s="363"/>
      <c r="AE239" s="100"/>
      <c r="AF239" s="364">
        <f>IFERROR(__xludf.DUMMYFUNCTION("""COMPUTED_VALUE"""),3102.0)</f>
        <v>3102</v>
      </c>
      <c r="AG239" s="98" t="str">
        <f>IFERROR(__xludf.DUMMYFUNCTION("""COMPUTED_VALUE"""),"Checking with TCO team")</f>
        <v>Checking with TCO team</v>
      </c>
      <c r="AH239" s="98"/>
      <c r="AI239" s="98" t="str">
        <f>IFERROR(__xludf.DUMMYFUNCTION("""COMPUTED_VALUE"""),"Mine area site, cannot go only MYT because  not have mine map")</f>
        <v>Mine area site, cannot go only MYT because  not have mine map</v>
      </c>
      <c r="AJ239" s="98"/>
      <c r="AK239" s="98"/>
      <c r="AL239" s="364">
        <f>IFERROR(__xludf.DUMMYFUNCTION("""COMPUTED_VALUE"""),0.0)</f>
        <v>0</v>
      </c>
      <c r="AM239" s="364">
        <f>IFERROR(__xludf.DUMMYFUNCTION("""COMPUTED_VALUE"""),0.0)</f>
        <v>0</v>
      </c>
    </row>
    <row r="240">
      <c r="A240" s="98">
        <f>IFERROR(__xludf.DUMMYFUNCTION("""COMPUTED_VALUE"""),237.0)</f>
        <v>237</v>
      </c>
      <c r="B240" s="98" t="str">
        <f>IFERROR(__xludf.DUMMYFUNCTION("""COMPUTED_VALUE"""),"TNI0505")</f>
        <v>TNI0505</v>
      </c>
      <c r="C240" s="98" t="str">
        <f>IFERROR(__xludf.DUMMYFUNCTION("""COMPUTED_VALUE"""),"C")</f>
        <v>C</v>
      </c>
      <c r="D240" s="98" t="str">
        <f>IFERROR(__xludf.DUMMYFUNCTION("""COMPUTED_VALUE"""),"Edotco")</f>
        <v>Edotco</v>
      </c>
      <c r="E240" s="98" t="str">
        <f>IFERROR(__xludf.DUMMYFUNCTION("""COMPUTED_VALUE"""),"T3")</f>
        <v>T3</v>
      </c>
      <c r="F240" s="98" t="str">
        <f>IFERROR(__xludf.DUMMYFUNCTION("""COMPUTED_VALUE"""),"Tanintharyi")</f>
        <v>Tanintharyi</v>
      </c>
      <c r="G240" s="98" t="str">
        <f>IFERROR(__xludf.DUMMYFUNCTION("""COMPUTED_VALUE"""),"Myint Ko Ko Aung")</f>
        <v>Myint Ko Ko Aung</v>
      </c>
      <c r="H240" s="98" t="str">
        <f>IFERROR(__xludf.DUMMYFUNCTION("""COMPUTED_VALUE"""),"U Kyi Wai: 09679138146")</f>
        <v>U Kyi Wai: 09679138146</v>
      </c>
      <c r="I240" s="98"/>
      <c r="J240" s="98"/>
      <c r="K240" s="362">
        <f>IFERROR(__xludf.DUMMYFUNCTION("""COMPUTED_VALUE"""),120.0)</f>
        <v>120</v>
      </c>
      <c r="L240" s="98" t="str">
        <f>IFERROR(__xludf.DUMMYFUNCTION("""COMPUTED_VALUE"""),"24*7")</f>
        <v>24*7</v>
      </c>
      <c r="M240" s="98" t="str">
        <f>IFERROR(__xludf.DUMMYFUNCTION("""COMPUTED_VALUE"""),"1DG+BB")</f>
        <v>1DG+BB</v>
      </c>
      <c r="N240" s="98" t="str">
        <f>IFERROR(__xludf.DUMMYFUNCTION("""COMPUTED_VALUE"""),"ok")</f>
        <v>ok</v>
      </c>
      <c r="O240" s="363"/>
      <c r="P240" s="98"/>
      <c r="Q240" s="98"/>
      <c r="R240" s="100"/>
      <c r="S240" s="363"/>
      <c r="T240" s="100"/>
      <c r="U240" s="98"/>
      <c r="V240" s="100"/>
      <c r="W240" s="98"/>
      <c r="X240" s="363"/>
      <c r="Y240" s="100"/>
      <c r="Z240" s="363"/>
      <c r="AA240" s="98"/>
      <c r="AB240" s="363"/>
      <c r="AC240" s="100"/>
      <c r="AD240" s="363"/>
      <c r="AE240" s="100"/>
      <c r="AF240" s="364">
        <f>IFERROR(__xludf.DUMMYFUNCTION("""COMPUTED_VALUE"""),1677.0)</f>
        <v>1677</v>
      </c>
      <c r="AG240" s="98" t="str">
        <f>IFERROR(__xludf.DUMMYFUNCTION("""COMPUTED_VALUE"""),"MDG broken and checking with mechnic man")</f>
        <v>MDG broken and checking with mechnic man</v>
      </c>
      <c r="AH240" s="98" t="str">
        <f>IFERROR(__xludf.DUMMYFUNCTION("""COMPUTED_VALUE"""),"Run MDG")</f>
        <v>Run MDG</v>
      </c>
      <c r="AI240" s="98"/>
      <c r="AJ240" s="98"/>
      <c r="AK240" s="98"/>
      <c r="AL240" s="364">
        <f>IFERROR(__xludf.DUMMYFUNCTION("""COMPUTED_VALUE"""),0.0)</f>
        <v>0</v>
      </c>
      <c r="AM240" s="364">
        <f>IFERROR(__xludf.DUMMYFUNCTION("""COMPUTED_VALUE"""),0.0)</f>
        <v>0</v>
      </c>
    </row>
    <row r="241">
      <c r="A241" s="98">
        <f>IFERROR(__xludf.DUMMYFUNCTION("""COMPUTED_VALUE"""),238.0)</f>
        <v>238</v>
      </c>
      <c r="B241" s="98" t="str">
        <f>IFERROR(__xludf.DUMMYFUNCTION("""COMPUTED_VALUE"""),"TNI0079")</f>
        <v>TNI0079</v>
      </c>
      <c r="C241" s="98" t="str">
        <f>IFERROR(__xludf.DUMMYFUNCTION("""COMPUTED_VALUE"""),"C")</f>
        <v>C</v>
      </c>
      <c r="D241" s="98" t="str">
        <f>IFERROR(__xludf.DUMMYFUNCTION("""COMPUTED_VALUE"""),"IGT")</f>
        <v>IGT</v>
      </c>
      <c r="E241" s="98" t="str">
        <f>IFERROR(__xludf.DUMMYFUNCTION("""COMPUTED_VALUE"""),"T3")</f>
        <v>T3</v>
      </c>
      <c r="F241" s="98" t="str">
        <f>IFERROR(__xludf.DUMMYFUNCTION("""COMPUTED_VALUE"""),"Tanintharyi")</f>
        <v>Tanintharyi</v>
      </c>
      <c r="G241" s="98" t="str">
        <f>IFERROR(__xludf.DUMMYFUNCTION("""COMPUTED_VALUE"""),"Myint Ko Ko Aung")</f>
        <v>Myint Ko Ko Aung</v>
      </c>
      <c r="H241" s="98"/>
      <c r="I241" s="98"/>
      <c r="J241" s="98"/>
      <c r="K241" s="362">
        <f>IFERROR(__xludf.DUMMYFUNCTION("""COMPUTED_VALUE"""),20.0)</f>
        <v>20</v>
      </c>
      <c r="L241" s="98" t="str">
        <f>IFERROR(__xludf.DUMMYFUNCTION("""COMPUTED_VALUE"""),"7PM-6AM")</f>
        <v>7PM-6AM</v>
      </c>
      <c r="M241" s="98" t="str">
        <f>IFERROR(__xludf.DUMMYFUNCTION("""COMPUTED_VALUE"""),"Grid+BB")</f>
        <v>Grid+BB</v>
      </c>
      <c r="N241" s="98" t="str">
        <f>IFERROR(__xludf.DUMMYFUNCTION("""COMPUTED_VALUE"""),"ok")</f>
        <v>ok</v>
      </c>
      <c r="O241" s="363"/>
      <c r="P241" s="98"/>
      <c r="Q241" s="98"/>
      <c r="R241" s="100"/>
      <c r="S241" s="363"/>
      <c r="T241" s="100"/>
      <c r="U241" s="98"/>
      <c r="V241" s="100"/>
      <c r="W241" s="98"/>
      <c r="X241" s="363"/>
      <c r="Y241" s="100"/>
      <c r="Z241" s="363"/>
      <c r="AA241" s="98"/>
      <c r="AB241" s="363"/>
      <c r="AC241" s="100"/>
      <c r="AD241" s="363"/>
      <c r="AE241" s="100"/>
      <c r="AF241" s="364">
        <f>IFERROR(__xludf.DUMMYFUNCTION("""COMPUTED_VALUE"""),1274.0)</f>
        <v>1274</v>
      </c>
      <c r="AG241" s="98" t="str">
        <f>IFERROR(__xludf.DUMMYFUNCTION("""COMPUTED_VALUE"""),"Team splicing at the fault point")</f>
        <v>Team splicing at the fault point</v>
      </c>
      <c r="AH241" s="98"/>
      <c r="AI241" s="98"/>
      <c r="AJ241" s="98"/>
      <c r="AK241" s="98"/>
      <c r="AL241" s="364">
        <f>IFERROR(__xludf.DUMMYFUNCTION("""COMPUTED_VALUE"""),0.0)</f>
        <v>0</v>
      </c>
      <c r="AM241" s="364">
        <f>IFERROR(__xludf.DUMMYFUNCTION("""COMPUTED_VALUE"""),0.0)</f>
        <v>0</v>
      </c>
    </row>
    <row r="242">
      <c r="A242" s="98">
        <f>IFERROR(__xludf.DUMMYFUNCTION("""COMPUTED_VALUE"""),239.0)</f>
        <v>239</v>
      </c>
      <c r="B242" s="98" t="str">
        <f>IFERROR(__xludf.DUMMYFUNCTION("""COMPUTED_VALUE"""),"TNI0156")</f>
        <v>TNI0156</v>
      </c>
      <c r="C242" s="98" t="str">
        <f>IFERROR(__xludf.DUMMYFUNCTION("""COMPUTED_VALUE"""),"B")</f>
        <v>B</v>
      </c>
      <c r="D242" s="98" t="str">
        <f>IFERROR(__xludf.DUMMYFUNCTION("""COMPUTED_VALUE"""),"IGT")</f>
        <v>IGT</v>
      </c>
      <c r="E242" s="98" t="str">
        <f>IFERROR(__xludf.DUMMYFUNCTION("""COMPUTED_VALUE"""),"T3")</f>
        <v>T3</v>
      </c>
      <c r="F242" s="98" t="str">
        <f>IFERROR(__xludf.DUMMYFUNCTION("""COMPUTED_VALUE"""),"Tanintharyi")</f>
        <v>Tanintharyi</v>
      </c>
      <c r="G242" s="98" t="str">
        <f>IFERROR(__xludf.DUMMYFUNCTION("""COMPUTED_VALUE"""),"Myint Ko Ko Aung")</f>
        <v>Myint Ko Ko Aung</v>
      </c>
      <c r="H242" s="98"/>
      <c r="I242" s="98"/>
      <c r="J242" s="98"/>
      <c r="K242" s="362">
        <f>IFERROR(__xludf.DUMMYFUNCTION("""COMPUTED_VALUE"""),150.0)</f>
        <v>150</v>
      </c>
      <c r="L242" s="98" t="str">
        <f>IFERROR(__xludf.DUMMYFUNCTION("""COMPUTED_VALUE"""),"24*7")</f>
        <v>24*7</v>
      </c>
      <c r="M242" s="98" t="str">
        <f>IFERROR(__xludf.DUMMYFUNCTION("""COMPUTED_VALUE"""),"1DG+Solar+BB")</f>
        <v>1DG+Solar+BB</v>
      </c>
      <c r="N242" s="98" t="str">
        <f>IFERROR(__xludf.DUMMYFUNCTION("""COMPUTED_VALUE"""),"ok")</f>
        <v>ok</v>
      </c>
      <c r="O242" s="363"/>
      <c r="P242" s="98"/>
      <c r="Q242" s="98"/>
      <c r="R242" s="100"/>
      <c r="S242" s="363"/>
      <c r="T242" s="100"/>
      <c r="U242" s="98"/>
      <c r="V242" s="100"/>
      <c r="W242" s="98"/>
      <c r="X242" s="363"/>
      <c r="Y242" s="100"/>
      <c r="Z242" s="363"/>
      <c r="AA242" s="98"/>
      <c r="AB242" s="363">
        <f>IFERROR(__xludf.DUMMYFUNCTION("""COMPUTED_VALUE"""),46184.0622337963)</f>
        <v>46184.06223</v>
      </c>
      <c r="AC242" s="100">
        <f>IFERROR(__xludf.DUMMYFUNCTION("""COMPUTED_VALUE"""),521.1357072220417)</f>
        <v>521.1357072</v>
      </c>
      <c r="AD242" s="363">
        <f>IFERROR(__xludf.DUMMYFUNCTION("""COMPUTED_VALUE"""),46184.06217592592)</f>
        <v>46184.06218</v>
      </c>
      <c r="AE242" s="100">
        <f>IFERROR(__xludf.DUMMYFUNCTION("""COMPUTED_VALUE"""),521.1370961110806)</f>
        <v>521.1370961</v>
      </c>
      <c r="AF242" s="364">
        <f>IFERROR(__xludf.DUMMYFUNCTION("""COMPUTED_VALUE"""),0.0)</f>
        <v>0</v>
      </c>
      <c r="AG242" s="98" t="str">
        <f>IFERROR(__xludf.DUMMYFUNCTION("""COMPUTED_VALUE"""),"Unsafe, Cannot go")</f>
        <v>Unsafe, Cannot go</v>
      </c>
      <c r="AH242" s="98"/>
      <c r="AI242" s="98" t="str">
        <f>IFERROR(__xludf.DUMMYFUNCTION("""COMPUTED_VALUE"""),"Need to contact P and KNU team and current battle happening at this region")</f>
        <v>Need to contact P and KNU team and current battle happening at this region</v>
      </c>
      <c r="AJ242" s="98"/>
      <c r="AK242" s="98"/>
      <c r="AL242" s="364">
        <f>IFERROR(__xludf.DUMMYFUNCTION("""COMPUTED_VALUE"""),0.0)</f>
        <v>0</v>
      </c>
      <c r="AM242" s="364">
        <f>IFERROR(__xludf.DUMMYFUNCTION("""COMPUTED_VALUE"""),0.0)</f>
        <v>0</v>
      </c>
    </row>
    <row r="243">
      <c r="A243" s="98">
        <f>IFERROR(__xludf.DUMMYFUNCTION("""COMPUTED_VALUE"""),240.0)</f>
        <v>240</v>
      </c>
      <c r="B243" s="98" t="str">
        <f>IFERROR(__xludf.DUMMYFUNCTION("""COMPUTED_VALUE"""),"TNI0116")</f>
        <v>TNI0116</v>
      </c>
      <c r="C243" s="98" t="str">
        <f>IFERROR(__xludf.DUMMYFUNCTION("""COMPUTED_VALUE"""),"C")</f>
        <v>C</v>
      </c>
      <c r="D243" s="98" t="str">
        <f>IFERROR(__xludf.DUMMYFUNCTION("""COMPUTED_VALUE"""),"MEC")</f>
        <v>MEC</v>
      </c>
      <c r="E243" s="98" t="str">
        <f>IFERROR(__xludf.DUMMYFUNCTION("""COMPUTED_VALUE"""),"T3")</f>
        <v>T3</v>
      </c>
      <c r="F243" s="98" t="str">
        <f>IFERROR(__xludf.DUMMYFUNCTION("""COMPUTED_VALUE"""),"Tanintharyi")</f>
        <v>Tanintharyi</v>
      </c>
      <c r="G243" s="98" t="str">
        <f>IFERROR(__xludf.DUMMYFUNCTION("""COMPUTED_VALUE"""),"Myint Ko Ko Aung")</f>
        <v>Myint Ko Ko Aung</v>
      </c>
      <c r="H243" s="98"/>
      <c r="I243" s="98"/>
      <c r="J243" s="98"/>
      <c r="K243" s="362">
        <f>IFERROR(__xludf.DUMMYFUNCTION("""COMPUTED_VALUE"""),50.0)</f>
        <v>50</v>
      </c>
      <c r="L243" s="98" t="str">
        <f>IFERROR(__xludf.DUMMYFUNCTION("""COMPUTED_VALUE"""),"6PM-6AM")</f>
        <v>6PM-6AM</v>
      </c>
      <c r="M243" s="98" t="str">
        <f>IFERROR(__xludf.DUMMYFUNCTION("""COMPUTED_VALUE"""),"1DG+BB")</f>
        <v>1DG+BB</v>
      </c>
      <c r="N243" s="98" t="str">
        <f>IFERROR(__xludf.DUMMYFUNCTION("""COMPUTED_VALUE"""),"253")</f>
        <v>253</v>
      </c>
      <c r="O243" s="363"/>
      <c r="P243" s="98"/>
      <c r="Q243" s="98"/>
      <c r="R243" s="100"/>
      <c r="S243" s="363"/>
      <c r="T243" s="100"/>
      <c r="U243" s="98"/>
      <c r="V243" s="100" t="str">
        <f>IFERROR(__xludf.DUMMYFUNCTION("""COMPUTED_VALUE"""),"2645.63")</f>
        <v>2645.63</v>
      </c>
      <c r="W243" s="98"/>
      <c r="X243" s="363"/>
      <c r="Y243" s="100"/>
      <c r="Z243" s="363"/>
      <c r="AA243" s="98"/>
      <c r="AB243" s="363"/>
      <c r="AC243" s="100"/>
      <c r="AD243" s="363"/>
      <c r="AE243" s="100"/>
      <c r="AF243" s="364">
        <f>IFERROR(__xludf.DUMMYFUNCTION("""COMPUTED_VALUE"""),706.0)</f>
        <v>706</v>
      </c>
      <c r="AG243" s="98" t="str">
        <f>IFERROR(__xludf.DUMMYFUNCTION("""COMPUTED_VALUE"""),"ETA 7AM")</f>
        <v>ETA 7AM</v>
      </c>
      <c r="AH243" s="98"/>
      <c r="AI243" s="98"/>
      <c r="AJ243" s="98"/>
      <c r="AK243" s="98"/>
      <c r="AL243" s="364">
        <f>IFERROR(__xludf.DUMMYFUNCTION("""COMPUTED_VALUE"""),0.0)</f>
        <v>0</v>
      </c>
      <c r="AM243" s="364">
        <f>IFERROR(__xludf.DUMMYFUNCTION("""COMPUTED_VALUE"""),0.0)</f>
        <v>0</v>
      </c>
    </row>
    <row r="244">
      <c r="A244" s="98">
        <f>IFERROR(__xludf.DUMMYFUNCTION("""COMPUTED_VALUE"""),241.0)</f>
        <v>241</v>
      </c>
      <c r="B244" s="98" t="str">
        <f>IFERROR(__xludf.DUMMYFUNCTION("""COMPUTED_VALUE"""),"TNI0004")</f>
        <v>TNI0004</v>
      </c>
      <c r="C244" s="98" t="str">
        <f>IFERROR(__xludf.DUMMYFUNCTION("""COMPUTED_VALUE"""),"A")</f>
        <v>A</v>
      </c>
      <c r="D244" s="98" t="str">
        <f>IFERROR(__xludf.DUMMYFUNCTION("""COMPUTED_VALUE"""),"Mytel")</f>
        <v>Mytel</v>
      </c>
      <c r="E244" s="98" t="str">
        <f>IFERROR(__xludf.DUMMYFUNCTION("""COMPUTED_VALUE"""),"T3")</f>
        <v>T3</v>
      </c>
      <c r="F244" s="98" t="str">
        <f>IFERROR(__xludf.DUMMYFUNCTION("""COMPUTED_VALUE"""),"Tanintharyi")</f>
        <v>Tanintharyi</v>
      </c>
      <c r="G244" s="98" t="str">
        <f>IFERROR(__xludf.DUMMYFUNCTION("""COMPUTED_VALUE"""),"Myint Ko Ko Aung")</f>
        <v>Myint Ko Ko Aung</v>
      </c>
      <c r="H244" s="98" t="str">
        <f>IFERROR(__xludf.DUMMYFUNCTION("""COMPUTED_VALUE"""),"U Htet Myat Aung: 09693676622")</f>
        <v>U Htet Myat Aung: 09693676622</v>
      </c>
      <c r="I244" s="98"/>
      <c r="J244" s="98"/>
      <c r="K244" s="362">
        <f>IFERROR(__xludf.DUMMYFUNCTION("""COMPUTED_VALUE"""),60.0)</f>
        <v>60</v>
      </c>
      <c r="L244" s="98" t="str">
        <f>IFERROR(__xludf.DUMMYFUNCTION("""COMPUTED_VALUE"""),"6PM-6AM")</f>
        <v>6PM-6AM</v>
      </c>
      <c r="M244" s="98" t="str">
        <f>IFERROR(__xludf.DUMMYFUNCTION("""COMPUTED_VALUE"""),"2DG+BB")</f>
        <v>2DG+BB</v>
      </c>
      <c r="N244" s="98" t="str">
        <f>IFERROR(__xludf.DUMMYFUNCTION("""COMPUTED_VALUE"""),"0")</f>
        <v>0</v>
      </c>
      <c r="O244" s="363"/>
      <c r="P244" s="98"/>
      <c r="Q244" s="98" t="str">
        <f>IFERROR(__xludf.DUMMYFUNCTION("""COMPUTED_VALUE""")," +Door Alarm: 02/07/2026 13:48 DG Door: 18/06/2025 09:26")</f>
        <v> +Door Alarm: 02/07/2026 13:48 DG Door: 18/06/2025 09:26</v>
      </c>
      <c r="R244" s="100">
        <f>IFERROR(__xludf.DUMMYFUNCTION("""COMPUTED_VALUE"""),3.53)</f>
        <v>3.53</v>
      </c>
      <c r="S244" s="363">
        <f>IFERROR(__xludf.DUMMYFUNCTION("""COMPUTED_VALUE"""),46205.682175925926)</f>
        <v>46205.68218</v>
      </c>
      <c r="T244" s="100">
        <f>IFERROR(__xludf.DUMMYFUNCTION("""COMPUTED_VALUE"""),2.257096111017745)</f>
        <v>2.257096111</v>
      </c>
      <c r="U244" s="98"/>
      <c r="V244" s="100"/>
      <c r="W244" s="98"/>
      <c r="X244" s="363"/>
      <c r="Y244" s="100"/>
      <c r="Z244" s="363"/>
      <c r="AA244" s="98"/>
      <c r="AB244" s="363">
        <f>IFERROR(__xludf.DUMMYFUNCTION("""COMPUTED_VALUE"""),46201.89821759259)</f>
        <v>46201.89822</v>
      </c>
      <c r="AC244" s="100">
        <f>IFERROR(__xludf.DUMMYFUNCTION("""COMPUTED_VALUE"""),93.07209611102007)</f>
        <v>93.07209611</v>
      </c>
      <c r="AD244" s="363"/>
      <c r="AE244" s="100"/>
      <c r="AF244" s="364">
        <f>IFERROR(__xludf.DUMMYFUNCTION("""COMPUTED_VALUE"""),1093.0)</f>
        <v>1093</v>
      </c>
      <c r="AG244" s="98" t="str">
        <f>IFERROR(__xludf.DUMMYFUNCTION("""COMPUTED_VALUE"""),"Team splicing at the fault point")</f>
        <v>Team splicing at the fault point</v>
      </c>
      <c r="AH244" s="98"/>
      <c r="AI244" s="98"/>
      <c r="AJ244" s="98" t="str">
        <f>IFERROR(__xludf.DUMMYFUNCTION("""COMPUTED_VALUE"""),"Loss_Power_Loss AC of RRU extend, small cell")</f>
        <v>Loss_Power_Loss AC of RRU extend, small cell</v>
      </c>
      <c r="AK244" s="98" t="str">
        <f>IFERROR(__xludf.DUMMYFUNCTION("""COMPUTED_VALUE"""),"Grid fail and small cell down")</f>
        <v>Grid fail and small cell down</v>
      </c>
      <c r="AL244" s="364">
        <f>IFERROR(__xludf.DUMMYFUNCTION("""COMPUTED_VALUE"""),0.0)</f>
        <v>0</v>
      </c>
      <c r="AM244" s="364">
        <f>IFERROR(__xludf.DUMMYFUNCTION("""COMPUTED_VALUE"""),0.0)</f>
        <v>0</v>
      </c>
    </row>
    <row r="245">
      <c r="A245" s="98">
        <f>IFERROR(__xludf.DUMMYFUNCTION("""COMPUTED_VALUE"""),242.0)</f>
        <v>242</v>
      </c>
      <c r="B245" s="98" t="str">
        <f>IFERROR(__xludf.DUMMYFUNCTION("""COMPUTED_VALUE"""),"TNI0212")</f>
        <v>TNI0212</v>
      </c>
      <c r="C245" s="98" t="str">
        <f>IFERROR(__xludf.DUMMYFUNCTION("""COMPUTED_VALUE"""),"C")</f>
        <v>C</v>
      </c>
      <c r="D245" s="98" t="str">
        <f>IFERROR(__xludf.DUMMYFUNCTION("""COMPUTED_VALUE"""),"Mytel")</f>
        <v>Mytel</v>
      </c>
      <c r="E245" s="98" t="str">
        <f>IFERROR(__xludf.DUMMYFUNCTION("""COMPUTED_VALUE"""),"T3")</f>
        <v>T3</v>
      </c>
      <c r="F245" s="98" t="str">
        <f>IFERROR(__xludf.DUMMYFUNCTION("""COMPUTED_VALUE"""),"Tanintharyi")</f>
        <v>Tanintharyi</v>
      </c>
      <c r="G245" s="98" t="str">
        <f>IFERROR(__xludf.DUMMYFUNCTION("""COMPUTED_VALUE"""),"Myint Ko Ko Aung")</f>
        <v>Myint Ko Ko Aung</v>
      </c>
      <c r="H245" s="98"/>
      <c r="I245" s="98"/>
      <c r="J245" s="98"/>
      <c r="K245" s="362">
        <f>IFERROR(__xludf.DUMMYFUNCTION("""COMPUTED_VALUE"""),90.0)</f>
        <v>90</v>
      </c>
      <c r="L245" s="98" t="str">
        <f>IFERROR(__xludf.DUMMYFUNCTION("""COMPUTED_VALUE"""),"24*7")</f>
        <v>24*7</v>
      </c>
      <c r="M245" s="98" t="str">
        <f>IFERROR(__xludf.DUMMYFUNCTION("""COMPUTED_VALUE"""),"1DG+Solar+Grid+BB")</f>
        <v>1DG+Solar+Grid+BB</v>
      </c>
      <c r="N245" s="98" t="str">
        <f>IFERROR(__xludf.DUMMYFUNCTION("""COMPUTED_VALUE"""),"286")</f>
        <v>286</v>
      </c>
      <c r="O245" s="363"/>
      <c r="P245" s="98"/>
      <c r="Q245" s="98"/>
      <c r="R245" s="100"/>
      <c r="S245" s="363"/>
      <c r="T245" s="100"/>
      <c r="U245" s="98"/>
      <c r="V245" s="100"/>
      <c r="W245" s="98"/>
      <c r="X245" s="363"/>
      <c r="Y245" s="100"/>
      <c r="Z245" s="363"/>
      <c r="AA245" s="98"/>
      <c r="AB245" s="363">
        <f>IFERROR(__xludf.DUMMYFUNCTION("""COMPUTED_VALUE"""),46184.064317129625)</f>
        <v>46184.06432</v>
      </c>
      <c r="AC245" s="100">
        <f>IFERROR(__xludf.DUMMYFUNCTION("""COMPUTED_VALUE"""),521.0857072220533)</f>
        <v>521.0857072</v>
      </c>
      <c r="AD245" s="363"/>
      <c r="AE245" s="100"/>
      <c r="AF245" s="364">
        <f>IFERROR(__xludf.DUMMYFUNCTION("""COMPUTED_VALUE"""),665.0)</f>
        <v>665</v>
      </c>
      <c r="AG245" s="98" t="str">
        <f>IFERROR(__xludf.DUMMYFUNCTION("""COMPUTED_VALUE"""),"Ground condition not good")</f>
        <v>Ground condition not good</v>
      </c>
      <c r="AH245" s="98"/>
      <c r="AI245" s="98" t="str">
        <f>IFERROR(__xludf.DUMMYFUNCTION("""COMPUTED_VALUE"""),"Need to change CPRI and team cannot climb tower due to Local team not approve")</f>
        <v>Need to change CPRI and team cannot climb tower due to Local team not approve</v>
      </c>
      <c r="AJ245" s="98" t="str">
        <f>IFERROR(__xludf.DUMMYFUNCTION("""COMPUTED_VALUE"""),"Equip_ Data Cable Error (Y-Link,CPRI,Bus)")</f>
        <v>Equip_ Data Cable Error (Y-Link,CPRI,Bus)</v>
      </c>
      <c r="AK245" s="98" t="str">
        <f>IFERROR(__xludf.DUMMYFUNCTION("""COMPUTED_VALUE"""),"Unsafe&gt;1800 S1 down &gt;&gt;.need to check CPRI and module")</f>
        <v>Unsafe&gt;1800 S1 down &gt;&gt;.need to check CPRI and module</v>
      </c>
      <c r="AL245" s="364">
        <f>IFERROR(__xludf.DUMMYFUNCTION("""COMPUTED_VALUE"""),0.0)</f>
        <v>0</v>
      </c>
      <c r="AM245" s="364">
        <f>IFERROR(__xludf.DUMMYFUNCTION("""COMPUTED_VALUE"""),0.0)</f>
        <v>0</v>
      </c>
    </row>
    <row r="246">
      <c r="A246" s="98">
        <f>IFERROR(__xludf.DUMMYFUNCTION("""COMPUTED_VALUE"""),243.0)</f>
        <v>243</v>
      </c>
      <c r="B246" s="98" t="str">
        <f>IFERROR(__xludf.DUMMYFUNCTION("""COMPUTED_VALUE"""),"TNI0416")</f>
        <v>TNI0416</v>
      </c>
      <c r="C246" s="98" t="str">
        <f>IFERROR(__xludf.DUMMYFUNCTION("""COMPUTED_VALUE"""),"C")</f>
        <v>C</v>
      </c>
      <c r="D246" s="98" t="str">
        <f>IFERROR(__xludf.DUMMYFUNCTION("""COMPUTED_VALUE"""),"NTD")</f>
        <v>NTD</v>
      </c>
      <c r="E246" s="98" t="str">
        <f>IFERROR(__xludf.DUMMYFUNCTION("""COMPUTED_VALUE"""),"T3")</f>
        <v>T3</v>
      </c>
      <c r="F246" s="98" t="str">
        <f>IFERROR(__xludf.DUMMYFUNCTION("""COMPUTED_VALUE"""),"Bokpyin")</f>
        <v>Bokpyin</v>
      </c>
      <c r="G246" s="98" t="str">
        <f>IFERROR(__xludf.DUMMYFUNCTION("""COMPUTED_VALUE"""),"Khant Si Thu")</f>
        <v>Khant Si Thu</v>
      </c>
      <c r="H246" s="98"/>
      <c r="I246" s="98"/>
      <c r="J246" s="98"/>
      <c r="K246" s="362">
        <f>IFERROR(__xludf.DUMMYFUNCTION("""COMPUTED_VALUE"""),120.0)</f>
        <v>120</v>
      </c>
      <c r="L246" s="98" t="str">
        <f>IFERROR(__xludf.DUMMYFUNCTION("""COMPUTED_VALUE"""),"6PM-6AM")</f>
        <v>6PM-6AM</v>
      </c>
      <c r="M246" s="98" t="str">
        <f>IFERROR(__xludf.DUMMYFUNCTION("""COMPUTED_VALUE"""),"1DG+BB")</f>
        <v>1DG+BB</v>
      </c>
      <c r="N246" s="98" t="str">
        <f>IFERROR(__xludf.DUMMYFUNCTION("""COMPUTED_VALUE"""),"ok")</f>
        <v>ok</v>
      </c>
      <c r="O246" s="363"/>
      <c r="P246" s="98"/>
      <c r="Q246" s="98" t="str">
        <f>IFERROR(__xludf.DUMMYFUNCTION("""COMPUTED_VALUE""")," Door open alarm: 09/06/2026 15:51")</f>
        <v> Door open alarm: 09/06/2026 15:51</v>
      </c>
      <c r="R246" s="100">
        <f>IFERROR(__xludf.DUMMYFUNCTION("""COMPUTED_VALUE"""),553.47)</f>
        <v>553.47</v>
      </c>
      <c r="S246" s="363"/>
      <c r="T246" s="100"/>
      <c r="U246" s="98"/>
      <c r="V246" s="100"/>
      <c r="W246" s="98"/>
      <c r="X246" s="363"/>
      <c r="Y246" s="100"/>
      <c r="Z246" s="363"/>
      <c r="AA246" s="98"/>
      <c r="AB246" s="363"/>
      <c r="AC246" s="100"/>
      <c r="AD246" s="363"/>
      <c r="AE246" s="100"/>
      <c r="AF246" s="364">
        <f>IFERROR(__xludf.DUMMYFUNCTION("""COMPUTED_VALUE"""),2033.0)</f>
        <v>2033</v>
      </c>
      <c r="AG246" s="98" t="str">
        <f>IFERROR(__xludf.DUMMYFUNCTION("""COMPUTED_VALUE"""),"Hub site TNI0417 down")</f>
        <v>Hub site TNI0417 down</v>
      </c>
      <c r="AH246" s="98" t="str">
        <f>IFERROR(__xludf.DUMMYFUNCTION("""COMPUTED_VALUE"""),"T-NYC")</f>
        <v>T-NYC</v>
      </c>
      <c r="AI246" s="98"/>
      <c r="AJ246" s="98"/>
      <c r="AK246" s="98"/>
      <c r="AL246" s="364">
        <f>IFERROR(__xludf.DUMMYFUNCTION("""COMPUTED_VALUE"""),0.0)</f>
        <v>0</v>
      </c>
      <c r="AM246" s="364">
        <f>IFERROR(__xludf.DUMMYFUNCTION("""COMPUTED_VALUE"""),0.0)</f>
        <v>0</v>
      </c>
    </row>
    <row r="247">
      <c r="A247" s="98">
        <f>IFERROR(__xludf.DUMMYFUNCTION("""COMPUTED_VALUE"""),244.0)</f>
        <v>244</v>
      </c>
      <c r="B247" s="98" t="str">
        <f>IFERROR(__xludf.DUMMYFUNCTION("""COMPUTED_VALUE"""),"TNI0340")</f>
        <v>TNI0340</v>
      </c>
      <c r="C247" s="98" t="str">
        <f>IFERROR(__xludf.DUMMYFUNCTION("""COMPUTED_VALUE"""),"C")</f>
        <v>C</v>
      </c>
      <c r="D247" s="98" t="str">
        <f>IFERROR(__xludf.DUMMYFUNCTION("""COMPUTED_VALUE"""),"PAT")</f>
        <v>PAT</v>
      </c>
      <c r="E247" s="98" t="str">
        <f>IFERROR(__xludf.DUMMYFUNCTION("""COMPUTED_VALUE"""),"T3")</f>
        <v>T3</v>
      </c>
      <c r="F247" s="98" t="str">
        <f>IFERROR(__xludf.DUMMYFUNCTION("""COMPUTED_VALUE"""),"Bokpyin")</f>
        <v>Bokpyin</v>
      </c>
      <c r="G247" s="98" t="str">
        <f>IFERROR(__xludf.DUMMYFUNCTION("""COMPUTED_VALUE"""),"Si Thu Htun")</f>
        <v>Si Thu Htun</v>
      </c>
      <c r="H247" s="98"/>
      <c r="I247" s="98"/>
      <c r="J247" s="98"/>
      <c r="K247" s="362">
        <f>IFERROR(__xludf.DUMMYFUNCTION("""COMPUTED_VALUE"""),30.0)</f>
        <v>30</v>
      </c>
      <c r="L247" s="98" t="str">
        <f>IFERROR(__xludf.DUMMYFUNCTION("""COMPUTED_VALUE"""),"6PM-6AM")</f>
        <v>6PM-6AM</v>
      </c>
      <c r="M247" s="98" t="str">
        <f>IFERROR(__xludf.DUMMYFUNCTION("""COMPUTED_VALUE"""),"1DG+BB")</f>
        <v>1DG+BB</v>
      </c>
      <c r="N247" s="98" t="str">
        <f>IFERROR(__xludf.DUMMYFUNCTION("""COMPUTED_VALUE"""),"ok")</f>
        <v>ok</v>
      </c>
      <c r="O247" s="363"/>
      <c r="P247" s="98"/>
      <c r="Q247" s="98"/>
      <c r="R247" s="100"/>
      <c r="S247" s="363"/>
      <c r="T247" s="100"/>
      <c r="U247" s="98"/>
      <c r="V247" s="100"/>
      <c r="W247" s="98"/>
      <c r="X247" s="363"/>
      <c r="Y247" s="100"/>
      <c r="Z247" s="363"/>
      <c r="AA247" s="98"/>
      <c r="AB247" s="363"/>
      <c r="AC247" s="100"/>
      <c r="AD247" s="363"/>
      <c r="AE247" s="100"/>
      <c r="AF247" s="364">
        <f>IFERROR(__xludf.DUMMYFUNCTION("""COMPUTED_VALUE"""),756.0)</f>
        <v>756</v>
      </c>
      <c r="AG247" s="98" t="str">
        <f>IFERROR(__xludf.DUMMYFUNCTION("""COMPUTED_VALUE"""),"HUB site TNI0310 down and HUB site TNI0425 down")</f>
        <v>HUB site TNI0310 down and HUB site TNI0425 down</v>
      </c>
      <c r="AH247" s="98"/>
      <c r="AI247" s="98"/>
      <c r="AJ247" s="98"/>
      <c r="AK247" s="98"/>
      <c r="AL247" s="364">
        <f>IFERROR(__xludf.DUMMYFUNCTION("""COMPUTED_VALUE"""),0.0)</f>
        <v>0</v>
      </c>
      <c r="AM247" s="364">
        <f>IFERROR(__xludf.DUMMYFUNCTION("""COMPUTED_VALUE"""),0.0)</f>
        <v>0</v>
      </c>
    </row>
    <row r="248">
      <c r="A248" s="98">
        <f>IFERROR(__xludf.DUMMYFUNCTION("""COMPUTED_VALUE"""),245.0)</f>
        <v>245</v>
      </c>
      <c r="B248" s="98" t="str">
        <f>IFERROR(__xludf.DUMMYFUNCTION("""COMPUTED_VALUE"""),"TNI0402")</f>
        <v>TNI0402</v>
      </c>
      <c r="C248" s="98" t="str">
        <f>IFERROR(__xludf.DUMMYFUNCTION("""COMPUTED_VALUE"""),"C")</f>
        <v>C</v>
      </c>
      <c r="D248" s="98" t="str">
        <f>IFERROR(__xludf.DUMMYFUNCTION("""COMPUTED_VALUE"""),"TIP")</f>
        <v>TIP</v>
      </c>
      <c r="E248" s="98" t="str">
        <f>IFERROR(__xludf.DUMMYFUNCTION("""COMPUTED_VALUE"""),"T3")</f>
        <v>T3</v>
      </c>
      <c r="F248" s="98" t="str">
        <f>IFERROR(__xludf.DUMMYFUNCTION("""COMPUTED_VALUE"""),"Bokpyin")</f>
        <v>Bokpyin</v>
      </c>
      <c r="G248" s="98" t="str">
        <f>IFERROR(__xludf.DUMMYFUNCTION("""COMPUTED_VALUE"""),"Khant Si Thu")</f>
        <v>Khant Si Thu</v>
      </c>
      <c r="H248" s="98" t="str">
        <f>IFERROR(__xludf.DUMMYFUNCTION("""COMPUTED_VALUE"""),"Ko Latt: 09664299892")</f>
        <v>Ko Latt: 09664299892</v>
      </c>
      <c r="I248" s="98"/>
      <c r="J248" s="98"/>
      <c r="K248" s="362">
        <f>IFERROR(__xludf.DUMMYFUNCTION("""COMPUTED_VALUE"""),180.0)</f>
        <v>180</v>
      </c>
      <c r="L248" s="98" t="str">
        <f>IFERROR(__xludf.DUMMYFUNCTION("""COMPUTED_VALUE"""),"6PM-6AM")</f>
        <v>6PM-6AM</v>
      </c>
      <c r="M248" s="98" t="str">
        <f>IFERROR(__xludf.DUMMYFUNCTION("""COMPUTED_VALUE"""),"1DG+BB")</f>
        <v>1DG+BB</v>
      </c>
      <c r="N248" s="98" t="str">
        <f>IFERROR(__xludf.DUMMYFUNCTION("""COMPUTED_VALUE"""),"0")</f>
        <v>0</v>
      </c>
      <c r="O248" s="363"/>
      <c r="P248" s="98"/>
      <c r="Q248" s="98"/>
      <c r="R248" s="100"/>
      <c r="S248" s="363"/>
      <c r="T248" s="100"/>
      <c r="U248" s="98"/>
      <c r="V248" s="100"/>
      <c r="W248" s="98"/>
      <c r="X248" s="363"/>
      <c r="Y248" s="100"/>
      <c r="Z248" s="363"/>
      <c r="AA248" s="98"/>
      <c r="AB248" s="363"/>
      <c r="AC248" s="100"/>
      <c r="AD248" s="363"/>
      <c r="AE248" s="100"/>
      <c r="AF248" s="364">
        <f>IFERROR(__xludf.DUMMYFUNCTION("""COMPUTED_VALUE"""),955.0)</f>
        <v>955</v>
      </c>
      <c r="AG248" s="98" t="str">
        <f>IFERROR(__xludf.DUMMYFUNCTION("""COMPUTED_VALUE"""),"Hub site TNI0417 down")</f>
        <v>Hub site TNI0417 down</v>
      </c>
      <c r="AH248" s="98"/>
      <c r="AI248" s="98"/>
      <c r="AJ248" s="98"/>
      <c r="AK248" s="98"/>
      <c r="AL248" s="364">
        <f>IFERROR(__xludf.DUMMYFUNCTION("""COMPUTED_VALUE"""),0.0)</f>
        <v>0</v>
      </c>
      <c r="AM248" s="364">
        <f>IFERROR(__xludf.DUMMYFUNCTION("""COMPUTED_VALUE"""),0.0)</f>
        <v>0</v>
      </c>
    </row>
    <row r="249">
      <c r="A249" s="98">
        <f>IFERROR(__xludf.DUMMYFUNCTION("""COMPUTED_VALUE"""),246.0)</f>
        <v>246</v>
      </c>
      <c r="B249" s="98" t="str">
        <f>IFERROR(__xludf.DUMMYFUNCTION("""COMPUTED_VALUE"""),"TNI0310")</f>
        <v>TNI0310</v>
      </c>
      <c r="C249" s="98" t="str">
        <f>IFERROR(__xludf.DUMMYFUNCTION("""COMPUTED_VALUE"""),"C")</f>
        <v>C</v>
      </c>
      <c r="D249" s="98" t="str">
        <f>IFERROR(__xludf.DUMMYFUNCTION("""COMPUTED_VALUE"""),"MEC")</f>
        <v>MEC</v>
      </c>
      <c r="E249" s="98" t="str">
        <f>IFERROR(__xludf.DUMMYFUNCTION("""COMPUTED_VALUE"""),"T3")</f>
        <v>T3</v>
      </c>
      <c r="F249" s="98" t="str">
        <f>IFERROR(__xludf.DUMMYFUNCTION("""COMPUTED_VALUE"""),"Bokpyin")</f>
        <v>Bokpyin</v>
      </c>
      <c r="G249" s="98" t="str">
        <f>IFERROR(__xludf.DUMMYFUNCTION("""COMPUTED_VALUE"""),"Si Thu Htun")</f>
        <v>Si Thu Htun</v>
      </c>
      <c r="H249" s="98"/>
      <c r="I249" s="98"/>
      <c r="J249" s="98"/>
      <c r="K249" s="362">
        <f>IFERROR(__xludf.DUMMYFUNCTION("""COMPUTED_VALUE"""),30.0)</f>
        <v>30</v>
      </c>
      <c r="L249" s="98" t="str">
        <f>IFERROR(__xludf.DUMMYFUNCTION("""COMPUTED_VALUE"""),"6PM-6AM")</f>
        <v>6PM-6AM</v>
      </c>
      <c r="M249" s="98" t="str">
        <f>IFERROR(__xludf.DUMMYFUNCTION("""COMPUTED_VALUE"""),"1DG+Solar+BB")</f>
        <v>1DG+Solar+BB</v>
      </c>
      <c r="N249" s="98" t="str">
        <f>IFERROR(__xludf.DUMMYFUNCTION("""COMPUTED_VALUE"""),"347")</f>
        <v>347</v>
      </c>
      <c r="O249" s="363"/>
      <c r="P249" s="98"/>
      <c r="Q249" s="98"/>
      <c r="R249" s="100"/>
      <c r="S249" s="363"/>
      <c r="T249" s="100"/>
      <c r="U249" s="98"/>
      <c r="V249" s="100"/>
      <c r="W249" s="98"/>
      <c r="X249" s="363"/>
      <c r="Y249" s="100"/>
      <c r="Z249" s="363"/>
      <c r="AA249" s="98"/>
      <c r="AB249" s="363"/>
      <c r="AC249" s="100"/>
      <c r="AD249" s="363"/>
      <c r="AE249" s="100"/>
      <c r="AF249" s="364">
        <f>IFERROR(__xludf.DUMMYFUNCTION("""COMPUTED_VALUE"""),1148.0)</f>
        <v>1148</v>
      </c>
      <c r="AG249" s="98" t="str">
        <f>IFERROR(__xludf.DUMMYFUNCTION("""COMPUTED_VALUE"""),"ETA 9:45 AM")</f>
        <v>ETA 9:45 AM</v>
      </c>
      <c r="AH249" s="98"/>
      <c r="AI249" s="98"/>
      <c r="AJ249" s="98"/>
      <c r="AK249" s="98"/>
      <c r="AL249" s="364">
        <f>IFERROR(__xludf.DUMMYFUNCTION("""COMPUTED_VALUE"""),0.0)</f>
        <v>0</v>
      </c>
      <c r="AM249" s="364">
        <f>IFERROR(__xludf.DUMMYFUNCTION("""COMPUTED_VALUE"""),0.0)</f>
        <v>0</v>
      </c>
    </row>
    <row r="250">
      <c r="A250" s="98">
        <f>IFERROR(__xludf.DUMMYFUNCTION("""COMPUTED_VALUE"""),247.0)</f>
        <v>247</v>
      </c>
      <c r="B250" s="98" t="str">
        <f>IFERROR(__xludf.DUMMYFUNCTION("""COMPUTED_VALUE"""),"TNI0124")</f>
        <v>TNI0124</v>
      </c>
      <c r="C250" s="98" t="str">
        <f>IFERROR(__xludf.DUMMYFUNCTION("""COMPUTED_VALUE"""),"C")</f>
        <v>C</v>
      </c>
      <c r="D250" s="98" t="str">
        <f>IFERROR(__xludf.DUMMYFUNCTION("""COMPUTED_VALUE"""),"MEC.PNC")</f>
        <v>MEC.PNC</v>
      </c>
      <c r="E250" s="98" t="str">
        <f>IFERROR(__xludf.DUMMYFUNCTION("""COMPUTED_VALUE"""),"T3")</f>
        <v>T3</v>
      </c>
      <c r="F250" s="98" t="str">
        <f>IFERROR(__xludf.DUMMYFUNCTION("""COMPUTED_VALUE"""),"Bokpyin")</f>
        <v>Bokpyin</v>
      </c>
      <c r="G250" s="98" t="str">
        <f>IFERROR(__xludf.DUMMYFUNCTION("""COMPUTED_VALUE"""),"Si Thu Htun")</f>
        <v>Si Thu Htun</v>
      </c>
      <c r="H250" s="98"/>
      <c r="I250" s="98"/>
      <c r="J250" s="98"/>
      <c r="K250" s="362">
        <f>IFERROR(__xludf.DUMMYFUNCTION("""COMPUTED_VALUE"""),150.0)</f>
        <v>150</v>
      </c>
      <c r="L250" s="98" t="str">
        <f>IFERROR(__xludf.DUMMYFUNCTION("""COMPUTED_VALUE"""),"6PM-6AM")</f>
        <v>6PM-6AM</v>
      </c>
      <c r="M250" s="98" t="str">
        <f>IFERROR(__xludf.DUMMYFUNCTION("""COMPUTED_VALUE"""),"1DG+Solar+Grid+BB")</f>
        <v>1DG+Solar+Grid+BB</v>
      </c>
      <c r="N250" s="98" t="str">
        <f>IFERROR(__xludf.DUMMYFUNCTION("""COMPUTED_VALUE"""),"ok")</f>
        <v>ok</v>
      </c>
      <c r="O250" s="363"/>
      <c r="P250" s="98"/>
      <c r="Q250" s="98" t="str">
        <f>IFERROR(__xludf.DUMMYFUNCTION("""COMPUTED_VALUE""")," +Door Alarm: 08/06/2026 14:14")</f>
        <v> +Door Alarm: 08/06/2026 14:14</v>
      </c>
      <c r="R250" s="100">
        <f>IFERROR(__xludf.DUMMYFUNCTION("""COMPUTED_VALUE"""),579.09)</f>
        <v>579.09</v>
      </c>
      <c r="S250" s="363">
        <f>IFERROR(__xludf.DUMMYFUNCTION("""COMPUTED_VALUE"""),46205.68585648148)</f>
        <v>46205.68586</v>
      </c>
      <c r="T250" s="100">
        <f>IFERROR(__xludf.DUMMYFUNCTION("""COMPUTED_VALUE"""),2.16876277764095)</f>
        <v>2.168762778</v>
      </c>
      <c r="U250" s="98"/>
      <c r="V250" s="100"/>
      <c r="W250" s="98"/>
      <c r="X250" s="363"/>
      <c r="Y250" s="100"/>
      <c r="Z250" s="363"/>
      <c r="AA250" s="98"/>
      <c r="AB250" s="363"/>
      <c r="AC250" s="100"/>
      <c r="AD250" s="363"/>
      <c r="AE250" s="100"/>
      <c r="AF250" s="364">
        <f>IFERROR(__xludf.DUMMYFUNCTION("""COMPUTED_VALUE"""),1201.0)</f>
        <v>1201</v>
      </c>
      <c r="AG250" s="98" t="str">
        <f>IFERROR(__xludf.DUMMYFUNCTION("""COMPUTED_VALUE"""),"ETA 12:30 PM")</f>
        <v>ETA 12:30 PM</v>
      </c>
      <c r="AH250" s="98"/>
      <c r="AI250" s="98"/>
      <c r="AJ250" s="98"/>
      <c r="AK250" s="98"/>
      <c r="AL250" s="364">
        <f>IFERROR(__xludf.DUMMYFUNCTION("""COMPUTED_VALUE"""),0.0)</f>
        <v>0</v>
      </c>
      <c r="AM250" s="364">
        <f>IFERROR(__xludf.DUMMYFUNCTION("""COMPUTED_VALUE"""),0.0)</f>
        <v>0</v>
      </c>
    </row>
    <row r="251">
      <c r="A251" s="98">
        <f>IFERROR(__xludf.DUMMYFUNCTION("""COMPUTED_VALUE"""),248.0)</f>
        <v>248</v>
      </c>
      <c r="B251" s="98" t="str">
        <f>IFERROR(__xludf.DUMMYFUNCTION("""COMPUTED_VALUE"""),"TNI0009")</f>
        <v>TNI0009</v>
      </c>
      <c r="C251" s="98" t="str">
        <f>IFERROR(__xludf.DUMMYFUNCTION("""COMPUTED_VALUE"""),"A")</f>
        <v>A</v>
      </c>
      <c r="D251" s="98" t="str">
        <f>IFERROR(__xludf.DUMMYFUNCTION("""COMPUTED_VALUE"""),"Mytel")</f>
        <v>Mytel</v>
      </c>
      <c r="E251" s="98" t="str">
        <f>IFERROR(__xludf.DUMMYFUNCTION("""COMPUTED_VALUE"""),"T3")</f>
        <v>T3</v>
      </c>
      <c r="F251" s="98" t="str">
        <f>IFERROR(__xludf.DUMMYFUNCTION("""COMPUTED_VALUE"""),"Bokpyin")</f>
        <v>Bokpyin</v>
      </c>
      <c r="G251" s="98" t="str">
        <f>IFERROR(__xludf.DUMMYFUNCTION("""COMPUTED_VALUE"""),"Si Thu Htun")</f>
        <v>Si Thu Htun</v>
      </c>
      <c r="H251" s="98" t="str">
        <f>IFERROR(__xludf.DUMMYFUNCTION("""COMPUTED_VALUE"""),"Aung Myo Naing: 09666655385")</f>
        <v>Aung Myo Naing: 09666655385</v>
      </c>
      <c r="I251" s="98"/>
      <c r="J251" s="98"/>
      <c r="K251" s="362">
        <f>IFERROR(__xludf.DUMMYFUNCTION("""COMPUTED_VALUE"""),60.0)</f>
        <v>60</v>
      </c>
      <c r="L251" s="98" t="str">
        <f>IFERROR(__xludf.DUMMYFUNCTION("""COMPUTED_VALUE"""),"6PM-6AM")</f>
        <v>6PM-6AM</v>
      </c>
      <c r="M251" s="98" t="str">
        <f>IFERROR(__xludf.DUMMYFUNCTION("""COMPUTED_VALUE"""),"2DG+BB")</f>
        <v>2DG+BB</v>
      </c>
      <c r="N251" s="98" t="str">
        <f>IFERROR(__xludf.DUMMYFUNCTION("""COMPUTED_VALUE"""),"0")</f>
        <v>0</v>
      </c>
      <c r="O251" s="363"/>
      <c r="P251" s="98"/>
      <c r="Q251" s="98" t="str">
        <f>IFERROR(__xludf.DUMMYFUNCTION("""COMPUTED_VALUE""")," DG Door: 21/09/2025 12:34")</f>
        <v> DG Door: 21/09/2025 12:34</v>
      </c>
      <c r="R251" s="100">
        <f>IFERROR(__xludf.DUMMYFUNCTION("""COMPUTED_VALUE"""),6820.76)</f>
        <v>6820.76</v>
      </c>
      <c r="S251" s="363">
        <f>IFERROR(__xludf.DUMMYFUNCTION("""COMPUTED_VALUE"""),46205.50871527778)</f>
        <v>46205.50872</v>
      </c>
      <c r="T251" s="100">
        <f>IFERROR(__xludf.DUMMYFUNCTION("""COMPUTED_VALUE"""),6.42015166656347)</f>
        <v>6.420151667</v>
      </c>
      <c r="U251" s="98"/>
      <c r="V251" s="100"/>
      <c r="W251" s="98"/>
      <c r="X251" s="363"/>
      <c r="Y251" s="100"/>
      <c r="Z251" s="363"/>
      <c r="AA251" s="98"/>
      <c r="AB251" s="363"/>
      <c r="AC251" s="100"/>
      <c r="AD251" s="363"/>
      <c r="AE251" s="100"/>
      <c r="AF251" s="364">
        <f>IFERROR(__xludf.DUMMYFUNCTION("""COMPUTED_VALUE"""),2133.0)</f>
        <v>2133</v>
      </c>
      <c r="AG251" s="98" t="str">
        <f>IFERROR(__xludf.DUMMYFUNCTION("""COMPUTED_VALUE"""),"TCO ETA 6 AM")</f>
        <v>TCO ETA 6 AM</v>
      </c>
      <c r="AH251" s="98"/>
      <c r="AI251" s="98"/>
      <c r="AJ251" s="98"/>
      <c r="AK251" s="98"/>
      <c r="AL251" s="364">
        <f>IFERROR(__xludf.DUMMYFUNCTION("""COMPUTED_VALUE"""),0.0)</f>
        <v>0</v>
      </c>
      <c r="AM251" s="364">
        <f>IFERROR(__xludf.DUMMYFUNCTION("""COMPUTED_VALUE"""),0.0)</f>
        <v>0</v>
      </c>
    </row>
    <row r="252">
      <c r="A252" s="98">
        <f>IFERROR(__xludf.DUMMYFUNCTION("""COMPUTED_VALUE"""),249.0)</f>
        <v>249</v>
      </c>
      <c r="B252" s="98" t="str">
        <f>IFERROR(__xludf.DUMMYFUNCTION("""COMPUTED_VALUE"""),"TNI0345_01")</f>
        <v>TNI0345_01</v>
      </c>
      <c r="C252" s="98" t="str">
        <f>IFERROR(__xludf.DUMMYFUNCTION("""COMPUTED_VALUE"""),"C")</f>
        <v>C</v>
      </c>
      <c r="D252" s="98" t="str">
        <f>IFERROR(__xludf.DUMMYFUNCTION("""COMPUTED_VALUE"""),"Mytel")</f>
        <v>Mytel</v>
      </c>
      <c r="E252" s="98" t="str">
        <f>IFERROR(__xludf.DUMMYFUNCTION("""COMPUTED_VALUE"""),"T3")</f>
        <v>T3</v>
      </c>
      <c r="F252" s="98" t="str">
        <f>IFERROR(__xludf.DUMMYFUNCTION("""COMPUTED_VALUE"""),"Bokpyin")</f>
        <v>Bokpyin</v>
      </c>
      <c r="G252" s="98" t="str">
        <f>IFERROR(__xludf.DUMMYFUNCTION("""COMPUTED_VALUE"""),"Si Thu Htun")</f>
        <v>Si Thu Htun</v>
      </c>
      <c r="H252" s="98"/>
      <c r="I252" s="98"/>
      <c r="J252" s="98"/>
      <c r="K252" s="362">
        <f>IFERROR(__xludf.DUMMYFUNCTION("""COMPUTED_VALUE"""),90.0)</f>
        <v>90</v>
      </c>
      <c r="L252" s="98" t="str">
        <f>IFERROR(__xludf.DUMMYFUNCTION("""COMPUTED_VALUE"""),"6PM-6AM")</f>
        <v>6PM-6AM</v>
      </c>
      <c r="M252" s="98" t="str">
        <f>IFERROR(__xludf.DUMMYFUNCTION("""COMPUTED_VALUE"""),"1DG+BB")</f>
        <v>1DG+BB</v>
      </c>
      <c r="N252" s="98" t="str">
        <f>IFERROR(__xludf.DUMMYFUNCTION("""COMPUTED_VALUE"""),"244")</f>
        <v>244</v>
      </c>
      <c r="O252" s="363"/>
      <c r="P252" s="98"/>
      <c r="Q252" s="98"/>
      <c r="R252" s="100"/>
      <c r="S252" s="363"/>
      <c r="T252" s="100"/>
      <c r="U252" s="98"/>
      <c r="V252" s="100"/>
      <c r="W252" s="98"/>
      <c r="X252" s="363"/>
      <c r="Y252" s="100"/>
      <c r="Z252" s="363"/>
      <c r="AA252" s="98"/>
      <c r="AB252" s="363"/>
      <c r="AC252" s="100"/>
      <c r="AD252" s="363"/>
      <c r="AE252" s="100"/>
      <c r="AF252" s="364">
        <f>IFERROR(__xludf.DUMMYFUNCTION("""COMPUTED_VALUE"""),396.0)</f>
        <v>396</v>
      </c>
      <c r="AG252" s="98" t="str">
        <f>IFERROR(__xludf.DUMMYFUNCTION("""COMPUTED_VALUE"""),"Unsafe")</f>
        <v>Unsafe</v>
      </c>
      <c r="AH252" s="98"/>
      <c r="AI252" s="98"/>
      <c r="AJ252" s="98"/>
      <c r="AK252" s="98"/>
      <c r="AL252" s="364">
        <f>IFERROR(__xludf.DUMMYFUNCTION("""COMPUTED_VALUE"""),0.0)</f>
        <v>0</v>
      </c>
      <c r="AM252" s="364">
        <f>IFERROR(__xludf.DUMMYFUNCTION("""COMPUTED_VALUE"""),0.0)</f>
        <v>0</v>
      </c>
    </row>
    <row r="253">
      <c r="A253" s="98">
        <f>IFERROR(__xludf.DUMMYFUNCTION("""COMPUTED_VALUE"""),250.0)</f>
        <v>250</v>
      </c>
      <c r="B253" s="98" t="str">
        <f>IFERROR(__xludf.DUMMYFUNCTION("""COMPUTED_VALUE"""),"TNI0425")</f>
        <v>TNI0425</v>
      </c>
      <c r="C253" s="98" t="str">
        <f>IFERROR(__xludf.DUMMYFUNCTION("""COMPUTED_VALUE"""),"C")</f>
        <v>C</v>
      </c>
      <c r="D253" s="98" t="str">
        <f>IFERROR(__xludf.DUMMYFUNCTION("""COMPUTED_VALUE"""),"NTD")</f>
        <v>NTD</v>
      </c>
      <c r="E253" s="98" t="str">
        <f>IFERROR(__xludf.DUMMYFUNCTION("""COMPUTED_VALUE"""),"T3")</f>
        <v>T3</v>
      </c>
      <c r="F253" s="98" t="str">
        <f>IFERROR(__xludf.DUMMYFUNCTION("""COMPUTED_VALUE"""),"Bokpyin")</f>
        <v>Bokpyin</v>
      </c>
      <c r="G253" s="98" t="str">
        <f>IFERROR(__xludf.DUMMYFUNCTION("""COMPUTED_VALUE"""),"Khant Si Thu")</f>
        <v>Khant Si Thu</v>
      </c>
      <c r="H253" s="98"/>
      <c r="I253" s="98"/>
      <c r="J253" s="98"/>
      <c r="K253" s="362">
        <f>IFERROR(__xludf.DUMMYFUNCTION("""COMPUTED_VALUE"""),45.0)</f>
        <v>45</v>
      </c>
      <c r="L253" s="98" t="str">
        <f>IFERROR(__xludf.DUMMYFUNCTION("""COMPUTED_VALUE"""),"6PM-6AM")</f>
        <v>6PM-6AM</v>
      </c>
      <c r="M253" s="98" t="str">
        <f>IFERROR(__xludf.DUMMYFUNCTION("""COMPUTED_VALUE"""),"1DG+BB")</f>
        <v>1DG+BB</v>
      </c>
      <c r="N253" s="98" t="str">
        <f>IFERROR(__xludf.DUMMYFUNCTION("""COMPUTED_VALUE"""),"ok")</f>
        <v>ok</v>
      </c>
      <c r="O253" s="363"/>
      <c r="P253" s="98"/>
      <c r="Q253" s="98"/>
      <c r="R253" s="100"/>
      <c r="S253" s="363"/>
      <c r="T253" s="100"/>
      <c r="U253" s="98"/>
      <c r="V253" s="100"/>
      <c r="W253" s="98"/>
      <c r="X253" s="363"/>
      <c r="Y253" s="100"/>
      <c r="Z253" s="363"/>
      <c r="AA253" s="98"/>
      <c r="AB253" s="363"/>
      <c r="AC253" s="100"/>
      <c r="AD253" s="363"/>
      <c r="AE253" s="100"/>
      <c r="AF253" s="364">
        <f>IFERROR(__xludf.DUMMYFUNCTION("""COMPUTED_VALUE"""),1641.0)</f>
        <v>1641</v>
      </c>
      <c r="AG253" s="98" t="str">
        <f>IFERROR(__xludf.DUMMYFUNCTION("""COMPUTED_VALUE"""),"Checking with team")</f>
        <v>Checking with team</v>
      </c>
      <c r="AH253" s="98"/>
      <c r="AI253" s="98"/>
      <c r="AJ253" s="98"/>
      <c r="AK253" s="98"/>
      <c r="AL253" s="364">
        <f>IFERROR(__xludf.DUMMYFUNCTION("""COMPUTED_VALUE"""),0.0)</f>
        <v>0</v>
      </c>
      <c r="AM253" s="364">
        <f>IFERROR(__xludf.DUMMYFUNCTION("""COMPUTED_VALUE"""),0.0)</f>
        <v>0</v>
      </c>
    </row>
    <row r="254">
      <c r="A254" s="98">
        <f>IFERROR(__xludf.DUMMYFUNCTION("""COMPUTED_VALUE"""),251.0)</f>
        <v>251</v>
      </c>
      <c r="B254" s="98" t="str">
        <f>IFERROR(__xludf.DUMMYFUNCTION("""COMPUTED_VALUE"""),"TNI0136")</f>
        <v>TNI0136</v>
      </c>
      <c r="C254" s="98" t="str">
        <f>IFERROR(__xludf.DUMMYFUNCTION("""COMPUTED_VALUE"""),"C")</f>
        <v>C</v>
      </c>
      <c r="D254" s="98" t="str">
        <f>IFERROR(__xludf.DUMMYFUNCTION("""COMPUTED_VALUE"""),"OCK")</f>
        <v>OCK</v>
      </c>
      <c r="E254" s="98" t="str">
        <f>IFERROR(__xludf.DUMMYFUNCTION("""COMPUTED_VALUE"""),"T3")</f>
        <v>T3</v>
      </c>
      <c r="F254" s="98" t="str">
        <f>IFERROR(__xludf.DUMMYFUNCTION("""COMPUTED_VALUE"""),"Bokpyin")</f>
        <v>Bokpyin</v>
      </c>
      <c r="G254" s="98" t="str">
        <f>IFERROR(__xludf.DUMMYFUNCTION("""COMPUTED_VALUE"""),"Si Thu Htun")</f>
        <v>Si Thu Htun</v>
      </c>
      <c r="H254" s="98"/>
      <c r="I254" s="98"/>
      <c r="J254" s="98"/>
      <c r="K254" s="362">
        <f>IFERROR(__xludf.DUMMYFUNCTION("""COMPUTED_VALUE"""),20.0)</f>
        <v>20</v>
      </c>
      <c r="L254" s="98" t="str">
        <f>IFERROR(__xludf.DUMMYFUNCTION("""COMPUTED_VALUE"""),"24*7")</f>
        <v>24*7</v>
      </c>
      <c r="M254" s="98" t="str">
        <f>IFERROR(__xludf.DUMMYFUNCTION("""COMPUTED_VALUE"""),"Grid+BB")</f>
        <v>Grid+BB</v>
      </c>
      <c r="N254" s="98" t="str">
        <f>IFERROR(__xludf.DUMMYFUNCTION("""COMPUTED_VALUE"""),"ok")</f>
        <v>ok</v>
      </c>
      <c r="O254" s="363"/>
      <c r="P254" s="98"/>
      <c r="Q254" s="98"/>
      <c r="R254" s="100"/>
      <c r="S254" s="363"/>
      <c r="T254" s="100"/>
      <c r="U254" s="98"/>
      <c r="V254" s="100"/>
      <c r="W254" s="98"/>
      <c r="X254" s="363"/>
      <c r="Y254" s="100"/>
      <c r="Z254" s="363"/>
      <c r="AA254" s="98"/>
      <c r="AB254" s="363"/>
      <c r="AC254" s="100"/>
      <c r="AD254" s="363"/>
      <c r="AE254" s="100"/>
      <c r="AF254" s="364">
        <f>IFERROR(__xludf.DUMMYFUNCTION("""COMPUTED_VALUE"""),1643.0)</f>
        <v>1643</v>
      </c>
      <c r="AG254" s="98" t="str">
        <f>IFERROR(__xludf.DUMMYFUNCTION("""COMPUTED_VALUE"""),"Grid fail, non DG")</f>
        <v>Grid fail, non DG</v>
      </c>
      <c r="AH254" s="98"/>
      <c r="AI254" s="98"/>
      <c r="AJ254" s="98"/>
      <c r="AK254" s="98"/>
      <c r="AL254" s="364">
        <f>IFERROR(__xludf.DUMMYFUNCTION("""COMPUTED_VALUE"""),0.0)</f>
        <v>0</v>
      </c>
      <c r="AM254" s="364">
        <f>IFERROR(__xludf.DUMMYFUNCTION("""COMPUTED_VALUE"""),0.0)</f>
        <v>0</v>
      </c>
    </row>
    <row r="255">
      <c r="A255" s="98">
        <f>IFERROR(__xludf.DUMMYFUNCTION("""COMPUTED_VALUE"""),252.0)</f>
        <v>252</v>
      </c>
      <c r="B255" s="98" t="str">
        <f>IFERROR(__xludf.DUMMYFUNCTION("""COMPUTED_VALUE"""),"TNI0196")</f>
        <v>TNI0196</v>
      </c>
      <c r="C255" s="98" t="str">
        <f>IFERROR(__xludf.DUMMYFUNCTION("""COMPUTED_VALUE"""),"B")</f>
        <v>B</v>
      </c>
      <c r="D255" s="98" t="str">
        <f>IFERROR(__xludf.DUMMYFUNCTION("""COMPUTED_VALUE"""),"PAT")</f>
        <v>PAT</v>
      </c>
      <c r="E255" s="98" t="str">
        <f>IFERROR(__xludf.DUMMYFUNCTION("""COMPUTED_VALUE"""),"T3")</f>
        <v>T3</v>
      </c>
      <c r="F255" s="98" t="str">
        <f>IFERROR(__xludf.DUMMYFUNCTION("""COMPUTED_VALUE"""),"Bokpyin")</f>
        <v>Bokpyin</v>
      </c>
      <c r="G255" s="98" t="str">
        <f>IFERROR(__xludf.DUMMYFUNCTION("""COMPUTED_VALUE"""),"Si Thu Htun")</f>
        <v>Si Thu Htun</v>
      </c>
      <c r="H255" s="98"/>
      <c r="I255" s="98"/>
      <c r="J255" s="98"/>
      <c r="K255" s="362">
        <f>IFERROR(__xludf.DUMMYFUNCTION("""COMPUTED_VALUE"""),10.0)</f>
        <v>10</v>
      </c>
      <c r="L255" s="98" t="str">
        <f>IFERROR(__xludf.DUMMYFUNCTION("""COMPUTED_VALUE"""),"9PM-6AM")</f>
        <v>9PM-6AM</v>
      </c>
      <c r="M255" s="98" t="str">
        <f>IFERROR(__xludf.DUMMYFUNCTION("""COMPUTED_VALUE"""),"1DG+Grid+BB")</f>
        <v>1DG+Grid+BB</v>
      </c>
      <c r="N255" s="98" t="str">
        <f>IFERROR(__xludf.DUMMYFUNCTION("""COMPUTED_VALUE"""),"ok")</f>
        <v>ok</v>
      </c>
      <c r="O255" s="363"/>
      <c r="P255" s="98"/>
      <c r="Q255" s="98"/>
      <c r="R255" s="100"/>
      <c r="S255" s="363"/>
      <c r="T255" s="100"/>
      <c r="U255" s="98"/>
      <c r="V255" s="100" t="str">
        <f>IFERROR(__xludf.DUMMYFUNCTION("""COMPUTED_VALUE"""),"13488.87")</f>
        <v>13488.87</v>
      </c>
      <c r="W255" s="98"/>
      <c r="X255" s="363"/>
      <c r="Y255" s="100"/>
      <c r="Z255" s="363"/>
      <c r="AA255" s="98"/>
      <c r="AB255" s="363"/>
      <c r="AC255" s="100"/>
      <c r="AD255" s="363"/>
      <c r="AE255" s="100"/>
      <c r="AF255" s="364">
        <f>IFERROR(__xludf.DUMMYFUNCTION("""COMPUTED_VALUE"""),5193.0)</f>
        <v>5193</v>
      </c>
      <c r="AG255" s="98" t="str">
        <f>IFERROR(__xludf.DUMMYFUNCTION("""COMPUTED_VALUE"""),"MDG broken and ream repairing onsite")</f>
        <v>MDG broken and ream repairing onsite</v>
      </c>
      <c r="AH255" s="98"/>
      <c r="AI255" s="98"/>
      <c r="AJ255" s="98"/>
      <c r="AK255" s="98"/>
      <c r="AL255" s="364">
        <f>IFERROR(__xludf.DUMMYFUNCTION("""COMPUTED_VALUE"""),0.0)</f>
        <v>0</v>
      </c>
      <c r="AM255" s="364">
        <f>IFERROR(__xludf.DUMMYFUNCTION("""COMPUTED_VALUE"""),0.0)</f>
        <v>0</v>
      </c>
    </row>
    <row r="256">
      <c r="A256" s="98">
        <f>IFERROR(__xludf.DUMMYFUNCTION("""COMPUTED_VALUE"""),253.0)</f>
        <v>253</v>
      </c>
      <c r="B256" s="98" t="str">
        <f>IFERROR(__xludf.DUMMYFUNCTION("""COMPUTED_VALUE"""),"TNI0311")</f>
        <v>TNI0311</v>
      </c>
      <c r="C256" s="98" t="str">
        <f>IFERROR(__xludf.DUMMYFUNCTION("""COMPUTED_VALUE"""),"C")</f>
        <v>C</v>
      </c>
      <c r="D256" s="98" t="str">
        <f>IFERROR(__xludf.DUMMYFUNCTION("""COMPUTED_VALUE"""),"PAT")</f>
        <v>PAT</v>
      </c>
      <c r="E256" s="98" t="str">
        <f>IFERROR(__xludf.DUMMYFUNCTION("""COMPUTED_VALUE"""),"T3")</f>
        <v>T3</v>
      </c>
      <c r="F256" s="98" t="str">
        <f>IFERROR(__xludf.DUMMYFUNCTION("""COMPUTED_VALUE"""),"Bokpyin")</f>
        <v>Bokpyin</v>
      </c>
      <c r="G256" s="98" t="str">
        <f>IFERROR(__xludf.DUMMYFUNCTION("""COMPUTED_VALUE"""),"Si Thu Htun")</f>
        <v>Si Thu Htun</v>
      </c>
      <c r="H256" s="98"/>
      <c r="I256" s="98"/>
      <c r="J256" s="98"/>
      <c r="K256" s="362">
        <f>IFERROR(__xludf.DUMMYFUNCTION("""COMPUTED_VALUE"""),120.0)</f>
        <v>120</v>
      </c>
      <c r="L256" s="98" t="str">
        <f>IFERROR(__xludf.DUMMYFUNCTION("""COMPUTED_VALUE"""),"6PM-6AM")</f>
        <v>6PM-6AM</v>
      </c>
      <c r="M256" s="98" t="str">
        <f>IFERROR(__xludf.DUMMYFUNCTION("""COMPUTED_VALUE"""),"1DG+BB")</f>
        <v>1DG+BB</v>
      </c>
      <c r="N256" s="98" t="str">
        <f>IFERROR(__xludf.DUMMYFUNCTION("""COMPUTED_VALUE"""),"ok")</f>
        <v>ok</v>
      </c>
      <c r="O256" s="363"/>
      <c r="P256" s="98"/>
      <c r="Q256" s="98" t="str">
        <f>IFERROR(__xludf.DUMMYFUNCTION("""COMPUTED_VALUE""")," Door open alarm: 11/02/2025 10:20")</f>
        <v> Door open alarm: 11/02/2025 10:20</v>
      </c>
      <c r="R256" s="100">
        <f>IFERROR(__xludf.DUMMYFUNCTION("""COMPUTED_VALUE"""),12150.99)</f>
        <v>12150.99</v>
      </c>
      <c r="S256" s="363"/>
      <c r="T256" s="100"/>
      <c r="U256" s="98"/>
      <c r="V256" s="100"/>
      <c r="W256" s="98"/>
      <c r="X256" s="363"/>
      <c r="Y256" s="100"/>
      <c r="Z256" s="363"/>
      <c r="AA256" s="98"/>
      <c r="AB256" s="363"/>
      <c r="AC256" s="100"/>
      <c r="AD256" s="363"/>
      <c r="AE256" s="100"/>
      <c r="AF256" s="364">
        <f>IFERROR(__xludf.DUMMYFUNCTION("""COMPUTED_VALUE"""),1171.0)</f>
        <v>1171</v>
      </c>
      <c r="AG256" s="98" t="str">
        <f>IFERROR(__xludf.DUMMYFUNCTION("""COMPUTED_VALUE"""),"TCO team ETA 8 AM")</f>
        <v>TCO team ETA 8 AM</v>
      </c>
      <c r="AH256" s="98"/>
      <c r="AI256" s="98" t="str">
        <f>IFERROR(__xludf.DUMMYFUNCTION("""COMPUTED_VALUE"""),"Hub site TNI0417 down")</f>
        <v>Hub site TNI0417 down</v>
      </c>
      <c r="AJ256" s="98"/>
      <c r="AK256" s="98"/>
      <c r="AL256" s="364">
        <f>IFERROR(__xludf.DUMMYFUNCTION("""COMPUTED_VALUE"""),0.0)</f>
        <v>0</v>
      </c>
      <c r="AM256" s="364">
        <f>IFERROR(__xludf.DUMMYFUNCTION("""COMPUTED_VALUE"""),0.0)</f>
        <v>0</v>
      </c>
    </row>
    <row r="257">
      <c r="A257" s="98">
        <f>IFERROR(__xludf.DUMMYFUNCTION("""COMPUTED_VALUE"""),254.0)</f>
        <v>254</v>
      </c>
      <c r="B257" s="98" t="str">
        <f>IFERROR(__xludf.DUMMYFUNCTION("""COMPUTED_VALUE"""),"TNI0343")</f>
        <v>TNI0343</v>
      </c>
      <c r="C257" s="98" t="str">
        <f>IFERROR(__xludf.DUMMYFUNCTION("""COMPUTED_VALUE"""),"C")</f>
        <v>C</v>
      </c>
      <c r="D257" s="98" t="str">
        <f>IFERROR(__xludf.DUMMYFUNCTION("""COMPUTED_VALUE"""),"PAT")</f>
        <v>PAT</v>
      </c>
      <c r="E257" s="98" t="str">
        <f>IFERROR(__xludf.DUMMYFUNCTION("""COMPUTED_VALUE"""),"T3")</f>
        <v>T3</v>
      </c>
      <c r="F257" s="98" t="str">
        <f>IFERROR(__xludf.DUMMYFUNCTION("""COMPUTED_VALUE"""),"Bokpyin")</f>
        <v>Bokpyin</v>
      </c>
      <c r="G257" s="98" t="str">
        <f>IFERROR(__xludf.DUMMYFUNCTION("""COMPUTED_VALUE"""),"Si Thu Htun")</f>
        <v>Si Thu Htun</v>
      </c>
      <c r="H257" s="98"/>
      <c r="I257" s="98"/>
      <c r="J257" s="98"/>
      <c r="K257" s="362">
        <f>IFERROR(__xludf.DUMMYFUNCTION("""COMPUTED_VALUE"""),60.0)</f>
        <v>60</v>
      </c>
      <c r="L257" s="98" t="str">
        <f>IFERROR(__xludf.DUMMYFUNCTION("""COMPUTED_VALUE"""),"24*7")</f>
        <v>24*7</v>
      </c>
      <c r="M257" s="98" t="str">
        <f>IFERROR(__xludf.DUMMYFUNCTION("""COMPUTED_VALUE"""),"1DG+BB")</f>
        <v>1DG+BB</v>
      </c>
      <c r="N257" s="98" t="str">
        <f>IFERROR(__xludf.DUMMYFUNCTION("""COMPUTED_VALUE"""),"ok")</f>
        <v>ok</v>
      </c>
      <c r="O257" s="363"/>
      <c r="P257" s="98"/>
      <c r="Q257" s="98"/>
      <c r="R257" s="100"/>
      <c r="S257" s="363"/>
      <c r="T257" s="100"/>
      <c r="U257" s="98"/>
      <c r="V257" s="100"/>
      <c r="W257" s="98"/>
      <c r="X257" s="363"/>
      <c r="Y257" s="100"/>
      <c r="Z257" s="363"/>
      <c r="AA257" s="98"/>
      <c r="AB257" s="363"/>
      <c r="AC257" s="100"/>
      <c r="AD257" s="363"/>
      <c r="AE257" s="100"/>
      <c r="AF257" s="364">
        <f>IFERROR(__xludf.DUMMYFUNCTION("""COMPUTED_VALUE"""),1013.0)</f>
        <v>1013</v>
      </c>
      <c r="AG257" s="98" t="str">
        <f>IFERROR(__xludf.DUMMYFUNCTION("""COMPUTED_VALUE"""),"TCO team Red zone")</f>
        <v>TCO team Red zone</v>
      </c>
      <c r="AH257" s="98"/>
      <c r="AI257" s="98"/>
      <c r="AJ257" s="98"/>
      <c r="AK257" s="98"/>
      <c r="AL257" s="364">
        <f>IFERROR(__xludf.DUMMYFUNCTION("""COMPUTED_VALUE"""),0.0)</f>
        <v>0</v>
      </c>
      <c r="AM257" s="364">
        <f>IFERROR(__xludf.DUMMYFUNCTION("""COMPUTED_VALUE"""),0.0)</f>
        <v>0</v>
      </c>
    </row>
    <row r="258">
      <c r="A258" s="98">
        <f>IFERROR(__xludf.DUMMYFUNCTION("""COMPUTED_VALUE"""),255.0)</f>
        <v>255</v>
      </c>
      <c r="B258" s="98" t="str">
        <f>IFERROR(__xludf.DUMMYFUNCTION("""COMPUTED_VALUE"""),"TNI0345")</f>
        <v>TNI0345</v>
      </c>
      <c r="C258" s="98" t="str">
        <f>IFERROR(__xludf.DUMMYFUNCTION("""COMPUTED_VALUE"""),"C")</f>
        <v>C</v>
      </c>
      <c r="D258" s="98" t="str">
        <f>IFERROR(__xludf.DUMMYFUNCTION("""COMPUTED_VALUE"""),"PAT")</f>
        <v>PAT</v>
      </c>
      <c r="E258" s="98" t="str">
        <f>IFERROR(__xludf.DUMMYFUNCTION("""COMPUTED_VALUE"""),"T3")</f>
        <v>T3</v>
      </c>
      <c r="F258" s="98" t="str">
        <f>IFERROR(__xludf.DUMMYFUNCTION("""COMPUTED_VALUE"""),"Bokpyin")</f>
        <v>Bokpyin</v>
      </c>
      <c r="G258" s="98" t="str">
        <f>IFERROR(__xludf.DUMMYFUNCTION("""COMPUTED_VALUE"""),"Si Thu Htun")</f>
        <v>Si Thu Htun</v>
      </c>
      <c r="H258" s="98"/>
      <c r="I258" s="98"/>
      <c r="J258" s="98"/>
      <c r="K258" s="362">
        <f>IFERROR(__xludf.DUMMYFUNCTION("""COMPUTED_VALUE"""),80.0)</f>
        <v>80</v>
      </c>
      <c r="L258" s="98" t="str">
        <f>IFERROR(__xludf.DUMMYFUNCTION("""COMPUTED_VALUE"""),"6PM-6AM")</f>
        <v>6PM-6AM</v>
      </c>
      <c r="M258" s="98" t="str">
        <f>IFERROR(__xludf.DUMMYFUNCTION("""COMPUTED_VALUE"""),"1DG+BB")</f>
        <v>1DG+BB</v>
      </c>
      <c r="N258" s="98" t="str">
        <f>IFERROR(__xludf.DUMMYFUNCTION("""COMPUTED_VALUE"""),"ok")</f>
        <v>ok</v>
      </c>
      <c r="O258" s="363"/>
      <c r="P258" s="98"/>
      <c r="Q258" s="98" t="str">
        <f>IFERROR(__xludf.DUMMYFUNCTION("""COMPUTED_VALUE""")," +Battery Door: 18/03/2024 16:53")</f>
        <v> +Battery Door: 18/03/2024 16:53</v>
      </c>
      <c r="R258" s="100">
        <f>IFERROR(__xludf.DUMMYFUNCTION("""COMPUTED_VALUE"""),20064.44)</f>
        <v>20064.44</v>
      </c>
      <c r="S258" s="363"/>
      <c r="T258" s="100"/>
      <c r="U258" s="98"/>
      <c r="V258" s="100"/>
      <c r="W258" s="98"/>
      <c r="X258" s="363"/>
      <c r="Y258" s="100"/>
      <c r="Z258" s="363"/>
      <c r="AA258" s="98"/>
      <c r="AB258" s="363"/>
      <c r="AC258" s="100"/>
      <c r="AD258" s="363"/>
      <c r="AE258" s="100"/>
      <c r="AF258" s="364">
        <f>IFERROR(__xludf.DUMMYFUNCTION("""COMPUTED_VALUE"""),857.0)</f>
        <v>857</v>
      </c>
      <c r="AG258" s="98"/>
      <c r="AH258" s="98"/>
      <c r="AI258" s="98"/>
      <c r="AJ258" s="98"/>
      <c r="AK258" s="98"/>
      <c r="AL258" s="364">
        <f>IFERROR(__xludf.DUMMYFUNCTION("""COMPUTED_VALUE"""),0.0)</f>
        <v>0</v>
      </c>
      <c r="AM258" s="364">
        <f>IFERROR(__xludf.DUMMYFUNCTION("""COMPUTED_VALUE"""),0.0)</f>
        <v>0</v>
      </c>
    </row>
    <row r="259">
      <c r="A259" s="98">
        <f>IFERROR(__xludf.DUMMYFUNCTION("""COMPUTED_VALUE"""),256.0)</f>
        <v>256</v>
      </c>
      <c r="B259" s="98" t="str">
        <f>IFERROR(__xludf.DUMMYFUNCTION("""COMPUTED_VALUE"""),"TNI0383")</f>
        <v>TNI0383</v>
      </c>
      <c r="C259" s="98" t="str">
        <f>IFERROR(__xludf.DUMMYFUNCTION("""COMPUTED_VALUE"""),"C")</f>
        <v>C</v>
      </c>
      <c r="D259" s="98" t="str">
        <f>IFERROR(__xludf.DUMMYFUNCTION("""COMPUTED_VALUE"""),"Mytel")</f>
        <v>Mytel</v>
      </c>
      <c r="E259" s="98" t="str">
        <f>IFERROR(__xludf.DUMMYFUNCTION("""COMPUTED_VALUE"""),"T3")</f>
        <v>T3</v>
      </c>
      <c r="F259" s="98" t="str">
        <f>IFERROR(__xludf.DUMMYFUNCTION("""COMPUTED_VALUE"""),"Bokpyin")</f>
        <v>Bokpyin</v>
      </c>
      <c r="G259" s="98" t="str">
        <f>IFERROR(__xludf.DUMMYFUNCTION("""COMPUTED_VALUE"""),"Khant Si Thu")</f>
        <v>Khant Si Thu</v>
      </c>
      <c r="H259" s="98" t="str">
        <f>IFERROR(__xludf.DUMMYFUNCTION("""COMPUTED_VALUE"""),"Nay Myo Htay: 09695457544")</f>
        <v>Nay Myo Htay: 09695457544</v>
      </c>
      <c r="I259" s="98"/>
      <c r="J259" s="98"/>
      <c r="K259" s="362">
        <f>IFERROR(__xludf.DUMMYFUNCTION("""COMPUTED_VALUE"""),270.0)</f>
        <v>270</v>
      </c>
      <c r="L259" s="98" t="str">
        <f>IFERROR(__xludf.DUMMYFUNCTION("""COMPUTED_VALUE"""),"6PM-6AM")</f>
        <v>6PM-6AM</v>
      </c>
      <c r="M259" s="98" t="str">
        <f>IFERROR(__xludf.DUMMYFUNCTION("""COMPUTED_VALUE"""),"1DG+BB")</f>
        <v>1DG+BB</v>
      </c>
      <c r="N259" s="98" t="str">
        <f>IFERROR(__xludf.DUMMYFUNCTION("""COMPUTED_VALUE"""),"0")</f>
        <v>0</v>
      </c>
      <c r="O259" s="363"/>
      <c r="P259" s="98"/>
      <c r="Q259" s="98" t="str">
        <f>IFERROR(__xludf.DUMMYFUNCTION("""COMPUTED_VALUE""")," Door open alarm: 03/06/2026 08:49")</f>
        <v> Door open alarm: 03/06/2026 08:49</v>
      </c>
      <c r="R259" s="100">
        <f>IFERROR(__xludf.DUMMYFUNCTION("""COMPUTED_VALUE"""),704.51)</f>
        <v>704.51</v>
      </c>
      <c r="S259" s="363"/>
      <c r="T259" s="100"/>
      <c r="U259" s="98"/>
      <c r="V259" s="100"/>
      <c r="W259" s="98"/>
      <c r="X259" s="363"/>
      <c r="Y259" s="100"/>
      <c r="Z259" s="363"/>
      <c r="AA259" s="98"/>
      <c r="AB259" s="363"/>
      <c r="AC259" s="100"/>
      <c r="AD259" s="363"/>
      <c r="AE259" s="100"/>
      <c r="AF259" s="364">
        <f>IFERROR(__xludf.DUMMYFUNCTION("""COMPUTED_VALUE"""),1591.0)</f>
        <v>1591</v>
      </c>
      <c r="AG259" s="98" t="str">
        <f>IFERROR(__xludf.DUMMYFUNCTION("""COMPUTED_VALUE"""),"Hub site TNI0124 down")</f>
        <v>Hub site TNI0124 down</v>
      </c>
      <c r="AH259" s="98"/>
      <c r="AI259" s="98"/>
      <c r="AJ259" s="98"/>
      <c r="AK259" s="98"/>
      <c r="AL259" s="364">
        <f>IFERROR(__xludf.DUMMYFUNCTION("""COMPUTED_VALUE"""),0.0)</f>
        <v>0</v>
      </c>
      <c r="AM259" s="364">
        <f>IFERROR(__xludf.DUMMYFUNCTION("""COMPUTED_VALUE"""),0.0)</f>
        <v>0</v>
      </c>
    </row>
    <row r="260">
      <c r="A260" s="98">
        <f>IFERROR(__xludf.DUMMYFUNCTION("""COMPUTED_VALUE"""),257.0)</f>
        <v>257</v>
      </c>
      <c r="B260" s="98" t="str">
        <f>IFERROR(__xludf.DUMMYFUNCTION("""COMPUTED_VALUE"""),"TNI0417")</f>
        <v>TNI0417</v>
      </c>
      <c r="C260" s="98" t="str">
        <f>IFERROR(__xludf.DUMMYFUNCTION("""COMPUTED_VALUE"""),"C")</f>
        <v>C</v>
      </c>
      <c r="D260" s="98" t="str">
        <f>IFERROR(__xludf.DUMMYFUNCTION("""COMPUTED_VALUE"""),"OCK")</f>
        <v>OCK</v>
      </c>
      <c r="E260" s="98" t="str">
        <f>IFERROR(__xludf.DUMMYFUNCTION("""COMPUTED_VALUE"""),"T3")</f>
        <v>T3</v>
      </c>
      <c r="F260" s="98" t="str">
        <f>IFERROR(__xludf.DUMMYFUNCTION("""COMPUTED_VALUE"""),"Bokpyin")</f>
        <v>Bokpyin</v>
      </c>
      <c r="G260" s="98" t="str">
        <f>IFERROR(__xludf.DUMMYFUNCTION("""COMPUTED_VALUE"""),"Khant Si Thu")</f>
        <v>Khant Si Thu</v>
      </c>
      <c r="H260" s="98"/>
      <c r="I260" s="98"/>
      <c r="J260" s="98"/>
      <c r="K260" s="362">
        <f>IFERROR(__xludf.DUMMYFUNCTION("""COMPUTED_VALUE"""),150.0)</f>
        <v>150</v>
      </c>
      <c r="L260" s="98" t="str">
        <f>IFERROR(__xludf.DUMMYFUNCTION("""COMPUTED_VALUE"""),"6PM-6AM")</f>
        <v>6PM-6AM</v>
      </c>
      <c r="M260" s="98" t="str">
        <f>IFERROR(__xludf.DUMMYFUNCTION("""COMPUTED_VALUE"""),"1DG+Solar+BB")</f>
        <v>1DG+Solar+BB</v>
      </c>
      <c r="N260" s="98" t="str">
        <f>IFERROR(__xludf.DUMMYFUNCTION("""COMPUTED_VALUE"""),"ok")</f>
        <v>ok</v>
      </c>
      <c r="O260" s="363"/>
      <c r="P260" s="98"/>
      <c r="Q260" s="98"/>
      <c r="R260" s="100"/>
      <c r="S260" s="363"/>
      <c r="T260" s="100"/>
      <c r="U260" s="98"/>
      <c r="V260" s="100"/>
      <c r="W260" s="98"/>
      <c r="X260" s="363"/>
      <c r="Y260" s="100"/>
      <c r="Z260" s="363"/>
      <c r="AA260" s="98"/>
      <c r="AB260" s="363"/>
      <c r="AC260" s="100"/>
      <c r="AD260" s="363"/>
      <c r="AE260" s="100"/>
      <c r="AF260" s="364">
        <f>IFERROR(__xludf.DUMMYFUNCTION("""COMPUTED_VALUE"""),705.0)</f>
        <v>705</v>
      </c>
      <c r="AG260" s="98" t="str">
        <f>IFERROR(__xludf.DUMMYFUNCTION("""COMPUTED_VALUE"""),"TCO team facing fuel issue")</f>
        <v>TCO team facing fuel issue</v>
      </c>
      <c r="AH260" s="98"/>
      <c r="AI260" s="98" t="str">
        <f>IFERROR(__xludf.DUMMYFUNCTION("""COMPUTED_VALUE"""),"TCO backup battery issue")</f>
        <v>TCO backup battery issue</v>
      </c>
      <c r="AJ260" s="98"/>
      <c r="AK260" s="98"/>
      <c r="AL260" s="364">
        <f>IFERROR(__xludf.DUMMYFUNCTION("""COMPUTED_VALUE"""),0.0)</f>
        <v>0</v>
      </c>
      <c r="AM260" s="364">
        <f>IFERROR(__xludf.DUMMYFUNCTION("""COMPUTED_VALUE"""),0.0)</f>
        <v>0</v>
      </c>
    </row>
    <row r="261">
      <c r="A261" s="98">
        <f>IFERROR(__xludf.DUMMYFUNCTION("""COMPUTED_VALUE"""),258.0)</f>
        <v>258</v>
      </c>
      <c r="B261" s="98" t="str">
        <f>IFERROR(__xludf.DUMMYFUNCTION("""COMPUTED_VALUE"""),"TNI0103")</f>
        <v>TNI0103</v>
      </c>
      <c r="C261" s="98" t="str">
        <f>IFERROR(__xludf.DUMMYFUNCTION("""COMPUTED_VALUE"""),"C")</f>
        <v>C</v>
      </c>
      <c r="D261" s="98" t="str">
        <f>IFERROR(__xludf.DUMMYFUNCTION("""COMPUTED_VALUE"""),"PAT")</f>
        <v>PAT</v>
      </c>
      <c r="E261" s="98" t="str">
        <f>IFERROR(__xludf.DUMMYFUNCTION("""COMPUTED_VALUE"""),"T3")</f>
        <v>T3</v>
      </c>
      <c r="F261" s="98" t="str">
        <f>IFERROR(__xludf.DUMMYFUNCTION("""COMPUTED_VALUE"""),"Bokpyin")</f>
        <v>Bokpyin</v>
      </c>
      <c r="G261" s="98" t="str">
        <f>IFERROR(__xludf.DUMMYFUNCTION("""COMPUTED_VALUE"""),"Tin Naing Lin")</f>
        <v>Tin Naing Lin</v>
      </c>
      <c r="H261" s="98"/>
      <c r="I261" s="98"/>
      <c r="J261" s="98"/>
      <c r="K261" s="362">
        <f>IFERROR(__xludf.DUMMYFUNCTION("""COMPUTED_VALUE"""),120.0)</f>
        <v>120</v>
      </c>
      <c r="L261" s="98" t="str">
        <f>IFERROR(__xludf.DUMMYFUNCTION("""COMPUTED_VALUE"""),"24*7")</f>
        <v>24*7</v>
      </c>
      <c r="M261" s="98" t="str">
        <f>IFERROR(__xludf.DUMMYFUNCTION("""COMPUTED_VALUE"""),"1DG+BB")</f>
        <v>1DG+BB</v>
      </c>
      <c r="N261" s="98" t="str">
        <f>IFERROR(__xludf.DUMMYFUNCTION("""COMPUTED_VALUE"""),"109")</f>
        <v>109</v>
      </c>
      <c r="O261" s="363"/>
      <c r="P261" s="98"/>
      <c r="Q261" s="98" t="str">
        <f>IFERROR(__xludf.DUMMYFUNCTION("""COMPUTED_VALUE""")," +Door Alarm: 14/06/2026 21:02")</f>
        <v> +Door Alarm: 14/06/2026 21:02</v>
      </c>
      <c r="R261" s="100">
        <f>IFERROR(__xludf.DUMMYFUNCTION("""COMPUTED_VALUE"""),428.3)</f>
        <v>428.3</v>
      </c>
      <c r="S261" s="363"/>
      <c r="T261" s="100"/>
      <c r="U261" s="98" t="str">
        <f>IFERROR(__xludf.DUMMYFUNCTION("""COMPUTED_VALUE"""),"4.53")</f>
        <v>4.53</v>
      </c>
      <c r="V261" s="100"/>
      <c r="W261" s="98"/>
      <c r="X261" s="363">
        <f>IFERROR(__xludf.DUMMYFUNCTION("""COMPUTED_VALUE"""),46203.77454861111)</f>
        <v>46203.77455</v>
      </c>
      <c r="Y261" s="100">
        <f>IFERROR(__xludf.DUMMYFUNCTION("""COMPUTED_VALUE"""),48.04015166661702)</f>
        <v>48.04015167</v>
      </c>
      <c r="Z261" s="363"/>
      <c r="AA261" s="98"/>
      <c r="AB261" s="363"/>
      <c r="AC261" s="100"/>
      <c r="AD261" s="363"/>
      <c r="AE261" s="100"/>
      <c r="AF261" s="364">
        <f>IFERROR(__xludf.DUMMYFUNCTION("""COMPUTED_VALUE"""),503.0)</f>
        <v>503</v>
      </c>
      <c r="AG261" s="98" t="str">
        <f>IFERROR(__xludf.DUMMYFUNCTION("""COMPUTED_VALUE"""),"Team onsite checking")</f>
        <v>Team onsite checking</v>
      </c>
      <c r="AH261" s="98"/>
      <c r="AI261" s="98"/>
      <c r="AJ261" s="98"/>
      <c r="AK261" s="98"/>
      <c r="AL261" s="364">
        <f>IFERROR(__xludf.DUMMYFUNCTION("""COMPUTED_VALUE"""),0.0)</f>
        <v>0</v>
      </c>
      <c r="AM261" s="364">
        <f>IFERROR(__xludf.DUMMYFUNCTION("""COMPUTED_VALUE"""),0.0)</f>
        <v>0</v>
      </c>
    </row>
    <row r="262">
      <c r="A262" s="98">
        <f>IFERROR(__xludf.DUMMYFUNCTION("""COMPUTED_VALUE"""),259.0)</f>
        <v>259</v>
      </c>
      <c r="B262" s="98" t="str">
        <f>IFERROR(__xludf.DUMMYFUNCTION("""COMPUTED_VALUE"""),"TNI0105")</f>
        <v>TNI0105</v>
      </c>
      <c r="C262" s="98" t="str">
        <f>IFERROR(__xludf.DUMMYFUNCTION("""COMPUTED_VALUE"""),"C")</f>
        <v>C</v>
      </c>
      <c r="D262" s="98" t="str">
        <f>IFERROR(__xludf.DUMMYFUNCTION("""COMPUTED_VALUE"""),"PAT")</f>
        <v>PAT</v>
      </c>
      <c r="E262" s="98" t="str">
        <f>IFERROR(__xludf.DUMMYFUNCTION("""COMPUTED_VALUE"""),"T3")</f>
        <v>T3</v>
      </c>
      <c r="F262" s="98" t="str">
        <f>IFERROR(__xludf.DUMMYFUNCTION("""COMPUTED_VALUE"""),"Bokpyin")</f>
        <v>Bokpyin</v>
      </c>
      <c r="G262" s="98" t="str">
        <f>IFERROR(__xludf.DUMMYFUNCTION("""COMPUTED_VALUE"""),"Tin Naing Lin")</f>
        <v>Tin Naing Lin</v>
      </c>
      <c r="H262" s="98"/>
      <c r="I262" s="98"/>
      <c r="J262" s="98"/>
      <c r="K262" s="362">
        <f>IFERROR(__xludf.DUMMYFUNCTION("""COMPUTED_VALUE"""),150.0)</f>
        <v>150</v>
      </c>
      <c r="L262" s="98" t="str">
        <f>IFERROR(__xludf.DUMMYFUNCTION("""COMPUTED_VALUE"""),"24*7")</f>
        <v>24*7</v>
      </c>
      <c r="M262" s="98" t="str">
        <f>IFERROR(__xludf.DUMMYFUNCTION("""COMPUTED_VALUE"""),"1DG+BB")</f>
        <v>1DG+BB</v>
      </c>
      <c r="N262" s="98" t="str">
        <f>IFERROR(__xludf.DUMMYFUNCTION("""COMPUTED_VALUE"""),"42")</f>
        <v>42</v>
      </c>
      <c r="O262" s="363"/>
      <c r="P262" s="98"/>
      <c r="Q262" s="98"/>
      <c r="R262" s="100"/>
      <c r="S262" s="363">
        <f>IFERROR(__xludf.DUMMYFUNCTION("""COMPUTED_VALUE"""),46205.639652777776)</f>
        <v>46205.63965</v>
      </c>
      <c r="T262" s="100">
        <f>IFERROR(__xludf.DUMMYFUNCTION("""COMPUTED_VALUE"""),3.2776516666053794)</f>
        <v>3.277651667</v>
      </c>
      <c r="U262" s="98"/>
      <c r="V262" s="100"/>
      <c r="W262" s="98"/>
      <c r="X262" s="363">
        <f>IFERROR(__xludf.DUMMYFUNCTION("""COMPUTED_VALUE"""),46184.93989583333)</f>
        <v>46184.9399</v>
      </c>
      <c r="Y262" s="100">
        <f>IFERROR(__xludf.DUMMYFUNCTION("""COMPUTED_VALUE"""),500.07181833323557)</f>
        <v>500.0718183</v>
      </c>
      <c r="Z262" s="363"/>
      <c r="AA262" s="98"/>
      <c r="AB262" s="363"/>
      <c r="AC262" s="100"/>
      <c r="AD262" s="363"/>
      <c r="AE262" s="100"/>
      <c r="AF262" s="364">
        <f>IFERROR(__xludf.DUMMYFUNCTION("""COMPUTED_VALUE"""),751.0)</f>
        <v>751</v>
      </c>
      <c r="AG262" s="98" t="str">
        <f>IFERROR(__xludf.DUMMYFUNCTION("""COMPUTED_VALUE"""),"Checking with team")</f>
        <v>Checking with team</v>
      </c>
      <c r="AH262" s="98"/>
      <c r="AI262" s="98"/>
      <c r="AJ262" s="98"/>
      <c r="AK262" s="98"/>
      <c r="AL262" s="364">
        <f>IFERROR(__xludf.DUMMYFUNCTION("""COMPUTED_VALUE"""),0.0)</f>
        <v>0</v>
      </c>
      <c r="AM262" s="364">
        <f>IFERROR(__xludf.DUMMYFUNCTION("""COMPUTED_VALUE"""),0.0)</f>
        <v>0</v>
      </c>
    </row>
    <row r="263">
      <c r="A263" s="98">
        <f>IFERROR(__xludf.DUMMYFUNCTION("""COMPUTED_VALUE"""),260.0)</f>
        <v>260</v>
      </c>
      <c r="B263" s="98" t="str">
        <f>IFERROR(__xludf.DUMMYFUNCTION("""COMPUTED_VALUE"""),"TNI0008")</f>
        <v>TNI0008</v>
      </c>
      <c r="C263" s="98" t="str">
        <f>IFERROR(__xludf.DUMMYFUNCTION("""COMPUTED_VALUE"""),"A")</f>
        <v>A</v>
      </c>
      <c r="D263" s="98" t="str">
        <f>IFERROR(__xludf.DUMMYFUNCTION("""COMPUTED_VALUE"""),"Mytel")</f>
        <v>Mytel</v>
      </c>
      <c r="E263" s="98" t="str">
        <f>IFERROR(__xludf.DUMMYFUNCTION("""COMPUTED_VALUE"""),"T3")</f>
        <v>T3</v>
      </c>
      <c r="F263" s="98" t="str">
        <f>IFERROR(__xludf.DUMMYFUNCTION("""COMPUTED_VALUE"""),"Bokpyin")</f>
        <v>Bokpyin</v>
      </c>
      <c r="G263" s="98" t="str">
        <f>IFERROR(__xludf.DUMMYFUNCTION("""COMPUTED_VALUE"""),"Tin Naing Lin")</f>
        <v>Tin Naing Lin</v>
      </c>
      <c r="H263" s="98" t="str">
        <f>IFERROR(__xludf.DUMMYFUNCTION("""COMPUTED_VALUE"""),"Kyaw San Win: 09667986450")</f>
        <v>Kyaw San Win: 09667986450</v>
      </c>
      <c r="I263" s="98"/>
      <c r="J263" s="98"/>
      <c r="K263" s="362">
        <f>IFERROR(__xludf.DUMMYFUNCTION("""COMPUTED_VALUE"""),60.0)</f>
        <v>60</v>
      </c>
      <c r="L263" s="98" t="str">
        <f>IFERROR(__xludf.DUMMYFUNCTION("""COMPUTED_VALUE"""),"6PM-6AM")</f>
        <v>6PM-6AM</v>
      </c>
      <c r="M263" s="98" t="str">
        <f>IFERROR(__xludf.DUMMYFUNCTION("""COMPUTED_VALUE"""),"1DG+Solar+Grid+BB")</f>
        <v>1DG+Solar+Grid+BB</v>
      </c>
      <c r="N263" s="98" t="str">
        <f>IFERROR(__xludf.DUMMYFUNCTION("""COMPUTED_VALUE"""),"0")</f>
        <v>0</v>
      </c>
      <c r="O263" s="363">
        <f>IFERROR(__xludf.DUMMYFUNCTION("""COMPUTED_VALUE"""),46205.4615625)</f>
        <v>46205.46156</v>
      </c>
      <c r="P263" s="98" t="str">
        <f>IFERROR(__xludf.DUMMYFUNCTION("""COMPUTED_VALUE"""),"7:33")</f>
        <v>7:33</v>
      </c>
      <c r="Q263" s="98"/>
      <c r="R263" s="100"/>
      <c r="S263" s="363">
        <f>IFERROR(__xludf.DUMMYFUNCTION("""COMPUTED_VALUE"""),46205.46377314815)</f>
        <v>46205.46377</v>
      </c>
      <c r="T263" s="100">
        <f>IFERROR(__xludf.DUMMYFUNCTION("""COMPUTED_VALUE"""),7.498762777657248)</f>
        <v>7.498762778</v>
      </c>
      <c r="U263" s="98"/>
      <c r="V263" s="100"/>
      <c r="W263" s="98"/>
      <c r="X263" s="363"/>
      <c r="Y263" s="100"/>
      <c r="Z263" s="363"/>
      <c r="AA263" s="98"/>
      <c r="AB263" s="363"/>
      <c r="AC263" s="100"/>
      <c r="AD263" s="363"/>
      <c r="AE263" s="100"/>
      <c r="AF263" s="364">
        <f>IFERROR(__xludf.DUMMYFUNCTION("""COMPUTED_VALUE"""),1549.0)</f>
        <v>1549</v>
      </c>
      <c r="AG263" s="98" t="str">
        <f>IFERROR(__xludf.DUMMYFUNCTION("""COMPUTED_VALUE"""),"Team onsite")</f>
        <v>Team onsite</v>
      </c>
      <c r="AH263" s="98"/>
      <c r="AI263" s="98"/>
      <c r="AJ263" s="98"/>
      <c r="AK263" s="98"/>
      <c r="AL263" s="364">
        <f>IFERROR(__xludf.DUMMYFUNCTION("""COMPUTED_VALUE"""),0.0)</f>
        <v>0</v>
      </c>
      <c r="AM263" s="364">
        <f>IFERROR(__xludf.DUMMYFUNCTION("""COMPUTED_VALUE"""),0.0)</f>
        <v>0</v>
      </c>
    </row>
    <row r="264">
      <c r="A264" s="98">
        <f>IFERROR(__xludf.DUMMYFUNCTION("""COMPUTED_VALUE"""),261.0)</f>
        <v>261</v>
      </c>
      <c r="B264" s="98" t="str">
        <f>IFERROR(__xludf.DUMMYFUNCTION("""COMPUTED_VALUE"""),"TNI0209")</f>
        <v>TNI0209</v>
      </c>
      <c r="C264" s="98" t="str">
        <f>IFERROR(__xludf.DUMMYFUNCTION("""COMPUTED_VALUE"""),"C")</f>
        <v>C</v>
      </c>
      <c r="D264" s="98" t="str">
        <f>IFERROR(__xludf.DUMMYFUNCTION("""COMPUTED_VALUE"""),"Mytel")</f>
        <v>Mytel</v>
      </c>
      <c r="E264" s="98" t="str">
        <f>IFERROR(__xludf.DUMMYFUNCTION("""COMPUTED_VALUE"""),"T3")</f>
        <v>T3</v>
      </c>
      <c r="F264" s="98" t="str">
        <f>IFERROR(__xludf.DUMMYFUNCTION("""COMPUTED_VALUE"""),"Bokpyin")</f>
        <v>Bokpyin</v>
      </c>
      <c r="G264" s="98" t="str">
        <f>IFERROR(__xludf.DUMMYFUNCTION("""COMPUTED_VALUE"""),"Tin Naing Lin")</f>
        <v>Tin Naing Lin</v>
      </c>
      <c r="H264" s="98" t="str">
        <f>IFERROR(__xludf.DUMMYFUNCTION("""COMPUTED_VALUE"""),"U Hla Win: 09673338097")</f>
        <v>U Hla Win: 09673338097</v>
      </c>
      <c r="I264" s="98"/>
      <c r="J264" s="98"/>
      <c r="K264" s="362">
        <f>IFERROR(__xludf.DUMMYFUNCTION("""COMPUTED_VALUE"""),120.0)</f>
        <v>120</v>
      </c>
      <c r="L264" s="98" t="str">
        <f>IFERROR(__xludf.DUMMYFUNCTION("""COMPUTED_VALUE"""),"6PM-6AM")</f>
        <v>6PM-6AM</v>
      </c>
      <c r="M264" s="98" t="str">
        <f>IFERROR(__xludf.DUMMYFUNCTION("""COMPUTED_VALUE"""),"1DG+Solar+BB")</f>
        <v>1DG+Solar+BB</v>
      </c>
      <c r="N264" s="98" t="str">
        <f>IFERROR(__xludf.DUMMYFUNCTION("""COMPUTED_VALUE"""),"117")</f>
        <v>117</v>
      </c>
      <c r="O264" s="363"/>
      <c r="P264" s="98"/>
      <c r="Q264" s="98" t="str">
        <f>IFERROR(__xludf.DUMMYFUNCTION("""COMPUTED_VALUE""")," +Door Alarm: 27/09/2024 13:27")</f>
        <v> +Door Alarm: 27/09/2024 13:27</v>
      </c>
      <c r="R264" s="100">
        <f>IFERROR(__xludf.DUMMYFUNCTION("""COMPUTED_VALUE"""),15435.87)</f>
        <v>15435.87</v>
      </c>
      <c r="S264" s="363"/>
      <c r="T264" s="100"/>
      <c r="U264" s="98"/>
      <c r="V264" s="100"/>
      <c r="W264" s="98"/>
      <c r="X264" s="363"/>
      <c r="Y264" s="100"/>
      <c r="Z264" s="363"/>
      <c r="AA264" s="98"/>
      <c r="AB264" s="363"/>
      <c r="AC264" s="100"/>
      <c r="AD264" s="363"/>
      <c r="AE264" s="100"/>
      <c r="AF264" s="364">
        <f>IFERROR(__xludf.DUMMYFUNCTION("""COMPUTED_VALUE"""),1921.0)</f>
        <v>1921</v>
      </c>
      <c r="AG264" s="98" t="str">
        <f>IFERROR(__xludf.DUMMYFUNCTION("""COMPUTED_VALUE"""),"Team onsite")</f>
        <v>Team onsite</v>
      </c>
      <c r="AH264" s="98"/>
      <c r="AI264" s="98"/>
      <c r="AJ264" s="98"/>
      <c r="AK264" s="98"/>
      <c r="AL264" s="364">
        <f>IFERROR(__xludf.DUMMYFUNCTION("""COMPUTED_VALUE"""),0.0)</f>
        <v>0</v>
      </c>
      <c r="AM264" s="364">
        <f>IFERROR(__xludf.DUMMYFUNCTION("""COMPUTED_VALUE"""),0.0)</f>
        <v>0</v>
      </c>
    </row>
    <row r="265">
      <c r="A265" s="98">
        <f>IFERROR(__xludf.DUMMYFUNCTION("""COMPUTED_VALUE"""),262.0)</f>
        <v>262</v>
      </c>
      <c r="B265" s="98" t="str">
        <f>IFERROR(__xludf.DUMMYFUNCTION("""COMPUTED_VALUE"""),"TNI0118")</f>
        <v>TNI0118</v>
      </c>
      <c r="C265" s="98" t="str">
        <f>IFERROR(__xludf.DUMMYFUNCTION("""COMPUTED_VALUE"""),"B")</f>
        <v>B</v>
      </c>
      <c r="D265" s="98" t="str">
        <f>IFERROR(__xludf.DUMMYFUNCTION("""COMPUTED_VALUE"""),"Mytel")</f>
        <v>Mytel</v>
      </c>
      <c r="E265" s="98" t="str">
        <f>IFERROR(__xludf.DUMMYFUNCTION("""COMPUTED_VALUE"""),"T3")</f>
        <v>T3</v>
      </c>
      <c r="F265" s="98" t="str">
        <f>IFERROR(__xludf.DUMMYFUNCTION("""COMPUTED_VALUE"""),"Bokpyin")</f>
        <v>Bokpyin</v>
      </c>
      <c r="G265" s="98" t="str">
        <f>IFERROR(__xludf.DUMMYFUNCTION("""COMPUTED_VALUE"""),"Tin Naing Lin")</f>
        <v>Tin Naing Lin</v>
      </c>
      <c r="H265" s="98" t="str">
        <f>IFERROR(__xludf.DUMMYFUNCTION("""COMPUTED_VALUE"""),"Aung Soe: 09697699742")</f>
        <v>Aung Soe: 09697699742</v>
      </c>
      <c r="I265" s="98"/>
      <c r="J265" s="98"/>
      <c r="K265" s="362">
        <f>IFERROR(__xludf.DUMMYFUNCTION("""COMPUTED_VALUE"""),240.0)</f>
        <v>240</v>
      </c>
      <c r="L265" s="98" t="str">
        <f>IFERROR(__xludf.DUMMYFUNCTION("""COMPUTED_VALUE"""),"6PM-6AM")</f>
        <v>6PM-6AM</v>
      </c>
      <c r="M265" s="98" t="str">
        <f>IFERROR(__xludf.DUMMYFUNCTION("""COMPUTED_VALUE"""),"1DG+Solar+BB")</f>
        <v>1DG+Solar+BB</v>
      </c>
      <c r="N265" s="98" t="str">
        <f>IFERROR(__xludf.DUMMYFUNCTION("""COMPUTED_VALUE"""),"273")</f>
        <v>273</v>
      </c>
      <c r="O265" s="363"/>
      <c r="P265" s="98"/>
      <c r="Q265" s="98" t="str">
        <f>IFERROR(__xludf.DUMMYFUNCTION("""COMPUTED_VALUE""")," +Door Alarm: 02/07/2026 16:58")</f>
        <v> +Door Alarm: 02/07/2026 16:58</v>
      </c>
      <c r="R265" s="100">
        <f>IFERROR(__xludf.DUMMYFUNCTION("""COMPUTED_VALUE"""),0.36)</f>
        <v>0.36</v>
      </c>
      <c r="S265" s="363"/>
      <c r="T265" s="100"/>
      <c r="U265" s="98"/>
      <c r="V265" s="100"/>
      <c r="W265" s="98"/>
      <c r="X265" s="363"/>
      <c r="Y265" s="100"/>
      <c r="Z265" s="363">
        <f>IFERROR(__xludf.DUMMYFUNCTION("""COMPUTED_VALUE"""),46205.71478009259)</f>
        <v>46205.71478</v>
      </c>
      <c r="AA265" s="98" t="str">
        <f>IFERROR(__xludf.DUMMYFUNCTION("""COMPUTED_VALUE"""),"1:28")</f>
        <v>1:28</v>
      </c>
      <c r="AB265" s="363"/>
      <c r="AC265" s="100"/>
      <c r="AD265" s="363"/>
      <c r="AE265" s="100"/>
      <c r="AF265" s="364">
        <f>IFERROR(__xludf.DUMMYFUNCTION("""COMPUTED_VALUE"""),2485.0)</f>
        <v>2485</v>
      </c>
      <c r="AG265" s="98" t="str">
        <f>IFERROR(__xludf.DUMMYFUNCTION("""COMPUTED_VALUE"""),"Checking with team")</f>
        <v>Checking with team</v>
      </c>
      <c r="AH265" s="98"/>
      <c r="AI265" s="98"/>
      <c r="AJ265" s="98"/>
      <c r="AK265" s="98"/>
      <c r="AL265" s="364">
        <f>IFERROR(__xludf.DUMMYFUNCTION("""COMPUTED_VALUE"""),0.0)</f>
        <v>0</v>
      </c>
      <c r="AM265" s="364">
        <f>IFERROR(__xludf.DUMMYFUNCTION("""COMPUTED_VALUE"""),0.0)</f>
        <v>0</v>
      </c>
    </row>
    <row r="266">
      <c r="A266" s="98">
        <f>IFERROR(__xludf.DUMMYFUNCTION("""COMPUTED_VALUE"""),263.0)</f>
        <v>263</v>
      </c>
      <c r="B266" s="98" t="str">
        <f>IFERROR(__xludf.DUMMYFUNCTION("""COMPUTED_VALUE"""),"TNI0507")</f>
        <v>TNI0507</v>
      </c>
      <c r="C266" s="98" t="str">
        <f>IFERROR(__xludf.DUMMYFUNCTION("""COMPUTED_VALUE"""),"C")</f>
        <v>C</v>
      </c>
      <c r="D266" s="98" t="str">
        <f>IFERROR(__xludf.DUMMYFUNCTION("""COMPUTED_VALUE"""),"OCK")</f>
        <v>OCK</v>
      </c>
      <c r="E266" s="98" t="str">
        <f>IFERROR(__xludf.DUMMYFUNCTION("""COMPUTED_VALUE"""),"T3")</f>
        <v>T3</v>
      </c>
      <c r="F266" s="98" t="str">
        <f>IFERROR(__xludf.DUMMYFUNCTION("""COMPUTED_VALUE"""),"Bokpyin")</f>
        <v>Bokpyin</v>
      </c>
      <c r="G266" s="98" t="str">
        <f>IFERROR(__xludf.DUMMYFUNCTION("""COMPUTED_VALUE"""),"Khant Si Thu")</f>
        <v>Khant Si Thu</v>
      </c>
      <c r="H266" s="98"/>
      <c r="I266" s="98"/>
      <c r="J266" s="98"/>
      <c r="K266" s="362">
        <f>IFERROR(__xludf.DUMMYFUNCTION("""COMPUTED_VALUE"""),120.0)</f>
        <v>120</v>
      </c>
      <c r="L266" s="98" t="str">
        <f>IFERROR(__xludf.DUMMYFUNCTION("""COMPUTED_VALUE"""),"10:00PM-5:00AM")</f>
        <v>10:00PM-5:00AM</v>
      </c>
      <c r="M266" s="98" t="str">
        <f>IFERROR(__xludf.DUMMYFUNCTION("""COMPUTED_VALUE"""),"1DG+BB")</f>
        <v>1DG+BB</v>
      </c>
      <c r="N266" s="98" t="str">
        <f>IFERROR(__xludf.DUMMYFUNCTION("""COMPUTED_VALUE"""),"ok")</f>
        <v>ok</v>
      </c>
      <c r="O266" s="363"/>
      <c r="P266" s="98"/>
      <c r="Q266" s="98"/>
      <c r="R266" s="100"/>
      <c r="S266" s="363"/>
      <c r="T266" s="100"/>
      <c r="U266" s="98"/>
      <c r="V266" s="100"/>
      <c r="W266" s="98"/>
      <c r="X266" s="363"/>
      <c r="Y266" s="100"/>
      <c r="Z266" s="363"/>
      <c r="AA266" s="98"/>
      <c r="AB266" s="363">
        <f>IFERROR(__xludf.DUMMYFUNCTION("""COMPUTED_VALUE"""),46205.56765046297)</f>
        <v>46205.56765</v>
      </c>
      <c r="AC266" s="100">
        <f>IFERROR(__xludf.DUMMYFUNCTION("""COMPUTED_VALUE"""),5.005707500036806)</f>
        <v>5.0057075</v>
      </c>
      <c r="AD266" s="363">
        <f>IFERROR(__xludf.DUMMYFUNCTION("""COMPUTED_VALUE"""),46205.56988425926)</f>
        <v>46205.56988</v>
      </c>
      <c r="AE266" s="100">
        <f>IFERROR(__xludf.DUMMYFUNCTION("""COMPUTED_VALUE"""),4.952096388966311)</f>
        <v>4.952096389</v>
      </c>
      <c r="AF266" s="364">
        <f>IFERROR(__xludf.DUMMYFUNCTION("""COMPUTED_VALUE"""),455.0)</f>
        <v>455</v>
      </c>
      <c r="AG266" s="98" t="str">
        <f>IFERROR(__xludf.DUMMYFUNCTION("""COMPUTED_VALUE"""),"Grid fail and TCO DG broken site")</f>
        <v>Grid fail and TCO DG broken site</v>
      </c>
      <c r="AH266" s="98"/>
      <c r="AI266" s="98"/>
      <c r="AJ266" s="98" t="str">
        <f>IFERROR(__xludf.DUMMYFUNCTION("""COMPUTED_VALUE"""),"TCO_Loss_Power_Cannot_Access(Sercurity,Owner…)")</f>
        <v>TCO_Loss_Power_Cannot_Access(Sercurity,Owner…)</v>
      </c>
      <c r="AK266" s="98" t="str">
        <f>IFERROR(__xludf.DUMMYFUNCTION("""COMPUTED_VALUE"""),"Grid failed  Access issue/unsafe area")</f>
        <v>Grid failed  Access issue/unsafe area</v>
      </c>
      <c r="AL266" s="364">
        <f>IFERROR(__xludf.DUMMYFUNCTION("""COMPUTED_VALUE"""),1.0)</f>
        <v>1</v>
      </c>
      <c r="AM266" s="364">
        <f>IFERROR(__xludf.DUMMYFUNCTION("""COMPUTED_VALUE"""),1.0)</f>
        <v>1</v>
      </c>
    </row>
    <row r="267">
      <c r="A267" s="98">
        <f>IFERROR(__xludf.DUMMYFUNCTION("""COMPUTED_VALUE"""),264.0)</f>
        <v>264</v>
      </c>
      <c r="B267" s="98" t="str">
        <f>IFERROR(__xludf.DUMMYFUNCTION("""COMPUTED_VALUE"""),"TNI0341")</f>
        <v>TNI0341</v>
      </c>
      <c r="C267" s="98" t="str">
        <f>IFERROR(__xludf.DUMMYFUNCTION("""COMPUTED_VALUE"""),"C")</f>
        <v>C</v>
      </c>
      <c r="D267" s="98" t="str">
        <f>IFERROR(__xludf.DUMMYFUNCTION("""COMPUTED_VALUE"""),"IGT")</f>
        <v>IGT</v>
      </c>
      <c r="E267" s="98" t="str">
        <f>IFERROR(__xludf.DUMMYFUNCTION("""COMPUTED_VALUE"""),"T3")</f>
        <v>T3</v>
      </c>
      <c r="F267" s="98" t="str">
        <f>IFERROR(__xludf.DUMMYFUNCTION("""COMPUTED_VALUE"""),"Bokpyin")</f>
        <v>Bokpyin</v>
      </c>
      <c r="G267" s="98" t="str">
        <f>IFERROR(__xludf.DUMMYFUNCTION("""COMPUTED_VALUE"""),"Tin Naing Lin")</f>
        <v>Tin Naing Lin</v>
      </c>
      <c r="H267" s="98"/>
      <c r="I267" s="98"/>
      <c r="J267" s="98"/>
      <c r="K267" s="362">
        <f>IFERROR(__xludf.DUMMYFUNCTION("""COMPUTED_VALUE"""),90.0)</f>
        <v>90</v>
      </c>
      <c r="L267" s="98" t="str">
        <f>IFERROR(__xludf.DUMMYFUNCTION("""COMPUTED_VALUE"""),"24*7")</f>
        <v>24*7</v>
      </c>
      <c r="M267" s="98" t="str">
        <f>IFERROR(__xludf.DUMMYFUNCTION("""COMPUTED_VALUE"""),"1DG+Solar+BB")</f>
        <v>1DG+Solar+BB</v>
      </c>
      <c r="N267" s="98" t="str">
        <f>IFERROR(__xludf.DUMMYFUNCTION("""COMPUTED_VALUE"""),"ok")</f>
        <v>ok</v>
      </c>
      <c r="O267" s="363"/>
      <c r="P267" s="98"/>
      <c r="Q267" s="98"/>
      <c r="R267" s="100"/>
      <c r="S267" s="363"/>
      <c r="T267" s="100"/>
      <c r="U267" s="98"/>
      <c r="V267" s="100"/>
      <c r="W267" s="98"/>
      <c r="X267" s="363"/>
      <c r="Y267" s="100"/>
      <c r="Z267" s="363"/>
      <c r="AA267" s="98"/>
      <c r="AB267" s="363">
        <f>IFERROR(__xludf.DUMMYFUNCTION("""COMPUTED_VALUE"""),46193.625625)</f>
        <v>46193.62563</v>
      </c>
      <c r="AC267" s="100">
        <f>IFERROR(__xludf.DUMMYFUNCTION("""COMPUTED_VALUE"""),291.61431861121673)</f>
        <v>291.6143186</v>
      </c>
      <c r="AD267" s="363">
        <f>IFERROR(__xludf.DUMMYFUNCTION("""COMPUTED_VALUE"""),46193.628009259264)</f>
        <v>46193.62801</v>
      </c>
      <c r="AE267" s="100">
        <f>IFERROR(__xludf.DUMMYFUNCTION("""COMPUTED_VALUE"""),291.5570963890641)</f>
        <v>291.5570964</v>
      </c>
      <c r="AF267" s="364">
        <f>IFERROR(__xludf.DUMMYFUNCTION("""COMPUTED_VALUE"""),783.0)</f>
        <v>783</v>
      </c>
      <c r="AG267" s="98" t="str">
        <f>IFERROR(__xludf.DUMMYFUNCTION("""COMPUTED_VALUE"""),"IP : TNI0341SRT001-TNI0507SRT001 link down &gt;&gt;Current unsafe")</f>
        <v>IP : TNI0341SRT001-TNI0507SRT001 link down &gt;&gt;Current unsafe</v>
      </c>
      <c r="AH267" s="98"/>
      <c r="AI267" s="98"/>
      <c r="AJ267" s="98" t="str">
        <f>IFERROR(__xludf.DUMMYFUNCTION("""COMPUTED_VALUE"""),"Trans_Opt_Cable Broken On 2 Directions (Same Way)")</f>
        <v>Trans_Opt_Cable Broken On 2 Directions (Same Way)</v>
      </c>
      <c r="AK267" s="98" t="str">
        <f>IFERROR(__xludf.DUMMYFUNCTION("""COMPUTED_VALUE"""),"War zone &gt; IP : TNI0341SRT001-TNI0507SRT001 link down &gt;&gt;20/06/2026 14:58:45")</f>
        <v>War zone &gt; IP : TNI0341SRT001-TNI0507SRT001 link down &gt;&gt;20/06/2026 14:58:45</v>
      </c>
      <c r="AL267" s="364">
        <f>IFERROR(__xludf.DUMMYFUNCTION("""COMPUTED_VALUE"""),1.0)</f>
        <v>1</v>
      </c>
      <c r="AM267" s="364">
        <f>IFERROR(__xludf.DUMMYFUNCTION("""COMPUTED_VALUE"""),1.0)</f>
        <v>1</v>
      </c>
    </row>
    <row r="268">
      <c r="A268" s="98">
        <f>IFERROR(__xludf.DUMMYFUNCTION("""COMPUTED_VALUE"""),265.0)</f>
        <v>265</v>
      </c>
      <c r="B268" s="98" t="str">
        <f>IFERROR(__xludf.DUMMYFUNCTION("""COMPUTED_VALUE"""),"TNI0032")</f>
        <v>TNI0032</v>
      </c>
      <c r="C268" s="98" t="str">
        <f>IFERROR(__xludf.DUMMYFUNCTION("""COMPUTED_VALUE"""),"C")</f>
        <v>C</v>
      </c>
      <c r="D268" s="98" t="str">
        <f>IFERROR(__xludf.DUMMYFUNCTION("""COMPUTED_VALUE"""),"Apollo")</f>
        <v>Apollo</v>
      </c>
      <c r="E268" s="98" t="str">
        <f>IFERROR(__xludf.DUMMYFUNCTION("""COMPUTED_VALUE"""),"T4")</f>
        <v>T4</v>
      </c>
      <c r="F268" s="98" t="str">
        <f>IFERROR(__xludf.DUMMYFUNCTION("""COMPUTED_VALUE"""),"Kawthoung")</f>
        <v>Kawthoung</v>
      </c>
      <c r="G268" s="98" t="str">
        <f>IFERROR(__xludf.DUMMYFUNCTION("""COMPUTED_VALUE"""),"Khant Chaw Nyo")</f>
        <v>Khant Chaw Nyo</v>
      </c>
      <c r="H268" s="98"/>
      <c r="I268" s="98"/>
      <c r="J268" s="98"/>
      <c r="K268" s="362"/>
      <c r="L268" s="98" t="str">
        <f>IFERROR(__xludf.DUMMYFUNCTION("""COMPUTED_VALUE"""),"10:00PM-5:00AM")</f>
        <v>10:00PM-5:00AM</v>
      </c>
      <c r="M268" s="98" t="str">
        <f>IFERROR(__xludf.DUMMYFUNCTION("""COMPUTED_VALUE"""),"Grid+BB")</f>
        <v>Grid+BB</v>
      </c>
      <c r="N268" s="98" t="str">
        <f>IFERROR(__xludf.DUMMYFUNCTION("""COMPUTED_VALUE"""),"ok")</f>
        <v>ok</v>
      </c>
      <c r="O268" s="363"/>
      <c r="P268" s="98"/>
      <c r="Q268" s="98"/>
      <c r="R268" s="100"/>
      <c r="S268" s="363"/>
      <c r="T268" s="100"/>
      <c r="U268" s="98"/>
      <c r="V268" s="100"/>
      <c r="W268" s="98"/>
      <c r="X268" s="363"/>
      <c r="Y268" s="100"/>
      <c r="Z268" s="363"/>
      <c r="AA268" s="98"/>
      <c r="AB268" s="363"/>
      <c r="AC268" s="100"/>
      <c r="AD268" s="363"/>
      <c r="AE268" s="100"/>
      <c r="AF268" s="364">
        <f>IFERROR(__xludf.DUMMYFUNCTION("""COMPUTED_VALUE"""),764.0)</f>
        <v>764</v>
      </c>
      <c r="AG268" s="98"/>
      <c r="AH268" s="98"/>
      <c r="AI268" s="98"/>
      <c r="AJ268" s="98"/>
      <c r="AK268" s="98"/>
      <c r="AL268" s="364">
        <f>IFERROR(__xludf.DUMMYFUNCTION("""COMPUTED_VALUE"""),0.0)</f>
        <v>0</v>
      </c>
      <c r="AM268" s="364">
        <f>IFERROR(__xludf.DUMMYFUNCTION("""COMPUTED_VALUE"""),0.0)</f>
        <v>0</v>
      </c>
    </row>
    <row r="269">
      <c r="A269" s="98">
        <f>IFERROR(__xludf.DUMMYFUNCTION("""COMPUTED_VALUE"""),266.0)</f>
        <v>266</v>
      </c>
      <c r="B269" s="98" t="str">
        <f>IFERROR(__xludf.DUMMYFUNCTION("""COMPUTED_VALUE"""),"TNI0080")</f>
        <v>TNI0080</v>
      </c>
      <c r="C269" s="98" t="str">
        <f>IFERROR(__xludf.DUMMYFUNCTION("""COMPUTED_VALUE"""),"B")</f>
        <v>B</v>
      </c>
      <c r="D269" s="98" t="str">
        <f>IFERROR(__xludf.DUMMYFUNCTION("""COMPUTED_VALUE"""),"EFT")</f>
        <v>EFT</v>
      </c>
      <c r="E269" s="98" t="str">
        <f>IFERROR(__xludf.DUMMYFUNCTION("""COMPUTED_VALUE"""),"T4")</f>
        <v>T4</v>
      </c>
      <c r="F269" s="98" t="str">
        <f>IFERROR(__xludf.DUMMYFUNCTION("""COMPUTED_VALUE"""),"Kawthoung")</f>
        <v>Kawthoung</v>
      </c>
      <c r="G269" s="98" t="str">
        <f>IFERROR(__xludf.DUMMYFUNCTION("""COMPUTED_VALUE"""),"Khant Chaw Nyo")</f>
        <v>Khant Chaw Nyo</v>
      </c>
      <c r="H269" s="98"/>
      <c r="I269" s="98"/>
      <c r="J269" s="98"/>
      <c r="K269" s="362"/>
      <c r="L269" s="98" t="str">
        <f>IFERROR(__xludf.DUMMYFUNCTION("""COMPUTED_VALUE"""),"10:00PM-5:00AM")</f>
        <v>10:00PM-5:00AM</v>
      </c>
      <c r="M269" s="98" t="str">
        <f>IFERROR(__xludf.DUMMYFUNCTION("""COMPUTED_VALUE"""),"Grid+BB")</f>
        <v>Grid+BB</v>
      </c>
      <c r="N269" s="98" t="str">
        <f>IFERROR(__xludf.DUMMYFUNCTION("""COMPUTED_VALUE"""),"ok")</f>
        <v>ok</v>
      </c>
      <c r="O269" s="363"/>
      <c r="P269" s="98"/>
      <c r="Q269" s="98"/>
      <c r="R269" s="100"/>
      <c r="S269" s="363"/>
      <c r="T269" s="100"/>
      <c r="U269" s="98"/>
      <c r="V269" s="100"/>
      <c r="W269" s="98"/>
      <c r="X269" s="363"/>
      <c r="Y269" s="100"/>
      <c r="Z269" s="363"/>
      <c r="AA269" s="98"/>
      <c r="AB269" s="363"/>
      <c r="AC269" s="100"/>
      <c r="AD269" s="363"/>
      <c r="AE269" s="100"/>
      <c r="AF269" s="364">
        <f>IFERROR(__xludf.DUMMYFUNCTION("""COMPUTED_VALUE"""),2185.0)</f>
        <v>2185</v>
      </c>
      <c r="AG269" s="98" t="str">
        <f>IFERROR(__xludf.DUMMYFUNCTION("""COMPUTED_VALUE"""),"Checking with TCO team ")</f>
        <v>Checking with TCO team </v>
      </c>
      <c r="AH269" s="98"/>
      <c r="AI269" s="98"/>
      <c r="AJ269" s="98"/>
      <c r="AK269" s="98"/>
      <c r="AL269" s="364">
        <f>IFERROR(__xludf.DUMMYFUNCTION("""COMPUTED_VALUE"""),0.0)</f>
        <v>0</v>
      </c>
      <c r="AM269" s="364">
        <f>IFERROR(__xludf.DUMMYFUNCTION("""COMPUTED_VALUE"""),0.0)</f>
        <v>0</v>
      </c>
    </row>
    <row r="270">
      <c r="A270" s="98">
        <f>IFERROR(__xludf.DUMMYFUNCTION("""COMPUTED_VALUE"""),267.0)</f>
        <v>267</v>
      </c>
      <c r="B270" s="98" t="str">
        <f>IFERROR(__xludf.DUMMYFUNCTION("""COMPUTED_VALUE"""),"TNI0057")</f>
        <v>TNI0057</v>
      </c>
      <c r="C270" s="98" t="str">
        <f>IFERROR(__xludf.DUMMYFUNCTION("""COMPUTED_VALUE"""),"B")</f>
        <v>B</v>
      </c>
      <c r="D270" s="98" t="str">
        <f>IFERROR(__xludf.DUMMYFUNCTION("""COMPUTED_VALUE"""),"IGT")</f>
        <v>IGT</v>
      </c>
      <c r="E270" s="98" t="str">
        <f>IFERROR(__xludf.DUMMYFUNCTION("""COMPUTED_VALUE"""),"T4")</f>
        <v>T4</v>
      </c>
      <c r="F270" s="98" t="str">
        <f>IFERROR(__xludf.DUMMYFUNCTION("""COMPUTED_VALUE"""),"Kawthoung")</f>
        <v>Kawthoung</v>
      </c>
      <c r="G270" s="98" t="str">
        <f>IFERROR(__xludf.DUMMYFUNCTION("""COMPUTED_VALUE"""),"Aung Myint Myat")</f>
        <v>Aung Myint Myat</v>
      </c>
      <c r="H270" s="98"/>
      <c r="I270" s="98"/>
      <c r="J270" s="98"/>
      <c r="K270" s="362"/>
      <c r="L270" s="98" t="str">
        <f>IFERROR(__xludf.DUMMYFUNCTION("""COMPUTED_VALUE"""),"10:00PM-5:00AM")</f>
        <v>10:00PM-5:00AM</v>
      </c>
      <c r="M270" s="98" t="str">
        <f>IFERROR(__xludf.DUMMYFUNCTION("""COMPUTED_VALUE"""),"Grid+BB")</f>
        <v>Grid+BB</v>
      </c>
      <c r="N270" s="98" t="str">
        <f>IFERROR(__xludf.DUMMYFUNCTION("""COMPUTED_VALUE"""),"ok")</f>
        <v>ok</v>
      </c>
      <c r="O270" s="363"/>
      <c r="P270" s="98"/>
      <c r="Q270" s="98"/>
      <c r="R270" s="100"/>
      <c r="S270" s="363"/>
      <c r="T270" s="100"/>
      <c r="U270" s="98"/>
      <c r="V270" s="100"/>
      <c r="W270" s="98"/>
      <c r="X270" s="363"/>
      <c r="Y270" s="100"/>
      <c r="Z270" s="363"/>
      <c r="AA270" s="98"/>
      <c r="AB270" s="363"/>
      <c r="AC270" s="100"/>
      <c r="AD270" s="363"/>
      <c r="AE270" s="100"/>
      <c r="AF270" s="364">
        <f>IFERROR(__xludf.DUMMYFUNCTION("""COMPUTED_VALUE"""),1326.0)</f>
        <v>1326</v>
      </c>
      <c r="AG270" s="98" t="str">
        <f>IFERROR(__xludf.DUMMYFUNCTION("""COMPUTED_VALUE"""),"Grid fail, non DG ")</f>
        <v>Grid fail, non DG </v>
      </c>
      <c r="AH270" s="98"/>
      <c r="AI270" s="98"/>
      <c r="AJ270" s="98"/>
      <c r="AK270" s="98"/>
      <c r="AL270" s="364">
        <f>IFERROR(__xludf.DUMMYFUNCTION("""COMPUTED_VALUE"""),0.0)</f>
        <v>0</v>
      </c>
      <c r="AM270" s="364">
        <f>IFERROR(__xludf.DUMMYFUNCTION("""COMPUTED_VALUE"""),0.0)</f>
        <v>0</v>
      </c>
    </row>
    <row r="271">
      <c r="A271" s="98">
        <f>IFERROR(__xludf.DUMMYFUNCTION("""COMPUTED_VALUE"""),268.0)</f>
        <v>268</v>
      </c>
      <c r="B271" s="98" t="str">
        <f>IFERROR(__xludf.DUMMYFUNCTION("""COMPUTED_VALUE"""),"TNI0510")</f>
        <v>TNI0510</v>
      </c>
      <c r="C271" s="98" t="str">
        <f>IFERROR(__xludf.DUMMYFUNCTION("""COMPUTED_VALUE"""),"C")</f>
        <v>C</v>
      </c>
      <c r="D271" s="98" t="str">
        <f>IFERROR(__xludf.DUMMYFUNCTION("""COMPUTED_VALUE"""),"IGT")</f>
        <v>IGT</v>
      </c>
      <c r="E271" s="98" t="str">
        <f>IFERROR(__xludf.DUMMYFUNCTION("""COMPUTED_VALUE"""),"T4")</f>
        <v>T4</v>
      </c>
      <c r="F271" s="98" t="str">
        <f>IFERROR(__xludf.DUMMYFUNCTION("""COMPUTED_VALUE"""),"Kawthoung")</f>
        <v>Kawthoung</v>
      </c>
      <c r="G271" s="98" t="str">
        <f>IFERROR(__xludf.DUMMYFUNCTION("""COMPUTED_VALUE"""),"Khant Chaw Nyo")</f>
        <v>Khant Chaw Nyo</v>
      </c>
      <c r="H271" s="98"/>
      <c r="I271" s="98"/>
      <c r="J271" s="98"/>
      <c r="K271" s="362">
        <f>IFERROR(__xludf.DUMMYFUNCTION("""COMPUTED_VALUE"""),120.0)</f>
        <v>120</v>
      </c>
      <c r="L271" s="98" t="str">
        <f>IFERROR(__xludf.DUMMYFUNCTION("""COMPUTED_VALUE"""),"10:00PM-5:00AM")</f>
        <v>10:00PM-5:00AM</v>
      </c>
      <c r="M271" s="98" t="str">
        <f>IFERROR(__xludf.DUMMYFUNCTION("""COMPUTED_VALUE"""),"1DG+BB")</f>
        <v>1DG+BB</v>
      </c>
      <c r="N271" s="98" t="str">
        <f>IFERROR(__xludf.DUMMYFUNCTION("""COMPUTED_VALUE"""),"ok")</f>
        <v>ok</v>
      </c>
      <c r="O271" s="363"/>
      <c r="P271" s="98"/>
      <c r="Q271" s="98"/>
      <c r="R271" s="100"/>
      <c r="S271" s="363"/>
      <c r="T271" s="100"/>
      <c r="U271" s="98"/>
      <c r="V271" s="100"/>
      <c r="W271" s="98"/>
      <c r="X271" s="363"/>
      <c r="Y271" s="100"/>
      <c r="Z271" s="363"/>
      <c r="AA271" s="98"/>
      <c r="AB271" s="363"/>
      <c r="AC271" s="100"/>
      <c r="AD271" s="363"/>
      <c r="AE271" s="100"/>
      <c r="AF271" s="364">
        <f>IFERROR(__xludf.DUMMYFUNCTION("""COMPUTED_VALUE"""),291.0)</f>
        <v>291</v>
      </c>
      <c r="AG271" s="98" t="str">
        <f>IFERROR(__xludf.DUMMYFUNCTION("""COMPUTED_VALUE"""),"TCO team ETA 9 AM")</f>
        <v>TCO team ETA 9 AM</v>
      </c>
      <c r="AH271" s="98"/>
      <c r="AI271" s="98"/>
      <c r="AJ271" s="98"/>
      <c r="AK271" s="98"/>
      <c r="AL271" s="364">
        <f>IFERROR(__xludf.DUMMYFUNCTION("""COMPUTED_VALUE"""),0.0)</f>
        <v>0</v>
      </c>
      <c r="AM271" s="364">
        <f>IFERROR(__xludf.DUMMYFUNCTION("""COMPUTED_VALUE"""),0.0)</f>
        <v>0</v>
      </c>
    </row>
    <row r="272">
      <c r="A272" s="98">
        <f>IFERROR(__xludf.DUMMYFUNCTION("""COMPUTED_VALUE"""),269.0)</f>
        <v>269</v>
      </c>
      <c r="B272" s="98" t="str">
        <f>IFERROR(__xludf.DUMMYFUNCTION("""COMPUTED_VALUE"""),"TNI0064")</f>
        <v>TNI0064</v>
      </c>
      <c r="C272" s="98" t="str">
        <f>IFERROR(__xludf.DUMMYFUNCTION("""COMPUTED_VALUE"""),"B")</f>
        <v>B</v>
      </c>
      <c r="D272" s="98" t="str">
        <f>IFERROR(__xludf.DUMMYFUNCTION("""COMPUTED_VALUE"""),"MEC")</f>
        <v>MEC</v>
      </c>
      <c r="E272" s="98" t="str">
        <f>IFERROR(__xludf.DUMMYFUNCTION("""COMPUTED_VALUE"""),"T4")</f>
        <v>T4</v>
      </c>
      <c r="F272" s="98" t="str">
        <f>IFERROR(__xludf.DUMMYFUNCTION("""COMPUTED_VALUE"""),"Kawthoung")</f>
        <v>Kawthoung</v>
      </c>
      <c r="G272" s="98" t="str">
        <f>IFERROR(__xludf.DUMMYFUNCTION("""COMPUTED_VALUE"""),"Khant Chaw Nyo")</f>
        <v>Khant Chaw Nyo</v>
      </c>
      <c r="H272" s="98"/>
      <c r="I272" s="98"/>
      <c r="J272" s="98"/>
      <c r="K272" s="362"/>
      <c r="L272" s="98" t="str">
        <f>IFERROR(__xludf.DUMMYFUNCTION("""COMPUTED_VALUE"""),"10:00PM-5:00AM")</f>
        <v>10:00PM-5:00AM</v>
      </c>
      <c r="M272" s="98" t="str">
        <f>IFERROR(__xludf.DUMMYFUNCTION("""COMPUTED_VALUE"""),"Grid+BB")</f>
        <v>Grid+BB</v>
      </c>
      <c r="N272" s="98" t="str">
        <f>IFERROR(__xludf.DUMMYFUNCTION("""COMPUTED_VALUE"""),"ok")</f>
        <v>ok</v>
      </c>
      <c r="O272" s="363"/>
      <c r="P272" s="98"/>
      <c r="Q272" s="98"/>
      <c r="R272" s="100"/>
      <c r="S272" s="363"/>
      <c r="T272" s="100"/>
      <c r="U272" s="98"/>
      <c r="V272" s="100"/>
      <c r="W272" s="98"/>
      <c r="X272" s="363"/>
      <c r="Y272" s="100"/>
      <c r="Z272" s="363"/>
      <c r="AA272" s="98"/>
      <c r="AB272" s="363"/>
      <c r="AC272" s="100"/>
      <c r="AD272" s="363"/>
      <c r="AE272" s="100"/>
      <c r="AF272" s="364">
        <f>IFERROR(__xludf.DUMMYFUNCTION("""COMPUTED_VALUE"""),408.0)</f>
        <v>408</v>
      </c>
      <c r="AG272" s="98" t="str">
        <f>IFERROR(__xludf.DUMMYFUNCTION("""COMPUTED_VALUE"""),"ETA 7 AM")</f>
        <v>ETA 7 AM</v>
      </c>
      <c r="AH272" s="98"/>
      <c r="AI272" s="98"/>
      <c r="AJ272" s="98"/>
      <c r="AK272" s="98"/>
      <c r="AL272" s="364">
        <f>IFERROR(__xludf.DUMMYFUNCTION("""COMPUTED_VALUE"""),0.0)</f>
        <v>0</v>
      </c>
      <c r="AM272" s="364">
        <f>IFERROR(__xludf.DUMMYFUNCTION("""COMPUTED_VALUE"""),0.0)</f>
        <v>0</v>
      </c>
    </row>
    <row r="273">
      <c r="A273" s="98">
        <f>IFERROR(__xludf.DUMMYFUNCTION("""COMPUTED_VALUE"""),270.0)</f>
        <v>270</v>
      </c>
      <c r="B273" s="98" t="str">
        <f>IFERROR(__xludf.DUMMYFUNCTION("""COMPUTED_VALUE"""),"TNI0017")</f>
        <v>TNI0017</v>
      </c>
      <c r="C273" s="98" t="str">
        <f>IFERROR(__xludf.DUMMYFUNCTION("""COMPUTED_VALUE"""),"C")</f>
        <v>C</v>
      </c>
      <c r="D273" s="98" t="str">
        <f>IFERROR(__xludf.DUMMYFUNCTION("""COMPUTED_VALUE"""),"MIG")</f>
        <v>MIG</v>
      </c>
      <c r="E273" s="98" t="str">
        <f>IFERROR(__xludf.DUMMYFUNCTION("""COMPUTED_VALUE"""),"T4")</f>
        <v>T4</v>
      </c>
      <c r="F273" s="98" t="str">
        <f>IFERROR(__xludf.DUMMYFUNCTION("""COMPUTED_VALUE"""),"Kawthoung")</f>
        <v>Kawthoung</v>
      </c>
      <c r="G273" s="98" t="str">
        <f>IFERROR(__xludf.DUMMYFUNCTION("""COMPUTED_VALUE"""),"Khant Chaw Nyo")</f>
        <v>Khant Chaw Nyo</v>
      </c>
      <c r="H273" s="98"/>
      <c r="I273" s="98"/>
      <c r="J273" s="98"/>
      <c r="K273" s="362"/>
      <c r="L273" s="98" t="str">
        <f>IFERROR(__xludf.DUMMYFUNCTION("""COMPUTED_VALUE"""),"10:00PM-5:00AM")</f>
        <v>10:00PM-5:00AM</v>
      </c>
      <c r="M273" s="98" t="str">
        <f>IFERROR(__xludf.DUMMYFUNCTION("""COMPUTED_VALUE"""),"Grid+BB")</f>
        <v>Grid+BB</v>
      </c>
      <c r="N273" s="98" t="str">
        <f>IFERROR(__xludf.DUMMYFUNCTION("""COMPUTED_VALUE"""),"ok")</f>
        <v>ok</v>
      </c>
      <c r="O273" s="363"/>
      <c r="P273" s="98"/>
      <c r="Q273" s="98"/>
      <c r="R273" s="100"/>
      <c r="S273" s="363"/>
      <c r="T273" s="100"/>
      <c r="U273" s="98"/>
      <c r="V273" s="100"/>
      <c r="W273" s="98"/>
      <c r="X273" s="363"/>
      <c r="Y273" s="100"/>
      <c r="Z273" s="363"/>
      <c r="AA273" s="98"/>
      <c r="AB273" s="363"/>
      <c r="AC273" s="100"/>
      <c r="AD273" s="363"/>
      <c r="AE273" s="100"/>
      <c r="AF273" s="364">
        <f>IFERROR(__xludf.DUMMYFUNCTION("""COMPUTED_VALUE"""),815.0)</f>
        <v>815</v>
      </c>
      <c r="AG273" s="98" t="str">
        <f>IFERROR(__xludf.DUMMYFUNCTION("""COMPUTED_VALUE"""),"Team will save ")</f>
        <v>Team will save </v>
      </c>
      <c r="AH273" s="98"/>
      <c r="AI273" s="98"/>
      <c r="AJ273" s="98"/>
      <c r="AK273" s="98"/>
      <c r="AL273" s="364">
        <f>IFERROR(__xludf.DUMMYFUNCTION("""COMPUTED_VALUE"""),0.0)</f>
        <v>0</v>
      </c>
      <c r="AM273" s="364">
        <f>IFERROR(__xludf.DUMMYFUNCTION("""COMPUTED_VALUE"""),0.0)</f>
        <v>0</v>
      </c>
    </row>
    <row r="274">
      <c r="A274" s="98">
        <f>IFERROR(__xludf.DUMMYFUNCTION("""COMPUTED_VALUE"""),271.0)</f>
        <v>271</v>
      </c>
      <c r="B274" s="98" t="str">
        <f>IFERROR(__xludf.DUMMYFUNCTION("""COMPUTED_VALUE"""),"TNI0037")</f>
        <v>TNI0037</v>
      </c>
      <c r="C274" s="98" t="str">
        <f>IFERROR(__xludf.DUMMYFUNCTION("""COMPUTED_VALUE"""),"B")</f>
        <v>B</v>
      </c>
      <c r="D274" s="98" t="str">
        <f>IFERROR(__xludf.DUMMYFUNCTION("""COMPUTED_VALUE"""),"Mytel")</f>
        <v>Mytel</v>
      </c>
      <c r="E274" s="98" t="str">
        <f>IFERROR(__xludf.DUMMYFUNCTION("""COMPUTED_VALUE"""),"T4")</f>
        <v>T4</v>
      </c>
      <c r="F274" s="98" t="str">
        <f>IFERROR(__xludf.DUMMYFUNCTION("""COMPUTED_VALUE"""),"Kawthoung")</f>
        <v>Kawthoung</v>
      </c>
      <c r="G274" s="98" t="str">
        <f>IFERROR(__xludf.DUMMYFUNCTION("""COMPUTED_VALUE"""),"Aung Myint Myat")</f>
        <v>Aung Myint Myat</v>
      </c>
      <c r="H274" s="98"/>
      <c r="I274" s="98"/>
      <c r="J274" s="98"/>
      <c r="K274" s="362"/>
      <c r="L274" s="98" t="str">
        <f>IFERROR(__xludf.DUMMYFUNCTION("""COMPUTED_VALUE"""),"10:00PM-5:00AM")</f>
        <v>10:00PM-5:00AM</v>
      </c>
      <c r="M274" s="98" t="str">
        <f>IFERROR(__xludf.DUMMYFUNCTION("""COMPUTED_VALUE"""),"1DG+Solar+Grid+BB")</f>
        <v>1DG+Solar+Grid+BB</v>
      </c>
      <c r="N274" s="98" t="str">
        <f>IFERROR(__xludf.DUMMYFUNCTION("""COMPUTED_VALUE"""),"ok")</f>
        <v>ok</v>
      </c>
      <c r="O274" s="363"/>
      <c r="P274" s="98"/>
      <c r="Q274" s="98"/>
      <c r="R274" s="100"/>
      <c r="S274" s="363"/>
      <c r="T274" s="100"/>
      <c r="U274" s="98"/>
      <c r="V274" s="100"/>
      <c r="W274" s="98"/>
      <c r="X274" s="363"/>
      <c r="Y274" s="100"/>
      <c r="Z274" s="363"/>
      <c r="AA274" s="98"/>
      <c r="AB274" s="363"/>
      <c r="AC274" s="100"/>
      <c r="AD274" s="363"/>
      <c r="AE274" s="100"/>
      <c r="AF274" s="364">
        <f>IFERROR(__xludf.DUMMYFUNCTION("""COMPUTED_VALUE"""),3333.0)</f>
        <v>3333</v>
      </c>
      <c r="AG274" s="98" t="str">
        <f>IFERROR(__xludf.DUMMYFUNCTION("""COMPUTED_VALUE"""),"Team onsite")</f>
        <v>Team onsite</v>
      </c>
      <c r="AH274" s="98"/>
      <c r="AI274" s="98"/>
      <c r="AJ274" s="98"/>
      <c r="AK274" s="98"/>
      <c r="AL274" s="364">
        <f>IFERROR(__xludf.DUMMYFUNCTION("""COMPUTED_VALUE"""),0.0)</f>
        <v>0</v>
      </c>
      <c r="AM274" s="364">
        <f>IFERROR(__xludf.DUMMYFUNCTION("""COMPUTED_VALUE"""),0.0)</f>
        <v>0</v>
      </c>
    </row>
    <row r="275">
      <c r="A275" s="98">
        <f>IFERROR(__xludf.DUMMYFUNCTION("""COMPUTED_VALUE"""),272.0)</f>
        <v>272</v>
      </c>
      <c r="B275" s="98" t="str">
        <f>IFERROR(__xludf.DUMMYFUNCTION("""COMPUTED_VALUE"""),"TNI0154")</f>
        <v>TNI0154</v>
      </c>
      <c r="C275" s="98" t="str">
        <f>IFERROR(__xludf.DUMMYFUNCTION("""COMPUTED_VALUE"""),"B")</f>
        <v>B</v>
      </c>
      <c r="D275" s="98" t="str">
        <f>IFERROR(__xludf.DUMMYFUNCTION("""COMPUTED_VALUE"""),"Mytel")</f>
        <v>Mytel</v>
      </c>
      <c r="E275" s="98" t="str">
        <f>IFERROR(__xludf.DUMMYFUNCTION("""COMPUTED_VALUE"""),"T4")</f>
        <v>T4</v>
      </c>
      <c r="F275" s="98" t="str">
        <f>IFERROR(__xludf.DUMMYFUNCTION("""COMPUTED_VALUE"""),"Kawthoung")</f>
        <v>Kawthoung</v>
      </c>
      <c r="G275" s="98" t="str">
        <f>IFERROR(__xludf.DUMMYFUNCTION("""COMPUTED_VALUE"""),"Khant Chaw Nyo")</f>
        <v>Khant Chaw Nyo</v>
      </c>
      <c r="H275" s="98"/>
      <c r="I275" s="98"/>
      <c r="J275" s="98"/>
      <c r="K275" s="362"/>
      <c r="L275" s="98" t="str">
        <f>IFERROR(__xludf.DUMMYFUNCTION("""COMPUTED_VALUE"""),"10:00PM-5:00AM")</f>
        <v>10:00PM-5:00AM</v>
      </c>
      <c r="M275" s="98" t="str">
        <f>IFERROR(__xludf.DUMMYFUNCTION("""COMPUTED_VALUE"""),"1DG+Solar+Grid+BB")</f>
        <v>1DG+Solar+Grid+BB</v>
      </c>
      <c r="N275" s="98" t="str">
        <f>IFERROR(__xludf.DUMMYFUNCTION("""COMPUTED_VALUE"""),"ok")</f>
        <v>ok</v>
      </c>
      <c r="O275" s="363"/>
      <c r="P275" s="98"/>
      <c r="Q275" s="98" t="str">
        <f>IFERROR(__xludf.DUMMYFUNCTION("""COMPUTED_VALUE""")," +Battery Door: 10/11/2025 10:36")</f>
        <v> +Battery Door: 10/11/2025 10:36</v>
      </c>
      <c r="R275" s="100">
        <f>IFERROR(__xludf.DUMMYFUNCTION("""COMPUTED_VALUE"""),5622.73)</f>
        <v>5622.73</v>
      </c>
      <c r="S275" s="363"/>
      <c r="T275" s="100"/>
      <c r="U275" s="98"/>
      <c r="V275" s="100"/>
      <c r="W275" s="98"/>
      <c r="X275" s="363"/>
      <c r="Y275" s="100"/>
      <c r="Z275" s="363"/>
      <c r="AA275" s="98"/>
      <c r="AB275" s="363"/>
      <c r="AC275" s="100"/>
      <c r="AD275" s="363"/>
      <c r="AE275" s="100"/>
      <c r="AF275" s="364">
        <f>IFERROR(__xludf.DUMMYFUNCTION("""COMPUTED_VALUE"""),1418.0)</f>
        <v>1418</v>
      </c>
      <c r="AG275" s="98" t="str">
        <f>IFERROR(__xludf.DUMMYFUNCTION("""COMPUTED_VALUE"""),"Unsafe")</f>
        <v>Unsafe</v>
      </c>
      <c r="AH275" s="98"/>
      <c r="AI275" s="98"/>
      <c r="AJ275" s="98"/>
      <c r="AK275" s="98"/>
      <c r="AL275" s="364">
        <f>IFERROR(__xludf.DUMMYFUNCTION("""COMPUTED_VALUE"""),0.0)</f>
        <v>0</v>
      </c>
      <c r="AM275" s="364">
        <f>IFERROR(__xludf.DUMMYFUNCTION("""COMPUTED_VALUE"""),0.0)</f>
        <v>0</v>
      </c>
    </row>
    <row r="276">
      <c r="A276" s="98">
        <f>IFERROR(__xludf.DUMMYFUNCTION("""COMPUTED_VALUE"""),273.0)</f>
        <v>273</v>
      </c>
      <c r="B276" s="98" t="str">
        <f>IFERROR(__xludf.DUMMYFUNCTION("""COMPUTED_VALUE"""),"TNI0227")</f>
        <v>TNI0227</v>
      </c>
      <c r="C276" s="98" t="str">
        <f>IFERROR(__xludf.DUMMYFUNCTION("""COMPUTED_VALUE"""),"B")</f>
        <v>B</v>
      </c>
      <c r="D276" s="98" t="str">
        <f>IFERROR(__xludf.DUMMYFUNCTION("""COMPUTED_VALUE"""),"Mytel")</f>
        <v>Mytel</v>
      </c>
      <c r="E276" s="98" t="str">
        <f>IFERROR(__xludf.DUMMYFUNCTION("""COMPUTED_VALUE"""),"T4")</f>
        <v>T4</v>
      </c>
      <c r="F276" s="98" t="str">
        <f>IFERROR(__xludf.DUMMYFUNCTION("""COMPUTED_VALUE"""),"Kawthoung")</f>
        <v>Kawthoung</v>
      </c>
      <c r="G276" s="98" t="str">
        <f>IFERROR(__xludf.DUMMYFUNCTION("""COMPUTED_VALUE"""),"Aung Myint Myat")</f>
        <v>Aung Myint Myat</v>
      </c>
      <c r="H276" s="98"/>
      <c r="I276" s="98"/>
      <c r="J276" s="98"/>
      <c r="K276" s="362">
        <f>IFERROR(__xludf.DUMMYFUNCTION("""COMPUTED_VALUE"""),90.0)</f>
        <v>90</v>
      </c>
      <c r="L276" s="98" t="str">
        <f>IFERROR(__xludf.DUMMYFUNCTION("""COMPUTED_VALUE"""),"10:00PM-5:00AM")</f>
        <v>10:00PM-5:00AM</v>
      </c>
      <c r="M276" s="98" t="str">
        <f>IFERROR(__xludf.DUMMYFUNCTION("""COMPUTED_VALUE"""),"1DG+BB")</f>
        <v>1DG+BB</v>
      </c>
      <c r="N276" s="98" t="str">
        <f>IFERROR(__xludf.DUMMYFUNCTION("""COMPUTED_VALUE"""),"241")</f>
        <v>241</v>
      </c>
      <c r="O276" s="363"/>
      <c r="P276" s="98"/>
      <c r="Q276" s="98"/>
      <c r="R276" s="100"/>
      <c r="S276" s="363">
        <f>IFERROR(__xludf.DUMMYFUNCTION("""COMPUTED_VALUE"""),46205.65913194444)</f>
        <v>46205.65913</v>
      </c>
      <c r="T276" s="100">
        <f>IFERROR(__xludf.DUMMYFUNCTION("""COMPUTED_VALUE"""),2.810151944635436)</f>
        <v>2.810151945</v>
      </c>
      <c r="U276" s="98"/>
      <c r="V276" s="100"/>
      <c r="W276" s="98"/>
      <c r="X276" s="363"/>
      <c r="Y276" s="100"/>
      <c r="Z276" s="363"/>
      <c r="AA276" s="98"/>
      <c r="AB276" s="363"/>
      <c r="AC276" s="100"/>
      <c r="AD276" s="363"/>
      <c r="AE276" s="100"/>
      <c r="AF276" s="364">
        <f>IFERROR(__xludf.DUMMYFUNCTION("""COMPUTED_VALUE"""),1600.0)</f>
        <v>1600</v>
      </c>
      <c r="AG276" s="98" t="str">
        <f>IFERROR(__xludf.DUMMYFUNCTION("""COMPUTED_VALUE"""),"Hub site TNI0123 down")</f>
        <v>Hub site TNI0123 down</v>
      </c>
      <c r="AH276" s="98"/>
      <c r="AI276" s="98"/>
      <c r="AJ276" s="98"/>
      <c r="AK276" s="98"/>
      <c r="AL276" s="364">
        <f>IFERROR(__xludf.DUMMYFUNCTION("""COMPUTED_VALUE"""),0.0)</f>
        <v>0</v>
      </c>
      <c r="AM276" s="364">
        <f>IFERROR(__xludf.DUMMYFUNCTION("""COMPUTED_VALUE"""),0.0)</f>
        <v>0</v>
      </c>
    </row>
    <row r="277">
      <c r="A277" s="98">
        <f>IFERROR(__xludf.DUMMYFUNCTION("""COMPUTED_VALUE"""),274.0)</f>
        <v>274</v>
      </c>
      <c r="B277" s="98" t="str">
        <f>IFERROR(__xludf.DUMMYFUNCTION("""COMPUTED_VALUE"""),"TNI0063")</f>
        <v>TNI0063</v>
      </c>
      <c r="C277" s="98" t="str">
        <f>IFERROR(__xludf.DUMMYFUNCTION("""COMPUTED_VALUE"""),"C")</f>
        <v>C</v>
      </c>
      <c r="D277" s="98" t="str">
        <f>IFERROR(__xludf.DUMMYFUNCTION("""COMPUTED_VALUE"""),"PAT")</f>
        <v>PAT</v>
      </c>
      <c r="E277" s="98" t="str">
        <f>IFERROR(__xludf.DUMMYFUNCTION("""COMPUTED_VALUE"""),"T4")</f>
        <v>T4</v>
      </c>
      <c r="F277" s="98" t="str">
        <f>IFERROR(__xludf.DUMMYFUNCTION("""COMPUTED_VALUE"""),"Kawthoung")</f>
        <v>Kawthoung</v>
      </c>
      <c r="G277" s="98" t="str">
        <f>IFERROR(__xludf.DUMMYFUNCTION("""COMPUTED_VALUE"""),"Khant Chaw Nyo")</f>
        <v>Khant Chaw Nyo</v>
      </c>
      <c r="H277" s="98"/>
      <c r="I277" s="98"/>
      <c r="J277" s="98"/>
      <c r="K277" s="362">
        <f>IFERROR(__xludf.DUMMYFUNCTION("""COMPUTED_VALUE"""),45.0)</f>
        <v>45</v>
      </c>
      <c r="L277" s="98" t="str">
        <f>IFERROR(__xludf.DUMMYFUNCTION("""COMPUTED_VALUE"""),"10:00PM-5:00AM")</f>
        <v>10:00PM-5:00AM</v>
      </c>
      <c r="M277" s="98" t="str">
        <f>IFERROR(__xludf.DUMMYFUNCTION("""COMPUTED_VALUE"""),"Grid+BB")</f>
        <v>Grid+BB</v>
      </c>
      <c r="N277" s="98" t="str">
        <f>IFERROR(__xludf.DUMMYFUNCTION("""COMPUTED_VALUE"""),"ok")</f>
        <v>ok</v>
      </c>
      <c r="O277" s="363"/>
      <c r="P277" s="98"/>
      <c r="Q277" s="98"/>
      <c r="R277" s="100"/>
      <c r="S277" s="363"/>
      <c r="T277" s="100"/>
      <c r="U277" s="98"/>
      <c r="V277" s="100"/>
      <c r="W277" s="98"/>
      <c r="X277" s="363"/>
      <c r="Y277" s="100"/>
      <c r="Z277" s="363"/>
      <c r="AA277" s="98"/>
      <c r="AB277" s="363"/>
      <c r="AC277" s="100"/>
      <c r="AD277" s="363"/>
      <c r="AE277" s="100"/>
      <c r="AF277" s="364">
        <f>IFERROR(__xludf.DUMMYFUNCTION("""COMPUTED_VALUE"""),1477.0)</f>
        <v>1477</v>
      </c>
      <c r="AG277" s="98" t="str">
        <f>IFERROR(__xludf.DUMMYFUNCTION("""COMPUTED_VALUE"""),"Checking with TCO team")</f>
        <v>Checking with TCO team</v>
      </c>
      <c r="AH277" s="98"/>
      <c r="AI277" s="98"/>
      <c r="AJ277" s="98"/>
      <c r="AK277" s="98"/>
      <c r="AL277" s="364">
        <f>IFERROR(__xludf.DUMMYFUNCTION("""COMPUTED_VALUE"""),0.0)</f>
        <v>0</v>
      </c>
      <c r="AM277" s="364">
        <f>IFERROR(__xludf.DUMMYFUNCTION("""COMPUTED_VALUE"""),0.0)</f>
        <v>0</v>
      </c>
    </row>
    <row r="278">
      <c r="A278" s="98">
        <f>IFERROR(__xludf.DUMMYFUNCTION("""COMPUTED_VALUE"""),275.0)</f>
        <v>275</v>
      </c>
      <c r="B278" s="98" t="str">
        <f>IFERROR(__xludf.DUMMYFUNCTION("""COMPUTED_VALUE"""),"TNI0016")</f>
        <v>TNI0016</v>
      </c>
      <c r="C278" s="98" t="str">
        <f>IFERROR(__xludf.DUMMYFUNCTION("""COMPUTED_VALUE"""),"C")</f>
        <v>C</v>
      </c>
      <c r="D278" s="98" t="str">
        <f>IFERROR(__xludf.DUMMYFUNCTION("""COMPUTED_VALUE"""),"OCK")</f>
        <v>OCK</v>
      </c>
      <c r="E278" s="98" t="str">
        <f>IFERROR(__xludf.DUMMYFUNCTION("""COMPUTED_VALUE"""),"T4")</f>
        <v>T4</v>
      </c>
      <c r="F278" s="98" t="str">
        <f>IFERROR(__xludf.DUMMYFUNCTION("""COMPUTED_VALUE"""),"Kawthoung")</f>
        <v>Kawthoung</v>
      </c>
      <c r="G278" s="98" t="str">
        <f>IFERROR(__xludf.DUMMYFUNCTION("""COMPUTED_VALUE"""),"Tin Maung Win")</f>
        <v>Tin Maung Win</v>
      </c>
      <c r="H278" s="98"/>
      <c r="I278" s="98"/>
      <c r="J278" s="98"/>
      <c r="K278" s="362"/>
      <c r="L278" s="98" t="str">
        <f>IFERROR(__xludf.DUMMYFUNCTION("""COMPUTED_VALUE"""),"10:00PM-5:00AM")</f>
        <v>10:00PM-5:00AM</v>
      </c>
      <c r="M278" s="98" t="str">
        <f>IFERROR(__xludf.DUMMYFUNCTION("""COMPUTED_VALUE"""),"Grid")</f>
        <v>Grid</v>
      </c>
      <c r="N278" s="98" t="str">
        <f>IFERROR(__xludf.DUMMYFUNCTION("""COMPUTED_VALUE"""),"ok")</f>
        <v>ok</v>
      </c>
      <c r="O278" s="363"/>
      <c r="P278" s="98"/>
      <c r="Q278" s="98"/>
      <c r="R278" s="100"/>
      <c r="S278" s="363"/>
      <c r="T278" s="100"/>
      <c r="U278" s="98"/>
      <c r="V278" s="100"/>
      <c r="W278" s="98"/>
      <c r="X278" s="363"/>
      <c r="Y278" s="100"/>
      <c r="Z278" s="363"/>
      <c r="AA278" s="98"/>
      <c r="AB278" s="363"/>
      <c r="AC278" s="100"/>
      <c r="AD278" s="363"/>
      <c r="AE278" s="100"/>
      <c r="AF278" s="364">
        <f>IFERROR(__xludf.DUMMYFUNCTION("""COMPUTED_VALUE"""),1325.0)</f>
        <v>1325</v>
      </c>
      <c r="AG278" s="98" t="str">
        <f>IFERROR(__xludf.DUMMYFUNCTION("""COMPUTED_VALUE"""),"Checking with TCO team")</f>
        <v>Checking with TCO team</v>
      </c>
      <c r="AH278" s="98"/>
      <c r="AI278" s="98"/>
      <c r="AJ278" s="98"/>
      <c r="AK278" s="98"/>
      <c r="AL278" s="364">
        <f>IFERROR(__xludf.DUMMYFUNCTION("""COMPUTED_VALUE"""),0.0)</f>
        <v>0</v>
      </c>
      <c r="AM278" s="364">
        <f>IFERROR(__xludf.DUMMYFUNCTION("""COMPUTED_VALUE"""),0.0)</f>
        <v>0</v>
      </c>
    </row>
    <row r="279">
      <c r="A279" s="98">
        <f>IFERROR(__xludf.DUMMYFUNCTION("""COMPUTED_VALUE"""),276.0)</f>
        <v>276</v>
      </c>
      <c r="B279" s="98" t="str">
        <f>IFERROR(__xludf.DUMMYFUNCTION("""COMPUTED_VALUE"""),"TNI0401")</f>
        <v>TNI0401</v>
      </c>
      <c r="C279" s="98" t="str">
        <f>IFERROR(__xludf.DUMMYFUNCTION("""COMPUTED_VALUE"""),"C")</f>
        <v>C</v>
      </c>
      <c r="D279" s="98" t="str">
        <f>IFERROR(__xludf.DUMMYFUNCTION("""COMPUTED_VALUE"""),"OCK")</f>
        <v>OCK</v>
      </c>
      <c r="E279" s="98" t="str">
        <f>IFERROR(__xludf.DUMMYFUNCTION("""COMPUTED_VALUE"""),"T4")</f>
        <v>T4</v>
      </c>
      <c r="F279" s="98" t="str">
        <f>IFERROR(__xludf.DUMMYFUNCTION("""COMPUTED_VALUE"""),"Kawthoung")</f>
        <v>Kawthoung</v>
      </c>
      <c r="G279" s="98" t="str">
        <f>IFERROR(__xludf.DUMMYFUNCTION("""COMPUTED_VALUE"""),"Aung Myint Myat")</f>
        <v>Aung Myint Myat</v>
      </c>
      <c r="H279" s="98"/>
      <c r="I279" s="98"/>
      <c r="J279" s="98"/>
      <c r="K279" s="362">
        <f>IFERROR(__xludf.DUMMYFUNCTION("""COMPUTED_VALUE"""),180.0)</f>
        <v>180</v>
      </c>
      <c r="L279" s="98" t="str">
        <f>IFERROR(__xludf.DUMMYFUNCTION("""COMPUTED_VALUE"""),"10:00PM-5:00AM")</f>
        <v>10:00PM-5:00AM</v>
      </c>
      <c r="M279" s="98" t="str">
        <f>IFERROR(__xludf.DUMMYFUNCTION("""COMPUTED_VALUE"""),"1DG+BB")</f>
        <v>1DG+BB</v>
      </c>
      <c r="N279" s="98" t="str">
        <f>IFERROR(__xludf.DUMMYFUNCTION("""COMPUTED_VALUE"""),"ok")</f>
        <v>ok</v>
      </c>
      <c r="O279" s="363"/>
      <c r="P279" s="98"/>
      <c r="Q279" s="98"/>
      <c r="R279" s="100"/>
      <c r="S279" s="363"/>
      <c r="T279" s="100"/>
      <c r="U279" s="98"/>
      <c r="V279" s="100"/>
      <c r="W279" s="98"/>
      <c r="X279" s="363"/>
      <c r="Y279" s="100"/>
      <c r="Z279" s="363"/>
      <c r="AA279" s="98"/>
      <c r="AB279" s="363"/>
      <c r="AC279" s="100"/>
      <c r="AD279" s="363"/>
      <c r="AE279" s="100"/>
      <c r="AF279" s="364">
        <f>IFERROR(__xludf.DUMMYFUNCTION("""COMPUTED_VALUE"""),1244.0)</f>
        <v>1244</v>
      </c>
      <c r="AG279" s="98" t="str">
        <f>IFERROR(__xludf.DUMMYFUNCTION("""COMPUTED_VALUE"""),"checking with team")</f>
        <v>checking with team</v>
      </c>
      <c r="AH279" s="98"/>
      <c r="AI279" s="98"/>
      <c r="AJ279" s="98"/>
      <c r="AK279" s="98"/>
      <c r="AL279" s="364">
        <f>IFERROR(__xludf.DUMMYFUNCTION("""COMPUTED_VALUE"""),0.0)</f>
        <v>0</v>
      </c>
      <c r="AM279" s="364">
        <f>IFERROR(__xludf.DUMMYFUNCTION("""COMPUTED_VALUE"""),0.0)</f>
        <v>0</v>
      </c>
    </row>
    <row r="280">
      <c r="A280" s="98">
        <f>IFERROR(__xludf.DUMMYFUNCTION("""COMPUTED_VALUE"""),277.0)</f>
        <v>277</v>
      </c>
      <c r="B280" s="98" t="str">
        <f>IFERROR(__xludf.DUMMYFUNCTION("""COMPUTED_VALUE"""),"TNI0022")</f>
        <v>TNI0022</v>
      </c>
      <c r="C280" s="98" t="str">
        <f>IFERROR(__xludf.DUMMYFUNCTION("""COMPUTED_VALUE"""),"C")</f>
        <v>C</v>
      </c>
      <c r="D280" s="98" t="str">
        <f>IFERROR(__xludf.DUMMYFUNCTION("""COMPUTED_VALUE"""),"PAT")</f>
        <v>PAT</v>
      </c>
      <c r="E280" s="98" t="str">
        <f>IFERROR(__xludf.DUMMYFUNCTION("""COMPUTED_VALUE"""),"T4")</f>
        <v>T4</v>
      </c>
      <c r="F280" s="98" t="str">
        <f>IFERROR(__xludf.DUMMYFUNCTION("""COMPUTED_VALUE"""),"Kawthoung")</f>
        <v>Kawthoung</v>
      </c>
      <c r="G280" s="98" t="str">
        <f>IFERROR(__xludf.DUMMYFUNCTION("""COMPUTED_VALUE"""),"Khant Chaw Nyo")</f>
        <v>Khant Chaw Nyo</v>
      </c>
      <c r="H280" s="98"/>
      <c r="I280" s="98"/>
      <c r="J280" s="98"/>
      <c r="K280" s="362"/>
      <c r="L280" s="98" t="str">
        <f>IFERROR(__xludf.DUMMYFUNCTION("""COMPUTED_VALUE"""),"10:00PM-5:00AM")</f>
        <v>10:00PM-5:00AM</v>
      </c>
      <c r="M280" s="98" t="str">
        <f>IFERROR(__xludf.DUMMYFUNCTION("""COMPUTED_VALUE"""),"1DG+Grid+BB")</f>
        <v>1DG+Grid+BB</v>
      </c>
      <c r="N280" s="98" t="str">
        <f>IFERROR(__xludf.DUMMYFUNCTION("""COMPUTED_VALUE"""),"ok")</f>
        <v>ok</v>
      </c>
      <c r="O280" s="363"/>
      <c r="P280" s="98"/>
      <c r="Q280" s="98"/>
      <c r="R280" s="100"/>
      <c r="S280" s="363"/>
      <c r="T280" s="100"/>
      <c r="U280" s="98"/>
      <c r="V280" s="100"/>
      <c r="W280" s="98"/>
      <c r="X280" s="363"/>
      <c r="Y280" s="100"/>
      <c r="Z280" s="363"/>
      <c r="AA280" s="98"/>
      <c r="AB280" s="363"/>
      <c r="AC280" s="100"/>
      <c r="AD280" s="363"/>
      <c r="AE280" s="100"/>
      <c r="AF280" s="364">
        <f>IFERROR(__xludf.DUMMYFUNCTION("""COMPUTED_VALUE"""),1417.0)</f>
        <v>1417</v>
      </c>
      <c r="AG280" s="98" t="str">
        <f>IFERROR(__xludf.DUMMYFUNCTION("""COMPUTED_VALUE"""),"ETA 7 AM")</f>
        <v>ETA 7 AM</v>
      </c>
      <c r="AH280" s="98"/>
      <c r="AI280" s="98"/>
      <c r="AJ280" s="98"/>
      <c r="AK280" s="98"/>
      <c r="AL280" s="364">
        <f>IFERROR(__xludf.DUMMYFUNCTION("""COMPUTED_VALUE"""),0.0)</f>
        <v>0</v>
      </c>
      <c r="AM280" s="364">
        <f>IFERROR(__xludf.DUMMYFUNCTION("""COMPUTED_VALUE"""),0.0)</f>
        <v>0</v>
      </c>
    </row>
    <row r="281">
      <c r="A281" s="98">
        <f>IFERROR(__xludf.DUMMYFUNCTION("""COMPUTED_VALUE"""),278.0)</f>
        <v>278</v>
      </c>
      <c r="B281" s="98" t="str">
        <f>IFERROR(__xludf.DUMMYFUNCTION("""COMPUTED_VALUE"""),"TNI0063")</f>
        <v>TNI0063</v>
      </c>
      <c r="C281" s="98" t="str">
        <f>IFERROR(__xludf.DUMMYFUNCTION("""COMPUTED_VALUE"""),"C")</f>
        <v>C</v>
      </c>
      <c r="D281" s="98" t="str">
        <f>IFERROR(__xludf.DUMMYFUNCTION("""COMPUTED_VALUE"""),"PAT")</f>
        <v>PAT</v>
      </c>
      <c r="E281" s="98" t="str">
        <f>IFERROR(__xludf.DUMMYFUNCTION("""COMPUTED_VALUE"""),"T4")</f>
        <v>T4</v>
      </c>
      <c r="F281" s="98" t="str">
        <f>IFERROR(__xludf.DUMMYFUNCTION("""COMPUTED_VALUE"""),"Kawthoung")</f>
        <v>Kawthoung</v>
      </c>
      <c r="G281" s="98" t="str">
        <f>IFERROR(__xludf.DUMMYFUNCTION("""COMPUTED_VALUE"""),"Khant Chaw Nyo")</f>
        <v>Khant Chaw Nyo</v>
      </c>
      <c r="H281" s="98"/>
      <c r="I281" s="98"/>
      <c r="J281" s="98"/>
      <c r="K281" s="362">
        <f>IFERROR(__xludf.DUMMYFUNCTION("""COMPUTED_VALUE"""),45.0)</f>
        <v>45</v>
      </c>
      <c r="L281" s="98" t="str">
        <f>IFERROR(__xludf.DUMMYFUNCTION("""COMPUTED_VALUE"""),"10:00PM-5:00AM")</f>
        <v>10:00PM-5:00AM</v>
      </c>
      <c r="M281" s="98" t="str">
        <f>IFERROR(__xludf.DUMMYFUNCTION("""COMPUTED_VALUE"""),"Grid+BB")</f>
        <v>Grid+BB</v>
      </c>
      <c r="N281" s="98" t="str">
        <f>IFERROR(__xludf.DUMMYFUNCTION("""COMPUTED_VALUE"""),"ok")</f>
        <v>ok</v>
      </c>
      <c r="O281" s="363"/>
      <c r="P281" s="98"/>
      <c r="Q281" s="98"/>
      <c r="R281" s="100"/>
      <c r="S281" s="363"/>
      <c r="T281" s="100"/>
      <c r="U281" s="98"/>
      <c r="V281" s="100"/>
      <c r="W281" s="98"/>
      <c r="X281" s="363"/>
      <c r="Y281" s="100"/>
      <c r="Z281" s="363"/>
      <c r="AA281" s="98"/>
      <c r="AB281" s="363"/>
      <c r="AC281" s="100"/>
      <c r="AD281" s="363"/>
      <c r="AE281" s="100"/>
      <c r="AF281" s="364">
        <f>IFERROR(__xludf.DUMMYFUNCTION("""COMPUTED_VALUE"""),1477.0)</f>
        <v>1477</v>
      </c>
      <c r="AG281" s="98" t="str">
        <f>IFERROR(__xludf.DUMMYFUNCTION("""COMPUTED_VALUE"""),"Repat")</f>
        <v>Repat</v>
      </c>
      <c r="AH281" s="98"/>
      <c r="AI281" s="98"/>
      <c r="AJ281" s="98"/>
      <c r="AK281" s="98"/>
      <c r="AL281" s="364">
        <f>IFERROR(__xludf.DUMMYFUNCTION("""COMPUTED_VALUE"""),0.0)</f>
        <v>0</v>
      </c>
      <c r="AM281" s="364">
        <f>IFERROR(__xludf.DUMMYFUNCTION("""COMPUTED_VALUE"""),0.0)</f>
        <v>0</v>
      </c>
    </row>
    <row r="282">
      <c r="A282" s="98">
        <f>IFERROR(__xludf.DUMMYFUNCTION("""COMPUTED_VALUE"""),279.0)</f>
        <v>279</v>
      </c>
      <c r="B282" s="98" t="str">
        <f>IFERROR(__xludf.DUMMYFUNCTION("""COMPUTED_VALUE"""),"TNI0509")</f>
        <v>TNI0509</v>
      </c>
      <c r="C282" s="98" t="str">
        <f>IFERROR(__xludf.DUMMYFUNCTION("""COMPUTED_VALUE"""),"C")</f>
        <v>C</v>
      </c>
      <c r="D282" s="98" t="str">
        <f>IFERROR(__xludf.DUMMYFUNCTION("""COMPUTED_VALUE"""),"PAT")</f>
        <v>PAT</v>
      </c>
      <c r="E282" s="98" t="str">
        <f>IFERROR(__xludf.DUMMYFUNCTION("""COMPUTED_VALUE"""),"T4")</f>
        <v>T4</v>
      </c>
      <c r="F282" s="98" t="str">
        <f>IFERROR(__xludf.DUMMYFUNCTION("""COMPUTED_VALUE"""),"Kawthoung")</f>
        <v>Kawthoung</v>
      </c>
      <c r="G282" s="98" t="str">
        <f>IFERROR(__xludf.DUMMYFUNCTION("""COMPUTED_VALUE"""),"Khant Chaw Nyo")</f>
        <v>Khant Chaw Nyo</v>
      </c>
      <c r="H282" s="98"/>
      <c r="I282" s="98"/>
      <c r="J282" s="98"/>
      <c r="K282" s="362">
        <f>IFERROR(__xludf.DUMMYFUNCTION("""COMPUTED_VALUE"""),90.0)</f>
        <v>90</v>
      </c>
      <c r="L282" s="98" t="str">
        <f>IFERROR(__xludf.DUMMYFUNCTION("""COMPUTED_VALUE"""),"10:00PM-5:00AM")</f>
        <v>10:00PM-5:00AM</v>
      </c>
      <c r="M282" s="98" t="str">
        <f>IFERROR(__xludf.DUMMYFUNCTION("""COMPUTED_VALUE"""),"1DG+Solar+Grid+BB")</f>
        <v>1DG+Solar+Grid+BB</v>
      </c>
      <c r="N282" s="98" t="str">
        <f>IFERROR(__xludf.DUMMYFUNCTION("""COMPUTED_VALUE"""),"ok")</f>
        <v>ok</v>
      </c>
      <c r="O282" s="363"/>
      <c r="P282" s="98"/>
      <c r="Q282" s="98"/>
      <c r="R282" s="100"/>
      <c r="S282" s="363"/>
      <c r="T282" s="100"/>
      <c r="U282" s="98"/>
      <c r="V282" s="100"/>
      <c r="W282" s="98"/>
      <c r="X282" s="363"/>
      <c r="Y282" s="100"/>
      <c r="Z282" s="363"/>
      <c r="AA282" s="98"/>
      <c r="AB282" s="363"/>
      <c r="AC282" s="100"/>
      <c r="AD282" s="363"/>
      <c r="AE282" s="100"/>
      <c r="AF282" s="364">
        <f>IFERROR(__xludf.DUMMYFUNCTION("""COMPUTED_VALUE"""),300.0)</f>
        <v>300</v>
      </c>
      <c r="AG282" s="98"/>
      <c r="AH282" s="98"/>
      <c r="AI282" s="98"/>
      <c r="AJ282" s="98"/>
      <c r="AK282" s="98"/>
      <c r="AL282" s="364">
        <f>IFERROR(__xludf.DUMMYFUNCTION("""COMPUTED_VALUE"""),0.0)</f>
        <v>0</v>
      </c>
      <c r="AM282" s="364">
        <f>IFERROR(__xludf.DUMMYFUNCTION("""COMPUTED_VALUE"""),0.0)</f>
        <v>0</v>
      </c>
    </row>
    <row r="283">
      <c r="A283" s="98">
        <f>IFERROR(__xludf.DUMMYFUNCTION("""COMPUTED_VALUE"""),280.0)</f>
        <v>280</v>
      </c>
      <c r="B283" s="98" t="str">
        <f>IFERROR(__xludf.DUMMYFUNCTION("""COMPUTED_VALUE"""),"TNI0229")</f>
        <v>TNI0229</v>
      </c>
      <c r="C283" s="98" t="str">
        <f>IFERROR(__xludf.DUMMYFUNCTION("""COMPUTED_VALUE"""),"C")</f>
        <v>C</v>
      </c>
      <c r="D283" s="98" t="str">
        <f>IFERROR(__xludf.DUMMYFUNCTION("""COMPUTED_VALUE"""),"Apollo")</f>
        <v>Apollo</v>
      </c>
      <c r="E283" s="98" t="str">
        <f>IFERROR(__xludf.DUMMYFUNCTION("""COMPUTED_VALUE"""),"T4")</f>
        <v>T4</v>
      </c>
      <c r="F283" s="98" t="str">
        <f>IFERROR(__xludf.DUMMYFUNCTION("""COMPUTED_VALUE"""),"Kawthoung")</f>
        <v>Kawthoung</v>
      </c>
      <c r="G283" s="98" t="str">
        <f>IFERROR(__xludf.DUMMYFUNCTION("""COMPUTED_VALUE"""),"Khant Chaw Nyo")</f>
        <v>Khant Chaw Nyo</v>
      </c>
      <c r="H283" s="98"/>
      <c r="I283" s="98"/>
      <c r="J283" s="98"/>
      <c r="K283" s="362"/>
      <c r="L283" s="98" t="str">
        <f>IFERROR(__xludf.DUMMYFUNCTION("""COMPUTED_VALUE"""),"10:00PM-5:00AM")</f>
        <v>10:00PM-5:00AM</v>
      </c>
      <c r="M283" s="98" t="str">
        <f>IFERROR(__xludf.DUMMYFUNCTION("""COMPUTED_VALUE"""),"Grid+BB")</f>
        <v>Grid+BB</v>
      </c>
      <c r="N283" s="98" t="str">
        <f>IFERROR(__xludf.DUMMYFUNCTION("""COMPUTED_VALUE"""),"ok")</f>
        <v>ok</v>
      </c>
      <c r="O283" s="363"/>
      <c r="P283" s="98"/>
      <c r="Q283" s="98"/>
      <c r="R283" s="100"/>
      <c r="S283" s="363"/>
      <c r="T283" s="100"/>
      <c r="U283" s="98"/>
      <c r="V283" s="100"/>
      <c r="W283" s="98"/>
      <c r="X283" s="363"/>
      <c r="Y283" s="100"/>
      <c r="Z283" s="363"/>
      <c r="AA283" s="98"/>
      <c r="AB283" s="363"/>
      <c r="AC283" s="100"/>
      <c r="AD283" s="363"/>
      <c r="AE283" s="100"/>
      <c r="AF283" s="364">
        <f>IFERROR(__xludf.DUMMYFUNCTION("""COMPUTED_VALUE"""),1073.0)</f>
        <v>1073</v>
      </c>
      <c r="AG283" s="98"/>
      <c r="AH283" s="98"/>
      <c r="AI283" s="98"/>
      <c r="AJ283" s="98"/>
      <c r="AK283" s="98"/>
      <c r="AL283" s="364">
        <f>IFERROR(__xludf.DUMMYFUNCTION("""COMPUTED_VALUE"""),0.0)</f>
        <v>0</v>
      </c>
      <c r="AM283" s="364">
        <f>IFERROR(__xludf.DUMMYFUNCTION("""COMPUTED_VALUE"""),0.0)</f>
        <v>0</v>
      </c>
    </row>
    <row r="284">
      <c r="A284" s="98">
        <f>IFERROR(__xludf.DUMMYFUNCTION("""COMPUTED_VALUE"""),281.0)</f>
        <v>281</v>
      </c>
      <c r="B284" s="98" t="str">
        <f>IFERROR(__xludf.DUMMYFUNCTION("""COMPUTED_VALUE"""),"TNI0282")</f>
        <v>TNI0282</v>
      </c>
      <c r="C284" s="98" t="str">
        <f>IFERROR(__xludf.DUMMYFUNCTION("""COMPUTED_VALUE"""),"C")</f>
        <v>C</v>
      </c>
      <c r="D284" s="98" t="str">
        <f>IFERROR(__xludf.DUMMYFUNCTION("""COMPUTED_VALUE"""),"IGT")</f>
        <v>IGT</v>
      </c>
      <c r="E284" s="98" t="str">
        <f>IFERROR(__xludf.DUMMYFUNCTION("""COMPUTED_VALUE"""),"T4")</f>
        <v>T4</v>
      </c>
      <c r="F284" s="98" t="str">
        <f>IFERROR(__xludf.DUMMYFUNCTION("""COMPUTED_VALUE"""),"Kawthoung")</f>
        <v>Kawthoung</v>
      </c>
      <c r="G284" s="98" t="str">
        <f>IFERROR(__xludf.DUMMYFUNCTION("""COMPUTED_VALUE"""),"Khant Chaw Nyo")</f>
        <v>Khant Chaw Nyo</v>
      </c>
      <c r="H284" s="98"/>
      <c r="I284" s="98"/>
      <c r="J284" s="98"/>
      <c r="K284" s="362"/>
      <c r="L284" s="98" t="str">
        <f>IFERROR(__xludf.DUMMYFUNCTION("""COMPUTED_VALUE"""),"10:00PM-5:00AM")</f>
        <v>10:00PM-5:00AM</v>
      </c>
      <c r="M284" s="98" t="str">
        <f>IFERROR(__xludf.DUMMYFUNCTION("""COMPUTED_VALUE"""),"Grid+BB")</f>
        <v>Grid+BB</v>
      </c>
      <c r="N284" s="98" t="str">
        <f>IFERROR(__xludf.DUMMYFUNCTION("""COMPUTED_VALUE"""),"ok")</f>
        <v>ok</v>
      </c>
      <c r="O284" s="363"/>
      <c r="P284" s="98"/>
      <c r="Q284" s="98"/>
      <c r="R284" s="100"/>
      <c r="S284" s="363"/>
      <c r="T284" s="100"/>
      <c r="U284" s="98"/>
      <c r="V284" s="100"/>
      <c r="W284" s="98"/>
      <c r="X284" s="363"/>
      <c r="Y284" s="100"/>
      <c r="Z284" s="363"/>
      <c r="AA284" s="98"/>
      <c r="AB284" s="363"/>
      <c r="AC284" s="100"/>
      <c r="AD284" s="363"/>
      <c r="AE284" s="100"/>
      <c r="AF284" s="364">
        <f>IFERROR(__xludf.DUMMYFUNCTION("""COMPUTED_VALUE"""),843.0)</f>
        <v>843</v>
      </c>
      <c r="AG284" s="98" t="str">
        <f>IFERROR(__xludf.DUMMYFUNCTION("""COMPUTED_VALUE"""),"TCO team ETA 10:30 AM")</f>
        <v>TCO team ETA 10:30 AM</v>
      </c>
      <c r="AH284" s="98"/>
      <c r="AI284" s="98"/>
      <c r="AJ284" s="98"/>
      <c r="AK284" s="98"/>
      <c r="AL284" s="364">
        <f>IFERROR(__xludf.DUMMYFUNCTION("""COMPUTED_VALUE"""),0.0)</f>
        <v>0</v>
      </c>
      <c r="AM284" s="364">
        <f>IFERROR(__xludf.DUMMYFUNCTION("""COMPUTED_VALUE"""),0.0)</f>
        <v>0</v>
      </c>
    </row>
    <row r="285">
      <c r="A285" s="98">
        <f>IFERROR(__xludf.DUMMYFUNCTION("""COMPUTED_VALUE"""),282.0)</f>
        <v>282</v>
      </c>
      <c r="B285" s="98" t="str">
        <f>IFERROR(__xludf.DUMMYFUNCTION("""COMPUTED_VALUE"""),"TNI0350")</f>
        <v>TNI0350</v>
      </c>
      <c r="C285" s="98" t="str">
        <f>IFERROR(__xludf.DUMMYFUNCTION("""COMPUTED_VALUE"""),"C")</f>
        <v>C</v>
      </c>
      <c r="D285" s="98" t="str">
        <f>IFERROR(__xludf.DUMMYFUNCTION("""COMPUTED_VALUE"""),"IGT")</f>
        <v>IGT</v>
      </c>
      <c r="E285" s="98" t="str">
        <f>IFERROR(__xludf.DUMMYFUNCTION("""COMPUTED_VALUE"""),"T4")</f>
        <v>T4</v>
      </c>
      <c r="F285" s="98" t="str">
        <f>IFERROR(__xludf.DUMMYFUNCTION("""COMPUTED_VALUE"""),"Kawthoung")</f>
        <v>Kawthoung</v>
      </c>
      <c r="G285" s="98" t="str">
        <f>IFERROR(__xludf.DUMMYFUNCTION("""COMPUTED_VALUE"""),"Khant Chaw Nyo")</f>
        <v>Khant Chaw Nyo</v>
      </c>
      <c r="H285" s="98"/>
      <c r="I285" s="98"/>
      <c r="J285" s="98"/>
      <c r="K285" s="362"/>
      <c r="L285" s="98" t="str">
        <f>IFERROR(__xludf.DUMMYFUNCTION("""COMPUTED_VALUE"""),"10:00PM-5:00AM")</f>
        <v>10:00PM-5:00AM</v>
      </c>
      <c r="M285" s="98" t="str">
        <f>IFERROR(__xludf.DUMMYFUNCTION("""COMPUTED_VALUE"""),"Grid+BB")</f>
        <v>Grid+BB</v>
      </c>
      <c r="N285" s="98" t="str">
        <f>IFERROR(__xludf.DUMMYFUNCTION("""COMPUTED_VALUE"""),"ok")</f>
        <v>ok</v>
      </c>
      <c r="O285" s="363"/>
      <c r="P285" s="98"/>
      <c r="Q285" s="98"/>
      <c r="R285" s="100"/>
      <c r="S285" s="363"/>
      <c r="T285" s="100"/>
      <c r="U285" s="98"/>
      <c r="V285" s="100"/>
      <c r="W285" s="98"/>
      <c r="X285" s="363"/>
      <c r="Y285" s="100"/>
      <c r="Z285" s="363"/>
      <c r="AA285" s="98"/>
      <c r="AB285" s="363"/>
      <c r="AC285" s="100"/>
      <c r="AD285" s="363"/>
      <c r="AE285" s="100"/>
      <c r="AF285" s="364">
        <f>IFERROR(__xludf.DUMMYFUNCTION("""COMPUTED_VALUE"""),461.0)</f>
        <v>461</v>
      </c>
      <c r="AG285" s="98"/>
      <c r="AH285" s="98"/>
      <c r="AI285" s="98"/>
      <c r="AJ285" s="98"/>
      <c r="AK285" s="98"/>
      <c r="AL285" s="364">
        <f>IFERROR(__xludf.DUMMYFUNCTION("""COMPUTED_VALUE"""),0.0)</f>
        <v>0</v>
      </c>
      <c r="AM285" s="364">
        <f>IFERROR(__xludf.DUMMYFUNCTION("""COMPUTED_VALUE"""),0.0)</f>
        <v>0</v>
      </c>
    </row>
    <row r="286">
      <c r="A286" s="98">
        <f>IFERROR(__xludf.DUMMYFUNCTION("""COMPUTED_VALUE"""),283.0)</f>
        <v>283</v>
      </c>
      <c r="B286" s="98" t="str">
        <f>IFERROR(__xludf.DUMMYFUNCTION("""COMPUTED_VALUE"""),"TNI0355")</f>
        <v>TNI0355</v>
      </c>
      <c r="C286" s="98" t="str">
        <f>IFERROR(__xludf.DUMMYFUNCTION("""COMPUTED_VALUE"""),"C")</f>
        <v>C</v>
      </c>
      <c r="D286" s="98" t="str">
        <f>IFERROR(__xludf.DUMMYFUNCTION("""COMPUTED_VALUE"""),"MEC.PNC")</f>
        <v>MEC.PNC</v>
      </c>
      <c r="E286" s="98" t="str">
        <f>IFERROR(__xludf.DUMMYFUNCTION("""COMPUTED_VALUE"""),"T4")</f>
        <v>T4</v>
      </c>
      <c r="F286" s="98" t="str">
        <f>IFERROR(__xludf.DUMMYFUNCTION("""COMPUTED_VALUE"""),"Kawthoung")</f>
        <v>Kawthoung</v>
      </c>
      <c r="G286" s="98" t="str">
        <f>IFERROR(__xludf.DUMMYFUNCTION("""COMPUTED_VALUE"""),"Aung Myint Myat")</f>
        <v>Aung Myint Myat</v>
      </c>
      <c r="H286" s="98"/>
      <c r="I286" s="98"/>
      <c r="J286" s="98"/>
      <c r="K286" s="362">
        <f>IFERROR(__xludf.DUMMYFUNCTION("""COMPUTED_VALUE"""),90.0)</f>
        <v>90</v>
      </c>
      <c r="L286" s="98" t="str">
        <f>IFERROR(__xludf.DUMMYFUNCTION("""COMPUTED_VALUE"""),"10:00PM-5:00AM")</f>
        <v>10:00PM-5:00AM</v>
      </c>
      <c r="M286" s="98" t="str">
        <f>IFERROR(__xludf.DUMMYFUNCTION("""COMPUTED_VALUE"""),"1DG+Solar+BB")</f>
        <v>1DG+Solar+BB</v>
      </c>
      <c r="N286" s="98" t="str">
        <f>IFERROR(__xludf.DUMMYFUNCTION("""COMPUTED_VALUE"""),"238")</f>
        <v>238</v>
      </c>
      <c r="O286" s="363"/>
      <c r="P286" s="98"/>
      <c r="Q286" s="98"/>
      <c r="R286" s="100"/>
      <c r="S286" s="363"/>
      <c r="T286" s="100"/>
      <c r="U286" s="98"/>
      <c r="V286" s="100"/>
      <c r="W286" s="98"/>
      <c r="X286" s="363"/>
      <c r="Y286" s="100"/>
      <c r="Z286" s="363"/>
      <c r="AA286" s="98"/>
      <c r="AB286" s="363"/>
      <c r="AC286" s="100"/>
      <c r="AD286" s="363"/>
      <c r="AE286" s="100"/>
      <c r="AF286" s="364">
        <f>IFERROR(__xludf.DUMMYFUNCTION("""COMPUTED_VALUE"""),754.0)</f>
        <v>754</v>
      </c>
      <c r="AG286" s="98" t="str">
        <f>IFERROR(__xludf.DUMMYFUNCTION("""COMPUTED_VALUE"""),"ETA 7 AM")</f>
        <v>ETA 7 AM</v>
      </c>
      <c r="AH286" s="98"/>
      <c r="AI286" s="98"/>
      <c r="AJ286" s="98"/>
      <c r="AK286" s="98"/>
      <c r="AL286" s="364">
        <f>IFERROR(__xludf.DUMMYFUNCTION("""COMPUTED_VALUE"""),0.0)</f>
        <v>0</v>
      </c>
      <c r="AM286" s="364">
        <f>IFERROR(__xludf.DUMMYFUNCTION("""COMPUTED_VALUE"""),0.0)</f>
        <v>0</v>
      </c>
    </row>
    <row r="287">
      <c r="A287" s="98">
        <f>IFERROR(__xludf.DUMMYFUNCTION("""COMPUTED_VALUE"""),284.0)</f>
        <v>284</v>
      </c>
      <c r="B287" s="98" t="str">
        <f>IFERROR(__xludf.DUMMYFUNCTION("""COMPUTED_VALUE"""),"TNI0012")</f>
        <v>TNI0012</v>
      </c>
      <c r="C287" s="98" t="str">
        <f>IFERROR(__xludf.DUMMYFUNCTION("""COMPUTED_VALUE"""),"A")</f>
        <v>A</v>
      </c>
      <c r="D287" s="98" t="str">
        <f>IFERROR(__xludf.DUMMYFUNCTION("""COMPUTED_VALUE"""),"Mytel")</f>
        <v>Mytel</v>
      </c>
      <c r="E287" s="98" t="str">
        <f>IFERROR(__xludf.DUMMYFUNCTION("""COMPUTED_VALUE"""),"T4")</f>
        <v>T4</v>
      </c>
      <c r="F287" s="98" t="str">
        <f>IFERROR(__xludf.DUMMYFUNCTION("""COMPUTED_VALUE"""),"Kawthoung")</f>
        <v>Kawthoung</v>
      </c>
      <c r="G287" s="98" t="str">
        <f>IFERROR(__xludf.DUMMYFUNCTION("""COMPUTED_VALUE"""),"Khant Chaw Nyo")</f>
        <v>Khant Chaw Nyo</v>
      </c>
      <c r="H287" s="98" t="str">
        <f>IFERROR(__xludf.DUMMYFUNCTION("""COMPUTED_VALUE"""),"Min Min Htun: 09754668782")</f>
        <v>Min Min Htun: 09754668782</v>
      </c>
      <c r="I287" s="98"/>
      <c r="J287" s="98"/>
      <c r="K287" s="362">
        <f>IFERROR(__xludf.DUMMYFUNCTION("""COMPUTED_VALUE"""),120.0)</f>
        <v>120</v>
      </c>
      <c r="L287" s="98" t="str">
        <f>IFERROR(__xludf.DUMMYFUNCTION("""COMPUTED_VALUE"""),"10:00PM-5:00AM")</f>
        <v>10:00PM-5:00AM</v>
      </c>
      <c r="M287" s="98" t="str">
        <f>IFERROR(__xludf.DUMMYFUNCTION("""COMPUTED_VALUE"""),"2DG+Solar +BB")</f>
        <v>2DG+Solar +BB</v>
      </c>
      <c r="N287" s="98" t="str">
        <f>IFERROR(__xludf.DUMMYFUNCTION("""COMPUTED_VALUE"""),"0")</f>
        <v>0</v>
      </c>
      <c r="O287" s="363"/>
      <c r="P287" s="98"/>
      <c r="Q287" s="98"/>
      <c r="R287" s="100"/>
      <c r="S287" s="363"/>
      <c r="T287" s="100"/>
      <c r="U287" s="98"/>
      <c r="V287" s="100"/>
      <c r="W287" s="98"/>
      <c r="X287" s="363"/>
      <c r="Y287" s="100"/>
      <c r="Z287" s="363"/>
      <c r="AA287" s="98"/>
      <c r="AB287" s="363"/>
      <c r="AC287" s="100"/>
      <c r="AD287" s="363"/>
      <c r="AE287" s="100"/>
      <c r="AF287" s="364">
        <f>IFERROR(__xludf.DUMMYFUNCTION("""COMPUTED_VALUE"""),1398.0)</f>
        <v>1398</v>
      </c>
      <c r="AG287" s="98"/>
      <c r="AH287" s="98"/>
      <c r="AI287" s="98"/>
      <c r="AJ287" s="98"/>
      <c r="AK287" s="98"/>
      <c r="AL287" s="364">
        <f>IFERROR(__xludf.DUMMYFUNCTION("""COMPUTED_VALUE"""),0.0)</f>
        <v>0</v>
      </c>
      <c r="AM287" s="364">
        <f>IFERROR(__xludf.DUMMYFUNCTION("""COMPUTED_VALUE"""),0.0)</f>
        <v>0</v>
      </c>
    </row>
    <row r="288">
      <c r="A288" s="98">
        <f>IFERROR(__xludf.DUMMYFUNCTION("""COMPUTED_VALUE"""),285.0)</f>
        <v>285</v>
      </c>
      <c r="B288" s="98" t="str">
        <f>IFERROR(__xludf.DUMMYFUNCTION("""COMPUTED_VALUE"""),"TNI0123")</f>
        <v>TNI0123</v>
      </c>
      <c r="C288" s="98" t="str">
        <f>IFERROR(__xludf.DUMMYFUNCTION("""COMPUTED_VALUE"""),"C")</f>
        <v>C</v>
      </c>
      <c r="D288" s="98" t="str">
        <f>IFERROR(__xludf.DUMMYFUNCTION("""COMPUTED_VALUE"""),"MEC.PNC")</f>
        <v>MEC.PNC</v>
      </c>
      <c r="E288" s="98" t="str">
        <f>IFERROR(__xludf.DUMMYFUNCTION("""COMPUTED_VALUE"""),"T4")</f>
        <v>T4</v>
      </c>
      <c r="F288" s="98" t="str">
        <f>IFERROR(__xludf.DUMMYFUNCTION("""COMPUTED_VALUE"""),"Kawthoung")</f>
        <v>Kawthoung</v>
      </c>
      <c r="G288" s="98" t="str">
        <f>IFERROR(__xludf.DUMMYFUNCTION("""COMPUTED_VALUE"""),"Tin Maung Win")</f>
        <v>Tin Maung Win</v>
      </c>
      <c r="H288" s="98"/>
      <c r="I288" s="98"/>
      <c r="J288" s="98"/>
      <c r="K288" s="362">
        <f>IFERROR(__xludf.DUMMYFUNCTION("""COMPUTED_VALUE"""),90.0)</f>
        <v>90</v>
      </c>
      <c r="L288" s="98" t="str">
        <f>IFERROR(__xludf.DUMMYFUNCTION("""COMPUTED_VALUE"""),"10:00PM-5:00AM")</f>
        <v>10:00PM-5:00AM</v>
      </c>
      <c r="M288" s="98" t="str">
        <f>IFERROR(__xludf.DUMMYFUNCTION("""COMPUTED_VALUE"""),"1DG+Solar+Grid+BB")</f>
        <v>1DG+Solar+Grid+BB</v>
      </c>
      <c r="N288" s="98" t="str">
        <f>IFERROR(__xludf.DUMMYFUNCTION("""COMPUTED_VALUE"""),"127")</f>
        <v>127</v>
      </c>
      <c r="O288" s="363"/>
      <c r="P288" s="98"/>
      <c r="Q288" s="98" t="str">
        <f>IFERROR(__xludf.DUMMYFUNCTION("""COMPUTED_VALUE""")," +Door Alarm: 01/07/2026 12:05")</f>
        <v> +Door Alarm: 01/07/2026 12:05</v>
      </c>
      <c r="R288" s="100">
        <f>IFERROR(__xludf.DUMMYFUNCTION("""COMPUTED_VALUE"""),29.23)</f>
        <v>29.23</v>
      </c>
      <c r="S288" s="363">
        <f>IFERROR(__xludf.DUMMYFUNCTION("""COMPUTED_VALUE"""),46205.71796296297)</f>
        <v>46205.71796</v>
      </c>
      <c r="T288" s="100">
        <f>IFERROR(__xludf.DUMMYFUNCTION("""COMPUTED_VALUE"""),1.3982075001695193)</f>
        <v>1.3982075</v>
      </c>
      <c r="U288" s="98"/>
      <c r="V288" s="100"/>
      <c r="W288" s="98"/>
      <c r="X288" s="363"/>
      <c r="Y288" s="100"/>
      <c r="Z288" s="363"/>
      <c r="AA288" s="98"/>
      <c r="AB288" s="363"/>
      <c r="AC288" s="100"/>
      <c r="AD288" s="363"/>
      <c r="AE288" s="100"/>
      <c r="AF288" s="364">
        <f>IFERROR(__xludf.DUMMYFUNCTION("""COMPUTED_VALUE"""),1362.0)</f>
        <v>1362</v>
      </c>
      <c r="AG288" s="98" t="str">
        <f>IFERROR(__xludf.DUMMYFUNCTION("""COMPUTED_VALUE"""),"ETA 11 AM")</f>
        <v>ETA 11 AM</v>
      </c>
      <c r="AH288" s="98"/>
      <c r="AI288" s="98"/>
      <c r="AJ288" s="98"/>
      <c r="AK288" s="98"/>
      <c r="AL288" s="364">
        <f>IFERROR(__xludf.DUMMYFUNCTION("""COMPUTED_VALUE"""),0.0)</f>
        <v>0</v>
      </c>
      <c r="AM288" s="364">
        <f>IFERROR(__xludf.DUMMYFUNCTION("""COMPUTED_VALUE"""),0.0)</f>
        <v>0</v>
      </c>
    </row>
    <row r="289">
      <c r="A289" s="98">
        <f>IFERROR(__xludf.DUMMYFUNCTION("""COMPUTED_VALUE"""),286.0)</f>
        <v>286</v>
      </c>
      <c r="B289" s="98" t="str">
        <f>IFERROR(__xludf.DUMMYFUNCTION("""COMPUTED_VALUE"""),"TNI0120")</f>
        <v>TNI0120</v>
      </c>
      <c r="C289" s="98" t="str">
        <f>IFERROR(__xludf.DUMMYFUNCTION("""COMPUTED_VALUE"""),"B")</f>
        <v>B</v>
      </c>
      <c r="D289" s="98" t="str">
        <f>IFERROR(__xludf.DUMMYFUNCTION("""COMPUTED_VALUE"""),"Mytel")</f>
        <v>Mytel</v>
      </c>
      <c r="E289" s="98" t="str">
        <f>IFERROR(__xludf.DUMMYFUNCTION("""COMPUTED_VALUE"""),"T4")</f>
        <v>T4</v>
      </c>
      <c r="F289" s="98" t="str">
        <f>IFERROR(__xludf.DUMMYFUNCTION("""COMPUTED_VALUE"""),"Kawthoung")</f>
        <v>Kawthoung</v>
      </c>
      <c r="G289" s="98" t="str">
        <f>IFERROR(__xludf.DUMMYFUNCTION("""COMPUTED_VALUE"""),"Tin Maung Win")</f>
        <v>Tin Maung Win</v>
      </c>
      <c r="H289" s="98"/>
      <c r="I289" s="98"/>
      <c r="J289" s="98"/>
      <c r="K289" s="362">
        <f>IFERROR(__xludf.DUMMYFUNCTION("""COMPUTED_VALUE"""),120.0)</f>
        <v>120</v>
      </c>
      <c r="L289" s="98" t="str">
        <f>IFERROR(__xludf.DUMMYFUNCTION("""COMPUTED_VALUE"""),"10:00PM-5:00AM")</f>
        <v>10:00PM-5:00AM</v>
      </c>
      <c r="M289" s="98" t="str">
        <f>IFERROR(__xludf.DUMMYFUNCTION("""COMPUTED_VALUE"""),"1DG+Solar+Grid+BB")</f>
        <v>1DG+Solar+Grid+BB</v>
      </c>
      <c r="N289" s="98" t="str">
        <f>IFERROR(__xludf.DUMMYFUNCTION("""COMPUTED_VALUE"""),"153")</f>
        <v>153</v>
      </c>
      <c r="O289" s="363"/>
      <c r="P289" s="98"/>
      <c r="Q289" s="98"/>
      <c r="R289" s="100"/>
      <c r="S289" s="363">
        <f>IFERROR(__xludf.DUMMYFUNCTION("""COMPUTED_VALUE"""),46205.718043981484)</f>
        <v>46205.71804</v>
      </c>
      <c r="T289" s="100">
        <f>IFERROR(__xludf.DUMMYFUNCTION("""COMPUTED_VALUE"""),1.3962630556197837)</f>
        <v>1.396263056</v>
      </c>
      <c r="U289" s="98"/>
      <c r="V289" s="100"/>
      <c r="W289" s="98"/>
      <c r="X289" s="363"/>
      <c r="Y289" s="100"/>
      <c r="Z289" s="363"/>
      <c r="AA289" s="98"/>
      <c r="AB289" s="363"/>
      <c r="AC289" s="100"/>
      <c r="AD289" s="363"/>
      <c r="AE289" s="100"/>
      <c r="AF289" s="364">
        <f>IFERROR(__xludf.DUMMYFUNCTION("""COMPUTED_VALUE"""),1589.0)</f>
        <v>1589</v>
      </c>
      <c r="AG289" s="98" t="str">
        <f>IFERROR(__xludf.DUMMYFUNCTION("""COMPUTED_VALUE"""),"Team onsite")</f>
        <v>Team onsite</v>
      </c>
      <c r="AH289" s="98"/>
      <c r="AI289" s="98"/>
      <c r="AJ289" s="98"/>
      <c r="AK289" s="98"/>
      <c r="AL289" s="364">
        <f>IFERROR(__xludf.DUMMYFUNCTION("""COMPUTED_VALUE"""),0.0)</f>
        <v>0</v>
      </c>
      <c r="AM289" s="364">
        <f>IFERROR(__xludf.DUMMYFUNCTION("""COMPUTED_VALUE"""),0.0)</f>
        <v>0</v>
      </c>
    </row>
    <row r="290">
      <c r="A290" s="98">
        <f>IFERROR(__xludf.DUMMYFUNCTION("""COMPUTED_VALUE"""),287.0)</f>
        <v>287</v>
      </c>
      <c r="B290" s="98" t="str">
        <f>IFERROR(__xludf.DUMMYFUNCTION("""COMPUTED_VALUE"""),"TNI0202")</f>
        <v>TNI0202</v>
      </c>
      <c r="C290" s="98" t="str">
        <f>IFERROR(__xludf.DUMMYFUNCTION("""COMPUTED_VALUE"""),"C")</f>
        <v>C</v>
      </c>
      <c r="D290" s="98" t="str">
        <f>IFERROR(__xludf.DUMMYFUNCTION("""COMPUTED_VALUE"""),"Mytel")</f>
        <v>Mytel</v>
      </c>
      <c r="E290" s="98" t="str">
        <f>IFERROR(__xludf.DUMMYFUNCTION("""COMPUTED_VALUE"""),"T4")</f>
        <v>T4</v>
      </c>
      <c r="F290" s="98" t="str">
        <f>IFERROR(__xludf.DUMMYFUNCTION("""COMPUTED_VALUE"""),"Kawthoung")</f>
        <v>Kawthoung</v>
      </c>
      <c r="G290" s="98" t="str">
        <f>IFERROR(__xludf.DUMMYFUNCTION("""COMPUTED_VALUE"""),"Tin Maung Win")</f>
        <v>Tin Maung Win</v>
      </c>
      <c r="H290" s="98"/>
      <c r="I290" s="98"/>
      <c r="J290" s="98"/>
      <c r="K290" s="362"/>
      <c r="L290" s="98" t="str">
        <f>IFERROR(__xludf.DUMMYFUNCTION("""COMPUTED_VALUE"""),"10:00PM-5:00AM")</f>
        <v>10:00PM-5:00AM</v>
      </c>
      <c r="M290" s="98" t="str">
        <f>IFERROR(__xludf.DUMMYFUNCTION("""COMPUTED_VALUE"""),"1DG+Solar+Grid+BB")</f>
        <v>1DG+Solar+Grid+BB</v>
      </c>
      <c r="N290" s="98" t="str">
        <f>IFERROR(__xludf.DUMMYFUNCTION("""COMPUTED_VALUE"""),"0")</f>
        <v>0</v>
      </c>
      <c r="O290" s="363"/>
      <c r="P290" s="98"/>
      <c r="Q290" s="98"/>
      <c r="R290" s="100"/>
      <c r="S290" s="363"/>
      <c r="T290" s="100"/>
      <c r="U290" s="98"/>
      <c r="V290" s="100"/>
      <c r="W290" s="98"/>
      <c r="X290" s="363"/>
      <c r="Y290" s="100"/>
      <c r="Z290" s="363"/>
      <c r="AA290" s="98"/>
      <c r="AB290" s="363"/>
      <c r="AC290" s="100"/>
      <c r="AD290" s="363"/>
      <c r="AE290" s="100"/>
      <c r="AF290" s="364">
        <f>IFERROR(__xludf.DUMMYFUNCTION("""COMPUTED_VALUE"""),1535.0)</f>
        <v>1535</v>
      </c>
      <c r="AG290" s="98"/>
      <c r="AH290" s="98"/>
      <c r="AI290" s="98"/>
      <c r="AJ290" s="98"/>
      <c r="AK290" s="98"/>
      <c r="AL290" s="364">
        <f>IFERROR(__xludf.DUMMYFUNCTION("""COMPUTED_VALUE"""),0.0)</f>
        <v>0</v>
      </c>
      <c r="AM290" s="364">
        <f>IFERROR(__xludf.DUMMYFUNCTION("""COMPUTED_VALUE"""),0.0)</f>
        <v>0</v>
      </c>
    </row>
    <row r="291">
      <c r="A291" s="98">
        <f>IFERROR(__xludf.DUMMYFUNCTION("""COMPUTED_VALUE"""),288.0)</f>
        <v>288</v>
      </c>
      <c r="B291" s="98" t="str">
        <f>IFERROR(__xludf.DUMMYFUNCTION("""COMPUTED_VALUE"""),"TNI0243")</f>
        <v>TNI0243</v>
      </c>
      <c r="C291" s="98" t="str">
        <f>IFERROR(__xludf.DUMMYFUNCTION("""COMPUTED_VALUE"""),"B")</f>
        <v>B</v>
      </c>
      <c r="D291" s="98" t="str">
        <f>IFERROR(__xludf.DUMMYFUNCTION("""COMPUTED_VALUE"""),"Apollo")</f>
        <v>Apollo</v>
      </c>
      <c r="E291" s="98" t="str">
        <f>IFERROR(__xludf.DUMMYFUNCTION("""COMPUTED_VALUE"""),"T4")</f>
        <v>T4</v>
      </c>
      <c r="F291" s="98" t="str">
        <f>IFERROR(__xludf.DUMMYFUNCTION("""COMPUTED_VALUE"""),"Kawthoung")</f>
        <v>Kawthoung</v>
      </c>
      <c r="G291" s="98" t="str">
        <f>IFERROR(__xludf.DUMMYFUNCTION("""COMPUTED_VALUE"""),"Tin Maung Win")</f>
        <v>Tin Maung Win</v>
      </c>
      <c r="H291" s="98"/>
      <c r="I291" s="98"/>
      <c r="J291" s="98"/>
      <c r="K291" s="362"/>
      <c r="L291" s="98" t="str">
        <f>IFERROR(__xludf.DUMMYFUNCTION("""COMPUTED_VALUE"""),"10:00PM-5:00AM")</f>
        <v>10:00PM-5:00AM</v>
      </c>
      <c r="M291" s="98" t="str">
        <f>IFERROR(__xludf.DUMMYFUNCTION("""COMPUTED_VALUE"""),"Grid+BB")</f>
        <v>Grid+BB</v>
      </c>
      <c r="N291" s="98" t="str">
        <f>IFERROR(__xludf.DUMMYFUNCTION("""COMPUTED_VALUE"""),"ok")</f>
        <v>ok</v>
      </c>
      <c r="O291" s="363"/>
      <c r="P291" s="98"/>
      <c r="Q291" s="98"/>
      <c r="R291" s="100"/>
      <c r="S291" s="363"/>
      <c r="T291" s="100"/>
      <c r="U291" s="98"/>
      <c r="V291" s="100"/>
      <c r="W291" s="98"/>
      <c r="X291" s="363"/>
      <c r="Y291" s="100"/>
      <c r="Z291" s="363"/>
      <c r="AA291" s="98"/>
      <c r="AB291" s="363"/>
      <c r="AC291" s="100"/>
      <c r="AD291" s="363"/>
      <c r="AE291" s="100"/>
      <c r="AF291" s="364">
        <f>IFERROR(__xludf.DUMMYFUNCTION("""COMPUTED_VALUE"""),1335.0)</f>
        <v>1335</v>
      </c>
      <c r="AG291" s="98" t="str">
        <f>IFERROR(__xludf.DUMMYFUNCTION("""COMPUTED_VALUE"""),"Checking with team")</f>
        <v>Checking with team</v>
      </c>
      <c r="AH291" s="98"/>
      <c r="AI291" s="98"/>
      <c r="AJ291" s="98"/>
      <c r="AK291" s="98"/>
      <c r="AL291" s="364">
        <f>IFERROR(__xludf.DUMMYFUNCTION("""COMPUTED_VALUE"""),0.0)</f>
        <v>0</v>
      </c>
      <c r="AM291" s="364">
        <f>IFERROR(__xludf.DUMMYFUNCTION("""COMPUTED_VALUE"""),0.0)</f>
        <v>0</v>
      </c>
    </row>
    <row r="292">
      <c r="A292" s="98">
        <f>IFERROR(__xludf.DUMMYFUNCTION("""COMPUTED_VALUE"""),289.0)</f>
        <v>289</v>
      </c>
      <c r="B292" s="98" t="str">
        <f>IFERROR(__xludf.DUMMYFUNCTION("""COMPUTED_VALUE"""),"TNI0454")</f>
        <v>TNI0454</v>
      </c>
      <c r="C292" s="98" t="str">
        <f>IFERROR(__xludf.DUMMYFUNCTION("""COMPUTED_VALUE"""),"C")</f>
        <v>C</v>
      </c>
      <c r="D292" s="98" t="str">
        <f>IFERROR(__xludf.DUMMYFUNCTION("""COMPUTED_VALUE"""),"Apollo")</f>
        <v>Apollo</v>
      </c>
      <c r="E292" s="98" t="str">
        <f>IFERROR(__xludf.DUMMYFUNCTION("""COMPUTED_VALUE"""),"T4")</f>
        <v>T4</v>
      </c>
      <c r="F292" s="98" t="str">
        <f>IFERROR(__xludf.DUMMYFUNCTION("""COMPUTED_VALUE"""),"Kawthoung")</f>
        <v>Kawthoung</v>
      </c>
      <c r="G292" s="98" t="str">
        <f>IFERROR(__xludf.DUMMYFUNCTION("""COMPUTED_VALUE"""),"Tin Maung Win")</f>
        <v>Tin Maung Win</v>
      </c>
      <c r="H292" s="98"/>
      <c r="I292" s="98"/>
      <c r="J292" s="98"/>
      <c r="K292" s="362"/>
      <c r="L292" s="98" t="str">
        <f>IFERROR(__xludf.DUMMYFUNCTION("""COMPUTED_VALUE"""),"10:00PM-5:00AM")</f>
        <v>10:00PM-5:00AM</v>
      </c>
      <c r="M292" s="98" t="str">
        <f>IFERROR(__xludf.DUMMYFUNCTION("""COMPUTED_VALUE"""),"Grid+BB")</f>
        <v>Grid+BB</v>
      </c>
      <c r="N292" s="98" t="str">
        <f>IFERROR(__xludf.DUMMYFUNCTION("""COMPUTED_VALUE"""),"ok")</f>
        <v>ok</v>
      </c>
      <c r="O292" s="363"/>
      <c r="P292" s="98"/>
      <c r="Q292" s="98"/>
      <c r="R292" s="100"/>
      <c r="S292" s="363"/>
      <c r="T292" s="100"/>
      <c r="U292" s="98"/>
      <c r="V292" s="100"/>
      <c r="W292" s="98"/>
      <c r="X292" s="363"/>
      <c r="Y292" s="100"/>
      <c r="Z292" s="363"/>
      <c r="AA292" s="98"/>
      <c r="AB292" s="363"/>
      <c r="AC292" s="100"/>
      <c r="AD292" s="363"/>
      <c r="AE292" s="100"/>
      <c r="AF292" s="364">
        <f>IFERROR(__xludf.DUMMYFUNCTION("""COMPUTED_VALUE"""),1034.0)</f>
        <v>1034</v>
      </c>
      <c r="AG292" s="98" t="str">
        <f>IFERROR(__xludf.DUMMYFUNCTION("""COMPUTED_VALUE"""),"Checking with TCO team")</f>
        <v>Checking with TCO team</v>
      </c>
      <c r="AH292" s="98"/>
      <c r="AI292" s="98"/>
      <c r="AJ292" s="98"/>
      <c r="AK292" s="98"/>
      <c r="AL292" s="364">
        <f>IFERROR(__xludf.DUMMYFUNCTION("""COMPUTED_VALUE"""),0.0)</f>
        <v>0</v>
      </c>
      <c r="AM292" s="364">
        <f>IFERROR(__xludf.DUMMYFUNCTION("""COMPUTED_VALUE"""),0.0)</f>
        <v>0</v>
      </c>
    </row>
    <row r="293">
      <c r="A293" s="98">
        <f>IFERROR(__xludf.DUMMYFUNCTION("""COMPUTED_VALUE"""),290.0)</f>
        <v>290</v>
      </c>
      <c r="B293" s="98" t="str">
        <f>IFERROR(__xludf.DUMMYFUNCTION("""COMPUTED_VALUE"""),"TNI0244")</f>
        <v>TNI0244</v>
      </c>
      <c r="C293" s="98" t="str">
        <f>IFERROR(__xludf.DUMMYFUNCTION("""COMPUTED_VALUE"""),"C")</f>
        <v>C</v>
      </c>
      <c r="D293" s="98" t="str">
        <f>IFERROR(__xludf.DUMMYFUNCTION("""COMPUTED_VALUE"""),"IGT")</f>
        <v>IGT</v>
      </c>
      <c r="E293" s="98" t="str">
        <f>IFERROR(__xludf.DUMMYFUNCTION("""COMPUTED_VALUE"""),"T4")</f>
        <v>T4</v>
      </c>
      <c r="F293" s="98" t="str">
        <f>IFERROR(__xludf.DUMMYFUNCTION("""COMPUTED_VALUE"""),"Kawthoung")</f>
        <v>Kawthoung</v>
      </c>
      <c r="G293" s="98" t="str">
        <f>IFERROR(__xludf.DUMMYFUNCTION("""COMPUTED_VALUE"""),"Tin Maung Win")</f>
        <v>Tin Maung Win</v>
      </c>
      <c r="H293" s="98"/>
      <c r="I293" s="98"/>
      <c r="J293" s="98"/>
      <c r="K293" s="362"/>
      <c r="L293" s="98" t="str">
        <f>IFERROR(__xludf.DUMMYFUNCTION("""COMPUTED_VALUE"""),"10:00PM-5:00AM")</f>
        <v>10:00PM-5:00AM</v>
      </c>
      <c r="M293" s="98" t="str">
        <f>IFERROR(__xludf.DUMMYFUNCTION("""COMPUTED_VALUE"""),"Grid+BB")</f>
        <v>Grid+BB</v>
      </c>
      <c r="N293" s="98" t="str">
        <f>IFERROR(__xludf.DUMMYFUNCTION("""COMPUTED_VALUE"""),"ok")</f>
        <v>ok</v>
      </c>
      <c r="O293" s="363"/>
      <c r="P293" s="98"/>
      <c r="Q293" s="98"/>
      <c r="R293" s="100"/>
      <c r="S293" s="363"/>
      <c r="T293" s="100"/>
      <c r="U293" s="98"/>
      <c r="V293" s="100"/>
      <c r="W293" s="98"/>
      <c r="X293" s="363"/>
      <c r="Y293" s="100"/>
      <c r="Z293" s="363"/>
      <c r="AA293" s="98"/>
      <c r="AB293" s="363"/>
      <c r="AC293" s="100"/>
      <c r="AD293" s="363"/>
      <c r="AE293" s="100"/>
      <c r="AF293" s="364">
        <f>IFERROR(__xludf.DUMMYFUNCTION("""COMPUTED_VALUE"""),1179.0)</f>
        <v>1179</v>
      </c>
      <c r="AG293" s="98"/>
      <c r="AH293" s="98"/>
      <c r="AI293" s="98"/>
      <c r="AJ293" s="98"/>
      <c r="AK293" s="98"/>
      <c r="AL293" s="364">
        <f>IFERROR(__xludf.DUMMYFUNCTION("""COMPUTED_VALUE"""),0.0)</f>
        <v>0</v>
      </c>
      <c r="AM293" s="364">
        <f>IFERROR(__xludf.DUMMYFUNCTION("""COMPUTED_VALUE"""),0.0)</f>
        <v>0</v>
      </c>
    </row>
    <row r="294">
      <c r="A294" s="98">
        <f>IFERROR(__xludf.DUMMYFUNCTION("""COMPUTED_VALUE"""),291.0)</f>
        <v>291</v>
      </c>
      <c r="B294" s="98" t="str">
        <f>IFERROR(__xludf.DUMMYFUNCTION("""COMPUTED_VALUE"""),"TNI0337")</f>
        <v>TNI0337</v>
      </c>
      <c r="C294" s="98" t="str">
        <f>IFERROR(__xludf.DUMMYFUNCTION("""COMPUTED_VALUE"""),"C")</f>
        <v>C</v>
      </c>
      <c r="D294" s="98" t="str">
        <f>IFERROR(__xludf.DUMMYFUNCTION("""COMPUTED_VALUE"""),"IGT")</f>
        <v>IGT</v>
      </c>
      <c r="E294" s="98" t="str">
        <f>IFERROR(__xludf.DUMMYFUNCTION("""COMPUTED_VALUE"""),"T4")</f>
        <v>T4</v>
      </c>
      <c r="F294" s="98" t="str">
        <f>IFERROR(__xludf.DUMMYFUNCTION("""COMPUTED_VALUE"""),"Kawthoung")</f>
        <v>Kawthoung</v>
      </c>
      <c r="G294" s="98" t="str">
        <f>IFERROR(__xludf.DUMMYFUNCTION("""COMPUTED_VALUE"""),"Tin Maung Win")</f>
        <v>Tin Maung Win</v>
      </c>
      <c r="H294" s="98"/>
      <c r="I294" s="98"/>
      <c r="J294" s="98"/>
      <c r="K294" s="362"/>
      <c r="L294" s="98" t="str">
        <f>IFERROR(__xludf.DUMMYFUNCTION("""COMPUTED_VALUE"""),"10:00PM-5:00AM")</f>
        <v>10:00PM-5:00AM</v>
      </c>
      <c r="M294" s="98" t="str">
        <f>IFERROR(__xludf.DUMMYFUNCTION("""COMPUTED_VALUE"""),"Grid+BB")</f>
        <v>Grid+BB</v>
      </c>
      <c r="N294" s="98" t="str">
        <f>IFERROR(__xludf.DUMMYFUNCTION("""COMPUTED_VALUE"""),"ok")</f>
        <v>ok</v>
      </c>
      <c r="O294" s="363"/>
      <c r="P294" s="98"/>
      <c r="Q294" s="98"/>
      <c r="R294" s="100"/>
      <c r="S294" s="363"/>
      <c r="T294" s="100"/>
      <c r="U294" s="98"/>
      <c r="V294" s="100"/>
      <c r="W294" s="98"/>
      <c r="X294" s="363"/>
      <c r="Y294" s="100"/>
      <c r="Z294" s="363"/>
      <c r="AA294" s="98"/>
      <c r="AB294" s="363"/>
      <c r="AC294" s="100"/>
      <c r="AD294" s="363"/>
      <c r="AE294" s="100"/>
      <c r="AF294" s="364">
        <f>IFERROR(__xludf.DUMMYFUNCTION("""COMPUTED_VALUE"""),267.0)</f>
        <v>267</v>
      </c>
      <c r="AG294" s="98" t="str">
        <f>IFERROR(__xludf.DUMMYFUNCTION("""COMPUTED_VALUE"""),"EPC link fault issue and team onsite")</f>
        <v>EPC link fault issue and team onsite</v>
      </c>
      <c r="AH294" s="98"/>
      <c r="AI294" s="98"/>
      <c r="AJ294" s="98"/>
      <c r="AK294" s="98"/>
      <c r="AL294" s="364">
        <f>IFERROR(__xludf.DUMMYFUNCTION("""COMPUTED_VALUE"""),0.0)</f>
        <v>0</v>
      </c>
      <c r="AM294" s="364">
        <f>IFERROR(__xludf.DUMMYFUNCTION("""COMPUTED_VALUE"""),0.0)</f>
        <v>0</v>
      </c>
    </row>
    <row r="295">
      <c r="A295" s="98">
        <f>IFERROR(__xludf.DUMMYFUNCTION("""COMPUTED_VALUE"""),292.0)</f>
        <v>292</v>
      </c>
      <c r="B295" s="98" t="str">
        <f>IFERROR(__xludf.DUMMYFUNCTION("""COMPUTED_VALUE"""),"TNI0372")</f>
        <v>TNI0372</v>
      </c>
      <c r="C295" s="98" t="str">
        <f>IFERROR(__xludf.DUMMYFUNCTION("""COMPUTED_VALUE"""),"C")</f>
        <v>C</v>
      </c>
      <c r="D295" s="98" t="str">
        <f>IFERROR(__xludf.DUMMYFUNCTION("""COMPUTED_VALUE"""),"IGT")</f>
        <v>IGT</v>
      </c>
      <c r="E295" s="98" t="str">
        <f>IFERROR(__xludf.DUMMYFUNCTION("""COMPUTED_VALUE"""),"T4")</f>
        <v>T4</v>
      </c>
      <c r="F295" s="98" t="str">
        <f>IFERROR(__xludf.DUMMYFUNCTION("""COMPUTED_VALUE"""),"Kawthoung")</f>
        <v>Kawthoung</v>
      </c>
      <c r="G295" s="98" t="str">
        <f>IFERROR(__xludf.DUMMYFUNCTION("""COMPUTED_VALUE"""),"Tin Maung Win")</f>
        <v>Tin Maung Win</v>
      </c>
      <c r="H295" s="98"/>
      <c r="I295" s="98"/>
      <c r="J295" s="98"/>
      <c r="K295" s="362"/>
      <c r="L295" s="98" t="str">
        <f>IFERROR(__xludf.DUMMYFUNCTION("""COMPUTED_VALUE"""),"10:00PM-5:00AM")</f>
        <v>10:00PM-5:00AM</v>
      </c>
      <c r="M295" s="98" t="str">
        <f>IFERROR(__xludf.DUMMYFUNCTION("""COMPUTED_VALUE"""),"Grid+BB")</f>
        <v>Grid+BB</v>
      </c>
      <c r="N295" s="98" t="str">
        <f>IFERROR(__xludf.DUMMYFUNCTION("""COMPUTED_VALUE"""),"ok")</f>
        <v>ok</v>
      </c>
      <c r="O295" s="363"/>
      <c r="P295" s="98"/>
      <c r="Q295" s="98" t="str">
        <f>IFERROR(__xludf.DUMMYFUNCTION("""COMPUTED_VALUE""")," Door open alarm: 22/07/2023 02:17")</f>
        <v> Door open alarm: 22/07/2023 02:17</v>
      </c>
      <c r="R295" s="100">
        <f>IFERROR(__xludf.DUMMYFUNCTION("""COMPUTED_VALUE"""),25839.05)</f>
        <v>25839.05</v>
      </c>
      <c r="S295" s="363"/>
      <c r="T295" s="100"/>
      <c r="U295" s="98"/>
      <c r="V295" s="100"/>
      <c r="W295" s="98"/>
      <c r="X295" s="363"/>
      <c r="Y295" s="100"/>
      <c r="Z295" s="363"/>
      <c r="AA295" s="98"/>
      <c r="AB295" s="363"/>
      <c r="AC295" s="100"/>
      <c r="AD295" s="363"/>
      <c r="AE295" s="100"/>
      <c r="AF295" s="364">
        <f>IFERROR(__xludf.DUMMYFUNCTION("""COMPUTED_VALUE"""),1091.0)</f>
        <v>1091</v>
      </c>
      <c r="AG295" s="98" t="str">
        <f>IFERROR(__xludf.DUMMYFUNCTION("""COMPUTED_VALUE"""),"Checking with TCO team ")</f>
        <v>Checking with TCO team </v>
      </c>
      <c r="AH295" s="98"/>
      <c r="AI295" s="98"/>
      <c r="AJ295" s="98"/>
      <c r="AK295" s="98"/>
      <c r="AL295" s="364">
        <f>IFERROR(__xludf.DUMMYFUNCTION("""COMPUTED_VALUE"""),0.0)</f>
        <v>0</v>
      </c>
      <c r="AM295" s="364">
        <f>IFERROR(__xludf.DUMMYFUNCTION("""COMPUTED_VALUE"""),0.0)</f>
        <v>0</v>
      </c>
    </row>
    <row r="296">
      <c r="A296" s="98">
        <f>IFERROR(__xludf.DUMMYFUNCTION("""COMPUTED_VALUE"""),293.0)</f>
        <v>293</v>
      </c>
      <c r="B296" s="98" t="str">
        <f>IFERROR(__xludf.DUMMYFUNCTION("""COMPUTED_VALUE"""),"TNI0392")</f>
        <v>TNI0392</v>
      </c>
      <c r="C296" s="98" t="str">
        <f>IFERROR(__xludf.DUMMYFUNCTION("""COMPUTED_VALUE"""),"C")</f>
        <v>C</v>
      </c>
      <c r="D296" s="98" t="str">
        <f>IFERROR(__xludf.DUMMYFUNCTION("""COMPUTED_VALUE"""),"MEC")</f>
        <v>MEC</v>
      </c>
      <c r="E296" s="98" t="str">
        <f>IFERROR(__xludf.DUMMYFUNCTION("""COMPUTED_VALUE"""),"T4")</f>
        <v>T4</v>
      </c>
      <c r="F296" s="98" t="str">
        <f>IFERROR(__xludf.DUMMYFUNCTION("""COMPUTED_VALUE"""),"Kawthoung")</f>
        <v>Kawthoung</v>
      </c>
      <c r="G296" s="98" t="str">
        <f>IFERROR(__xludf.DUMMYFUNCTION("""COMPUTED_VALUE"""),"Tin Maung Win")</f>
        <v>Tin Maung Win</v>
      </c>
      <c r="H296" s="98" t="str">
        <f>IFERROR(__xludf.DUMMYFUNCTION("""COMPUTED_VALUE"""),"Aung Myo Htike: 09676889619")</f>
        <v>Aung Myo Htike: 09676889619</v>
      </c>
      <c r="I296" s="98"/>
      <c r="J296" s="98"/>
      <c r="K296" s="362">
        <f>IFERROR(__xludf.DUMMYFUNCTION("""COMPUTED_VALUE"""),300.0)</f>
        <v>300</v>
      </c>
      <c r="L296" s="98" t="str">
        <f>IFERROR(__xludf.DUMMYFUNCTION("""COMPUTED_VALUE"""),"10:00PM-5:00AM")</f>
        <v>10:00PM-5:00AM</v>
      </c>
      <c r="M296" s="98" t="str">
        <f>IFERROR(__xludf.DUMMYFUNCTION("""COMPUTED_VALUE"""),"1DG+Solar+BB")</f>
        <v>1DG+Solar+BB</v>
      </c>
      <c r="N296" s="98" t="str">
        <f>IFERROR(__xludf.DUMMYFUNCTION("""COMPUTED_VALUE"""),"0")</f>
        <v>0</v>
      </c>
      <c r="O296" s="363"/>
      <c r="P296" s="98"/>
      <c r="Q296" s="98"/>
      <c r="R296" s="100"/>
      <c r="S296" s="363">
        <f>IFERROR(__xludf.DUMMYFUNCTION("""COMPUTED_VALUE"""),46205.65820601852)</f>
        <v>46205.65821</v>
      </c>
      <c r="T296" s="100">
        <f>IFERROR(__xludf.DUMMYFUNCTION("""COMPUTED_VALUE"""),2.832374166813679)</f>
        <v>2.832374167</v>
      </c>
      <c r="U296" s="98"/>
      <c r="V296" s="100"/>
      <c r="W296" s="98"/>
      <c r="X296" s="363"/>
      <c r="Y296" s="100"/>
      <c r="Z296" s="363"/>
      <c r="AA296" s="98"/>
      <c r="AB296" s="363"/>
      <c r="AC296" s="100"/>
      <c r="AD296" s="363"/>
      <c r="AE296" s="100"/>
      <c r="AF296" s="364">
        <f>IFERROR(__xludf.DUMMYFUNCTION("""COMPUTED_VALUE"""),711.0)</f>
        <v>711</v>
      </c>
      <c r="AG296" s="98" t="str">
        <f>IFERROR(__xludf.DUMMYFUNCTION("""COMPUTED_VALUE"""),"Checking with CT")</f>
        <v>Checking with CT</v>
      </c>
      <c r="AH296" s="98"/>
      <c r="AI296" s="98"/>
      <c r="AJ296" s="98"/>
      <c r="AK296" s="98"/>
      <c r="AL296" s="364">
        <f>IFERROR(__xludf.DUMMYFUNCTION("""COMPUTED_VALUE"""),0.0)</f>
        <v>0</v>
      </c>
      <c r="AM296" s="364">
        <f>IFERROR(__xludf.DUMMYFUNCTION("""COMPUTED_VALUE"""),0.0)</f>
        <v>0</v>
      </c>
    </row>
    <row r="297">
      <c r="A297" s="98">
        <f>IFERROR(__xludf.DUMMYFUNCTION("""COMPUTED_VALUE"""),294.0)</f>
        <v>294</v>
      </c>
      <c r="B297" s="98" t="str">
        <f>IFERROR(__xludf.DUMMYFUNCTION("""COMPUTED_VALUE"""),"TNI0404")</f>
        <v>TNI0404</v>
      </c>
      <c r="C297" s="98" t="str">
        <f>IFERROR(__xludf.DUMMYFUNCTION("""COMPUTED_VALUE"""),"C")</f>
        <v>C</v>
      </c>
      <c r="D297" s="98" t="str">
        <f>IFERROR(__xludf.DUMMYFUNCTION("""COMPUTED_VALUE"""),"MEC")</f>
        <v>MEC</v>
      </c>
      <c r="E297" s="98" t="str">
        <f>IFERROR(__xludf.DUMMYFUNCTION("""COMPUTED_VALUE"""),"T4")</f>
        <v>T4</v>
      </c>
      <c r="F297" s="98" t="str">
        <f>IFERROR(__xludf.DUMMYFUNCTION("""COMPUTED_VALUE"""),"Kawthoung")</f>
        <v>Kawthoung</v>
      </c>
      <c r="G297" s="98" t="str">
        <f>IFERROR(__xludf.DUMMYFUNCTION("""COMPUTED_VALUE"""),"Tin Maung Win")</f>
        <v>Tin Maung Win</v>
      </c>
      <c r="H297" s="98"/>
      <c r="I297" s="98"/>
      <c r="J297" s="98"/>
      <c r="K297" s="362">
        <f>IFERROR(__xludf.DUMMYFUNCTION("""COMPUTED_VALUE"""),120.0)</f>
        <v>120</v>
      </c>
      <c r="L297" s="98" t="str">
        <f>IFERROR(__xludf.DUMMYFUNCTION("""COMPUTED_VALUE"""),"10:00PM-5:00AM")</f>
        <v>10:00PM-5:00AM</v>
      </c>
      <c r="M297" s="98" t="str">
        <f>IFERROR(__xludf.DUMMYFUNCTION("""COMPUTED_VALUE"""),"1DG+BB")</f>
        <v>1DG+BB</v>
      </c>
      <c r="N297" s="98" t="str">
        <f>IFERROR(__xludf.DUMMYFUNCTION("""COMPUTED_VALUE"""),"135")</f>
        <v>135</v>
      </c>
      <c r="O297" s="363"/>
      <c r="P297" s="98"/>
      <c r="Q297" s="98"/>
      <c r="R297" s="100"/>
      <c r="S297" s="363">
        <f>IFERROR(__xludf.DUMMYFUNCTION("""COMPUTED_VALUE"""),46205.69915509259)</f>
        <v>46205.69916</v>
      </c>
      <c r="T297" s="100">
        <f>IFERROR(__xludf.DUMMYFUNCTION("""COMPUTED_VALUE"""),1.8495963889290579)</f>
        <v>1.849596389</v>
      </c>
      <c r="U297" s="98"/>
      <c r="V297" s="100"/>
      <c r="W297" s="98"/>
      <c r="X297" s="363"/>
      <c r="Y297" s="100"/>
      <c r="Z297" s="363"/>
      <c r="AA297" s="98"/>
      <c r="AB297" s="363"/>
      <c r="AC297" s="100"/>
      <c r="AD297" s="363"/>
      <c r="AE297" s="100"/>
      <c r="AF297" s="364">
        <f>IFERROR(__xludf.DUMMYFUNCTION("""COMPUTED_VALUE"""),1610.0)</f>
        <v>1610</v>
      </c>
      <c r="AG297" s="98" t="str">
        <f>IFERROR(__xludf.DUMMYFUNCTION("""COMPUTED_VALUE"""),"Partner team upgrade plan")</f>
        <v>Partner team upgrade plan</v>
      </c>
      <c r="AH297" s="98"/>
      <c r="AI297" s="98"/>
      <c r="AJ297" s="98"/>
      <c r="AK297" s="98"/>
      <c r="AL297" s="364">
        <f>IFERROR(__xludf.DUMMYFUNCTION("""COMPUTED_VALUE"""),0.0)</f>
        <v>0</v>
      </c>
      <c r="AM297" s="364">
        <f>IFERROR(__xludf.DUMMYFUNCTION("""COMPUTED_VALUE"""),0.0)</f>
        <v>0</v>
      </c>
    </row>
    <row r="298">
      <c r="A298" s="98">
        <f>IFERROR(__xludf.DUMMYFUNCTION("""COMPUTED_VALUE"""),295.0)</f>
        <v>295</v>
      </c>
      <c r="B298" s="98" t="str">
        <f>IFERROR(__xludf.DUMMYFUNCTION("""COMPUTED_VALUE"""),"TNI0015")</f>
        <v>TNI0015</v>
      </c>
      <c r="C298" s="98" t="str">
        <f>IFERROR(__xludf.DUMMYFUNCTION("""COMPUTED_VALUE"""),"A")</f>
        <v>A</v>
      </c>
      <c r="D298" s="98" t="str">
        <f>IFERROR(__xludf.DUMMYFUNCTION("""COMPUTED_VALUE"""),"Mytel")</f>
        <v>Mytel</v>
      </c>
      <c r="E298" s="98" t="str">
        <f>IFERROR(__xludf.DUMMYFUNCTION("""COMPUTED_VALUE"""),"T4")</f>
        <v>T4</v>
      </c>
      <c r="F298" s="98" t="str">
        <f>IFERROR(__xludf.DUMMYFUNCTION("""COMPUTED_VALUE"""),"Bokpyin")</f>
        <v>Bokpyin</v>
      </c>
      <c r="G298" s="98" t="str">
        <f>IFERROR(__xludf.DUMMYFUNCTION("""COMPUTED_VALUE"""),"Tin Maung Win")</f>
        <v>Tin Maung Win</v>
      </c>
      <c r="H298" s="98" t="str">
        <f>IFERROR(__xludf.DUMMYFUNCTION("""COMPUTED_VALUE"""),"Aung Tin Moe: 09687930265")</f>
        <v>Aung Tin Moe: 09687930265</v>
      </c>
      <c r="I298" s="98"/>
      <c r="J298" s="98"/>
      <c r="K298" s="362">
        <f>IFERROR(__xludf.DUMMYFUNCTION("""COMPUTED_VALUE"""),240.0)</f>
        <v>240</v>
      </c>
      <c r="L298" s="98" t="str">
        <f>IFERROR(__xludf.DUMMYFUNCTION("""COMPUTED_VALUE"""),"10:00PM-5:00AM")</f>
        <v>10:00PM-5:00AM</v>
      </c>
      <c r="M298" s="98" t="str">
        <f>IFERROR(__xludf.DUMMYFUNCTION("""COMPUTED_VALUE"""),"2DG+Solar +BB")</f>
        <v>2DG+Solar +BB</v>
      </c>
      <c r="N298" s="98" t="str">
        <f>IFERROR(__xludf.DUMMYFUNCTION("""COMPUTED_VALUE"""),"324")</f>
        <v>324</v>
      </c>
      <c r="O298" s="363"/>
      <c r="P298" s="98"/>
      <c r="Q298" s="98"/>
      <c r="R298" s="100"/>
      <c r="S298" s="363"/>
      <c r="T298" s="100"/>
      <c r="U298" s="98"/>
      <c r="V298" s="100"/>
      <c r="W298" s="98"/>
      <c r="X298" s="363"/>
      <c r="Y298" s="100"/>
      <c r="Z298" s="363"/>
      <c r="AA298" s="98"/>
      <c r="AB298" s="363"/>
      <c r="AC298" s="100"/>
      <c r="AD298" s="363"/>
      <c r="AE298" s="100"/>
      <c r="AF298" s="364">
        <f>IFERROR(__xludf.DUMMYFUNCTION("""COMPUTED_VALUE"""),1133.0)</f>
        <v>1133</v>
      </c>
      <c r="AG298" s="98"/>
      <c r="AH298" s="98"/>
      <c r="AI298" s="98"/>
      <c r="AJ298" s="98"/>
      <c r="AK298" s="98"/>
      <c r="AL298" s="364">
        <f>IFERROR(__xludf.DUMMYFUNCTION("""COMPUTED_VALUE"""),0.0)</f>
        <v>0</v>
      </c>
      <c r="AM298" s="364">
        <f>IFERROR(__xludf.DUMMYFUNCTION("""COMPUTED_VALUE"""),0.0)</f>
        <v>0</v>
      </c>
    </row>
    <row r="299">
      <c r="A299" s="98">
        <f>IFERROR(__xludf.DUMMYFUNCTION("""COMPUTED_VALUE"""),296.0)</f>
        <v>296</v>
      </c>
      <c r="B299" s="98" t="str">
        <f>IFERROR(__xludf.DUMMYFUNCTION("""COMPUTED_VALUE"""),"TNI0011")</f>
        <v>TNI0011</v>
      </c>
      <c r="C299" s="98" t="str">
        <f>IFERROR(__xludf.DUMMYFUNCTION("""COMPUTED_VALUE"""),"A")</f>
        <v>A</v>
      </c>
      <c r="D299" s="98" t="str">
        <f>IFERROR(__xludf.DUMMYFUNCTION("""COMPUTED_VALUE"""),"Mytel")</f>
        <v>Mytel</v>
      </c>
      <c r="E299" s="98" t="str">
        <f>IFERROR(__xludf.DUMMYFUNCTION("""COMPUTED_VALUE"""),"T4")</f>
        <v>T4</v>
      </c>
      <c r="F299" s="98" t="str">
        <f>IFERROR(__xludf.DUMMYFUNCTION("""COMPUTED_VALUE"""),"Kawthoung")</f>
        <v>Kawthoung</v>
      </c>
      <c r="G299" s="98" t="str">
        <f>IFERROR(__xludf.DUMMYFUNCTION("""COMPUTED_VALUE"""),"Tin Maung Win")</f>
        <v>Tin Maung Win</v>
      </c>
      <c r="H299" s="98"/>
      <c r="I299" s="98"/>
      <c r="J299" s="98"/>
      <c r="K299" s="362"/>
      <c r="L299" s="98" t="str">
        <f>IFERROR(__xludf.DUMMYFUNCTION("""COMPUTED_VALUE"""),"10:00PM-5:00AM")</f>
        <v>10:00PM-5:00AM</v>
      </c>
      <c r="M299" s="98" t="str">
        <f>IFERROR(__xludf.DUMMYFUNCTION("""COMPUTED_VALUE"""),"1DG+Solar+Grid+BB")</f>
        <v>1DG+Solar+Grid+BB</v>
      </c>
      <c r="N299" s="98" t="str">
        <f>IFERROR(__xludf.DUMMYFUNCTION("""COMPUTED_VALUE"""),"0")</f>
        <v>0</v>
      </c>
      <c r="O299" s="363"/>
      <c r="P299" s="98"/>
      <c r="Q299" s="98"/>
      <c r="R299" s="100"/>
      <c r="S299" s="363"/>
      <c r="T299" s="100"/>
      <c r="U299" s="98"/>
      <c r="V299" s="100"/>
      <c r="W299" s="98"/>
      <c r="X299" s="363"/>
      <c r="Y299" s="100"/>
      <c r="Z299" s="363"/>
      <c r="AA299" s="98"/>
      <c r="AB299" s="363"/>
      <c r="AC299" s="100"/>
      <c r="AD299" s="363"/>
      <c r="AE299" s="100"/>
      <c r="AF299" s="364">
        <f>IFERROR(__xludf.DUMMYFUNCTION("""COMPUTED_VALUE"""),2661.0)</f>
        <v>2661</v>
      </c>
      <c r="AG299" s="98" t="str">
        <f>IFERROR(__xludf.DUMMYFUNCTION("""COMPUTED_VALUE"""),"ETA 7 AM")</f>
        <v>ETA 7 AM</v>
      </c>
      <c r="AH299" s="98"/>
      <c r="AI299" s="98"/>
      <c r="AJ299" s="98"/>
      <c r="AK299" s="98"/>
      <c r="AL299" s="364">
        <f>IFERROR(__xludf.DUMMYFUNCTION("""COMPUTED_VALUE"""),0.0)</f>
        <v>0</v>
      </c>
      <c r="AM299" s="364">
        <f>IFERROR(__xludf.DUMMYFUNCTION("""COMPUTED_VALUE"""),0.0)</f>
        <v>0</v>
      </c>
    </row>
    <row r="300">
      <c r="A300" s="98">
        <f>IFERROR(__xludf.DUMMYFUNCTION("""COMPUTED_VALUE"""),297.0)</f>
        <v>297</v>
      </c>
      <c r="B300" s="98" t="str">
        <f>IFERROR(__xludf.DUMMYFUNCTION("""COMPUTED_VALUE"""),"TNI0233")</f>
        <v>TNI0233</v>
      </c>
      <c r="C300" s="98" t="str">
        <f>IFERROR(__xludf.DUMMYFUNCTION("""COMPUTED_VALUE"""),"C")</f>
        <v>C</v>
      </c>
      <c r="D300" s="98" t="str">
        <f>IFERROR(__xludf.DUMMYFUNCTION("""COMPUTED_VALUE"""),"Mytel")</f>
        <v>Mytel</v>
      </c>
      <c r="E300" s="98" t="str">
        <f>IFERROR(__xludf.DUMMYFUNCTION("""COMPUTED_VALUE"""),"T4")</f>
        <v>T4</v>
      </c>
      <c r="F300" s="98" t="str">
        <f>IFERROR(__xludf.DUMMYFUNCTION("""COMPUTED_VALUE"""),"Kawthoung")</f>
        <v>Kawthoung</v>
      </c>
      <c r="G300" s="98" t="str">
        <f>IFERROR(__xludf.DUMMYFUNCTION("""COMPUTED_VALUE"""),"Tin Maung Win")</f>
        <v>Tin Maung Win</v>
      </c>
      <c r="H300" s="98"/>
      <c r="I300" s="98"/>
      <c r="J300" s="98"/>
      <c r="K300" s="362"/>
      <c r="L300" s="98" t="str">
        <f>IFERROR(__xludf.DUMMYFUNCTION("""COMPUTED_VALUE"""),"10:00PM-5:00AM")</f>
        <v>10:00PM-5:00AM</v>
      </c>
      <c r="M300" s="98" t="str">
        <f>IFERROR(__xludf.DUMMYFUNCTION("""COMPUTED_VALUE"""),"1DG+Solar+Grid+BB")</f>
        <v>1DG+Solar+Grid+BB</v>
      </c>
      <c r="N300" s="98" t="str">
        <f>IFERROR(__xludf.DUMMYFUNCTION("""COMPUTED_VALUE"""),"0")</f>
        <v>0</v>
      </c>
      <c r="O300" s="363"/>
      <c r="P300" s="98"/>
      <c r="Q300" s="98"/>
      <c r="R300" s="100"/>
      <c r="S300" s="363"/>
      <c r="T300" s="100"/>
      <c r="U300" s="98"/>
      <c r="V300" s="100"/>
      <c r="W300" s="98"/>
      <c r="X300" s="363"/>
      <c r="Y300" s="100"/>
      <c r="Z300" s="363"/>
      <c r="AA300" s="98"/>
      <c r="AB300" s="363"/>
      <c r="AC300" s="100"/>
      <c r="AD300" s="363"/>
      <c r="AE300" s="100"/>
      <c r="AF300" s="364">
        <f>IFERROR(__xludf.DUMMYFUNCTION("""COMPUTED_VALUE"""),942.0)</f>
        <v>942</v>
      </c>
      <c r="AG300" s="98"/>
      <c r="AH300" s="98"/>
      <c r="AI300" s="98"/>
      <c r="AJ300" s="98"/>
      <c r="AK300" s="98"/>
      <c r="AL300" s="364">
        <f>IFERROR(__xludf.DUMMYFUNCTION("""COMPUTED_VALUE"""),0.0)</f>
        <v>0</v>
      </c>
      <c r="AM300" s="364">
        <f>IFERROR(__xludf.DUMMYFUNCTION("""COMPUTED_VALUE"""),0.0)</f>
        <v>0</v>
      </c>
    </row>
    <row r="301">
      <c r="A301" s="98">
        <f>IFERROR(__xludf.DUMMYFUNCTION("""COMPUTED_VALUE"""),298.0)</f>
        <v>298</v>
      </c>
      <c r="B301" s="98" t="str">
        <f>IFERROR(__xludf.DUMMYFUNCTION("""COMPUTED_VALUE"""),"TNI0235")</f>
        <v>TNI0235</v>
      </c>
      <c r="C301" s="98" t="str">
        <f>IFERROR(__xludf.DUMMYFUNCTION("""COMPUTED_VALUE"""),"B")</f>
        <v>B</v>
      </c>
      <c r="D301" s="98" t="str">
        <f>IFERROR(__xludf.DUMMYFUNCTION("""COMPUTED_VALUE"""),"Mytel")</f>
        <v>Mytel</v>
      </c>
      <c r="E301" s="98" t="str">
        <f>IFERROR(__xludf.DUMMYFUNCTION("""COMPUTED_VALUE"""),"T4")</f>
        <v>T4</v>
      </c>
      <c r="F301" s="98" t="str">
        <f>IFERROR(__xludf.DUMMYFUNCTION("""COMPUTED_VALUE"""),"Kawthoung")</f>
        <v>Kawthoung</v>
      </c>
      <c r="G301" s="98" t="str">
        <f>IFERROR(__xludf.DUMMYFUNCTION("""COMPUTED_VALUE"""),"Tin Maung Win")</f>
        <v>Tin Maung Win</v>
      </c>
      <c r="H301" s="98"/>
      <c r="I301" s="98"/>
      <c r="J301" s="98"/>
      <c r="K301" s="362"/>
      <c r="L301" s="98" t="str">
        <f>IFERROR(__xludf.DUMMYFUNCTION("""COMPUTED_VALUE"""),"5PM-6AM")</f>
        <v>5PM-6AM</v>
      </c>
      <c r="M301" s="98" t="str">
        <f>IFERROR(__xludf.DUMMYFUNCTION("""COMPUTED_VALUE"""),"Grid+BB")</f>
        <v>Grid+BB</v>
      </c>
      <c r="N301" s="98" t="str">
        <f>IFERROR(__xludf.DUMMYFUNCTION("""COMPUTED_VALUE"""),"ok")</f>
        <v>ok</v>
      </c>
      <c r="O301" s="363"/>
      <c r="P301" s="98"/>
      <c r="Q301" s="98"/>
      <c r="R301" s="100"/>
      <c r="S301" s="363"/>
      <c r="T301" s="100"/>
      <c r="U301" s="98"/>
      <c r="V301" s="100"/>
      <c r="W301" s="98"/>
      <c r="X301" s="363"/>
      <c r="Y301" s="100"/>
      <c r="Z301" s="363"/>
      <c r="AA301" s="98"/>
      <c r="AB301" s="363"/>
      <c r="AC301" s="100"/>
      <c r="AD301" s="363"/>
      <c r="AE301" s="100"/>
      <c r="AF301" s="364">
        <f>IFERROR(__xludf.DUMMYFUNCTION("""COMPUTED_VALUE"""),802.0)</f>
        <v>802</v>
      </c>
      <c r="AG301" s="98" t="str">
        <f>IFERROR(__xludf.DUMMYFUNCTION("""COMPUTED_VALUE"""),"Team onsite")</f>
        <v>Team onsite</v>
      </c>
      <c r="AH301" s="98"/>
      <c r="AI301" s="98"/>
      <c r="AJ301" s="98"/>
      <c r="AK301" s="98"/>
      <c r="AL301" s="364">
        <f>IFERROR(__xludf.DUMMYFUNCTION("""COMPUTED_VALUE"""),0.0)</f>
        <v>0</v>
      </c>
      <c r="AM301" s="364">
        <f>IFERROR(__xludf.DUMMYFUNCTION("""COMPUTED_VALUE"""),0.0)</f>
        <v>0</v>
      </c>
    </row>
    <row r="302">
      <c r="A302" s="98">
        <f>IFERROR(__xludf.DUMMYFUNCTION("""COMPUTED_VALUE"""),299.0)</f>
        <v>299</v>
      </c>
      <c r="B302" s="98" t="str">
        <f>IFERROR(__xludf.DUMMYFUNCTION("""COMPUTED_VALUE"""),"TNI0254")</f>
        <v>TNI0254</v>
      </c>
      <c r="C302" s="98" t="str">
        <f>IFERROR(__xludf.DUMMYFUNCTION("""COMPUTED_VALUE"""),"C")</f>
        <v>C</v>
      </c>
      <c r="D302" s="98" t="str">
        <f>IFERROR(__xludf.DUMMYFUNCTION("""COMPUTED_VALUE"""),"Mytel")</f>
        <v>Mytel</v>
      </c>
      <c r="E302" s="98" t="str">
        <f>IFERROR(__xludf.DUMMYFUNCTION("""COMPUTED_VALUE"""),"T4")</f>
        <v>T4</v>
      </c>
      <c r="F302" s="98" t="str">
        <f>IFERROR(__xludf.DUMMYFUNCTION("""COMPUTED_VALUE"""),"Kawthoung")</f>
        <v>Kawthoung</v>
      </c>
      <c r="G302" s="98" t="str">
        <f>IFERROR(__xludf.DUMMYFUNCTION("""COMPUTED_VALUE"""),"Tin Maung Win")</f>
        <v>Tin Maung Win</v>
      </c>
      <c r="H302" s="98"/>
      <c r="I302" s="98"/>
      <c r="J302" s="98"/>
      <c r="K302" s="362"/>
      <c r="L302" s="98" t="str">
        <f>IFERROR(__xludf.DUMMYFUNCTION("""COMPUTED_VALUE"""),"10:00PM-5:00AM")</f>
        <v>10:00PM-5:00AM</v>
      </c>
      <c r="M302" s="98" t="str">
        <f>IFERROR(__xludf.DUMMYFUNCTION("""COMPUTED_VALUE"""),"1DG+Solar+Grid+BB")</f>
        <v>1DG+Solar+Grid+BB</v>
      </c>
      <c r="N302" s="98" t="str">
        <f>IFERROR(__xludf.DUMMYFUNCTION("""COMPUTED_VALUE"""),"ok")</f>
        <v>ok</v>
      </c>
      <c r="O302" s="363"/>
      <c r="P302" s="98"/>
      <c r="Q302" s="98"/>
      <c r="R302" s="100"/>
      <c r="S302" s="363"/>
      <c r="T302" s="100"/>
      <c r="U302" s="98"/>
      <c r="V302" s="100"/>
      <c r="W302" s="98"/>
      <c r="X302" s="363"/>
      <c r="Y302" s="100"/>
      <c r="Z302" s="363"/>
      <c r="AA302" s="98"/>
      <c r="AB302" s="363"/>
      <c r="AC302" s="100"/>
      <c r="AD302" s="363"/>
      <c r="AE302" s="100"/>
      <c r="AF302" s="364">
        <f>IFERROR(__xludf.DUMMYFUNCTION("""COMPUTED_VALUE"""),1819.0)</f>
        <v>1819</v>
      </c>
      <c r="AG302" s="98"/>
      <c r="AH302" s="98"/>
      <c r="AI302" s="98"/>
      <c r="AJ302" s="98"/>
      <c r="AK302" s="98"/>
      <c r="AL302" s="364">
        <f>IFERROR(__xludf.DUMMYFUNCTION("""COMPUTED_VALUE"""),0.0)</f>
        <v>0</v>
      </c>
      <c r="AM302" s="364">
        <f>IFERROR(__xludf.DUMMYFUNCTION("""COMPUTED_VALUE"""),0.0)</f>
        <v>0</v>
      </c>
    </row>
    <row r="303">
      <c r="A303" s="98">
        <f>IFERROR(__xludf.DUMMYFUNCTION("""COMPUTED_VALUE"""),300.0)</f>
        <v>300</v>
      </c>
      <c r="B303" s="98" t="str">
        <f>IFERROR(__xludf.DUMMYFUNCTION("""COMPUTED_VALUE"""),"TNI0295")</f>
        <v>TNI0295</v>
      </c>
      <c r="C303" s="98" t="str">
        <f>IFERROR(__xludf.DUMMYFUNCTION("""COMPUTED_VALUE"""),"B")</f>
        <v>B</v>
      </c>
      <c r="D303" s="98" t="str">
        <f>IFERROR(__xludf.DUMMYFUNCTION("""COMPUTED_VALUE"""),"Mytel")</f>
        <v>Mytel</v>
      </c>
      <c r="E303" s="98" t="str">
        <f>IFERROR(__xludf.DUMMYFUNCTION("""COMPUTED_VALUE"""),"T4")</f>
        <v>T4</v>
      </c>
      <c r="F303" s="98" t="str">
        <f>IFERROR(__xludf.DUMMYFUNCTION("""COMPUTED_VALUE"""),"Kawthoung")</f>
        <v>Kawthoung</v>
      </c>
      <c r="G303" s="98" t="str">
        <f>IFERROR(__xludf.DUMMYFUNCTION("""COMPUTED_VALUE"""),"Tin Maung Win")</f>
        <v>Tin Maung Win</v>
      </c>
      <c r="H303" s="98"/>
      <c r="I303" s="98"/>
      <c r="J303" s="98"/>
      <c r="K303" s="362">
        <f>IFERROR(__xludf.DUMMYFUNCTION("""COMPUTED_VALUE"""),120.0)</f>
        <v>120</v>
      </c>
      <c r="L303" s="98" t="str">
        <f>IFERROR(__xludf.DUMMYFUNCTION("""COMPUTED_VALUE"""),"10:00PM-5:00AM")</f>
        <v>10:00PM-5:00AM</v>
      </c>
      <c r="M303" s="98" t="str">
        <f>IFERROR(__xludf.DUMMYFUNCTION("""COMPUTED_VALUE"""),"1DG+Grid+BB")</f>
        <v>1DG+Grid+BB</v>
      </c>
      <c r="N303" s="98" t="str">
        <f>IFERROR(__xludf.DUMMYFUNCTION("""COMPUTED_VALUE"""),"ok")</f>
        <v>ok</v>
      </c>
      <c r="O303" s="363"/>
      <c r="P303" s="98"/>
      <c r="Q303" s="98" t="str">
        <f>IFERROR(__xludf.DUMMYFUNCTION("""COMPUTED_VALUE""")," +Door Alarm: 02/07/2026 03:50")</f>
        <v> +Door Alarm: 02/07/2026 03:50</v>
      </c>
      <c r="R303" s="100">
        <f>IFERROR(__xludf.DUMMYFUNCTION("""COMPUTED_VALUE"""),13.49)</f>
        <v>13.49</v>
      </c>
      <c r="S303" s="363"/>
      <c r="T303" s="100"/>
      <c r="U303" s="98"/>
      <c r="V303" s="100"/>
      <c r="W303" s="98"/>
      <c r="X303" s="363"/>
      <c r="Y303" s="100"/>
      <c r="Z303" s="363"/>
      <c r="AA303" s="98"/>
      <c r="AB303" s="363"/>
      <c r="AC303" s="100"/>
      <c r="AD303" s="363"/>
      <c r="AE303" s="100"/>
      <c r="AF303" s="364">
        <f>IFERROR(__xludf.DUMMYFUNCTION("""COMPUTED_VALUE"""),1005.0)</f>
        <v>1005</v>
      </c>
      <c r="AG303" s="98"/>
      <c r="AH303" s="98"/>
      <c r="AI303" s="98"/>
      <c r="AJ303" s="98"/>
      <c r="AK303" s="98"/>
      <c r="AL303" s="364">
        <f>IFERROR(__xludf.DUMMYFUNCTION("""COMPUTED_VALUE"""),0.0)</f>
        <v>0</v>
      </c>
      <c r="AM303" s="364">
        <f>IFERROR(__xludf.DUMMYFUNCTION("""COMPUTED_VALUE"""),0.0)</f>
        <v>0</v>
      </c>
    </row>
    <row r="304">
      <c r="A304" s="98">
        <f>IFERROR(__xludf.DUMMYFUNCTION("""COMPUTED_VALUE"""),301.0)</f>
        <v>301</v>
      </c>
      <c r="B304" s="98" t="str">
        <f>IFERROR(__xludf.DUMMYFUNCTION("""COMPUTED_VALUE"""),"TNI0259")</f>
        <v>TNI0259</v>
      </c>
      <c r="C304" s="98" t="str">
        <f>IFERROR(__xludf.DUMMYFUNCTION("""COMPUTED_VALUE"""),"B")</f>
        <v>B</v>
      </c>
      <c r="D304" s="98" t="str">
        <f>IFERROR(__xludf.DUMMYFUNCTION("""COMPUTED_VALUE"""),"OCK")</f>
        <v>OCK</v>
      </c>
      <c r="E304" s="98" t="str">
        <f>IFERROR(__xludf.DUMMYFUNCTION("""COMPUTED_VALUE"""),"T4")</f>
        <v>T4</v>
      </c>
      <c r="F304" s="98" t="str">
        <f>IFERROR(__xludf.DUMMYFUNCTION("""COMPUTED_VALUE"""),"Kawthoung")</f>
        <v>Kawthoung</v>
      </c>
      <c r="G304" s="98" t="str">
        <f>IFERROR(__xludf.DUMMYFUNCTION("""COMPUTED_VALUE"""),"Tin Maung Win")</f>
        <v>Tin Maung Win</v>
      </c>
      <c r="H304" s="98"/>
      <c r="I304" s="98"/>
      <c r="J304" s="98"/>
      <c r="K304" s="362"/>
      <c r="L304" s="98" t="str">
        <f>IFERROR(__xludf.DUMMYFUNCTION("""COMPUTED_VALUE"""),"10:00PM-5:00AM")</f>
        <v>10:00PM-5:00AM</v>
      </c>
      <c r="M304" s="98" t="str">
        <f>IFERROR(__xludf.DUMMYFUNCTION("""COMPUTED_VALUE"""),"Grid+BB")</f>
        <v>Grid+BB</v>
      </c>
      <c r="N304" s="98" t="str">
        <f>IFERROR(__xludf.DUMMYFUNCTION("""COMPUTED_VALUE"""),"ok")</f>
        <v>ok</v>
      </c>
      <c r="O304" s="363"/>
      <c r="P304" s="98"/>
      <c r="Q304" s="98"/>
      <c r="R304" s="100"/>
      <c r="S304" s="363"/>
      <c r="T304" s="100"/>
      <c r="U304" s="98"/>
      <c r="V304" s="100"/>
      <c r="W304" s="98"/>
      <c r="X304" s="363"/>
      <c r="Y304" s="100"/>
      <c r="Z304" s="363"/>
      <c r="AA304" s="98"/>
      <c r="AB304" s="363"/>
      <c r="AC304" s="100"/>
      <c r="AD304" s="363"/>
      <c r="AE304" s="100"/>
      <c r="AF304" s="364">
        <f>IFERROR(__xludf.DUMMYFUNCTION("""COMPUTED_VALUE"""),1409.0)</f>
        <v>1409</v>
      </c>
      <c r="AG304" s="98" t="str">
        <f>IFERROR(__xludf.DUMMYFUNCTION("""COMPUTED_VALUE"""),"TCO team ETA 9:30 AM")</f>
        <v>TCO team ETA 9:30 AM</v>
      </c>
      <c r="AH304" s="98"/>
      <c r="AI304" s="98"/>
      <c r="AJ304" s="98"/>
      <c r="AK304" s="98"/>
      <c r="AL304" s="364">
        <f>IFERROR(__xludf.DUMMYFUNCTION("""COMPUTED_VALUE"""),0.0)</f>
        <v>0</v>
      </c>
      <c r="AM304" s="364">
        <f>IFERROR(__xludf.DUMMYFUNCTION("""COMPUTED_VALUE"""),0.0)</f>
        <v>0</v>
      </c>
    </row>
    <row r="305">
      <c r="A305" s="98">
        <f>IFERROR(__xludf.DUMMYFUNCTION("""COMPUTED_VALUE"""),302.0)</f>
        <v>302</v>
      </c>
      <c r="B305" s="98" t="str">
        <f>IFERROR(__xludf.DUMMYFUNCTION("""COMPUTED_VALUE"""),"TNI0434")</f>
        <v>TNI0434</v>
      </c>
      <c r="C305" s="98" t="str">
        <f>IFERROR(__xludf.DUMMYFUNCTION("""COMPUTED_VALUE"""),"C")</f>
        <v>C</v>
      </c>
      <c r="D305" s="98" t="str">
        <f>IFERROR(__xludf.DUMMYFUNCTION("""COMPUTED_VALUE"""),"OCK")</f>
        <v>OCK</v>
      </c>
      <c r="E305" s="98" t="str">
        <f>IFERROR(__xludf.DUMMYFUNCTION("""COMPUTED_VALUE"""),"T4")</f>
        <v>T4</v>
      </c>
      <c r="F305" s="98" t="str">
        <f>IFERROR(__xludf.DUMMYFUNCTION("""COMPUTED_VALUE"""),"Kawthoung")</f>
        <v>Kawthoung</v>
      </c>
      <c r="G305" s="98" t="str">
        <f>IFERROR(__xludf.DUMMYFUNCTION("""COMPUTED_VALUE"""),"Tin Maung Win")</f>
        <v>Tin Maung Win</v>
      </c>
      <c r="H305" s="98"/>
      <c r="I305" s="98"/>
      <c r="J305" s="98"/>
      <c r="K305" s="362">
        <f>IFERROR(__xludf.DUMMYFUNCTION("""COMPUTED_VALUE"""),180.0)</f>
        <v>180</v>
      </c>
      <c r="L305" s="98" t="str">
        <f>IFERROR(__xludf.DUMMYFUNCTION("""COMPUTED_VALUE"""),"24*7")</f>
        <v>24*7</v>
      </c>
      <c r="M305" s="98" t="str">
        <f>IFERROR(__xludf.DUMMYFUNCTION("""COMPUTED_VALUE"""),"1DG+BB")</f>
        <v>1DG+BB</v>
      </c>
      <c r="N305" s="98" t="str">
        <f>IFERROR(__xludf.DUMMYFUNCTION("""COMPUTED_VALUE"""),"ok")</f>
        <v>ok</v>
      </c>
      <c r="O305" s="363"/>
      <c r="P305" s="98"/>
      <c r="Q305" s="98"/>
      <c r="R305" s="100"/>
      <c r="S305" s="363"/>
      <c r="T305" s="100"/>
      <c r="U305" s="98"/>
      <c r="V305" s="100"/>
      <c r="W305" s="98"/>
      <c r="X305" s="363"/>
      <c r="Y305" s="100"/>
      <c r="Z305" s="363"/>
      <c r="AA305" s="98"/>
      <c r="AB305" s="363"/>
      <c r="AC305" s="100"/>
      <c r="AD305" s="363"/>
      <c r="AE305" s="100"/>
      <c r="AF305" s="364">
        <f>IFERROR(__xludf.DUMMYFUNCTION("""COMPUTED_VALUE"""),403.0)</f>
        <v>403</v>
      </c>
      <c r="AG305" s="98" t="str">
        <f>IFERROR(__xludf.DUMMYFUNCTION("""COMPUTED_VALUE"""),"EPC cable broken and team onsite")</f>
        <v>EPC cable broken and team onsite</v>
      </c>
      <c r="AH305" s="98" t="str">
        <f>IFERROR(__xludf.DUMMYFUNCTION("""COMPUTED_VALUE"""),"Run MDG")</f>
        <v>Run MDG</v>
      </c>
      <c r="AI305" s="98"/>
      <c r="AJ305" s="98"/>
      <c r="AK305" s="98"/>
      <c r="AL305" s="364">
        <f>IFERROR(__xludf.DUMMYFUNCTION("""COMPUTED_VALUE"""),0.0)</f>
        <v>0</v>
      </c>
      <c r="AM305" s="364">
        <f>IFERROR(__xludf.DUMMYFUNCTION("""COMPUTED_VALUE"""),0.0)</f>
        <v>0</v>
      </c>
    </row>
    <row r="306">
      <c r="A306" s="98">
        <f>IFERROR(__xludf.DUMMYFUNCTION("""COMPUTED_VALUE"""),303.0)</f>
        <v>303</v>
      </c>
      <c r="B306" s="98" t="str">
        <f>IFERROR(__xludf.DUMMYFUNCTION("""COMPUTED_VALUE"""),"TNI0435")</f>
        <v>TNI0435</v>
      </c>
      <c r="C306" s="98" t="str">
        <f>IFERROR(__xludf.DUMMYFUNCTION("""COMPUTED_VALUE"""),"C")</f>
        <v>C</v>
      </c>
      <c r="D306" s="98" t="str">
        <f>IFERROR(__xludf.DUMMYFUNCTION("""COMPUTED_VALUE"""),"OCK")</f>
        <v>OCK</v>
      </c>
      <c r="E306" s="98" t="str">
        <f>IFERROR(__xludf.DUMMYFUNCTION("""COMPUTED_VALUE"""),"T4")</f>
        <v>T4</v>
      </c>
      <c r="F306" s="98" t="str">
        <f>IFERROR(__xludf.DUMMYFUNCTION("""COMPUTED_VALUE"""),"Kawthoung")</f>
        <v>Kawthoung</v>
      </c>
      <c r="G306" s="98" t="str">
        <f>IFERROR(__xludf.DUMMYFUNCTION("""COMPUTED_VALUE"""),"Tin Maung Win")</f>
        <v>Tin Maung Win</v>
      </c>
      <c r="H306" s="98"/>
      <c r="I306" s="98"/>
      <c r="J306" s="98"/>
      <c r="K306" s="362">
        <f>IFERROR(__xludf.DUMMYFUNCTION("""COMPUTED_VALUE"""),180.0)</f>
        <v>180</v>
      </c>
      <c r="L306" s="98" t="str">
        <f>IFERROR(__xludf.DUMMYFUNCTION("""COMPUTED_VALUE"""),"24*7")</f>
        <v>24*7</v>
      </c>
      <c r="M306" s="98" t="str">
        <f>IFERROR(__xludf.DUMMYFUNCTION("""COMPUTED_VALUE"""),"1DG+BB")</f>
        <v>1DG+BB</v>
      </c>
      <c r="N306" s="98" t="str">
        <f>IFERROR(__xludf.DUMMYFUNCTION("""COMPUTED_VALUE"""),"ok")</f>
        <v>ok</v>
      </c>
      <c r="O306" s="363"/>
      <c r="P306" s="98"/>
      <c r="Q306" s="98"/>
      <c r="R306" s="100"/>
      <c r="S306" s="363"/>
      <c r="T306" s="100"/>
      <c r="U306" s="98"/>
      <c r="V306" s="100"/>
      <c r="W306" s="98"/>
      <c r="X306" s="363"/>
      <c r="Y306" s="100"/>
      <c r="Z306" s="363"/>
      <c r="AA306" s="98"/>
      <c r="AB306" s="363"/>
      <c r="AC306" s="100"/>
      <c r="AD306" s="363"/>
      <c r="AE306" s="100"/>
      <c r="AF306" s="364">
        <f>IFERROR(__xludf.DUMMYFUNCTION("""COMPUTED_VALUE"""),500.0)</f>
        <v>500</v>
      </c>
      <c r="AG306" s="98" t="str">
        <f>IFERROR(__xludf.DUMMYFUNCTION("""COMPUTED_VALUE"""),"TCO team ETA 6 AM")</f>
        <v>TCO team ETA 6 AM</v>
      </c>
      <c r="AH306" s="98"/>
      <c r="AI306" s="98" t="str">
        <f>IFERROR(__xludf.DUMMYFUNCTION("""COMPUTED_VALUE"""),"TCO power issue")</f>
        <v>TCO power issue</v>
      </c>
      <c r="AJ306" s="98"/>
      <c r="AK306" s="98"/>
      <c r="AL306" s="364">
        <f>IFERROR(__xludf.DUMMYFUNCTION("""COMPUTED_VALUE"""),0.0)</f>
        <v>0</v>
      </c>
      <c r="AM306" s="364">
        <f>IFERROR(__xludf.DUMMYFUNCTION("""COMPUTED_VALUE"""),0.0)</f>
        <v>0</v>
      </c>
    </row>
    <row r="307">
      <c r="A307" s="98">
        <f>IFERROR(__xludf.DUMMYFUNCTION("""COMPUTED_VALUE"""),304.0)</f>
        <v>304</v>
      </c>
      <c r="B307" s="98" t="str">
        <f>IFERROR(__xludf.DUMMYFUNCTION("""COMPUTED_VALUE"""),"TNI0163")</f>
        <v>TNI0163</v>
      </c>
      <c r="C307" s="98" t="str">
        <f>IFERROR(__xludf.DUMMYFUNCTION("""COMPUTED_VALUE"""),"C")</f>
        <v>C</v>
      </c>
      <c r="D307" s="98" t="str">
        <f>IFERROR(__xludf.DUMMYFUNCTION("""COMPUTED_VALUE"""),"IGT")</f>
        <v>IGT</v>
      </c>
      <c r="E307" s="98" t="str">
        <f>IFERROR(__xludf.DUMMYFUNCTION("""COMPUTED_VALUE"""),"T5")</f>
        <v>T5</v>
      </c>
      <c r="F307" s="98" t="str">
        <f>IFERROR(__xludf.DUMMYFUNCTION("""COMPUTED_VALUE"""),"Palaw")</f>
        <v>Palaw</v>
      </c>
      <c r="G307" s="98" t="str">
        <f>IFERROR(__xludf.DUMMYFUNCTION("""COMPUTED_VALUE"""),"Min Paing Oo")</f>
        <v>Min Paing Oo</v>
      </c>
      <c r="H307" s="98"/>
      <c r="I307" s="98"/>
      <c r="J307" s="98"/>
      <c r="K307" s="362">
        <f>IFERROR(__xludf.DUMMYFUNCTION("""COMPUTED_VALUE"""),180.0)</f>
        <v>180</v>
      </c>
      <c r="L307" s="98" t="str">
        <f>IFERROR(__xludf.DUMMYFUNCTION("""COMPUTED_VALUE"""),"24*7")</f>
        <v>24*7</v>
      </c>
      <c r="M307" s="98" t="str">
        <f>IFERROR(__xludf.DUMMYFUNCTION("""COMPUTED_VALUE"""),"Grid+BB")</f>
        <v>Grid+BB</v>
      </c>
      <c r="N307" s="98" t="str">
        <f>IFERROR(__xludf.DUMMYFUNCTION("""COMPUTED_VALUE"""),"ok")</f>
        <v>ok</v>
      </c>
      <c r="O307" s="363"/>
      <c r="P307" s="98"/>
      <c r="Q307" s="98"/>
      <c r="R307" s="100"/>
      <c r="S307" s="363"/>
      <c r="T307" s="100"/>
      <c r="U307" s="98"/>
      <c r="V307" s="100"/>
      <c r="W307" s="98"/>
      <c r="X307" s="363"/>
      <c r="Y307" s="100"/>
      <c r="Z307" s="363"/>
      <c r="AA307" s="98"/>
      <c r="AB307" s="363">
        <f>IFERROR(__xludf.DUMMYFUNCTION("""COMPUTED_VALUE"""),46184.062210648146)</f>
        <v>46184.06221</v>
      </c>
      <c r="AC307" s="100">
        <f>IFERROR(__xludf.DUMMYFUNCTION("""COMPUTED_VALUE"""),521.1362630557269)</f>
        <v>521.1362631</v>
      </c>
      <c r="AD307" s="363">
        <f>IFERROR(__xludf.DUMMYFUNCTION("""COMPUTED_VALUE"""),46184.06215277778)</f>
        <v>46184.06215</v>
      </c>
      <c r="AE307" s="100">
        <f>IFERROR(__xludf.DUMMYFUNCTION("""COMPUTED_VALUE"""),521.1376519445912)</f>
        <v>521.1376519</v>
      </c>
      <c r="AF307" s="364">
        <f>IFERROR(__xludf.DUMMYFUNCTION("""COMPUTED_VALUE"""),0.0)</f>
        <v>0</v>
      </c>
      <c r="AG307" s="98" t="str">
        <f>IFERROR(__xludf.DUMMYFUNCTION("""COMPUTED_VALUE"""),"Hub site TNI0033 down")</f>
        <v>Hub site TNI0033 down</v>
      </c>
      <c r="AH307" s="98"/>
      <c r="AI307" s="98"/>
      <c r="AJ307" s="98"/>
      <c r="AK307" s="98"/>
      <c r="AL307" s="364">
        <f>IFERROR(__xludf.DUMMYFUNCTION("""COMPUTED_VALUE"""),0.0)</f>
        <v>0</v>
      </c>
      <c r="AM307" s="364">
        <f>IFERROR(__xludf.DUMMYFUNCTION("""COMPUTED_VALUE"""),0.0)</f>
        <v>0</v>
      </c>
    </row>
    <row r="308">
      <c r="A308" s="98">
        <f>IFERROR(__xludf.DUMMYFUNCTION("""COMPUTED_VALUE"""),305.0)</f>
        <v>305</v>
      </c>
      <c r="B308" s="98" t="str">
        <f>IFERROR(__xludf.DUMMYFUNCTION("""COMPUTED_VALUE"""),"TNI0165")</f>
        <v>TNI0165</v>
      </c>
      <c r="C308" s="98" t="str">
        <f>IFERROR(__xludf.DUMMYFUNCTION("""COMPUTED_VALUE"""),"C")</f>
        <v>C</v>
      </c>
      <c r="D308" s="98" t="str">
        <f>IFERROR(__xludf.DUMMYFUNCTION("""COMPUTED_VALUE"""),"IGT")</f>
        <v>IGT</v>
      </c>
      <c r="E308" s="98" t="str">
        <f>IFERROR(__xludf.DUMMYFUNCTION("""COMPUTED_VALUE"""),"T5")</f>
        <v>T5</v>
      </c>
      <c r="F308" s="98" t="str">
        <f>IFERROR(__xludf.DUMMYFUNCTION("""COMPUTED_VALUE"""),"Palaw")</f>
        <v>Palaw</v>
      </c>
      <c r="G308" s="98" t="str">
        <f>IFERROR(__xludf.DUMMYFUNCTION("""COMPUTED_VALUE"""),"Min Paing Oo")</f>
        <v>Min Paing Oo</v>
      </c>
      <c r="H308" s="98"/>
      <c r="I308" s="98">
        <f>IFERROR(__xludf.DUMMYFUNCTION("""COMPUTED_VALUE"""),0.0)</f>
        <v>0</v>
      </c>
      <c r="J308" s="98"/>
      <c r="K308" s="362">
        <f>IFERROR(__xludf.DUMMYFUNCTION("""COMPUTED_VALUE"""),60.0)</f>
        <v>60</v>
      </c>
      <c r="L308" s="98" t="str">
        <f>IFERROR(__xludf.DUMMYFUNCTION("""COMPUTED_VALUE"""),"24*7")</f>
        <v>24*7</v>
      </c>
      <c r="M308" s="98" t="str">
        <f>IFERROR(__xludf.DUMMYFUNCTION("""COMPUTED_VALUE"""),"1DG+BB")</f>
        <v>1DG+BB</v>
      </c>
      <c r="N308" s="98" t="str">
        <f>IFERROR(__xludf.DUMMYFUNCTION("""COMPUTED_VALUE"""),"ok")</f>
        <v>ok</v>
      </c>
      <c r="O308" s="363"/>
      <c r="P308" s="98"/>
      <c r="Q308" s="98" t="str">
        <f>IFERROR(__xludf.DUMMYFUNCTION("""COMPUTED_VALUE""")," Door open alarm: 23/06/2023 11:43")</f>
        <v> Door open alarm: 23/06/2023 11:43</v>
      </c>
      <c r="R308" s="100">
        <f>IFERROR(__xludf.DUMMYFUNCTION("""COMPUTED_VALUE"""),26525.61)</f>
        <v>26525.61</v>
      </c>
      <c r="S308" s="363"/>
      <c r="T308" s="100"/>
      <c r="U308" s="98"/>
      <c r="V308" s="100"/>
      <c r="W308" s="98"/>
      <c r="X308" s="363"/>
      <c r="Y308" s="100"/>
      <c r="Z308" s="363"/>
      <c r="AA308" s="98"/>
      <c r="AB308" s="363"/>
      <c r="AC308" s="100"/>
      <c r="AD308" s="363"/>
      <c r="AE308" s="100"/>
      <c r="AF308" s="364">
        <f>IFERROR(__xludf.DUMMYFUNCTION("""COMPUTED_VALUE"""),1107.0)</f>
        <v>1107</v>
      </c>
      <c r="AG308" s="98" t="str">
        <f>IFERROR(__xludf.DUMMYFUNCTION("""COMPUTED_VALUE"""),"Checking with TCO team")</f>
        <v>Checking with TCO team</v>
      </c>
      <c r="AH308" s="98"/>
      <c r="AI308" s="98"/>
      <c r="AJ308" s="98"/>
      <c r="AK308" s="98"/>
      <c r="AL308" s="364">
        <f>IFERROR(__xludf.DUMMYFUNCTION("""COMPUTED_VALUE"""),0.0)</f>
        <v>0</v>
      </c>
      <c r="AM308" s="364">
        <f>IFERROR(__xludf.DUMMYFUNCTION("""COMPUTED_VALUE"""),0.0)</f>
        <v>0</v>
      </c>
    </row>
    <row r="309">
      <c r="A309" s="98">
        <f>IFERROR(__xludf.DUMMYFUNCTION("""COMPUTED_VALUE"""),306.0)</f>
        <v>306</v>
      </c>
      <c r="B309" s="98" t="str">
        <f>IFERROR(__xludf.DUMMYFUNCTION("""COMPUTED_VALUE"""),"TNI0166")</f>
        <v>TNI0166</v>
      </c>
      <c r="C309" s="98" t="str">
        <f>IFERROR(__xludf.DUMMYFUNCTION("""COMPUTED_VALUE"""),"C")</f>
        <v>C</v>
      </c>
      <c r="D309" s="98" t="str">
        <f>IFERROR(__xludf.DUMMYFUNCTION("""COMPUTED_VALUE"""),"IGT")</f>
        <v>IGT</v>
      </c>
      <c r="E309" s="98" t="str">
        <f>IFERROR(__xludf.DUMMYFUNCTION("""COMPUTED_VALUE"""),"T5")</f>
        <v>T5</v>
      </c>
      <c r="F309" s="98" t="str">
        <f>IFERROR(__xludf.DUMMYFUNCTION("""COMPUTED_VALUE"""),"Palaw")</f>
        <v>Palaw</v>
      </c>
      <c r="G309" s="98" t="str">
        <f>IFERROR(__xludf.DUMMYFUNCTION("""COMPUTED_VALUE"""),"Min Paing Oo")</f>
        <v>Min Paing Oo</v>
      </c>
      <c r="H309" s="98"/>
      <c r="I309" s="98">
        <f>IFERROR(__xludf.DUMMYFUNCTION("""COMPUTED_VALUE"""),0.0)</f>
        <v>0</v>
      </c>
      <c r="J309" s="98"/>
      <c r="K309" s="362">
        <f>IFERROR(__xludf.DUMMYFUNCTION("""COMPUTED_VALUE"""),60.0)</f>
        <v>60</v>
      </c>
      <c r="L309" s="98" t="str">
        <f>IFERROR(__xludf.DUMMYFUNCTION("""COMPUTED_VALUE"""),"24*7")</f>
        <v>24*7</v>
      </c>
      <c r="M309" s="98" t="str">
        <f>IFERROR(__xludf.DUMMYFUNCTION("""COMPUTED_VALUE"""),"Grid+BB")</f>
        <v>Grid+BB</v>
      </c>
      <c r="N309" s="98" t="str">
        <f>IFERROR(__xludf.DUMMYFUNCTION("""COMPUTED_VALUE"""),"ok")</f>
        <v>ok</v>
      </c>
      <c r="O309" s="363"/>
      <c r="P309" s="98"/>
      <c r="Q309" s="98"/>
      <c r="R309" s="100"/>
      <c r="S309" s="363"/>
      <c r="T309" s="100"/>
      <c r="U309" s="98"/>
      <c r="V309" s="100"/>
      <c r="W309" s="98"/>
      <c r="X309" s="363"/>
      <c r="Y309" s="100"/>
      <c r="Z309" s="363"/>
      <c r="AA309" s="98"/>
      <c r="AB309" s="363"/>
      <c r="AC309" s="100"/>
      <c r="AD309" s="363"/>
      <c r="AE309" s="100"/>
      <c r="AF309" s="364">
        <f>IFERROR(__xludf.DUMMYFUNCTION("""COMPUTED_VALUE"""),1644.0)</f>
        <v>1644</v>
      </c>
      <c r="AG309" s="98" t="str">
        <f>IFERROR(__xludf.DUMMYFUNCTION("""COMPUTED_VALUE"""),"MFOCN cable broken")</f>
        <v>MFOCN cable broken</v>
      </c>
      <c r="AH309" s="98" t="str">
        <f>IFERROR(__xludf.DUMMYFUNCTION("""COMPUTED_VALUE"""),"T-NYC")</f>
        <v>T-NYC</v>
      </c>
      <c r="AI309" s="98"/>
      <c r="AJ309" s="98"/>
      <c r="AK309" s="98"/>
      <c r="AL309" s="364">
        <f>IFERROR(__xludf.DUMMYFUNCTION("""COMPUTED_VALUE"""),0.0)</f>
        <v>0</v>
      </c>
      <c r="AM309" s="364">
        <f>IFERROR(__xludf.DUMMYFUNCTION("""COMPUTED_VALUE"""),0.0)</f>
        <v>0</v>
      </c>
    </row>
    <row r="310">
      <c r="A310" s="98">
        <f>IFERROR(__xludf.DUMMYFUNCTION("""COMPUTED_VALUE"""),307.0)</f>
        <v>307</v>
      </c>
      <c r="B310" s="98" t="str">
        <f>IFERROR(__xludf.DUMMYFUNCTION("""COMPUTED_VALUE"""),"TNI0290")</f>
        <v>TNI0290</v>
      </c>
      <c r="C310" s="98" t="str">
        <f>IFERROR(__xludf.DUMMYFUNCTION("""COMPUTED_VALUE"""),"C")</f>
        <v>C</v>
      </c>
      <c r="D310" s="98" t="str">
        <f>IFERROR(__xludf.DUMMYFUNCTION("""COMPUTED_VALUE"""),"IGT")</f>
        <v>IGT</v>
      </c>
      <c r="E310" s="98" t="str">
        <f>IFERROR(__xludf.DUMMYFUNCTION("""COMPUTED_VALUE"""),"T5")</f>
        <v>T5</v>
      </c>
      <c r="F310" s="98" t="str">
        <f>IFERROR(__xludf.DUMMYFUNCTION("""COMPUTED_VALUE"""),"Palaw")</f>
        <v>Palaw</v>
      </c>
      <c r="G310" s="98" t="str">
        <f>IFERROR(__xludf.DUMMYFUNCTION("""COMPUTED_VALUE"""),"Min Paing Oo")</f>
        <v>Min Paing Oo</v>
      </c>
      <c r="H310" s="98"/>
      <c r="I310" s="98"/>
      <c r="J310" s="98"/>
      <c r="K310" s="362">
        <f>IFERROR(__xludf.DUMMYFUNCTION("""COMPUTED_VALUE"""),180.0)</f>
        <v>180</v>
      </c>
      <c r="L310" s="98" t="str">
        <f>IFERROR(__xludf.DUMMYFUNCTION("""COMPUTED_VALUE"""),"24*7")</f>
        <v>24*7</v>
      </c>
      <c r="M310" s="98" t="str">
        <f>IFERROR(__xludf.DUMMYFUNCTION("""COMPUTED_VALUE"""),"1DG+BB")</f>
        <v>1DG+BB</v>
      </c>
      <c r="N310" s="98" t="str">
        <f>IFERROR(__xludf.DUMMYFUNCTION("""COMPUTED_VALUE"""),"ok")</f>
        <v>ok</v>
      </c>
      <c r="O310" s="363"/>
      <c r="P310" s="98"/>
      <c r="Q310" s="98" t="str">
        <f>IFERROR(__xludf.DUMMYFUNCTION("""COMPUTED_VALUE""")," Door open alarm: 20/04/2025 04:40")</f>
        <v> Door open alarm: 20/04/2025 04:40</v>
      </c>
      <c r="R310" s="100">
        <f>IFERROR(__xludf.DUMMYFUNCTION("""COMPUTED_VALUE"""),10524.66)</f>
        <v>10524.66</v>
      </c>
      <c r="S310" s="363"/>
      <c r="T310" s="100"/>
      <c r="U310" s="98"/>
      <c r="V310" s="100"/>
      <c r="W310" s="98"/>
      <c r="X310" s="363"/>
      <c r="Y310" s="100"/>
      <c r="Z310" s="363">
        <f>IFERROR(__xludf.DUMMYFUNCTION("""COMPUTED_VALUE"""),45344.41877314815)</f>
        <v>45344.41877</v>
      </c>
      <c r="AA310" s="98" t="str">
        <f>IFERROR(__xludf.DUMMYFUNCTION("""COMPUTED_VALUE"""),"20672:35")</f>
        <v>20672:35</v>
      </c>
      <c r="AB310" s="363"/>
      <c r="AC310" s="100"/>
      <c r="AD310" s="363"/>
      <c r="AE310" s="100"/>
      <c r="AF310" s="364">
        <f>IFERROR(__xludf.DUMMYFUNCTION("""COMPUTED_VALUE"""),737.0)</f>
        <v>737</v>
      </c>
      <c r="AG310" s="98" t="str">
        <f>IFERROR(__xludf.DUMMYFUNCTION("""COMPUTED_VALUE"""),"Checking with TCO team")</f>
        <v>Checking with TCO team</v>
      </c>
      <c r="AH310" s="98"/>
      <c r="AI310" s="98"/>
      <c r="AJ310" s="98"/>
      <c r="AK310" s="98"/>
      <c r="AL310" s="364">
        <f>IFERROR(__xludf.DUMMYFUNCTION("""COMPUTED_VALUE"""),0.0)</f>
        <v>0</v>
      </c>
      <c r="AM310" s="364">
        <f>IFERROR(__xludf.DUMMYFUNCTION("""COMPUTED_VALUE"""),0.0)</f>
        <v>0</v>
      </c>
    </row>
    <row r="311">
      <c r="A311" s="98">
        <f>IFERROR(__xludf.DUMMYFUNCTION("""COMPUTED_VALUE"""),308.0)</f>
        <v>308</v>
      </c>
      <c r="B311" s="98" t="str">
        <f>IFERROR(__xludf.DUMMYFUNCTION("""COMPUTED_VALUE"""),"TNI0215")</f>
        <v>TNI0215</v>
      </c>
      <c r="C311" s="98" t="str">
        <f>IFERROR(__xludf.DUMMYFUNCTION("""COMPUTED_VALUE"""),"C")</f>
        <v>C</v>
      </c>
      <c r="D311" s="98" t="str">
        <f>IFERROR(__xludf.DUMMYFUNCTION("""COMPUTED_VALUE"""),"IGT")</f>
        <v>IGT</v>
      </c>
      <c r="E311" s="98" t="str">
        <f>IFERROR(__xludf.DUMMYFUNCTION("""COMPUTED_VALUE"""),"T5")</f>
        <v>T5</v>
      </c>
      <c r="F311" s="98" t="str">
        <f>IFERROR(__xludf.DUMMYFUNCTION("""COMPUTED_VALUE"""),"Thayetchaung")</f>
        <v>Thayetchaung</v>
      </c>
      <c r="G311" s="98" t="str">
        <f>IFERROR(__xludf.DUMMYFUNCTION("""COMPUTED_VALUE"""),"Min Paing Oo")</f>
        <v>Min Paing Oo</v>
      </c>
      <c r="H311" s="98"/>
      <c r="I311" s="98">
        <f>IFERROR(__xludf.DUMMYFUNCTION("""COMPUTED_VALUE"""),0.0)</f>
        <v>0</v>
      </c>
      <c r="J311" s="98"/>
      <c r="K311" s="362">
        <f>IFERROR(__xludf.DUMMYFUNCTION("""COMPUTED_VALUE"""),120.0)</f>
        <v>120</v>
      </c>
      <c r="L311" s="98" t="str">
        <f>IFERROR(__xludf.DUMMYFUNCTION("""COMPUTED_VALUE"""),"24*7")</f>
        <v>24*7</v>
      </c>
      <c r="M311" s="98" t="str">
        <f>IFERROR(__xludf.DUMMYFUNCTION("""COMPUTED_VALUE"""),"Grid+BB")</f>
        <v>Grid+BB</v>
      </c>
      <c r="N311" s="98" t="str">
        <f>IFERROR(__xludf.DUMMYFUNCTION("""COMPUTED_VALUE"""),"ok")</f>
        <v>ok</v>
      </c>
      <c r="O311" s="363"/>
      <c r="P311" s="98"/>
      <c r="Q311" s="98"/>
      <c r="R311" s="100"/>
      <c r="S311" s="363"/>
      <c r="T311" s="100"/>
      <c r="U311" s="98"/>
      <c r="V311" s="100"/>
      <c r="W311" s="98"/>
      <c r="X311" s="363"/>
      <c r="Y311" s="100"/>
      <c r="Z311" s="363"/>
      <c r="AA311" s="98"/>
      <c r="AB311" s="363">
        <f>IFERROR(__xludf.DUMMYFUNCTION("""COMPUTED_VALUE"""),46196.77097222222)</f>
        <v>46196.77097</v>
      </c>
      <c r="AC311" s="100">
        <f>IFERROR(__xludf.DUMMYFUNCTION("""COMPUTED_VALUE"""),216.12598527793307)</f>
        <v>216.1259853</v>
      </c>
      <c r="AD311" s="363">
        <f>IFERROR(__xludf.DUMMYFUNCTION("""COMPUTED_VALUE"""),46196.72907407407)</f>
        <v>46196.72907</v>
      </c>
      <c r="AE311" s="100">
        <f>IFERROR(__xludf.DUMMYFUNCTION("""COMPUTED_VALUE"""),217.13154083350673)</f>
        <v>217.1315408</v>
      </c>
      <c r="AF311" s="364">
        <f>IFERROR(__xludf.DUMMYFUNCTION("""COMPUTED_VALUE"""),935.0)</f>
        <v>935</v>
      </c>
      <c r="AG311" s="98" t="str">
        <f>IFERROR(__xludf.DUMMYFUNCTION("""COMPUTED_VALUE"""),"Currently Local Armed Group Control this area")</f>
        <v>Currently Local Armed Group Control this area</v>
      </c>
      <c r="AH311" s="98"/>
      <c r="AI311" s="98"/>
      <c r="AJ311" s="98"/>
      <c r="AK311" s="98"/>
      <c r="AL311" s="364">
        <f>IFERROR(__xludf.DUMMYFUNCTION("""COMPUTED_VALUE"""),1.0)</f>
        <v>1</v>
      </c>
      <c r="AM311" s="364">
        <f>IFERROR(__xludf.DUMMYFUNCTION("""COMPUTED_VALUE"""),1.0)</f>
        <v>1</v>
      </c>
    </row>
    <row r="312">
      <c r="A312" s="98">
        <f>IFERROR(__xludf.DUMMYFUNCTION("""COMPUTED_VALUE"""),309.0)</f>
        <v>309</v>
      </c>
      <c r="B312" s="98" t="str">
        <f>IFERROR(__xludf.DUMMYFUNCTION("""COMPUTED_VALUE"""),"TNI0199")</f>
        <v>TNI0199</v>
      </c>
      <c r="C312" s="98" t="str">
        <f>IFERROR(__xludf.DUMMYFUNCTION("""COMPUTED_VALUE"""),"C")</f>
        <v>C</v>
      </c>
      <c r="D312" s="98" t="str">
        <f>IFERROR(__xludf.DUMMYFUNCTION("""COMPUTED_VALUE"""),"Mytel")</f>
        <v>Mytel</v>
      </c>
      <c r="E312" s="98" t="str">
        <f>IFERROR(__xludf.DUMMYFUNCTION("""COMPUTED_VALUE"""),"T5")</f>
        <v>T5</v>
      </c>
      <c r="F312" s="98" t="str">
        <f>IFERROR(__xludf.DUMMYFUNCTION("""COMPUTED_VALUE"""),"Palaw")</f>
        <v>Palaw</v>
      </c>
      <c r="G312" s="98" t="str">
        <f>IFERROR(__xludf.DUMMYFUNCTION("""COMPUTED_VALUE"""),"Min Paing Oo")</f>
        <v>Min Paing Oo</v>
      </c>
      <c r="H312" s="98"/>
      <c r="I312" s="98"/>
      <c r="J312" s="98"/>
      <c r="K312" s="362">
        <f>IFERROR(__xludf.DUMMYFUNCTION("""COMPUTED_VALUE"""),180.0)</f>
        <v>180</v>
      </c>
      <c r="L312" s="98" t="str">
        <f>IFERROR(__xludf.DUMMYFUNCTION("""COMPUTED_VALUE"""),"24*7")</f>
        <v>24*7</v>
      </c>
      <c r="M312" s="98" t="str">
        <f>IFERROR(__xludf.DUMMYFUNCTION("""COMPUTED_VALUE"""),"1DG+Grid+BB")</f>
        <v>1DG+Grid+BB</v>
      </c>
      <c r="N312" s="98" t="str">
        <f>IFERROR(__xludf.DUMMYFUNCTION("""COMPUTED_VALUE"""),"ok")</f>
        <v>ok</v>
      </c>
      <c r="O312" s="363"/>
      <c r="P312" s="98"/>
      <c r="Q312" s="98"/>
      <c r="R312" s="100"/>
      <c r="S312" s="363"/>
      <c r="T312" s="100"/>
      <c r="U312" s="98"/>
      <c r="V312" s="100"/>
      <c r="W312" s="98"/>
      <c r="X312" s="363">
        <f>IFERROR(__xludf.DUMMYFUNCTION("""COMPUTED_VALUE"""),45778.004108796296)</f>
        <v>45778.00411</v>
      </c>
      <c r="Y312" s="100">
        <f>IFERROR(__xludf.DUMMYFUNCTION("""COMPUTED_VALUE"""),10266.530707500118)</f>
        <v>10266.53071</v>
      </c>
      <c r="Z312" s="363"/>
      <c r="AA312" s="98"/>
      <c r="AB312" s="363"/>
      <c r="AC312" s="100"/>
      <c r="AD312" s="363"/>
      <c r="AE312" s="100"/>
      <c r="AF312" s="364">
        <f>IFERROR(__xludf.DUMMYFUNCTION("""COMPUTED_VALUE"""),947.0)</f>
        <v>947</v>
      </c>
      <c r="AG312" s="98" t="str">
        <f>IFERROR(__xludf.DUMMYFUNCTION("""COMPUTED_VALUE"""),"Hub site TNI0290 down")</f>
        <v>Hub site TNI0290 down</v>
      </c>
      <c r="AH312" s="98"/>
      <c r="AI312" s="98"/>
      <c r="AJ312" s="98"/>
      <c r="AK312" s="98"/>
      <c r="AL312" s="364">
        <f>IFERROR(__xludf.DUMMYFUNCTION("""COMPUTED_VALUE"""),0.0)</f>
        <v>0</v>
      </c>
      <c r="AM312" s="364">
        <f>IFERROR(__xludf.DUMMYFUNCTION("""COMPUTED_VALUE"""),0.0)</f>
        <v>0</v>
      </c>
    </row>
    <row r="313">
      <c r="A313" s="98">
        <f>IFERROR(__xludf.DUMMYFUNCTION("""COMPUTED_VALUE"""),310.0)</f>
        <v>310</v>
      </c>
      <c r="B313" s="98" t="str">
        <f>IFERROR(__xludf.DUMMYFUNCTION("""COMPUTED_VALUE"""),"TNI0234")</f>
        <v>TNI0234</v>
      </c>
      <c r="C313" s="98" t="str">
        <f>IFERROR(__xludf.DUMMYFUNCTION("""COMPUTED_VALUE"""),"C")</f>
        <v>C</v>
      </c>
      <c r="D313" s="98" t="str">
        <f>IFERROR(__xludf.DUMMYFUNCTION("""COMPUTED_VALUE"""),"Mytel")</f>
        <v>Mytel</v>
      </c>
      <c r="E313" s="98" t="str">
        <f>IFERROR(__xludf.DUMMYFUNCTION("""COMPUTED_VALUE"""),"T5")</f>
        <v>T5</v>
      </c>
      <c r="F313" s="98" t="str">
        <f>IFERROR(__xludf.DUMMYFUNCTION("""COMPUTED_VALUE"""),"Palaw")</f>
        <v>Palaw</v>
      </c>
      <c r="G313" s="98" t="str">
        <f>IFERROR(__xludf.DUMMYFUNCTION("""COMPUTED_VALUE"""),"Min Paing Oo")</f>
        <v>Min Paing Oo</v>
      </c>
      <c r="H313" s="98"/>
      <c r="I313" s="98">
        <f>IFERROR(__xludf.DUMMYFUNCTION("""COMPUTED_VALUE"""),0.0)</f>
        <v>0</v>
      </c>
      <c r="J313" s="98"/>
      <c r="K313" s="362">
        <f>IFERROR(__xludf.DUMMYFUNCTION("""COMPUTED_VALUE"""),60.0)</f>
        <v>60</v>
      </c>
      <c r="L313" s="98" t="str">
        <f>IFERROR(__xludf.DUMMYFUNCTION("""COMPUTED_VALUE"""),"24*7")</f>
        <v>24*7</v>
      </c>
      <c r="M313" s="98" t="str">
        <f>IFERROR(__xludf.DUMMYFUNCTION("""COMPUTED_VALUE"""),"1DG+BB")</f>
        <v>1DG+BB</v>
      </c>
      <c r="N313" s="98" t="str">
        <f>IFERROR(__xludf.DUMMYFUNCTION("""COMPUTED_VALUE"""),"245")</f>
        <v>245</v>
      </c>
      <c r="O313" s="363"/>
      <c r="P313" s="98"/>
      <c r="Q313" s="98"/>
      <c r="R313" s="100"/>
      <c r="S313" s="363"/>
      <c r="T313" s="100"/>
      <c r="U313" s="98"/>
      <c r="V313" s="100"/>
      <c r="W313" s="98"/>
      <c r="X313" s="363"/>
      <c r="Y313" s="100"/>
      <c r="Z313" s="363"/>
      <c r="AA313" s="98"/>
      <c r="AB313" s="363">
        <f>IFERROR(__xludf.DUMMYFUNCTION("""COMPUTED_VALUE"""),46203.647245370375)</f>
        <v>46203.64725</v>
      </c>
      <c r="AC313" s="100">
        <f>IFERROR(__xludf.DUMMYFUNCTION("""COMPUTED_VALUE"""),51.09542972239433)</f>
        <v>51.09542972</v>
      </c>
      <c r="AD313" s="363"/>
      <c r="AE313" s="100"/>
      <c r="AF313" s="364">
        <f>IFERROR(__xludf.DUMMYFUNCTION("""COMPUTED_VALUE"""),724.0)</f>
        <v>724</v>
      </c>
      <c r="AG313" s="98" t="str">
        <f>IFERROR(__xludf.DUMMYFUNCTION("""COMPUTED_VALUE"""),"Checking with team")</f>
        <v>Checking with team</v>
      </c>
      <c r="AH313" s="98" t="str">
        <f>IFERROR(__xludf.DUMMYFUNCTION("""COMPUTED_VALUE"""),"T-NYC")</f>
        <v>T-NYC</v>
      </c>
      <c r="AI313" s="98"/>
      <c r="AJ313" s="98" t="str">
        <f>IFERROR(__xludf.DUMMYFUNCTION("""COMPUTED_VALUE"""),"Equip_Tranceiver card, BTS/NodeB baseband processing card hangup")</f>
        <v>Equip_Tranceiver card, BTS/NodeB baseband processing card hangup</v>
      </c>
      <c r="AK313" s="98" t="str">
        <f>IFERROR(__xludf.DUMMYFUNCTION("""COMPUTED_VALUE"""),"need to change new UBBP card at slot2")</f>
        <v>need to change new UBBP card at slot2</v>
      </c>
      <c r="AL313" s="364">
        <f>IFERROR(__xludf.DUMMYFUNCTION("""COMPUTED_VALUE"""),0.0)</f>
        <v>0</v>
      </c>
      <c r="AM313" s="364">
        <f>IFERROR(__xludf.DUMMYFUNCTION("""COMPUTED_VALUE"""),0.0)</f>
        <v>0</v>
      </c>
    </row>
    <row r="314">
      <c r="A314" s="98">
        <f>IFERROR(__xludf.DUMMYFUNCTION("""COMPUTED_VALUE"""),311.0)</f>
        <v>311</v>
      </c>
      <c r="B314" s="98" t="str">
        <f>IFERROR(__xludf.DUMMYFUNCTION("""COMPUTED_VALUE"""),"TNI0339")</f>
        <v>TNI0339</v>
      </c>
      <c r="C314" s="98" t="str">
        <f>IFERROR(__xludf.DUMMYFUNCTION("""COMPUTED_VALUE"""),"C")</f>
        <v>C</v>
      </c>
      <c r="D314" s="98" t="str">
        <f>IFERROR(__xludf.DUMMYFUNCTION("""COMPUTED_VALUE"""),"Mytel")</f>
        <v>Mytel</v>
      </c>
      <c r="E314" s="98" t="str">
        <f>IFERROR(__xludf.DUMMYFUNCTION("""COMPUTED_VALUE"""),"T5")</f>
        <v>T5</v>
      </c>
      <c r="F314" s="98" t="str">
        <f>IFERROR(__xludf.DUMMYFUNCTION("""COMPUTED_VALUE"""),"Palaw")</f>
        <v>Palaw</v>
      </c>
      <c r="G314" s="98" t="str">
        <f>IFERROR(__xludf.DUMMYFUNCTION("""COMPUTED_VALUE"""),"Min Paing Oo")</f>
        <v>Min Paing Oo</v>
      </c>
      <c r="H314" s="98"/>
      <c r="I314" s="98">
        <f>IFERROR(__xludf.DUMMYFUNCTION("""COMPUTED_VALUE"""),0.0)</f>
        <v>0</v>
      </c>
      <c r="J314" s="98"/>
      <c r="K314" s="362">
        <f>IFERROR(__xludf.DUMMYFUNCTION("""COMPUTED_VALUE"""),180.0)</f>
        <v>180</v>
      </c>
      <c r="L314" s="98" t="str">
        <f>IFERROR(__xludf.DUMMYFUNCTION("""COMPUTED_VALUE"""),"24*7")</f>
        <v>24*7</v>
      </c>
      <c r="M314" s="98" t="str">
        <f>IFERROR(__xludf.DUMMYFUNCTION("""COMPUTED_VALUE"""),"1DG+BB")</f>
        <v>1DG+BB</v>
      </c>
      <c r="N314" s="98" t="str">
        <f>IFERROR(__xludf.DUMMYFUNCTION("""COMPUTED_VALUE"""),"0")</f>
        <v>0</v>
      </c>
      <c r="O314" s="363"/>
      <c r="P314" s="98"/>
      <c r="Q314" s="98"/>
      <c r="R314" s="100"/>
      <c r="S314" s="363"/>
      <c r="T314" s="100"/>
      <c r="U314" s="98"/>
      <c r="V314" s="100"/>
      <c r="W314" s="98"/>
      <c r="X314" s="363"/>
      <c r="Y314" s="100"/>
      <c r="Z314" s="363"/>
      <c r="AA314" s="98"/>
      <c r="AB314" s="363"/>
      <c r="AC314" s="100"/>
      <c r="AD314" s="363"/>
      <c r="AE314" s="100"/>
      <c r="AF314" s="364">
        <f>IFERROR(__xludf.DUMMYFUNCTION("""COMPUTED_VALUE"""),1958.0)</f>
        <v>1958</v>
      </c>
      <c r="AG314" s="98" t="str">
        <f>IFERROR(__xludf.DUMMYFUNCTION("""COMPUTED_VALUE"""),"Cannot contact to team")</f>
        <v>Cannot contact to team</v>
      </c>
      <c r="AH314" s="98"/>
      <c r="AI314" s="98"/>
      <c r="AJ314" s="98"/>
      <c r="AK314" s="98"/>
      <c r="AL314" s="364">
        <f>IFERROR(__xludf.DUMMYFUNCTION("""COMPUTED_VALUE"""),0.0)</f>
        <v>0</v>
      </c>
      <c r="AM314" s="364">
        <f>IFERROR(__xludf.DUMMYFUNCTION("""COMPUTED_VALUE"""),0.0)</f>
        <v>0</v>
      </c>
    </row>
    <row r="315">
      <c r="A315" s="98">
        <f>IFERROR(__xludf.DUMMYFUNCTION("""COMPUTED_VALUE"""),312.0)</f>
        <v>312</v>
      </c>
      <c r="B315" s="98" t="str">
        <f>IFERROR(__xludf.DUMMYFUNCTION("""COMPUTED_VALUE"""),"TNI0391")</f>
        <v>TNI0391</v>
      </c>
      <c r="C315" s="98" t="str">
        <f>IFERROR(__xludf.DUMMYFUNCTION("""COMPUTED_VALUE"""),"C")</f>
        <v>C</v>
      </c>
      <c r="D315" s="98" t="str">
        <f>IFERROR(__xludf.DUMMYFUNCTION("""COMPUTED_VALUE"""),"OCK")</f>
        <v>OCK</v>
      </c>
      <c r="E315" s="98" t="str">
        <f>IFERROR(__xludf.DUMMYFUNCTION("""COMPUTED_VALUE"""),"T5")</f>
        <v>T5</v>
      </c>
      <c r="F315" s="98" t="str">
        <f>IFERROR(__xludf.DUMMYFUNCTION("""COMPUTED_VALUE"""),"Palaw")</f>
        <v>Palaw</v>
      </c>
      <c r="G315" s="98" t="str">
        <f>IFERROR(__xludf.DUMMYFUNCTION("""COMPUTED_VALUE"""),"Min Paing Oo")</f>
        <v>Min Paing Oo</v>
      </c>
      <c r="H315" s="98"/>
      <c r="I315" s="98"/>
      <c r="J315" s="98"/>
      <c r="K315" s="362">
        <f>IFERROR(__xludf.DUMMYFUNCTION("""COMPUTED_VALUE"""),180.0)</f>
        <v>180</v>
      </c>
      <c r="L315" s="98" t="str">
        <f>IFERROR(__xludf.DUMMYFUNCTION("""COMPUTED_VALUE"""),"24*7")</f>
        <v>24*7</v>
      </c>
      <c r="M315" s="98" t="str">
        <f>IFERROR(__xludf.DUMMYFUNCTION("""COMPUTED_VALUE"""),"Grid+BB")</f>
        <v>Grid+BB</v>
      </c>
      <c r="N315" s="98" t="str">
        <f>IFERROR(__xludf.DUMMYFUNCTION("""COMPUTED_VALUE"""),"ok")</f>
        <v>ok</v>
      </c>
      <c r="O315" s="363"/>
      <c r="P315" s="98"/>
      <c r="Q315" s="98"/>
      <c r="R315" s="100"/>
      <c r="S315" s="363"/>
      <c r="T315" s="100"/>
      <c r="U315" s="98"/>
      <c r="V315" s="100"/>
      <c r="W315" s="98"/>
      <c r="X315" s="363"/>
      <c r="Y315" s="100"/>
      <c r="Z315" s="363"/>
      <c r="AA315" s="98"/>
      <c r="AB315" s="363"/>
      <c r="AC315" s="100"/>
      <c r="AD315" s="363"/>
      <c r="AE315" s="100"/>
      <c r="AF315" s="364">
        <f>IFERROR(__xludf.DUMMYFUNCTION("""COMPUTED_VALUE"""),1721.0)</f>
        <v>1721</v>
      </c>
      <c r="AG315" s="98" t="str">
        <f>IFERROR(__xludf.DUMMYFUNCTION("""COMPUTED_VALUE"""),"Hub site TNI0449 down")</f>
        <v>Hub site TNI0449 down</v>
      </c>
      <c r="AH315" s="98" t="str">
        <f>IFERROR(__xludf.DUMMYFUNCTION("""COMPUTED_VALUE"""),"T-NYC")</f>
        <v>T-NYC</v>
      </c>
      <c r="AI315" s="98"/>
      <c r="AJ315" s="98"/>
      <c r="AK315" s="98"/>
      <c r="AL315" s="364">
        <f>IFERROR(__xludf.DUMMYFUNCTION("""COMPUTED_VALUE"""),0.0)</f>
        <v>0</v>
      </c>
      <c r="AM315" s="364">
        <f>IFERROR(__xludf.DUMMYFUNCTION("""COMPUTED_VALUE"""),0.0)</f>
        <v>0</v>
      </c>
    </row>
    <row r="316">
      <c r="A316" s="98">
        <f>IFERROR(__xludf.DUMMYFUNCTION("""COMPUTED_VALUE"""),313.0)</f>
        <v>313</v>
      </c>
      <c r="B316" s="98" t="str">
        <f>IFERROR(__xludf.DUMMYFUNCTION("""COMPUTED_VALUE"""),"TNI0108")</f>
        <v>TNI0108</v>
      </c>
      <c r="C316" s="98" t="str">
        <f>IFERROR(__xludf.DUMMYFUNCTION("""COMPUTED_VALUE"""),"C")</f>
        <v>C</v>
      </c>
      <c r="D316" s="98" t="str">
        <f>IFERROR(__xludf.DUMMYFUNCTION("""COMPUTED_VALUE"""),"Edotco")</f>
        <v>Edotco</v>
      </c>
      <c r="E316" s="98" t="str">
        <f>IFERROR(__xludf.DUMMYFUNCTION("""COMPUTED_VALUE"""),"T5")</f>
        <v>T5</v>
      </c>
      <c r="F316" s="98" t="str">
        <f>IFERROR(__xludf.DUMMYFUNCTION("""COMPUTED_VALUE"""),"Palaw")</f>
        <v>Palaw</v>
      </c>
      <c r="G316" s="98" t="str">
        <f>IFERROR(__xludf.DUMMYFUNCTION("""COMPUTED_VALUE"""),"Min Paing Oo")</f>
        <v>Min Paing Oo</v>
      </c>
      <c r="H316" s="98"/>
      <c r="I316" s="98">
        <f>IFERROR(__xludf.DUMMYFUNCTION("""COMPUTED_VALUE"""),0.0)</f>
        <v>0</v>
      </c>
      <c r="J316" s="98"/>
      <c r="K316" s="362">
        <f>IFERROR(__xludf.DUMMYFUNCTION("""COMPUTED_VALUE"""),40.0)</f>
        <v>40</v>
      </c>
      <c r="L316" s="98" t="str">
        <f>IFERROR(__xludf.DUMMYFUNCTION("""COMPUTED_VALUE"""),"24*7")</f>
        <v>24*7</v>
      </c>
      <c r="M316" s="98" t="str">
        <f>IFERROR(__xludf.DUMMYFUNCTION("""COMPUTED_VALUE"""),"Grid+BB")</f>
        <v>Grid+BB</v>
      </c>
      <c r="N316" s="98" t="str">
        <f>IFERROR(__xludf.DUMMYFUNCTION("""COMPUTED_VALUE"""),"ok")</f>
        <v>ok</v>
      </c>
      <c r="O316" s="363"/>
      <c r="P316" s="98"/>
      <c r="Q316" s="98"/>
      <c r="R316" s="100"/>
      <c r="S316" s="363"/>
      <c r="T316" s="100"/>
      <c r="U316" s="98"/>
      <c r="V316" s="100"/>
      <c r="W316" s="98"/>
      <c r="X316" s="363"/>
      <c r="Y316" s="100"/>
      <c r="Z316" s="363"/>
      <c r="AA316" s="98"/>
      <c r="AB316" s="363"/>
      <c r="AC316" s="100"/>
      <c r="AD316" s="363"/>
      <c r="AE316" s="100"/>
      <c r="AF316" s="364">
        <f>IFERROR(__xludf.DUMMYFUNCTION("""COMPUTED_VALUE"""),1161.0)</f>
        <v>1161</v>
      </c>
      <c r="AG316" s="98" t="str">
        <f>IFERROR(__xludf.DUMMYFUNCTION("""COMPUTED_VALUE"""),"TCO team conflict area")</f>
        <v>TCO team conflict area</v>
      </c>
      <c r="AH316" s="98"/>
      <c r="AI316" s="98" t="str">
        <f>IFERROR(__xludf.DUMMYFUNCTION("""COMPUTED_VALUE"""),"31/10/2025 Need set check agian DC alarm box see DC low")</f>
        <v>31/10/2025 Need set check agian DC alarm box see DC low</v>
      </c>
      <c r="AJ316" s="98"/>
      <c r="AK316" s="98"/>
      <c r="AL316" s="364">
        <f>IFERROR(__xludf.DUMMYFUNCTION("""COMPUTED_VALUE"""),0.0)</f>
        <v>0</v>
      </c>
      <c r="AM316" s="364">
        <f>IFERROR(__xludf.DUMMYFUNCTION("""COMPUTED_VALUE"""),0.0)</f>
        <v>0</v>
      </c>
    </row>
    <row r="317">
      <c r="A317" s="98">
        <f>IFERROR(__xludf.DUMMYFUNCTION("""COMPUTED_VALUE"""),314.0)</f>
        <v>314</v>
      </c>
      <c r="B317" s="98" t="str">
        <f>IFERROR(__xludf.DUMMYFUNCTION("""COMPUTED_VALUE"""),"TNI0289")</f>
        <v>TNI0289</v>
      </c>
      <c r="C317" s="98" t="str">
        <f>IFERROR(__xludf.DUMMYFUNCTION("""COMPUTED_VALUE"""),"C")</f>
        <v>C</v>
      </c>
      <c r="D317" s="98" t="str">
        <f>IFERROR(__xludf.DUMMYFUNCTION("""COMPUTED_VALUE"""),"PAT")</f>
        <v>PAT</v>
      </c>
      <c r="E317" s="98" t="str">
        <f>IFERROR(__xludf.DUMMYFUNCTION("""COMPUTED_VALUE"""),"T5")</f>
        <v>T5</v>
      </c>
      <c r="F317" s="98" t="str">
        <f>IFERROR(__xludf.DUMMYFUNCTION("""COMPUTED_VALUE"""),"Thayetchaung")</f>
        <v>Thayetchaung</v>
      </c>
      <c r="G317" s="98" t="str">
        <f>IFERROR(__xludf.DUMMYFUNCTION("""COMPUTED_VALUE"""),"Min Paing Oo")</f>
        <v>Min Paing Oo</v>
      </c>
      <c r="H317" s="98"/>
      <c r="I317" s="98">
        <f>IFERROR(__xludf.DUMMYFUNCTION("""COMPUTED_VALUE"""),0.0)</f>
        <v>0</v>
      </c>
      <c r="J317" s="98"/>
      <c r="K317" s="362">
        <f>IFERROR(__xludf.DUMMYFUNCTION("""COMPUTED_VALUE"""),180.0)</f>
        <v>180</v>
      </c>
      <c r="L317" s="98" t="str">
        <f>IFERROR(__xludf.DUMMYFUNCTION("""COMPUTED_VALUE"""),"24*7")</f>
        <v>24*7</v>
      </c>
      <c r="M317" s="98" t="str">
        <f>IFERROR(__xludf.DUMMYFUNCTION("""COMPUTED_VALUE"""),"1DG+BB")</f>
        <v>1DG+BB</v>
      </c>
      <c r="N317" s="98" t="str">
        <f>IFERROR(__xludf.DUMMYFUNCTION("""COMPUTED_VALUE"""),"0")</f>
        <v>0</v>
      </c>
      <c r="O317" s="363"/>
      <c r="P317" s="98"/>
      <c r="Q317" s="98"/>
      <c r="R317" s="100"/>
      <c r="S317" s="363"/>
      <c r="T317" s="100"/>
      <c r="U317" s="98"/>
      <c r="V317" s="100"/>
      <c r="W317" s="98"/>
      <c r="X317" s="363">
        <f>IFERROR(__xludf.DUMMYFUNCTION("""COMPUTED_VALUE"""),46186.47421296296)</f>
        <v>46186.47421</v>
      </c>
      <c r="Y317" s="100">
        <f>IFERROR(__xludf.DUMMYFUNCTION("""COMPUTED_VALUE"""),463.24820750020444)</f>
        <v>463.2482075</v>
      </c>
      <c r="Z317" s="363">
        <f>IFERROR(__xludf.DUMMYFUNCTION("""COMPUTED_VALUE"""),46187.12189814815)</f>
        <v>46187.1219</v>
      </c>
      <c r="AA317" s="98" t="str">
        <f>IFERROR(__xludf.DUMMYFUNCTION("""COMPUTED_VALUE"""),"447:42")</f>
        <v>447:42</v>
      </c>
      <c r="AB317" s="363">
        <f>IFERROR(__xludf.DUMMYFUNCTION("""COMPUTED_VALUE"""),46186.55113425926)</f>
        <v>46186.55113</v>
      </c>
      <c r="AC317" s="100">
        <f>IFERROR(__xludf.DUMMYFUNCTION("""COMPUTED_VALUE"""),461.40209638903616)</f>
        <v>461.4020964</v>
      </c>
      <c r="AD317" s="363">
        <f>IFERROR(__xludf.DUMMYFUNCTION("""COMPUTED_VALUE"""),46186.55337962963)</f>
        <v>46186.55338</v>
      </c>
      <c r="AE317" s="100">
        <f>IFERROR(__xludf.DUMMYFUNCTION("""COMPUTED_VALUE"""),461.34820750012295)</f>
        <v>461.3482075</v>
      </c>
      <c r="AF317" s="364">
        <f>IFERROR(__xludf.DUMMYFUNCTION("""COMPUTED_VALUE"""),1351.0)</f>
        <v>1351</v>
      </c>
      <c r="AG317" s="98" t="str">
        <f>IFERROR(__xludf.DUMMYFUNCTION("""COMPUTED_VALUE"""),"KNU shut down power take DG key")</f>
        <v>KNU shut down power take DG key</v>
      </c>
      <c r="AH317" s="98"/>
      <c r="AI317" s="98"/>
      <c r="AJ317" s="98" t="str">
        <f>IFERROR(__xludf.DUMMYFUNCTION("""COMPUTED_VALUE"""),"Loss_Power_Cannot_Access(Sercurity,Owner…)")</f>
        <v>Loss_Power_Cannot_Access(Sercurity,Owner…)</v>
      </c>
      <c r="AK317" s="98" t="str">
        <f>IFERROR(__xludf.DUMMYFUNCTION("""COMPUTED_VALUE"""),"KNU team take DG key and power shut down,")</f>
        <v>KNU team take DG key and power shut down,</v>
      </c>
      <c r="AL317" s="364">
        <f>IFERROR(__xludf.DUMMYFUNCTION("""COMPUTED_VALUE"""),1.0)</f>
        <v>1</v>
      </c>
      <c r="AM317" s="364">
        <f>IFERROR(__xludf.DUMMYFUNCTION("""COMPUTED_VALUE"""),1.0)</f>
        <v>1</v>
      </c>
    </row>
    <row r="318">
      <c r="A318" s="98">
        <f>IFERROR(__xludf.DUMMYFUNCTION("""COMPUTED_VALUE"""),315.0)</f>
        <v>315</v>
      </c>
      <c r="B318" s="98" t="str">
        <f>IFERROR(__xludf.DUMMYFUNCTION("""COMPUTED_VALUE"""),"TNI0448")</f>
        <v>TNI0448</v>
      </c>
      <c r="C318" s="98" t="str">
        <f>IFERROR(__xludf.DUMMYFUNCTION("""COMPUTED_VALUE"""),"C")</f>
        <v>C</v>
      </c>
      <c r="D318" s="98" t="str">
        <f>IFERROR(__xludf.DUMMYFUNCTION("""COMPUTED_VALUE"""),"OCK")</f>
        <v>OCK</v>
      </c>
      <c r="E318" s="98" t="str">
        <f>IFERROR(__xludf.DUMMYFUNCTION("""COMPUTED_VALUE"""),"T5")</f>
        <v>T5</v>
      </c>
      <c r="F318" s="98" t="str">
        <f>IFERROR(__xludf.DUMMYFUNCTION("""COMPUTED_VALUE"""),"Palaw")</f>
        <v>Palaw</v>
      </c>
      <c r="G318" s="98" t="str">
        <f>IFERROR(__xludf.DUMMYFUNCTION("""COMPUTED_VALUE"""),"Min Paing Oo")</f>
        <v>Min Paing Oo</v>
      </c>
      <c r="H318" s="98"/>
      <c r="I318" s="98"/>
      <c r="J318" s="98"/>
      <c r="K318" s="362">
        <f>IFERROR(__xludf.DUMMYFUNCTION("""COMPUTED_VALUE"""),180.0)</f>
        <v>180</v>
      </c>
      <c r="L318" s="98" t="str">
        <f>IFERROR(__xludf.DUMMYFUNCTION("""COMPUTED_VALUE"""),"24*7")</f>
        <v>24*7</v>
      </c>
      <c r="M318" s="98" t="str">
        <f>IFERROR(__xludf.DUMMYFUNCTION("""COMPUTED_VALUE"""),"Grid+BB")</f>
        <v>Grid+BB</v>
      </c>
      <c r="N318" s="98" t="str">
        <f>IFERROR(__xludf.DUMMYFUNCTION("""COMPUTED_VALUE"""),"ok")</f>
        <v>ok</v>
      </c>
      <c r="O318" s="363"/>
      <c r="P318" s="98"/>
      <c r="Q318" s="98"/>
      <c r="R318" s="100"/>
      <c r="S318" s="363"/>
      <c r="T318" s="100"/>
      <c r="U318" s="98"/>
      <c r="V318" s="100"/>
      <c r="W318" s="98"/>
      <c r="X318" s="363"/>
      <c r="Y318" s="100"/>
      <c r="Z318" s="363"/>
      <c r="AA318" s="98"/>
      <c r="AB318" s="363">
        <f>IFERROR(__xludf.DUMMYFUNCTION("""COMPUTED_VALUE"""),46184.06222222222)</f>
        <v>46184.06222</v>
      </c>
      <c r="AC318" s="100">
        <f>IFERROR(__xludf.DUMMYFUNCTION("""COMPUTED_VALUE"""),521.1359852778842)</f>
        <v>521.1359853</v>
      </c>
      <c r="AD318" s="363">
        <f>IFERROR(__xludf.DUMMYFUNCTION("""COMPUTED_VALUE"""),46184.06216435185)</f>
        <v>46184.06216</v>
      </c>
      <c r="AE318" s="100">
        <f>IFERROR(__xludf.DUMMYFUNCTION("""COMPUTED_VALUE"""),521.1373741667485)</f>
        <v>521.1373742</v>
      </c>
      <c r="AF318" s="364">
        <f>IFERROR(__xludf.DUMMYFUNCTION("""COMPUTED_VALUE"""),0.0)</f>
        <v>0</v>
      </c>
      <c r="AG318" s="98" t="str">
        <f>IFERROR(__xludf.DUMMYFUNCTION("""COMPUTED_VALUE"""),"Unsafe")</f>
        <v>Unsafe</v>
      </c>
      <c r="AH318" s="98"/>
      <c r="AI318" s="98" t="str">
        <f>IFERROR(__xludf.DUMMYFUNCTION("""COMPUTED_VALUE"""),"already reach material to team and team NYC")</f>
        <v>already reach material to team and team NYC</v>
      </c>
      <c r="AJ318" s="98"/>
      <c r="AK318" s="98"/>
      <c r="AL318" s="364">
        <f>IFERROR(__xludf.DUMMYFUNCTION("""COMPUTED_VALUE"""),0.0)</f>
        <v>0</v>
      </c>
      <c r="AM318" s="364">
        <f>IFERROR(__xludf.DUMMYFUNCTION("""COMPUTED_VALUE"""),0.0)</f>
        <v>0</v>
      </c>
    </row>
    <row r="319">
      <c r="A319" s="98">
        <f>IFERROR(__xludf.DUMMYFUNCTION("""COMPUTED_VALUE"""),316.0)</f>
        <v>316</v>
      </c>
      <c r="B319" s="98" t="str">
        <f>IFERROR(__xludf.DUMMYFUNCTION("""COMPUTED_VALUE"""),"TNI0323")</f>
        <v>TNI0323</v>
      </c>
      <c r="C319" s="98" t="str">
        <f>IFERROR(__xludf.DUMMYFUNCTION("""COMPUTED_VALUE"""),"C")</f>
        <v>C</v>
      </c>
      <c r="D319" s="98" t="str">
        <f>IFERROR(__xludf.DUMMYFUNCTION("""COMPUTED_VALUE"""),"Mytel")</f>
        <v>Mytel</v>
      </c>
      <c r="E319" s="98" t="str">
        <f>IFERROR(__xludf.DUMMYFUNCTION("""COMPUTED_VALUE"""),"T5")</f>
        <v>T5</v>
      </c>
      <c r="F319" s="98" t="str">
        <f>IFERROR(__xludf.DUMMYFUNCTION("""COMPUTED_VALUE"""),"Palaw")</f>
        <v>Palaw</v>
      </c>
      <c r="G319" s="98" t="str">
        <f>IFERROR(__xludf.DUMMYFUNCTION("""COMPUTED_VALUE"""),"Min Paing Oo")</f>
        <v>Min Paing Oo</v>
      </c>
      <c r="H319" s="98"/>
      <c r="I319" s="98">
        <f>IFERROR(__xludf.DUMMYFUNCTION("""COMPUTED_VALUE"""),0.0)</f>
        <v>0</v>
      </c>
      <c r="J319" s="98"/>
      <c r="K319" s="362">
        <f>IFERROR(__xludf.DUMMYFUNCTION("""COMPUTED_VALUE"""),180.0)</f>
        <v>180</v>
      </c>
      <c r="L319" s="98" t="str">
        <f>IFERROR(__xludf.DUMMYFUNCTION("""COMPUTED_VALUE"""),"24*7")</f>
        <v>24*7</v>
      </c>
      <c r="M319" s="98" t="str">
        <f>IFERROR(__xludf.DUMMYFUNCTION("""COMPUTED_VALUE"""),"1DG+BB")</f>
        <v>1DG+BB</v>
      </c>
      <c r="N319" s="98" t="str">
        <f>IFERROR(__xludf.DUMMYFUNCTION("""COMPUTED_VALUE"""),"0")</f>
        <v>0</v>
      </c>
      <c r="O319" s="363">
        <f>IFERROR(__xludf.DUMMYFUNCTION("""COMPUTED_VALUE"""),46138.52452546296)</f>
        <v>46138.52453</v>
      </c>
      <c r="P319" s="98" t="str">
        <f>IFERROR(__xludf.DUMMYFUNCTION("""COMPUTED_VALUE"""),"1614:2")</f>
        <v>1614:2</v>
      </c>
      <c r="Q319" s="98"/>
      <c r="R319" s="100"/>
      <c r="S319" s="363"/>
      <c r="T319" s="100"/>
      <c r="U319" s="98"/>
      <c r="V319" s="100"/>
      <c r="W319" s="98"/>
      <c r="X319" s="363"/>
      <c r="Y319" s="100"/>
      <c r="Z319" s="363"/>
      <c r="AA319" s="98"/>
      <c r="AB319" s="363"/>
      <c r="AC319" s="100"/>
      <c r="AD319" s="363"/>
      <c r="AE319" s="100"/>
      <c r="AF319" s="364">
        <f>IFERROR(__xludf.DUMMYFUNCTION("""COMPUTED_VALUE"""),1015.0)</f>
        <v>1015</v>
      </c>
      <c r="AG319" s="98" t="str">
        <f>IFERROR(__xludf.DUMMYFUNCTION("""COMPUTED_VALUE"""),"Hub site TNI0339")</f>
        <v>Hub site TNI0339</v>
      </c>
      <c r="AH319" s="98"/>
      <c r="AI319" s="98"/>
      <c r="AJ319" s="98"/>
      <c r="AK319" s="98"/>
      <c r="AL319" s="364">
        <f>IFERROR(__xludf.DUMMYFUNCTION("""COMPUTED_VALUE"""),0.0)</f>
        <v>0</v>
      </c>
      <c r="AM319" s="364">
        <f>IFERROR(__xludf.DUMMYFUNCTION("""COMPUTED_VALUE"""),0.0)</f>
        <v>0</v>
      </c>
    </row>
    <row r="320">
      <c r="A320" s="98">
        <f>IFERROR(__xludf.DUMMYFUNCTION("""COMPUTED_VALUE"""),317.0)</f>
        <v>317</v>
      </c>
      <c r="B320" s="98" t="str">
        <f>IFERROR(__xludf.DUMMYFUNCTION("""COMPUTED_VALUE"""),"TNI0336")</f>
        <v>TNI0336</v>
      </c>
      <c r="C320" s="98" t="str">
        <f>IFERROR(__xludf.DUMMYFUNCTION("""COMPUTED_VALUE"""),"C")</f>
        <v>C</v>
      </c>
      <c r="D320" s="98" t="str">
        <f>IFERROR(__xludf.DUMMYFUNCTION("""COMPUTED_VALUE"""),"Mytel")</f>
        <v>Mytel</v>
      </c>
      <c r="E320" s="98" t="str">
        <f>IFERROR(__xludf.DUMMYFUNCTION("""COMPUTED_VALUE"""),"T5")</f>
        <v>T5</v>
      </c>
      <c r="F320" s="98" t="str">
        <f>IFERROR(__xludf.DUMMYFUNCTION("""COMPUTED_VALUE"""),"Palaw")</f>
        <v>Palaw</v>
      </c>
      <c r="G320" s="98" t="str">
        <f>IFERROR(__xludf.DUMMYFUNCTION("""COMPUTED_VALUE"""),"Min Paing Oo")</f>
        <v>Min Paing Oo</v>
      </c>
      <c r="H320" s="98"/>
      <c r="I320" s="98">
        <f>IFERROR(__xludf.DUMMYFUNCTION("""COMPUTED_VALUE"""),0.0)</f>
        <v>0</v>
      </c>
      <c r="J320" s="98"/>
      <c r="K320" s="362">
        <f>IFERROR(__xludf.DUMMYFUNCTION("""COMPUTED_VALUE"""),180.0)</f>
        <v>180</v>
      </c>
      <c r="L320" s="98" t="str">
        <f>IFERROR(__xludf.DUMMYFUNCTION("""COMPUTED_VALUE"""),"24*7")</f>
        <v>24*7</v>
      </c>
      <c r="M320" s="98" t="str">
        <f>IFERROR(__xludf.DUMMYFUNCTION("""COMPUTED_VALUE"""),"1DG+Grid+BB")</f>
        <v>1DG+Grid+BB</v>
      </c>
      <c r="N320" s="98" t="str">
        <f>IFERROR(__xludf.DUMMYFUNCTION("""COMPUTED_VALUE"""),"ok")</f>
        <v>ok</v>
      </c>
      <c r="O320" s="363"/>
      <c r="P320" s="98"/>
      <c r="Q320" s="98"/>
      <c r="R320" s="100"/>
      <c r="S320" s="363"/>
      <c r="T320" s="100"/>
      <c r="U320" s="98"/>
      <c r="V320" s="100"/>
      <c r="W320" s="98"/>
      <c r="X320" s="363">
        <f>IFERROR(__xludf.DUMMYFUNCTION("""COMPUTED_VALUE"""),46205.67273148148)</f>
        <v>46205.67273</v>
      </c>
      <c r="Y320" s="100">
        <f>IFERROR(__xludf.DUMMYFUNCTION("""COMPUTED_VALUE"""),2.4837633334100246)</f>
        <v>2.483763333</v>
      </c>
      <c r="Z320" s="363"/>
      <c r="AA320" s="98"/>
      <c r="AB320" s="363"/>
      <c r="AC320" s="100"/>
      <c r="AD320" s="363"/>
      <c r="AE320" s="100"/>
      <c r="AF320" s="364">
        <f>IFERROR(__xludf.DUMMYFUNCTION("""COMPUTED_VALUE"""),1401.0)</f>
        <v>1401</v>
      </c>
      <c r="AG320" s="98" t="str">
        <f>IFERROR(__xludf.DUMMYFUNCTION("""COMPUTED_VALUE"""),"Grid fail, non DG in unsafe area")</f>
        <v>Grid fail, non DG in unsafe area</v>
      </c>
      <c r="AH320" s="98"/>
      <c r="AI320" s="98"/>
      <c r="AJ320" s="98"/>
      <c r="AK320" s="98"/>
      <c r="AL320" s="364">
        <f>IFERROR(__xludf.DUMMYFUNCTION("""COMPUTED_VALUE"""),0.0)</f>
        <v>0</v>
      </c>
      <c r="AM320" s="364">
        <f>IFERROR(__xludf.DUMMYFUNCTION("""COMPUTED_VALUE"""),0.0)</f>
        <v>0</v>
      </c>
    </row>
    <row r="321">
      <c r="A321" s="98">
        <f>IFERROR(__xludf.DUMMYFUNCTION("""COMPUTED_VALUE"""),318.0)</f>
        <v>318</v>
      </c>
      <c r="B321" s="98" t="str">
        <f>IFERROR(__xludf.DUMMYFUNCTION("""COMPUTED_VALUE"""),"TNI0088")</f>
        <v>TNI0088</v>
      </c>
      <c r="C321" s="98" t="str">
        <f>IFERROR(__xludf.DUMMYFUNCTION("""COMPUTED_VALUE"""),"B")</f>
        <v>B</v>
      </c>
      <c r="D321" s="98" t="str">
        <f>IFERROR(__xludf.DUMMYFUNCTION("""COMPUTED_VALUE"""),"Mytel")</f>
        <v>Mytel</v>
      </c>
      <c r="E321" s="98" t="str">
        <f>IFERROR(__xludf.DUMMYFUNCTION("""COMPUTED_VALUE"""),"T5")</f>
        <v>T5</v>
      </c>
      <c r="F321" s="98" t="str">
        <f>IFERROR(__xludf.DUMMYFUNCTION("""COMPUTED_VALUE"""),"Palaw")</f>
        <v>Palaw</v>
      </c>
      <c r="G321" s="98" t="str">
        <f>IFERROR(__xludf.DUMMYFUNCTION("""COMPUTED_VALUE"""),"Min Paing Oo")</f>
        <v>Min Paing Oo</v>
      </c>
      <c r="H321" s="98"/>
      <c r="I321" s="98"/>
      <c r="J321" s="98"/>
      <c r="K321" s="362">
        <f>IFERROR(__xludf.DUMMYFUNCTION("""COMPUTED_VALUE"""),120.0)</f>
        <v>120</v>
      </c>
      <c r="L321" s="98" t="str">
        <f>IFERROR(__xludf.DUMMYFUNCTION("""COMPUTED_VALUE"""),"6:00PM-6:00AM")</f>
        <v>6:00PM-6:00AM</v>
      </c>
      <c r="M321" s="98" t="str">
        <f>IFERROR(__xludf.DUMMYFUNCTION("""COMPUTED_VALUE"""),"1DG+Grid+BB")</f>
        <v>1DG+Grid+BB</v>
      </c>
      <c r="N321" s="98" t="str">
        <f>IFERROR(__xludf.DUMMYFUNCTION("""COMPUTED_VALUE"""),"ok")</f>
        <v>ok</v>
      </c>
      <c r="O321" s="363"/>
      <c r="P321" s="98"/>
      <c r="Q321" s="98"/>
      <c r="R321" s="100"/>
      <c r="S321" s="363"/>
      <c r="T321" s="100"/>
      <c r="U321" s="98"/>
      <c r="V321" s="100"/>
      <c r="W321" s="98"/>
      <c r="X321" s="363"/>
      <c r="Y321" s="100"/>
      <c r="Z321" s="363"/>
      <c r="AA321" s="98"/>
      <c r="AB321" s="363"/>
      <c r="AC321" s="100"/>
      <c r="AD321" s="363"/>
      <c r="AE321" s="100"/>
      <c r="AF321" s="364">
        <f>IFERROR(__xludf.DUMMYFUNCTION("""COMPUTED_VALUE"""),0.0)</f>
        <v>0</v>
      </c>
      <c r="AG321" s="98"/>
      <c r="AH321" s="98"/>
      <c r="AI321" s="98" t="str">
        <f>IFERROR(__xludf.DUMMYFUNCTION("""COMPUTED_VALUE"""),"DG stop time due to army security")</f>
        <v>DG stop time due to army security</v>
      </c>
      <c r="AJ321" s="98"/>
      <c r="AK321" s="98"/>
      <c r="AL321" s="364">
        <f>IFERROR(__xludf.DUMMYFUNCTION("""COMPUTED_VALUE"""),0.0)</f>
        <v>0</v>
      </c>
      <c r="AM321" s="364">
        <f>IFERROR(__xludf.DUMMYFUNCTION("""COMPUTED_VALUE"""),0.0)</f>
        <v>0</v>
      </c>
    </row>
    <row r="322">
      <c r="A322" s="98">
        <f>IFERROR(__xludf.DUMMYFUNCTION("""COMPUTED_VALUE"""),319.0)</f>
        <v>319</v>
      </c>
      <c r="B322" s="98" t="str">
        <f>IFERROR(__xludf.DUMMYFUNCTION("""COMPUTED_VALUE"""),"TNI0164")</f>
        <v>TNI0164</v>
      </c>
      <c r="C322" s="98" t="str">
        <f>IFERROR(__xludf.DUMMYFUNCTION("""COMPUTED_VALUE"""),"C")</f>
        <v>C</v>
      </c>
      <c r="D322" s="98" t="str">
        <f>IFERROR(__xludf.DUMMYFUNCTION("""COMPUTED_VALUE"""),"IGT")</f>
        <v>IGT</v>
      </c>
      <c r="E322" s="98" t="str">
        <f>IFERROR(__xludf.DUMMYFUNCTION("""COMPUTED_VALUE"""),"T5")</f>
        <v>T5</v>
      </c>
      <c r="F322" s="98" t="str">
        <f>IFERROR(__xludf.DUMMYFUNCTION("""COMPUTED_VALUE"""),"Palaw")</f>
        <v>Palaw</v>
      </c>
      <c r="G322" s="98" t="str">
        <f>IFERROR(__xludf.DUMMYFUNCTION("""COMPUTED_VALUE"""),"Min Paing Oo")</f>
        <v>Min Paing Oo</v>
      </c>
      <c r="H322" s="98"/>
      <c r="I322" s="98">
        <f>IFERROR(__xludf.DUMMYFUNCTION("""COMPUTED_VALUE"""),0.0)</f>
        <v>0</v>
      </c>
      <c r="J322" s="98"/>
      <c r="K322" s="362">
        <f>IFERROR(__xludf.DUMMYFUNCTION("""COMPUTED_VALUE"""),60.0)</f>
        <v>60</v>
      </c>
      <c r="L322" s="98" t="str">
        <f>IFERROR(__xludf.DUMMYFUNCTION("""COMPUTED_VALUE"""),"24*7")</f>
        <v>24*7</v>
      </c>
      <c r="M322" s="98" t="str">
        <f>IFERROR(__xludf.DUMMYFUNCTION("""COMPUTED_VALUE"""),"Grid+BB")</f>
        <v>Grid+BB</v>
      </c>
      <c r="N322" s="98" t="str">
        <f>IFERROR(__xludf.DUMMYFUNCTION("""COMPUTED_VALUE"""),"ok")</f>
        <v>ok</v>
      </c>
      <c r="O322" s="363"/>
      <c r="P322" s="98"/>
      <c r="Q322" s="98"/>
      <c r="R322" s="100"/>
      <c r="S322" s="363"/>
      <c r="T322" s="100"/>
      <c r="U322" s="98"/>
      <c r="V322" s="100"/>
      <c r="W322" s="98"/>
      <c r="X322" s="363"/>
      <c r="Y322" s="100"/>
      <c r="Z322" s="363"/>
      <c r="AA322" s="98"/>
      <c r="AB322" s="363"/>
      <c r="AC322" s="100"/>
      <c r="AD322" s="363"/>
      <c r="AE322" s="100"/>
      <c r="AF322" s="364">
        <f>IFERROR(__xludf.DUMMYFUNCTION("""COMPUTED_VALUE"""),563.0)</f>
        <v>563</v>
      </c>
      <c r="AG322" s="98" t="str">
        <f>IFERROR(__xludf.DUMMYFUNCTION("""COMPUTED_VALUE"""),"Hub site TNI0122 down")</f>
        <v>Hub site TNI0122 down</v>
      </c>
      <c r="AH322" s="98"/>
      <c r="AI322" s="98"/>
      <c r="AJ322" s="98"/>
      <c r="AK322" s="98"/>
      <c r="AL322" s="364">
        <f>IFERROR(__xludf.DUMMYFUNCTION("""COMPUTED_VALUE"""),0.0)</f>
        <v>0</v>
      </c>
      <c r="AM322" s="364">
        <f>IFERROR(__xludf.DUMMYFUNCTION("""COMPUTED_VALUE"""),0.0)</f>
        <v>0</v>
      </c>
    </row>
    <row r="323">
      <c r="A323" s="98">
        <f>IFERROR(__xludf.DUMMYFUNCTION("""COMPUTED_VALUE"""),320.0)</f>
        <v>320</v>
      </c>
      <c r="B323" s="98" t="str">
        <f>IFERROR(__xludf.DUMMYFUNCTION("""COMPUTED_VALUE"""),"TNI0291")</f>
        <v>TNI0291</v>
      </c>
      <c r="C323" s="98" t="str">
        <f>IFERROR(__xludf.DUMMYFUNCTION("""COMPUTED_VALUE"""),"C")</f>
        <v>C</v>
      </c>
      <c r="D323" s="98" t="str">
        <f>IFERROR(__xludf.DUMMYFUNCTION("""COMPUTED_VALUE"""),"Mytel")</f>
        <v>Mytel</v>
      </c>
      <c r="E323" s="98" t="str">
        <f>IFERROR(__xludf.DUMMYFUNCTION("""COMPUTED_VALUE"""),"T5")</f>
        <v>T5</v>
      </c>
      <c r="F323" s="98" t="str">
        <f>IFERROR(__xludf.DUMMYFUNCTION("""COMPUTED_VALUE"""),"Palaw")</f>
        <v>Palaw</v>
      </c>
      <c r="G323" s="98" t="str">
        <f>IFERROR(__xludf.DUMMYFUNCTION("""COMPUTED_VALUE"""),"Min Paing Oo")</f>
        <v>Min Paing Oo</v>
      </c>
      <c r="H323" s="98"/>
      <c r="I323" s="98">
        <f>IFERROR(__xludf.DUMMYFUNCTION("""COMPUTED_VALUE"""),0.0)</f>
        <v>0</v>
      </c>
      <c r="J323" s="98"/>
      <c r="K323" s="362">
        <f>IFERROR(__xludf.DUMMYFUNCTION("""COMPUTED_VALUE"""),180.0)</f>
        <v>180</v>
      </c>
      <c r="L323" s="98" t="str">
        <f>IFERROR(__xludf.DUMMYFUNCTION("""COMPUTED_VALUE"""),"24*7")</f>
        <v>24*7</v>
      </c>
      <c r="M323" s="98" t="str">
        <f>IFERROR(__xludf.DUMMYFUNCTION("""COMPUTED_VALUE"""),"1DG+Grid+BB")</f>
        <v>1DG+Grid+BB</v>
      </c>
      <c r="N323" s="98" t="str">
        <f>IFERROR(__xludf.DUMMYFUNCTION("""COMPUTED_VALUE"""),"0")</f>
        <v>0</v>
      </c>
      <c r="O323" s="363">
        <f>IFERROR(__xludf.DUMMYFUNCTION("""COMPUTED_VALUE"""),45552.50210648148)</f>
        <v>45552.50211</v>
      </c>
      <c r="P323" s="98" t="str">
        <f>IFERROR(__xludf.DUMMYFUNCTION("""COMPUTED_VALUE"""),"15678:35")</f>
        <v>15678:35</v>
      </c>
      <c r="Q323" s="98"/>
      <c r="R323" s="100"/>
      <c r="S323" s="363"/>
      <c r="T323" s="100"/>
      <c r="U323" s="98"/>
      <c r="V323" s="100"/>
      <c r="W323" s="98" t="str">
        <f>IFERROR(__xludf.DUMMYFUNCTION("""COMPUTED_VALUE"""),"455.79")</f>
        <v>455.79</v>
      </c>
      <c r="X323" s="363"/>
      <c r="Y323" s="100"/>
      <c r="Z323" s="363"/>
      <c r="AA323" s="98"/>
      <c r="AB323" s="363"/>
      <c r="AC323" s="100"/>
      <c r="AD323" s="363"/>
      <c r="AE323" s="100"/>
      <c r="AF323" s="364">
        <f>IFERROR(__xludf.DUMMYFUNCTION("""COMPUTED_VALUE"""),1252.0)</f>
        <v>1252</v>
      </c>
      <c r="AG323" s="98" t="str">
        <f>IFERROR(__xludf.DUMMYFUNCTION("""COMPUTED_VALUE"""),"team onsite")</f>
        <v>team onsite</v>
      </c>
      <c r="AH323" s="98"/>
      <c r="AI323" s="98"/>
      <c r="AJ323" s="98"/>
      <c r="AK323" s="98"/>
      <c r="AL323" s="364">
        <f>IFERROR(__xludf.DUMMYFUNCTION("""COMPUTED_VALUE"""),0.0)</f>
        <v>0</v>
      </c>
      <c r="AM323" s="364">
        <f>IFERROR(__xludf.DUMMYFUNCTION("""COMPUTED_VALUE"""),0.0)</f>
        <v>0</v>
      </c>
    </row>
    <row r="324">
      <c r="A324" s="98">
        <f>IFERROR(__xludf.DUMMYFUNCTION("""COMPUTED_VALUE"""),321.0)</f>
        <v>321</v>
      </c>
      <c r="B324" s="98" t="str">
        <f>IFERROR(__xludf.DUMMYFUNCTION("""COMPUTED_VALUE"""),"TNI0410")</f>
        <v>TNI0410</v>
      </c>
      <c r="C324" s="98" t="str">
        <f>IFERROR(__xludf.DUMMYFUNCTION("""COMPUTED_VALUE"""),"C")</f>
        <v>C</v>
      </c>
      <c r="D324" s="98" t="str">
        <f>IFERROR(__xludf.DUMMYFUNCTION("""COMPUTED_VALUE"""),"OCK")</f>
        <v>OCK</v>
      </c>
      <c r="E324" s="98" t="str">
        <f>IFERROR(__xludf.DUMMYFUNCTION("""COMPUTED_VALUE"""),"T5")</f>
        <v>T5</v>
      </c>
      <c r="F324" s="98" t="str">
        <f>IFERROR(__xludf.DUMMYFUNCTION("""COMPUTED_VALUE"""),"Palaw")</f>
        <v>Palaw</v>
      </c>
      <c r="G324" s="98" t="str">
        <f>IFERROR(__xludf.DUMMYFUNCTION("""COMPUTED_VALUE"""),"Min Paing Oo")</f>
        <v>Min Paing Oo</v>
      </c>
      <c r="H324" s="98" t="str">
        <f>IFERROR(__xludf.DUMMYFUNCTION("""COMPUTED_VALUE"""),"U kyaw Min: 09680090797")</f>
        <v>U kyaw Min: 09680090797</v>
      </c>
      <c r="I324" s="98"/>
      <c r="J324" s="98"/>
      <c r="K324" s="362">
        <f>IFERROR(__xludf.DUMMYFUNCTION("""COMPUTED_VALUE"""),180.0)</f>
        <v>180</v>
      </c>
      <c r="L324" s="98" t="str">
        <f>IFERROR(__xludf.DUMMYFUNCTION("""COMPUTED_VALUE"""),"24*7")</f>
        <v>24*7</v>
      </c>
      <c r="M324" s="98" t="str">
        <f>IFERROR(__xludf.DUMMYFUNCTION("""COMPUTED_VALUE"""),"Grid+BB")</f>
        <v>Grid+BB</v>
      </c>
      <c r="N324" s="98" t="str">
        <f>IFERROR(__xludf.DUMMYFUNCTION("""COMPUTED_VALUE"""),"ok")</f>
        <v>ok</v>
      </c>
      <c r="O324" s="363"/>
      <c r="P324" s="98"/>
      <c r="Q324" s="98"/>
      <c r="R324" s="100"/>
      <c r="S324" s="363"/>
      <c r="T324" s="100"/>
      <c r="U324" s="98"/>
      <c r="V324" s="100"/>
      <c r="W324" s="98"/>
      <c r="X324" s="363"/>
      <c r="Y324" s="100"/>
      <c r="Z324" s="363"/>
      <c r="AA324" s="98"/>
      <c r="AB324" s="363"/>
      <c r="AC324" s="100"/>
      <c r="AD324" s="363"/>
      <c r="AE324" s="100"/>
      <c r="AF324" s="364">
        <f>IFERROR(__xludf.DUMMYFUNCTION("""COMPUTED_VALUE"""),833.0)</f>
        <v>833</v>
      </c>
      <c r="AG324" s="98" t="str">
        <f>IFERROR(__xludf.DUMMYFUNCTION("""COMPUTED_VALUE"""),"MDG rest time")</f>
        <v>MDG rest time</v>
      </c>
      <c r="AH324" s="98" t="str">
        <f>IFERROR(__xludf.DUMMYFUNCTION("""COMPUTED_VALUE"""),"Run MDG")</f>
        <v>Run MDG</v>
      </c>
      <c r="AI324" s="98"/>
      <c r="AJ324" s="98"/>
      <c r="AK324" s="98"/>
      <c r="AL324" s="364">
        <f>IFERROR(__xludf.DUMMYFUNCTION("""COMPUTED_VALUE"""),0.0)</f>
        <v>0</v>
      </c>
      <c r="AM324" s="364">
        <f>IFERROR(__xludf.DUMMYFUNCTION("""COMPUTED_VALUE"""),0.0)</f>
        <v>0</v>
      </c>
    </row>
    <row r="325">
      <c r="A325" s="98">
        <f>IFERROR(__xludf.DUMMYFUNCTION("""COMPUTED_VALUE"""),322.0)</f>
        <v>322</v>
      </c>
      <c r="B325" s="98" t="str">
        <f>IFERROR(__xludf.DUMMYFUNCTION("""COMPUTED_VALUE"""),"TNI0515")</f>
        <v>TNI0515</v>
      </c>
      <c r="C325" s="98" t="str">
        <f>IFERROR(__xludf.DUMMYFUNCTION("""COMPUTED_VALUE"""),"C")</f>
        <v>C</v>
      </c>
      <c r="D325" s="98" t="str">
        <f>IFERROR(__xludf.DUMMYFUNCTION("""COMPUTED_VALUE"""),"OCK")</f>
        <v>OCK</v>
      </c>
      <c r="E325" s="98" t="str">
        <f>IFERROR(__xludf.DUMMYFUNCTION("""COMPUTED_VALUE"""),"T5")</f>
        <v>T5</v>
      </c>
      <c r="F325" s="98" t="str">
        <f>IFERROR(__xludf.DUMMYFUNCTION("""COMPUTED_VALUE"""),"Palauk")</f>
        <v>Palauk</v>
      </c>
      <c r="G325" s="98" t="str">
        <f>IFERROR(__xludf.DUMMYFUNCTION("""COMPUTED_VALUE"""),"Min Paing Oo")</f>
        <v>Min Paing Oo</v>
      </c>
      <c r="H325" s="98"/>
      <c r="I325" s="98"/>
      <c r="J325" s="98"/>
      <c r="K325" s="362">
        <f>IFERROR(__xludf.DUMMYFUNCTION("""COMPUTED_VALUE"""),180.0)</f>
        <v>180</v>
      </c>
      <c r="L325" s="98" t="str">
        <f>IFERROR(__xludf.DUMMYFUNCTION("""COMPUTED_VALUE"""),"24*7")</f>
        <v>24*7</v>
      </c>
      <c r="M325" s="98" t="str">
        <f>IFERROR(__xludf.DUMMYFUNCTION("""COMPUTED_VALUE"""),"Grid+BB")</f>
        <v>Grid+BB</v>
      </c>
      <c r="N325" s="98" t="str">
        <f>IFERROR(__xludf.DUMMYFUNCTION("""COMPUTED_VALUE"""),"ok")</f>
        <v>ok</v>
      </c>
      <c r="O325" s="363"/>
      <c r="P325" s="98"/>
      <c r="Q325" s="98"/>
      <c r="R325" s="100"/>
      <c r="S325" s="363"/>
      <c r="T325" s="100"/>
      <c r="U325" s="98"/>
      <c r="V325" s="100"/>
      <c r="W325" s="98"/>
      <c r="X325" s="363"/>
      <c r="Y325" s="100"/>
      <c r="Z325" s="363"/>
      <c r="AA325" s="98"/>
      <c r="AB325" s="363">
        <f>IFERROR(__xludf.DUMMYFUNCTION("""COMPUTED_VALUE"""),46205.460381944446)</f>
        <v>46205.46038</v>
      </c>
      <c r="AC325" s="100">
        <f>IFERROR(__xludf.DUMMYFUNCTION("""COMPUTED_VALUE"""),7.58015222218819)</f>
        <v>7.580152222</v>
      </c>
      <c r="AD325" s="363">
        <f>IFERROR(__xludf.DUMMYFUNCTION("""COMPUTED_VALUE"""),46205.50122685185)</f>
        <v>46205.50123</v>
      </c>
      <c r="AE325" s="100">
        <f>IFERROR(__xludf.DUMMYFUNCTION("""COMPUTED_VALUE"""),6.599874444364104)</f>
        <v>6.599874444</v>
      </c>
      <c r="AF325" s="364">
        <f>IFERROR(__xludf.DUMMYFUNCTION("""COMPUTED_VALUE"""),421.0)</f>
        <v>421</v>
      </c>
      <c r="AG325" s="98" t="str">
        <f>IFERROR(__xludf.DUMMYFUNCTION("""COMPUTED_VALUE"""),"Checking with TCO team")</f>
        <v>Checking with TCO team</v>
      </c>
      <c r="AH325" s="98" t="str">
        <f>IFERROR(__xludf.DUMMYFUNCTION("""COMPUTED_VALUE"""),"T-NYC")</f>
        <v>T-NYC</v>
      </c>
      <c r="AI325" s="98"/>
      <c r="AJ325" s="98" t="str">
        <f>IFERROR(__xludf.DUMMYFUNCTION("""COMPUTED_VALUE"""),"TCO_Loss_Power_Cannot_Access(Sercurity,Owner…)")</f>
        <v>TCO_Loss_Power_Cannot_Access(Sercurity,Owner…)</v>
      </c>
      <c r="AK325" s="98" t="str">
        <f>IFERROR(__xludf.DUMMYFUNCTION("""COMPUTED_VALUE"""),"OCK Team contacting with local Unsafe area")</f>
        <v>OCK Team contacting with local Unsafe area</v>
      </c>
      <c r="AL325" s="364">
        <f>IFERROR(__xludf.DUMMYFUNCTION("""COMPUTED_VALUE"""),1.0)</f>
        <v>1</v>
      </c>
      <c r="AM325" s="364">
        <f>IFERROR(__xludf.DUMMYFUNCTION("""COMPUTED_VALUE"""),1.0)</f>
        <v>1</v>
      </c>
    </row>
    <row r="326">
      <c r="A326" s="98">
        <f>IFERROR(__xludf.DUMMYFUNCTION("""COMPUTED_VALUE"""),323.0)</f>
        <v>323</v>
      </c>
      <c r="B326" s="98" t="str">
        <f>IFERROR(__xludf.DUMMYFUNCTION("""COMPUTED_VALUE"""),"TNI0109")</f>
        <v>TNI0109</v>
      </c>
      <c r="C326" s="98" t="str">
        <f>IFERROR(__xludf.DUMMYFUNCTION("""COMPUTED_VALUE"""),"B")</f>
        <v>B</v>
      </c>
      <c r="D326" s="98" t="str">
        <f>IFERROR(__xludf.DUMMYFUNCTION("""COMPUTED_VALUE"""),"EFT")</f>
        <v>EFT</v>
      </c>
      <c r="E326" s="98" t="str">
        <f>IFERROR(__xludf.DUMMYFUNCTION("""COMPUTED_VALUE"""),"T5")</f>
        <v>T5</v>
      </c>
      <c r="F326" s="98" t="str">
        <f>IFERROR(__xludf.DUMMYFUNCTION("""COMPUTED_VALUE"""),"Palaw")</f>
        <v>Palaw</v>
      </c>
      <c r="G326" s="98" t="str">
        <f>IFERROR(__xludf.DUMMYFUNCTION("""COMPUTED_VALUE"""),"Min Paing Oo")</f>
        <v>Min Paing Oo</v>
      </c>
      <c r="H326" s="98"/>
      <c r="I326" s="98"/>
      <c r="J326" s="98"/>
      <c r="K326" s="362">
        <f>IFERROR(__xludf.DUMMYFUNCTION("""COMPUTED_VALUE"""),120.0)</f>
        <v>120</v>
      </c>
      <c r="L326" s="98" t="str">
        <f>IFERROR(__xludf.DUMMYFUNCTION("""COMPUTED_VALUE"""),"24*7")</f>
        <v>24*7</v>
      </c>
      <c r="M326" s="98" t="str">
        <f>IFERROR(__xludf.DUMMYFUNCTION("""COMPUTED_VALUE"""),"Grid+BB")</f>
        <v>Grid+BB</v>
      </c>
      <c r="N326" s="98" t="str">
        <f>IFERROR(__xludf.DUMMYFUNCTION("""COMPUTED_VALUE"""),"ok")</f>
        <v>ok</v>
      </c>
      <c r="O326" s="363"/>
      <c r="P326" s="98"/>
      <c r="Q326" s="98"/>
      <c r="R326" s="100"/>
      <c r="S326" s="363"/>
      <c r="T326" s="100"/>
      <c r="U326" s="98"/>
      <c r="V326" s="100"/>
      <c r="W326" s="98"/>
      <c r="X326" s="363"/>
      <c r="Y326" s="100"/>
      <c r="Z326" s="363"/>
      <c r="AA326" s="98"/>
      <c r="AB326" s="363"/>
      <c r="AC326" s="100"/>
      <c r="AD326" s="363"/>
      <c r="AE326" s="100"/>
      <c r="AF326" s="364">
        <f>IFERROR(__xludf.DUMMYFUNCTION("""COMPUTED_VALUE"""),1016.0)</f>
        <v>1016</v>
      </c>
      <c r="AG326" s="98" t="str">
        <f>IFERROR(__xludf.DUMMYFUNCTION("""COMPUTED_VALUE"""),"Hub site TNI0290 down")</f>
        <v>Hub site TNI0290 down</v>
      </c>
      <c r="AH326" s="98"/>
      <c r="AI326" s="98"/>
      <c r="AJ326" s="98"/>
      <c r="AK326" s="98"/>
      <c r="AL326" s="364">
        <f>IFERROR(__xludf.DUMMYFUNCTION("""COMPUTED_VALUE"""),0.0)</f>
        <v>0</v>
      </c>
      <c r="AM326" s="364">
        <f>IFERROR(__xludf.DUMMYFUNCTION("""COMPUTED_VALUE"""),0.0)</f>
        <v>0</v>
      </c>
    </row>
    <row r="327">
      <c r="A327" s="98">
        <f>IFERROR(__xludf.DUMMYFUNCTION("""COMPUTED_VALUE"""),324.0)</f>
        <v>324</v>
      </c>
      <c r="B327" s="98" t="str">
        <f>IFERROR(__xludf.DUMMYFUNCTION("""COMPUTED_VALUE"""),"TNI0033")</f>
        <v>TNI0033</v>
      </c>
      <c r="C327" s="98" t="str">
        <f>IFERROR(__xludf.DUMMYFUNCTION("""COMPUTED_VALUE"""),"C")</f>
        <v>C</v>
      </c>
      <c r="D327" s="98" t="str">
        <f>IFERROR(__xludf.DUMMYFUNCTION("""COMPUTED_VALUE"""),"IGT")</f>
        <v>IGT</v>
      </c>
      <c r="E327" s="98" t="str">
        <f>IFERROR(__xludf.DUMMYFUNCTION("""COMPUTED_VALUE"""),"T5")</f>
        <v>T5</v>
      </c>
      <c r="F327" s="98" t="str">
        <f>IFERROR(__xludf.DUMMYFUNCTION("""COMPUTED_VALUE"""),"Palaw")</f>
        <v>Palaw</v>
      </c>
      <c r="G327" s="98" t="str">
        <f>IFERROR(__xludf.DUMMYFUNCTION("""COMPUTED_VALUE"""),"Min Paing Oo")</f>
        <v>Min Paing Oo</v>
      </c>
      <c r="H327" s="98"/>
      <c r="I327" s="98"/>
      <c r="J327" s="98"/>
      <c r="K327" s="362">
        <f>IFERROR(__xludf.DUMMYFUNCTION("""COMPUTED_VALUE"""),120.0)</f>
        <v>120</v>
      </c>
      <c r="L327" s="98" t="str">
        <f>IFERROR(__xludf.DUMMYFUNCTION("""COMPUTED_VALUE"""),"6:00PM-6:00AM")</f>
        <v>6:00PM-6:00AM</v>
      </c>
      <c r="M327" s="98" t="str">
        <f>IFERROR(__xludf.DUMMYFUNCTION("""COMPUTED_VALUE"""),"Grid+BB")</f>
        <v>Grid+BB</v>
      </c>
      <c r="N327" s="98" t="str">
        <f>IFERROR(__xludf.DUMMYFUNCTION("""COMPUTED_VALUE"""),"ok")</f>
        <v>ok</v>
      </c>
      <c r="O327" s="363"/>
      <c r="P327" s="98"/>
      <c r="Q327" s="98"/>
      <c r="R327" s="100"/>
      <c r="S327" s="363"/>
      <c r="T327" s="100"/>
      <c r="U327" s="98"/>
      <c r="V327" s="100"/>
      <c r="W327" s="98"/>
      <c r="X327" s="363"/>
      <c r="Y327" s="100"/>
      <c r="Z327" s="363"/>
      <c r="AA327" s="98"/>
      <c r="AB327" s="363">
        <f>IFERROR(__xludf.DUMMYFUNCTION("""COMPUTED_VALUE"""),46184.062210648146)</f>
        <v>46184.06221</v>
      </c>
      <c r="AC327" s="100">
        <f>IFERROR(__xludf.DUMMYFUNCTION("""COMPUTED_VALUE"""),521.1362633333774)</f>
        <v>521.1362633</v>
      </c>
      <c r="AD327" s="363">
        <f>IFERROR(__xludf.DUMMYFUNCTION("""COMPUTED_VALUE"""),46184.06215277778)</f>
        <v>46184.06215</v>
      </c>
      <c r="AE327" s="100">
        <f>IFERROR(__xludf.DUMMYFUNCTION("""COMPUTED_VALUE"""),521.1376522222417)</f>
        <v>521.1376522</v>
      </c>
      <c r="AF327" s="364">
        <f>IFERROR(__xludf.DUMMYFUNCTION("""COMPUTED_VALUE"""),0.0)</f>
        <v>0</v>
      </c>
      <c r="AG327" s="98" t="str">
        <f>IFERROR(__xludf.DUMMYFUNCTION("""COMPUTED_VALUE"""),"TCO power issue, War zone site, team cannot go")</f>
        <v>TCO power issue, War zone site, team cannot go</v>
      </c>
      <c r="AH327" s="98"/>
      <c r="AI327" s="98"/>
      <c r="AJ327" s="98"/>
      <c r="AK327" s="98"/>
      <c r="AL327" s="364">
        <f>IFERROR(__xludf.DUMMYFUNCTION("""COMPUTED_VALUE"""),0.0)</f>
        <v>0</v>
      </c>
      <c r="AM327" s="364">
        <f>IFERROR(__xludf.DUMMYFUNCTION("""COMPUTED_VALUE"""),0.0)</f>
        <v>0</v>
      </c>
    </row>
    <row r="328">
      <c r="A328" s="98">
        <f>IFERROR(__xludf.DUMMYFUNCTION("""COMPUTED_VALUE"""),325.0)</f>
        <v>325</v>
      </c>
      <c r="B328" s="98" t="str">
        <f>IFERROR(__xludf.DUMMYFUNCTION("""COMPUTED_VALUE"""),"TNI0075")</f>
        <v>TNI0075</v>
      </c>
      <c r="C328" s="98" t="str">
        <f>IFERROR(__xludf.DUMMYFUNCTION("""COMPUTED_VALUE"""),"B")</f>
        <v>B</v>
      </c>
      <c r="D328" s="98" t="str">
        <f>IFERROR(__xludf.DUMMYFUNCTION("""COMPUTED_VALUE"""),"IGT")</f>
        <v>IGT</v>
      </c>
      <c r="E328" s="98" t="str">
        <f>IFERROR(__xludf.DUMMYFUNCTION("""COMPUTED_VALUE"""),"T5")</f>
        <v>T5</v>
      </c>
      <c r="F328" s="98" t="str">
        <f>IFERROR(__xludf.DUMMYFUNCTION("""COMPUTED_VALUE"""),"Palaw")</f>
        <v>Palaw</v>
      </c>
      <c r="G328" s="98" t="str">
        <f>IFERROR(__xludf.DUMMYFUNCTION("""COMPUTED_VALUE"""),"Min Paing Oo")</f>
        <v>Min Paing Oo</v>
      </c>
      <c r="H328" s="98"/>
      <c r="I328" s="98">
        <f>IFERROR(__xludf.DUMMYFUNCTION("""COMPUTED_VALUE"""),0.0)</f>
        <v>0</v>
      </c>
      <c r="J328" s="98" t="str">
        <f>IFERROR(__xludf.DUMMYFUNCTION("""COMPUTED_VALUE"""),"OLT")</f>
        <v>OLT</v>
      </c>
      <c r="K328" s="362">
        <f>IFERROR(__xludf.DUMMYFUNCTION("""COMPUTED_VALUE"""),40.0)</f>
        <v>40</v>
      </c>
      <c r="L328" s="98" t="str">
        <f>IFERROR(__xludf.DUMMYFUNCTION("""COMPUTED_VALUE"""),"6:00PM-6:00AM")</f>
        <v>6:00PM-6:00AM</v>
      </c>
      <c r="M328" s="98" t="str">
        <f>IFERROR(__xludf.DUMMYFUNCTION("""COMPUTED_VALUE"""),"1DG+Grid+BB")</f>
        <v>1DG+Grid+BB</v>
      </c>
      <c r="N328" s="98" t="str">
        <f>IFERROR(__xludf.DUMMYFUNCTION("""COMPUTED_VALUE"""),"ok")</f>
        <v>ok</v>
      </c>
      <c r="O328" s="363"/>
      <c r="P328" s="98"/>
      <c r="Q328" s="98"/>
      <c r="R328" s="100"/>
      <c r="S328" s="363"/>
      <c r="T328" s="100"/>
      <c r="U328" s="98"/>
      <c r="V328" s="100"/>
      <c r="W328" s="98"/>
      <c r="X328" s="363"/>
      <c r="Y328" s="100"/>
      <c r="Z328" s="363"/>
      <c r="AA328" s="98"/>
      <c r="AB328" s="363"/>
      <c r="AC328" s="100"/>
      <c r="AD328" s="363"/>
      <c r="AE328" s="100"/>
      <c r="AF328" s="364">
        <f>IFERROR(__xludf.DUMMYFUNCTION("""COMPUTED_VALUE"""),4928.0)</f>
        <v>4928</v>
      </c>
      <c r="AG328" s="98" t="str">
        <f>IFERROR(__xludf.DUMMYFUNCTION("""COMPUTED_VALUE"""),"Hub site TNI0290, TNI0165 down")</f>
        <v>Hub site TNI0290, TNI0165 down</v>
      </c>
      <c r="AH328" s="98"/>
      <c r="AI328" s="98"/>
      <c r="AJ328" s="98"/>
      <c r="AK328" s="98"/>
      <c r="AL328" s="364">
        <f>IFERROR(__xludf.DUMMYFUNCTION("""COMPUTED_VALUE"""),0.0)</f>
        <v>0</v>
      </c>
      <c r="AM328" s="364">
        <f>IFERROR(__xludf.DUMMYFUNCTION("""COMPUTED_VALUE"""),0.0)</f>
        <v>0</v>
      </c>
    </row>
    <row r="329">
      <c r="A329" s="98">
        <f>IFERROR(__xludf.DUMMYFUNCTION("""COMPUTED_VALUE"""),326.0)</f>
        <v>326</v>
      </c>
      <c r="B329" s="98" t="str">
        <f>IFERROR(__xludf.DUMMYFUNCTION("""COMPUTED_VALUE"""),"TNI0159")</f>
        <v>TNI0159</v>
      </c>
      <c r="C329" s="98" t="str">
        <f>IFERROR(__xludf.DUMMYFUNCTION("""COMPUTED_VALUE"""),"C")</f>
        <v>C</v>
      </c>
      <c r="D329" s="98" t="str">
        <f>IFERROR(__xludf.DUMMYFUNCTION("""COMPUTED_VALUE"""),"IGT")</f>
        <v>IGT</v>
      </c>
      <c r="E329" s="98" t="str">
        <f>IFERROR(__xludf.DUMMYFUNCTION("""COMPUTED_VALUE"""),"T5")</f>
        <v>T5</v>
      </c>
      <c r="F329" s="98" t="str">
        <f>IFERROR(__xludf.DUMMYFUNCTION("""COMPUTED_VALUE"""),"Palaw")</f>
        <v>Palaw</v>
      </c>
      <c r="G329" s="98" t="str">
        <f>IFERROR(__xludf.DUMMYFUNCTION("""COMPUTED_VALUE"""),"Min Paing Oo")</f>
        <v>Min Paing Oo</v>
      </c>
      <c r="H329" s="98"/>
      <c r="I329" s="98">
        <f>IFERROR(__xludf.DUMMYFUNCTION("""COMPUTED_VALUE"""),0.0)</f>
        <v>0</v>
      </c>
      <c r="J329" s="98"/>
      <c r="K329" s="362">
        <f>IFERROR(__xludf.DUMMYFUNCTION("""COMPUTED_VALUE"""),60.0)</f>
        <v>60</v>
      </c>
      <c r="L329" s="98" t="str">
        <f>IFERROR(__xludf.DUMMYFUNCTION("""COMPUTED_VALUE"""),"6:00PM-6:00AM")</f>
        <v>6:00PM-6:00AM</v>
      </c>
      <c r="M329" s="98" t="str">
        <f>IFERROR(__xludf.DUMMYFUNCTION("""COMPUTED_VALUE"""),"1DG+Grid+BB")</f>
        <v>1DG+Grid+BB</v>
      </c>
      <c r="N329" s="98" t="str">
        <f>IFERROR(__xludf.DUMMYFUNCTION("""COMPUTED_VALUE"""),"ok")</f>
        <v>ok</v>
      </c>
      <c r="O329" s="363"/>
      <c r="P329" s="98"/>
      <c r="Q329" s="98"/>
      <c r="R329" s="100"/>
      <c r="S329" s="363"/>
      <c r="T329" s="100"/>
      <c r="U329" s="98"/>
      <c r="V329" s="100"/>
      <c r="W329" s="98"/>
      <c r="X329" s="363"/>
      <c r="Y329" s="100"/>
      <c r="Z329" s="363"/>
      <c r="AA329" s="98"/>
      <c r="AB329" s="363"/>
      <c r="AC329" s="100"/>
      <c r="AD329" s="363"/>
      <c r="AE329" s="100"/>
      <c r="AF329" s="364">
        <f>IFERROR(__xludf.DUMMYFUNCTION("""COMPUTED_VALUE"""),1311.0)</f>
        <v>1311</v>
      </c>
      <c r="AG329" s="98" t="str">
        <f>IFERROR(__xludf.DUMMYFUNCTION("""COMPUTED_VALUE"""),"TCO CR plan")</f>
        <v>TCO CR plan</v>
      </c>
      <c r="AH329" s="98"/>
      <c r="AI329" s="98"/>
      <c r="AJ329" s="98"/>
      <c r="AK329" s="98"/>
      <c r="AL329" s="364">
        <f>IFERROR(__xludf.DUMMYFUNCTION("""COMPUTED_VALUE"""),0.0)</f>
        <v>0</v>
      </c>
      <c r="AM329" s="364">
        <f>IFERROR(__xludf.DUMMYFUNCTION("""COMPUTED_VALUE"""),0.0)</f>
        <v>0</v>
      </c>
    </row>
    <row r="330">
      <c r="A330" s="98">
        <f>IFERROR(__xludf.DUMMYFUNCTION("""COMPUTED_VALUE"""),327.0)</f>
        <v>327</v>
      </c>
      <c r="B330" s="98" t="str">
        <f>IFERROR(__xludf.DUMMYFUNCTION("""COMPUTED_VALUE"""),"TNI0127")</f>
        <v>TNI0127</v>
      </c>
      <c r="C330" s="98" t="str">
        <f>IFERROR(__xludf.DUMMYFUNCTION("""COMPUTED_VALUE"""),"B")</f>
        <v>B</v>
      </c>
      <c r="D330" s="98" t="str">
        <f>IFERROR(__xludf.DUMMYFUNCTION("""COMPUTED_VALUE"""),"MEC.PNC")</f>
        <v>MEC.PNC</v>
      </c>
      <c r="E330" s="98" t="str">
        <f>IFERROR(__xludf.DUMMYFUNCTION("""COMPUTED_VALUE"""),"T5")</f>
        <v>T5</v>
      </c>
      <c r="F330" s="98" t="str">
        <f>IFERROR(__xludf.DUMMYFUNCTION("""COMPUTED_VALUE"""),"Palaw")</f>
        <v>Palaw</v>
      </c>
      <c r="G330" s="98" t="str">
        <f>IFERROR(__xludf.DUMMYFUNCTION("""COMPUTED_VALUE"""),"Min Paing Oo")</f>
        <v>Min Paing Oo</v>
      </c>
      <c r="H330" s="98"/>
      <c r="I330" s="98">
        <f>IFERROR(__xludf.DUMMYFUNCTION("""COMPUTED_VALUE"""),0.0)</f>
        <v>0</v>
      </c>
      <c r="J330" s="98"/>
      <c r="K330" s="362">
        <f>IFERROR(__xludf.DUMMYFUNCTION("""COMPUTED_VALUE"""),120.0)</f>
        <v>120</v>
      </c>
      <c r="L330" s="98" t="str">
        <f>IFERROR(__xludf.DUMMYFUNCTION("""COMPUTED_VALUE"""),"24*7")</f>
        <v>24*7</v>
      </c>
      <c r="M330" s="98" t="str">
        <f>IFERROR(__xludf.DUMMYFUNCTION("""COMPUTED_VALUE"""),"1DG+Solar+BB")</f>
        <v>1DG+Solar+BB</v>
      </c>
      <c r="N330" s="98" t="str">
        <f>IFERROR(__xludf.DUMMYFUNCTION("""COMPUTED_VALUE"""),"ok")</f>
        <v>ok</v>
      </c>
      <c r="O330" s="363"/>
      <c r="P330" s="98"/>
      <c r="Q330" s="98"/>
      <c r="R330" s="100"/>
      <c r="S330" s="363"/>
      <c r="T330" s="100"/>
      <c r="U330" s="98"/>
      <c r="V330" s="100"/>
      <c r="W330" s="98"/>
      <c r="X330" s="363"/>
      <c r="Y330" s="100"/>
      <c r="Z330" s="363"/>
      <c r="AA330" s="98"/>
      <c r="AB330" s="363"/>
      <c r="AC330" s="100"/>
      <c r="AD330" s="363"/>
      <c r="AE330" s="100"/>
      <c r="AF330" s="364">
        <f>IFERROR(__xludf.DUMMYFUNCTION("""COMPUTED_VALUE"""),743.0)</f>
        <v>743</v>
      </c>
      <c r="AG330" s="98" t="str">
        <f>IFERROR(__xludf.DUMMYFUNCTION("""COMPUTED_VALUE"""),"Hub site TNI0122 down")</f>
        <v>Hub site TNI0122 down</v>
      </c>
      <c r="AH330" s="98"/>
      <c r="AI330" s="98"/>
      <c r="AJ330" s="98"/>
      <c r="AK330" s="98"/>
      <c r="AL330" s="364">
        <f>IFERROR(__xludf.DUMMYFUNCTION("""COMPUTED_VALUE"""),0.0)</f>
        <v>0</v>
      </c>
      <c r="AM330" s="364">
        <f>IFERROR(__xludf.DUMMYFUNCTION("""COMPUTED_VALUE"""),0.0)</f>
        <v>0</v>
      </c>
    </row>
    <row r="331">
      <c r="A331" s="98">
        <f>IFERROR(__xludf.DUMMYFUNCTION("""COMPUTED_VALUE"""),328.0)</f>
        <v>328</v>
      </c>
      <c r="B331" s="98" t="str">
        <f>IFERROR(__xludf.DUMMYFUNCTION("""COMPUTED_VALUE"""),"TNI0007")</f>
        <v>TNI0007</v>
      </c>
      <c r="C331" s="98" t="str">
        <f>IFERROR(__xludf.DUMMYFUNCTION("""COMPUTED_VALUE"""),"A")</f>
        <v>A</v>
      </c>
      <c r="D331" s="98" t="str">
        <f>IFERROR(__xludf.DUMMYFUNCTION("""COMPUTED_VALUE"""),"Mytel")</f>
        <v>Mytel</v>
      </c>
      <c r="E331" s="98" t="str">
        <f>IFERROR(__xludf.DUMMYFUNCTION("""COMPUTED_VALUE"""),"T5")</f>
        <v>T5</v>
      </c>
      <c r="F331" s="98" t="str">
        <f>IFERROR(__xludf.DUMMYFUNCTION("""COMPUTED_VALUE"""),"Palaw")</f>
        <v>Palaw</v>
      </c>
      <c r="G331" s="98" t="str">
        <f>IFERROR(__xludf.DUMMYFUNCTION("""COMPUTED_VALUE"""),"Min Paing Oo")</f>
        <v>Min Paing Oo</v>
      </c>
      <c r="H331" s="98"/>
      <c r="I331" s="98"/>
      <c r="J331" s="98" t="str">
        <f>IFERROR(__xludf.DUMMYFUNCTION("""COMPUTED_VALUE"""),"OLT")</f>
        <v>OLT</v>
      </c>
      <c r="K331" s="362">
        <f>IFERROR(__xludf.DUMMYFUNCTION("""COMPUTED_VALUE"""),120.0)</f>
        <v>120</v>
      </c>
      <c r="L331" s="98" t="str">
        <f>IFERROR(__xludf.DUMMYFUNCTION("""COMPUTED_VALUE"""),"24*7")</f>
        <v>24*7</v>
      </c>
      <c r="M331" s="98" t="str">
        <f>IFERROR(__xludf.DUMMYFUNCTION("""COMPUTED_VALUE"""),"2DG+Solar +BB")</f>
        <v>2DG+Solar +BB</v>
      </c>
      <c r="N331" s="98" t="str">
        <f>IFERROR(__xludf.DUMMYFUNCTION("""COMPUTED_VALUE"""),"0")</f>
        <v>0</v>
      </c>
      <c r="O331" s="363"/>
      <c r="P331" s="98"/>
      <c r="Q331" s="98"/>
      <c r="R331" s="100"/>
      <c r="S331" s="363"/>
      <c r="T331" s="100"/>
      <c r="U331" s="98"/>
      <c r="V331" s="100"/>
      <c r="W331" s="98"/>
      <c r="X331" s="363"/>
      <c r="Y331" s="100"/>
      <c r="Z331" s="363"/>
      <c r="AA331" s="98"/>
      <c r="AB331" s="363"/>
      <c r="AC331" s="100"/>
      <c r="AD331" s="363"/>
      <c r="AE331" s="100"/>
      <c r="AF331" s="364">
        <f>IFERROR(__xludf.DUMMYFUNCTION("""COMPUTED_VALUE"""),638.0)</f>
        <v>638</v>
      </c>
      <c r="AG331" s="98" t="str">
        <f>IFERROR(__xludf.DUMMYFUNCTION("""COMPUTED_VALUE"""),"Hub site TNI0122 down")</f>
        <v>Hub site TNI0122 down</v>
      </c>
      <c r="AH331" s="98"/>
      <c r="AI331" s="98"/>
      <c r="AJ331" s="98"/>
      <c r="AK331" s="98"/>
      <c r="AL331" s="364">
        <f>IFERROR(__xludf.DUMMYFUNCTION("""COMPUTED_VALUE"""),0.0)</f>
        <v>0</v>
      </c>
      <c r="AM331" s="364">
        <f>IFERROR(__xludf.DUMMYFUNCTION("""COMPUTED_VALUE"""),0.0)</f>
        <v>0</v>
      </c>
    </row>
    <row r="332">
      <c r="A332" s="98">
        <f>IFERROR(__xludf.DUMMYFUNCTION("""COMPUTED_VALUE"""),329.0)</f>
        <v>329</v>
      </c>
      <c r="B332" s="98" t="str">
        <f>IFERROR(__xludf.DUMMYFUNCTION("""COMPUTED_VALUE"""),"TNI0039")</f>
        <v>TNI0039</v>
      </c>
      <c r="C332" s="98" t="str">
        <f>IFERROR(__xludf.DUMMYFUNCTION("""COMPUTED_VALUE"""),"C")</f>
        <v>C</v>
      </c>
      <c r="D332" s="98" t="str">
        <f>IFERROR(__xludf.DUMMYFUNCTION("""COMPUTED_VALUE"""),"Mytel")</f>
        <v>Mytel</v>
      </c>
      <c r="E332" s="98" t="str">
        <f>IFERROR(__xludf.DUMMYFUNCTION("""COMPUTED_VALUE"""),"T5")</f>
        <v>T5</v>
      </c>
      <c r="F332" s="98" t="str">
        <f>IFERROR(__xludf.DUMMYFUNCTION("""COMPUTED_VALUE"""),"Palaw")</f>
        <v>Palaw</v>
      </c>
      <c r="G332" s="98" t="str">
        <f>IFERROR(__xludf.DUMMYFUNCTION("""COMPUTED_VALUE"""),"Min Paing Oo")</f>
        <v>Min Paing Oo</v>
      </c>
      <c r="H332" s="98"/>
      <c r="I332" s="98">
        <f>IFERROR(__xludf.DUMMYFUNCTION("""COMPUTED_VALUE"""),0.0)</f>
        <v>0</v>
      </c>
      <c r="J332" s="98"/>
      <c r="K332" s="362">
        <f>IFERROR(__xludf.DUMMYFUNCTION("""COMPUTED_VALUE"""),40.0)</f>
        <v>40</v>
      </c>
      <c r="L332" s="98" t="str">
        <f>IFERROR(__xludf.DUMMYFUNCTION("""COMPUTED_VALUE"""),"24*7")</f>
        <v>24*7</v>
      </c>
      <c r="M332" s="98" t="str">
        <f>IFERROR(__xludf.DUMMYFUNCTION("""COMPUTED_VALUE"""),"1DG+Grid+BB")</f>
        <v>1DG+Grid+BB</v>
      </c>
      <c r="N332" s="98" t="str">
        <f>IFERROR(__xludf.DUMMYFUNCTION("""COMPUTED_VALUE"""),"ok")</f>
        <v>ok</v>
      </c>
      <c r="O332" s="363"/>
      <c r="P332" s="98"/>
      <c r="Q332" s="98"/>
      <c r="R332" s="100"/>
      <c r="S332" s="363"/>
      <c r="T332" s="100"/>
      <c r="U332" s="98" t="str">
        <f>IFERROR(__xludf.DUMMYFUNCTION("""COMPUTED_VALUE"""),"3.05")</f>
        <v>3.05</v>
      </c>
      <c r="V332" s="100"/>
      <c r="W332" s="98"/>
      <c r="X332" s="363">
        <f>IFERROR(__xludf.DUMMYFUNCTION("""COMPUTED_VALUE"""),46161.411250000005)</f>
        <v>46161.41125</v>
      </c>
      <c r="Y332" s="100">
        <f>IFERROR(__xludf.DUMMYFUNCTION("""COMPUTED_VALUE"""),1064.759318888944)</f>
        <v>1064.759319</v>
      </c>
      <c r="Z332" s="363"/>
      <c r="AA332" s="98"/>
      <c r="AB332" s="363"/>
      <c r="AC332" s="100"/>
      <c r="AD332" s="363"/>
      <c r="AE332" s="100"/>
      <c r="AF332" s="364">
        <f>IFERROR(__xludf.DUMMYFUNCTION("""COMPUTED_VALUE"""),1248.0)</f>
        <v>1248</v>
      </c>
      <c r="AG332" s="98" t="str">
        <f>IFERROR(__xludf.DUMMYFUNCTION("""COMPUTED_VALUE"""),"Grid fail, non DG in unsafe area")</f>
        <v>Grid fail, non DG in unsafe area</v>
      </c>
      <c r="AH332" s="98" t="str">
        <f>IFERROR(__xludf.DUMMYFUNCTION("""COMPUTED_VALUE"""),"T-NYC")</f>
        <v>T-NYC</v>
      </c>
      <c r="AI332" s="98" t="str">
        <f>IFERROR(__xludf.DUMMYFUNCTION("""COMPUTED_VALUE"""),"Battle happening at fault and current team  cannot rescue")</f>
        <v>Battle happening at fault and current team  cannot rescue</v>
      </c>
      <c r="AJ332" s="98"/>
      <c r="AK332" s="98"/>
      <c r="AL332" s="364">
        <f>IFERROR(__xludf.DUMMYFUNCTION("""COMPUTED_VALUE"""),0.0)</f>
        <v>0</v>
      </c>
      <c r="AM332" s="364">
        <f>IFERROR(__xludf.DUMMYFUNCTION("""COMPUTED_VALUE"""),0.0)</f>
        <v>0</v>
      </c>
    </row>
    <row r="333">
      <c r="A333" s="98">
        <f>IFERROR(__xludf.DUMMYFUNCTION("""COMPUTED_VALUE"""),330.0)</f>
        <v>330</v>
      </c>
      <c r="B333" s="98" t="str">
        <f>IFERROR(__xludf.DUMMYFUNCTION("""COMPUTED_VALUE"""),"TNI0122")</f>
        <v>TNI0122</v>
      </c>
      <c r="C333" s="98" t="str">
        <f>IFERROR(__xludf.DUMMYFUNCTION("""COMPUTED_VALUE"""),"C")</f>
        <v>C</v>
      </c>
      <c r="D333" s="98" t="str">
        <f>IFERROR(__xludf.DUMMYFUNCTION("""COMPUTED_VALUE"""),"Mytel")</f>
        <v>Mytel</v>
      </c>
      <c r="E333" s="98" t="str">
        <f>IFERROR(__xludf.DUMMYFUNCTION("""COMPUTED_VALUE"""),"T5")</f>
        <v>T5</v>
      </c>
      <c r="F333" s="98" t="str">
        <f>IFERROR(__xludf.DUMMYFUNCTION("""COMPUTED_VALUE"""),"Palaw")</f>
        <v>Palaw</v>
      </c>
      <c r="G333" s="98" t="str">
        <f>IFERROR(__xludf.DUMMYFUNCTION("""COMPUTED_VALUE"""),"Min Paing Oo")</f>
        <v>Min Paing Oo</v>
      </c>
      <c r="H333" s="98"/>
      <c r="I333" s="98">
        <f>IFERROR(__xludf.DUMMYFUNCTION("""COMPUTED_VALUE"""),0.0)</f>
        <v>0</v>
      </c>
      <c r="J333" s="98"/>
      <c r="K333" s="362">
        <f>IFERROR(__xludf.DUMMYFUNCTION("""COMPUTED_VALUE"""),120.0)</f>
        <v>120</v>
      </c>
      <c r="L333" s="98" t="str">
        <f>IFERROR(__xludf.DUMMYFUNCTION("""COMPUTED_VALUE"""),"24*7")</f>
        <v>24*7</v>
      </c>
      <c r="M333" s="98" t="str">
        <f>IFERROR(__xludf.DUMMYFUNCTION("""COMPUTED_VALUE"""),"1DG+BB")</f>
        <v>1DG+BB</v>
      </c>
      <c r="N333" s="98" t="str">
        <f>IFERROR(__xludf.DUMMYFUNCTION("""COMPUTED_VALUE"""),"0")</f>
        <v>0</v>
      </c>
      <c r="O333" s="363"/>
      <c r="P333" s="98"/>
      <c r="Q333" s="98"/>
      <c r="R333" s="100"/>
      <c r="S333" s="363">
        <f>IFERROR(__xludf.DUMMYFUNCTION("""COMPUTED_VALUE"""),46205.65918981482)</f>
        <v>46205.65919</v>
      </c>
      <c r="T333" s="100">
        <f>IFERROR(__xludf.DUMMYFUNCTION("""COMPUTED_VALUE"""),2.808763333247043)</f>
        <v>2.808763333</v>
      </c>
      <c r="U333" s="98"/>
      <c r="V333" s="100"/>
      <c r="W333" s="98"/>
      <c r="X333" s="363"/>
      <c r="Y333" s="100"/>
      <c r="Z333" s="363"/>
      <c r="AA333" s="98"/>
      <c r="AB333" s="363"/>
      <c r="AC333" s="100"/>
      <c r="AD333" s="363"/>
      <c r="AE333" s="100"/>
      <c r="AF333" s="364">
        <f>IFERROR(__xludf.DUMMYFUNCTION("""COMPUTED_VALUE"""),585.0)</f>
        <v>585</v>
      </c>
      <c r="AG333" s="98" t="str">
        <f>IFERROR(__xludf.DUMMYFUNCTION("""COMPUTED_VALUE"""),"ETA 8 AM/ current cannot contact to team")</f>
        <v>ETA 8 AM/ current cannot contact to team</v>
      </c>
      <c r="AH333" s="98"/>
      <c r="AI333" s="98"/>
      <c r="AJ333" s="98"/>
      <c r="AK333" s="98"/>
      <c r="AL333" s="364">
        <f>IFERROR(__xludf.DUMMYFUNCTION("""COMPUTED_VALUE"""),0.0)</f>
        <v>0</v>
      </c>
      <c r="AM333" s="364">
        <f>IFERROR(__xludf.DUMMYFUNCTION("""COMPUTED_VALUE"""),0.0)</f>
        <v>0</v>
      </c>
    </row>
    <row r="334">
      <c r="A334" s="98">
        <f>IFERROR(__xludf.DUMMYFUNCTION("""COMPUTED_VALUE"""),331.0)</f>
        <v>331</v>
      </c>
      <c r="B334" s="98" t="str">
        <f>IFERROR(__xludf.DUMMYFUNCTION("""COMPUTED_VALUE"""),"TNI0005")</f>
        <v>TNI0005</v>
      </c>
      <c r="C334" s="98" t="str">
        <f>IFERROR(__xludf.DUMMYFUNCTION("""COMPUTED_VALUE"""),"A")</f>
        <v>A</v>
      </c>
      <c r="D334" s="98" t="str">
        <f>IFERROR(__xludf.DUMMYFUNCTION("""COMPUTED_VALUE"""),"Mytel")</f>
        <v>Mytel</v>
      </c>
      <c r="E334" s="98" t="str">
        <f>IFERROR(__xludf.DUMMYFUNCTION("""COMPUTED_VALUE"""),"T5")</f>
        <v>T5</v>
      </c>
      <c r="F334" s="98" t="str">
        <f>IFERROR(__xludf.DUMMYFUNCTION("""COMPUTED_VALUE"""),"Thayetchaung")</f>
        <v>Thayetchaung</v>
      </c>
      <c r="G334" s="98" t="str">
        <f>IFERROR(__xludf.DUMMYFUNCTION("""COMPUTED_VALUE"""),"Min Paing Oo")</f>
        <v>Min Paing Oo</v>
      </c>
      <c r="H334" s="98"/>
      <c r="I334" s="98">
        <f>IFERROR(__xludf.DUMMYFUNCTION("""COMPUTED_VALUE"""),0.0)</f>
        <v>0</v>
      </c>
      <c r="J334" s="98"/>
      <c r="K334" s="362">
        <f>IFERROR(__xludf.DUMMYFUNCTION("""COMPUTED_VALUE"""),180.0)</f>
        <v>180</v>
      </c>
      <c r="L334" s="98" t="str">
        <f>IFERROR(__xludf.DUMMYFUNCTION("""COMPUTED_VALUE"""),"24*7")</f>
        <v>24*7</v>
      </c>
      <c r="M334" s="98" t="str">
        <f>IFERROR(__xludf.DUMMYFUNCTION("""COMPUTED_VALUE"""),"2DG+BB")</f>
        <v>2DG+BB</v>
      </c>
      <c r="N334" s="98" t="str">
        <f>IFERROR(__xludf.DUMMYFUNCTION("""COMPUTED_VALUE"""),"0")</f>
        <v>0</v>
      </c>
      <c r="O334" s="363"/>
      <c r="P334" s="98"/>
      <c r="Q334" s="98"/>
      <c r="R334" s="100"/>
      <c r="S334" s="363"/>
      <c r="T334" s="100"/>
      <c r="U334" s="98"/>
      <c r="V334" s="100"/>
      <c r="W334" s="98" t="str">
        <f>IFERROR(__xludf.DUMMYFUNCTION("""COMPUTED_VALUE"""),"532.31")</f>
        <v>532.31</v>
      </c>
      <c r="X334" s="363">
        <f>IFERROR(__xludf.DUMMYFUNCTION("""COMPUTED_VALUE"""),46195.37856481482)</f>
        <v>46195.37856</v>
      </c>
      <c r="Y334" s="100">
        <f>IFERROR(__xludf.DUMMYFUNCTION("""COMPUTED_VALUE"""),249.54376444453374)</f>
        <v>249.5437644</v>
      </c>
      <c r="Z334" s="363">
        <f>IFERROR(__xludf.DUMMYFUNCTION("""COMPUTED_VALUE"""),46195.38431712963)</f>
        <v>46195.38432</v>
      </c>
      <c r="AA334" s="98" t="str">
        <f>IFERROR(__xludf.DUMMYFUNCTION("""COMPUTED_VALUE"""),"249:24")</f>
        <v>249:24</v>
      </c>
      <c r="AB334" s="363">
        <f>IFERROR(__xludf.DUMMYFUNCTION("""COMPUTED_VALUE"""),46195.580625)</f>
        <v>46195.58063</v>
      </c>
      <c r="AC334" s="100">
        <f>IFERROR(__xludf.DUMMYFUNCTION("""COMPUTED_VALUE"""),244.69432083325228)</f>
        <v>244.6943208</v>
      </c>
      <c r="AD334" s="363">
        <f>IFERROR(__xludf.DUMMYFUNCTION("""COMPUTED_VALUE"""),46195.58296296296)</f>
        <v>46195.58296</v>
      </c>
      <c r="AE334" s="100">
        <f>IFERROR(__xludf.DUMMYFUNCTION("""COMPUTED_VALUE"""),244.63820972212125)</f>
        <v>244.6382097</v>
      </c>
      <c r="AF334" s="364">
        <f>IFERROR(__xludf.DUMMYFUNCTION("""COMPUTED_VALUE"""),2130.0)</f>
        <v>2130</v>
      </c>
      <c r="AG334" s="98" t="str">
        <f>IFERROR(__xludf.DUMMYFUNCTION("""COMPUTED_VALUE"""),"KNU DG Power Shut Down site")</f>
        <v>KNU DG Power Shut Down site</v>
      </c>
      <c r="AH334" s="98"/>
      <c r="AI334" s="98"/>
      <c r="AJ334" s="98" t="str">
        <f>IFERROR(__xludf.DUMMYFUNCTION("""COMPUTED_VALUE"""),"Natural Calamity_Cannot Get To Site Because Of Natural Calamity,Security Problems")</f>
        <v>Natural Calamity_Cannot Get To Site Because Of Natural Calamity,Security Problems</v>
      </c>
      <c r="AK334" s="98" t="str">
        <f>IFERROR(__xludf.DUMMYFUNCTION("""COMPUTED_VALUE"""),"KNU DG Power Shut Down site")</f>
        <v>KNU DG Power Shut Down site</v>
      </c>
      <c r="AL334" s="364">
        <f>IFERROR(__xludf.DUMMYFUNCTION("""COMPUTED_VALUE"""),1.0)</f>
        <v>1</v>
      </c>
      <c r="AM334" s="364">
        <f>IFERROR(__xludf.DUMMYFUNCTION("""COMPUTED_VALUE"""),1.0)</f>
        <v>1</v>
      </c>
    </row>
    <row r="335">
      <c r="A335" s="98">
        <f>IFERROR(__xludf.DUMMYFUNCTION("""COMPUTED_VALUE"""),332.0)</f>
        <v>332</v>
      </c>
      <c r="B335" s="98" t="str">
        <f>IFERROR(__xludf.DUMMYFUNCTION("""COMPUTED_VALUE"""),"TNI0090")</f>
        <v>TNI0090</v>
      </c>
      <c r="C335" s="98" t="str">
        <f>IFERROR(__xludf.DUMMYFUNCTION("""COMPUTED_VALUE"""),"B")</f>
        <v>B</v>
      </c>
      <c r="D335" s="98" t="str">
        <f>IFERROR(__xludf.DUMMYFUNCTION("""COMPUTED_VALUE"""),"Mytel")</f>
        <v>Mytel</v>
      </c>
      <c r="E335" s="98" t="str">
        <f>IFERROR(__xludf.DUMMYFUNCTION("""COMPUTED_VALUE"""),"T5")</f>
        <v>T5</v>
      </c>
      <c r="F335" s="98" t="str">
        <f>IFERROR(__xludf.DUMMYFUNCTION("""COMPUTED_VALUE"""),"Thayetchaung")</f>
        <v>Thayetchaung</v>
      </c>
      <c r="G335" s="98" t="str">
        <f>IFERROR(__xludf.DUMMYFUNCTION("""COMPUTED_VALUE"""),"Min Paing Oo")</f>
        <v>Min Paing Oo</v>
      </c>
      <c r="H335" s="98"/>
      <c r="I335" s="98"/>
      <c r="J335" s="98"/>
      <c r="K335" s="362">
        <f>IFERROR(__xludf.DUMMYFUNCTION("""COMPUTED_VALUE"""),120.0)</f>
        <v>120</v>
      </c>
      <c r="L335" s="98" t="str">
        <f>IFERROR(__xludf.DUMMYFUNCTION("""COMPUTED_VALUE"""),"24*7")</f>
        <v>24*7</v>
      </c>
      <c r="M335" s="98" t="str">
        <f>IFERROR(__xludf.DUMMYFUNCTION("""COMPUTED_VALUE"""),"1DG+Solar+Grid+BB")</f>
        <v>1DG+Solar+Grid+BB</v>
      </c>
      <c r="N335" s="98" t="str">
        <f>IFERROR(__xludf.DUMMYFUNCTION("""COMPUTED_VALUE"""),"0")</f>
        <v>0</v>
      </c>
      <c r="O335" s="363"/>
      <c r="P335" s="98"/>
      <c r="Q335" s="98" t="str">
        <f>IFERROR(__xludf.DUMMYFUNCTION("""COMPUTED_VALUE""")," +Battery Door: 09/06/2026 15:37")</f>
        <v> +Battery Door: 09/06/2026 15:37</v>
      </c>
      <c r="R335" s="100">
        <f>IFERROR(__xludf.DUMMYFUNCTION("""COMPUTED_VALUE"""),553.71)</f>
        <v>553.71</v>
      </c>
      <c r="S335" s="363"/>
      <c r="T335" s="100"/>
      <c r="U335" s="98"/>
      <c r="V335" s="100"/>
      <c r="W335" s="98"/>
      <c r="X335" s="363">
        <f>IFERROR(__xludf.DUMMYFUNCTION("""COMPUTED_VALUE"""),46142.66795138889)</f>
        <v>46142.66795</v>
      </c>
      <c r="Y335" s="100">
        <f>IFERROR(__xludf.DUMMYFUNCTION("""COMPUTED_VALUE"""),1514.598486666684)</f>
        <v>1514.598487</v>
      </c>
      <c r="Z335" s="363">
        <f>IFERROR(__xludf.DUMMYFUNCTION("""COMPUTED_VALUE"""),46187.05799768519)</f>
        <v>46187.058</v>
      </c>
      <c r="AA335" s="98" t="str">
        <f>IFERROR(__xludf.DUMMYFUNCTION("""COMPUTED_VALUE"""),"449:14")</f>
        <v>449:14</v>
      </c>
      <c r="AB335" s="363">
        <f>IFERROR(__xludf.DUMMYFUNCTION("""COMPUTED_VALUE"""),46196.53640046297)</f>
        <v>46196.5364</v>
      </c>
      <c r="AC335" s="100">
        <f>IFERROR(__xludf.DUMMYFUNCTION("""COMPUTED_VALUE"""),221.75570972211426)</f>
        <v>221.7557097</v>
      </c>
      <c r="AD335" s="363">
        <f>IFERROR(__xludf.DUMMYFUNCTION("""COMPUTED_VALUE"""),46196.53880787037)</f>
        <v>46196.53881</v>
      </c>
      <c r="AE335" s="100">
        <f>IFERROR(__xludf.DUMMYFUNCTION("""COMPUTED_VALUE"""),221.69793194445083)</f>
        <v>221.6979319</v>
      </c>
      <c r="AF335" s="364">
        <f>IFERROR(__xludf.DUMMYFUNCTION("""COMPUTED_VALUE"""),1153.0)</f>
        <v>1153</v>
      </c>
      <c r="AG335" s="98" t="str">
        <f>IFERROR(__xludf.DUMMYFUNCTION("""COMPUTED_VALUE"""),"Need to check onsite, running with Solar+BB")</f>
        <v>Need to check onsite, running with Solar+BB</v>
      </c>
      <c r="AH335" s="98"/>
      <c r="AI335" s="98"/>
      <c r="AJ335" s="98" t="str">
        <f>IFERROR(__xludf.DUMMYFUNCTION("""COMPUTED_VALUE"""),"TCO_Loss_Power_Cannot_Access(Sercurity,Owner…)")</f>
        <v>TCO_Loss_Power_Cannot_Access(Sercurity,Owner…)</v>
      </c>
      <c r="AK335" s="98" t="str">
        <f>IFERROR(__xludf.DUMMYFUNCTION("""COMPUTED_VALUE"""),"Unsafe area site, running with Solar+BB")</f>
        <v>Unsafe area site, running with Solar+BB</v>
      </c>
      <c r="AL335" s="364">
        <f>IFERROR(__xludf.DUMMYFUNCTION("""COMPUTED_VALUE"""),1.0)</f>
        <v>1</v>
      </c>
      <c r="AM335" s="364">
        <f>IFERROR(__xludf.DUMMYFUNCTION("""COMPUTED_VALUE"""),2.0)</f>
        <v>2</v>
      </c>
    </row>
    <row r="336">
      <c r="A336" s="98">
        <f>IFERROR(__xludf.DUMMYFUNCTION("""COMPUTED_VALUE"""),333.0)</f>
        <v>333</v>
      </c>
      <c r="B336" s="98" t="str">
        <f>IFERROR(__xludf.DUMMYFUNCTION("""COMPUTED_VALUE"""),"TNI0388")</f>
        <v>TNI0388</v>
      </c>
      <c r="C336" s="98" t="str">
        <f>IFERROR(__xludf.DUMMYFUNCTION("""COMPUTED_VALUE"""),"C")</f>
        <v>C</v>
      </c>
      <c r="D336" s="98" t="str">
        <f>IFERROR(__xludf.DUMMYFUNCTION("""COMPUTED_VALUE"""),"TIP")</f>
        <v>TIP</v>
      </c>
      <c r="E336" s="98" t="str">
        <f>IFERROR(__xludf.DUMMYFUNCTION("""COMPUTED_VALUE"""),"T5")</f>
        <v>T5</v>
      </c>
      <c r="F336" s="98" t="str">
        <f>IFERROR(__xludf.DUMMYFUNCTION("""COMPUTED_VALUE"""),"Palaw")</f>
        <v>Palaw</v>
      </c>
      <c r="G336" s="98" t="str">
        <f>IFERROR(__xludf.DUMMYFUNCTION("""COMPUTED_VALUE"""),"Min Paing Oo")</f>
        <v>Min Paing Oo</v>
      </c>
      <c r="H336" s="98" t="str">
        <f>IFERROR(__xludf.DUMMYFUNCTION("""COMPUTED_VALUE"""),"Aung Myo Htike: 09424867308")</f>
        <v>Aung Myo Htike: 09424867308</v>
      </c>
      <c r="I336" s="98"/>
      <c r="J336" s="98"/>
      <c r="K336" s="362">
        <f>IFERROR(__xludf.DUMMYFUNCTION("""COMPUTED_VALUE"""),180.0)</f>
        <v>180</v>
      </c>
      <c r="L336" s="98" t="str">
        <f>IFERROR(__xludf.DUMMYFUNCTION("""COMPUTED_VALUE"""),"24*7")</f>
        <v>24*7</v>
      </c>
      <c r="M336" s="98" t="str">
        <f>IFERROR(__xludf.DUMMYFUNCTION("""COMPUTED_VALUE"""),"Grid+BB")</f>
        <v>Grid+BB</v>
      </c>
      <c r="N336" s="98" t="str">
        <f>IFERROR(__xludf.DUMMYFUNCTION("""COMPUTED_VALUE"""),"ok")</f>
        <v>ok</v>
      </c>
      <c r="O336" s="363"/>
      <c r="P336" s="98"/>
      <c r="Q336" s="98"/>
      <c r="R336" s="100"/>
      <c r="S336" s="363"/>
      <c r="T336" s="100"/>
      <c r="U336" s="98"/>
      <c r="V336" s="100"/>
      <c r="W336" s="98"/>
      <c r="X336" s="363"/>
      <c r="Y336" s="100"/>
      <c r="Z336" s="363"/>
      <c r="AA336" s="98"/>
      <c r="AB336" s="363"/>
      <c r="AC336" s="100"/>
      <c r="AD336" s="363"/>
      <c r="AE336" s="100"/>
      <c r="AF336" s="364">
        <f>IFERROR(__xludf.DUMMYFUNCTION("""COMPUTED_VALUE"""),1060.0)</f>
        <v>1060</v>
      </c>
      <c r="AG336" s="98" t="str">
        <f>IFERROR(__xludf.DUMMYFUNCTION("""COMPUTED_VALUE"""),"Cannot contact to team")</f>
        <v>Cannot contact to team</v>
      </c>
      <c r="AH336" s="98" t="str">
        <f>IFERROR(__xludf.DUMMYFUNCTION("""COMPUTED_VALUE"""),"Run MDG")</f>
        <v>Run MDG</v>
      </c>
      <c r="AI336" s="98"/>
      <c r="AJ336" s="98"/>
      <c r="AK336" s="98"/>
      <c r="AL336" s="364">
        <f>IFERROR(__xludf.DUMMYFUNCTION("""COMPUTED_VALUE"""),0.0)</f>
        <v>0</v>
      </c>
      <c r="AM336" s="364">
        <f>IFERROR(__xludf.DUMMYFUNCTION("""COMPUTED_VALUE"""),0.0)</f>
        <v>0</v>
      </c>
    </row>
    <row r="337">
      <c r="A337" s="98">
        <f>IFERROR(__xludf.DUMMYFUNCTION("""COMPUTED_VALUE"""),334.0)</f>
        <v>334</v>
      </c>
      <c r="B337" s="98" t="str">
        <f>IFERROR(__xludf.DUMMYFUNCTION("""COMPUTED_VALUE"""),"TNI0442")</f>
        <v>TNI0442</v>
      </c>
      <c r="C337" s="98" t="str">
        <f>IFERROR(__xludf.DUMMYFUNCTION("""COMPUTED_VALUE"""),"C")</f>
        <v>C</v>
      </c>
      <c r="D337" s="98" t="str">
        <f>IFERROR(__xludf.DUMMYFUNCTION("""COMPUTED_VALUE"""),"TIP")</f>
        <v>TIP</v>
      </c>
      <c r="E337" s="98" t="str">
        <f>IFERROR(__xludf.DUMMYFUNCTION("""COMPUTED_VALUE"""),"T5")</f>
        <v>T5</v>
      </c>
      <c r="F337" s="98" t="str">
        <f>IFERROR(__xludf.DUMMYFUNCTION("""COMPUTED_VALUE"""),"Palaw")</f>
        <v>Palaw</v>
      </c>
      <c r="G337" s="98" t="str">
        <f>IFERROR(__xludf.DUMMYFUNCTION("""COMPUTED_VALUE"""),"Min Paing Oo")</f>
        <v>Min Paing Oo</v>
      </c>
      <c r="H337" s="98" t="str">
        <f>IFERROR(__xludf.DUMMYFUNCTION("""COMPUTED_VALUE"""),"U Myint Naing: 09694764409")</f>
        <v>U Myint Naing: 09694764409</v>
      </c>
      <c r="I337" s="98"/>
      <c r="J337" s="98"/>
      <c r="K337" s="362">
        <f>IFERROR(__xludf.DUMMYFUNCTION("""COMPUTED_VALUE"""),180.0)</f>
        <v>180</v>
      </c>
      <c r="L337" s="98" t="str">
        <f>IFERROR(__xludf.DUMMYFUNCTION("""COMPUTED_VALUE"""),"24*7")</f>
        <v>24*7</v>
      </c>
      <c r="M337" s="98" t="str">
        <f>IFERROR(__xludf.DUMMYFUNCTION("""COMPUTED_VALUE"""),"Grid+BB")</f>
        <v>Grid+BB</v>
      </c>
      <c r="N337" s="98" t="str">
        <f>IFERROR(__xludf.DUMMYFUNCTION("""COMPUTED_VALUE"""),"ok")</f>
        <v>ok</v>
      </c>
      <c r="O337" s="363"/>
      <c r="P337" s="98"/>
      <c r="Q337" s="98"/>
      <c r="R337" s="100"/>
      <c r="S337" s="363"/>
      <c r="T337" s="100"/>
      <c r="U337" s="98"/>
      <c r="V337" s="100"/>
      <c r="W337" s="98"/>
      <c r="X337" s="363"/>
      <c r="Y337" s="100"/>
      <c r="Z337" s="363"/>
      <c r="AA337" s="98"/>
      <c r="AB337" s="363">
        <f>IFERROR(__xludf.DUMMYFUNCTION("""COMPUTED_VALUE"""),46205.210868055554)</f>
        <v>46205.21087</v>
      </c>
      <c r="AC337" s="100">
        <f>IFERROR(__xludf.DUMMYFUNCTION("""COMPUTED_VALUE"""),13.56848750001518)</f>
        <v>13.5684875</v>
      </c>
      <c r="AD337" s="363">
        <f>IFERROR(__xludf.DUMMYFUNCTION("""COMPUTED_VALUE"""),46205.13303240741)</f>
        <v>46205.13303</v>
      </c>
      <c r="AE337" s="100">
        <f>IFERROR(__xludf.DUMMYFUNCTION("""COMPUTED_VALUE"""),15.436543055518996)</f>
        <v>15.43654306</v>
      </c>
      <c r="AF337" s="364">
        <f>IFERROR(__xludf.DUMMYFUNCTION("""COMPUTED_VALUE"""),434.0)</f>
        <v>434</v>
      </c>
      <c r="AG337" s="98" t="str">
        <f>IFERROR(__xludf.DUMMYFUNCTION("""COMPUTED_VALUE"""),"Checking with CT")</f>
        <v>Checking with CT</v>
      </c>
      <c r="AH337" s="98" t="str">
        <f>IFERROR(__xludf.DUMMYFUNCTION("""COMPUTED_VALUE"""),"Run MDG")</f>
        <v>Run MDG</v>
      </c>
      <c r="AI337" s="98"/>
      <c r="AJ337" s="98"/>
      <c r="AK337" s="98"/>
      <c r="AL337" s="364">
        <f>IFERROR(__xludf.DUMMYFUNCTION("""COMPUTED_VALUE"""),1.0)</f>
        <v>1</v>
      </c>
      <c r="AM337" s="364">
        <f>IFERROR(__xludf.DUMMYFUNCTION("""COMPUTED_VALUE"""),1.0)</f>
        <v>1</v>
      </c>
    </row>
    <row r="338">
      <c r="A338" s="98">
        <f>IFERROR(__xludf.DUMMYFUNCTION("""COMPUTED_VALUE"""),335.0)</f>
        <v>335</v>
      </c>
      <c r="B338" s="98" t="str">
        <f>IFERROR(__xludf.DUMMYFUNCTION("""COMPUTED_VALUE"""),"TNI0521")</f>
        <v>TNI0521</v>
      </c>
      <c r="C338" s="98" t="str">
        <f>IFERROR(__xludf.DUMMYFUNCTION("""COMPUTED_VALUE"""),"C")</f>
        <v>C</v>
      </c>
      <c r="D338" s="98" t="str">
        <f>IFERROR(__xludf.DUMMYFUNCTION("""COMPUTED_VALUE"""),"Mytel")</f>
        <v>Mytel</v>
      </c>
      <c r="E338" s="98" t="str">
        <f>IFERROR(__xludf.DUMMYFUNCTION("""COMPUTED_VALUE"""),"T5")</f>
        <v>T5</v>
      </c>
      <c r="F338" s="98" t="str">
        <f>IFERROR(__xludf.DUMMYFUNCTION("""COMPUTED_VALUE"""),"Palaw")</f>
        <v>Palaw</v>
      </c>
      <c r="G338" s="98" t="str">
        <f>IFERROR(__xludf.DUMMYFUNCTION("""COMPUTED_VALUE"""),"Min Paing Oo")</f>
        <v>Min Paing Oo</v>
      </c>
      <c r="H338" s="98"/>
      <c r="I338" s="98"/>
      <c r="J338" s="98"/>
      <c r="K338" s="362">
        <f>IFERROR(__xludf.DUMMYFUNCTION("""COMPUTED_VALUE"""),120.0)</f>
        <v>120</v>
      </c>
      <c r="L338" s="98" t="str">
        <f>IFERROR(__xludf.DUMMYFUNCTION("""COMPUTED_VALUE"""),"24*7")</f>
        <v>24*7</v>
      </c>
      <c r="M338" s="98" t="str">
        <f>IFERROR(__xludf.DUMMYFUNCTION("""COMPUTED_VALUE"""),"Grid+BB")</f>
        <v>Grid+BB</v>
      </c>
      <c r="N338" s="98" t="str">
        <f>IFERROR(__xludf.DUMMYFUNCTION("""COMPUTED_VALUE"""),"ok")</f>
        <v>ok</v>
      </c>
      <c r="O338" s="363"/>
      <c r="P338" s="98"/>
      <c r="Q338" s="98"/>
      <c r="R338" s="100"/>
      <c r="S338" s="363"/>
      <c r="T338" s="100"/>
      <c r="U338" s="98"/>
      <c r="V338" s="100"/>
      <c r="W338" s="98"/>
      <c r="X338" s="363"/>
      <c r="Y338" s="100"/>
      <c r="Z338" s="363"/>
      <c r="AA338" s="98"/>
      <c r="AB338" s="363"/>
      <c r="AC338" s="100"/>
      <c r="AD338" s="363"/>
      <c r="AE338" s="100"/>
      <c r="AF338" s="364">
        <f>IFERROR(__xludf.DUMMYFUNCTION("""COMPUTED_VALUE"""),1365.0)</f>
        <v>1365</v>
      </c>
      <c r="AG338" s="98" t="str">
        <f>IFERROR(__xludf.DUMMYFUNCTION("""COMPUTED_VALUE"""),"Grid fail, non DG in unsafe area")</f>
        <v>Grid fail, non DG in unsafe area</v>
      </c>
      <c r="AH338" s="98"/>
      <c r="AI338" s="98"/>
      <c r="AJ338" s="98"/>
      <c r="AK338" s="98"/>
      <c r="AL338" s="364">
        <f>IFERROR(__xludf.DUMMYFUNCTION("""COMPUTED_VALUE"""),0.0)</f>
        <v>0</v>
      </c>
      <c r="AM338" s="364">
        <f>IFERROR(__xludf.DUMMYFUNCTION("""COMPUTED_VALUE"""),0.0)</f>
        <v>0</v>
      </c>
    </row>
    <row r="339">
      <c r="A339" s="98"/>
      <c r="B339" s="98"/>
      <c r="C339" s="98"/>
      <c r="D339" s="98"/>
      <c r="E339" s="98"/>
      <c r="F339" s="98"/>
      <c r="G339" s="98"/>
      <c r="H339" s="98"/>
      <c r="I339" s="98"/>
      <c r="J339" s="98"/>
      <c r="K339" s="362"/>
      <c r="L339" s="98"/>
      <c r="M339" s="98"/>
      <c r="N339" s="98"/>
      <c r="O339" s="363"/>
      <c r="P339" s="98"/>
      <c r="Q339" s="98"/>
      <c r="R339" s="100"/>
      <c r="S339" s="363"/>
      <c r="T339" s="100"/>
      <c r="U339" s="98"/>
      <c r="V339" s="100"/>
      <c r="W339" s="98"/>
      <c r="X339" s="363"/>
      <c r="Y339" s="100"/>
      <c r="Z339" s="363"/>
      <c r="AA339" s="98"/>
      <c r="AB339" s="363"/>
      <c r="AC339" s="100"/>
      <c r="AD339" s="363"/>
      <c r="AE339" s="100"/>
      <c r="AF339" s="364"/>
      <c r="AG339" s="98"/>
      <c r="AH339" s="98"/>
      <c r="AI339" s="98"/>
      <c r="AJ339" s="98"/>
      <c r="AK339" s="98"/>
      <c r="AL339" s="364"/>
      <c r="AM339" s="364"/>
    </row>
    <row r="340">
      <c r="A340" s="98"/>
      <c r="B340" s="98"/>
      <c r="C340" s="98"/>
      <c r="D340" s="98"/>
      <c r="E340" s="98"/>
      <c r="F340" s="98"/>
      <c r="G340" s="98"/>
      <c r="H340" s="98"/>
      <c r="I340" s="98"/>
      <c r="J340" s="98"/>
      <c r="K340" s="362"/>
      <c r="L340" s="98"/>
      <c r="M340" s="98"/>
      <c r="N340" s="98"/>
      <c r="O340" s="363"/>
      <c r="P340" s="98"/>
      <c r="Q340" s="98"/>
      <c r="R340" s="100"/>
      <c r="S340" s="363"/>
      <c r="T340" s="100"/>
      <c r="U340" s="98"/>
      <c r="V340" s="100"/>
      <c r="W340" s="98"/>
      <c r="X340" s="363"/>
      <c r="Y340" s="100"/>
      <c r="Z340" s="363"/>
      <c r="AA340" s="98"/>
      <c r="AB340" s="363"/>
      <c r="AC340" s="100"/>
      <c r="AD340" s="363"/>
      <c r="AE340" s="100"/>
      <c r="AF340" s="364"/>
      <c r="AG340" s="98"/>
      <c r="AH340" s="98"/>
      <c r="AI340" s="98"/>
      <c r="AJ340" s="98"/>
      <c r="AK340" s="98"/>
      <c r="AL340" s="364"/>
      <c r="AM340" s="364"/>
    </row>
    <row r="341">
      <c r="A341" s="98"/>
      <c r="B341" s="98"/>
      <c r="C341" s="98"/>
      <c r="D341" s="98"/>
      <c r="E341" s="98"/>
      <c r="F341" s="98"/>
      <c r="G341" s="98"/>
      <c r="H341" s="98"/>
      <c r="I341" s="98"/>
      <c r="J341" s="98"/>
      <c r="K341" s="362"/>
      <c r="L341" s="98"/>
      <c r="M341" s="98"/>
      <c r="N341" s="98"/>
      <c r="O341" s="363"/>
      <c r="P341" s="98"/>
      <c r="Q341" s="98"/>
      <c r="R341" s="100"/>
      <c r="S341" s="363"/>
      <c r="T341" s="100"/>
      <c r="U341" s="98"/>
      <c r="V341" s="100"/>
      <c r="W341" s="98"/>
      <c r="X341" s="363"/>
      <c r="Y341" s="100"/>
      <c r="Z341" s="363"/>
      <c r="AA341" s="98"/>
      <c r="AB341" s="363"/>
      <c r="AC341" s="100"/>
      <c r="AD341" s="363"/>
      <c r="AE341" s="100"/>
      <c r="AF341" s="364"/>
      <c r="AG341" s="98"/>
      <c r="AH341" s="98"/>
      <c r="AI341" s="98"/>
      <c r="AJ341" s="98"/>
      <c r="AK341" s="98"/>
      <c r="AL341" s="364"/>
      <c r="AM341" s="364"/>
    </row>
    <row r="342">
      <c r="A342" s="98"/>
      <c r="B342" s="98"/>
      <c r="C342" s="98"/>
      <c r="D342" s="98"/>
      <c r="E342" s="98"/>
      <c r="F342" s="98"/>
      <c r="G342" s="98"/>
      <c r="H342" s="98"/>
      <c r="I342" s="98"/>
      <c r="J342" s="98"/>
      <c r="K342" s="362"/>
      <c r="L342" s="98"/>
      <c r="M342" s="98"/>
      <c r="N342" s="98"/>
      <c r="O342" s="363"/>
      <c r="P342" s="98"/>
      <c r="Q342" s="98"/>
      <c r="R342" s="100"/>
      <c r="S342" s="363"/>
      <c r="T342" s="100"/>
      <c r="U342" s="98"/>
      <c r="V342" s="100"/>
      <c r="W342" s="98"/>
      <c r="X342" s="363"/>
      <c r="Y342" s="100"/>
      <c r="Z342" s="363"/>
      <c r="AA342" s="98"/>
      <c r="AB342" s="363"/>
      <c r="AC342" s="100"/>
      <c r="AD342" s="363"/>
      <c r="AE342" s="100"/>
      <c r="AF342" s="364"/>
      <c r="AG342" s="98"/>
      <c r="AH342" s="98"/>
      <c r="AI342" s="98"/>
      <c r="AJ342" s="98"/>
      <c r="AK342" s="98"/>
      <c r="AL342" s="364"/>
      <c r="AM342" s="364"/>
    </row>
    <row r="343">
      <c r="A343" s="98"/>
      <c r="B343" s="98"/>
      <c r="C343" s="98"/>
      <c r="D343" s="98"/>
      <c r="E343" s="98"/>
      <c r="F343" s="98"/>
      <c r="G343" s="98"/>
      <c r="H343" s="98"/>
      <c r="I343" s="98"/>
      <c r="J343" s="98"/>
      <c r="K343" s="362"/>
      <c r="L343" s="98"/>
      <c r="M343" s="98"/>
      <c r="N343" s="98"/>
      <c r="O343" s="363"/>
      <c r="P343" s="98"/>
      <c r="Q343" s="98"/>
      <c r="R343" s="100"/>
      <c r="S343" s="363"/>
      <c r="T343" s="100"/>
      <c r="U343" s="98"/>
      <c r="V343" s="100"/>
      <c r="W343" s="98"/>
      <c r="X343" s="363"/>
      <c r="Y343" s="100"/>
      <c r="Z343" s="363"/>
      <c r="AA343" s="98"/>
      <c r="AB343" s="363"/>
      <c r="AC343" s="100"/>
      <c r="AD343" s="363"/>
      <c r="AE343" s="100"/>
      <c r="AF343" s="364"/>
      <c r="AG343" s="98"/>
      <c r="AH343" s="98"/>
      <c r="AI343" s="98"/>
      <c r="AJ343" s="98"/>
      <c r="AK343" s="98"/>
      <c r="AL343" s="364"/>
      <c r="AM343" s="364"/>
    </row>
    <row r="344">
      <c r="A344" s="98"/>
      <c r="B344" s="98"/>
      <c r="C344" s="98"/>
      <c r="D344" s="98"/>
      <c r="E344" s="98"/>
      <c r="F344" s="98"/>
      <c r="G344" s="98"/>
      <c r="H344" s="98"/>
      <c r="I344" s="98"/>
      <c r="J344" s="98"/>
      <c r="K344" s="362"/>
      <c r="L344" s="98"/>
      <c r="M344" s="98"/>
      <c r="N344" s="98"/>
      <c r="O344" s="363"/>
      <c r="P344" s="98"/>
      <c r="Q344" s="98"/>
      <c r="R344" s="100"/>
      <c r="S344" s="363"/>
      <c r="T344" s="100"/>
      <c r="U344" s="98"/>
      <c r="V344" s="100"/>
      <c r="W344" s="98"/>
      <c r="X344" s="363"/>
      <c r="Y344" s="100"/>
      <c r="Z344" s="363"/>
      <c r="AA344" s="98"/>
      <c r="AB344" s="363"/>
      <c r="AC344" s="100"/>
      <c r="AD344" s="363"/>
      <c r="AE344" s="100"/>
      <c r="AF344" s="364"/>
      <c r="AG344" s="98"/>
      <c r="AH344" s="98"/>
      <c r="AI344" s="98"/>
      <c r="AJ344" s="98"/>
      <c r="AK344" s="98"/>
      <c r="AL344" s="364"/>
      <c r="AM344" s="364"/>
    </row>
    <row r="345">
      <c r="A345" s="98"/>
      <c r="B345" s="98"/>
      <c r="C345" s="98"/>
      <c r="D345" s="98"/>
      <c r="E345" s="98"/>
      <c r="F345" s="98"/>
      <c r="G345" s="98"/>
      <c r="H345" s="98"/>
      <c r="I345" s="98"/>
      <c r="J345" s="98"/>
      <c r="K345" s="362"/>
      <c r="L345" s="98"/>
      <c r="M345" s="98"/>
      <c r="N345" s="98"/>
      <c r="O345" s="363"/>
      <c r="P345" s="98"/>
      <c r="Q345" s="98"/>
      <c r="R345" s="100"/>
      <c r="S345" s="363"/>
      <c r="T345" s="100"/>
      <c r="U345" s="98"/>
      <c r="V345" s="100"/>
      <c r="W345" s="98"/>
      <c r="X345" s="363"/>
      <c r="Y345" s="100"/>
      <c r="Z345" s="363"/>
      <c r="AA345" s="98"/>
      <c r="AB345" s="363"/>
      <c r="AC345" s="100"/>
      <c r="AD345" s="363"/>
      <c r="AE345" s="100"/>
      <c r="AF345" s="364"/>
      <c r="AG345" s="98"/>
      <c r="AH345" s="98"/>
      <c r="AI345" s="98"/>
      <c r="AJ345" s="98"/>
      <c r="AK345" s="98"/>
      <c r="AL345" s="364"/>
      <c r="AM345" s="364"/>
    </row>
    <row r="346">
      <c r="A346" s="98"/>
      <c r="B346" s="98"/>
      <c r="C346" s="98"/>
      <c r="D346" s="98"/>
      <c r="E346" s="98"/>
      <c r="F346" s="98"/>
      <c r="G346" s="98"/>
      <c r="H346" s="98"/>
      <c r="I346" s="98"/>
      <c r="J346" s="98"/>
      <c r="K346" s="362"/>
      <c r="L346" s="98"/>
      <c r="M346" s="98"/>
      <c r="N346" s="98"/>
      <c r="O346" s="363"/>
      <c r="P346" s="98"/>
      <c r="Q346" s="98"/>
      <c r="R346" s="100"/>
      <c r="S346" s="363"/>
      <c r="T346" s="100"/>
      <c r="U346" s="98"/>
      <c r="V346" s="100"/>
      <c r="W346" s="98"/>
      <c r="X346" s="363"/>
      <c r="Y346" s="100"/>
      <c r="Z346" s="363"/>
      <c r="AA346" s="98"/>
      <c r="AB346" s="363"/>
      <c r="AC346" s="100"/>
      <c r="AD346" s="363"/>
      <c r="AE346" s="100"/>
      <c r="AF346" s="364"/>
      <c r="AG346" s="98"/>
      <c r="AH346" s="98"/>
      <c r="AI346" s="98"/>
      <c r="AJ346" s="98"/>
      <c r="AK346" s="98"/>
      <c r="AL346" s="364"/>
      <c r="AM346" s="364"/>
    </row>
    <row r="347">
      <c r="A347" s="98"/>
      <c r="B347" s="98"/>
      <c r="C347" s="98"/>
      <c r="D347" s="98"/>
      <c r="E347" s="98"/>
      <c r="F347" s="98"/>
      <c r="G347" s="98"/>
      <c r="H347" s="98"/>
      <c r="I347" s="98"/>
      <c r="J347" s="98"/>
      <c r="K347" s="362"/>
      <c r="L347" s="98"/>
      <c r="M347" s="98"/>
      <c r="N347" s="98"/>
      <c r="O347" s="363"/>
      <c r="P347" s="98"/>
      <c r="Q347" s="98"/>
      <c r="R347" s="100"/>
      <c r="S347" s="363"/>
      <c r="T347" s="100"/>
      <c r="U347" s="98"/>
      <c r="V347" s="100"/>
      <c r="W347" s="98"/>
      <c r="X347" s="363"/>
      <c r="Y347" s="100"/>
      <c r="Z347" s="363"/>
      <c r="AA347" s="98"/>
      <c r="AB347" s="363"/>
      <c r="AC347" s="100"/>
      <c r="AD347" s="363"/>
      <c r="AE347" s="100"/>
      <c r="AF347" s="364"/>
      <c r="AG347" s="98" t="str">
        <f>IFERROR(__xludf.DUMMYFUNCTION("""COMPUTED_VALUE""")," ")</f>
        <v> </v>
      </c>
      <c r="AH347" s="98"/>
      <c r="AI347" s="98"/>
      <c r="AJ347" s="98"/>
      <c r="AK347" s="98"/>
      <c r="AL347" s="364"/>
      <c r="AM347" s="364"/>
    </row>
    <row r="348">
      <c r="A348" s="98"/>
      <c r="B348" s="98"/>
      <c r="C348" s="98"/>
      <c r="D348" s="98"/>
      <c r="E348" s="98"/>
      <c r="F348" s="98"/>
      <c r="G348" s="98"/>
      <c r="H348" s="98"/>
      <c r="I348" s="98"/>
      <c r="J348" s="98"/>
      <c r="K348" s="362"/>
      <c r="L348" s="98"/>
      <c r="M348" s="98"/>
      <c r="N348" s="98"/>
      <c r="O348" s="363"/>
      <c r="P348" s="98"/>
      <c r="Q348" s="98"/>
      <c r="R348" s="100"/>
      <c r="S348" s="363"/>
      <c r="T348" s="100"/>
      <c r="U348" s="98"/>
      <c r="V348" s="100"/>
      <c r="W348" s="98"/>
      <c r="X348" s="363"/>
      <c r="Y348" s="100"/>
      <c r="Z348" s="363"/>
      <c r="AA348" s="98"/>
      <c r="AB348" s="363"/>
      <c r="AC348" s="100"/>
      <c r="AD348" s="363"/>
      <c r="AE348" s="100"/>
      <c r="AF348" s="364"/>
      <c r="AG348" s="98"/>
      <c r="AH348" s="98"/>
      <c r="AI348" s="98"/>
      <c r="AJ348" s="98"/>
      <c r="AK348" s="98"/>
      <c r="AL348" s="364"/>
      <c r="AM348" s="364"/>
    </row>
    <row r="349">
      <c r="A349" s="98"/>
      <c r="B349" s="98"/>
      <c r="C349" s="98"/>
      <c r="D349" s="98"/>
      <c r="E349" s="98"/>
      <c r="F349" s="98"/>
      <c r="G349" s="98"/>
      <c r="H349" s="98"/>
      <c r="I349" s="98"/>
      <c r="J349" s="98"/>
      <c r="K349" s="362"/>
      <c r="L349" s="98"/>
      <c r="M349" s="98"/>
      <c r="N349" s="98"/>
      <c r="O349" s="363"/>
      <c r="P349" s="98"/>
      <c r="Q349" s="98"/>
      <c r="R349" s="100"/>
      <c r="S349" s="363"/>
      <c r="T349" s="100"/>
      <c r="U349" s="98"/>
      <c r="V349" s="100"/>
      <c r="W349" s="98"/>
      <c r="X349" s="363"/>
      <c r="Y349" s="100"/>
      <c r="Z349" s="363"/>
      <c r="AA349" s="98"/>
      <c r="AB349" s="363"/>
      <c r="AC349" s="100"/>
      <c r="AD349" s="363"/>
      <c r="AE349" s="100"/>
      <c r="AF349" s="364"/>
      <c r="AG349" s="98"/>
      <c r="AH349" s="98"/>
      <c r="AI349" s="98"/>
      <c r="AJ349" s="98"/>
      <c r="AK349" s="98"/>
      <c r="AL349" s="364"/>
      <c r="AM349" s="364"/>
    </row>
    <row r="350">
      <c r="A350" s="98"/>
      <c r="B350" s="98"/>
      <c r="C350" s="98"/>
      <c r="D350" s="98"/>
      <c r="E350" s="98"/>
      <c r="F350" s="98"/>
      <c r="G350" s="98"/>
      <c r="H350" s="98"/>
      <c r="I350" s="98"/>
      <c r="J350" s="98"/>
      <c r="K350" s="362"/>
      <c r="L350" s="98"/>
      <c r="M350" s="98"/>
      <c r="N350" s="98"/>
      <c r="O350" s="363"/>
      <c r="P350" s="98"/>
      <c r="Q350" s="98"/>
      <c r="R350" s="100"/>
      <c r="S350" s="363"/>
      <c r="T350" s="100"/>
      <c r="U350" s="98"/>
      <c r="V350" s="100"/>
      <c r="W350" s="98"/>
      <c r="X350" s="363"/>
      <c r="Y350" s="100"/>
      <c r="Z350" s="363"/>
      <c r="AA350" s="98"/>
      <c r="AB350" s="363"/>
      <c r="AC350" s="100"/>
      <c r="AD350" s="363"/>
      <c r="AE350" s="100"/>
      <c r="AF350" s="364"/>
      <c r="AG350" s="98"/>
      <c r="AH350" s="98"/>
      <c r="AI350" s="98"/>
      <c r="AJ350" s="98"/>
      <c r="AK350" s="98"/>
      <c r="AL350" s="364"/>
      <c r="AM350" s="364"/>
    </row>
    <row r="351">
      <c r="A351" s="98"/>
      <c r="B351" s="98"/>
      <c r="C351" s="98"/>
      <c r="D351" s="98"/>
      <c r="E351" s="98"/>
      <c r="F351" s="98"/>
      <c r="G351" s="98"/>
      <c r="H351" s="98"/>
      <c r="I351" s="98"/>
      <c r="J351" s="98"/>
      <c r="K351" s="362"/>
      <c r="L351" s="98"/>
      <c r="M351" s="98"/>
      <c r="N351" s="98"/>
      <c r="O351" s="363"/>
      <c r="P351" s="98"/>
      <c r="Q351" s="98"/>
      <c r="R351" s="100"/>
      <c r="S351" s="363"/>
      <c r="T351" s="100"/>
      <c r="U351" s="98"/>
      <c r="V351" s="100"/>
      <c r="W351" s="98"/>
      <c r="X351" s="363"/>
      <c r="Y351" s="100"/>
      <c r="Z351" s="363"/>
      <c r="AA351" s="98"/>
      <c r="AB351" s="363"/>
      <c r="AC351" s="100"/>
      <c r="AD351" s="363"/>
      <c r="AE351" s="100"/>
      <c r="AF351" s="364"/>
      <c r="AG351" s="98"/>
      <c r="AH351" s="98"/>
      <c r="AI351" s="98"/>
      <c r="AJ351" s="98"/>
      <c r="AK351" s="98"/>
      <c r="AL351" s="364"/>
      <c r="AM351" s="364"/>
    </row>
    <row r="352">
      <c r="A352" s="98"/>
      <c r="B352" s="98"/>
      <c r="C352" s="98"/>
      <c r="D352" s="98"/>
      <c r="E352" s="98"/>
      <c r="F352" s="98"/>
      <c r="G352" s="98"/>
      <c r="H352" s="98"/>
      <c r="I352" s="98"/>
      <c r="J352" s="98"/>
      <c r="K352" s="362"/>
      <c r="L352" s="98"/>
      <c r="M352" s="98"/>
      <c r="N352" s="98"/>
      <c r="O352" s="363"/>
      <c r="P352" s="98"/>
      <c r="Q352" s="98"/>
      <c r="R352" s="100"/>
      <c r="S352" s="363"/>
      <c r="T352" s="100"/>
      <c r="U352" s="98"/>
      <c r="V352" s="100"/>
      <c r="W352" s="98"/>
      <c r="X352" s="363"/>
      <c r="Y352" s="100"/>
      <c r="Z352" s="363"/>
      <c r="AA352" s="98"/>
      <c r="AB352" s="363"/>
      <c r="AC352" s="100"/>
      <c r="AD352" s="363"/>
      <c r="AE352" s="100"/>
      <c r="AF352" s="364"/>
      <c r="AG352" s="98"/>
      <c r="AH352" s="98"/>
      <c r="AI352" s="98"/>
      <c r="AJ352" s="98"/>
      <c r="AK352" s="98"/>
      <c r="AL352" s="364"/>
      <c r="AM352" s="364"/>
    </row>
    <row r="353">
      <c r="A353" s="98"/>
      <c r="B353" s="98"/>
      <c r="C353" s="98"/>
      <c r="D353" s="98"/>
      <c r="E353" s="98"/>
      <c r="F353" s="98"/>
      <c r="G353" s="98"/>
      <c r="H353" s="98"/>
      <c r="I353" s="98"/>
      <c r="J353" s="98"/>
      <c r="K353" s="362"/>
      <c r="L353" s="98"/>
      <c r="M353" s="98"/>
      <c r="N353" s="98"/>
      <c r="O353" s="363"/>
      <c r="P353" s="98"/>
      <c r="Q353" s="98"/>
      <c r="R353" s="100"/>
      <c r="S353" s="363"/>
      <c r="T353" s="100"/>
      <c r="U353" s="98"/>
      <c r="V353" s="100"/>
      <c r="W353" s="98"/>
      <c r="X353" s="363"/>
      <c r="Y353" s="100"/>
      <c r="Z353" s="363"/>
      <c r="AA353" s="98"/>
      <c r="AB353" s="363"/>
      <c r="AC353" s="100"/>
      <c r="AD353" s="363"/>
      <c r="AE353" s="100"/>
      <c r="AF353" s="364"/>
      <c r="AG353" s="98"/>
      <c r="AH353" s="98"/>
      <c r="AI353" s="98"/>
      <c r="AJ353" s="98"/>
      <c r="AK353" s="98"/>
      <c r="AL353" s="364"/>
      <c r="AM353" s="364"/>
    </row>
    <row r="354">
      <c r="A354" s="98"/>
      <c r="B354" s="98"/>
      <c r="C354" s="98"/>
      <c r="D354" s="98"/>
      <c r="E354" s="98"/>
      <c r="F354" s="98"/>
      <c r="G354" s="98"/>
      <c r="H354" s="98"/>
      <c r="I354" s="98"/>
      <c r="J354" s="98"/>
      <c r="K354" s="362"/>
      <c r="L354" s="98"/>
      <c r="M354" s="98"/>
      <c r="N354" s="98"/>
      <c r="O354" s="363"/>
      <c r="P354" s="98"/>
      <c r="Q354" s="98"/>
      <c r="R354" s="100"/>
      <c r="S354" s="363"/>
      <c r="T354" s="100"/>
      <c r="U354" s="98"/>
      <c r="V354" s="100"/>
      <c r="W354" s="98"/>
      <c r="X354" s="363"/>
      <c r="Y354" s="100"/>
      <c r="Z354" s="363"/>
      <c r="AA354" s="98"/>
      <c r="AB354" s="363"/>
      <c r="AC354" s="100"/>
      <c r="AD354" s="363"/>
      <c r="AE354" s="100"/>
      <c r="AF354" s="364"/>
      <c r="AG354" s="98"/>
      <c r="AH354" s="98"/>
      <c r="AI354" s="98"/>
      <c r="AJ354" s="98"/>
      <c r="AK354" s="98"/>
      <c r="AL354" s="364"/>
      <c r="AM354" s="364"/>
    </row>
    <row r="355">
      <c r="A355" s="98"/>
      <c r="B355" s="98"/>
      <c r="C355" s="98"/>
      <c r="D355" s="98"/>
      <c r="E355" s="98"/>
      <c r="F355" s="98"/>
      <c r="G355" s="98"/>
      <c r="H355" s="98"/>
      <c r="I355" s="98"/>
      <c r="J355" s="98"/>
      <c r="K355" s="362"/>
      <c r="L355" s="98"/>
      <c r="M355" s="98"/>
      <c r="N355" s="98"/>
      <c r="O355" s="363"/>
      <c r="P355" s="98"/>
      <c r="Q355" s="98"/>
      <c r="R355" s="100"/>
      <c r="S355" s="363"/>
      <c r="T355" s="100"/>
      <c r="U355" s="98"/>
      <c r="V355" s="100"/>
      <c r="W355" s="98"/>
      <c r="X355" s="363"/>
      <c r="Y355" s="100"/>
      <c r="Z355" s="363"/>
      <c r="AA355" s="98"/>
      <c r="AB355" s="363"/>
      <c r="AC355" s="100"/>
      <c r="AD355" s="363"/>
      <c r="AE355" s="100"/>
      <c r="AF355" s="364"/>
      <c r="AG355" s="98"/>
      <c r="AH355" s="98"/>
      <c r="AI355" s="98"/>
      <c r="AJ355" s="98"/>
      <c r="AK355" s="98"/>
      <c r="AL355" s="364"/>
      <c r="AM355" s="364"/>
    </row>
    <row r="356">
      <c r="A356" s="98"/>
      <c r="B356" s="98"/>
      <c r="C356" s="98"/>
      <c r="D356" s="98"/>
      <c r="E356" s="98"/>
      <c r="F356" s="98"/>
      <c r="G356" s="98"/>
      <c r="H356" s="98"/>
      <c r="I356" s="98"/>
      <c r="J356" s="98"/>
      <c r="K356" s="362"/>
      <c r="L356" s="98"/>
      <c r="M356" s="98"/>
      <c r="N356" s="98"/>
      <c r="O356" s="363"/>
      <c r="P356" s="98"/>
      <c r="Q356" s="98"/>
      <c r="R356" s="100"/>
      <c r="S356" s="363"/>
      <c r="T356" s="100"/>
      <c r="U356" s="98"/>
      <c r="V356" s="100"/>
      <c r="W356" s="98"/>
      <c r="X356" s="363"/>
      <c r="Y356" s="100"/>
      <c r="Z356" s="363"/>
      <c r="AA356" s="98"/>
      <c r="AB356" s="363"/>
      <c r="AC356" s="100"/>
      <c r="AD356" s="363"/>
      <c r="AE356" s="100"/>
      <c r="AF356" s="364"/>
      <c r="AG356" s="98"/>
      <c r="AH356" s="98"/>
      <c r="AI356" s="98"/>
      <c r="AJ356" s="98"/>
      <c r="AK356" s="98"/>
      <c r="AL356" s="364"/>
      <c r="AM356" s="364"/>
    </row>
    <row r="357">
      <c r="A357" s="98"/>
      <c r="B357" s="98"/>
      <c r="C357" s="98"/>
      <c r="D357" s="98"/>
      <c r="E357" s="98"/>
      <c r="F357" s="98"/>
      <c r="G357" s="98"/>
      <c r="H357" s="98"/>
      <c r="I357" s="98"/>
      <c r="J357" s="98"/>
      <c r="K357" s="362"/>
      <c r="L357" s="98"/>
      <c r="M357" s="98"/>
      <c r="N357" s="98"/>
      <c r="O357" s="363"/>
      <c r="P357" s="98"/>
      <c r="Q357" s="98"/>
      <c r="R357" s="100"/>
      <c r="S357" s="363"/>
      <c r="T357" s="100"/>
      <c r="U357" s="98"/>
      <c r="V357" s="100"/>
      <c r="W357" s="98"/>
      <c r="X357" s="363"/>
      <c r="Y357" s="100"/>
      <c r="Z357" s="363"/>
      <c r="AA357" s="98"/>
      <c r="AB357" s="363"/>
      <c r="AC357" s="100"/>
      <c r="AD357" s="363"/>
      <c r="AE357" s="100"/>
      <c r="AF357" s="364"/>
      <c r="AG357" s="98"/>
      <c r="AH357" s="98"/>
      <c r="AI357" s="98"/>
      <c r="AJ357" s="98"/>
      <c r="AK357" s="98"/>
      <c r="AL357" s="364"/>
      <c r="AM357" s="364"/>
    </row>
    <row r="358">
      <c r="A358" s="98"/>
      <c r="B358" s="98"/>
      <c r="C358" s="98"/>
      <c r="D358" s="98"/>
      <c r="E358" s="98"/>
      <c r="F358" s="98"/>
      <c r="G358" s="98"/>
      <c r="H358" s="98"/>
      <c r="I358" s="98"/>
      <c r="J358" s="98"/>
      <c r="K358" s="362"/>
      <c r="L358" s="98"/>
      <c r="M358" s="98"/>
      <c r="N358" s="98"/>
      <c r="O358" s="363"/>
      <c r="P358" s="98"/>
      <c r="Q358" s="98"/>
      <c r="R358" s="100"/>
      <c r="S358" s="363"/>
      <c r="T358" s="100"/>
      <c r="U358" s="98"/>
      <c r="V358" s="100"/>
      <c r="W358" s="98"/>
      <c r="X358" s="363"/>
      <c r="Y358" s="100"/>
      <c r="Z358" s="363"/>
      <c r="AA358" s="98"/>
      <c r="AB358" s="363"/>
      <c r="AC358" s="100"/>
      <c r="AD358" s="363"/>
      <c r="AE358" s="100"/>
      <c r="AF358" s="364"/>
      <c r="AG358" s="98"/>
      <c r="AH358" s="98"/>
      <c r="AI358" s="98"/>
      <c r="AJ358" s="98"/>
      <c r="AK358" s="98"/>
      <c r="AL358" s="364"/>
      <c r="AM358" s="364"/>
    </row>
    <row r="359">
      <c r="A359" s="98"/>
      <c r="B359" s="98"/>
      <c r="C359" s="98"/>
      <c r="D359" s="98"/>
      <c r="E359" s="98"/>
      <c r="F359" s="98"/>
      <c r="G359" s="98"/>
      <c r="H359" s="98"/>
      <c r="I359" s="98"/>
      <c r="J359" s="98"/>
      <c r="K359" s="362"/>
      <c r="L359" s="98"/>
      <c r="M359" s="98"/>
      <c r="N359" s="98"/>
      <c r="O359" s="363"/>
      <c r="P359" s="98"/>
      <c r="Q359" s="98"/>
      <c r="R359" s="100"/>
      <c r="S359" s="363"/>
      <c r="T359" s="100"/>
      <c r="U359" s="98"/>
      <c r="V359" s="100"/>
      <c r="W359" s="98"/>
      <c r="X359" s="363"/>
      <c r="Y359" s="100"/>
      <c r="Z359" s="363"/>
      <c r="AA359" s="98"/>
      <c r="AB359" s="363"/>
      <c r="AC359" s="100"/>
      <c r="AD359" s="363"/>
      <c r="AE359" s="100"/>
      <c r="AF359" s="364"/>
      <c r="AG359" s="98"/>
      <c r="AH359" s="98"/>
      <c r="AI359" s="98"/>
      <c r="AJ359" s="98"/>
      <c r="AK359" s="98"/>
      <c r="AL359" s="364"/>
      <c r="AM359" s="364"/>
    </row>
    <row r="360">
      <c r="A360" s="98"/>
      <c r="B360" s="98"/>
      <c r="C360" s="98"/>
      <c r="D360" s="98"/>
      <c r="E360" s="98"/>
      <c r="F360" s="98"/>
      <c r="G360" s="98"/>
      <c r="H360" s="98"/>
      <c r="I360" s="98"/>
      <c r="J360" s="98"/>
      <c r="K360" s="362"/>
      <c r="L360" s="98"/>
      <c r="M360" s="98"/>
      <c r="N360" s="98"/>
      <c r="O360" s="363"/>
      <c r="P360" s="98"/>
      <c r="Q360" s="98"/>
      <c r="R360" s="100"/>
      <c r="S360" s="363"/>
      <c r="T360" s="100"/>
      <c r="U360" s="98"/>
      <c r="V360" s="100"/>
      <c r="W360" s="98"/>
      <c r="X360" s="363"/>
      <c r="Y360" s="100"/>
      <c r="Z360" s="363"/>
      <c r="AA360" s="98"/>
      <c r="AB360" s="363"/>
      <c r="AC360" s="100"/>
      <c r="AD360" s="363"/>
      <c r="AE360" s="100"/>
      <c r="AF360" s="364"/>
      <c r="AG360" s="98"/>
      <c r="AH360" s="98"/>
      <c r="AI360" s="98"/>
      <c r="AJ360" s="98"/>
      <c r="AK360" s="98"/>
      <c r="AL360" s="364"/>
      <c r="AM360" s="364"/>
    </row>
    <row r="361">
      <c r="A361" s="98"/>
      <c r="B361" s="98"/>
      <c r="C361" s="98"/>
      <c r="D361" s="98"/>
      <c r="E361" s="98"/>
      <c r="F361" s="98"/>
      <c r="G361" s="98"/>
      <c r="H361" s="98"/>
      <c r="I361" s="98"/>
      <c r="J361" s="98"/>
      <c r="K361" s="362"/>
      <c r="L361" s="98"/>
      <c r="M361" s="98"/>
      <c r="N361" s="98"/>
      <c r="O361" s="363"/>
      <c r="P361" s="98"/>
      <c r="Q361" s="98"/>
      <c r="R361" s="100"/>
      <c r="S361" s="363"/>
      <c r="T361" s="100"/>
      <c r="U361" s="98"/>
      <c r="V361" s="100"/>
      <c r="W361" s="98"/>
      <c r="X361" s="363"/>
      <c r="Y361" s="100"/>
      <c r="Z361" s="363"/>
      <c r="AA361" s="98"/>
      <c r="AB361" s="363"/>
      <c r="AC361" s="100"/>
      <c r="AD361" s="363"/>
      <c r="AE361" s="100"/>
      <c r="AF361" s="364"/>
      <c r="AG361" s="98"/>
      <c r="AH361" s="98"/>
      <c r="AI361" s="98"/>
      <c r="AJ361" s="98"/>
      <c r="AK361" s="98"/>
      <c r="AL361" s="364"/>
      <c r="AM361" s="364"/>
    </row>
    <row r="362">
      <c r="A362" s="98"/>
      <c r="B362" s="98"/>
      <c r="C362" s="98"/>
      <c r="D362" s="98"/>
      <c r="E362" s="98"/>
      <c r="F362" s="98"/>
      <c r="G362" s="98"/>
      <c r="H362" s="98"/>
      <c r="I362" s="98"/>
      <c r="J362" s="98"/>
      <c r="K362" s="362"/>
      <c r="L362" s="98"/>
      <c r="M362" s="98"/>
      <c r="N362" s="98"/>
      <c r="O362" s="363"/>
      <c r="P362" s="98"/>
      <c r="Q362" s="98"/>
      <c r="R362" s="100"/>
      <c r="S362" s="363"/>
      <c r="T362" s="100"/>
      <c r="U362" s="98"/>
      <c r="V362" s="100"/>
      <c r="W362" s="98"/>
      <c r="X362" s="363"/>
      <c r="Y362" s="100"/>
      <c r="Z362" s="363"/>
      <c r="AA362" s="98"/>
      <c r="AB362" s="363"/>
      <c r="AC362" s="100"/>
      <c r="AD362" s="363"/>
      <c r="AE362" s="100"/>
      <c r="AF362" s="364"/>
      <c r="AG362" s="98"/>
      <c r="AH362" s="98"/>
      <c r="AI362" s="98"/>
      <c r="AJ362" s="98"/>
      <c r="AK362" s="98"/>
      <c r="AL362" s="364"/>
      <c r="AM362" s="364"/>
    </row>
    <row r="363">
      <c r="A363" s="98"/>
      <c r="B363" s="98"/>
      <c r="C363" s="98"/>
      <c r="D363" s="98"/>
      <c r="E363" s="98"/>
      <c r="F363" s="98"/>
      <c r="G363" s="98"/>
      <c r="H363" s="98"/>
      <c r="I363" s="98"/>
      <c r="J363" s="98"/>
      <c r="K363" s="362"/>
      <c r="L363" s="98"/>
      <c r="M363" s="98"/>
      <c r="N363" s="98"/>
      <c r="O363" s="363"/>
      <c r="P363" s="98"/>
      <c r="Q363" s="98"/>
      <c r="R363" s="100"/>
      <c r="S363" s="363"/>
      <c r="T363" s="100"/>
      <c r="U363" s="98"/>
      <c r="V363" s="100"/>
      <c r="W363" s="98"/>
      <c r="X363" s="363"/>
      <c r="Y363" s="100"/>
      <c r="Z363" s="363"/>
      <c r="AA363" s="98"/>
      <c r="AB363" s="363"/>
      <c r="AC363" s="100"/>
      <c r="AD363" s="363"/>
      <c r="AE363" s="100"/>
      <c r="AF363" s="364"/>
      <c r="AG363" s="98"/>
      <c r="AH363" s="98"/>
      <c r="AI363" s="98"/>
      <c r="AJ363" s="98"/>
      <c r="AK363" s="98"/>
      <c r="AL363" s="364"/>
      <c r="AM363" s="364"/>
    </row>
    <row r="364">
      <c r="A364" s="98"/>
      <c r="B364" s="98"/>
      <c r="C364" s="98"/>
      <c r="D364" s="98"/>
      <c r="E364" s="98"/>
      <c r="F364" s="98"/>
      <c r="G364" s="98"/>
      <c r="H364" s="98"/>
      <c r="I364" s="98"/>
      <c r="J364" s="98"/>
      <c r="K364" s="362"/>
      <c r="L364" s="98"/>
      <c r="M364" s="98"/>
      <c r="N364" s="98"/>
      <c r="O364" s="363"/>
      <c r="P364" s="98"/>
      <c r="Q364" s="98"/>
      <c r="R364" s="100"/>
      <c r="S364" s="363"/>
      <c r="T364" s="100"/>
      <c r="U364" s="98"/>
      <c r="V364" s="100"/>
      <c r="W364" s="98"/>
      <c r="X364" s="363"/>
      <c r="Y364" s="100"/>
      <c r="Z364" s="363"/>
      <c r="AA364" s="98"/>
      <c r="AB364" s="363"/>
      <c r="AC364" s="100"/>
      <c r="AD364" s="363"/>
      <c r="AE364" s="100"/>
      <c r="AF364" s="364"/>
      <c r="AG364" s="98"/>
      <c r="AH364" s="98"/>
      <c r="AI364" s="98"/>
      <c r="AJ364" s="98"/>
      <c r="AK364" s="98"/>
      <c r="AL364" s="364"/>
      <c r="AM364" s="364"/>
    </row>
    <row r="365">
      <c r="A365" s="98"/>
      <c r="B365" s="98"/>
      <c r="C365" s="98"/>
      <c r="D365" s="98"/>
      <c r="E365" s="98"/>
      <c r="F365" s="98"/>
      <c r="G365" s="98"/>
      <c r="H365" s="98"/>
      <c r="I365" s="98"/>
      <c r="J365" s="98"/>
      <c r="K365" s="362"/>
      <c r="L365" s="98"/>
      <c r="M365" s="98"/>
      <c r="N365" s="98"/>
      <c r="O365" s="363"/>
      <c r="P365" s="98"/>
      <c r="Q365" s="98"/>
      <c r="R365" s="100"/>
      <c r="S365" s="363"/>
      <c r="T365" s="100"/>
      <c r="U365" s="98"/>
      <c r="V365" s="100"/>
      <c r="W365" s="98"/>
      <c r="X365" s="363"/>
      <c r="Y365" s="100"/>
      <c r="Z365" s="363"/>
      <c r="AA365" s="98"/>
      <c r="AB365" s="363"/>
      <c r="AC365" s="100"/>
      <c r="AD365" s="363"/>
      <c r="AE365" s="100"/>
      <c r="AF365" s="364"/>
      <c r="AG365" s="98"/>
      <c r="AH365" s="98"/>
      <c r="AI365" s="98"/>
      <c r="AJ365" s="98"/>
      <c r="AK365" s="98"/>
      <c r="AL365" s="364"/>
      <c r="AM365" s="364"/>
    </row>
    <row r="366">
      <c r="A366" s="98"/>
      <c r="B366" s="98"/>
      <c r="C366" s="98"/>
      <c r="D366" s="98"/>
      <c r="E366" s="98"/>
      <c r="F366" s="98"/>
      <c r="G366" s="98"/>
      <c r="H366" s="98"/>
      <c r="I366" s="98"/>
      <c r="J366" s="98"/>
      <c r="K366" s="362"/>
      <c r="L366" s="98"/>
      <c r="M366" s="98"/>
      <c r="N366" s="98"/>
      <c r="O366" s="363"/>
      <c r="P366" s="98"/>
      <c r="Q366" s="98"/>
      <c r="R366" s="100"/>
      <c r="S366" s="363"/>
      <c r="T366" s="100"/>
      <c r="U366" s="98"/>
      <c r="V366" s="100"/>
      <c r="W366" s="98"/>
      <c r="X366" s="363"/>
      <c r="Y366" s="100"/>
      <c r="Z366" s="363"/>
      <c r="AA366" s="98"/>
      <c r="AB366" s="363"/>
      <c r="AC366" s="100"/>
      <c r="AD366" s="363"/>
      <c r="AE366" s="100"/>
      <c r="AF366" s="364"/>
      <c r="AG366" s="98"/>
      <c r="AH366" s="98"/>
      <c r="AI366" s="98"/>
      <c r="AJ366" s="98"/>
      <c r="AK366" s="98"/>
      <c r="AL366" s="364"/>
      <c r="AM366" s="364"/>
    </row>
    <row r="367">
      <c r="A367" s="98"/>
      <c r="B367" s="98"/>
      <c r="C367" s="98"/>
      <c r="D367" s="98"/>
      <c r="E367" s="98"/>
      <c r="F367" s="98"/>
      <c r="G367" s="98"/>
      <c r="H367" s="98"/>
      <c r="I367" s="98"/>
      <c r="J367" s="98"/>
      <c r="K367" s="362"/>
      <c r="L367" s="98"/>
      <c r="M367" s="98"/>
      <c r="N367" s="98"/>
      <c r="O367" s="363"/>
      <c r="P367" s="98"/>
      <c r="Q367" s="98"/>
      <c r="R367" s="100"/>
      <c r="S367" s="363"/>
      <c r="T367" s="100"/>
      <c r="U367" s="98"/>
      <c r="V367" s="100"/>
      <c r="W367" s="98"/>
      <c r="X367" s="363"/>
      <c r="Y367" s="100"/>
      <c r="Z367" s="363"/>
      <c r="AA367" s="98"/>
      <c r="AB367" s="363"/>
      <c r="AC367" s="100"/>
      <c r="AD367" s="363"/>
      <c r="AE367" s="100"/>
      <c r="AF367" s="364"/>
      <c r="AG367" s="98"/>
      <c r="AH367" s="98"/>
      <c r="AI367" s="98"/>
      <c r="AJ367" s="98"/>
      <c r="AK367" s="98"/>
      <c r="AL367" s="364"/>
      <c r="AM367" s="364"/>
    </row>
    <row r="368">
      <c r="A368" s="98"/>
      <c r="B368" s="98"/>
      <c r="C368" s="98"/>
      <c r="D368" s="98"/>
      <c r="E368" s="98"/>
      <c r="F368" s="98"/>
      <c r="G368" s="98"/>
      <c r="H368" s="98"/>
      <c r="I368" s="98"/>
      <c r="J368" s="98"/>
      <c r="K368" s="362"/>
      <c r="L368" s="98"/>
      <c r="M368" s="98"/>
      <c r="N368" s="98"/>
      <c r="O368" s="363"/>
      <c r="P368" s="98"/>
      <c r="Q368" s="98"/>
      <c r="R368" s="100"/>
      <c r="S368" s="363"/>
      <c r="T368" s="100"/>
      <c r="U368" s="98"/>
      <c r="V368" s="100"/>
      <c r="W368" s="98"/>
      <c r="X368" s="363"/>
      <c r="Y368" s="100"/>
      <c r="Z368" s="363"/>
      <c r="AA368" s="98"/>
      <c r="AB368" s="363"/>
      <c r="AC368" s="100"/>
      <c r="AD368" s="363"/>
      <c r="AE368" s="100"/>
      <c r="AF368" s="364"/>
      <c r="AG368" s="98"/>
      <c r="AH368" s="98"/>
      <c r="AI368" s="98"/>
      <c r="AJ368" s="98"/>
      <c r="AK368" s="98"/>
      <c r="AL368" s="364"/>
      <c r="AM368" s="364"/>
    </row>
    <row r="369">
      <c r="A369" s="98"/>
      <c r="B369" s="98"/>
      <c r="C369" s="98"/>
      <c r="D369" s="98"/>
      <c r="E369" s="98"/>
      <c r="F369" s="98"/>
      <c r="G369" s="98"/>
      <c r="H369" s="98"/>
      <c r="I369" s="98"/>
      <c r="J369" s="98"/>
      <c r="K369" s="362"/>
      <c r="L369" s="98"/>
      <c r="M369" s="98"/>
      <c r="N369" s="98"/>
      <c r="O369" s="363"/>
      <c r="P369" s="98"/>
      <c r="Q369" s="98"/>
      <c r="R369" s="100"/>
      <c r="S369" s="363"/>
      <c r="T369" s="100"/>
      <c r="U369" s="98"/>
      <c r="V369" s="100"/>
      <c r="W369" s="98"/>
      <c r="X369" s="363"/>
      <c r="Y369" s="100"/>
      <c r="Z369" s="363"/>
      <c r="AA369" s="98"/>
      <c r="AB369" s="363"/>
      <c r="AC369" s="100"/>
      <c r="AD369" s="363"/>
      <c r="AE369" s="100"/>
      <c r="AF369" s="364"/>
      <c r="AG369" s="98"/>
      <c r="AH369" s="98"/>
      <c r="AI369" s="98"/>
      <c r="AJ369" s="98"/>
      <c r="AK369" s="98"/>
      <c r="AL369" s="364"/>
      <c r="AM369" s="364"/>
    </row>
    <row r="370">
      <c r="A370" s="98"/>
      <c r="B370" s="98"/>
      <c r="C370" s="98"/>
      <c r="D370" s="98"/>
      <c r="E370" s="98"/>
      <c r="F370" s="98"/>
      <c r="G370" s="98"/>
      <c r="H370" s="98"/>
      <c r="I370" s="98"/>
      <c r="J370" s="98"/>
      <c r="K370" s="362"/>
      <c r="L370" s="98"/>
      <c r="M370" s="98"/>
      <c r="N370" s="98"/>
      <c r="O370" s="363"/>
      <c r="P370" s="98"/>
      <c r="Q370" s="98"/>
      <c r="R370" s="100"/>
      <c r="S370" s="363"/>
      <c r="T370" s="100"/>
      <c r="U370" s="98"/>
      <c r="V370" s="100"/>
      <c r="W370" s="98"/>
      <c r="X370" s="363"/>
      <c r="Y370" s="100"/>
      <c r="Z370" s="363"/>
      <c r="AA370" s="98"/>
      <c r="AB370" s="363"/>
      <c r="AC370" s="100"/>
      <c r="AD370" s="363"/>
      <c r="AE370" s="100"/>
      <c r="AF370" s="364"/>
      <c r="AG370" s="98"/>
      <c r="AH370" s="98"/>
      <c r="AI370" s="98"/>
      <c r="AJ370" s="98"/>
      <c r="AK370" s="98"/>
      <c r="AL370" s="364"/>
      <c r="AM370" s="364"/>
    </row>
    <row r="371">
      <c r="A371" s="98"/>
      <c r="B371" s="98"/>
      <c r="C371" s="98"/>
      <c r="D371" s="98"/>
      <c r="E371" s="98"/>
      <c r="F371" s="98"/>
      <c r="G371" s="98"/>
      <c r="H371" s="98"/>
      <c r="I371" s="98"/>
      <c r="J371" s="98"/>
      <c r="K371" s="362"/>
      <c r="L371" s="98"/>
      <c r="M371" s="98"/>
      <c r="N371" s="98"/>
      <c r="O371" s="363"/>
      <c r="P371" s="98"/>
      <c r="Q371" s="98"/>
      <c r="R371" s="100"/>
      <c r="S371" s="363"/>
      <c r="T371" s="100"/>
      <c r="U371" s="98"/>
      <c r="V371" s="100"/>
      <c r="W371" s="98"/>
      <c r="X371" s="363"/>
      <c r="Y371" s="100"/>
      <c r="Z371" s="363"/>
      <c r="AA371" s="98"/>
      <c r="AB371" s="363"/>
      <c r="AC371" s="100"/>
      <c r="AD371" s="363"/>
      <c r="AE371" s="100"/>
      <c r="AF371" s="364"/>
      <c r="AG371" s="98"/>
      <c r="AH371" s="98"/>
      <c r="AI371" s="98"/>
      <c r="AJ371" s="98"/>
      <c r="AK371" s="98"/>
      <c r="AL371" s="364"/>
      <c r="AM371" s="364"/>
    </row>
    <row r="372">
      <c r="A372" s="98"/>
      <c r="B372" s="98"/>
      <c r="C372" s="98"/>
      <c r="D372" s="98"/>
      <c r="E372" s="98"/>
      <c r="F372" s="98"/>
      <c r="G372" s="98"/>
      <c r="H372" s="98"/>
      <c r="I372" s="98"/>
      <c r="J372" s="98"/>
      <c r="K372" s="362"/>
      <c r="L372" s="98"/>
      <c r="M372" s="98"/>
      <c r="N372" s="98"/>
      <c r="O372" s="363"/>
      <c r="P372" s="98"/>
      <c r="Q372" s="98"/>
      <c r="R372" s="100"/>
      <c r="S372" s="363"/>
      <c r="T372" s="100"/>
      <c r="U372" s="98"/>
      <c r="V372" s="100"/>
      <c r="W372" s="98"/>
      <c r="X372" s="363"/>
      <c r="Y372" s="100"/>
      <c r="Z372" s="363"/>
      <c r="AA372" s="98"/>
      <c r="AB372" s="363"/>
      <c r="AC372" s="100"/>
      <c r="AD372" s="363"/>
      <c r="AE372" s="100"/>
      <c r="AF372" s="364"/>
      <c r="AG372" s="98"/>
      <c r="AH372" s="98"/>
      <c r="AI372" s="98"/>
      <c r="AJ372" s="98"/>
      <c r="AK372" s="98"/>
      <c r="AL372" s="364"/>
      <c r="AM372" s="364"/>
    </row>
    <row r="373">
      <c r="A373" s="98"/>
      <c r="B373" s="98"/>
      <c r="C373" s="98"/>
      <c r="D373" s="98"/>
      <c r="E373" s="98"/>
      <c r="F373" s="98"/>
      <c r="G373" s="98"/>
      <c r="H373" s="98"/>
      <c r="I373" s="98"/>
      <c r="J373" s="98"/>
      <c r="K373" s="362"/>
      <c r="L373" s="98"/>
      <c r="M373" s="98"/>
      <c r="N373" s="98"/>
      <c r="O373" s="363"/>
      <c r="P373" s="98"/>
      <c r="Q373" s="98"/>
      <c r="R373" s="100"/>
      <c r="S373" s="363"/>
      <c r="T373" s="100"/>
      <c r="U373" s="98"/>
      <c r="V373" s="100"/>
      <c r="W373" s="98"/>
      <c r="X373" s="363"/>
      <c r="Y373" s="100"/>
      <c r="Z373" s="363"/>
      <c r="AA373" s="98"/>
      <c r="AB373" s="363"/>
      <c r="AC373" s="100"/>
      <c r="AD373" s="363"/>
      <c r="AE373" s="100"/>
      <c r="AF373" s="364"/>
      <c r="AG373" s="98"/>
      <c r="AH373" s="98"/>
      <c r="AI373" s="98"/>
      <c r="AJ373" s="98"/>
      <c r="AK373" s="98"/>
      <c r="AL373" s="364"/>
      <c r="AM373" s="364"/>
    </row>
    <row r="374">
      <c r="A374" s="98"/>
      <c r="B374" s="98"/>
      <c r="C374" s="98"/>
      <c r="D374" s="98"/>
      <c r="E374" s="98"/>
      <c r="F374" s="98"/>
      <c r="G374" s="98"/>
      <c r="H374" s="98"/>
      <c r="I374" s="98"/>
      <c r="J374" s="98"/>
      <c r="K374" s="362"/>
      <c r="L374" s="98"/>
      <c r="M374" s="98"/>
      <c r="N374" s="98"/>
      <c r="O374" s="363"/>
      <c r="P374" s="98"/>
      <c r="Q374" s="98"/>
      <c r="R374" s="100"/>
      <c r="S374" s="363"/>
      <c r="T374" s="100"/>
      <c r="U374" s="98"/>
      <c r="V374" s="100"/>
      <c r="W374" s="98"/>
      <c r="X374" s="363"/>
      <c r="Y374" s="100"/>
      <c r="Z374" s="363"/>
      <c r="AA374" s="98"/>
      <c r="AB374" s="363"/>
      <c r="AC374" s="100"/>
      <c r="AD374" s="363"/>
      <c r="AE374" s="100"/>
      <c r="AF374" s="364"/>
      <c r="AG374" s="98"/>
      <c r="AH374" s="98"/>
      <c r="AI374" s="98"/>
      <c r="AJ374" s="98"/>
      <c r="AK374" s="98"/>
      <c r="AL374" s="364"/>
      <c r="AM374" s="364"/>
    </row>
    <row r="375">
      <c r="A375" s="98"/>
      <c r="B375" s="98"/>
      <c r="C375" s="98"/>
      <c r="D375" s="98"/>
      <c r="E375" s="98"/>
      <c r="F375" s="98"/>
      <c r="G375" s="98"/>
      <c r="H375" s="98"/>
      <c r="I375" s="98"/>
      <c r="J375" s="98"/>
      <c r="K375" s="362"/>
      <c r="L375" s="98"/>
      <c r="M375" s="98"/>
      <c r="N375" s="98"/>
      <c r="O375" s="363"/>
      <c r="P375" s="98"/>
      <c r="Q375" s="98"/>
      <c r="R375" s="100"/>
      <c r="S375" s="363"/>
      <c r="T375" s="100"/>
      <c r="U375" s="98"/>
      <c r="V375" s="100"/>
      <c r="W375" s="98"/>
      <c r="X375" s="363"/>
      <c r="Y375" s="100"/>
      <c r="Z375" s="363"/>
      <c r="AA375" s="98"/>
      <c r="AB375" s="363"/>
      <c r="AC375" s="100"/>
      <c r="AD375" s="363"/>
      <c r="AE375" s="100"/>
      <c r="AF375" s="364"/>
      <c r="AG375" s="98"/>
      <c r="AH375" s="98"/>
      <c r="AI375" s="98"/>
      <c r="AJ375" s="98"/>
      <c r="AK375" s="98"/>
      <c r="AL375" s="364"/>
      <c r="AM375" s="364"/>
    </row>
    <row r="376">
      <c r="A376" s="98"/>
      <c r="B376" s="98"/>
      <c r="C376" s="98"/>
      <c r="D376" s="98"/>
      <c r="E376" s="98"/>
      <c r="F376" s="98"/>
      <c r="G376" s="98"/>
      <c r="H376" s="98"/>
      <c r="I376" s="98"/>
      <c r="J376" s="98"/>
      <c r="K376" s="362"/>
      <c r="L376" s="98"/>
      <c r="M376" s="98"/>
      <c r="N376" s="98"/>
      <c r="O376" s="363"/>
      <c r="P376" s="98"/>
      <c r="Q376" s="98"/>
      <c r="R376" s="100"/>
      <c r="S376" s="363"/>
      <c r="T376" s="100"/>
      <c r="U376" s="98"/>
      <c r="V376" s="100"/>
      <c r="W376" s="98"/>
      <c r="X376" s="363"/>
      <c r="Y376" s="100"/>
      <c r="Z376" s="363"/>
      <c r="AA376" s="98"/>
      <c r="AB376" s="363"/>
      <c r="AC376" s="100"/>
      <c r="AD376" s="363"/>
      <c r="AE376" s="100"/>
      <c r="AF376" s="364"/>
      <c r="AG376" s="98"/>
      <c r="AH376" s="98"/>
      <c r="AI376" s="98"/>
      <c r="AJ376" s="98"/>
      <c r="AK376" s="98"/>
      <c r="AL376" s="364"/>
      <c r="AM376" s="364"/>
    </row>
    <row r="377">
      <c r="A377" s="98"/>
      <c r="B377" s="98"/>
      <c r="C377" s="98"/>
      <c r="D377" s="98"/>
      <c r="E377" s="98"/>
      <c r="F377" s="98"/>
      <c r="G377" s="98"/>
      <c r="H377" s="98"/>
      <c r="I377" s="98"/>
      <c r="J377" s="98"/>
      <c r="K377" s="362"/>
      <c r="L377" s="98"/>
      <c r="M377" s="98"/>
      <c r="N377" s="98"/>
      <c r="O377" s="363"/>
      <c r="P377" s="98"/>
      <c r="Q377" s="98"/>
      <c r="R377" s="100"/>
      <c r="S377" s="363"/>
      <c r="T377" s="100"/>
      <c r="U377" s="98"/>
      <c r="V377" s="100"/>
      <c r="W377" s="98"/>
      <c r="X377" s="363"/>
      <c r="Y377" s="100"/>
      <c r="Z377" s="363"/>
      <c r="AA377" s="98"/>
      <c r="AB377" s="363"/>
      <c r="AC377" s="100"/>
      <c r="AD377" s="363"/>
      <c r="AE377" s="100"/>
      <c r="AF377" s="364"/>
      <c r="AG377" s="98"/>
      <c r="AH377" s="98"/>
      <c r="AI377" s="98"/>
      <c r="AJ377" s="98"/>
      <c r="AK377" s="98"/>
      <c r="AL377" s="364"/>
      <c r="AM377" s="364"/>
    </row>
    <row r="378">
      <c r="A378" s="98"/>
      <c r="B378" s="98"/>
      <c r="C378" s="98"/>
      <c r="D378" s="98"/>
      <c r="E378" s="98"/>
      <c r="F378" s="98"/>
      <c r="G378" s="98"/>
      <c r="H378" s="98"/>
      <c r="I378" s="98"/>
      <c r="J378" s="98"/>
      <c r="K378" s="362"/>
      <c r="L378" s="98"/>
      <c r="M378" s="98"/>
      <c r="N378" s="98"/>
      <c r="O378" s="363"/>
      <c r="P378" s="98"/>
      <c r="Q378" s="98"/>
      <c r="R378" s="100"/>
      <c r="S378" s="363"/>
      <c r="T378" s="100"/>
      <c r="U378" s="98"/>
      <c r="V378" s="100"/>
      <c r="W378" s="98"/>
      <c r="X378" s="363"/>
      <c r="Y378" s="100"/>
      <c r="Z378" s="363"/>
      <c r="AA378" s="98"/>
      <c r="AB378" s="363"/>
      <c r="AC378" s="100"/>
      <c r="AD378" s="363"/>
      <c r="AE378" s="100"/>
      <c r="AF378" s="364"/>
      <c r="AG378" s="98"/>
      <c r="AH378" s="98"/>
      <c r="AI378" s="98"/>
      <c r="AJ378" s="98"/>
      <c r="AK378" s="98"/>
      <c r="AL378" s="364"/>
      <c r="AM378" s="364"/>
    </row>
    <row r="379">
      <c r="A379" s="98"/>
      <c r="B379" s="98"/>
      <c r="C379" s="98"/>
      <c r="D379" s="98"/>
      <c r="E379" s="98"/>
      <c r="F379" s="98"/>
      <c r="G379" s="98"/>
      <c r="H379" s="98"/>
      <c r="I379" s="98"/>
      <c r="J379" s="98"/>
      <c r="K379" s="362"/>
      <c r="L379" s="98"/>
      <c r="M379" s="98"/>
      <c r="N379" s="98"/>
      <c r="O379" s="363"/>
      <c r="P379" s="98"/>
      <c r="Q379" s="98"/>
      <c r="R379" s="100"/>
      <c r="S379" s="363"/>
      <c r="T379" s="100"/>
      <c r="U379" s="98"/>
      <c r="V379" s="100"/>
      <c r="W379" s="98"/>
      <c r="X379" s="363"/>
      <c r="Y379" s="100"/>
      <c r="Z379" s="363"/>
      <c r="AA379" s="98"/>
      <c r="AB379" s="363"/>
      <c r="AC379" s="100"/>
      <c r="AD379" s="363"/>
      <c r="AE379" s="100"/>
      <c r="AF379" s="364"/>
      <c r="AG379" s="98"/>
      <c r="AH379" s="98"/>
      <c r="AI379" s="98"/>
      <c r="AJ379" s="98"/>
      <c r="AK379" s="98"/>
      <c r="AL379" s="364"/>
      <c r="AM379" s="364"/>
    </row>
    <row r="380">
      <c r="A380" s="98"/>
      <c r="B380" s="98"/>
      <c r="C380" s="98"/>
      <c r="D380" s="98"/>
      <c r="E380" s="98"/>
      <c r="F380" s="98"/>
      <c r="G380" s="98"/>
      <c r="H380" s="98"/>
      <c r="I380" s="98"/>
      <c r="J380" s="98"/>
      <c r="K380" s="362"/>
      <c r="L380" s="98"/>
      <c r="M380" s="98"/>
      <c r="N380" s="98"/>
      <c r="O380" s="363"/>
      <c r="P380" s="98"/>
      <c r="Q380" s="98"/>
      <c r="R380" s="100"/>
      <c r="S380" s="363"/>
      <c r="T380" s="100"/>
      <c r="U380" s="98"/>
      <c r="V380" s="100"/>
      <c r="W380" s="98"/>
      <c r="X380" s="363"/>
      <c r="Y380" s="100"/>
      <c r="Z380" s="363"/>
      <c r="AA380" s="98"/>
      <c r="AB380" s="363"/>
      <c r="AC380" s="100"/>
      <c r="AD380" s="363"/>
      <c r="AE380" s="100"/>
      <c r="AF380" s="364"/>
      <c r="AG380" s="98"/>
      <c r="AH380" s="98"/>
      <c r="AI380" s="98"/>
      <c r="AJ380" s="98"/>
      <c r="AK380" s="98"/>
      <c r="AL380" s="364"/>
      <c r="AM380" s="364"/>
    </row>
    <row r="381">
      <c r="A381" s="98"/>
      <c r="B381" s="98"/>
      <c r="C381" s="98"/>
      <c r="D381" s="98"/>
      <c r="E381" s="98"/>
      <c r="F381" s="98"/>
      <c r="G381" s="98"/>
      <c r="H381" s="98"/>
      <c r="I381" s="98"/>
      <c r="J381" s="98"/>
      <c r="K381" s="362"/>
      <c r="L381" s="98"/>
      <c r="M381" s="98"/>
      <c r="N381" s="98"/>
      <c r="O381" s="363"/>
      <c r="P381" s="98"/>
      <c r="Q381" s="98"/>
      <c r="R381" s="100"/>
      <c r="S381" s="363"/>
      <c r="T381" s="100"/>
      <c r="U381" s="98"/>
      <c r="V381" s="100"/>
      <c r="W381" s="98"/>
      <c r="X381" s="363"/>
      <c r="Y381" s="100"/>
      <c r="Z381" s="363"/>
      <c r="AA381" s="98"/>
      <c r="AB381" s="363"/>
      <c r="AC381" s="100"/>
      <c r="AD381" s="363"/>
      <c r="AE381" s="100"/>
      <c r="AF381" s="364"/>
      <c r="AG381" s="98"/>
      <c r="AH381" s="98"/>
      <c r="AI381" s="98"/>
      <c r="AJ381" s="98"/>
      <c r="AK381" s="98"/>
      <c r="AL381" s="364"/>
      <c r="AM381" s="364"/>
    </row>
    <row r="382">
      <c r="A382" s="98"/>
      <c r="B382" s="98"/>
      <c r="C382" s="98"/>
      <c r="D382" s="98"/>
      <c r="E382" s="98"/>
      <c r="F382" s="98"/>
      <c r="G382" s="98"/>
      <c r="H382" s="98"/>
      <c r="I382" s="98"/>
      <c r="J382" s="98"/>
      <c r="K382" s="362"/>
      <c r="L382" s="98"/>
      <c r="M382" s="98"/>
      <c r="N382" s="98"/>
      <c r="O382" s="363"/>
      <c r="P382" s="98"/>
      <c r="Q382" s="98"/>
      <c r="R382" s="100"/>
      <c r="S382" s="363"/>
      <c r="T382" s="100"/>
      <c r="U382" s="98"/>
      <c r="V382" s="100"/>
      <c r="W382" s="98"/>
      <c r="X382" s="363"/>
      <c r="Y382" s="100"/>
      <c r="Z382" s="363"/>
      <c r="AA382" s="98"/>
      <c r="AB382" s="363"/>
      <c r="AC382" s="100"/>
      <c r="AD382" s="363"/>
      <c r="AE382" s="100"/>
      <c r="AF382" s="364"/>
      <c r="AG382" s="98"/>
      <c r="AH382" s="98"/>
      <c r="AI382" s="98"/>
      <c r="AJ382" s="98"/>
      <c r="AK382" s="98"/>
      <c r="AL382" s="364"/>
      <c r="AM382" s="364"/>
    </row>
    <row r="383">
      <c r="A383" s="98"/>
      <c r="B383" s="98"/>
      <c r="C383" s="98"/>
      <c r="D383" s="98"/>
      <c r="E383" s="98"/>
      <c r="F383" s="98"/>
      <c r="G383" s="98"/>
      <c r="H383" s="98"/>
      <c r="I383" s="98"/>
      <c r="J383" s="98"/>
      <c r="K383" s="362"/>
      <c r="L383" s="98"/>
      <c r="M383" s="98"/>
      <c r="N383" s="98"/>
      <c r="O383" s="363"/>
      <c r="P383" s="98"/>
      <c r="Q383" s="98"/>
      <c r="R383" s="100"/>
      <c r="S383" s="363"/>
      <c r="T383" s="100"/>
      <c r="U383" s="98"/>
      <c r="V383" s="100"/>
      <c r="W383" s="98"/>
      <c r="X383" s="363"/>
      <c r="Y383" s="100"/>
      <c r="Z383" s="363"/>
      <c r="AA383" s="98"/>
      <c r="AB383" s="363"/>
      <c r="AC383" s="100"/>
      <c r="AD383" s="363"/>
      <c r="AE383" s="100"/>
      <c r="AF383" s="364"/>
      <c r="AG383" s="98"/>
      <c r="AH383" s="98"/>
      <c r="AI383" s="98"/>
      <c r="AJ383" s="98"/>
      <c r="AK383" s="98"/>
      <c r="AL383" s="364"/>
      <c r="AM383" s="364"/>
    </row>
    <row r="384">
      <c r="A384" s="98"/>
      <c r="B384" s="98"/>
      <c r="C384" s="98"/>
      <c r="D384" s="98"/>
      <c r="E384" s="98"/>
      <c r="F384" s="98"/>
      <c r="G384" s="98"/>
      <c r="H384" s="98"/>
      <c r="I384" s="98"/>
      <c r="J384" s="98"/>
      <c r="K384" s="362"/>
      <c r="L384" s="98"/>
      <c r="M384" s="98"/>
      <c r="N384" s="98"/>
      <c r="O384" s="363"/>
      <c r="P384" s="98"/>
      <c r="Q384" s="98"/>
      <c r="R384" s="100"/>
      <c r="S384" s="363"/>
      <c r="T384" s="100"/>
      <c r="U384" s="98"/>
      <c r="V384" s="100"/>
      <c r="W384" s="98"/>
      <c r="X384" s="363"/>
      <c r="Y384" s="100"/>
      <c r="Z384" s="363"/>
      <c r="AA384" s="98"/>
      <c r="AB384" s="363"/>
      <c r="AC384" s="100"/>
      <c r="AD384" s="363"/>
      <c r="AE384" s="100"/>
      <c r="AF384" s="364"/>
      <c r="AG384" s="98"/>
      <c r="AH384" s="98"/>
      <c r="AI384" s="98"/>
      <c r="AJ384" s="98"/>
      <c r="AK384" s="98"/>
      <c r="AL384" s="364"/>
      <c r="AM384" s="364"/>
    </row>
    <row r="385">
      <c r="A385" s="98"/>
      <c r="B385" s="98"/>
      <c r="C385" s="98"/>
      <c r="D385" s="98"/>
      <c r="E385" s="98"/>
      <c r="F385" s="98"/>
      <c r="G385" s="98"/>
      <c r="H385" s="98"/>
      <c r="I385" s="98"/>
      <c r="J385" s="98"/>
      <c r="K385" s="362"/>
      <c r="L385" s="98"/>
      <c r="M385" s="98"/>
      <c r="N385" s="98"/>
      <c r="O385" s="363"/>
      <c r="P385" s="98"/>
      <c r="Q385" s="98"/>
      <c r="R385" s="100"/>
      <c r="S385" s="363"/>
      <c r="T385" s="100"/>
      <c r="U385" s="98"/>
      <c r="V385" s="100"/>
      <c r="W385" s="98"/>
      <c r="X385" s="363"/>
      <c r="Y385" s="100"/>
      <c r="Z385" s="363"/>
      <c r="AA385" s="98"/>
      <c r="AB385" s="363"/>
      <c r="AC385" s="100"/>
      <c r="AD385" s="363"/>
      <c r="AE385" s="100"/>
      <c r="AF385" s="364"/>
      <c r="AG385" s="98"/>
      <c r="AH385" s="98"/>
      <c r="AI385" s="98"/>
      <c r="AJ385" s="98"/>
      <c r="AK385" s="98"/>
      <c r="AL385" s="364"/>
      <c r="AM385" s="364"/>
    </row>
    <row r="386">
      <c r="A386" s="98"/>
      <c r="B386" s="98"/>
      <c r="C386" s="98"/>
      <c r="D386" s="98"/>
      <c r="E386" s="98"/>
      <c r="F386" s="98"/>
      <c r="G386" s="98"/>
      <c r="H386" s="98"/>
      <c r="I386" s="98"/>
      <c r="J386" s="98"/>
      <c r="K386" s="362"/>
      <c r="L386" s="98"/>
      <c r="M386" s="98"/>
      <c r="N386" s="98"/>
      <c r="O386" s="363"/>
      <c r="P386" s="98"/>
      <c r="Q386" s="98"/>
      <c r="R386" s="100"/>
      <c r="S386" s="363"/>
      <c r="T386" s="100"/>
      <c r="U386" s="98"/>
      <c r="V386" s="100"/>
      <c r="W386" s="98"/>
      <c r="X386" s="363"/>
      <c r="Y386" s="100"/>
      <c r="Z386" s="363"/>
      <c r="AA386" s="98"/>
      <c r="AB386" s="363"/>
      <c r="AC386" s="100"/>
      <c r="AD386" s="363"/>
      <c r="AE386" s="100"/>
      <c r="AF386" s="364"/>
      <c r="AG386" s="98"/>
      <c r="AH386" s="98"/>
      <c r="AI386" s="98"/>
      <c r="AJ386" s="98"/>
      <c r="AK386" s="98"/>
      <c r="AL386" s="364"/>
      <c r="AM386" s="364"/>
    </row>
    <row r="387">
      <c r="A387" s="98"/>
      <c r="B387" s="98"/>
      <c r="C387" s="98"/>
      <c r="D387" s="98"/>
      <c r="E387" s="98"/>
      <c r="F387" s="98"/>
      <c r="G387" s="98"/>
      <c r="H387" s="98"/>
      <c r="I387" s="98"/>
      <c r="J387" s="98"/>
      <c r="K387" s="362"/>
      <c r="L387" s="98"/>
      <c r="M387" s="98"/>
      <c r="N387" s="98"/>
      <c r="O387" s="363"/>
      <c r="P387" s="98"/>
      <c r="Q387" s="98"/>
      <c r="R387" s="100"/>
      <c r="S387" s="363"/>
      <c r="T387" s="100"/>
      <c r="U387" s="98"/>
      <c r="V387" s="100"/>
      <c r="W387" s="98"/>
      <c r="X387" s="363"/>
      <c r="Y387" s="100"/>
      <c r="Z387" s="363"/>
      <c r="AA387" s="98"/>
      <c r="AB387" s="363"/>
      <c r="AC387" s="100"/>
      <c r="AD387" s="363"/>
      <c r="AE387" s="100"/>
      <c r="AF387" s="364"/>
      <c r="AG387" s="98"/>
      <c r="AH387" s="98"/>
      <c r="AI387" s="98"/>
      <c r="AJ387" s="98"/>
      <c r="AK387" s="98"/>
      <c r="AL387" s="364"/>
      <c r="AM387" s="364"/>
    </row>
    <row r="388">
      <c r="A388" s="98"/>
      <c r="B388" s="98"/>
      <c r="C388" s="98"/>
      <c r="D388" s="98"/>
      <c r="E388" s="98"/>
      <c r="F388" s="98"/>
      <c r="G388" s="98"/>
      <c r="H388" s="98"/>
      <c r="I388" s="98"/>
      <c r="J388" s="98"/>
      <c r="K388" s="362"/>
      <c r="L388" s="98"/>
      <c r="M388" s="98"/>
      <c r="N388" s="98"/>
      <c r="O388" s="363"/>
      <c r="P388" s="98"/>
      <c r="Q388" s="98"/>
      <c r="R388" s="100"/>
      <c r="S388" s="363"/>
      <c r="T388" s="100"/>
      <c r="U388" s="98"/>
      <c r="V388" s="100"/>
      <c r="W388" s="98"/>
      <c r="X388" s="363"/>
      <c r="Y388" s="100"/>
      <c r="Z388" s="363"/>
      <c r="AA388" s="98"/>
      <c r="AB388" s="363"/>
      <c r="AC388" s="100"/>
      <c r="AD388" s="363"/>
      <c r="AE388" s="100"/>
      <c r="AF388" s="364"/>
      <c r="AG388" s="98"/>
      <c r="AH388" s="98"/>
      <c r="AI388" s="98"/>
      <c r="AJ388" s="98"/>
      <c r="AK388" s="98"/>
      <c r="AL388" s="364"/>
      <c r="AM388" s="364"/>
    </row>
    <row r="389">
      <c r="A389" s="98"/>
      <c r="B389" s="98"/>
      <c r="C389" s="98"/>
      <c r="D389" s="98"/>
      <c r="E389" s="98"/>
      <c r="F389" s="98"/>
      <c r="G389" s="98"/>
      <c r="H389" s="98"/>
      <c r="I389" s="98"/>
      <c r="J389" s="98"/>
      <c r="K389" s="362"/>
      <c r="L389" s="98"/>
      <c r="M389" s="98"/>
      <c r="N389" s="98"/>
      <c r="O389" s="363"/>
      <c r="P389" s="98"/>
      <c r="Q389" s="98"/>
      <c r="R389" s="100"/>
      <c r="S389" s="363"/>
      <c r="T389" s="100"/>
      <c r="U389" s="98"/>
      <c r="V389" s="100"/>
      <c r="W389" s="98"/>
      <c r="X389" s="363"/>
      <c r="Y389" s="100"/>
      <c r="Z389" s="363"/>
      <c r="AA389" s="98"/>
      <c r="AB389" s="363"/>
      <c r="AC389" s="100"/>
      <c r="AD389" s="363"/>
      <c r="AE389" s="100"/>
      <c r="AF389" s="364"/>
      <c r="AG389" s="98"/>
      <c r="AH389" s="98"/>
      <c r="AI389" s="98"/>
      <c r="AJ389" s="98"/>
      <c r="AK389" s="98"/>
      <c r="AL389" s="364"/>
      <c r="AM389" s="364"/>
    </row>
    <row r="390">
      <c r="A390" s="98"/>
      <c r="B390" s="98"/>
      <c r="C390" s="98"/>
      <c r="D390" s="98"/>
      <c r="E390" s="98"/>
      <c r="F390" s="98"/>
      <c r="G390" s="98"/>
      <c r="H390" s="98"/>
      <c r="I390" s="98"/>
      <c r="J390" s="98"/>
      <c r="K390" s="362"/>
      <c r="L390" s="98"/>
      <c r="M390" s="98"/>
      <c r="N390" s="98"/>
      <c r="O390" s="363"/>
      <c r="P390" s="98"/>
      <c r="Q390" s="98"/>
      <c r="R390" s="100"/>
      <c r="S390" s="363"/>
      <c r="T390" s="100"/>
      <c r="U390" s="98"/>
      <c r="V390" s="100"/>
      <c r="W390" s="98"/>
      <c r="X390" s="363"/>
      <c r="Y390" s="100"/>
      <c r="Z390" s="363"/>
      <c r="AA390" s="98"/>
      <c r="AB390" s="363"/>
      <c r="AC390" s="100"/>
      <c r="AD390" s="363"/>
      <c r="AE390" s="100"/>
      <c r="AF390" s="364"/>
      <c r="AG390" s="98"/>
      <c r="AH390" s="98"/>
      <c r="AI390" s="98"/>
      <c r="AJ390" s="98"/>
      <c r="AK390" s="98"/>
      <c r="AL390" s="364"/>
      <c r="AM390" s="364"/>
    </row>
    <row r="391">
      <c r="A391" s="98"/>
      <c r="B391" s="98"/>
      <c r="C391" s="98"/>
      <c r="D391" s="98"/>
      <c r="E391" s="98"/>
      <c r="F391" s="98"/>
      <c r="G391" s="98"/>
      <c r="H391" s="98"/>
      <c r="I391" s="98"/>
      <c r="J391" s="98"/>
      <c r="K391" s="362"/>
      <c r="L391" s="98"/>
      <c r="M391" s="98"/>
      <c r="N391" s="98"/>
      <c r="O391" s="363"/>
      <c r="P391" s="98"/>
      <c r="Q391" s="98"/>
      <c r="R391" s="100"/>
      <c r="S391" s="363"/>
      <c r="T391" s="100"/>
      <c r="U391" s="98"/>
      <c r="V391" s="100"/>
      <c r="W391" s="98"/>
      <c r="X391" s="363"/>
      <c r="Y391" s="100"/>
      <c r="Z391" s="363"/>
      <c r="AA391" s="98"/>
      <c r="AB391" s="363"/>
      <c r="AC391" s="100"/>
      <c r="AD391" s="363"/>
      <c r="AE391" s="100"/>
      <c r="AF391" s="364"/>
      <c r="AG391" s="98"/>
      <c r="AH391" s="98"/>
      <c r="AI391" s="98"/>
      <c r="AJ391" s="98"/>
      <c r="AK391" s="98"/>
      <c r="AL391" s="364"/>
      <c r="AM391" s="364"/>
    </row>
    <row r="392">
      <c r="A392" s="98"/>
      <c r="B392" s="98"/>
      <c r="C392" s="98"/>
      <c r="D392" s="98"/>
      <c r="E392" s="98"/>
      <c r="F392" s="98"/>
      <c r="G392" s="98"/>
      <c r="H392" s="98"/>
      <c r="I392" s="98"/>
      <c r="J392" s="98"/>
      <c r="K392" s="362"/>
      <c r="L392" s="98"/>
      <c r="M392" s="98"/>
      <c r="N392" s="98"/>
      <c r="O392" s="363"/>
      <c r="P392" s="98"/>
      <c r="Q392" s="98"/>
      <c r="R392" s="100"/>
      <c r="S392" s="363"/>
      <c r="T392" s="100"/>
      <c r="U392" s="98"/>
      <c r="V392" s="100"/>
      <c r="W392" s="98"/>
      <c r="X392" s="363"/>
      <c r="Y392" s="100"/>
      <c r="Z392" s="363"/>
      <c r="AA392" s="98"/>
      <c r="AB392" s="363"/>
      <c r="AC392" s="100"/>
      <c r="AD392" s="363"/>
      <c r="AE392" s="100"/>
      <c r="AF392" s="364"/>
      <c r="AG392" s="98"/>
      <c r="AH392" s="98"/>
      <c r="AI392" s="98"/>
      <c r="AJ392" s="98"/>
      <c r="AK392" s="98"/>
      <c r="AL392" s="364"/>
      <c r="AM392" s="364"/>
    </row>
    <row r="393">
      <c r="A393" s="98"/>
      <c r="B393" s="98"/>
      <c r="C393" s="98"/>
      <c r="D393" s="98"/>
      <c r="E393" s="98"/>
      <c r="F393" s="98"/>
      <c r="G393" s="98"/>
      <c r="H393" s="98"/>
      <c r="I393" s="98"/>
      <c r="J393" s="98"/>
      <c r="K393" s="362"/>
      <c r="L393" s="98"/>
      <c r="M393" s="98"/>
      <c r="N393" s="98"/>
      <c r="O393" s="363"/>
      <c r="P393" s="98"/>
      <c r="Q393" s="98"/>
      <c r="R393" s="100"/>
      <c r="S393" s="363"/>
      <c r="T393" s="100"/>
      <c r="U393" s="98"/>
      <c r="V393" s="100"/>
      <c r="W393" s="98"/>
      <c r="X393" s="363"/>
      <c r="Y393" s="100"/>
      <c r="Z393" s="363"/>
      <c r="AA393" s="98"/>
      <c r="AB393" s="363"/>
      <c r="AC393" s="100"/>
      <c r="AD393" s="363"/>
      <c r="AE393" s="100"/>
      <c r="AF393" s="364"/>
      <c r="AG393" s="98"/>
      <c r="AH393" s="98"/>
      <c r="AI393" s="98"/>
      <c r="AJ393" s="98"/>
      <c r="AK393" s="98"/>
      <c r="AL393" s="364"/>
      <c r="AM393" s="364"/>
    </row>
    <row r="394">
      <c r="A394" s="98"/>
      <c r="B394" s="98"/>
      <c r="C394" s="98"/>
      <c r="D394" s="98"/>
      <c r="E394" s="98"/>
      <c r="F394" s="98"/>
      <c r="G394" s="98"/>
      <c r="H394" s="98"/>
      <c r="I394" s="98"/>
      <c r="J394" s="98"/>
      <c r="K394" s="362"/>
      <c r="L394" s="98"/>
      <c r="M394" s="98"/>
      <c r="N394" s="98"/>
      <c r="O394" s="363"/>
      <c r="P394" s="98"/>
      <c r="Q394" s="98"/>
      <c r="R394" s="100"/>
      <c r="S394" s="363"/>
      <c r="T394" s="100"/>
      <c r="U394" s="98"/>
      <c r="V394" s="100"/>
      <c r="W394" s="98"/>
      <c r="X394" s="363"/>
      <c r="Y394" s="100"/>
      <c r="Z394" s="363"/>
      <c r="AA394" s="98"/>
      <c r="AB394" s="363"/>
      <c r="AC394" s="100"/>
      <c r="AD394" s="363"/>
      <c r="AE394" s="100"/>
      <c r="AF394" s="364"/>
      <c r="AG394" s="98"/>
      <c r="AH394" s="98"/>
      <c r="AI394" s="98"/>
      <c r="AJ394" s="98"/>
      <c r="AK394" s="98"/>
      <c r="AL394" s="364"/>
      <c r="AM394" s="364"/>
    </row>
    <row r="395">
      <c r="A395" s="98"/>
      <c r="B395" s="98"/>
      <c r="C395" s="98"/>
      <c r="D395" s="98"/>
      <c r="E395" s="98"/>
      <c r="F395" s="98"/>
      <c r="G395" s="98"/>
      <c r="H395" s="98"/>
      <c r="I395" s="98"/>
      <c r="J395" s="98"/>
      <c r="K395" s="362"/>
      <c r="L395" s="98"/>
      <c r="M395" s="98"/>
      <c r="N395" s="98"/>
      <c r="O395" s="363"/>
      <c r="P395" s="98"/>
      <c r="Q395" s="98"/>
      <c r="R395" s="100"/>
      <c r="S395" s="363"/>
      <c r="T395" s="100"/>
      <c r="U395" s="98"/>
      <c r="V395" s="100"/>
      <c r="W395" s="98"/>
      <c r="X395" s="363"/>
      <c r="Y395" s="100"/>
      <c r="Z395" s="363"/>
      <c r="AA395" s="98"/>
      <c r="AB395" s="363"/>
      <c r="AC395" s="100"/>
      <c r="AD395" s="363"/>
      <c r="AE395" s="100"/>
      <c r="AF395" s="364"/>
      <c r="AG395" s="98"/>
      <c r="AH395" s="98"/>
      <c r="AI395" s="98"/>
      <c r="AJ395" s="98"/>
      <c r="AK395" s="98"/>
      <c r="AL395" s="364"/>
      <c r="AM395" s="364"/>
    </row>
    <row r="396">
      <c r="A396" s="98"/>
      <c r="B396" s="98"/>
      <c r="C396" s="98"/>
      <c r="D396" s="98"/>
      <c r="E396" s="98"/>
      <c r="F396" s="98"/>
      <c r="G396" s="98"/>
      <c r="H396" s="98"/>
      <c r="I396" s="98"/>
      <c r="J396" s="98"/>
      <c r="K396" s="362"/>
      <c r="L396" s="98"/>
      <c r="M396" s="98"/>
      <c r="N396" s="98"/>
      <c r="O396" s="363"/>
      <c r="P396" s="98"/>
      <c r="Q396" s="98"/>
      <c r="R396" s="100"/>
      <c r="S396" s="363"/>
      <c r="T396" s="100"/>
      <c r="U396" s="98"/>
      <c r="V396" s="100"/>
      <c r="W396" s="98"/>
      <c r="X396" s="363"/>
      <c r="Y396" s="100"/>
      <c r="Z396" s="363"/>
      <c r="AA396" s="98"/>
      <c r="AB396" s="363"/>
      <c r="AC396" s="100"/>
      <c r="AD396" s="363"/>
      <c r="AE396" s="100"/>
      <c r="AF396" s="364"/>
      <c r="AG396" s="98"/>
      <c r="AH396" s="98"/>
      <c r="AI396" s="98"/>
      <c r="AJ396" s="98"/>
      <c r="AK396" s="98"/>
      <c r="AL396" s="364"/>
      <c r="AM396" s="364"/>
    </row>
    <row r="397">
      <c r="A397" s="98"/>
      <c r="B397" s="98"/>
      <c r="C397" s="98"/>
      <c r="D397" s="98"/>
      <c r="E397" s="98"/>
      <c r="F397" s="98"/>
      <c r="G397" s="98"/>
      <c r="H397" s="98"/>
      <c r="I397" s="98"/>
      <c r="J397" s="98"/>
      <c r="K397" s="362"/>
      <c r="L397" s="98"/>
      <c r="M397" s="98"/>
      <c r="N397" s="98"/>
      <c r="O397" s="363"/>
      <c r="P397" s="98"/>
      <c r="Q397" s="98"/>
      <c r="R397" s="100"/>
      <c r="S397" s="363"/>
      <c r="T397" s="100"/>
      <c r="U397" s="98"/>
      <c r="V397" s="100"/>
      <c r="W397" s="98"/>
      <c r="X397" s="363"/>
      <c r="Y397" s="100"/>
      <c r="Z397" s="363"/>
      <c r="AA397" s="98"/>
      <c r="AB397" s="363"/>
      <c r="AC397" s="100"/>
      <c r="AD397" s="363"/>
      <c r="AE397" s="100"/>
      <c r="AF397" s="364"/>
      <c r="AG397" s="98"/>
      <c r="AH397" s="98"/>
      <c r="AI397" s="98"/>
      <c r="AJ397" s="98"/>
      <c r="AK397" s="98"/>
      <c r="AL397" s="364"/>
      <c r="AM397" s="364"/>
    </row>
    <row r="398">
      <c r="A398" s="98"/>
      <c r="B398" s="98"/>
      <c r="C398" s="98"/>
      <c r="D398" s="98"/>
      <c r="E398" s="98"/>
      <c r="F398" s="98"/>
      <c r="G398" s="98"/>
      <c r="H398" s="98"/>
      <c r="I398" s="98"/>
      <c r="J398" s="98"/>
      <c r="K398" s="362"/>
      <c r="L398" s="98"/>
      <c r="M398" s="98"/>
      <c r="N398" s="98"/>
      <c r="O398" s="363"/>
      <c r="P398" s="98"/>
      <c r="Q398" s="98"/>
      <c r="R398" s="100"/>
      <c r="S398" s="363"/>
      <c r="T398" s="100"/>
      <c r="U398" s="98"/>
      <c r="V398" s="100"/>
      <c r="W398" s="98"/>
      <c r="X398" s="363"/>
      <c r="Y398" s="100"/>
      <c r="Z398" s="363"/>
      <c r="AA398" s="98"/>
      <c r="AB398" s="363"/>
      <c r="AC398" s="100"/>
      <c r="AD398" s="363"/>
      <c r="AE398" s="100"/>
      <c r="AF398" s="364"/>
      <c r="AG398" s="98"/>
      <c r="AH398" s="98"/>
      <c r="AI398" s="98"/>
      <c r="AJ398" s="98"/>
      <c r="AK398" s="98"/>
      <c r="AL398" s="364"/>
      <c r="AM398" s="364"/>
    </row>
    <row r="399">
      <c r="A399" s="98"/>
      <c r="B399" s="98"/>
      <c r="C399" s="98"/>
      <c r="D399" s="98"/>
      <c r="E399" s="98"/>
      <c r="F399" s="98"/>
      <c r="G399" s="98"/>
      <c r="H399" s="98"/>
      <c r="I399" s="98"/>
      <c r="J399" s="98"/>
      <c r="K399" s="362"/>
      <c r="L399" s="98"/>
      <c r="M399" s="98"/>
      <c r="N399" s="98"/>
      <c r="O399" s="363"/>
      <c r="P399" s="98"/>
      <c r="Q399" s="98"/>
      <c r="R399" s="100"/>
      <c r="S399" s="363"/>
      <c r="T399" s="100"/>
      <c r="U399" s="98"/>
      <c r="V399" s="100"/>
      <c r="W399" s="98"/>
      <c r="X399" s="363"/>
      <c r="Y399" s="100"/>
      <c r="Z399" s="363"/>
      <c r="AA399" s="98"/>
      <c r="AB399" s="363"/>
      <c r="AC399" s="100"/>
      <c r="AD399" s="363"/>
      <c r="AE399" s="100"/>
      <c r="AF399" s="364"/>
      <c r="AG399" s="98"/>
      <c r="AH399" s="98"/>
      <c r="AI399" s="98"/>
      <c r="AJ399" s="98"/>
      <c r="AK399" s="98"/>
      <c r="AL399" s="364"/>
      <c r="AM399" s="364"/>
    </row>
    <row r="400">
      <c r="A400" s="98"/>
      <c r="B400" s="98"/>
      <c r="C400" s="98"/>
      <c r="D400" s="98"/>
      <c r="E400" s="98"/>
      <c r="F400" s="98"/>
      <c r="G400" s="98"/>
      <c r="H400" s="98"/>
      <c r="I400" s="98"/>
      <c r="J400" s="98"/>
      <c r="K400" s="362"/>
      <c r="L400" s="98"/>
      <c r="M400" s="98"/>
      <c r="N400" s="98"/>
      <c r="O400" s="363"/>
      <c r="P400" s="98"/>
      <c r="Q400" s="98"/>
      <c r="R400" s="100"/>
      <c r="S400" s="363"/>
      <c r="T400" s="100"/>
      <c r="U400" s="98"/>
      <c r="V400" s="100"/>
      <c r="W400" s="98"/>
      <c r="X400" s="363"/>
      <c r="Y400" s="100"/>
      <c r="Z400" s="363"/>
      <c r="AA400" s="98"/>
      <c r="AB400" s="363"/>
      <c r="AC400" s="100"/>
      <c r="AD400" s="363"/>
      <c r="AE400" s="100"/>
      <c r="AF400" s="364"/>
      <c r="AG400" s="98"/>
      <c r="AH400" s="98"/>
      <c r="AI400" s="98"/>
      <c r="AJ400" s="98"/>
      <c r="AK400" s="98"/>
      <c r="AL400" s="364"/>
      <c r="AM400" s="364"/>
    </row>
    <row r="401">
      <c r="A401" s="98"/>
      <c r="B401" s="98"/>
      <c r="C401" s="98"/>
      <c r="D401" s="98"/>
      <c r="E401" s="98"/>
      <c r="F401" s="98"/>
      <c r="G401" s="98"/>
      <c r="H401" s="98"/>
      <c r="I401" s="98"/>
      <c r="J401" s="98"/>
      <c r="K401" s="362"/>
      <c r="L401" s="98"/>
      <c r="M401" s="98"/>
      <c r="N401" s="98"/>
      <c r="O401" s="363"/>
      <c r="P401" s="98"/>
      <c r="Q401" s="98"/>
      <c r="R401" s="100"/>
      <c r="S401" s="363"/>
      <c r="T401" s="100"/>
      <c r="U401" s="98"/>
      <c r="V401" s="100"/>
      <c r="W401" s="98"/>
      <c r="X401" s="363"/>
      <c r="Y401" s="100"/>
      <c r="Z401" s="363"/>
      <c r="AA401" s="98"/>
      <c r="AB401" s="363"/>
      <c r="AC401" s="100"/>
      <c r="AD401" s="363"/>
      <c r="AE401" s="100"/>
      <c r="AF401" s="364"/>
      <c r="AG401" s="98"/>
      <c r="AH401" s="98"/>
      <c r="AI401" s="98"/>
      <c r="AJ401" s="98"/>
      <c r="AK401" s="98"/>
      <c r="AL401" s="364"/>
      <c r="AM401" s="364"/>
    </row>
    <row r="402">
      <c r="A402" s="98"/>
      <c r="B402" s="98"/>
      <c r="C402" s="98"/>
      <c r="D402" s="98"/>
      <c r="E402" s="98"/>
      <c r="F402" s="98"/>
      <c r="G402" s="98"/>
      <c r="H402" s="98"/>
      <c r="I402" s="98"/>
      <c r="J402" s="98"/>
      <c r="K402" s="362"/>
      <c r="L402" s="98"/>
      <c r="M402" s="98"/>
      <c r="N402" s="98"/>
      <c r="O402" s="363"/>
      <c r="P402" s="98"/>
      <c r="Q402" s="98"/>
      <c r="R402" s="100"/>
      <c r="S402" s="363"/>
      <c r="T402" s="100"/>
      <c r="U402" s="98"/>
      <c r="V402" s="100"/>
      <c r="W402" s="98"/>
      <c r="X402" s="363"/>
      <c r="Y402" s="100"/>
      <c r="Z402" s="363"/>
      <c r="AA402" s="98"/>
      <c r="AB402" s="363"/>
      <c r="AC402" s="100"/>
      <c r="AD402" s="363"/>
      <c r="AE402" s="100"/>
      <c r="AF402" s="364"/>
      <c r="AG402" s="98"/>
      <c r="AH402" s="98"/>
      <c r="AI402" s="98"/>
      <c r="AJ402" s="98"/>
      <c r="AK402" s="98"/>
      <c r="AL402" s="364"/>
      <c r="AM402" s="364"/>
    </row>
    <row r="403">
      <c r="A403" s="98"/>
      <c r="B403" s="98"/>
      <c r="C403" s="98"/>
      <c r="D403" s="98"/>
      <c r="E403" s="98"/>
      <c r="F403" s="98"/>
      <c r="G403" s="98"/>
      <c r="H403" s="98"/>
      <c r="I403" s="98"/>
      <c r="J403" s="98"/>
      <c r="K403" s="362"/>
      <c r="L403" s="98"/>
      <c r="M403" s="98"/>
      <c r="N403" s="98"/>
      <c r="O403" s="363"/>
      <c r="P403" s="98"/>
      <c r="Q403" s="98"/>
      <c r="R403" s="100"/>
      <c r="S403" s="363"/>
      <c r="T403" s="100"/>
      <c r="U403" s="98"/>
      <c r="V403" s="100"/>
      <c r="W403" s="98"/>
      <c r="X403" s="363"/>
      <c r="Y403" s="100"/>
      <c r="Z403" s="363"/>
      <c r="AA403" s="98"/>
      <c r="AB403" s="363"/>
      <c r="AC403" s="100"/>
      <c r="AD403" s="363"/>
      <c r="AE403" s="100"/>
      <c r="AF403" s="364"/>
      <c r="AG403" s="98"/>
      <c r="AH403" s="98"/>
      <c r="AI403" s="98"/>
      <c r="AJ403" s="98"/>
      <c r="AK403" s="98"/>
      <c r="AL403" s="364"/>
      <c r="AM403" s="364"/>
    </row>
    <row r="404">
      <c r="A404" s="98"/>
      <c r="B404" s="98"/>
      <c r="C404" s="98"/>
      <c r="D404" s="98"/>
      <c r="E404" s="98"/>
      <c r="F404" s="98"/>
      <c r="G404" s="98"/>
      <c r="H404" s="98"/>
      <c r="I404" s="98"/>
      <c r="J404" s="98"/>
      <c r="K404" s="362"/>
      <c r="L404" s="98"/>
      <c r="M404" s="98"/>
      <c r="N404" s="98"/>
      <c r="O404" s="363"/>
      <c r="P404" s="98"/>
      <c r="Q404" s="98"/>
      <c r="R404" s="100"/>
      <c r="S404" s="363"/>
      <c r="T404" s="100"/>
      <c r="U404" s="98"/>
      <c r="V404" s="100"/>
      <c r="W404" s="98"/>
      <c r="X404" s="363"/>
      <c r="Y404" s="100"/>
      <c r="Z404" s="363"/>
      <c r="AA404" s="98"/>
      <c r="AB404" s="363"/>
      <c r="AC404" s="100"/>
      <c r="AD404" s="363"/>
      <c r="AE404" s="100"/>
      <c r="AF404" s="364"/>
      <c r="AG404" s="98"/>
      <c r="AH404" s="98"/>
      <c r="AI404" s="98"/>
      <c r="AJ404" s="98"/>
      <c r="AK404" s="98"/>
      <c r="AL404" s="364"/>
      <c r="AM404" s="364"/>
    </row>
    <row r="405">
      <c r="A405" s="98"/>
      <c r="B405" s="98"/>
      <c r="C405" s="98"/>
      <c r="D405" s="98"/>
      <c r="E405" s="98"/>
      <c r="F405" s="98"/>
      <c r="G405" s="98"/>
      <c r="H405" s="98"/>
      <c r="I405" s="98"/>
      <c r="J405" s="98"/>
      <c r="K405" s="362"/>
      <c r="L405" s="98"/>
      <c r="M405" s="98"/>
      <c r="N405" s="98"/>
      <c r="O405" s="363"/>
      <c r="P405" s="98"/>
      <c r="Q405" s="98"/>
      <c r="R405" s="100"/>
      <c r="S405" s="363"/>
      <c r="T405" s="100"/>
      <c r="U405" s="98"/>
      <c r="V405" s="100"/>
      <c r="W405" s="98"/>
      <c r="X405" s="363"/>
      <c r="Y405" s="100"/>
      <c r="Z405" s="363"/>
      <c r="AA405" s="98"/>
      <c r="AB405" s="363"/>
      <c r="AC405" s="100"/>
      <c r="AD405" s="363"/>
      <c r="AE405" s="100"/>
      <c r="AF405" s="364"/>
      <c r="AG405" s="98"/>
      <c r="AH405" s="98"/>
      <c r="AI405" s="98"/>
      <c r="AJ405" s="98"/>
      <c r="AK405" s="98"/>
      <c r="AL405" s="364"/>
      <c r="AM405" s="364"/>
    </row>
    <row r="406">
      <c r="A406" s="98"/>
      <c r="B406" s="98"/>
      <c r="C406" s="98"/>
      <c r="D406" s="98"/>
      <c r="E406" s="98"/>
      <c r="F406" s="98"/>
      <c r="G406" s="98"/>
      <c r="H406" s="98"/>
      <c r="I406" s="98"/>
      <c r="J406" s="98"/>
      <c r="K406" s="362"/>
      <c r="L406" s="98"/>
      <c r="M406" s="98"/>
      <c r="N406" s="98"/>
      <c r="O406" s="363"/>
      <c r="P406" s="98"/>
      <c r="Q406" s="98"/>
      <c r="R406" s="100"/>
      <c r="S406" s="363"/>
      <c r="T406" s="100"/>
      <c r="U406" s="98"/>
      <c r="V406" s="100"/>
      <c r="W406" s="98"/>
      <c r="X406" s="363"/>
      <c r="Y406" s="100"/>
      <c r="Z406" s="363"/>
      <c r="AA406" s="98"/>
      <c r="AB406" s="363"/>
      <c r="AC406" s="100"/>
      <c r="AD406" s="363"/>
      <c r="AE406" s="100"/>
      <c r="AF406" s="364"/>
      <c r="AG406" s="98"/>
      <c r="AH406" s="98"/>
      <c r="AI406" s="98"/>
      <c r="AJ406" s="98"/>
      <c r="AK406" s="98"/>
      <c r="AL406" s="364"/>
      <c r="AM406" s="364"/>
    </row>
    <row r="407">
      <c r="A407" s="98"/>
      <c r="B407" s="98"/>
      <c r="C407" s="98"/>
      <c r="D407" s="98"/>
      <c r="E407" s="98"/>
      <c r="F407" s="98"/>
      <c r="G407" s="98"/>
      <c r="H407" s="98"/>
      <c r="I407" s="98"/>
      <c r="J407" s="98"/>
      <c r="K407" s="362"/>
      <c r="L407" s="98"/>
      <c r="M407" s="98"/>
      <c r="N407" s="98"/>
      <c r="O407" s="363"/>
      <c r="P407" s="98"/>
      <c r="Q407" s="98"/>
      <c r="R407" s="100"/>
      <c r="S407" s="363"/>
      <c r="T407" s="100"/>
      <c r="U407" s="98"/>
      <c r="V407" s="100"/>
      <c r="W407" s="98"/>
      <c r="X407" s="363"/>
      <c r="Y407" s="100"/>
      <c r="Z407" s="363"/>
      <c r="AA407" s="98"/>
      <c r="AB407" s="363"/>
      <c r="AC407" s="100"/>
      <c r="AD407" s="363"/>
      <c r="AE407" s="100"/>
      <c r="AF407" s="364"/>
      <c r="AG407" s="98"/>
      <c r="AH407" s="98"/>
      <c r="AI407" s="98"/>
      <c r="AJ407" s="98"/>
      <c r="AK407" s="98"/>
      <c r="AL407" s="364"/>
      <c r="AM407" s="364"/>
    </row>
    <row r="408">
      <c r="A408" s="98"/>
      <c r="B408" s="98"/>
      <c r="C408" s="98"/>
      <c r="D408" s="98"/>
      <c r="E408" s="98"/>
      <c r="F408" s="98"/>
      <c r="G408" s="98"/>
      <c r="H408" s="98"/>
      <c r="I408" s="98"/>
      <c r="J408" s="98"/>
      <c r="K408" s="362"/>
      <c r="L408" s="98"/>
      <c r="M408" s="98"/>
      <c r="N408" s="98"/>
      <c r="O408" s="363"/>
      <c r="P408" s="98"/>
      <c r="Q408" s="98"/>
      <c r="R408" s="100"/>
      <c r="S408" s="363"/>
      <c r="T408" s="100"/>
      <c r="U408" s="98"/>
      <c r="V408" s="100"/>
      <c r="W408" s="98"/>
      <c r="X408" s="363"/>
      <c r="Y408" s="100"/>
      <c r="Z408" s="363"/>
      <c r="AA408" s="98"/>
      <c r="AB408" s="363"/>
      <c r="AC408" s="100"/>
      <c r="AD408" s="363"/>
      <c r="AE408" s="100"/>
      <c r="AF408" s="364"/>
      <c r="AG408" s="98"/>
      <c r="AH408" s="98"/>
      <c r="AI408" s="98"/>
      <c r="AJ408" s="98"/>
      <c r="AK408" s="98"/>
      <c r="AL408" s="364"/>
      <c r="AM408" s="364"/>
    </row>
    <row r="409">
      <c r="A409" s="98"/>
      <c r="B409" s="98"/>
      <c r="C409" s="98"/>
      <c r="D409" s="98"/>
      <c r="E409" s="98"/>
      <c r="F409" s="98"/>
      <c r="G409" s="98"/>
      <c r="H409" s="98"/>
      <c r="I409" s="98"/>
      <c r="J409" s="98"/>
      <c r="K409" s="362"/>
      <c r="L409" s="98"/>
      <c r="M409" s="98"/>
      <c r="N409" s="98"/>
      <c r="O409" s="363"/>
      <c r="P409" s="98"/>
      <c r="Q409" s="98"/>
      <c r="R409" s="100"/>
      <c r="S409" s="363"/>
      <c r="T409" s="100"/>
      <c r="U409" s="98"/>
      <c r="V409" s="100"/>
      <c r="W409" s="98"/>
      <c r="X409" s="363"/>
      <c r="Y409" s="100"/>
      <c r="Z409" s="363"/>
      <c r="AA409" s="98"/>
      <c r="AB409" s="363"/>
      <c r="AC409" s="100"/>
      <c r="AD409" s="363"/>
      <c r="AE409" s="100"/>
      <c r="AF409" s="364"/>
      <c r="AG409" s="98"/>
      <c r="AH409" s="98"/>
      <c r="AI409" s="98"/>
      <c r="AJ409" s="98"/>
      <c r="AK409" s="98"/>
      <c r="AL409" s="364"/>
      <c r="AM409" s="364"/>
    </row>
    <row r="410">
      <c r="A410" s="98"/>
      <c r="B410" s="98"/>
      <c r="C410" s="98"/>
      <c r="D410" s="98"/>
      <c r="E410" s="98"/>
      <c r="F410" s="98"/>
      <c r="G410" s="98"/>
      <c r="H410" s="98"/>
      <c r="I410" s="98"/>
      <c r="J410" s="98"/>
      <c r="K410" s="362"/>
      <c r="L410" s="98"/>
      <c r="M410" s="98"/>
      <c r="N410" s="98"/>
      <c r="O410" s="363"/>
      <c r="P410" s="98"/>
      <c r="Q410" s="98"/>
      <c r="R410" s="100"/>
      <c r="S410" s="363"/>
      <c r="T410" s="100"/>
      <c r="U410" s="98"/>
      <c r="V410" s="100"/>
      <c r="W410" s="98"/>
      <c r="X410" s="363"/>
      <c r="Y410" s="100"/>
      <c r="Z410" s="363"/>
      <c r="AA410" s="98"/>
      <c r="AB410" s="363"/>
      <c r="AC410" s="100"/>
      <c r="AD410" s="363"/>
      <c r="AE410" s="100"/>
      <c r="AF410" s="364"/>
      <c r="AG410" s="98"/>
      <c r="AH410" s="98"/>
      <c r="AI410" s="98"/>
      <c r="AJ410" s="98"/>
      <c r="AK410" s="98"/>
      <c r="AL410" s="364"/>
      <c r="AM410" s="364"/>
    </row>
    <row r="411">
      <c r="A411" s="98"/>
      <c r="B411" s="98"/>
      <c r="C411" s="98"/>
      <c r="D411" s="98"/>
      <c r="E411" s="98"/>
      <c r="F411" s="98"/>
      <c r="G411" s="98"/>
      <c r="H411" s="98"/>
      <c r="I411" s="98"/>
      <c r="J411" s="98"/>
      <c r="K411" s="362"/>
      <c r="L411" s="98"/>
      <c r="M411" s="98"/>
      <c r="N411" s="98"/>
      <c r="O411" s="363"/>
      <c r="P411" s="98"/>
      <c r="Q411" s="98"/>
      <c r="R411" s="100"/>
      <c r="S411" s="363"/>
      <c r="T411" s="100"/>
      <c r="U411" s="98"/>
      <c r="V411" s="100"/>
      <c r="W411" s="98"/>
      <c r="X411" s="363"/>
      <c r="Y411" s="100"/>
      <c r="Z411" s="363"/>
      <c r="AA411" s="98"/>
      <c r="AB411" s="363"/>
      <c r="AC411" s="100"/>
      <c r="AD411" s="363"/>
      <c r="AE411" s="100"/>
      <c r="AF411" s="364"/>
      <c r="AG411" s="98"/>
      <c r="AH411" s="98"/>
      <c r="AI411" s="98"/>
      <c r="AJ411" s="98"/>
      <c r="AK411" s="98"/>
      <c r="AL411" s="364"/>
      <c r="AM411" s="364"/>
    </row>
    <row r="412">
      <c r="A412" s="98"/>
      <c r="B412" s="98"/>
      <c r="C412" s="98"/>
      <c r="D412" s="98"/>
      <c r="E412" s="98"/>
      <c r="F412" s="98"/>
      <c r="G412" s="98"/>
      <c r="H412" s="98"/>
      <c r="I412" s="98"/>
      <c r="J412" s="98"/>
      <c r="K412" s="362"/>
      <c r="L412" s="98"/>
      <c r="M412" s="98"/>
      <c r="N412" s="98"/>
      <c r="O412" s="363"/>
      <c r="P412" s="98"/>
      <c r="Q412" s="98"/>
      <c r="R412" s="100"/>
      <c r="S412" s="363"/>
      <c r="T412" s="100"/>
      <c r="U412" s="98"/>
      <c r="V412" s="100"/>
      <c r="W412" s="98"/>
      <c r="X412" s="363"/>
      <c r="Y412" s="100"/>
      <c r="Z412" s="363"/>
      <c r="AA412" s="98"/>
      <c r="AB412" s="363"/>
      <c r="AC412" s="100"/>
      <c r="AD412" s="363"/>
      <c r="AE412" s="100"/>
      <c r="AF412" s="364"/>
      <c r="AG412" s="98"/>
      <c r="AH412" s="98"/>
      <c r="AI412" s="98"/>
      <c r="AJ412" s="98"/>
      <c r="AK412" s="98"/>
      <c r="AL412" s="364"/>
      <c r="AM412" s="364"/>
    </row>
    <row r="413">
      <c r="A413" s="98"/>
      <c r="B413" s="98"/>
      <c r="C413" s="98"/>
      <c r="D413" s="98"/>
      <c r="E413" s="98"/>
      <c r="F413" s="98"/>
      <c r="G413" s="98"/>
      <c r="H413" s="98"/>
      <c r="I413" s="98"/>
      <c r="J413" s="98"/>
      <c r="K413" s="362"/>
      <c r="L413" s="98"/>
      <c r="M413" s="98"/>
      <c r="N413" s="98"/>
      <c r="O413" s="363"/>
      <c r="P413" s="98"/>
      <c r="Q413" s="98"/>
      <c r="R413" s="100"/>
      <c r="S413" s="363"/>
      <c r="T413" s="100"/>
      <c r="U413" s="98"/>
      <c r="V413" s="100"/>
      <c r="W413" s="98"/>
      <c r="X413" s="363"/>
      <c r="Y413" s="100"/>
      <c r="Z413" s="363"/>
      <c r="AA413" s="98"/>
      <c r="AB413" s="363"/>
      <c r="AC413" s="100"/>
      <c r="AD413" s="363"/>
      <c r="AE413" s="100"/>
      <c r="AF413" s="364"/>
      <c r="AG413" s="98"/>
      <c r="AH413" s="98"/>
      <c r="AI413" s="98"/>
      <c r="AJ413" s="98"/>
      <c r="AK413" s="98"/>
      <c r="AL413" s="364"/>
      <c r="AM413" s="364"/>
    </row>
    <row r="414">
      <c r="A414" s="98"/>
      <c r="B414" s="98"/>
      <c r="C414" s="98"/>
      <c r="D414" s="98"/>
      <c r="E414" s="98"/>
      <c r="F414" s="98"/>
      <c r="G414" s="98"/>
      <c r="H414" s="98"/>
      <c r="I414" s="98"/>
      <c r="J414" s="98"/>
      <c r="K414" s="362"/>
      <c r="L414" s="98"/>
      <c r="M414" s="98"/>
      <c r="N414" s="98"/>
      <c r="O414" s="363"/>
      <c r="P414" s="98"/>
      <c r="Q414" s="98"/>
      <c r="R414" s="100"/>
      <c r="S414" s="363"/>
      <c r="T414" s="100"/>
      <c r="U414" s="98"/>
      <c r="V414" s="100"/>
      <c r="W414" s="98"/>
      <c r="X414" s="363"/>
      <c r="Y414" s="100"/>
      <c r="Z414" s="363"/>
      <c r="AA414" s="98"/>
      <c r="AB414" s="363"/>
      <c r="AC414" s="100"/>
      <c r="AD414" s="363"/>
      <c r="AE414" s="100"/>
      <c r="AF414" s="364"/>
      <c r="AG414" s="98"/>
      <c r="AH414" s="98"/>
      <c r="AI414" s="98"/>
      <c r="AJ414" s="98"/>
      <c r="AK414" s="98"/>
      <c r="AL414" s="364"/>
      <c r="AM414" s="364"/>
    </row>
    <row r="415">
      <c r="A415" s="98"/>
      <c r="B415" s="98"/>
      <c r="C415" s="98"/>
      <c r="D415" s="98"/>
      <c r="E415" s="98"/>
      <c r="F415" s="98"/>
      <c r="G415" s="98"/>
      <c r="H415" s="98"/>
      <c r="I415" s="98"/>
      <c r="J415" s="98"/>
      <c r="K415" s="362"/>
      <c r="L415" s="98"/>
      <c r="M415" s="98"/>
      <c r="N415" s="98"/>
      <c r="O415" s="363"/>
      <c r="P415" s="98"/>
      <c r="Q415" s="98"/>
      <c r="R415" s="100"/>
      <c r="S415" s="363"/>
      <c r="T415" s="100"/>
      <c r="U415" s="98"/>
      <c r="V415" s="100"/>
      <c r="W415" s="98"/>
      <c r="X415" s="363"/>
      <c r="Y415" s="100"/>
      <c r="Z415" s="363"/>
      <c r="AA415" s="98"/>
      <c r="AB415" s="363"/>
      <c r="AC415" s="100"/>
      <c r="AD415" s="363"/>
      <c r="AE415" s="100"/>
      <c r="AF415" s="364"/>
      <c r="AG415" s="98"/>
      <c r="AH415" s="98"/>
      <c r="AI415" s="98"/>
      <c r="AJ415" s="98"/>
      <c r="AK415" s="98"/>
      <c r="AL415" s="364"/>
      <c r="AM415" s="364"/>
    </row>
    <row r="416">
      <c r="A416" s="98"/>
      <c r="B416" s="98"/>
      <c r="C416" s="98"/>
      <c r="D416" s="98"/>
      <c r="E416" s="98"/>
      <c r="F416" s="98"/>
      <c r="G416" s="98"/>
      <c r="H416" s="98"/>
      <c r="I416" s="98"/>
      <c r="J416" s="98"/>
      <c r="K416" s="362"/>
      <c r="L416" s="98"/>
      <c r="M416" s="98"/>
      <c r="N416" s="98"/>
      <c r="O416" s="363"/>
      <c r="P416" s="98"/>
      <c r="Q416" s="98"/>
      <c r="R416" s="100"/>
      <c r="S416" s="363"/>
      <c r="T416" s="100"/>
      <c r="U416" s="98"/>
      <c r="V416" s="100"/>
      <c r="W416" s="98"/>
      <c r="X416" s="363"/>
      <c r="Y416" s="100"/>
      <c r="Z416" s="363"/>
      <c r="AA416" s="98"/>
      <c r="AB416" s="363"/>
      <c r="AC416" s="100"/>
      <c r="AD416" s="363"/>
      <c r="AE416" s="100"/>
      <c r="AF416" s="364"/>
      <c r="AG416" s="98"/>
      <c r="AH416" s="98"/>
      <c r="AI416" s="98"/>
      <c r="AJ416" s="98"/>
      <c r="AK416" s="98"/>
      <c r="AL416" s="364"/>
      <c r="AM416" s="364"/>
    </row>
    <row r="417">
      <c r="A417" s="98"/>
      <c r="B417" s="98"/>
      <c r="C417" s="98"/>
      <c r="D417" s="98"/>
      <c r="E417" s="98"/>
      <c r="F417" s="98"/>
      <c r="G417" s="98"/>
      <c r="H417" s="98"/>
      <c r="I417" s="98"/>
      <c r="J417" s="98"/>
      <c r="K417" s="362"/>
      <c r="L417" s="98"/>
      <c r="M417" s="98"/>
      <c r="N417" s="98"/>
      <c r="O417" s="363"/>
      <c r="P417" s="98"/>
      <c r="Q417" s="98"/>
      <c r="R417" s="100"/>
      <c r="S417" s="363"/>
      <c r="T417" s="100"/>
      <c r="U417" s="98"/>
      <c r="V417" s="100"/>
      <c r="W417" s="98"/>
      <c r="X417" s="363"/>
      <c r="Y417" s="100"/>
      <c r="Z417" s="363"/>
      <c r="AA417" s="98"/>
      <c r="AB417" s="363"/>
      <c r="AC417" s="100"/>
      <c r="AD417" s="363"/>
      <c r="AE417" s="100"/>
      <c r="AF417" s="364"/>
      <c r="AG417" s="98"/>
      <c r="AH417" s="98"/>
      <c r="AI417" s="98"/>
      <c r="AJ417" s="98"/>
      <c r="AK417" s="98"/>
      <c r="AL417" s="364"/>
      <c r="AM417" s="364"/>
    </row>
    <row r="418">
      <c r="A418" s="98"/>
      <c r="B418" s="98"/>
      <c r="C418" s="98"/>
      <c r="D418" s="98"/>
      <c r="E418" s="98"/>
      <c r="F418" s="98"/>
      <c r="G418" s="98"/>
      <c r="H418" s="98"/>
      <c r="I418" s="98"/>
      <c r="J418" s="98"/>
      <c r="K418" s="362"/>
      <c r="L418" s="98"/>
      <c r="M418" s="98"/>
      <c r="N418" s="98"/>
      <c r="O418" s="363"/>
      <c r="P418" s="98"/>
      <c r="Q418" s="98"/>
      <c r="R418" s="100"/>
      <c r="S418" s="363"/>
      <c r="T418" s="100"/>
      <c r="U418" s="98"/>
      <c r="V418" s="100"/>
      <c r="W418" s="98"/>
      <c r="X418" s="363"/>
      <c r="Y418" s="100"/>
      <c r="Z418" s="363"/>
      <c r="AA418" s="98"/>
      <c r="AB418" s="363"/>
      <c r="AC418" s="100"/>
      <c r="AD418" s="363"/>
      <c r="AE418" s="100"/>
      <c r="AF418" s="364"/>
      <c r="AG418" s="98"/>
      <c r="AH418" s="98"/>
      <c r="AI418" s="98"/>
      <c r="AJ418" s="98"/>
      <c r="AK418" s="98"/>
      <c r="AL418" s="364"/>
      <c r="AM418" s="364"/>
    </row>
    <row r="419">
      <c r="A419" s="98"/>
      <c r="B419" s="98"/>
      <c r="C419" s="98"/>
      <c r="D419" s="98"/>
      <c r="E419" s="98"/>
      <c r="F419" s="98"/>
      <c r="G419" s="98"/>
      <c r="H419" s="98"/>
      <c r="I419" s="98"/>
      <c r="J419" s="98"/>
      <c r="K419" s="362"/>
      <c r="L419" s="98"/>
      <c r="M419" s="98"/>
      <c r="N419" s="98"/>
      <c r="O419" s="363"/>
      <c r="P419" s="98"/>
      <c r="Q419" s="98"/>
      <c r="R419" s="100"/>
      <c r="S419" s="363"/>
      <c r="T419" s="100"/>
      <c r="U419" s="98"/>
      <c r="V419" s="100"/>
      <c r="W419" s="98"/>
      <c r="X419" s="363"/>
      <c r="Y419" s="100"/>
      <c r="Z419" s="363"/>
      <c r="AA419" s="98"/>
      <c r="AB419" s="363"/>
      <c r="AC419" s="100"/>
      <c r="AD419" s="363"/>
      <c r="AE419" s="100"/>
      <c r="AF419" s="364"/>
      <c r="AG419" s="98"/>
      <c r="AH419" s="98"/>
      <c r="AI419" s="98"/>
      <c r="AJ419" s="98"/>
      <c r="AK419" s="98"/>
      <c r="AL419" s="364"/>
      <c r="AM419" s="364"/>
    </row>
    <row r="420">
      <c r="A420" s="98"/>
      <c r="B420" s="98"/>
      <c r="C420" s="98"/>
      <c r="D420" s="98"/>
      <c r="E420" s="98"/>
      <c r="F420" s="98"/>
      <c r="G420" s="98"/>
      <c r="H420" s="98"/>
      <c r="I420" s="98"/>
      <c r="J420" s="98"/>
      <c r="K420" s="362"/>
      <c r="L420" s="98"/>
      <c r="M420" s="98"/>
      <c r="N420" s="98"/>
      <c r="O420" s="363"/>
      <c r="P420" s="98"/>
      <c r="Q420" s="98"/>
      <c r="R420" s="100"/>
      <c r="S420" s="363"/>
      <c r="T420" s="100"/>
      <c r="U420" s="98"/>
      <c r="V420" s="100"/>
      <c r="W420" s="98"/>
      <c r="X420" s="363"/>
      <c r="Y420" s="100"/>
      <c r="Z420" s="363"/>
      <c r="AA420" s="98"/>
      <c r="AB420" s="363"/>
      <c r="AC420" s="100"/>
      <c r="AD420" s="363"/>
      <c r="AE420" s="100"/>
      <c r="AF420" s="364"/>
      <c r="AG420" s="98"/>
      <c r="AH420" s="98"/>
      <c r="AI420" s="98"/>
      <c r="AJ420" s="98"/>
      <c r="AK420" s="98"/>
      <c r="AL420" s="364"/>
      <c r="AM420" s="364"/>
    </row>
    <row r="421">
      <c r="A421" s="98"/>
      <c r="B421" s="98"/>
      <c r="C421" s="98"/>
      <c r="D421" s="98"/>
      <c r="E421" s="98"/>
      <c r="F421" s="98"/>
      <c r="G421" s="98"/>
      <c r="H421" s="98"/>
      <c r="I421" s="98"/>
      <c r="J421" s="98"/>
      <c r="K421" s="362"/>
      <c r="L421" s="98"/>
      <c r="M421" s="98"/>
      <c r="N421" s="98"/>
      <c r="O421" s="363"/>
      <c r="P421" s="98"/>
      <c r="Q421" s="98"/>
      <c r="R421" s="100"/>
      <c r="S421" s="363"/>
      <c r="T421" s="100"/>
      <c r="U421" s="98"/>
      <c r="V421" s="100"/>
      <c r="W421" s="98"/>
      <c r="X421" s="363"/>
      <c r="Y421" s="100"/>
      <c r="Z421" s="363"/>
      <c r="AA421" s="98"/>
      <c r="AB421" s="363"/>
      <c r="AC421" s="100"/>
      <c r="AD421" s="363"/>
      <c r="AE421" s="100"/>
      <c r="AF421" s="364"/>
      <c r="AG421" s="98"/>
      <c r="AH421" s="98"/>
      <c r="AI421" s="98"/>
      <c r="AJ421" s="98"/>
      <c r="AK421" s="98"/>
      <c r="AL421" s="364"/>
      <c r="AM421" s="364"/>
    </row>
    <row r="422">
      <c r="A422" s="98"/>
      <c r="B422" s="98"/>
      <c r="C422" s="98"/>
      <c r="D422" s="98"/>
      <c r="E422" s="98"/>
      <c r="F422" s="98"/>
      <c r="G422" s="98"/>
      <c r="H422" s="98"/>
      <c r="I422" s="98"/>
      <c r="J422" s="98"/>
      <c r="K422" s="362"/>
      <c r="L422" s="98"/>
      <c r="M422" s="98"/>
      <c r="N422" s="98"/>
      <c r="O422" s="363"/>
      <c r="P422" s="98"/>
      <c r="Q422" s="98"/>
      <c r="R422" s="100"/>
      <c r="S422" s="363"/>
      <c r="T422" s="100"/>
      <c r="U422" s="98"/>
      <c r="V422" s="100"/>
      <c r="W422" s="98"/>
      <c r="X422" s="363"/>
      <c r="Y422" s="100"/>
      <c r="Z422" s="363"/>
      <c r="AA422" s="98"/>
      <c r="AB422" s="363"/>
      <c r="AC422" s="100"/>
      <c r="AD422" s="363"/>
      <c r="AE422" s="100"/>
      <c r="AF422" s="364"/>
      <c r="AG422" s="98"/>
      <c r="AH422" s="98"/>
      <c r="AI422" s="98"/>
      <c r="AJ422" s="98"/>
      <c r="AK422" s="98"/>
      <c r="AL422" s="364"/>
      <c r="AM422" s="364"/>
    </row>
    <row r="423">
      <c r="A423" s="98"/>
      <c r="B423" s="98"/>
      <c r="C423" s="98"/>
      <c r="D423" s="98"/>
      <c r="E423" s="98"/>
      <c r="F423" s="98"/>
      <c r="G423" s="98"/>
      <c r="H423" s="98"/>
      <c r="I423" s="98"/>
      <c r="J423" s="98"/>
      <c r="K423" s="362"/>
      <c r="L423" s="98"/>
      <c r="M423" s="98"/>
      <c r="N423" s="98"/>
      <c r="O423" s="363"/>
      <c r="P423" s="98"/>
      <c r="Q423" s="98"/>
      <c r="R423" s="100"/>
      <c r="S423" s="363"/>
      <c r="T423" s="100"/>
      <c r="U423" s="98"/>
      <c r="V423" s="100"/>
      <c r="W423" s="98"/>
      <c r="X423" s="363"/>
      <c r="Y423" s="100"/>
      <c r="Z423" s="363"/>
      <c r="AA423" s="98"/>
      <c r="AB423" s="363"/>
      <c r="AC423" s="100"/>
      <c r="AD423" s="363"/>
      <c r="AE423" s="100"/>
      <c r="AF423" s="364"/>
      <c r="AG423" s="98"/>
      <c r="AH423" s="98"/>
      <c r="AI423" s="98"/>
      <c r="AJ423" s="98"/>
      <c r="AK423" s="98"/>
      <c r="AL423" s="364"/>
      <c r="AM423" s="364"/>
    </row>
    <row r="424">
      <c r="A424" s="98"/>
      <c r="B424" s="98"/>
      <c r="C424" s="98"/>
      <c r="D424" s="98"/>
      <c r="E424" s="98"/>
      <c r="F424" s="98"/>
      <c r="G424" s="98"/>
      <c r="H424" s="98"/>
      <c r="I424" s="98"/>
      <c r="J424" s="98"/>
      <c r="K424" s="362"/>
      <c r="L424" s="98"/>
      <c r="M424" s="98"/>
      <c r="N424" s="98"/>
      <c r="O424" s="363"/>
      <c r="P424" s="98"/>
      <c r="Q424" s="98"/>
      <c r="R424" s="100"/>
      <c r="S424" s="363"/>
      <c r="T424" s="100"/>
      <c r="U424" s="98"/>
      <c r="V424" s="100"/>
      <c r="W424" s="98"/>
      <c r="X424" s="363"/>
      <c r="Y424" s="100"/>
      <c r="Z424" s="363"/>
      <c r="AA424" s="98"/>
      <c r="AB424" s="363"/>
      <c r="AC424" s="100"/>
      <c r="AD424" s="363"/>
      <c r="AE424" s="100"/>
      <c r="AF424" s="364"/>
      <c r="AG424" s="98"/>
      <c r="AH424" s="98"/>
      <c r="AI424" s="98"/>
      <c r="AJ424" s="98"/>
      <c r="AK424" s="98"/>
      <c r="AL424" s="364"/>
      <c r="AM424" s="364"/>
    </row>
    <row r="425">
      <c r="A425" s="98"/>
      <c r="B425" s="98"/>
      <c r="C425" s="98"/>
      <c r="D425" s="98"/>
      <c r="E425" s="98"/>
      <c r="F425" s="98"/>
      <c r="G425" s="98"/>
      <c r="H425" s="98"/>
      <c r="I425" s="98"/>
      <c r="J425" s="98"/>
      <c r="K425" s="362"/>
      <c r="L425" s="98"/>
      <c r="M425" s="98"/>
      <c r="N425" s="98"/>
      <c r="O425" s="363"/>
      <c r="P425" s="98"/>
      <c r="Q425" s="98"/>
      <c r="R425" s="100"/>
      <c r="S425" s="363"/>
      <c r="T425" s="100"/>
      <c r="U425" s="98"/>
      <c r="V425" s="100"/>
      <c r="W425" s="98"/>
      <c r="X425" s="363"/>
      <c r="Y425" s="100"/>
      <c r="Z425" s="363"/>
      <c r="AA425" s="98"/>
      <c r="AB425" s="363"/>
      <c r="AC425" s="100"/>
      <c r="AD425" s="363"/>
      <c r="AE425" s="100"/>
      <c r="AF425" s="364"/>
      <c r="AG425" s="98"/>
      <c r="AH425" s="98"/>
      <c r="AI425" s="98"/>
      <c r="AJ425" s="98"/>
      <c r="AK425" s="98"/>
      <c r="AL425" s="364"/>
      <c r="AM425" s="364"/>
    </row>
    <row r="426">
      <c r="A426" s="98"/>
      <c r="B426" s="98"/>
      <c r="C426" s="98"/>
      <c r="D426" s="98"/>
      <c r="E426" s="98"/>
      <c r="F426" s="98"/>
      <c r="G426" s="98"/>
      <c r="H426" s="98"/>
      <c r="I426" s="98"/>
      <c r="J426" s="98"/>
      <c r="K426" s="362"/>
      <c r="L426" s="98"/>
      <c r="M426" s="98"/>
      <c r="N426" s="98"/>
      <c r="O426" s="363"/>
      <c r="P426" s="98"/>
      <c r="Q426" s="98"/>
      <c r="R426" s="100"/>
      <c r="S426" s="363"/>
      <c r="T426" s="100"/>
      <c r="U426" s="98"/>
      <c r="V426" s="100"/>
      <c r="W426" s="98"/>
      <c r="X426" s="363"/>
      <c r="Y426" s="100"/>
      <c r="Z426" s="363"/>
      <c r="AA426" s="98"/>
      <c r="AB426" s="363"/>
      <c r="AC426" s="100"/>
      <c r="AD426" s="363"/>
      <c r="AE426" s="100"/>
      <c r="AF426" s="364"/>
      <c r="AG426" s="98"/>
      <c r="AH426" s="98"/>
      <c r="AI426" s="98"/>
      <c r="AJ426" s="98"/>
      <c r="AK426" s="98"/>
      <c r="AL426" s="364"/>
      <c r="AM426" s="364"/>
    </row>
    <row r="427">
      <c r="A427" s="98"/>
      <c r="B427" s="98"/>
      <c r="C427" s="98"/>
      <c r="D427" s="98"/>
      <c r="E427" s="98"/>
      <c r="F427" s="98"/>
      <c r="G427" s="98"/>
      <c r="H427" s="98"/>
      <c r="I427" s="98"/>
      <c r="J427" s="98"/>
      <c r="K427" s="362"/>
      <c r="L427" s="98"/>
      <c r="M427" s="98"/>
      <c r="N427" s="98"/>
      <c r="O427" s="363"/>
      <c r="P427" s="98"/>
      <c r="Q427" s="98"/>
      <c r="R427" s="100"/>
      <c r="S427" s="363"/>
      <c r="T427" s="100"/>
      <c r="U427" s="98"/>
      <c r="V427" s="100"/>
      <c r="W427" s="98"/>
      <c r="X427" s="363"/>
      <c r="Y427" s="100"/>
      <c r="Z427" s="363"/>
      <c r="AA427" s="98"/>
      <c r="AB427" s="363"/>
      <c r="AC427" s="100"/>
      <c r="AD427" s="363"/>
      <c r="AE427" s="100"/>
      <c r="AF427" s="364"/>
      <c r="AG427" s="98"/>
      <c r="AH427" s="98"/>
      <c r="AI427" s="98"/>
      <c r="AJ427" s="98"/>
      <c r="AK427" s="98"/>
      <c r="AL427" s="364"/>
      <c r="AM427" s="364"/>
    </row>
    <row r="428">
      <c r="A428" s="98"/>
      <c r="B428" s="98"/>
      <c r="C428" s="98"/>
      <c r="D428" s="98"/>
      <c r="E428" s="98"/>
      <c r="F428" s="98"/>
      <c r="G428" s="98"/>
      <c r="H428" s="98"/>
      <c r="I428" s="98"/>
      <c r="J428" s="98"/>
      <c r="K428" s="362"/>
      <c r="L428" s="98"/>
      <c r="M428" s="98"/>
      <c r="N428" s="98"/>
      <c r="O428" s="363"/>
      <c r="P428" s="98"/>
      <c r="Q428" s="98"/>
      <c r="R428" s="100"/>
      <c r="S428" s="363"/>
      <c r="T428" s="100"/>
      <c r="U428" s="98"/>
      <c r="V428" s="100"/>
      <c r="W428" s="98"/>
      <c r="X428" s="363"/>
      <c r="Y428" s="100"/>
      <c r="Z428" s="363"/>
      <c r="AA428" s="98"/>
      <c r="AB428" s="363"/>
      <c r="AC428" s="100"/>
      <c r="AD428" s="363"/>
      <c r="AE428" s="100"/>
      <c r="AF428" s="364"/>
      <c r="AG428" s="98"/>
      <c r="AH428" s="98"/>
      <c r="AI428" s="98"/>
      <c r="AJ428" s="98"/>
      <c r="AK428" s="98"/>
      <c r="AL428" s="364"/>
      <c r="AM428" s="364"/>
    </row>
    <row r="429">
      <c r="A429" s="98"/>
      <c r="B429" s="98"/>
      <c r="C429" s="98"/>
      <c r="D429" s="98"/>
      <c r="E429" s="98"/>
      <c r="F429" s="98"/>
      <c r="G429" s="98"/>
      <c r="H429" s="98"/>
      <c r="I429" s="98"/>
      <c r="J429" s="98"/>
      <c r="K429" s="362"/>
      <c r="L429" s="98"/>
      <c r="M429" s="98"/>
      <c r="N429" s="98"/>
      <c r="O429" s="363"/>
      <c r="P429" s="98"/>
      <c r="Q429" s="98"/>
      <c r="R429" s="100"/>
      <c r="S429" s="363"/>
      <c r="T429" s="100"/>
      <c r="U429" s="98"/>
      <c r="V429" s="100"/>
      <c r="W429" s="98"/>
      <c r="X429" s="363"/>
      <c r="Y429" s="100"/>
      <c r="Z429" s="363"/>
      <c r="AA429" s="98"/>
      <c r="AB429" s="363"/>
      <c r="AC429" s="100"/>
      <c r="AD429" s="363"/>
      <c r="AE429" s="100"/>
      <c r="AF429" s="364"/>
      <c r="AG429" s="98"/>
      <c r="AH429" s="98"/>
      <c r="AI429" s="98"/>
      <c r="AJ429" s="98"/>
      <c r="AK429" s="98"/>
      <c r="AL429" s="364"/>
      <c r="AM429" s="364"/>
    </row>
    <row r="430">
      <c r="A430" s="98"/>
      <c r="B430" s="98"/>
      <c r="C430" s="98"/>
      <c r="D430" s="98"/>
      <c r="E430" s="98"/>
      <c r="F430" s="98"/>
      <c r="G430" s="98"/>
      <c r="H430" s="98"/>
      <c r="I430" s="98"/>
      <c r="J430" s="98"/>
      <c r="K430" s="362"/>
      <c r="L430" s="98"/>
      <c r="M430" s="98"/>
      <c r="N430" s="98"/>
      <c r="O430" s="363"/>
      <c r="P430" s="98"/>
      <c r="Q430" s="98"/>
      <c r="R430" s="100"/>
      <c r="S430" s="363"/>
      <c r="T430" s="100"/>
      <c r="U430" s="98"/>
      <c r="V430" s="100"/>
      <c r="W430" s="98"/>
      <c r="X430" s="363"/>
      <c r="Y430" s="100"/>
      <c r="Z430" s="363"/>
      <c r="AA430" s="98"/>
      <c r="AB430" s="363"/>
      <c r="AC430" s="100"/>
      <c r="AD430" s="363"/>
      <c r="AE430" s="100"/>
      <c r="AF430" s="364"/>
      <c r="AG430" s="98"/>
      <c r="AH430" s="98"/>
      <c r="AI430" s="98"/>
      <c r="AJ430" s="98"/>
      <c r="AK430" s="98"/>
      <c r="AL430" s="364"/>
      <c r="AM430" s="364"/>
    </row>
    <row r="431">
      <c r="A431" s="98"/>
      <c r="B431" s="98"/>
      <c r="C431" s="98"/>
      <c r="D431" s="98"/>
      <c r="E431" s="98"/>
      <c r="F431" s="98"/>
      <c r="G431" s="98"/>
      <c r="H431" s="98"/>
      <c r="I431" s="98"/>
      <c r="J431" s="98"/>
      <c r="K431" s="362"/>
      <c r="L431" s="98"/>
      <c r="M431" s="98"/>
      <c r="N431" s="98"/>
      <c r="O431" s="363"/>
      <c r="P431" s="98"/>
      <c r="Q431" s="98"/>
      <c r="R431" s="100"/>
      <c r="S431" s="363"/>
      <c r="T431" s="100"/>
      <c r="U431" s="98"/>
      <c r="V431" s="100"/>
      <c r="W431" s="98"/>
      <c r="X431" s="363"/>
      <c r="Y431" s="100"/>
      <c r="Z431" s="363"/>
      <c r="AA431" s="98"/>
      <c r="AB431" s="363"/>
      <c r="AC431" s="100"/>
      <c r="AD431" s="363"/>
      <c r="AE431" s="100"/>
      <c r="AF431" s="364"/>
      <c r="AG431" s="98"/>
      <c r="AH431" s="98"/>
      <c r="AI431" s="98"/>
      <c r="AJ431" s="98"/>
      <c r="AK431" s="98"/>
      <c r="AL431" s="364"/>
      <c r="AM431" s="364"/>
    </row>
    <row r="432">
      <c r="A432" s="98"/>
      <c r="B432" s="98"/>
      <c r="C432" s="98"/>
      <c r="D432" s="98"/>
      <c r="E432" s="98"/>
      <c r="F432" s="98"/>
      <c r="G432" s="98"/>
      <c r="H432" s="98"/>
      <c r="I432" s="98"/>
      <c r="J432" s="98"/>
      <c r="K432" s="362"/>
      <c r="L432" s="98"/>
      <c r="M432" s="98"/>
      <c r="N432" s="98"/>
      <c r="O432" s="363"/>
      <c r="P432" s="98"/>
      <c r="Q432" s="98"/>
      <c r="R432" s="100"/>
      <c r="S432" s="363"/>
      <c r="T432" s="100"/>
      <c r="U432" s="98"/>
      <c r="V432" s="100"/>
      <c r="W432" s="98"/>
      <c r="X432" s="363"/>
      <c r="Y432" s="100"/>
      <c r="Z432" s="363"/>
      <c r="AA432" s="98"/>
      <c r="AB432" s="363"/>
      <c r="AC432" s="100"/>
      <c r="AD432" s="363"/>
      <c r="AE432" s="100"/>
      <c r="AF432" s="364"/>
      <c r="AG432" s="98"/>
      <c r="AH432" s="98"/>
      <c r="AI432" s="98"/>
      <c r="AJ432" s="98"/>
      <c r="AK432" s="98"/>
      <c r="AL432" s="364"/>
      <c r="AM432" s="364"/>
    </row>
    <row r="433">
      <c r="A433" s="98"/>
      <c r="B433" s="98"/>
      <c r="C433" s="98"/>
      <c r="D433" s="98"/>
      <c r="E433" s="98"/>
      <c r="F433" s="98"/>
      <c r="G433" s="98"/>
      <c r="H433" s="98"/>
      <c r="I433" s="98"/>
      <c r="J433" s="98"/>
      <c r="K433" s="362"/>
      <c r="L433" s="98"/>
      <c r="M433" s="98"/>
      <c r="N433" s="98"/>
      <c r="O433" s="363"/>
      <c r="P433" s="98"/>
      <c r="Q433" s="98"/>
      <c r="R433" s="100"/>
      <c r="S433" s="363"/>
      <c r="T433" s="100"/>
      <c r="U433" s="98"/>
      <c r="V433" s="100"/>
      <c r="W433" s="98"/>
      <c r="X433" s="363"/>
      <c r="Y433" s="100"/>
      <c r="Z433" s="363"/>
      <c r="AA433" s="98"/>
      <c r="AB433" s="363"/>
      <c r="AC433" s="100"/>
      <c r="AD433" s="363"/>
      <c r="AE433" s="100"/>
      <c r="AF433" s="364"/>
      <c r="AG433" s="98"/>
      <c r="AH433" s="98"/>
      <c r="AI433" s="98"/>
      <c r="AJ433" s="98"/>
      <c r="AK433" s="98"/>
      <c r="AL433" s="364"/>
      <c r="AM433" s="364"/>
    </row>
    <row r="434">
      <c r="A434" s="98"/>
      <c r="B434" s="98"/>
      <c r="C434" s="98"/>
      <c r="D434" s="98"/>
      <c r="E434" s="98"/>
      <c r="F434" s="98"/>
      <c r="G434" s="98"/>
      <c r="H434" s="98"/>
      <c r="I434" s="98"/>
      <c r="J434" s="98"/>
      <c r="K434" s="362"/>
      <c r="L434" s="98"/>
      <c r="M434" s="98"/>
      <c r="N434" s="98"/>
      <c r="O434" s="363"/>
      <c r="P434" s="98"/>
      <c r="Q434" s="98"/>
      <c r="R434" s="100"/>
      <c r="S434" s="363"/>
      <c r="T434" s="100"/>
      <c r="U434" s="98"/>
      <c r="V434" s="100"/>
      <c r="W434" s="98"/>
      <c r="X434" s="363"/>
      <c r="Y434" s="100"/>
      <c r="Z434" s="363"/>
      <c r="AA434" s="98"/>
      <c r="AB434" s="363"/>
      <c r="AC434" s="100"/>
      <c r="AD434" s="363"/>
      <c r="AE434" s="100"/>
      <c r="AF434" s="364"/>
      <c r="AG434" s="98"/>
      <c r="AH434" s="98"/>
      <c r="AI434" s="98"/>
      <c r="AJ434" s="98"/>
      <c r="AK434" s="98"/>
      <c r="AL434" s="364"/>
      <c r="AM434" s="364"/>
    </row>
    <row r="435">
      <c r="A435" s="98"/>
      <c r="B435" s="98"/>
      <c r="C435" s="98"/>
      <c r="D435" s="98"/>
      <c r="E435" s="98"/>
      <c r="F435" s="98"/>
      <c r="G435" s="98"/>
      <c r="H435" s="98"/>
      <c r="I435" s="98"/>
      <c r="J435" s="98"/>
      <c r="K435" s="362"/>
      <c r="L435" s="98"/>
      <c r="M435" s="98"/>
      <c r="N435" s="98"/>
      <c r="O435" s="363"/>
      <c r="P435" s="98"/>
      <c r="Q435" s="98"/>
      <c r="R435" s="100"/>
      <c r="S435" s="363"/>
      <c r="T435" s="100"/>
      <c r="U435" s="98"/>
      <c r="V435" s="100"/>
      <c r="W435" s="98"/>
      <c r="X435" s="363"/>
      <c r="Y435" s="100"/>
      <c r="Z435" s="363"/>
      <c r="AA435" s="98"/>
      <c r="AB435" s="363"/>
      <c r="AC435" s="100"/>
      <c r="AD435" s="363"/>
      <c r="AE435" s="100"/>
      <c r="AF435" s="364"/>
      <c r="AG435" s="98"/>
      <c r="AH435" s="98"/>
      <c r="AI435" s="98"/>
      <c r="AJ435" s="98"/>
      <c r="AK435" s="98"/>
      <c r="AL435" s="364"/>
      <c r="AM435" s="364"/>
    </row>
    <row r="436">
      <c r="A436" s="98"/>
      <c r="B436" s="98"/>
      <c r="C436" s="98"/>
      <c r="D436" s="98"/>
      <c r="E436" s="98"/>
      <c r="F436" s="98"/>
      <c r="G436" s="98"/>
      <c r="H436" s="98"/>
      <c r="I436" s="98"/>
      <c r="J436" s="98"/>
      <c r="K436" s="362"/>
      <c r="L436" s="98"/>
      <c r="M436" s="98"/>
      <c r="N436" s="98"/>
      <c r="O436" s="363"/>
      <c r="P436" s="98"/>
      <c r="Q436" s="98"/>
      <c r="R436" s="100"/>
      <c r="S436" s="363"/>
      <c r="T436" s="100"/>
      <c r="U436" s="98"/>
      <c r="V436" s="100"/>
      <c r="W436" s="98"/>
      <c r="X436" s="363"/>
      <c r="Y436" s="100"/>
      <c r="Z436" s="363"/>
      <c r="AA436" s="98"/>
      <c r="AB436" s="363"/>
      <c r="AC436" s="100"/>
      <c r="AD436" s="363"/>
      <c r="AE436" s="100"/>
      <c r="AF436" s="364"/>
      <c r="AG436" s="98"/>
      <c r="AH436" s="98"/>
      <c r="AI436" s="98"/>
      <c r="AJ436" s="98"/>
      <c r="AK436" s="98"/>
      <c r="AL436" s="364"/>
      <c r="AM436" s="364"/>
    </row>
    <row r="437">
      <c r="A437" s="98"/>
      <c r="B437" s="98"/>
      <c r="C437" s="98"/>
      <c r="D437" s="98"/>
      <c r="E437" s="98"/>
      <c r="F437" s="98"/>
      <c r="G437" s="98"/>
      <c r="H437" s="98"/>
      <c r="I437" s="98"/>
      <c r="J437" s="98"/>
      <c r="K437" s="362"/>
      <c r="L437" s="98"/>
      <c r="M437" s="98"/>
      <c r="N437" s="98"/>
      <c r="O437" s="363"/>
      <c r="P437" s="98"/>
      <c r="Q437" s="98"/>
      <c r="R437" s="100"/>
      <c r="S437" s="363"/>
      <c r="T437" s="100"/>
      <c r="U437" s="98"/>
      <c r="V437" s="100"/>
      <c r="W437" s="98"/>
      <c r="X437" s="363"/>
      <c r="Y437" s="100"/>
      <c r="Z437" s="363"/>
      <c r="AA437" s="98"/>
      <c r="AB437" s="363"/>
      <c r="AC437" s="100"/>
      <c r="AD437" s="363"/>
      <c r="AE437" s="100"/>
      <c r="AF437" s="364"/>
      <c r="AG437" s="98"/>
      <c r="AH437" s="98"/>
      <c r="AI437" s="98"/>
      <c r="AJ437" s="98"/>
      <c r="AK437" s="98"/>
      <c r="AL437" s="364"/>
      <c r="AM437" s="364"/>
    </row>
    <row r="438">
      <c r="A438" s="98"/>
      <c r="B438" s="98"/>
      <c r="C438" s="98"/>
      <c r="D438" s="98"/>
      <c r="E438" s="98"/>
      <c r="F438" s="98"/>
      <c r="G438" s="98"/>
      <c r="H438" s="98"/>
      <c r="I438" s="98"/>
      <c r="J438" s="98"/>
      <c r="K438" s="362"/>
      <c r="L438" s="98"/>
      <c r="M438" s="98"/>
      <c r="N438" s="98"/>
      <c r="O438" s="363"/>
      <c r="P438" s="98"/>
      <c r="Q438" s="98"/>
      <c r="R438" s="100"/>
      <c r="S438" s="363"/>
      <c r="T438" s="100"/>
      <c r="U438" s="98"/>
      <c r="V438" s="100"/>
      <c r="W438" s="98"/>
      <c r="X438" s="363"/>
      <c r="Y438" s="100"/>
      <c r="Z438" s="363"/>
      <c r="AA438" s="98"/>
      <c r="AB438" s="363"/>
      <c r="AC438" s="100"/>
      <c r="AD438" s="363"/>
      <c r="AE438" s="100"/>
      <c r="AF438" s="364"/>
      <c r="AG438" s="98"/>
      <c r="AH438" s="98"/>
      <c r="AI438" s="98"/>
      <c r="AJ438" s="98"/>
      <c r="AK438" s="98"/>
      <c r="AL438" s="364"/>
      <c r="AM438" s="364"/>
    </row>
    <row r="439">
      <c r="A439" s="98"/>
      <c r="B439" s="98"/>
      <c r="C439" s="98"/>
      <c r="D439" s="98"/>
      <c r="E439" s="98"/>
      <c r="F439" s="98"/>
      <c r="G439" s="98"/>
      <c r="H439" s="98"/>
      <c r="I439" s="98"/>
      <c r="J439" s="98"/>
      <c r="K439" s="362"/>
      <c r="L439" s="98"/>
      <c r="M439" s="98"/>
      <c r="N439" s="98"/>
      <c r="O439" s="363"/>
      <c r="P439" s="98"/>
      <c r="Q439" s="98"/>
      <c r="R439" s="100"/>
      <c r="S439" s="363"/>
      <c r="T439" s="100"/>
      <c r="U439" s="98"/>
      <c r="V439" s="100"/>
      <c r="W439" s="98"/>
      <c r="X439" s="363"/>
      <c r="Y439" s="100"/>
      <c r="Z439" s="363"/>
      <c r="AA439" s="98"/>
      <c r="AB439" s="363"/>
      <c r="AC439" s="100"/>
      <c r="AD439" s="363"/>
      <c r="AE439" s="100"/>
      <c r="AF439" s="364"/>
      <c r="AG439" s="98"/>
      <c r="AH439" s="98"/>
      <c r="AI439" s="98"/>
      <c r="AJ439" s="98"/>
      <c r="AK439" s="98"/>
      <c r="AL439" s="364"/>
      <c r="AM439" s="364"/>
    </row>
    <row r="440">
      <c r="A440" s="98"/>
      <c r="B440" s="98"/>
      <c r="C440" s="98"/>
      <c r="D440" s="98"/>
      <c r="E440" s="98"/>
      <c r="F440" s="98"/>
      <c r="G440" s="98"/>
      <c r="H440" s="98"/>
      <c r="I440" s="98"/>
      <c r="J440" s="98"/>
      <c r="K440" s="362"/>
      <c r="L440" s="98"/>
      <c r="M440" s="98"/>
      <c r="N440" s="98"/>
      <c r="O440" s="363"/>
      <c r="P440" s="98"/>
      <c r="Q440" s="98"/>
      <c r="R440" s="100"/>
      <c r="S440" s="363"/>
      <c r="T440" s="100"/>
      <c r="U440" s="98"/>
      <c r="V440" s="100"/>
      <c r="W440" s="98"/>
      <c r="X440" s="363"/>
      <c r="Y440" s="100"/>
      <c r="Z440" s="363"/>
      <c r="AA440" s="98"/>
      <c r="AB440" s="363"/>
      <c r="AC440" s="100"/>
      <c r="AD440" s="363"/>
      <c r="AE440" s="100"/>
      <c r="AF440" s="364"/>
      <c r="AG440" s="98"/>
      <c r="AH440" s="98"/>
      <c r="AI440" s="98"/>
      <c r="AJ440" s="98"/>
      <c r="AK440" s="98"/>
      <c r="AL440" s="364"/>
      <c r="AM440" s="364"/>
    </row>
    <row r="441">
      <c r="A441" s="98"/>
      <c r="B441" s="98"/>
      <c r="C441" s="98"/>
      <c r="D441" s="98"/>
      <c r="E441" s="98"/>
      <c r="F441" s="98"/>
      <c r="G441" s="98"/>
      <c r="H441" s="98"/>
      <c r="I441" s="98"/>
      <c r="J441" s="98"/>
      <c r="K441" s="362"/>
      <c r="L441" s="98"/>
      <c r="M441" s="98"/>
      <c r="N441" s="98"/>
      <c r="O441" s="363"/>
      <c r="P441" s="98"/>
      <c r="Q441" s="98"/>
      <c r="R441" s="100"/>
      <c r="S441" s="363"/>
      <c r="T441" s="100"/>
      <c r="U441" s="98"/>
      <c r="V441" s="100"/>
      <c r="W441" s="98"/>
      <c r="X441" s="363"/>
      <c r="Y441" s="100"/>
      <c r="Z441" s="363"/>
      <c r="AA441" s="98"/>
      <c r="AB441" s="363"/>
      <c r="AC441" s="100"/>
      <c r="AD441" s="363"/>
      <c r="AE441" s="100"/>
      <c r="AF441" s="364"/>
      <c r="AG441" s="98"/>
      <c r="AH441" s="98"/>
      <c r="AI441" s="98"/>
      <c r="AJ441" s="98"/>
      <c r="AK441" s="98"/>
      <c r="AL441" s="364"/>
      <c r="AM441" s="364"/>
    </row>
    <row r="442">
      <c r="A442" s="98"/>
      <c r="B442" s="98"/>
      <c r="C442" s="98"/>
      <c r="D442" s="98"/>
      <c r="E442" s="98"/>
      <c r="F442" s="98"/>
      <c r="G442" s="98"/>
      <c r="H442" s="98"/>
      <c r="I442" s="98"/>
      <c r="J442" s="98"/>
      <c r="K442" s="362"/>
      <c r="L442" s="98"/>
      <c r="M442" s="98"/>
      <c r="N442" s="98"/>
      <c r="O442" s="363"/>
      <c r="P442" s="98"/>
      <c r="Q442" s="98"/>
      <c r="R442" s="100"/>
      <c r="S442" s="363"/>
      <c r="T442" s="100"/>
      <c r="U442" s="98"/>
      <c r="V442" s="100"/>
      <c r="W442" s="98"/>
      <c r="X442" s="363"/>
      <c r="Y442" s="100"/>
      <c r="Z442" s="363"/>
      <c r="AA442" s="98"/>
      <c r="AB442" s="363"/>
      <c r="AC442" s="100"/>
      <c r="AD442" s="363"/>
      <c r="AE442" s="100"/>
      <c r="AF442" s="364"/>
      <c r="AG442" s="98"/>
      <c r="AH442" s="98"/>
      <c r="AI442" s="98"/>
      <c r="AJ442" s="98"/>
      <c r="AK442" s="98"/>
      <c r="AL442" s="364"/>
      <c r="AM442" s="364"/>
    </row>
    <row r="443">
      <c r="A443" s="98"/>
      <c r="B443" s="98"/>
      <c r="C443" s="98"/>
      <c r="D443" s="98"/>
      <c r="E443" s="98"/>
      <c r="F443" s="98"/>
      <c r="G443" s="98"/>
      <c r="H443" s="98"/>
      <c r="I443" s="98"/>
      <c r="J443" s="98"/>
      <c r="K443" s="362"/>
      <c r="L443" s="98"/>
      <c r="M443" s="98"/>
      <c r="N443" s="98"/>
      <c r="O443" s="363"/>
      <c r="P443" s="98"/>
      <c r="Q443" s="98"/>
      <c r="R443" s="100"/>
      <c r="S443" s="363"/>
      <c r="T443" s="100"/>
      <c r="U443" s="98"/>
      <c r="V443" s="100"/>
      <c r="W443" s="98"/>
      <c r="X443" s="363"/>
      <c r="Y443" s="100"/>
      <c r="Z443" s="363"/>
      <c r="AA443" s="98"/>
      <c r="AB443" s="363"/>
      <c r="AC443" s="100"/>
      <c r="AD443" s="363"/>
      <c r="AE443" s="100"/>
      <c r="AF443" s="364"/>
      <c r="AG443" s="98"/>
      <c r="AH443" s="98"/>
      <c r="AI443" s="98"/>
      <c r="AJ443" s="98"/>
      <c r="AK443" s="98"/>
      <c r="AL443" s="364"/>
      <c r="AM443" s="364"/>
    </row>
    <row r="444">
      <c r="A444" s="98"/>
      <c r="B444" s="98"/>
      <c r="C444" s="98"/>
      <c r="D444" s="98"/>
      <c r="E444" s="98"/>
      <c r="F444" s="98"/>
      <c r="G444" s="98"/>
      <c r="H444" s="98"/>
      <c r="I444" s="98"/>
      <c r="J444" s="98"/>
      <c r="K444" s="362"/>
      <c r="L444" s="98"/>
      <c r="M444" s="98"/>
      <c r="N444" s="98"/>
      <c r="O444" s="363"/>
      <c r="P444" s="98"/>
      <c r="Q444" s="98"/>
      <c r="R444" s="100"/>
      <c r="S444" s="363"/>
      <c r="T444" s="100"/>
      <c r="U444" s="98"/>
      <c r="V444" s="100"/>
      <c r="W444" s="98"/>
      <c r="X444" s="363"/>
      <c r="Y444" s="100"/>
      <c r="Z444" s="363"/>
      <c r="AA444" s="98"/>
      <c r="AB444" s="363"/>
      <c r="AC444" s="100"/>
      <c r="AD444" s="363"/>
      <c r="AE444" s="100"/>
      <c r="AF444" s="364"/>
      <c r="AG444" s="98"/>
      <c r="AH444" s="98"/>
      <c r="AI444" s="98"/>
      <c r="AJ444" s="98"/>
      <c r="AK444" s="98"/>
      <c r="AL444" s="364"/>
      <c r="AM444" s="364"/>
    </row>
    <row r="445">
      <c r="A445" s="98"/>
      <c r="B445" s="98"/>
      <c r="C445" s="98"/>
      <c r="D445" s="98"/>
      <c r="E445" s="98"/>
      <c r="F445" s="98"/>
      <c r="G445" s="98"/>
      <c r="H445" s="98"/>
      <c r="I445" s="98"/>
      <c r="J445" s="98"/>
      <c r="K445" s="362"/>
      <c r="L445" s="98"/>
      <c r="M445" s="98"/>
      <c r="N445" s="98"/>
      <c r="O445" s="363"/>
      <c r="P445" s="98"/>
      <c r="Q445" s="98"/>
      <c r="R445" s="100"/>
      <c r="S445" s="363"/>
      <c r="T445" s="100"/>
      <c r="U445" s="98"/>
      <c r="V445" s="100"/>
      <c r="W445" s="98"/>
      <c r="X445" s="363"/>
      <c r="Y445" s="100"/>
      <c r="Z445" s="363"/>
      <c r="AA445" s="98"/>
      <c r="AB445" s="363"/>
      <c r="AC445" s="100"/>
      <c r="AD445" s="363"/>
      <c r="AE445" s="100"/>
      <c r="AF445" s="364"/>
      <c r="AG445" s="98"/>
      <c r="AH445" s="98"/>
      <c r="AI445" s="98"/>
      <c r="AJ445" s="98"/>
      <c r="AK445" s="98"/>
      <c r="AL445" s="364"/>
      <c r="AM445" s="364"/>
    </row>
    <row r="446">
      <c r="A446" s="98"/>
      <c r="B446" s="98"/>
      <c r="C446" s="98"/>
      <c r="D446" s="98"/>
      <c r="E446" s="98"/>
      <c r="F446" s="98"/>
      <c r="G446" s="98"/>
      <c r="H446" s="98"/>
      <c r="I446" s="98"/>
      <c r="J446" s="98"/>
      <c r="K446" s="362"/>
      <c r="L446" s="98"/>
      <c r="M446" s="98"/>
      <c r="N446" s="98"/>
      <c r="O446" s="363"/>
      <c r="P446" s="98"/>
      <c r="Q446" s="98"/>
      <c r="R446" s="100"/>
      <c r="S446" s="363"/>
      <c r="T446" s="100"/>
      <c r="U446" s="98"/>
      <c r="V446" s="100"/>
      <c r="W446" s="98"/>
      <c r="X446" s="363"/>
      <c r="Y446" s="100"/>
      <c r="Z446" s="363"/>
      <c r="AA446" s="98"/>
      <c r="AB446" s="363"/>
      <c r="AC446" s="100"/>
      <c r="AD446" s="363"/>
      <c r="AE446" s="100"/>
      <c r="AF446" s="364"/>
      <c r="AG446" s="98"/>
      <c r="AH446" s="98"/>
      <c r="AI446" s="98"/>
      <c r="AJ446" s="98"/>
      <c r="AK446" s="98"/>
      <c r="AL446" s="364"/>
      <c r="AM446" s="364"/>
    </row>
    <row r="447">
      <c r="A447" s="98"/>
      <c r="B447" s="98"/>
      <c r="C447" s="98"/>
      <c r="D447" s="98"/>
      <c r="E447" s="98"/>
      <c r="F447" s="98"/>
      <c r="G447" s="98"/>
      <c r="H447" s="98"/>
      <c r="I447" s="98"/>
      <c r="J447" s="98"/>
      <c r="K447" s="362"/>
      <c r="L447" s="98"/>
      <c r="M447" s="98"/>
      <c r="N447" s="98"/>
      <c r="O447" s="363"/>
      <c r="P447" s="98"/>
      <c r="Q447" s="98"/>
      <c r="R447" s="100"/>
      <c r="S447" s="363"/>
      <c r="T447" s="100"/>
      <c r="U447" s="98"/>
      <c r="V447" s="100"/>
      <c r="W447" s="98"/>
      <c r="X447" s="363"/>
      <c r="Y447" s="100"/>
      <c r="Z447" s="363"/>
      <c r="AA447" s="98"/>
      <c r="AB447" s="363"/>
      <c r="AC447" s="100"/>
      <c r="AD447" s="363"/>
      <c r="AE447" s="100"/>
      <c r="AF447" s="364"/>
      <c r="AG447" s="98"/>
      <c r="AH447" s="98"/>
      <c r="AI447" s="98"/>
      <c r="AJ447" s="98"/>
      <c r="AK447" s="98"/>
      <c r="AL447" s="364"/>
      <c r="AM447" s="364"/>
    </row>
    <row r="448">
      <c r="A448" s="98"/>
      <c r="B448" s="98"/>
      <c r="C448" s="98"/>
      <c r="D448" s="98"/>
      <c r="E448" s="98"/>
      <c r="F448" s="98"/>
      <c r="G448" s="98"/>
      <c r="H448" s="98"/>
      <c r="I448" s="98"/>
      <c r="J448" s="98"/>
      <c r="K448" s="362"/>
      <c r="L448" s="98"/>
      <c r="M448" s="98"/>
      <c r="N448" s="98"/>
      <c r="O448" s="363"/>
      <c r="P448" s="98"/>
      <c r="Q448" s="98"/>
      <c r="R448" s="100"/>
      <c r="S448" s="363"/>
      <c r="T448" s="100"/>
      <c r="U448" s="98"/>
      <c r="V448" s="100"/>
      <c r="W448" s="98"/>
      <c r="X448" s="363"/>
      <c r="Y448" s="100"/>
      <c r="Z448" s="363"/>
      <c r="AA448" s="98"/>
      <c r="AB448" s="363"/>
      <c r="AC448" s="100"/>
      <c r="AD448" s="363"/>
      <c r="AE448" s="100"/>
      <c r="AF448" s="364"/>
      <c r="AG448" s="98"/>
      <c r="AH448" s="98"/>
      <c r="AI448" s="98"/>
      <c r="AJ448" s="98"/>
      <c r="AK448" s="98"/>
      <c r="AL448" s="364"/>
      <c r="AM448" s="364"/>
    </row>
    <row r="449">
      <c r="A449" s="98"/>
      <c r="B449" s="98"/>
      <c r="C449" s="98"/>
      <c r="D449" s="98"/>
      <c r="E449" s="98"/>
      <c r="F449" s="98"/>
      <c r="G449" s="98"/>
      <c r="H449" s="98"/>
      <c r="I449" s="98"/>
      <c r="J449" s="98"/>
      <c r="K449" s="362"/>
      <c r="L449" s="98"/>
      <c r="M449" s="98"/>
      <c r="N449" s="98"/>
      <c r="O449" s="363"/>
      <c r="P449" s="98"/>
      <c r="Q449" s="98"/>
      <c r="R449" s="100"/>
      <c r="S449" s="363"/>
      <c r="T449" s="100"/>
      <c r="U449" s="98"/>
      <c r="V449" s="100"/>
      <c r="W449" s="98"/>
      <c r="X449" s="363"/>
      <c r="Y449" s="100"/>
      <c r="Z449" s="363"/>
      <c r="AA449" s="98"/>
      <c r="AB449" s="363"/>
      <c r="AC449" s="100"/>
      <c r="AD449" s="363"/>
      <c r="AE449" s="100"/>
      <c r="AF449" s="364"/>
      <c r="AG449" s="98"/>
      <c r="AH449" s="98"/>
      <c r="AI449" s="98"/>
      <c r="AJ449" s="98"/>
      <c r="AK449" s="98"/>
      <c r="AL449" s="364"/>
      <c r="AM449" s="364"/>
    </row>
    <row r="450">
      <c r="A450" s="98"/>
      <c r="B450" s="98"/>
      <c r="C450" s="98"/>
      <c r="D450" s="98"/>
      <c r="E450" s="98"/>
      <c r="F450" s="98"/>
      <c r="G450" s="98"/>
      <c r="H450" s="98"/>
      <c r="I450" s="98"/>
      <c r="J450" s="98"/>
      <c r="K450" s="362"/>
      <c r="L450" s="98"/>
      <c r="M450" s="98"/>
      <c r="N450" s="98"/>
      <c r="O450" s="363"/>
      <c r="P450" s="98"/>
      <c r="Q450" s="98"/>
      <c r="R450" s="100"/>
      <c r="S450" s="363"/>
      <c r="T450" s="100"/>
      <c r="U450" s="98"/>
      <c r="V450" s="100"/>
      <c r="W450" s="98"/>
      <c r="X450" s="363"/>
      <c r="Y450" s="100"/>
      <c r="Z450" s="363"/>
      <c r="AA450" s="98"/>
      <c r="AB450" s="363"/>
      <c r="AC450" s="100"/>
      <c r="AD450" s="363"/>
      <c r="AE450" s="100"/>
      <c r="AF450" s="364"/>
      <c r="AG450" s="98"/>
      <c r="AH450" s="98"/>
      <c r="AI450" s="98"/>
      <c r="AJ450" s="98"/>
      <c r="AK450" s="98"/>
      <c r="AL450" s="364"/>
      <c r="AM450" s="364"/>
    </row>
    <row r="451">
      <c r="A451" s="98"/>
      <c r="B451" s="98"/>
      <c r="C451" s="98"/>
      <c r="D451" s="98"/>
      <c r="E451" s="98"/>
      <c r="F451" s="98"/>
      <c r="G451" s="98"/>
      <c r="H451" s="98"/>
      <c r="I451" s="98"/>
      <c r="J451" s="98"/>
      <c r="K451" s="362"/>
      <c r="L451" s="98"/>
      <c r="M451" s="98"/>
      <c r="N451" s="98"/>
      <c r="O451" s="363"/>
      <c r="P451" s="98"/>
      <c r="Q451" s="98"/>
      <c r="R451" s="100"/>
      <c r="S451" s="363"/>
      <c r="T451" s="100"/>
      <c r="U451" s="98"/>
      <c r="V451" s="100"/>
      <c r="W451" s="98"/>
      <c r="X451" s="363"/>
      <c r="Y451" s="100"/>
      <c r="Z451" s="363"/>
      <c r="AA451" s="98"/>
      <c r="AB451" s="363"/>
      <c r="AC451" s="100"/>
      <c r="AD451" s="363"/>
      <c r="AE451" s="100"/>
      <c r="AF451" s="364"/>
      <c r="AG451" s="98"/>
      <c r="AH451" s="98"/>
      <c r="AI451" s="98"/>
      <c r="AJ451" s="98"/>
      <c r="AK451" s="98"/>
      <c r="AL451" s="364"/>
      <c r="AM451" s="364"/>
    </row>
    <row r="452">
      <c r="A452" s="98"/>
      <c r="B452" s="98"/>
      <c r="C452" s="98"/>
      <c r="D452" s="98"/>
      <c r="E452" s="98"/>
      <c r="F452" s="98"/>
      <c r="G452" s="98"/>
      <c r="H452" s="98"/>
      <c r="I452" s="98"/>
      <c r="J452" s="98"/>
      <c r="K452" s="362"/>
      <c r="L452" s="98"/>
      <c r="M452" s="98"/>
      <c r="N452" s="98"/>
      <c r="O452" s="363"/>
      <c r="P452" s="98"/>
      <c r="Q452" s="98"/>
      <c r="R452" s="100"/>
      <c r="S452" s="363"/>
      <c r="T452" s="100"/>
      <c r="U452" s="98"/>
      <c r="V452" s="100"/>
      <c r="W452" s="98"/>
      <c r="X452" s="363"/>
      <c r="Y452" s="100"/>
      <c r="Z452" s="363"/>
      <c r="AA452" s="98"/>
      <c r="AB452" s="363"/>
      <c r="AC452" s="100"/>
      <c r="AD452" s="363"/>
      <c r="AE452" s="100"/>
      <c r="AF452" s="364"/>
      <c r="AG452" s="98"/>
      <c r="AH452" s="98"/>
      <c r="AI452" s="98"/>
      <c r="AJ452" s="98"/>
      <c r="AK452" s="98"/>
      <c r="AL452" s="364"/>
      <c r="AM452" s="364"/>
    </row>
    <row r="453">
      <c r="A453" s="98"/>
      <c r="B453" s="98"/>
      <c r="C453" s="98"/>
      <c r="D453" s="98"/>
      <c r="E453" s="98"/>
      <c r="F453" s="98"/>
      <c r="G453" s="98"/>
      <c r="H453" s="98"/>
      <c r="I453" s="98"/>
      <c r="J453" s="98"/>
      <c r="K453" s="362"/>
      <c r="L453" s="98"/>
      <c r="M453" s="98"/>
      <c r="N453" s="98"/>
      <c r="O453" s="363"/>
      <c r="P453" s="98"/>
      <c r="Q453" s="98"/>
      <c r="R453" s="100"/>
      <c r="S453" s="363"/>
      <c r="T453" s="100"/>
      <c r="U453" s="98"/>
      <c r="V453" s="100"/>
      <c r="W453" s="98"/>
      <c r="X453" s="363"/>
      <c r="Y453" s="100"/>
      <c r="Z453" s="363"/>
      <c r="AA453" s="98"/>
      <c r="AB453" s="363"/>
      <c r="AC453" s="100"/>
      <c r="AD453" s="363"/>
      <c r="AE453" s="100"/>
      <c r="AF453" s="364"/>
      <c r="AG453" s="98"/>
      <c r="AH453" s="98"/>
      <c r="AI453" s="98"/>
      <c r="AJ453" s="98"/>
      <c r="AK453" s="98"/>
      <c r="AL453" s="364"/>
      <c r="AM453" s="364"/>
    </row>
    <row r="454">
      <c r="A454" s="98"/>
      <c r="B454" s="98"/>
      <c r="C454" s="98"/>
      <c r="D454" s="98"/>
      <c r="E454" s="98"/>
      <c r="F454" s="98"/>
      <c r="G454" s="98"/>
      <c r="H454" s="98"/>
      <c r="I454" s="98"/>
      <c r="J454" s="98"/>
      <c r="K454" s="362"/>
      <c r="L454" s="98"/>
      <c r="M454" s="98"/>
      <c r="N454" s="98"/>
      <c r="O454" s="363"/>
      <c r="P454" s="98"/>
      <c r="Q454" s="98"/>
      <c r="R454" s="100"/>
      <c r="S454" s="363"/>
      <c r="T454" s="100"/>
      <c r="U454" s="98"/>
      <c r="V454" s="100"/>
      <c r="W454" s="98"/>
      <c r="X454" s="363"/>
      <c r="Y454" s="100"/>
      <c r="Z454" s="363"/>
      <c r="AA454" s="98"/>
      <c r="AB454" s="363"/>
      <c r="AC454" s="100"/>
      <c r="AD454" s="363"/>
      <c r="AE454" s="100"/>
      <c r="AF454" s="364"/>
      <c r="AG454" s="98"/>
      <c r="AH454" s="98"/>
      <c r="AI454" s="98"/>
      <c r="AJ454" s="98"/>
      <c r="AK454" s="98"/>
      <c r="AL454" s="364"/>
      <c r="AM454" s="364"/>
    </row>
    <row r="455">
      <c r="A455" s="98"/>
      <c r="B455" s="98"/>
      <c r="C455" s="98"/>
      <c r="D455" s="98"/>
      <c r="E455" s="98"/>
      <c r="F455" s="98"/>
      <c r="G455" s="98"/>
      <c r="H455" s="98"/>
      <c r="I455" s="98"/>
      <c r="J455" s="98"/>
      <c r="K455" s="362"/>
      <c r="L455" s="98"/>
      <c r="M455" s="98"/>
      <c r="N455" s="98"/>
      <c r="O455" s="363"/>
      <c r="P455" s="98"/>
      <c r="Q455" s="98"/>
      <c r="R455" s="100"/>
      <c r="S455" s="363"/>
      <c r="T455" s="100"/>
      <c r="U455" s="98"/>
      <c r="V455" s="100"/>
      <c r="W455" s="98"/>
      <c r="X455" s="363"/>
      <c r="Y455" s="100"/>
      <c r="Z455" s="363"/>
      <c r="AA455" s="98"/>
      <c r="AB455" s="363"/>
      <c r="AC455" s="100"/>
      <c r="AD455" s="363"/>
      <c r="AE455" s="100"/>
      <c r="AF455" s="364"/>
      <c r="AG455" s="98"/>
      <c r="AH455" s="98"/>
      <c r="AI455" s="98"/>
      <c r="AJ455" s="98"/>
      <c r="AK455" s="98"/>
      <c r="AL455" s="364"/>
      <c r="AM455" s="364"/>
    </row>
    <row r="456">
      <c r="R456" s="100"/>
      <c r="V456" s="100"/>
      <c r="Y456" s="100"/>
    </row>
    <row r="457">
      <c r="R457" s="100"/>
      <c r="V457" s="100"/>
      <c r="Y457" s="100"/>
    </row>
    <row r="458">
      <c r="R458" s="100"/>
      <c r="V458" s="100"/>
      <c r="Y458" s="100"/>
    </row>
    <row r="459">
      <c r="R459" s="100"/>
      <c r="V459" s="100"/>
      <c r="Y459" s="100"/>
    </row>
    <row r="460">
      <c r="R460" s="100"/>
      <c r="V460" s="100"/>
      <c r="Y460" s="100"/>
    </row>
    <row r="461">
      <c r="R461" s="100"/>
      <c r="V461" s="100"/>
      <c r="Y461" s="100"/>
    </row>
    <row r="462">
      <c r="R462" s="100"/>
      <c r="V462" s="100"/>
      <c r="Y462" s="100"/>
    </row>
    <row r="463">
      <c r="R463" s="100"/>
      <c r="V463" s="100"/>
      <c r="Y463" s="100"/>
    </row>
    <row r="464">
      <c r="R464" s="100"/>
      <c r="V464" s="100"/>
      <c r="Y464" s="100"/>
    </row>
    <row r="465">
      <c r="R465" s="100"/>
      <c r="V465" s="100"/>
      <c r="Y465" s="100"/>
    </row>
    <row r="466">
      <c r="R466" s="100"/>
      <c r="V466" s="100"/>
      <c r="Y466" s="100"/>
    </row>
    <row r="467">
      <c r="R467" s="100"/>
      <c r="V467" s="100"/>
      <c r="Y467" s="100"/>
    </row>
    <row r="468">
      <c r="R468" s="100"/>
      <c r="V468" s="100"/>
      <c r="Y468" s="100"/>
    </row>
    <row r="469">
      <c r="R469" s="100"/>
      <c r="V469" s="100"/>
      <c r="Y469" s="100"/>
    </row>
    <row r="470">
      <c r="R470" s="100"/>
      <c r="V470" s="100"/>
      <c r="Y470" s="100"/>
    </row>
    <row r="471">
      <c r="R471" s="100"/>
      <c r="V471" s="100"/>
      <c r="Y471" s="100"/>
    </row>
    <row r="472">
      <c r="R472" s="100"/>
      <c r="V472" s="100"/>
      <c r="Y472" s="100"/>
    </row>
    <row r="473">
      <c r="R473" s="100"/>
      <c r="V473" s="100"/>
      <c r="Y473" s="100"/>
    </row>
    <row r="474">
      <c r="R474" s="100"/>
      <c r="V474" s="100"/>
      <c r="Y474" s="100"/>
    </row>
    <row r="475">
      <c r="R475" s="100"/>
      <c r="V475" s="100"/>
      <c r="Y475" s="100"/>
    </row>
    <row r="476">
      <c r="R476" s="100"/>
      <c r="V476" s="100"/>
      <c r="Y476" s="100"/>
    </row>
    <row r="477">
      <c r="R477" s="100"/>
      <c r="V477" s="100"/>
      <c r="Y477" s="100"/>
    </row>
    <row r="478">
      <c r="R478" s="100"/>
      <c r="V478" s="100"/>
      <c r="Y478" s="100"/>
    </row>
    <row r="479">
      <c r="R479" s="100"/>
      <c r="V479" s="100"/>
      <c r="Y479" s="100"/>
    </row>
    <row r="480">
      <c r="R480" s="100"/>
      <c r="V480" s="100"/>
      <c r="Y480" s="100"/>
    </row>
    <row r="481">
      <c r="R481" s="100"/>
      <c r="V481" s="100"/>
      <c r="Y481" s="100"/>
    </row>
    <row r="482">
      <c r="R482" s="100"/>
      <c r="V482" s="100"/>
      <c r="Y482" s="100"/>
    </row>
    <row r="483">
      <c r="R483" s="100"/>
      <c r="V483" s="100"/>
      <c r="Y483" s="100"/>
    </row>
    <row r="484">
      <c r="R484" s="100"/>
      <c r="V484" s="100"/>
      <c r="Y484" s="100"/>
    </row>
    <row r="485">
      <c r="R485" s="100"/>
      <c r="V485" s="100"/>
      <c r="Y485" s="100"/>
    </row>
    <row r="486">
      <c r="R486" s="100"/>
      <c r="V486" s="100"/>
      <c r="Y486" s="100"/>
    </row>
    <row r="487">
      <c r="R487" s="100"/>
      <c r="V487" s="100"/>
      <c r="Y487" s="100"/>
    </row>
    <row r="488">
      <c r="R488" s="100"/>
      <c r="V488" s="100"/>
      <c r="Y488" s="100"/>
    </row>
    <row r="489">
      <c r="R489" s="100"/>
      <c r="V489" s="100"/>
      <c r="Y489" s="100"/>
    </row>
    <row r="490">
      <c r="R490" s="100"/>
      <c r="V490" s="100"/>
      <c r="Y490" s="100"/>
    </row>
    <row r="491">
      <c r="R491" s="100"/>
      <c r="V491" s="100"/>
      <c r="Y491" s="100"/>
    </row>
    <row r="492">
      <c r="R492" s="100"/>
      <c r="V492" s="100"/>
      <c r="Y492" s="100"/>
    </row>
    <row r="493">
      <c r="R493" s="100"/>
      <c r="V493" s="100"/>
      <c r="Y493" s="100"/>
    </row>
    <row r="494">
      <c r="R494" s="100"/>
      <c r="V494" s="100"/>
      <c r="Y494" s="100"/>
    </row>
    <row r="495">
      <c r="R495" s="100"/>
      <c r="V495" s="100"/>
      <c r="Y495" s="100"/>
    </row>
    <row r="496">
      <c r="R496" s="100"/>
      <c r="V496" s="100"/>
      <c r="Y496" s="100"/>
    </row>
    <row r="497">
      <c r="R497" s="100"/>
      <c r="V497" s="100"/>
      <c r="Y497" s="100"/>
    </row>
    <row r="498">
      <c r="R498" s="100"/>
      <c r="V498" s="100"/>
      <c r="Y498" s="100"/>
    </row>
    <row r="499">
      <c r="R499" s="100"/>
      <c r="V499" s="100"/>
      <c r="Y499" s="100"/>
    </row>
    <row r="500">
      <c r="R500" s="100"/>
      <c r="V500" s="100"/>
      <c r="Y500" s="100"/>
    </row>
    <row r="501">
      <c r="R501" s="100"/>
      <c r="V501" s="100"/>
      <c r="Y501" s="100"/>
    </row>
    <row r="502">
      <c r="R502" s="100"/>
      <c r="V502" s="100"/>
      <c r="Y502" s="100"/>
    </row>
    <row r="503">
      <c r="R503" s="100"/>
      <c r="V503" s="100"/>
      <c r="Y503" s="100"/>
    </row>
    <row r="504">
      <c r="R504" s="100"/>
      <c r="V504" s="100"/>
      <c r="Y504" s="100"/>
    </row>
    <row r="505">
      <c r="R505" s="100"/>
      <c r="V505" s="100"/>
      <c r="Y505" s="100"/>
    </row>
    <row r="506">
      <c r="R506" s="100"/>
      <c r="V506" s="100"/>
      <c r="Y506" s="100"/>
    </row>
    <row r="507">
      <c r="R507" s="100"/>
      <c r="V507" s="100"/>
      <c r="Y507" s="100"/>
    </row>
    <row r="508">
      <c r="R508" s="100"/>
      <c r="V508" s="100"/>
      <c r="Y508" s="100"/>
    </row>
    <row r="509">
      <c r="R509" s="100"/>
      <c r="V509" s="100"/>
      <c r="Y509" s="100"/>
    </row>
    <row r="510">
      <c r="R510" s="100"/>
      <c r="V510" s="100"/>
      <c r="Y510" s="100"/>
    </row>
    <row r="511">
      <c r="R511" s="100"/>
      <c r="V511" s="100"/>
      <c r="Y511" s="100"/>
    </row>
    <row r="512">
      <c r="R512" s="100"/>
      <c r="V512" s="100"/>
      <c r="Y512" s="100"/>
    </row>
    <row r="513">
      <c r="R513" s="100"/>
      <c r="V513" s="100"/>
      <c r="Y513" s="100"/>
    </row>
    <row r="514">
      <c r="R514" s="100"/>
      <c r="V514" s="100"/>
      <c r="Y514" s="100"/>
    </row>
    <row r="515">
      <c r="R515" s="100"/>
      <c r="V515" s="100"/>
      <c r="Y515" s="100"/>
    </row>
    <row r="516">
      <c r="R516" s="100"/>
      <c r="V516" s="100"/>
      <c r="Y516" s="100"/>
    </row>
    <row r="517">
      <c r="R517" s="100"/>
      <c r="V517" s="100"/>
      <c r="Y517" s="100"/>
    </row>
    <row r="518">
      <c r="R518" s="100"/>
      <c r="V518" s="100"/>
      <c r="Y518" s="100"/>
    </row>
    <row r="519">
      <c r="R519" s="100"/>
      <c r="V519" s="100"/>
      <c r="Y519" s="100"/>
    </row>
    <row r="520">
      <c r="R520" s="100"/>
      <c r="V520" s="100"/>
      <c r="Y520" s="100"/>
    </row>
    <row r="521">
      <c r="R521" s="100"/>
      <c r="V521" s="100"/>
      <c r="Y521" s="100"/>
    </row>
    <row r="522">
      <c r="R522" s="100"/>
      <c r="V522" s="100"/>
      <c r="Y522" s="100"/>
    </row>
    <row r="523">
      <c r="R523" s="100"/>
      <c r="V523" s="100"/>
      <c r="Y523" s="100"/>
    </row>
    <row r="524">
      <c r="R524" s="100"/>
      <c r="V524" s="100"/>
      <c r="Y524" s="100"/>
    </row>
    <row r="525">
      <c r="R525" s="100"/>
      <c r="V525" s="100"/>
      <c r="Y525" s="100"/>
    </row>
    <row r="526">
      <c r="R526" s="100"/>
      <c r="V526" s="100"/>
      <c r="Y526" s="100"/>
    </row>
    <row r="527">
      <c r="R527" s="100"/>
      <c r="V527" s="100"/>
      <c r="Y527" s="100"/>
    </row>
    <row r="528">
      <c r="R528" s="100"/>
      <c r="V528" s="100"/>
      <c r="Y528" s="100"/>
    </row>
    <row r="529">
      <c r="R529" s="100"/>
      <c r="V529" s="100"/>
      <c r="Y529" s="100"/>
    </row>
    <row r="530">
      <c r="R530" s="100"/>
      <c r="V530" s="100"/>
      <c r="Y530" s="100"/>
    </row>
    <row r="531">
      <c r="R531" s="100"/>
      <c r="V531" s="100"/>
      <c r="Y531" s="100"/>
    </row>
    <row r="532">
      <c r="R532" s="100"/>
      <c r="V532" s="100"/>
      <c r="Y532" s="100"/>
    </row>
    <row r="533">
      <c r="R533" s="100"/>
      <c r="V533" s="100"/>
      <c r="Y533" s="100"/>
    </row>
    <row r="534">
      <c r="R534" s="100"/>
      <c r="V534" s="100"/>
      <c r="Y534" s="100"/>
    </row>
    <row r="535">
      <c r="R535" s="100"/>
      <c r="V535" s="100"/>
      <c r="Y535" s="100"/>
    </row>
    <row r="536">
      <c r="R536" s="100"/>
      <c r="V536" s="100"/>
      <c r="Y536" s="100"/>
    </row>
    <row r="537">
      <c r="R537" s="100"/>
      <c r="V537" s="100"/>
      <c r="Y537" s="100"/>
    </row>
    <row r="538">
      <c r="R538" s="100"/>
      <c r="V538" s="100"/>
      <c r="Y538" s="100"/>
    </row>
    <row r="539">
      <c r="R539" s="100"/>
      <c r="V539" s="100"/>
      <c r="Y539" s="100"/>
    </row>
    <row r="540">
      <c r="R540" s="100"/>
      <c r="V540" s="100"/>
      <c r="Y540" s="100"/>
    </row>
    <row r="541">
      <c r="R541" s="100"/>
      <c r="V541" s="100"/>
      <c r="Y541" s="100"/>
    </row>
    <row r="542">
      <c r="R542" s="100"/>
      <c r="V542" s="100"/>
      <c r="Y542" s="100"/>
    </row>
    <row r="543">
      <c r="R543" s="100"/>
      <c r="V543" s="100"/>
      <c r="Y543" s="100"/>
    </row>
    <row r="544">
      <c r="R544" s="100"/>
      <c r="V544" s="100"/>
      <c r="Y544" s="100"/>
    </row>
    <row r="545">
      <c r="R545" s="100"/>
      <c r="V545" s="100"/>
      <c r="Y545" s="100"/>
    </row>
    <row r="546">
      <c r="R546" s="100"/>
      <c r="V546" s="100"/>
      <c r="Y546" s="100"/>
    </row>
    <row r="547">
      <c r="R547" s="100"/>
      <c r="V547" s="100"/>
      <c r="Y547" s="100"/>
    </row>
    <row r="548">
      <c r="R548" s="100"/>
      <c r="V548" s="100"/>
      <c r="Y548" s="100"/>
    </row>
    <row r="549">
      <c r="R549" s="100"/>
      <c r="V549" s="100"/>
      <c r="Y549" s="100"/>
    </row>
    <row r="550">
      <c r="R550" s="100"/>
      <c r="V550" s="100"/>
      <c r="Y550" s="100"/>
    </row>
    <row r="551">
      <c r="R551" s="100"/>
      <c r="V551" s="100"/>
      <c r="Y551" s="100"/>
    </row>
    <row r="552">
      <c r="R552" s="100"/>
      <c r="V552" s="100"/>
      <c r="Y552" s="100"/>
    </row>
    <row r="553">
      <c r="R553" s="100"/>
      <c r="V553" s="100"/>
      <c r="Y553" s="100"/>
    </row>
    <row r="554">
      <c r="R554" s="100"/>
      <c r="V554" s="100"/>
      <c r="Y554" s="100"/>
    </row>
    <row r="555">
      <c r="R555" s="100"/>
      <c r="V555" s="100"/>
      <c r="Y555" s="100"/>
    </row>
    <row r="556">
      <c r="R556" s="100"/>
      <c r="V556" s="100"/>
      <c r="Y556" s="100"/>
    </row>
    <row r="557">
      <c r="R557" s="100"/>
      <c r="V557" s="100"/>
      <c r="Y557" s="100"/>
    </row>
    <row r="558">
      <c r="R558" s="100"/>
      <c r="V558" s="100"/>
      <c r="Y558" s="100"/>
    </row>
    <row r="559">
      <c r="R559" s="100"/>
      <c r="V559" s="100"/>
      <c r="Y559" s="100"/>
    </row>
    <row r="560">
      <c r="R560" s="100"/>
      <c r="V560" s="100"/>
      <c r="Y560" s="100"/>
    </row>
    <row r="561">
      <c r="R561" s="100"/>
      <c r="V561" s="100"/>
      <c r="Y561" s="100"/>
    </row>
    <row r="562">
      <c r="R562" s="100"/>
      <c r="V562" s="100"/>
      <c r="Y562" s="100"/>
    </row>
    <row r="563">
      <c r="R563" s="100"/>
      <c r="V563" s="100"/>
      <c r="Y563" s="100"/>
    </row>
    <row r="564">
      <c r="R564" s="100"/>
      <c r="V564" s="100"/>
      <c r="Y564" s="100"/>
    </row>
    <row r="565">
      <c r="R565" s="100"/>
      <c r="V565" s="100"/>
      <c r="Y565" s="100"/>
    </row>
    <row r="566">
      <c r="R566" s="100"/>
      <c r="V566" s="100"/>
      <c r="Y566" s="100"/>
    </row>
    <row r="567">
      <c r="R567" s="100"/>
      <c r="V567" s="100"/>
      <c r="Y567" s="100"/>
    </row>
    <row r="568">
      <c r="R568" s="100"/>
      <c r="V568" s="100"/>
      <c r="Y568" s="100"/>
    </row>
    <row r="569">
      <c r="R569" s="100"/>
      <c r="V569" s="100"/>
      <c r="Y569" s="100"/>
    </row>
    <row r="570">
      <c r="R570" s="100"/>
      <c r="V570" s="100"/>
      <c r="Y570" s="100"/>
    </row>
    <row r="571">
      <c r="R571" s="100"/>
      <c r="V571" s="100"/>
      <c r="Y571" s="100"/>
    </row>
    <row r="572">
      <c r="R572" s="100"/>
      <c r="V572" s="100"/>
      <c r="Y572" s="100"/>
    </row>
    <row r="573">
      <c r="R573" s="100"/>
      <c r="V573" s="100"/>
      <c r="Y573" s="100"/>
    </row>
    <row r="574">
      <c r="R574" s="100"/>
      <c r="V574" s="100"/>
      <c r="Y574" s="100"/>
    </row>
    <row r="575">
      <c r="R575" s="100"/>
      <c r="V575" s="100"/>
      <c r="Y575" s="100"/>
    </row>
    <row r="576">
      <c r="R576" s="100"/>
      <c r="V576" s="100"/>
      <c r="Y576" s="100"/>
    </row>
    <row r="577">
      <c r="R577" s="100"/>
      <c r="V577" s="100"/>
      <c r="Y577" s="100"/>
    </row>
    <row r="578">
      <c r="R578" s="100"/>
      <c r="V578" s="100"/>
      <c r="Y578" s="100"/>
    </row>
    <row r="579">
      <c r="R579" s="100"/>
      <c r="V579" s="100"/>
      <c r="Y579" s="100"/>
    </row>
    <row r="580">
      <c r="R580" s="100"/>
      <c r="V580" s="100"/>
      <c r="Y580" s="100"/>
    </row>
    <row r="581">
      <c r="R581" s="100"/>
      <c r="V581" s="100"/>
      <c r="Y581" s="100"/>
    </row>
    <row r="582">
      <c r="R582" s="100"/>
      <c r="V582" s="100"/>
      <c r="Y582" s="100"/>
    </row>
    <row r="583">
      <c r="R583" s="100"/>
      <c r="V583" s="100"/>
      <c r="Y583" s="100"/>
    </row>
    <row r="584">
      <c r="R584" s="100"/>
      <c r="V584" s="100"/>
      <c r="Y584" s="100"/>
    </row>
    <row r="585">
      <c r="R585" s="100"/>
      <c r="V585" s="100"/>
      <c r="Y585" s="100"/>
    </row>
    <row r="586">
      <c r="R586" s="100"/>
      <c r="V586" s="100"/>
      <c r="Y586" s="100"/>
    </row>
    <row r="587">
      <c r="R587" s="100"/>
      <c r="V587" s="100"/>
      <c r="Y587" s="100"/>
    </row>
    <row r="588">
      <c r="R588" s="100"/>
      <c r="V588" s="100"/>
      <c r="Y588" s="100"/>
    </row>
    <row r="589">
      <c r="R589" s="100"/>
      <c r="V589" s="100"/>
      <c r="Y589" s="100"/>
    </row>
    <row r="590">
      <c r="R590" s="100"/>
      <c r="V590" s="100"/>
      <c r="Y590" s="100"/>
    </row>
    <row r="591">
      <c r="R591" s="100"/>
      <c r="V591" s="100"/>
      <c r="Y591" s="100"/>
    </row>
    <row r="592">
      <c r="R592" s="100"/>
      <c r="V592" s="100"/>
      <c r="Y592" s="100"/>
    </row>
    <row r="593">
      <c r="R593" s="100"/>
      <c r="V593" s="100"/>
      <c r="Y593" s="100"/>
    </row>
    <row r="594">
      <c r="R594" s="100"/>
      <c r="V594" s="100"/>
      <c r="Y594" s="100"/>
    </row>
    <row r="595">
      <c r="R595" s="100"/>
      <c r="V595" s="100"/>
      <c r="Y595" s="100"/>
    </row>
    <row r="596">
      <c r="R596" s="100"/>
      <c r="V596" s="100"/>
      <c r="Y596" s="100"/>
    </row>
    <row r="597">
      <c r="R597" s="100"/>
      <c r="V597" s="100"/>
      <c r="Y597" s="100"/>
    </row>
    <row r="598">
      <c r="R598" s="100"/>
      <c r="V598" s="100"/>
      <c r="Y598" s="100"/>
    </row>
    <row r="599">
      <c r="R599" s="100"/>
      <c r="V599" s="100"/>
      <c r="Y599" s="100"/>
    </row>
    <row r="600">
      <c r="R600" s="100"/>
      <c r="V600" s="100"/>
      <c r="Y600" s="100"/>
    </row>
    <row r="601">
      <c r="R601" s="100"/>
      <c r="V601" s="100"/>
      <c r="Y601" s="100"/>
    </row>
    <row r="602">
      <c r="R602" s="100"/>
      <c r="V602" s="100"/>
      <c r="Y602" s="100"/>
    </row>
    <row r="603">
      <c r="R603" s="100"/>
      <c r="V603" s="100"/>
      <c r="Y603" s="100"/>
    </row>
    <row r="604">
      <c r="R604" s="100"/>
      <c r="V604" s="100"/>
      <c r="Y604" s="100"/>
    </row>
    <row r="605">
      <c r="R605" s="100"/>
      <c r="V605" s="100"/>
      <c r="Y605" s="100"/>
    </row>
    <row r="606">
      <c r="R606" s="100"/>
      <c r="V606" s="100"/>
      <c r="Y606" s="100"/>
    </row>
    <row r="607">
      <c r="R607" s="100"/>
      <c r="V607" s="100"/>
      <c r="Y607" s="100"/>
    </row>
    <row r="608">
      <c r="R608" s="100"/>
      <c r="V608" s="100"/>
      <c r="Y608" s="100"/>
    </row>
    <row r="609">
      <c r="R609" s="100"/>
      <c r="V609" s="100"/>
      <c r="Y609" s="100"/>
    </row>
    <row r="610">
      <c r="R610" s="100"/>
      <c r="V610" s="100"/>
      <c r="Y610" s="100"/>
    </row>
    <row r="611">
      <c r="R611" s="100"/>
      <c r="V611" s="100"/>
      <c r="Y611" s="100"/>
    </row>
    <row r="612">
      <c r="R612" s="100"/>
      <c r="V612" s="100"/>
      <c r="Y612" s="100"/>
    </row>
    <row r="613">
      <c r="R613" s="100"/>
      <c r="V613" s="100"/>
      <c r="Y613" s="100"/>
    </row>
    <row r="614">
      <c r="R614" s="100"/>
      <c r="V614" s="100"/>
      <c r="Y614" s="100"/>
    </row>
    <row r="615">
      <c r="R615" s="100"/>
      <c r="V615" s="100"/>
      <c r="Y615" s="100"/>
    </row>
    <row r="616">
      <c r="R616" s="100"/>
      <c r="V616" s="100"/>
      <c r="Y616" s="100"/>
    </row>
    <row r="617">
      <c r="R617" s="100"/>
      <c r="V617" s="100"/>
      <c r="Y617" s="100"/>
    </row>
    <row r="618">
      <c r="R618" s="100"/>
      <c r="V618" s="100"/>
      <c r="Y618" s="100"/>
    </row>
    <row r="619">
      <c r="R619" s="100"/>
      <c r="V619" s="100"/>
      <c r="Y619" s="100"/>
    </row>
    <row r="620">
      <c r="R620" s="100"/>
      <c r="V620" s="100"/>
      <c r="Y620" s="100"/>
    </row>
    <row r="621">
      <c r="R621" s="100"/>
      <c r="V621" s="100"/>
      <c r="Y621" s="100"/>
    </row>
    <row r="622">
      <c r="R622" s="100"/>
      <c r="V622" s="100"/>
      <c r="Y622" s="100"/>
    </row>
    <row r="623">
      <c r="R623" s="100"/>
      <c r="V623" s="100"/>
      <c r="Y623" s="100"/>
    </row>
    <row r="624">
      <c r="R624" s="100"/>
      <c r="V624" s="100"/>
      <c r="Y624" s="100"/>
    </row>
    <row r="625">
      <c r="R625" s="100"/>
      <c r="V625" s="100"/>
      <c r="Y625" s="100"/>
    </row>
    <row r="626">
      <c r="R626" s="100"/>
      <c r="V626" s="100"/>
      <c r="Y626" s="100"/>
    </row>
    <row r="627">
      <c r="R627" s="100"/>
      <c r="V627" s="100"/>
      <c r="Y627" s="100"/>
    </row>
    <row r="628">
      <c r="R628" s="100"/>
      <c r="V628" s="100"/>
      <c r="Y628" s="100"/>
    </row>
    <row r="629">
      <c r="R629" s="100"/>
      <c r="V629" s="100"/>
      <c r="Y629" s="100"/>
    </row>
    <row r="630">
      <c r="R630" s="100"/>
      <c r="V630" s="100"/>
      <c r="Y630" s="100"/>
    </row>
    <row r="631">
      <c r="R631" s="100"/>
      <c r="V631" s="100"/>
      <c r="Y631" s="100"/>
    </row>
    <row r="632">
      <c r="R632" s="100"/>
      <c r="V632" s="100"/>
      <c r="Y632" s="100"/>
    </row>
    <row r="633">
      <c r="R633" s="100"/>
      <c r="V633" s="100"/>
      <c r="Y633" s="100"/>
    </row>
    <row r="634">
      <c r="R634" s="100"/>
      <c r="V634" s="100"/>
      <c r="Y634" s="100"/>
    </row>
    <row r="635">
      <c r="R635" s="100"/>
      <c r="V635" s="100"/>
      <c r="Y635" s="100"/>
    </row>
    <row r="636">
      <c r="R636" s="100"/>
      <c r="V636" s="100"/>
      <c r="Y636" s="100"/>
    </row>
    <row r="637">
      <c r="R637" s="100"/>
      <c r="V637" s="100"/>
      <c r="Y637" s="100"/>
    </row>
    <row r="638">
      <c r="R638" s="100"/>
      <c r="V638" s="100"/>
      <c r="Y638" s="100"/>
    </row>
    <row r="639">
      <c r="R639" s="100"/>
      <c r="V639" s="100"/>
      <c r="Y639" s="100"/>
    </row>
    <row r="640">
      <c r="R640" s="100"/>
      <c r="V640" s="100"/>
      <c r="Y640" s="100"/>
    </row>
    <row r="641">
      <c r="R641" s="100"/>
      <c r="V641" s="100"/>
      <c r="Y641" s="100"/>
    </row>
    <row r="642">
      <c r="R642" s="100"/>
      <c r="V642" s="100"/>
      <c r="Y642" s="100"/>
    </row>
    <row r="643">
      <c r="R643" s="100"/>
      <c r="V643" s="100"/>
      <c r="Y643" s="100"/>
    </row>
    <row r="644">
      <c r="R644" s="100"/>
      <c r="V644" s="100"/>
      <c r="Y644" s="100"/>
    </row>
    <row r="645">
      <c r="R645" s="100"/>
      <c r="V645" s="100"/>
      <c r="Y645" s="100"/>
    </row>
    <row r="646">
      <c r="R646" s="100"/>
      <c r="V646" s="100"/>
      <c r="Y646" s="100"/>
    </row>
    <row r="647">
      <c r="R647" s="100"/>
      <c r="V647" s="100"/>
      <c r="Y647" s="100"/>
    </row>
    <row r="648">
      <c r="R648" s="100"/>
      <c r="V648" s="100"/>
      <c r="Y648" s="100"/>
    </row>
    <row r="649">
      <c r="R649" s="100"/>
      <c r="V649" s="100"/>
      <c r="Y649" s="100"/>
    </row>
    <row r="650">
      <c r="R650" s="100"/>
      <c r="V650" s="100"/>
      <c r="Y650" s="100"/>
    </row>
    <row r="651">
      <c r="R651" s="100"/>
      <c r="V651" s="100"/>
      <c r="Y651" s="100"/>
    </row>
    <row r="652">
      <c r="R652" s="100"/>
      <c r="V652" s="100"/>
      <c r="Y652" s="100"/>
    </row>
    <row r="653">
      <c r="R653" s="100"/>
      <c r="V653" s="100"/>
      <c r="Y653" s="100"/>
    </row>
    <row r="654">
      <c r="R654" s="100"/>
      <c r="V654" s="100"/>
      <c r="Y654" s="100"/>
    </row>
    <row r="655">
      <c r="R655" s="100"/>
      <c r="V655" s="100"/>
      <c r="Y655" s="100"/>
    </row>
    <row r="656">
      <c r="R656" s="100"/>
      <c r="V656" s="100"/>
      <c r="Y656" s="100"/>
    </row>
    <row r="657">
      <c r="R657" s="100"/>
      <c r="V657" s="100"/>
      <c r="Y657" s="100"/>
    </row>
    <row r="658">
      <c r="R658" s="100"/>
      <c r="V658" s="100"/>
      <c r="Y658" s="100"/>
    </row>
    <row r="659">
      <c r="R659" s="100"/>
      <c r="V659" s="100"/>
      <c r="Y659" s="100"/>
    </row>
    <row r="660">
      <c r="R660" s="100"/>
      <c r="V660" s="100"/>
      <c r="Y660" s="100"/>
    </row>
    <row r="661">
      <c r="R661" s="100"/>
      <c r="V661" s="100"/>
      <c r="Y661" s="100"/>
    </row>
    <row r="662">
      <c r="R662" s="100"/>
      <c r="V662" s="100"/>
      <c r="Y662" s="100"/>
    </row>
    <row r="663">
      <c r="R663" s="100"/>
      <c r="V663" s="100"/>
      <c r="Y663" s="100"/>
    </row>
    <row r="664">
      <c r="R664" s="100"/>
      <c r="V664" s="100"/>
      <c r="Y664" s="100"/>
    </row>
    <row r="665">
      <c r="R665" s="100"/>
      <c r="V665" s="100"/>
      <c r="Y665" s="100"/>
    </row>
    <row r="666">
      <c r="R666" s="100"/>
      <c r="V666" s="100"/>
      <c r="Y666" s="100"/>
    </row>
    <row r="667">
      <c r="R667" s="100"/>
      <c r="V667" s="100"/>
      <c r="Y667" s="100"/>
    </row>
    <row r="668">
      <c r="R668" s="100"/>
      <c r="V668" s="100"/>
      <c r="Y668" s="100"/>
    </row>
    <row r="669">
      <c r="R669" s="100"/>
      <c r="V669" s="100"/>
      <c r="Y669" s="100"/>
    </row>
    <row r="670">
      <c r="R670" s="100"/>
      <c r="V670" s="100"/>
      <c r="Y670" s="100"/>
    </row>
    <row r="671">
      <c r="R671" s="100"/>
      <c r="V671" s="100"/>
      <c r="Y671" s="100"/>
    </row>
    <row r="672">
      <c r="R672" s="100"/>
      <c r="V672" s="100"/>
      <c r="Y672" s="100"/>
    </row>
    <row r="673">
      <c r="R673" s="100"/>
      <c r="V673" s="100"/>
      <c r="Y673" s="100"/>
    </row>
    <row r="674">
      <c r="R674" s="100"/>
      <c r="V674" s="100"/>
      <c r="Y674" s="100"/>
    </row>
    <row r="675">
      <c r="R675" s="100"/>
      <c r="V675" s="100"/>
      <c r="Y675" s="100"/>
    </row>
    <row r="676">
      <c r="R676" s="100"/>
      <c r="V676" s="100"/>
      <c r="Y676" s="100"/>
    </row>
    <row r="677">
      <c r="R677" s="100"/>
      <c r="V677" s="100"/>
      <c r="Y677" s="100"/>
    </row>
    <row r="678">
      <c r="R678" s="100"/>
      <c r="V678" s="100"/>
      <c r="Y678" s="100"/>
    </row>
    <row r="679">
      <c r="R679" s="100"/>
      <c r="V679" s="100"/>
      <c r="Y679" s="100"/>
    </row>
    <row r="680">
      <c r="R680" s="100"/>
      <c r="V680" s="100"/>
      <c r="Y680" s="100"/>
    </row>
    <row r="681">
      <c r="R681" s="100"/>
      <c r="V681" s="100"/>
      <c r="Y681" s="100"/>
    </row>
    <row r="682">
      <c r="R682" s="100"/>
      <c r="V682" s="100"/>
      <c r="Y682" s="100"/>
    </row>
    <row r="683">
      <c r="R683" s="100"/>
      <c r="V683" s="100"/>
      <c r="Y683" s="100"/>
    </row>
    <row r="684">
      <c r="R684" s="100"/>
      <c r="V684" s="100"/>
      <c r="Y684" s="100"/>
    </row>
    <row r="685">
      <c r="R685" s="100"/>
      <c r="V685" s="100"/>
      <c r="Y685" s="100"/>
    </row>
    <row r="686">
      <c r="R686" s="100"/>
      <c r="V686" s="100"/>
      <c r="Y686" s="100"/>
    </row>
    <row r="687">
      <c r="R687" s="100"/>
      <c r="V687" s="100"/>
      <c r="Y687" s="100"/>
    </row>
    <row r="688">
      <c r="R688" s="100"/>
      <c r="V688" s="100"/>
      <c r="Y688" s="100"/>
    </row>
    <row r="689">
      <c r="R689" s="100"/>
      <c r="V689" s="100"/>
      <c r="Y689" s="100"/>
    </row>
    <row r="690">
      <c r="R690" s="100"/>
      <c r="V690" s="100"/>
      <c r="Y690" s="100"/>
    </row>
    <row r="691">
      <c r="R691" s="100"/>
      <c r="V691" s="100"/>
      <c r="Y691" s="100"/>
    </row>
    <row r="692">
      <c r="R692" s="100"/>
      <c r="V692" s="100"/>
      <c r="Y692" s="100"/>
    </row>
    <row r="693">
      <c r="R693" s="100"/>
      <c r="V693" s="100"/>
      <c r="Y693" s="100"/>
    </row>
    <row r="694">
      <c r="R694" s="100"/>
      <c r="V694" s="100"/>
      <c r="Y694" s="100"/>
    </row>
    <row r="695">
      <c r="R695" s="100"/>
      <c r="V695" s="100"/>
      <c r="Y695" s="100"/>
    </row>
    <row r="696">
      <c r="R696" s="100"/>
      <c r="V696" s="100"/>
      <c r="Y696" s="100"/>
    </row>
    <row r="697">
      <c r="R697" s="100"/>
      <c r="V697" s="100"/>
      <c r="Y697" s="100"/>
    </row>
    <row r="698">
      <c r="R698" s="100"/>
      <c r="V698" s="100"/>
      <c r="Y698" s="100"/>
    </row>
    <row r="699">
      <c r="R699" s="100"/>
      <c r="V699" s="100"/>
      <c r="Y699" s="100"/>
    </row>
    <row r="700">
      <c r="R700" s="100"/>
      <c r="V700" s="100"/>
      <c r="Y700" s="100"/>
    </row>
    <row r="701">
      <c r="R701" s="100"/>
      <c r="V701" s="100"/>
      <c r="Y701" s="100"/>
    </row>
    <row r="702">
      <c r="R702" s="100"/>
      <c r="V702" s="100"/>
      <c r="Y702" s="100"/>
    </row>
    <row r="703">
      <c r="R703" s="100"/>
      <c r="V703" s="100"/>
      <c r="Y703" s="100"/>
    </row>
    <row r="704">
      <c r="R704" s="100"/>
      <c r="V704" s="100"/>
      <c r="Y704" s="100"/>
    </row>
    <row r="705">
      <c r="R705" s="100"/>
      <c r="V705" s="100"/>
      <c r="Y705" s="100"/>
    </row>
    <row r="706">
      <c r="R706" s="100"/>
      <c r="V706" s="100"/>
      <c r="Y706" s="100"/>
    </row>
    <row r="707">
      <c r="R707" s="100"/>
      <c r="V707" s="100"/>
      <c r="Y707" s="100"/>
    </row>
    <row r="708">
      <c r="R708" s="100"/>
      <c r="V708" s="100"/>
      <c r="Y708" s="100"/>
    </row>
    <row r="709">
      <c r="R709" s="100"/>
      <c r="V709" s="100"/>
      <c r="Y709" s="100"/>
    </row>
    <row r="710">
      <c r="R710" s="100"/>
      <c r="V710" s="100"/>
      <c r="Y710" s="100"/>
    </row>
    <row r="711">
      <c r="R711" s="100"/>
      <c r="V711" s="100"/>
      <c r="Y711" s="100"/>
    </row>
    <row r="712">
      <c r="R712" s="100"/>
      <c r="V712" s="100"/>
      <c r="Y712" s="100"/>
    </row>
    <row r="713">
      <c r="R713" s="100"/>
      <c r="V713" s="100"/>
      <c r="Y713" s="100"/>
    </row>
    <row r="714">
      <c r="R714" s="100"/>
      <c r="V714" s="100"/>
      <c r="Y714" s="100"/>
    </row>
    <row r="715">
      <c r="R715" s="100"/>
      <c r="V715" s="100"/>
      <c r="Y715" s="100"/>
    </row>
    <row r="716">
      <c r="R716" s="100"/>
      <c r="V716" s="100"/>
      <c r="Y716" s="100"/>
    </row>
    <row r="717">
      <c r="R717" s="100"/>
      <c r="V717" s="100"/>
      <c r="Y717" s="100"/>
    </row>
    <row r="718">
      <c r="R718" s="100"/>
      <c r="V718" s="100"/>
      <c r="Y718" s="100"/>
    </row>
    <row r="719">
      <c r="R719" s="100"/>
      <c r="V719" s="100"/>
      <c r="Y719" s="100"/>
    </row>
    <row r="720">
      <c r="R720" s="100"/>
      <c r="V720" s="100"/>
      <c r="Y720" s="100"/>
    </row>
    <row r="721">
      <c r="R721" s="100"/>
      <c r="V721" s="100"/>
      <c r="Y721" s="100"/>
    </row>
    <row r="722">
      <c r="R722" s="100"/>
      <c r="V722" s="100"/>
      <c r="Y722" s="100"/>
    </row>
    <row r="723">
      <c r="R723" s="100"/>
      <c r="V723" s="100"/>
      <c r="Y723" s="100"/>
    </row>
    <row r="724">
      <c r="R724" s="100"/>
      <c r="V724" s="100"/>
      <c r="Y724" s="100"/>
    </row>
    <row r="725">
      <c r="R725" s="100"/>
      <c r="V725" s="100"/>
      <c r="Y725" s="100"/>
    </row>
    <row r="726">
      <c r="R726" s="100"/>
      <c r="V726" s="100"/>
      <c r="Y726" s="100"/>
    </row>
    <row r="727">
      <c r="R727" s="100"/>
      <c r="V727" s="100"/>
      <c r="Y727" s="100"/>
    </row>
    <row r="728">
      <c r="R728" s="100"/>
      <c r="V728" s="100"/>
      <c r="Y728" s="100"/>
    </row>
    <row r="729">
      <c r="R729" s="100"/>
      <c r="V729" s="100"/>
      <c r="Y729" s="100"/>
    </row>
    <row r="730">
      <c r="R730" s="100"/>
      <c r="V730" s="100"/>
      <c r="Y730" s="100"/>
    </row>
    <row r="731">
      <c r="R731" s="100"/>
      <c r="V731" s="100"/>
      <c r="Y731" s="100"/>
    </row>
    <row r="732">
      <c r="R732" s="100"/>
      <c r="V732" s="100"/>
      <c r="Y732" s="100"/>
    </row>
    <row r="733">
      <c r="R733" s="100"/>
      <c r="V733" s="100"/>
      <c r="Y733" s="100"/>
    </row>
    <row r="734">
      <c r="R734" s="100"/>
      <c r="V734" s="100"/>
      <c r="Y734" s="100"/>
    </row>
    <row r="735">
      <c r="R735" s="100"/>
      <c r="V735" s="100"/>
      <c r="Y735" s="100"/>
    </row>
    <row r="736">
      <c r="R736" s="100"/>
      <c r="V736" s="100"/>
      <c r="Y736" s="100"/>
    </row>
    <row r="737">
      <c r="R737" s="100"/>
      <c r="V737" s="100"/>
      <c r="Y737" s="100"/>
    </row>
    <row r="738">
      <c r="R738" s="100"/>
      <c r="V738" s="100"/>
      <c r="Y738" s="100"/>
    </row>
    <row r="739">
      <c r="R739" s="100"/>
      <c r="V739" s="100"/>
      <c r="Y739" s="100"/>
    </row>
    <row r="740">
      <c r="R740" s="100"/>
      <c r="V740" s="100"/>
      <c r="Y740" s="100"/>
    </row>
    <row r="741">
      <c r="R741" s="100"/>
      <c r="V741" s="100"/>
      <c r="Y741" s="100"/>
    </row>
    <row r="742">
      <c r="R742" s="100"/>
      <c r="V742" s="100"/>
      <c r="Y742" s="100"/>
    </row>
    <row r="743">
      <c r="R743" s="100"/>
      <c r="V743" s="100"/>
      <c r="Y743" s="100"/>
    </row>
    <row r="744">
      <c r="R744" s="100"/>
      <c r="V744" s="100"/>
      <c r="Y744" s="100"/>
    </row>
    <row r="745">
      <c r="R745" s="100"/>
      <c r="V745" s="100"/>
      <c r="Y745" s="100"/>
    </row>
    <row r="746">
      <c r="R746" s="100"/>
      <c r="V746" s="100"/>
      <c r="Y746" s="100"/>
    </row>
    <row r="747">
      <c r="R747" s="100"/>
      <c r="V747" s="100"/>
      <c r="Y747" s="100"/>
    </row>
    <row r="748">
      <c r="R748" s="100"/>
      <c r="V748" s="100"/>
      <c r="Y748" s="100"/>
    </row>
    <row r="749">
      <c r="R749" s="100"/>
      <c r="V749" s="100"/>
      <c r="Y749" s="100"/>
    </row>
    <row r="750">
      <c r="R750" s="100"/>
      <c r="V750" s="100"/>
      <c r="Y750" s="100"/>
    </row>
    <row r="751">
      <c r="R751" s="100"/>
      <c r="V751" s="100"/>
      <c r="Y751" s="100"/>
    </row>
    <row r="752">
      <c r="R752" s="100"/>
      <c r="V752" s="100"/>
      <c r="Y752" s="100"/>
    </row>
    <row r="753">
      <c r="R753" s="100"/>
      <c r="V753" s="100"/>
      <c r="Y753" s="100"/>
    </row>
    <row r="754">
      <c r="R754" s="100"/>
      <c r="V754" s="100"/>
      <c r="Y754" s="100"/>
    </row>
    <row r="755">
      <c r="R755" s="100"/>
      <c r="V755" s="100"/>
      <c r="Y755" s="100"/>
    </row>
    <row r="756">
      <c r="R756" s="100"/>
      <c r="V756" s="100"/>
      <c r="Y756" s="100"/>
    </row>
    <row r="757">
      <c r="R757" s="100"/>
      <c r="V757" s="100"/>
      <c r="Y757" s="100"/>
    </row>
    <row r="758">
      <c r="R758" s="100"/>
      <c r="V758" s="100"/>
      <c r="Y758" s="100"/>
    </row>
    <row r="759">
      <c r="R759" s="100"/>
      <c r="V759" s="100"/>
      <c r="Y759" s="100"/>
    </row>
    <row r="760">
      <c r="R760" s="100"/>
      <c r="V760" s="100"/>
      <c r="Y760" s="100"/>
    </row>
    <row r="761">
      <c r="R761" s="100"/>
      <c r="V761" s="100"/>
      <c r="Y761" s="100"/>
    </row>
    <row r="762">
      <c r="R762" s="100"/>
      <c r="V762" s="100"/>
      <c r="Y762" s="100"/>
    </row>
    <row r="763">
      <c r="R763" s="100"/>
      <c r="V763" s="100"/>
      <c r="Y763" s="100"/>
    </row>
    <row r="764">
      <c r="R764" s="100"/>
      <c r="V764" s="100"/>
      <c r="Y764" s="100"/>
    </row>
    <row r="765">
      <c r="R765" s="100"/>
      <c r="V765" s="100"/>
      <c r="Y765" s="100"/>
    </row>
    <row r="766">
      <c r="R766" s="100"/>
      <c r="V766" s="100"/>
      <c r="Y766" s="100"/>
    </row>
    <row r="767">
      <c r="R767" s="100"/>
      <c r="V767" s="100"/>
      <c r="Y767" s="100"/>
    </row>
    <row r="768">
      <c r="R768" s="100"/>
      <c r="V768" s="100"/>
      <c r="Y768" s="100"/>
    </row>
    <row r="769">
      <c r="R769" s="100"/>
      <c r="V769" s="100"/>
      <c r="Y769" s="100"/>
    </row>
    <row r="770">
      <c r="R770" s="100"/>
      <c r="V770" s="100"/>
      <c r="Y770" s="100"/>
    </row>
    <row r="771">
      <c r="R771" s="100"/>
      <c r="V771" s="100"/>
      <c r="Y771" s="100"/>
    </row>
    <row r="772">
      <c r="R772" s="100"/>
      <c r="V772" s="100"/>
      <c r="Y772" s="100"/>
    </row>
    <row r="773">
      <c r="R773" s="100"/>
      <c r="V773" s="100"/>
      <c r="Y773" s="100"/>
    </row>
    <row r="774">
      <c r="R774" s="100"/>
      <c r="V774" s="100"/>
      <c r="Y774" s="100"/>
    </row>
    <row r="775">
      <c r="R775" s="100"/>
      <c r="V775" s="100"/>
      <c r="Y775" s="100"/>
    </row>
    <row r="776">
      <c r="R776" s="100"/>
      <c r="V776" s="100"/>
      <c r="Y776" s="100"/>
    </row>
    <row r="777">
      <c r="R777" s="100"/>
      <c r="V777" s="100"/>
      <c r="Y777" s="100"/>
    </row>
    <row r="778">
      <c r="R778" s="100"/>
      <c r="V778" s="100"/>
      <c r="Y778" s="100"/>
    </row>
    <row r="779">
      <c r="R779" s="100"/>
      <c r="V779" s="100"/>
      <c r="Y779" s="100"/>
    </row>
    <row r="780">
      <c r="R780" s="100"/>
      <c r="V780" s="100"/>
      <c r="Y780" s="100"/>
    </row>
    <row r="781">
      <c r="R781" s="100"/>
      <c r="V781" s="100"/>
      <c r="Y781" s="100"/>
    </row>
    <row r="782">
      <c r="R782" s="100"/>
      <c r="V782" s="100"/>
      <c r="Y782" s="100"/>
    </row>
    <row r="783">
      <c r="R783" s="100"/>
      <c r="V783" s="100"/>
      <c r="Y783" s="100"/>
    </row>
    <row r="784">
      <c r="R784" s="100"/>
      <c r="V784" s="100"/>
      <c r="Y784" s="100"/>
    </row>
    <row r="785">
      <c r="R785" s="100"/>
      <c r="V785" s="100"/>
      <c r="Y785" s="100"/>
    </row>
    <row r="786">
      <c r="R786" s="100"/>
      <c r="V786" s="100"/>
      <c r="Y786" s="100"/>
    </row>
    <row r="787">
      <c r="R787" s="100"/>
      <c r="V787" s="100"/>
      <c r="Y787" s="100"/>
    </row>
    <row r="788">
      <c r="R788" s="100"/>
      <c r="V788" s="100"/>
      <c r="Y788" s="100"/>
    </row>
    <row r="789">
      <c r="R789" s="100"/>
      <c r="V789" s="100"/>
      <c r="Y789" s="100"/>
    </row>
    <row r="790">
      <c r="R790" s="100"/>
      <c r="V790" s="100"/>
      <c r="Y790" s="100"/>
    </row>
    <row r="791">
      <c r="R791" s="100"/>
      <c r="V791" s="100"/>
      <c r="Y791" s="100"/>
    </row>
    <row r="792">
      <c r="R792" s="100"/>
      <c r="V792" s="100"/>
      <c r="Y792" s="100"/>
    </row>
    <row r="793">
      <c r="R793" s="100"/>
      <c r="V793" s="100"/>
      <c r="Y793" s="100"/>
    </row>
    <row r="794">
      <c r="R794" s="100"/>
      <c r="V794" s="100"/>
      <c r="Y794" s="100"/>
    </row>
    <row r="795">
      <c r="R795" s="100"/>
      <c r="V795" s="100"/>
      <c r="Y795" s="100"/>
    </row>
    <row r="796">
      <c r="R796" s="100"/>
      <c r="V796" s="100"/>
      <c r="Y796" s="100"/>
    </row>
    <row r="797">
      <c r="R797" s="100"/>
      <c r="V797" s="100"/>
      <c r="Y797" s="100"/>
    </row>
    <row r="798">
      <c r="R798" s="100"/>
      <c r="V798" s="100"/>
      <c r="Y798" s="100"/>
    </row>
    <row r="799">
      <c r="R799" s="100"/>
      <c r="V799" s="100"/>
      <c r="Y799" s="100"/>
    </row>
    <row r="800">
      <c r="R800" s="100"/>
      <c r="V800" s="100"/>
      <c r="Y800" s="100"/>
    </row>
    <row r="801">
      <c r="R801" s="100"/>
      <c r="V801" s="100"/>
      <c r="Y801" s="100"/>
    </row>
    <row r="802">
      <c r="R802" s="100"/>
      <c r="V802" s="100"/>
      <c r="Y802" s="100"/>
    </row>
    <row r="803">
      <c r="R803" s="100"/>
      <c r="V803" s="100"/>
      <c r="Y803" s="100"/>
    </row>
    <row r="804">
      <c r="R804" s="100"/>
      <c r="V804" s="100"/>
      <c r="Y804" s="100"/>
    </row>
    <row r="805">
      <c r="R805" s="100"/>
      <c r="V805" s="100"/>
      <c r="Y805" s="100"/>
    </row>
    <row r="806">
      <c r="R806" s="100"/>
      <c r="V806" s="100"/>
      <c r="Y806" s="100"/>
    </row>
    <row r="807">
      <c r="R807" s="100"/>
      <c r="V807" s="100"/>
      <c r="Y807" s="100"/>
    </row>
    <row r="808">
      <c r="R808" s="100"/>
      <c r="V808" s="100"/>
      <c r="Y808" s="100"/>
    </row>
    <row r="809">
      <c r="R809" s="100"/>
      <c r="V809" s="100"/>
      <c r="Y809" s="100"/>
    </row>
    <row r="810">
      <c r="R810" s="100"/>
      <c r="V810" s="100"/>
      <c r="Y810" s="100"/>
    </row>
    <row r="811">
      <c r="R811" s="100"/>
      <c r="V811" s="100"/>
      <c r="Y811" s="100"/>
    </row>
    <row r="812">
      <c r="R812" s="100"/>
      <c r="V812" s="100"/>
      <c r="Y812" s="100"/>
    </row>
    <row r="813">
      <c r="R813" s="100"/>
      <c r="V813" s="100"/>
      <c r="Y813" s="100"/>
    </row>
    <row r="814">
      <c r="R814" s="100"/>
      <c r="V814" s="100"/>
      <c r="Y814" s="100"/>
    </row>
    <row r="815">
      <c r="R815" s="100"/>
      <c r="V815" s="100"/>
      <c r="Y815" s="100"/>
    </row>
    <row r="816">
      <c r="R816" s="100"/>
      <c r="V816" s="100"/>
      <c r="Y816" s="100"/>
    </row>
    <row r="817">
      <c r="R817" s="100"/>
      <c r="V817" s="100"/>
      <c r="Y817" s="100"/>
    </row>
    <row r="818">
      <c r="R818" s="100"/>
      <c r="V818" s="100"/>
      <c r="Y818" s="100"/>
    </row>
    <row r="819">
      <c r="R819" s="100"/>
      <c r="V819" s="100"/>
      <c r="Y819" s="100"/>
    </row>
    <row r="820">
      <c r="R820" s="100"/>
      <c r="V820" s="100"/>
      <c r="Y820" s="100"/>
    </row>
    <row r="821">
      <c r="R821" s="100"/>
      <c r="V821" s="100"/>
      <c r="Y821" s="100"/>
    </row>
    <row r="822">
      <c r="R822" s="100"/>
      <c r="V822" s="100"/>
      <c r="Y822" s="100"/>
    </row>
    <row r="823">
      <c r="R823" s="100"/>
      <c r="V823" s="100"/>
      <c r="Y823" s="100"/>
    </row>
    <row r="824">
      <c r="R824" s="100"/>
      <c r="V824" s="100"/>
      <c r="Y824" s="100"/>
    </row>
    <row r="825">
      <c r="R825" s="100"/>
      <c r="V825" s="100"/>
      <c r="Y825" s="100"/>
    </row>
    <row r="826">
      <c r="R826" s="100"/>
      <c r="V826" s="100"/>
      <c r="Y826" s="100"/>
    </row>
    <row r="827">
      <c r="R827" s="100"/>
      <c r="V827" s="100"/>
      <c r="Y827" s="100"/>
    </row>
    <row r="828">
      <c r="R828" s="100"/>
      <c r="V828" s="100"/>
      <c r="Y828" s="100"/>
    </row>
    <row r="829">
      <c r="R829" s="100"/>
      <c r="V829" s="100"/>
      <c r="Y829" s="100"/>
    </row>
    <row r="830">
      <c r="R830" s="100"/>
      <c r="V830" s="100"/>
      <c r="Y830" s="100"/>
    </row>
    <row r="831">
      <c r="R831" s="100"/>
      <c r="V831" s="100"/>
      <c r="Y831" s="100"/>
    </row>
    <row r="832">
      <c r="R832" s="100"/>
      <c r="V832" s="100"/>
      <c r="Y832" s="100"/>
    </row>
    <row r="833">
      <c r="R833" s="100"/>
      <c r="V833" s="100"/>
      <c r="Y833" s="100"/>
    </row>
    <row r="834">
      <c r="R834" s="100"/>
      <c r="V834" s="100"/>
      <c r="Y834" s="100"/>
    </row>
    <row r="835">
      <c r="R835" s="100"/>
      <c r="V835" s="100"/>
      <c r="Y835" s="100"/>
    </row>
    <row r="836">
      <c r="R836" s="100"/>
      <c r="V836" s="100"/>
      <c r="Y836" s="100"/>
    </row>
    <row r="837">
      <c r="R837" s="100"/>
      <c r="V837" s="100"/>
      <c r="Y837" s="100"/>
    </row>
    <row r="838">
      <c r="R838" s="100"/>
      <c r="V838" s="100"/>
      <c r="Y838" s="100"/>
    </row>
    <row r="839">
      <c r="R839" s="100"/>
      <c r="V839" s="100"/>
      <c r="Y839" s="100"/>
    </row>
    <row r="840">
      <c r="R840" s="100"/>
      <c r="V840" s="100"/>
      <c r="Y840" s="100"/>
    </row>
    <row r="841">
      <c r="R841" s="100"/>
      <c r="V841" s="100"/>
      <c r="Y841" s="100"/>
    </row>
    <row r="842">
      <c r="R842" s="100"/>
      <c r="V842" s="100"/>
      <c r="Y842" s="100"/>
    </row>
    <row r="843">
      <c r="R843" s="100"/>
      <c r="V843" s="100"/>
      <c r="Y843" s="100"/>
    </row>
    <row r="844">
      <c r="R844" s="100"/>
      <c r="V844" s="100"/>
      <c r="Y844" s="100"/>
    </row>
    <row r="845">
      <c r="R845" s="100"/>
      <c r="V845" s="100"/>
      <c r="Y845" s="100"/>
    </row>
    <row r="846">
      <c r="R846" s="100"/>
      <c r="V846" s="100"/>
      <c r="Y846" s="100"/>
    </row>
    <row r="847">
      <c r="R847" s="100"/>
      <c r="V847" s="100"/>
      <c r="Y847" s="100"/>
    </row>
    <row r="848">
      <c r="R848" s="100"/>
      <c r="V848" s="100"/>
      <c r="Y848" s="100"/>
    </row>
    <row r="849">
      <c r="R849" s="100"/>
      <c r="V849" s="100"/>
      <c r="Y849" s="100"/>
    </row>
    <row r="850">
      <c r="R850" s="100"/>
      <c r="V850" s="100"/>
      <c r="Y850" s="100"/>
    </row>
    <row r="851">
      <c r="R851" s="100"/>
      <c r="V851" s="100"/>
      <c r="Y851" s="100"/>
    </row>
    <row r="852">
      <c r="R852" s="100"/>
      <c r="V852" s="100"/>
      <c r="Y852" s="100"/>
    </row>
    <row r="853">
      <c r="R853" s="100"/>
      <c r="V853" s="100"/>
      <c r="Y853" s="100"/>
    </row>
    <row r="854">
      <c r="R854" s="100"/>
      <c r="V854" s="100"/>
      <c r="Y854" s="100"/>
    </row>
    <row r="855">
      <c r="R855" s="100"/>
      <c r="V855" s="100"/>
      <c r="Y855" s="100"/>
    </row>
    <row r="856">
      <c r="R856" s="100"/>
      <c r="V856" s="100"/>
      <c r="Y856" s="100"/>
    </row>
    <row r="857">
      <c r="R857" s="100"/>
      <c r="V857" s="100"/>
      <c r="Y857" s="100"/>
    </row>
    <row r="858">
      <c r="R858" s="100"/>
      <c r="V858" s="100"/>
      <c r="Y858" s="100"/>
    </row>
    <row r="859">
      <c r="R859" s="100"/>
      <c r="V859" s="100"/>
      <c r="Y859" s="100"/>
    </row>
    <row r="860">
      <c r="R860" s="100"/>
      <c r="V860" s="100"/>
      <c r="Y860" s="100"/>
    </row>
    <row r="861">
      <c r="R861" s="100"/>
      <c r="V861" s="100"/>
      <c r="Y861" s="100"/>
    </row>
    <row r="862">
      <c r="R862" s="100"/>
      <c r="V862" s="100"/>
      <c r="Y862" s="100"/>
    </row>
    <row r="863">
      <c r="R863" s="100"/>
      <c r="V863" s="100"/>
      <c r="Y863" s="100"/>
    </row>
    <row r="864">
      <c r="R864" s="100"/>
      <c r="V864" s="100"/>
      <c r="Y864" s="100"/>
    </row>
    <row r="865">
      <c r="R865" s="100"/>
      <c r="V865" s="100"/>
      <c r="Y865" s="100"/>
    </row>
    <row r="866">
      <c r="R866" s="100"/>
      <c r="V866" s="100"/>
      <c r="Y866" s="100"/>
    </row>
    <row r="867">
      <c r="R867" s="100"/>
      <c r="V867" s="100"/>
      <c r="Y867" s="100"/>
    </row>
    <row r="868">
      <c r="R868" s="100"/>
      <c r="V868" s="100"/>
      <c r="Y868" s="100"/>
    </row>
    <row r="869">
      <c r="R869" s="100"/>
      <c r="V869" s="100"/>
      <c r="Y869" s="100"/>
    </row>
    <row r="870">
      <c r="R870" s="100"/>
      <c r="V870" s="100"/>
      <c r="Y870" s="100"/>
    </row>
    <row r="871">
      <c r="R871" s="100"/>
      <c r="V871" s="100"/>
      <c r="Y871" s="100"/>
    </row>
    <row r="872">
      <c r="R872" s="100"/>
      <c r="V872" s="100"/>
      <c r="Y872" s="100"/>
    </row>
    <row r="873">
      <c r="R873" s="100"/>
      <c r="V873" s="100"/>
      <c r="Y873" s="100"/>
    </row>
    <row r="874">
      <c r="R874" s="100"/>
      <c r="V874" s="100"/>
      <c r="Y874" s="100"/>
    </row>
    <row r="875">
      <c r="R875" s="100"/>
      <c r="V875" s="100"/>
      <c r="Y875" s="100"/>
    </row>
    <row r="876">
      <c r="R876" s="100"/>
      <c r="V876" s="100"/>
      <c r="Y876" s="100"/>
    </row>
    <row r="877">
      <c r="R877" s="100"/>
      <c r="V877" s="100"/>
      <c r="Y877" s="100"/>
    </row>
    <row r="878">
      <c r="R878" s="100"/>
      <c r="V878" s="100"/>
      <c r="Y878" s="100"/>
    </row>
    <row r="879">
      <c r="R879" s="100"/>
      <c r="V879" s="100"/>
      <c r="Y879" s="100"/>
    </row>
    <row r="880">
      <c r="R880" s="100"/>
      <c r="V880" s="100"/>
      <c r="Y880" s="100"/>
    </row>
    <row r="881">
      <c r="R881" s="100"/>
      <c r="V881" s="100"/>
      <c r="Y881" s="100"/>
    </row>
    <row r="882">
      <c r="R882" s="100"/>
      <c r="V882" s="100"/>
      <c r="Y882" s="100"/>
    </row>
    <row r="883">
      <c r="R883" s="100"/>
      <c r="V883" s="100"/>
      <c r="Y883" s="100"/>
    </row>
    <row r="884">
      <c r="R884" s="100"/>
      <c r="V884" s="100"/>
      <c r="Y884" s="100"/>
    </row>
    <row r="885">
      <c r="R885" s="100"/>
      <c r="V885" s="100"/>
      <c r="Y885" s="100"/>
    </row>
    <row r="886">
      <c r="R886" s="100"/>
      <c r="V886" s="100"/>
      <c r="Y886" s="100"/>
    </row>
    <row r="887">
      <c r="R887" s="100"/>
      <c r="V887" s="100"/>
      <c r="Y887" s="100"/>
    </row>
    <row r="888">
      <c r="R888" s="100"/>
      <c r="V888" s="100"/>
      <c r="Y888" s="100"/>
    </row>
    <row r="889">
      <c r="R889" s="100"/>
      <c r="V889" s="100"/>
      <c r="Y889" s="100"/>
    </row>
    <row r="890">
      <c r="R890" s="100"/>
      <c r="V890" s="100"/>
      <c r="Y890" s="100"/>
    </row>
    <row r="891">
      <c r="R891" s="100"/>
      <c r="V891" s="100"/>
      <c r="Y891" s="100"/>
    </row>
    <row r="892">
      <c r="R892" s="100"/>
      <c r="V892" s="100"/>
      <c r="Y892" s="100"/>
    </row>
    <row r="893">
      <c r="R893" s="100"/>
      <c r="V893" s="100"/>
      <c r="Y893" s="100"/>
    </row>
    <row r="894">
      <c r="R894" s="100"/>
      <c r="V894" s="100"/>
      <c r="Y894" s="100"/>
    </row>
    <row r="895">
      <c r="R895" s="100"/>
      <c r="V895" s="100"/>
      <c r="Y895" s="100"/>
    </row>
    <row r="896">
      <c r="R896" s="100"/>
      <c r="V896" s="100"/>
      <c r="Y896" s="100"/>
    </row>
    <row r="897">
      <c r="R897" s="100"/>
      <c r="V897" s="100"/>
      <c r="Y897" s="100"/>
    </row>
    <row r="898">
      <c r="R898" s="100"/>
      <c r="V898" s="100"/>
      <c r="Y898" s="100"/>
    </row>
    <row r="899">
      <c r="R899" s="100"/>
      <c r="V899" s="100"/>
      <c r="Y899" s="100"/>
    </row>
    <row r="900">
      <c r="R900" s="100"/>
      <c r="V900" s="100"/>
      <c r="Y900" s="100"/>
    </row>
    <row r="901">
      <c r="R901" s="100"/>
      <c r="V901" s="100"/>
      <c r="Y901" s="100"/>
    </row>
    <row r="902">
      <c r="R902" s="100"/>
      <c r="V902" s="100"/>
      <c r="Y902" s="100"/>
    </row>
    <row r="903">
      <c r="R903" s="100"/>
      <c r="V903" s="100"/>
      <c r="Y903" s="100"/>
    </row>
    <row r="904">
      <c r="R904" s="100"/>
      <c r="V904" s="100"/>
      <c r="Y904" s="100"/>
    </row>
    <row r="905">
      <c r="R905" s="100"/>
      <c r="V905" s="100"/>
      <c r="Y905" s="100"/>
    </row>
    <row r="906">
      <c r="R906" s="100"/>
      <c r="V906" s="100"/>
      <c r="Y906" s="100"/>
    </row>
    <row r="907">
      <c r="R907" s="100"/>
      <c r="V907" s="100"/>
      <c r="Y907" s="100"/>
    </row>
    <row r="908">
      <c r="R908" s="100"/>
      <c r="V908" s="100"/>
      <c r="Y908" s="100"/>
    </row>
    <row r="909">
      <c r="R909" s="100"/>
      <c r="V909" s="100"/>
      <c r="Y909" s="100"/>
    </row>
    <row r="910">
      <c r="R910" s="100"/>
      <c r="V910" s="100"/>
      <c r="Y910" s="100"/>
    </row>
    <row r="911">
      <c r="R911" s="100"/>
      <c r="V911" s="100"/>
      <c r="Y911" s="100"/>
    </row>
    <row r="912">
      <c r="R912" s="100"/>
      <c r="V912" s="100"/>
      <c r="Y912" s="100"/>
    </row>
    <row r="913">
      <c r="R913" s="100"/>
      <c r="V913" s="100"/>
      <c r="Y913" s="100"/>
    </row>
    <row r="914">
      <c r="R914" s="100"/>
      <c r="V914" s="100"/>
      <c r="Y914" s="100"/>
    </row>
    <row r="915">
      <c r="R915" s="100"/>
      <c r="V915" s="100"/>
      <c r="Y915" s="100"/>
    </row>
    <row r="916">
      <c r="R916" s="100"/>
      <c r="V916" s="100"/>
      <c r="Y916" s="100"/>
    </row>
    <row r="917">
      <c r="R917" s="100"/>
      <c r="V917" s="100"/>
      <c r="Y917" s="100"/>
    </row>
    <row r="918">
      <c r="R918" s="100"/>
      <c r="V918" s="100"/>
      <c r="Y918" s="100"/>
    </row>
    <row r="919">
      <c r="R919" s="100"/>
      <c r="V919" s="100"/>
      <c r="Y919" s="100"/>
    </row>
    <row r="920">
      <c r="R920" s="100"/>
      <c r="V920" s="100"/>
      <c r="Y920" s="100"/>
    </row>
    <row r="921">
      <c r="R921" s="100"/>
      <c r="V921" s="100"/>
      <c r="Y921" s="100"/>
    </row>
    <row r="922">
      <c r="R922" s="100"/>
      <c r="V922" s="100"/>
      <c r="Y922" s="100"/>
    </row>
    <row r="923">
      <c r="R923" s="100"/>
      <c r="V923" s="100"/>
      <c r="Y923" s="100"/>
    </row>
    <row r="924">
      <c r="R924" s="100"/>
      <c r="V924" s="100"/>
      <c r="Y924" s="100"/>
    </row>
    <row r="925">
      <c r="R925" s="100"/>
      <c r="V925" s="100"/>
      <c r="Y925" s="100"/>
    </row>
    <row r="926">
      <c r="R926" s="100"/>
      <c r="V926" s="100"/>
      <c r="Y926" s="100"/>
    </row>
    <row r="927">
      <c r="R927" s="100"/>
      <c r="V927" s="100"/>
      <c r="Y927" s="100"/>
    </row>
    <row r="928">
      <c r="R928" s="100"/>
      <c r="V928" s="100"/>
      <c r="Y928" s="100"/>
    </row>
    <row r="929">
      <c r="R929" s="100"/>
      <c r="V929" s="100"/>
      <c r="Y929" s="100"/>
    </row>
    <row r="930">
      <c r="R930" s="100"/>
      <c r="V930" s="100"/>
      <c r="Y930" s="100"/>
    </row>
    <row r="931">
      <c r="R931" s="100"/>
      <c r="V931" s="100"/>
      <c r="Y931" s="100"/>
    </row>
    <row r="932">
      <c r="R932" s="100"/>
      <c r="V932" s="100"/>
      <c r="Y932" s="100"/>
    </row>
    <row r="933">
      <c r="R933" s="100"/>
      <c r="V933" s="100"/>
      <c r="Y933" s="100"/>
    </row>
    <row r="934">
      <c r="R934" s="100"/>
      <c r="V934" s="100"/>
      <c r="Y934" s="100"/>
    </row>
    <row r="935">
      <c r="R935" s="100"/>
      <c r="V935" s="100"/>
      <c r="Y935" s="100"/>
    </row>
    <row r="936">
      <c r="R936" s="100"/>
      <c r="V936" s="100"/>
      <c r="Y936" s="100"/>
    </row>
    <row r="937">
      <c r="R937" s="100"/>
      <c r="V937" s="100"/>
      <c r="Y937" s="100"/>
    </row>
    <row r="938">
      <c r="R938" s="100"/>
      <c r="V938" s="100"/>
      <c r="Y938" s="100"/>
    </row>
    <row r="939">
      <c r="R939" s="100"/>
      <c r="V939" s="100"/>
      <c r="Y939" s="100"/>
    </row>
    <row r="940">
      <c r="R940" s="100"/>
      <c r="V940" s="100"/>
      <c r="Y940" s="100"/>
    </row>
    <row r="941">
      <c r="R941" s="100"/>
      <c r="V941" s="100"/>
      <c r="Y941" s="100"/>
    </row>
    <row r="942">
      <c r="R942" s="100"/>
      <c r="V942" s="100"/>
      <c r="Y942" s="100"/>
    </row>
    <row r="943">
      <c r="R943" s="100"/>
      <c r="V943" s="100"/>
      <c r="Y943" s="100"/>
    </row>
    <row r="944">
      <c r="R944" s="100"/>
      <c r="V944" s="100"/>
      <c r="Y944" s="100"/>
    </row>
    <row r="945">
      <c r="R945" s="100"/>
      <c r="V945" s="100"/>
      <c r="Y945" s="100"/>
    </row>
    <row r="946">
      <c r="R946" s="100"/>
      <c r="V946" s="100"/>
      <c r="Y946" s="100"/>
    </row>
    <row r="947">
      <c r="R947" s="100"/>
      <c r="V947" s="100"/>
      <c r="Y947" s="100"/>
    </row>
    <row r="948">
      <c r="R948" s="100"/>
      <c r="V948" s="100"/>
      <c r="Y948" s="100"/>
    </row>
    <row r="949">
      <c r="R949" s="100"/>
      <c r="V949" s="100"/>
      <c r="Y949" s="100"/>
    </row>
    <row r="950">
      <c r="R950" s="100"/>
      <c r="V950" s="100"/>
      <c r="Y950" s="100"/>
    </row>
    <row r="951">
      <c r="R951" s="100"/>
      <c r="V951" s="100"/>
      <c r="Y951" s="100"/>
    </row>
    <row r="952">
      <c r="R952" s="100"/>
      <c r="V952" s="100"/>
      <c r="Y952" s="100"/>
    </row>
    <row r="953">
      <c r="R953" s="100"/>
      <c r="V953" s="100"/>
      <c r="Y953" s="100"/>
    </row>
    <row r="954">
      <c r="R954" s="100"/>
      <c r="V954" s="100"/>
      <c r="Y954" s="100"/>
    </row>
    <row r="955">
      <c r="R955" s="100"/>
      <c r="V955" s="100"/>
      <c r="Y955" s="100"/>
    </row>
    <row r="956">
      <c r="R956" s="100"/>
      <c r="V956" s="100"/>
      <c r="Y956" s="100"/>
    </row>
    <row r="957">
      <c r="R957" s="100"/>
      <c r="V957" s="100"/>
      <c r="Y957" s="100"/>
    </row>
    <row r="958">
      <c r="R958" s="100"/>
      <c r="V958" s="100"/>
      <c r="Y958" s="100"/>
    </row>
    <row r="959">
      <c r="R959" s="100"/>
      <c r="V959" s="100"/>
      <c r="Y959" s="100"/>
    </row>
    <row r="960">
      <c r="R960" s="100"/>
      <c r="V960" s="100"/>
      <c r="Y960" s="100"/>
    </row>
    <row r="961">
      <c r="R961" s="100"/>
      <c r="V961" s="100"/>
      <c r="Y961" s="100"/>
    </row>
    <row r="962">
      <c r="R962" s="100"/>
      <c r="V962" s="100"/>
      <c r="Y962" s="100"/>
    </row>
    <row r="963">
      <c r="R963" s="100"/>
      <c r="V963" s="100"/>
      <c r="Y963" s="100"/>
    </row>
    <row r="964">
      <c r="R964" s="100"/>
      <c r="V964" s="100"/>
      <c r="Y964" s="100"/>
    </row>
    <row r="965">
      <c r="R965" s="100"/>
      <c r="V965" s="100"/>
      <c r="Y965" s="100"/>
    </row>
    <row r="966">
      <c r="R966" s="100"/>
      <c r="V966" s="100"/>
      <c r="Y966" s="100"/>
    </row>
    <row r="967">
      <c r="R967" s="100"/>
      <c r="V967" s="100"/>
      <c r="Y967" s="100"/>
    </row>
    <row r="968">
      <c r="R968" s="100"/>
      <c r="V968" s="100"/>
      <c r="Y968" s="100"/>
    </row>
    <row r="969">
      <c r="R969" s="100"/>
      <c r="V969" s="100"/>
      <c r="Y969" s="100"/>
    </row>
    <row r="970">
      <c r="R970" s="100"/>
      <c r="V970" s="100"/>
      <c r="Y970" s="100"/>
    </row>
    <row r="971">
      <c r="R971" s="100"/>
      <c r="V971" s="100"/>
      <c r="Y971" s="100"/>
    </row>
    <row r="972">
      <c r="R972" s="100"/>
      <c r="V972" s="100"/>
      <c r="Y972" s="100"/>
    </row>
    <row r="973">
      <c r="R973" s="100"/>
      <c r="V973" s="100"/>
      <c r="Y973" s="100"/>
    </row>
    <row r="974">
      <c r="R974" s="100"/>
      <c r="V974" s="100"/>
      <c r="Y974" s="100"/>
    </row>
    <row r="975">
      <c r="R975" s="100"/>
      <c r="V975" s="100"/>
      <c r="Y975" s="100"/>
    </row>
    <row r="976">
      <c r="R976" s="100"/>
      <c r="V976" s="100"/>
      <c r="Y976" s="100"/>
    </row>
    <row r="977">
      <c r="R977" s="100"/>
      <c r="V977" s="100"/>
      <c r="Y977" s="100"/>
    </row>
    <row r="978">
      <c r="R978" s="100"/>
      <c r="V978" s="100"/>
      <c r="Y978" s="100"/>
    </row>
    <row r="979">
      <c r="R979" s="100"/>
      <c r="V979" s="100"/>
      <c r="Y979" s="100"/>
    </row>
    <row r="980">
      <c r="R980" s="100"/>
      <c r="V980" s="100"/>
      <c r="Y980" s="100"/>
    </row>
    <row r="981">
      <c r="R981" s="100"/>
      <c r="V981" s="100"/>
      <c r="Y981" s="100"/>
    </row>
    <row r="982">
      <c r="R982" s="100"/>
      <c r="V982" s="100"/>
      <c r="Y982" s="100"/>
    </row>
    <row r="983">
      <c r="R983" s="100"/>
      <c r="V983" s="100"/>
      <c r="Y983" s="100"/>
    </row>
    <row r="984">
      <c r="R984" s="100"/>
      <c r="V984" s="100"/>
      <c r="Y984" s="100"/>
    </row>
    <row r="985">
      <c r="R985" s="100"/>
      <c r="V985" s="100"/>
      <c r="Y985" s="100"/>
    </row>
    <row r="986">
      <c r="R986" s="100"/>
      <c r="V986" s="100"/>
      <c r="Y986" s="100"/>
    </row>
    <row r="987">
      <c r="R987" s="100"/>
      <c r="V987" s="100"/>
      <c r="Y987" s="100"/>
    </row>
    <row r="988">
      <c r="R988" s="100"/>
      <c r="V988" s="100"/>
      <c r="Y988" s="100"/>
    </row>
    <row r="989">
      <c r="R989" s="100"/>
      <c r="V989" s="100"/>
      <c r="Y989" s="100"/>
    </row>
    <row r="990">
      <c r="R990" s="100"/>
      <c r="V990" s="100"/>
      <c r="Y990" s="100"/>
    </row>
    <row r="991">
      <c r="R991" s="100"/>
      <c r="V991" s="100"/>
      <c r="Y991" s="100"/>
    </row>
    <row r="992">
      <c r="R992" s="100"/>
      <c r="V992" s="100"/>
      <c r="Y992" s="100"/>
    </row>
    <row r="993">
      <c r="R993" s="100"/>
      <c r="V993" s="100"/>
      <c r="Y993" s="100"/>
    </row>
    <row r="994">
      <c r="R994" s="100"/>
      <c r="V994" s="100"/>
      <c r="Y994" s="100"/>
    </row>
    <row r="995">
      <c r="R995" s="100"/>
      <c r="V995" s="100"/>
      <c r="Y995" s="100"/>
    </row>
    <row r="996">
      <c r="R996" s="100"/>
      <c r="V996" s="100"/>
      <c r="Y996" s="100"/>
    </row>
    <row r="997">
      <c r="R997" s="100"/>
      <c r="V997" s="100"/>
      <c r="Y997" s="100"/>
    </row>
    <row r="998">
      <c r="R998" s="100"/>
      <c r="V998" s="100"/>
      <c r="Y998" s="100"/>
    </row>
    <row r="999">
      <c r="R999" s="100"/>
      <c r="V999" s="100"/>
      <c r="Y999" s="100"/>
    </row>
    <row r="1000">
      <c r="R1000" s="100"/>
      <c r="V1000" s="100"/>
      <c r="Y1000" s="100"/>
    </row>
    <row r="1001">
      <c r="R1001" s="100"/>
      <c r="V1001" s="100"/>
      <c r="Y1001" s="100"/>
    </row>
    <row r="1002">
      <c r="R1002" s="100"/>
      <c r="V1002" s="100"/>
      <c r="Y1002" s="100"/>
    </row>
    <row r="1003">
      <c r="R1003" s="100"/>
      <c r="V1003" s="100"/>
      <c r="Y1003" s="100"/>
    </row>
    <row r="1004">
      <c r="R1004" s="100"/>
      <c r="V1004" s="100"/>
      <c r="Y1004" s="100"/>
    </row>
    <row r="1005">
      <c r="R1005" s="100"/>
      <c r="V1005" s="100"/>
      <c r="Y1005" s="100"/>
    </row>
    <row r="1006">
      <c r="R1006" s="100"/>
      <c r="V1006" s="100"/>
      <c r="Y1006" s="100"/>
    </row>
    <row r="1007">
      <c r="R1007" s="100"/>
      <c r="V1007" s="100"/>
      <c r="Y1007" s="100"/>
    </row>
    <row r="1008">
      <c r="R1008" s="100"/>
      <c r="V1008" s="100"/>
      <c r="Y1008" s="100"/>
    </row>
    <row r="1009">
      <c r="R1009" s="100"/>
      <c r="V1009" s="100"/>
      <c r="Y1009" s="100"/>
    </row>
    <row r="1010">
      <c r="R1010" s="100"/>
      <c r="V1010" s="100"/>
      <c r="Y1010" s="100"/>
    </row>
    <row r="1011">
      <c r="R1011" s="100"/>
      <c r="V1011" s="100"/>
      <c r="Y1011" s="100"/>
    </row>
    <row r="1012">
      <c r="R1012" s="100"/>
      <c r="V1012" s="100"/>
      <c r="Y1012" s="100"/>
    </row>
    <row r="1013">
      <c r="R1013" s="100"/>
      <c r="V1013" s="100"/>
      <c r="Y1013" s="100"/>
    </row>
    <row r="1014">
      <c r="R1014" s="100"/>
      <c r="V1014" s="100"/>
      <c r="Y1014" s="100"/>
    </row>
    <row r="1015">
      <c r="R1015" s="100"/>
      <c r="V1015" s="100"/>
      <c r="Y1015" s="100"/>
    </row>
    <row r="1016">
      <c r="R1016" s="100"/>
      <c r="V1016" s="100"/>
      <c r="Y1016" s="100"/>
    </row>
    <row r="1017">
      <c r="R1017" s="100"/>
      <c r="V1017" s="100"/>
      <c r="Y1017" s="100"/>
    </row>
    <row r="1018">
      <c r="R1018" s="100"/>
      <c r="V1018" s="100"/>
      <c r="Y1018" s="100"/>
    </row>
    <row r="1019">
      <c r="R1019" s="100"/>
      <c r="V1019" s="100"/>
      <c r="Y1019" s="100"/>
    </row>
    <row r="1020">
      <c r="R1020" s="100"/>
      <c r="V1020" s="100"/>
      <c r="Y1020" s="100"/>
    </row>
    <row r="1021">
      <c r="R1021" s="100"/>
      <c r="V1021" s="100"/>
      <c r="Y1021" s="100"/>
    </row>
    <row r="1022">
      <c r="R1022" s="100"/>
      <c r="V1022" s="100"/>
      <c r="Y1022" s="100"/>
    </row>
    <row r="1023">
      <c r="R1023" s="100"/>
      <c r="V1023" s="100"/>
      <c r="Y1023" s="100"/>
    </row>
    <row r="1024">
      <c r="R1024" s="100"/>
      <c r="V1024" s="100"/>
      <c r="Y1024" s="100"/>
    </row>
    <row r="1025">
      <c r="R1025" s="100"/>
      <c r="V1025" s="100"/>
      <c r="Y1025" s="100"/>
    </row>
    <row r="1026">
      <c r="R1026" s="100"/>
      <c r="V1026" s="100"/>
      <c r="Y1026" s="100"/>
    </row>
    <row r="1027">
      <c r="R1027" s="100"/>
      <c r="V1027" s="100"/>
      <c r="Y1027" s="100"/>
    </row>
    <row r="1028">
      <c r="R1028" s="100"/>
      <c r="V1028" s="100"/>
      <c r="Y1028" s="100"/>
    </row>
    <row r="1029">
      <c r="R1029" s="100"/>
      <c r="V1029" s="100"/>
      <c r="Y1029" s="100"/>
    </row>
    <row r="1030">
      <c r="R1030" s="100"/>
      <c r="V1030" s="100"/>
      <c r="Y1030" s="100"/>
    </row>
    <row r="1031">
      <c r="R1031" s="100"/>
      <c r="V1031" s="100"/>
      <c r="Y1031" s="100"/>
    </row>
    <row r="1032">
      <c r="R1032" s="100"/>
      <c r="V1032" s="100"/>
      <c r="Y1032" s="100"/>
    </row>
    <row r="1033">
      <c r="R1033" s="100"/>
      <c r="V1033" s="100"/>
      <c r="Y1033" s="100"/>
    </row>
    <row r="1034">
      <c r="R1034" s="100"/>
      <c r="V1034" s="100"/>
      <c r="Y1034" s="100"/>
    </row>
    <row r="1035">
      <c r="R1035" s="100"/>
      <c r="V1035" s="100"/>
      <c r="Y1035" s="100"/>
    </row>
    <row r="1036">
      <c r="R1036" s="100"/>
      <c r="V1036" s="100"/>
      <c r="Y1036" s="100"/>
    </row>
    <row r="1037">
      <c r="R1037" s="100"/>
      <c r="V1037" s="100"/>
      <c r="Y1037" s="100"/>
    </row>
    <row r="1038">
      <c r="R1038" s="100"/>
      <c r="V1038" s="100"/>
      <c r="Y1038" s="100"/>
    </row>
    <row r="1039">
      <c r="R1039" s="100"/>
      <c r="V1039" s="100"/>
      <c r="Y1039" s="100"/>
    </row>
    <row r="1040">
      <c r="R1040" s="100"/>
      <c r="V1040" s="100"/>
      <c r="Y1040" s="100"/>
    </row>
    <row r="1041">
      <c r="R1041" s="100"/>
      <c r="V1041" s="100"/>
      <c r="Y1041" s="100"/>
    </row>
    <row r="1042">
      <c r="R1042" s="100"/>
      <c r="V1042" s="100"/>
      <c r="Y1042" s="100"/>
    </row>
    <row r="1043">
      <c r="R1043" s="100"/>
      <c r="V1043" s="100"/>
      <c r="Y1043" s="100"/>
    </row>
    <row r="1044">
      <c r="R1044" s="100"/>
      <c r="V1044" s="100"/>
      <c r="Y1044" s="100"/>
    </row>
    <row r="1045">
      <c r="R1045" s="100"/>
      <c r="V1045" s="100"/>
      <c r="Y1045" s="100"/>
    </row>
    <row r="1046">
      <c r="R1046" s="100"/>
      <c r="V1046" s="100"/>
      <c r="Y1046" s="100"/>
    </row>
    <row r="1047">
      <c r="R1047" s="100"/>
      <c r="V1047" s="100"/>
      <c r="Y1047" s="100"/>
    </row>
    <row r="1048">
      <c r="R1048" s="100"/>
      <c r="V1048" s="100"/>
      <c r="Y1048" s="100"/>
    </row>
    <row r="1049">
      <c r="R1049" s="100"/>
      <c r="V1049" s="100"/>
      <c r="Y1049" s="100"/>
    </row>
    <row r="1050">
      <c r="R1050" s="100"/>
      <c r="V1050" s="100"/>
      <c r="Y1050" s="100"/>
    </row>
    <row r="1051">
      <c r="R1051" s="100"/>
      <c r="V1051" s="100"/>
      <c r="Y1051" s="100"/>
    </row>
    <row r="1052">
      <c r="R1052" s="100"/>
      <c r="V1052" s="100"/>
      <c r="Y1052" s="100"/>
    </row>
    <row r="1053">
      <c r="R1053" s="100"/>
      <c r="V1053" s="100"/>
      <c r="Y1053" s="100"/>
    </row>
    <row r="1054">
      <c r="R1054" s="100"/>
      <c r="V1054" s="100"/>
      <c r="Y1054" s="100"/>
    </row>
    <row r="1055">
      <c r="R1055" s="100"/>
      <c r="V1055" s="100"/>
      <c r="Y1055" s="100"/>
    </row>
    <row r="1056">
      <c r="R1056" s="100"/>
      <c r="V1056" s="100"/>
      <c r="Y1056" s="100"/>
    </row>
    <row r="1057">
      <c r="R1057" s="100"/>
      <c r="V1057" s="100"/>
      <c r="Y1057" s="100"/>
    </row>
    <row r="1058">
      <c r="R1058" s="100"/>
      <c r="V1058" s="100"/>
      <c r="Y1058" s="100"/>
    </row>
    <row r="1059">
      <c r="R1059" s="100"/>
      <c r="V1059" s="100"/>
      <c r="Y1059" s="100"/>
    </row>
    <row r="1060">
      <c r="R1060" s="100"/>
      <c r="V1060" s="100"/>
      <c r="Y1060" s="100"/>
    </row>
    <row r="1061">
      <c r="R1061" s="100"/>
      <c r="V1061" s="100"/>
      <c r="Y1061" s="100"/>
    </row>
    <row r="1062">
      <c r="R1062" s="100"/>
      <c r="V1062" s="100"/>
      <c r="Y1062" s="100"/>
    </row>
    <row r="1063">
      <c r="R1063" s="100"/>
      <c r="V1063" s="100"/>
      <c r="Y1063" s="100"/>
    </row>
    <row r="1064">
      <c r="R1064" s="100"/>
      <c r="V1064" s="100"/>
      <c r="Y1064" s="100"/>
    </row>
    <row r="1065">
      <c r="R1065" s="100"/>
      <c r="V1065" s="100"/>
      <c r="Y1065" s="100"/>
    </row>
    <row r="1066">
      <c r="R1066" s="100"/>
      <c r="V1066" s="100"/>
      <c r="Y1066" s="100"/>
    </row>
    <row r="1067">
      <c r="R1067" s="100"/>
      <c r="V1067" s="100"/>
      <c r="Y1067" s="100"/>
    </row>
    <row r="1068">
      <c r="R1068" s="100"/>
      <c r="V1068" s="100"/>
      <c r="Y1068" s="100"/>
    </row>
    <row r="1069">
      <c r="R1069" s="100"/>
      <c r="V1069" s="100"/>
      <c r="Y1069" s="100"/>
    </row>
    <row r="1070">
      <c r="R1070" s="100"/>
      <c r="V1070" s="100"/>
      <c r="Y1070" s="100"/>
    </row>
    <row r="1071">
      <c r="R1071" s="100"/>
      <c r="V1071" s="100"/>
      <c r="Y1071" s="100"/>
    </row>
    <row r="1072">
      <c r="R1072" s="100"/>
      <c r="V1072" s="100"/>
      <c r="Y1072" s="100"/>
    </row>
    <row r="1073">
      <c r="R1073" s="100"/>
      <c r="V1073" s="100"/>
      <c r="Y1073" s="100"/>
    </row>
    <row r="1074">
      <c r="R1074" s="100"/>
      <c r="V1074" s="100"/>
      <c r="Y1074" s="100"/>
    </row>
    <row r="1075">
      <c r="R1075" s="100"/>
      <c r="V1075" s="100"/>
      <c r="Y1075" s="100"/>
    </row>
    <row r="1076">
      <c r="R1076" s="100"/>
      <c r="V1076" s="100"/>
      <c r="Y1076" s="100"/>
    </row>
    <row r="1077">
      <c r="R1077" s="100"/>
      <c r="V1077" s="100"/>
      <c r="Y1077" s="100"/>
    </row>
    <row r="1078">
      <c r="R1078" s="100"/>
      <c r="V1078" s="100"/>
      <c r="Y1078" s="100"/>
    </row>
    <row r="1079">
      <c r="R1079" s="100"/>
      <c r="V1079" s="100"/>
      <c r="Y1079" s="100"/>
    </row>
    <row r="1080">
      <c r="R1080" s="100"/>
      <c r="V1080" s="100"/>
      <c r="Y1080" s="100"/>
    </row>
    <row r="1081">
      <c r="R1081" s="100"/>
      <c r="V1081" s="100"/>
      <c r="Y1081" s="100"/>
    </row>
    <row r="1082">
      <c r="R1082" s="100"/>
      <c r="V1082" s="100"/>
      <c r="Y1082" s="100"/>
    </row>
    <row r="1083">
      <c r="R1083" s="100"/>
      <c r="V1083" s="100"/>
      <c r="Y1083" s="100"/>
    </row>
    <row r="1084">
      <c r="R1084" s="100"/>
      <c r="V1084" s="100"/>
      <c r="Y1084" s="100"/>
    </row>
    <row r="1085">
      <c r="R1085" s="100"/>
      <c r="V1085" s="100"/>
      <c r="Y1085" s="100"/>
    </row>
    <row r="1086">
      <c r="R1086" s="100"/>
      <c r="V1086" s="100"/>
      <c r="Y1086" s="100"/>
    </row>
    <row r="1087">
      <c r="R1087" s="100"/>
      <c r="V1087" s="100"/>
      <c r="Y1087" s="100"/>
    </row>
    <row r="1088">
      <c r="R1088" s="100"/>
      <c r="V1088" s="100"/>
      <c r="Y1088" s="100"/>
    </row>
    <row r="1089">
      <c r="R1089" s="100"/>
      <c r="V1089" s="100"/>
      <c r="Y1089" s="100"/>
    </row>
    <row r="1090">
      <c r="R1090" s="100"/>
      <c r="V1090" s="100"/>
      <c r="Y1090" s="100"/>
    </row>
    <row r="1091">
      <c r="R1091" s="100"/>
      <c r="V1091" s="100"/>
      <c r="Y1091" s="100"/>
    </row>
    <row r="1092">
      <c r="R1092" s="100"/>
      <c r="V1092" s="100"/>
      <c r="Y1092" s="100"/>
    </row>
    <row r="1093">
      <c r="R1093" s="100"/>
      <c r="V1093" s="100"/>
      <c r="Y1093" s="100"/>
    </row>
    <row r="1094">
      <c r="R1094" s="100"/>
      <c r="V1094" s="100"/>
      <c r="Y1094" s="100"/>
    </row>
    <row r="1095">
      <c r="R1095" s="100"/>
      <c r="V1095" s="100"/>
      <c r="Y1095" s="100"/>
    </row>
    <row r="1096">
      <c r="R1096" s="100"/>
      <c r="V1096" s="100"/>
      <c r="Y1096" s="100"/>
    </row>
    <row r="1097">
      <c r="R1097" s="100"/>
      <c r="V1097" s="100"/>
      <c r="Y1097" s="100"/>
    </row>
    <row r="1098">
      <c r="R1098" s="100"/>
      <c r="V1098" s="100"/>
      <c r="Y1098" s="100"/>
    </row>
    <row r="1099">
      <c r="R1099" s="100"/>
      <c r="V1099" s="100"/>
      <c r="Y1099" s="100"/>
    </row>
    <row r="1100">
      <c r="R1100" s="100"/>
      <c r="V1100" s="100"/>
      <c r="Y1100" s="100"/>
    </row>
    <row r="1101">
      <c r="R1101" s="100"/>
      <c r="V1101" s="100"/>
      <c r="Y1101" s="100"/>
    </row>
    <row r="1102">
      <c r="R1102" s="100"/>
      <c r="V1102" s="100"/>
      <c r="Y1102" s="100"/>
    </row>
    <row r="1103">
      <c r="R1103" s="100"/>
      <c r="V1103" s="100"/>
      <c r="Y1103" s="100"/>
    </row>
    <row r="1104">
      <c r="R1104" s="100"/>
      <c r="V1104" s="100"/>
      <c r="Y1104" s="100"/>
    </row>
    <row r="1105">
      <c r="R1105" s="100"/>
      <c r="V1105" s="100"/>
      <c r="Y1105" s="100"/>
    </row>
    <row r="1106">
      <c r="R1106" s="100"/>
      <c r="V1106" s="100"/>
      <c r="Y1106" s="100"/>
    </row>
    <row r="1107">
      <c r="R1107" s="100"/>
      <c r="V1107" s="100"/>
      <c r="Y1107" s="100"/>
    </row>
    <row r="1108">
      <c r="R1108" s="100"/>
      <c r="V1108" s="100"/>
      <c r="Y1108" s="100"/>
    </row>
    <row r="1109">
      <c r="R1109" s="100"/>
      <c r="V1109" s="100"/>
      <c r="Y1109" s="100"/>
    </row>
    <row r="1110">
      <c r="R1110" s="100"/>
      <c r="V1110" s="100"/>
      <c r="Y1110" s="100"/>
    </row>
    <row r="1111">
      <c r="R1111" s="100"/>
      <c r="V1111" s="100"/>
      <c r="Y1111" s="100"/>
    </row>
    <row r="1112">
      <c r="R1112" s="100"/>
      <c r="V1112" s="100"/>
      <c r="Y1112" s="100"/>
    </row>
    <row r="1113">
      <c r="R1113" s="100"/>
      <c r="V1113" s="100"/>
      <c r="Y1113" s="100"/>
    </row>
    <row r="1114">
      <c r="R1114" s="100"/>
      <c r="V1114" s="100"/>
      <c r="Y1114" s="100"/>
    </row>
    <row r="1115">
      <c r="R1115" s="100"/>
      <c r="V1115" s="100"/>
      <c r="Y1115" s="100"/>
    </row>
    <row r="1116">
      <c r="R1116" s="100"/>
      <c r="V1116" s="100"/>
      <c r="Y1116" s="100"/>
    </row>
    <row r="1117">
      <c r="R1117" s="100"/>
      <c r="V1117" s="100"/>
      <c r="Y1117" s="100"/>
    </row>
    <row r="1118">
      <c r="R1118" s="100"/>
      <c r="V1118" s="100"/>
      <c r="Y1118" s="100"/>
    </row>
    <row r="1119">
      <c r="R1119" s="100"/>
      <c r="V1119" s="100"/>
      <c r="Y1119" s="100"/>
    </row>
    <row r="1120">
      <c r="R1120" s="100"/>
      <c r="V1120" s="100"/>
      <c r="Y1120" s="100"/>
    </row>
    <row r="1121">
      <c r="R1121" s="100"/>
      <c r="V1121" s="100"/>
      <c r="Y1121" s="100"/>
    </row>
    <row r="1122">
      <c r="R1122" s="100"/>
      <c r="V1122" s="100"/>
      <c r="Y1122" s="100"/>
    </row>
    <row r="1123">
      <c r="R1123" s="100"/>
      <c r="V1123" s="100"/>
      <c r="Y1123" s="100"/>
    </row>
    <row r="1124">
      <c r="R1124" s="100"/>
      <c r="V1124" s="100"/>
      <c r="Y1124" s="100"/>
    </row>
    <row r="1125">
      <c r="R1125" s="100"/>
      <c r="V1125" s="100"/>
      <c r="Y1125" s="100"/>
    </row>
    <row r="1126">
      <c r="R1126" s="100"/>
      <c r="V1126" s="100"/>
      <c r="Y1126" s="100"/>
    </row>
    <row r="1127">
      <c r="R1127" s="100"/>
      <c r="V1127" s="100"/>
      <c r="Y1127" s="100"/>
    </row>
    <row r="1128">
      <c r="R1128" s="100"/>
      <c r="V1128" s="100"/>
      <c r="Y1128" s="100"/>
    </row>
    <row r="1129">
      <c r="R1129" s="100"/>
      <c r="V1129" s="100"/>
      <c r="Y1129" s="100"/>
    </row>
    <row r="1130">
      <c r="R1130" s="100"/>
      <c r="V1130" s="100"/>
      <c r="Y1130" s="100"/>
    </row>
    <row r="1131">
      <c r="R1131" s="100"/>
      <c r="V1131" s="100"/>
      <c r="Y1131" s="100"/>
    </row>
    <row r="1132">
      <c r="R1132" s="100"/>
      <c r="V1132" s="100"/>
      <c r="Y1132" s="100"/>
    </row>
    <row r="1133">
      <c r="R1133" s="100"/>
      <c r="V1133" s="100"/>
      <c r="Y1133" s="100"/>
    </row>
    <row r="1134">
      <c r="R1134" s="100"/>
      <c r="V1134" s="100"/>
      <c r="Y1134" s="100"/>
    </row>
    <row r="1135">
      <c r="R1135" s="100"/>
      <c r="V1135" s="100"/>
      <c r="Y1135" s="100"/>
    </row>
    <row r="1136">
      <c r="R1136" s="100"/>
      <c r="V1136" s="100"/>
      <c r="Y1136" s="100"/>
    </row>
    <row r="1137">
      <c r="R1137" s="100"/>
      <c r="V1137" s="100"/>
      <c r="Y1137" s="100"/>
    </row>
    <row r="1138">
      <c r="R1138" s="100"/>
      <c r="V1138" s="100"/>
      <c r="Y1138" s="100"/>
    </row>
    <row r="1139">
      <c r="R1139" s="100"/>
      <c r="V1139" s="100"/>
      <c r="Y1139" s="100"/>
    </row>
    <row r="1140">
      <c r="R1140" s="100"/>
      <c r="V1140" s="100"/>
      <c r="Y1140" s="100"/>
    </row>
    <row r="1141">
      <c r="R1141" s="100"/>
      <c r="V1141" s="100"/>
      <c r="Y1141" s="100"/>
    </row>
    <row r="1142">
      <c r="R1142" s="100"/>
      <c r="V1142" s="100"/>
      <c r="Y1142" s="100"/>
    </row>
    <row r="1143">
      <c r="R1143" s="100"/>
      <c r="V1143" s="100"/>
      <c r="Y1143" s="100"/>
    </row>
    <row r="1144">
      <c r="R1144" s="100"/>
      <c r="V1144" s="100"/>
      <c r="Y1144" s="100"/>
    </row>
    <row r="1145">
      <c r="R1145" s="100"/>
      <c r="V1145" s="100"/>
      <c r="Y1145" s="100"/>
    </row>
    <row r="1146">
      <c r="R1146" s="100"/>
      <c r="V1146" s="100"/>
      <c r="Y1146" s="100"/>
    </row>
    <row r="1147">
      <c r="R1147" s="100"/>
      <c r="V1147" s="100"/>
      <c r="Y1147" s="100"/>
    </row>
    <row r="1148">
      <c r="R1148" s="100"/>
      <c r="V1148" s="100"/>
      <c r="Y1148" s="100"/>
    </row>
    <row r="1149">
      <c r="R1149" s="100"/>
      <c r="V1149" s="100"/>
      <c r="Y1149" s="100"/>
    </row>
    <row r="1150">
      <c r="R1150" s="100"/>
      <c r="V1150" s="100"/>
      <c r="Y1150" s="100"/>
    </row>
    <row r="1151">
      <c r="R1151" s="100"/>
      <c r="V1151" s="100"/>
      <c r="Y1151" s="100"/>
    </row>
    <row r="1152">
      <c r="R1152" s="100"/>
      <c r="V1152" s="100"/>
      <c r="Y1152" s="100"/>
    </row>
    <row r="1153">
      <c r="R1153" s="100"/>
      <c r="V1153" s="100"/>
      <c r="Y1153" s="100"/>
    </row>
    <row r="1154">
      <c r="R1154" s="100"/>
      <c r="V1154" s="100"/>
      <c r="Y1154" s="100"/>
    </row>
    <row r="1155">
      <c r="R1155" s="100"/>
      <c r="V1155" s="100"/>
      <c r="Y1155" s="100"/>
    </row>
    <row r="1156">
      <c r="R1156" s="100"/>
      <c r="V1156" s="100"/>
      <c r="Y1156" s="100"/>
    </row>
    <row r="1157">
      <c r="R1157" s="100"/>
      <c r="V1157" s="100"/>
      <c r="Y1157" s="100"/>
    </row>
    <row r="1158">
      <c r="R1158" s="100"/>
      <c r="V1158" s="100"/>
      <c r="Y1158" s="100"/>
    </row>
    <row r="1159">
      <c r="R1159" s="100"/>
      <c r="V1159" s="100"/>
      <c r="Y1159" s="100"/>
    </row>
    <row r="1160">
      <c r="R1160" s="100"/>
      <c r="V1160" s="100"/>
      <c r="Y1160" s="100"/>
    </row>
    <row r="1161">
      <c r="R1161" s="100"/>
      <c r="V1161" s="100"/>
      <c r="Y1161" s="100"/>
    </row>
    <row r="1162">
      <c r="R1162" s="100"/>
      <c r="V1162" s="100"/>
      <c r="Y1162" s="100"/>
    </row>
    <row r="1163">
      <c r="R1163" s="100"/>
      <c r="V1163" s="100"/>
      <c r="Y1163" s="100"/>
    </row>
    <row r="1164">
      <c r="R1164" s="100"/>
      <c r="V1164" s="100"/>
      <c r="Y1164" s="100"/>
    </row>
    <row r="1165">
      <c r="R1165" s="100"/>
      <c r="V1165" s="100"/>
      <c r="Y1165" s="100"/>
    </row>
    <row r="1166">
      <c r="R1166" s="100"/>
      <c r="V1166" s="100"/>
      <c r="Y1166" s="100"/>
    </row>
    <row r="1167">
      <c r="R1167" s="100"/>
      <c r="V1167" s="100"/>
      <c r="Y1167" s="100"/>
    </row>
    <row r="1168">
      <c r="R1168" s="100"/>
      <c r="V1168" s="100"/>
      <c r="Y1168" s="100"/>
    </row>
    <row r="1169">
      <c r="R1169" s="100"/>
      <c r="V1169" s="100"/>
      <c r="Y1169" s="100"/>
    </row>
    <row r="1170">
      <c r="R1170" s="100"/>
      <c r="V1170" s="100"/>
      <c r="Y1170" s="100"/>
    </row>
    <row r="1171">
      <c r="R1171" s="100"/>
      <c r="V1171" s="100"/>
      <c r="Y1171" s="100"/>
    </row>
    <row r="1172">
      <c r="R1172" s="100"/>
      <c r="V1172" s="100"/>
      <c r="Y1172" s="100"/>
    </row>
    <row r="1173">
      <c r="R1173" s="100"/>
      <c r="V1173" s="100"/>
      <c r="Y1173" s="100"/>
    </row>
    <row r="1174">
      <c r="R1174" s="100"/>
      <c r="V1174" s="100"/>
      <c r="Y1174" s="100"/>
    </row>
    <row r="1175">
      <c r="R1175" s="100"/>
      <c r="V1175" s="100"/>
      <c r="Y1175" s="100"/>
    </row>
    <row r="1176">
      <c r="R1176" s="100"/>
      <c r="V1176" s="100"/>
      <c r="Y1176" s="100"/>
    </row>
    <row r="1177">
      <c r="R1177" s="100"/>
      <c r="V1177" s="100"/>
      <c r="Y1177" s="100"/>
    </row>
    <row r="1178">
      <c r="R1178" s="100"/>
      <c r="V1178" s="100"/>
      <c r="Y1178" s="100"/>
    </row>
    <row r="1179">
      <c r="R1179" s="100"/>
      <c r="V1179" s="100"/>
      <c r="Y1179" s="100"/>
    </row>
    <row r="1180">
      <c r="R1180" s="100"/>
      <c r="V1180" s="100"/>
      <c r="Y1180" s="100"/>
    </row>
    <row r="1181">
      <c r="R1181" s="100"/>
      <c r="V1181" s="100"/>
      <c r="Y1181" s="100"/>
    </row>
    <row r="1182">
      <c r="R1182" s="100"/>
      <c r="V1182" s="100"/>
      <c r="Y1182" s="100"/>
    </row>
    <row r="1183">
      <c r="R1183" s="100"/>
      <c r="V1183" s="100"/>
      <c r="Y1183" s="100"/>
    </row>
    <row r="1184">
      <c r="R1184" s="100"/>
      <c r="V1184" s="100"/>
      <c r="Y1184" s="100"/>
    </row>
    <row r="1185">
      <c r="R1185" s="100"/>
      <c r="V1185" s="100"/>
      <c r="Y1185" s="100"/>
    </row>
    <row r="1186">
      <c r="R1186" s="100"/>
      <c r="V1186" s="100"/>
      <c r="Y1186" s="100"/>
    </row>
    <row r="1187">
      <c r="R1187" s="100"/>
      <c r="V1187" s="100"/>
      <c r="Y1187" s="100"/>
    </row>
    <row r="1188">
      <c r="R1188" s="100"/>
      <c r="V1188" s="100"/>
      <c r="Y1188" s="100"/>
    </row>
    <row r="1189">
      <c r="R1189" s="100"/>
      <c r="V1189" s="100"/>
      <c r="Y1189" s="100"/>
    </row>
    <row r="1190">
      <c r="R1190" s="100"/>
      <c r="V1190" s="100"/>
      <c r="Y1190" s="100"/>
    </row>
    <row r="1191">
      <c r="R1191" s="100"/>
      <c r="V1191" s="100"/>
      <c r="Y1191" s="100"/>
    </row>
    <row r="1192">
      <c r="R1192" s="100"/>
      <c r="V1192" s="100"/>
      <c r="Y1192" s="100"/>
    </row>
    <row r="1193">
      <c r="R1193" s="100"/>
      <c r="V1193" s="100"/>
      <c r="Y1193" s="100"/>
    </row>
    <row r="1194">
      <c r="R1194" s="100"/>
      <c r="V1194" s="100"/>
      <c r="Y1194" s="100"/>
    </row>
    <row r="1195">
      <c r="R1195" s="100"/>
      <c r="V1195" s="100"/>
      <c r="Y1195" s="100"/>
    </row>
    <row r="1196">
      <c r="R1196" s="100"/>
      <c r="V1196" s="100"/>
      <c r="Y1196" s="100"/>
    </row>
    <row r="1197">
      <c r="R1197" s="100"/>
      <c r="V1197" s="100"/>
      <c r="Y1197" s="100"/>
    </row>
    <row r="1198">
      <c r="R1198" s="100"/>
      <c r="V1198" s="100"/>
      <c r="Y1198" s="100"/>
    </row>
    <row r="1199">
      <c r="R1199" s="100"/>
      <c r="V1199" s="100"/>
      <c r="Y1199" s="100"/>
    </row>
    <row r="1200">
      <c r="R1200" s="100"/>
      <c r="V1200" s="100"/>
      <c r="Y1200" s="100"/>
    </row>
    <row r="1201">
      <c r="R1201" s="100"/>
      <c r="V1201" s="100"/>
      <c r="Y1201" s="100"/>
    </row>
    <row r="1202">
      <c r="R1202" s="100"/>
      <c r="V1202" s="100"/>
      <c r="Y1202" s="100"/>
    </row>
    <row r="1203">
      <c r="R1203" s="100"/>
      <c r="V1203" s="100"/>
      <c r="Y1203" s="100"/>
    </row>
    <row r="1204">
      <c r="R1204" s="100"/>
      <c r="V1204" s="100"/>
      <c r="Y1204" s="100"/>
    </row>
    <row r="1205">
      <c r="R1205" s="100"/>
      <c r="V1205" s="100"/>
      <c r="Y1205" s="100"/>
    </row>
    <row r="1206">
      <c r="R1206" s="100"/>
      <c r="V1206" s="100"/>
      <c r="Y1206" s="100"/>
    </row>
    <row r="1207">
      <c r="R1207" s="100"/>
      <c r="V1207" s="100"/>
      <c r="Y1207" s="100"/>
    </row>
    <row r="1208">
      <c r="R1208" s="100"/>
      <c r="V1208" s="100"/>
      <c r="Y1208" s="100"/>
    </row>
    <row r="1209">
      <c r="R1209" s="100"/>
      <c r="V1209" s="100"/>
      <c r="Y1209" s="100"/>
    </row>
    <row r="1210">
      <c r="R1210" s="100"/>
      <c r="V1210" s="100"/>
      <c r="Y1210" s="100"/>
    </row>
    <row r="1211">
      <c r="R1211" s="100"/>
      <c r="V1211" s="100"/>
      <c r="Y1211" s="100"/>
    </row>
    <row r="1212">
      <c r="R1212" s="100"/>
      <c r="V1212" s="100"/>
      <c r="Y1212" s="100"/>
    </row>
    <row r="1213">
      <c r="R1213" s="100"/>
      <c r="V1213" s="100"/>
      <c r="Y1213" s="100"/>
    </row>
    <row r="1214">
      <c r="R1214" s="100"/>
      <c r="V1214" s="100"/>
      <c r="Y1214" s="100"/>
    </row>
    <row r="1215">
      <c r="R1215" s="100"/>
      <c r="V1215" s="100"/>
      <c r="Y1215" s="100"/>
    </row>
    <row r="1216">
      <c r="R1216" s="100"/>
      <c r="V1216" s="100"/>
      <c r="Y1216" s="100"/>
    </row>
    <row r="1217">
      <c r="R1217" s="100"/>
      <c r="V1217" s="100"/>
      <c r="Y1217" s="100"/>
    </row>
    <row r="1218">
      <c r="R1218" s="100"/>
      <c r="V1218" s="100"/>
      <c r="Y1218" s="100"/>
    </row>
    <row r="1219">
      <c r="R1219" s="100"/>
      <c r="V1219" s="100"/>
      <c r="Y1219" s="100"/>
    </row>
    <row r="1220">
      <c r="R1220" s="100"/>
      <c r="V1220" s="100"/>
      <c r="Y1220" s="100"/>
    </row>
    <row r="1221">
      <c r="R1221" s="100"/>
      <c r="V1221" s="100"/>
      <c r="Y1221" s="100"/>
    </row>
    <row r="1222">
      <c r="R1222" s="100"/>
      <c r="V1222" s="100"/>
      <c r="Y1222" s="100"/>
    </row>
    <row r="1223">
      <c r="R1223" s="100"/>
      <c r="V1223" s="100"/>
      <c r="Y1223" s="100"/>
    </row>
    <row r="1224">
      <c r="R1224" s="100"/>
      <c r="V1224" s="100"/>
      <c r="Y1224" s="100"/>
    </row>
    <row r="1225">
      <c r="R1225" s="100"/>
      <c r="V1225" s="100"/>
      <c r="Y1225" s="100"/>
    </row>
    <row r="1226">
      <c r="R1226" s="100"/>
      <c r="V1226" s="100"/>
      <c r="Y1226" s="100"/>
    </row>
    <row r="1227">
      <c r="R1227" s="100"/>
      <c r="V1227" s="100"/>
      <c r="Y1227" s="100"/>
    </row>
    <row r="1228">
      <c r="R1228" s="100"/>
      <c r="V1228" s="100"/>
      <c r="Y1228" s="100"/>
    </row>
    <row r="1229">
      <c r="R1229" s="100"/>
      <c r="V1229" s="100"/>
      <c r="Y1229" s="100"/>
    </row>
    <row r="1230">
      <c r="R1230" s="100"/>
      <c r="V1230" s="100"/>
      <c r="Y1230" s="100"/>
    </row>
    <row r="1231">
      <c r="R1231" s="100"/>
      <c r="V1231" s="100"/>
      <c r="Y1231" s="100"/>
    </row>
    <row r="1232">
      <c r="R1232" s="100"/>
      <c r="V1232" s="100"/>
      <c r="Y1232" s="100"/>
    </row>
    <row r="1233">
      <c r="R1233" s="100"/>
      <c r="V1233" s="100"/>
      <c r="Y1233" s="100"/>
    </row>
    <row r="1234">
      <c r="R1234" s="100"/>
      <c r="V1234" s="100"/>
      <c r="Y1234" s="100"/>
    </row>
    <row r="1235">
      <c r="R1235" s="100"/>
      <c r="V1235" s="100"/>
      <c r="Y1235" s="100"/>
    </row>
    <row r="1236">
      <c r="R1236" s="100"/>
      <c r="V1236" s="100"/>
      <c r="Y1236" s="100"/>
    </row>
    <row r="1237">
      <c r="R1237" s="100"/>
      <c r="V1237" s="100"/>
      <c r="Y1237" s="100"/>
    </row>
    <row r="1238">
      <c r="R1238" s="100"/>
      <c r="V1238" s="100"/>
      <c r="Y1238" s="100"/>
    </row>
    <row r="1239">
      <c r="R1239" s="100"/>
      <c r="V1239" s="100"/>
      <c r="Y1239" s="100"/>
    </row>
    <row r="1240">
      <c r="R1240" s="100"/>
      <c r="V1240" s="100"/>
      <c r="Y1240" s="100"/>
    </row>
    <row r="1241">
      <c r="R1241" s="100"/>
      <c r="V1241" s="100"/>
      <c r="Y1241" s="100"/>
    </row>
    <row r="1242">
      <c r="R1242" s="100"/>
      <c r="V1242" s="100"/>
      <c r="Y1242" s="100"/>
    </row>
    <row r="1243">
      <c r="R1243" s="100"/>
      <c r="V1243" s="100"/>
      <c r="Y1243" s="100"/>
    </row>
    <row r="1244">
      <c r="R1244" s="100"/>
      <c r="V1244" s="100"/>
      <c r="Y1244" s="100"/>
    </row>
    <row r="1245">
      <c r="R1245" s="100"/>
      <c r="V1245" s="100"/>
      <c r="Y1245" s="100"/>
    </row>
    <row r="1246">
      <c r="R1246" s="100"/>
      <c r="V1246" s="100"/>
      <c r="Y1246" s="100"/>
    </row>
    <row r="1247">
      <c r="R1247" s="100"/>
      <c r="V1247" s="100"/>
      <c r="Y1247" s="100"/>
    </row>
    <row r="1248">
      <c r="R1248" s="100"/>
      <c r="V1248" s="100"/>
      <c r="Y1248" s="100"/>
    </row>
    <row r="1249">
      <c r="R1249" s="100"/>
      <c r="V1249" s="100"/>
      <c r="Y1249" s="100"/>
    </row>
    <row r="1250">
      <c r="R1250" s="100"/>
      <c r="V1250" s="100"/>
      <c r="Y1250" s="100"/>
    </row>
    <row r="1251">
      <c r="R1251" s="100"/>
      <c r="V1251" s="100"/>
      <c r="Y1251" s="100"/>
    </row>
    <row r="1252">
      <c r="R1252" s="100"/>
      <c r="V1252" s="100"/>
      <c r="Y1252" s="100"/>
    </row>
    <row r="1253">
      <c r="R1253" s="100"/>
      <c r="V1253" s="100"/>
      <c r="Y1253" s="100"/>
    </row>
    <row r="1254">
      <c r="R1254" s="100"/>
      <c r="V1254" s="100"/>
      <c r="Y1254" s="100"/>
    </row>
    <row r="1255">
      <c r="R1255" s="100"/>
      <c r="V1255" s="100"/>
      <c r="Y1255" s="100"/>
    </row>
    <row r="1256">
      <c r="R1256" s="100"/>
      <c r="V1256" s="100"/>
      <c r="Y1256" s="100"/>
    </row>
    <row r="1257">
      <c r="R1257" s="100"/>
      <c r="V1257" s="100"/>
      <c r="Y1257" s="100"/>
    </row>
    <row r="1258">
      <c r="R1258" s="100"/>
      <c r="V1258" s="100"/>
      <c r="Y1258" s="100"/>
    </row>
    <row r="1259">
      <c r="R1259" s="100"/>
      <c r="V1259" s="100"/>
      <c r="Y1259" s="100"/>
    </row>
    <row r="1260">
      <c r="R1260" s="100"/>
      <c r="V1260" s="100"/>
      <c r="Y1260" s="100"/>
    </row>
    <row r="1261">
      <c r="R1261" s="100"/>
      <c r="V1261" s="100"/>
      <c r="Y1261" s="100"/>
    </row>
    <row r="1262">
      <c r="R1262" s="100"/>
      <c r="V1262" s="100"/>
      <c r="Y1262" s="100"/>
    </row>
    <row r="1263">
      <c r="R1263" s="100"/>
      <c r="V1263" s="100"/>
      <c r="Y1263" s="100"/>
    </row>
    <row r="1264">
      <c r="R1264" s="100"/>
      <c r="V1264" s="100"/>
      <c r="Y1264" s="100"/>
    </row>
    <row r="1265">
      <c r="R1265" s="100"/>
      <c r="V1265" s="100"/>
      <c r="Y1265" s="100"/>
    </row>
    <row r="1266">
      <c r="R1266" s="100"/>
      <c r="V1266" s="100"/>
      <c r="Y1266" s="100"/>
    </row>
    <row r="1267">
      <c r="R1267" s="100"/>
      <c r="V1267" s="100"/>
      <c r="Y1267" s="100"/>
    </row>
    <row r="1268">
      <c r="R1268" s="100"/>
      <c r="V1268" s="100"/>
      <c r="Y1268" s="100"/>
    </row>
    <row r="1269">
      <c r="R1269" s="100"/>
      <c r="V1269" s="100"/>
      <c r="Y1269" s="100"/>
    </row>
    <row r="1270">
      <c r="R1270" s="100"/>
      <c r="V1270" s="100"/>
      <c r="Y1270" s="100"/>
    </row>
    <row r="1271">
      <c r="R1271" s="100"/>
      <c r="V1271" s="100"/>
      <c r="Y1271" s="100"/>
    </row>
    <row r="1272">
      <c r="R1272" s="100"/>
      <c r="V1272" s="100"/>
      <c r="Y1272" s="100"/>
    </row>
    <row r="1273">
      <c r="R1273" s="100"/>
      <c r="V1273" s="100"/>
      <c r="Y1273" s="100"/>
    </row>
    <row r="1274">
      <c r="R1274" s="100"/>
      <c r="V1274" s="100"/>
      <c r="Y1274" s="100"/>
    </row>
    <row r="1275">
      <c r="R1275" s="100"/>
      <c r="V1275" s="100"/>
      <c r="Y1275" s="100"/>
    </row>
    <row r="1276">
      <c r="R1276" s="100"/>
      <c r="V1276" s="100"/>
      <c r="Y1276" s="100"/>
    </row>
    <row r="1277">
      <c r="R1277" s="100"/>
      <c r="V1277" s="100"/>
      <c r="Y1277" s="100"/>
    </row>
    <row r="1278">
      <c r="R1278" s="100"/>
      <c r="V1278" s="100"/>
      <c r="Y1278" s="100"/>
    </row>
    <row r="1279">
      <c r="R1279" s="100"/>
      <c r="V1279" s="100"/>
      <c r="Y1279" s="100"/>
    </row>
    <row r="1280">
      <c r="R1280" s="100"/>
      <c r="V1280" s="100"/>
      <c r="Y1280" s="100"/>
    </row>
    <row r="1281">
      <c r="R1281" s="100"/>
      <c r="V1281" s="100"/>
      <c r="Y1281" s="100"/>
    </row>
    <row r="1282">
      <c r="R1282" s="100"/>
      <c r="V1282" s="100"/>
      <c r="Y1282" s="100"/>
    </row>
    <row r="1283">
      <c r="R1283" s="100"/>
      <c r="V1283" s="100"/>
      <c r="Y1283" s="100"/>
    </row>
    <row r="1284">
      <c r="R1284" s="100"/>
      <c r="V1284" s="100"/>
      <c r="Y1284" s="100"/>
    </row>
    <row r="1285">
      <c r="R1285" s="100"/>
      <c r="V1285" s="100"/>
      <c r="Y1285" s="100"/>
    </row>
    <row r="1286">
      <c r="R1286" s="100"/>
      <c r="V1286" s="100"/>
      <c r="Y1286" s="100"/>
    </row>
    <row r="1287">
      <c r="R1287" s="100"/>
      <c r="V1287" s="100"/>
      <c r="Y1287" s="100"/>
    </row>
    <row r="1288">
      <c r="R1288" s="100"/>
      <c r="V1288" s="100"/>
      <c r="Y1288" s="100"/>
    </row>
    <row r="1289">
      <c r="R1289" s="100"/>
      <c r="V1289" s="100"/>
      <c r="Y1289" s="100"/>
    </row>
    <row r="1290">
      <c r="R1290" s="100"/>
      <c r="V1290" s="100"/>
      <c r="Y1290" s="100"/>
    </row>
    <row r="1291">
      <c r="R1291" s="100"/>
      <c r="V1291" s="100"/>
      <c r="Y1291" s="100"/>
    </row>
    <row r="1292">
      <c r="R1292" s="100"/>
      <c r="V1292" s="100"/>
      <c r="Y1292" s="100"/>
    </row>
    <row r="1293">
      <c r="R1293" s="100"/>
      <c r="V1293" s="100"/>
      <c r="Y1293" s="100"/>
    </row>
    <row r="1294">
      <c r="R1294" s="100"/>
      <c r="V1294" s="100"/>
      <c r="Y1294" s="100"/>
    </row>
    <row r="1295">
      <c r="R1295" s="100"/>
      <c r="V1295" s="100"/>
      <c r="Y1295" s="100"/>
    </row>
    <row r="1296">
      <c r="R1296" s="100"/>
      <c r="V1296" s="100"/>
      <c r="Y1296" s="100"/>
    </row>
    <row r="1297">
      <c r="R1297" s="100"/>
      <c r="V1297" s="100"/>
      <c r="Y1297" s="100"/>
    </row>
    <row r="1298">
      <c r="R1298" s="100"/>
      <c r="V1298" s="100"/>
      <c r="Y1298" s="100"/>
    </row>
    <row r="1299">
      <c r="R1299" s="100"/>
      <c r="V1299" s="100"/>
      <c r="Y1299" s="100"/>
    </row>
    <row r="1300">
      <c r="R1300" s="100"/>
      <c r="V1300" s="100"/>
      <c r="Y1300" s="100"/>
    </row>
    <row r="1301">
      <c r="R1301" s="100"/>
      <c r="V1301" s="100"/>
      <c r="Y1301" s="100"/>
    </row>
    <row r="1302">
      <c r="R1302" s="100"/>
      <c r="V1302" s="100"/>
      <c r="Y1302" s="100"/>
    </row>
    <row r="1303">
      <c r="R1303" s="100"/>
      <c r="V1303" s="100"/>
      <c r="Y1303" s="100"/>
    </row>
    <row r="1304">
      <c r="R1304" s="100"/>
      <c r="V1304" s="100"/>
      <c r="Y1304" s="100"/>
    </row>
    <row r="1305">
      <c r="R1305" s="100"/>
      <c r="V1305" s="100"/>
      <c r="Y1305" s="100"/>
    </row>
    <row r="1306">
      <c r="R1306" s="100"/>
      <c r="V1306" s="100"/>
      <c r="Y1306" s="100"/>
    </row>
    <row r="1307">
      <c r="R1307" s="100"/>
      <c r="V1307" s="100"/>
      <c r="Y1307" s="100"/>
    </row>
    <row r="1308">
      <c r="R1308" s="100"/>
      <c r="V1308" s="100"/>
      <c r="Y1308" s="100"/>
    </row>
    <row r="1309">
      <c r="R1309" s="100"/>
      <c r="V1309" s="100"/>
      <c r="Y1309" s="100"/>
    </row>
    <row r="1310">
      <c r="R1310" s="100"/>
      <c r="V1310" s="100"/>
      <c r="Y1310" s="100"/>
    </row>
    <row r="1311">
      <c r="R1311" s="100"/>
      <c r="V1311" s="100"/>
      <c r="Y1311" s="100"/>
    </row>
    <row r="1312">
      <c r="R1312" s="100"/>
      <c r="V1312" s="100"/>
      <c r="Y1312" s="100"/>
    </row>
    <row r="1313">
      <c r="R1313" s="100"/>
      <c r="V1313" s="100"/>
      <c r="Y1313" s="100"/>
    </row>
    <row r="1314">
      <c r="R1314" s="100"/>
      <c r="V1314" s="100"/>
      <c r="Y1314" s="100"/>
    </row>
    <row r="1315">
      <c r="R1315" s="100"/>
      <c r="V1315" s="100"/>
      <c r="Y1315" s="100"/>
    </row>
    <row r="1316">
      <c r="R1316" s="100"/>
      <c r="V1316" s="100"/>
      <c r="Y1316" s="100"/>
    </row>
    <row r="1317">
      <c r="R1317" s="100"/>
      <c r="V1317" s="100"/>
      <c r="Y1317" s="100"/>
    </row>
    <row r="1318">
      <c r="R1318" s="100"/>
      <c r="V1318" s="100"/>
      <c r="Y1318" s="100"/>
    </row>
    <row r="1319">
      <c r="R1319" s="100"/>
      <c r="V1319" s="100"/>
      <c r="Y1319" s="100"/>
    </row>
    <row r="1320">
      <c r="R1320" s="100"/>
      <c r="V1320" s="100"/>
      <c r="Y1320" s="100"/>
    </row>
    <row r="1321">
      <c r="R1321" s="100"/>
      <c r="V1321" s="100"/>
      <c r="Y1321" s="100"/>
    </row>
    <row r="1322">
      <c r="R1322" s="100"/>
      <c r="V1322" s="100"/>
      <c r="Y1322" s="100"/>
    </row>
    <row r="1323">
      <c r="R1323" s="100"/>
      <c r="V1323" s="100"/>
      <c r="Y1323" s="100"/>
    </row>
    <row r="1324">
      <c r="R1324" s="100"/>
      <c r="V1324" s="100"/>
      <c r="Y1324" s="100"/>
    </row>
    <row r="1325">
      <c r="R1325" s="100"/>
      <c r="V1325" s="100"/>
      <c r="Y1325" s="100"/>
    </row>
    <row r="1326">
      <c r="R1326" s="100"/>
      <c r="V1326" s="100"/>
      <c r="Y1326" s="100"/>
    </row>
    <row r="1327">
      <c r="R1327" s="100"/>
      <c r="V1327" s="100"/>
      <c r="Y1327" s="100"/>
    </row>
    <row r="1328">
      <c r="R1328" s="100"/>
      <c r="V1328" s="100"/>
      <c r="Y1328" s="100"/>
    </row>
    <row r="1329">
      <c r="R1329" s="100"/>
      <c r="V1329" s="100"/>
      <c r="Y1329" s="100"/>
    </row>
    <row r="1330">
      <c r="R1330" s="100"/>
      <c r="V1330" s="100"/>
      <c r="Y1330" s="100"/>
    </row>
    <row r="1331">
      <c r="R1331" s="100"/>
      <c r="V1331" s="100"/>
      <c r="Y1331" s="100"/>
    </row>
    <row r="1332">
      <c r="R1332" s="100"/>
      <c r="V1332" s="100"/>
      <c r="Y1332" s="100"/>
    </row>
    <row r="1333">
      <c r="R1333" s="100"/>
      <c r="V1333" s="100"/>
      <c r="Y1333" s="100"/>
    </row>
    <row r="1334">
      <c r="R1334" s="100"/>
      <c r="V1334" s="100"/>
      <c r="Y1334" s="100"/>
    </row>
    <row r="1335">
      <c r="R1335" s="100"/>
      <c r="V1335" s="100"/>
      <c r="Y1335" s="100"/>
    </row>
    <row r="1336">
      <c r="R1336" s="100"/>
      <c r="V1336" s="100"/>
      <c r="Y1336" s="100"/>
    </row>
    <row r="1337">
      <c r="R1337" s="100"/>
      <c r="V1337" s="100"/>
      <c r="Y1337" s="100"/>
    </row>
    <row r="1338">
      <c r="R1338" s="100"/>
      <c r="V1338" s="100"/>
      <c r="Y1338" s="100"/>
    </row>
    <row r="1339">
      <c r="R1339" s="100"/>
      <c r="V1339" s="100"/>
      <c r="Y1339" s="100"/>
    </row>
    <row r="1340">
      <c r="R1340" s="100"/>
      <c r="V1340" s="100"/>
      <c r="Y1340" s="100"/>
    </row>
    <row r="1341">
      <c r="R1341" s="100"/>
      <c r="V1341" s="100"/>
      <c r="Y1341" s="100"/>
    </row>
    <row r="1342">
      <c r="R1342" s="100"/>
      <c r="V1342" s="100"/>
      <c r="Y1342" s="100"/>
    </row>
    <row r="1343">
      <c r="R1343" s="100"/>
      <c r="V1343" s="100"/>
      <c r="Y1343" s="100"/>
    </row>
    <row r="1344">
      <c r="R1344" s="100"/>
      <c r="V1344" s="100"/>
      <c r="Y1344" s="100"/>
    </row>
    <row r="1345">
      <c r="R1345" s="100"/>
      <c r="V1345" s="100"/>
      <c r="Y1345" s="100"/>
    </row>
    <row r="1346">
      <c r="R1346" s="100"/>
      <c r="V1346" s="100"/>
      <c r="Y1346" s="100"/>
    </row>
    <row r="1347">
      <c r="R1347" s="100"/>
      <c r="V1347" s="100"/>
      <c r="Y1347" s="100"/>
    </row>
    <row r="1348">
      <c r="R1348" s="100"/>
      <c r="V1348" s="100"/>
      <c r="Y1348" s="100"/>
    </row>
    <row r="1349">
      <c r="R1349" s="100"/>
      <c r="V1349" s="100"/>
      <c r="Y1349" s="100"/>
    </row>
    <row r="1350">
      <c r="R1350" s="100"/>
      <c r="V1350" s="100"/>
      <c r="Y1350" s="100"/>
    </row>
    <row r="1351">
      <c r="R1351" s="100"/>
      <c r="V1351" s="100"/>
      <c r="Y1351" s="100"/>
    </row>
    <row r="1352">
      <c r="R1352" s="100"/>
      <c r="V1352" s="100"/>
      <c r="Y1352" s="100"/>
    </row>
    <row r="1353">
      <c r="R1353" s="100"/>
      <c r="V1353" s="100"/>
      <c r="Y1353" s="100"/>
    </row>
    <row r="1354">
      <c r="R1354" s="100"/>
      <c r="V1354" s="100"/>
      <c r="Y1354" s="100"/>
    </row>
    <row r="1355">
      <c r="R1355" s="100"/>
      <c r="V1355" s="100"/>
      <c r="Y1355" s="100"/>
    </row>
    <row r="1356">
      <c r="R1356" s="100"/>
      <c r="V1356" s="100"/>
      <c r="Y1356" s="100"/>
    </row>
    <row r="1357">
      <c r="R1357" s="100"/>
      <c r="V1357" s="100"/>
      <c r="Y1357" s="100"/>
    </row>
    <row r="1358">
      <c r="R1358" s="100"/>
      <c r="V1358" s="100"/>
      <c r="Y1358" s="100"/>
    </row>
    <row r="1359">
      <c r="R1359" s="100"/>
      <c r="V1359" s="100"/>
      <c r="Y1359" s="100"/>
    </row>
    <row r="1360">
      <c r="R1360" s="100"/>
      <c r="V1360" s="100"/>
      <c r="Y1360" s="100"/>
    </row>
    <row r="1361">
      <c r="R1361" s="100"/>
      <c r="V1361" s="100"/>
      <c r="Y1361" s="100"/>
    </row>
    <row r="1362">
      <c r="R1362" s="100"/>
      <c r="V1362" s="100"/>
      <c r="Y1362" s="100"/>
    </row>
    <row r="1363">
      <c r="R1363" s="100"/>
      <c r="V1363" s="100"/>
      <c r="Y1363" s="100"/>
    </row>
    <row r="1364">
      <c r="R1364" s="100"/>
      <c r="V1364" s="100"/>
      <c r="Y1364" s="100"/>
    </row>
    <row r="1365">
      <c r="R1365" s="100"/>
      <c r="V1365" s="100"/>
      <c r="Y1365" s="100"/>
    </row>
    <row r="1366">
      <c r="R1366" s="100"/>
      <c r="V1366" s="100"/>
      <c r="Y1366" s="100"/>
    </row>
    <row r="1367">
      <c r="R1367" s="100"/>
      <c r="V1367" s="100"/>
      <c r="Y1367" s="100"/>
    </row>
    <row r="1368">
      <c r="R1368" s="100"/>
      <c r="V1368" s="100"/>
      <c r="Y1368" s="100"/>
    </row>
    <row r="1369">
      <c r="R1369" s="100"/>
      <c r="V1369" s="100"/>
      <c r="Y1369" s="100"/>
    </row>
    <row r="1370">
      <c r="R1370" s="100"/>
      <c r="V1370" s="100"/>
      <c r="Y1370" s="100"/>
    </row>
    <row r="1371">
      <c r="R1371" s="100"/>
      <c r="V1371" s="100"/>
      <c r="Y1371" s="100"/>
    </row>
    <row r="1372">
      <c r="R1372" s="100"/>
      <c r="V1372" s="100"/>
      <c r="Y1372" s="100"/>
    </row>
    <row r="1373">
      <c r="R1373" s="100"/>
      <c r="V1373" s="100"/>
      <c r="Y1373" s="100"/>
    </row>
    <row r="1374">
      <c r="R1374" s="100"/>
      <c r="V1374" s="100"/>
      <c r="Y1374" s="100"/>
    </row>
    <row r="1375">
      <c r="R1375" s="100"/>
      <c r="V1375" s="100"/>
      <c r="Y1375" s="100"/>
    </row>
    <row r="1376">
      <c r="R1376" s="100"/>
      <c r="V1376" s="100"/>
      <c r="Y1376" s="100"/>
    </row>
    <row r="1377">
      <c r="R1377" s="100"/>
      <c r="V1377" s="100"/>
      <c r="Y1377" s="100"/>
    </row>
    <row r="1378">
      <c r="R1378" s="100"/>
      <c r="V1378" s="100"/>
      <c r="Y1378" s="100"/>
    </row>
    <row r="1379">
      <c r="R1379" s="100"/>
      <c r="V1379" s="100"/>
      <c r="Y1379" s="100"/>
    </row>
    <row r="1380">
      <c r="R1380" s="100"/>
      <c r="V1380" s="100"/>
      <c r="Y1380" s="100"/>
    </row>
    <row r="1381">
      <c r="R1381" s="100"/>
      <c r="V1381" s="100"/>
      <c r="Y1381" s="100"/>
    </row>
    <row r="1382">
      <c r="R1382" s="100"/>
      <c r="V1382" s="100"/>
      <c r="Y1382" s="100"/>
    </row>
    <row r="1383">
      <c r="R1383" s="100"/>
      <c r="V1383" s="100"/>
      <c r="Y1383" s="100"/>
    </row>
    <row r="1384">
      <c r="R1384" s="100"/>
      <c r="V1384" s="100"/>
      <c r="Y1384" s="100"/>
    </row>
    <row r="1385">
      <c r="R1385" s="100"/>
      <c r="V1385" s="100"/>
      <c r="Y1385" s="100"/>
    </row>
    <row r="1386">
      <c r="R1386" s="100"/>
      <c r="V1386" s="100"/>
      <c r="Y1386" s="100"/>
    </row>
    <row r="1387">
      <c r="R1387" s="100"/>
      <c r="V1387" s="100"/>
      <c r="Y1387" s="100"/>
    </row>
    <row r="1388">
      <c r="R1388" s="100"/>
      <c r="V1388" s="100"/>
      <c r="Y1388" s="100"/>
    </row>
    <row r="1389">
      <c r="R1389" s="100"/>
      <c r="V1389" s="100"/>
      <c r="Y1389" s="100"/>
    </row>
    <row r="1390">
      <c r="R1390" s="100"/>
      <c r="V1390" s="100"/>
      <c r="Y1390" s="100"/>
    </row>
    <row r="1391">
      <c r="R1391" s="100"/>
      <c r="V1391" s="100"/>
      <c r="Y1391" s="100"/>
    </row>
    <row r="1392">
      <c r="R1392" s="100"/>
      <c r="V1392" s="100"/>
      <c r="Y1392" s="100"/>
    </row>
    <row r="1393">
      <c r="R1393" s="100"/>
      <c r="V1393" s="100"/>
      <c r="Y1393" s="100"/>
    </row>
    <row r="1394">
      <c r="R1394" s="100"/>
      <c r="V1394" s="100"/>
      <c r="Y1394" s="100"/>
    </row>
    <row r="1395">
      <c r="R1395" s="100"/>
      <c r="V1395" s="100"/>
      <c r="Y1395" s="100"/>
    </row>
    <row r="1396">
      <c r="R1396" s="100"/>
      <c r="V1396" s="100"/>
      <c r="Y1396" s="100"/>
    </row>
    <row r="1397">
      <c r="R1397" s="100"/>
      <c r="V1397" s="100"/>
      <c r="Y1397" s="100"/>
    </row>
    <row r="1398">
      <c r="R1398" s="100"/>
      <c r="V1398" s="100"/>
      <c r="Y1398" s="100"/>
    </row>
    <row r="1399">
      <c r="R1399" s="100"/>
      <c r="V1399" s="100"/>
      <c r="Y1399" s="100"/>
    </row>
    <row r="1400">
      <c r="R1400" s="100"/>
      <c r="V1400" s="100"/>
      <c r="Y1400" s="100"/>
    </row>
    <row r="1401">
      <c r="R1401" s="100"/>
      <c r="V1401" s="100"/>
      <c r="Y1401" s="100"/>
    </row>
    <row r="1402">
      <c r="R1402" s="100"/>
      <c r="V1402" s="100"/>
      <c r="Y1402" s="100"/>
    </row>
    <row r="1403">
      <c r="R1403" s="100"/>
      <c r="V1403" s="100"/>
      <c r="Y1403" s="100"/>
    </row>
    <row r="1404">
      <c r="R1404" s="100"/>
      <c r="V1404" s="100"/>
      <c r="Y1404" s="100"/>
    </row>
    <row r="1405">
      <c r="R1405" s="100"/>
      <c r="V1405" s="100"/>
      <c r="Y1405" s="100"/>
    </row>
    <row r="1406">
      <c r="R1406" s="100"/>
      <c r="V1406" s="100"/>
      <c r="Y1406" s="100"/>
    </row>
    <row r="1407">
      <c r="R1407" s="100"/>
      <c r="V1407" s="100"/>
      <c r="Y1407" s="100"/>
    </row>
    <row r="1408">
      <c r="R1408" s="100"/>
      <c r="V1408" s="100"/>
      <c r="Y1408" s="100"/>
    </row>
    <row r="1409">
      <c r="R1409" s="100"/>
      <c r="V1409" s="100"/>
      <c r="Y1409" s="100"/>
    </row>
    <row r="1410">
      <c r="R1410" s="100"/>
      <c r="V1410" s="100"/>
      <c r="Y1410" s="100"/>
    </row>
    <row r="1411">
      <c r="R1411" s="100"/>
      <c r="V1411" s="100"/>
      <c r="Y1411" s="100"/>
    </row>
    <row r="1412">
      <c r="R1412" s="100"/>
      <c r="V1412" s="100"/>
      <c r="Y1412" s="100"/>
    </row>
    <row r="1413">
      <c r="R1413" s="100"/>
      <c r="V1413" s="100"/>
      <c r="Y1413" s="100"/>
    </row>
    <row r="1414">
      <c r="R1414" s="100"/>
      <c r="V1414" s="100"/>
      <c r="Y1414" s="100"/>
    </row>
    <row r="1415">
      <c r="R1415" s="100"/>
      <c r="V1415" s="100"/>
      <c r="Y1415" s="100"/>
    </row>
    <row r="1416">
      <c r="R1416" s="100"/>
      <c r="V1416" s="100"/>
      <c r="Y1416" s="100"/>
    </row>
    <row r="1417">
      <c r="R1417" s="100"/>
      <c r="V1417" s="100"/>
      <c r="Y1417" s="100"/>
    </row>
    <row r="1418">
      <c r="R1418" s="100"/>
      <c r="V1418" s="100"/>
      <c r="Y1418" s="100"/>
    </row>
    <row r="1419">
      <c r="R1419" s="100"/>
      <c r="V1419" s="100"/>
      <c r="Y1419" s="100"/>
    </row>
    <row r="1420">
      <c r="R1420" s="100"/>
      <c r="V1420" s="100"/>
      <c r="Y1420" s="100"/>
    </row>
    <row r="1421">
      <c r="R1421" s="100"/>
      <c r="V1421" s="100"/>
      <c r="Y1421" s="100"/>
    </row>
    <row r="1422">
      <c r="R1422" s="100"/>
      <c r="V1422" s="100"/>
      <c r="Y1422" s="100"/>
    </row>
    <row r="1423">
      <c r="R1423" s="100"/>
      <c r="V1423" s="100"/>
      <c r="Y1423" s="100"/>
    </row>
    <row r="1424">
      <c r="R1424" s="100"/>
      <c r="V1424" s="100"/>
      <c r="Y1424" s="100"/>
    </row>
    <row r="1425">
      <c r="R1425" s="100"/>
      <c r="V1425" s="100"/>
      <c r="Y1425" s="100"/>
    </row>
    <row r="1426">
      <c r="R1426" s="100"/>
      <c r="V1426" s="100"/>
      <c r="Y1426" s="100"/>
    </row>
    <row r="1427">
      <c r="R1427" s="100"/>
      <c r="V1427" s="100"/>
      <c r="Y1427" s="100"/>
    </row>
    <row r="1428">
      <c r="R1428" s="100"/>
      <c r="V1428" s="100"/>
      <c r="Y1428" s="100"/>
    </row>
    <row r="1429">
      <c r="R1429" s="100"/>
      <c r="V1429" s="100"/>
      <c r="Y1429" s="100"/>
    </row>
    <row r="1430">
      <c r="R1430" s="100"/>
      <c r="V1430" s="100"/>
      <c r="Y1430" s="100"/>
    </row>
    <row r="1431">
      <c r="R1431" s="100"/>
      <c r="V1431" s="100"/>
      <c r="Y1431" s="100"/>
    </row>
    <row r="1432">
      <c r="R1432" s="100"/>
      <c r="V1432" s="100"/>
      <c r="Y1432" s="100"/>
    </row>
    <row r="1433">
      <c r="R1433" s="100"/>
      <c r="V1433" s="100"/>
      <c r="Y1433" s="100"/>
    </row>
    <row r="1434">
      <c r="R1434" s="100"/>
      <c r="V1434" s="100"/>
      <c r="Y1434" s="100"/>
    </row>
    <row r="1435">
      <c r="R1435" s="100"/>
      <c r="V1435" s="100"/>
      <c r="Y1435" s="100"/>
    </row>
    <row r="1436">
      <c r="R1436" s="100"/>
      <c r="V1436" s="100"/>
      <c r="Y1436" s="100"/>
    </row>
    <row r="1437">
      <c r="R1437" s="100"/>
      <c r="V1437" s="100"/>
      <c r="Y1437" s="100"/>
    </row>
    <row r="1438">
      <c r="R1438" s="100"/>
      <c r="V1438" s="100"/>
      <c r="Y1438" s="100"/>
    </row>
    <row r="1439">
      <c r="R1439" s="100"/>
      <c r="V1439" s="100"/>
      <c r="Y1439" s="100"/>
    </row>
    <row r="1440">
      <c r="R1440" s="100"/>
      <c r="V1440" s="100"/>
      <c r="Y1440" s="100"/>
    </row>
    <row r="1441">
      <c r="R1441" s="100"/>
      <c r="V1441" s="100"/>
      <c r="Y1441" s="100"/>
    </row>
    <row r="1442">
      <c r="R1442" s="100"/>
      <c r="V1442" s="100"/>
      <c r="Y1442" s="100"/>
    </row>
    <row r="1443">
      <c r="R1443" s="100"/>
      <c r="V1443" s="100"/>
      <c r="Y1443" s="100"/>
    </row>
    <row r="1444">
      <c r="R1444" s="100"/>
      <c r="V1444" s="100"/>
      <c r="Y1444" s="100"/>
    </row>
    <row r="1445">
      <c r="R1445" s="100"/>
      <c r="V1445" s="100"/>
      <c r="Y1445" s="100"/>
    </row>
    <row r="1446">
      <c r="R1446" s="100"/>
      <c r="V1446" s="100"/>
      <c r="Y1446" s="100"/>
    </row>
    <row r="1447">
      <c r="R1447" s="100"/>
      <c r="V1447" s="100"/>
      <c r="Y1447" s="100"/>
    </row>
    <row r="1448">
      <c r="R1448" s="100"/>
      <c r="V1448" s="100"/>
      <c r="Y1448" s="100"/>
    </row>
    <row r="1449">
      <c r="R1449" s="100"/>
      <c r="V1449" s="100"/>
      <c r="Y1449" s="100"/>
    </row>
    <row r="1450">
      <c r="R1450" s="100"/>
      <c r="V1450" s="100"/>
      <c r="Y1450" s="100"/>
    </row>
    <row r="1451">
      <c r="R1451" s="100"/>
      <c r="V1451" s="100"/>
      <c r="Y1451" s="100"/>
    </row>
    <row r="1452">
      <c r="R1452" s="100"/>
      <c r="V1452" s="100"/>
      <c r="Y1452" s="100"/>
    </row>
    <row r="1453">
      <c r="R1453" s="100"/>
      <c r="V1453" s="100"/>
      <c r="Y1453" s="100"/>
    </row>
    <row r="1454">
      <c r="R1454" s="100"/>
      <c r="V1454" s="100"/>
      <c r="Y1454" s="100"/>
    </row>
    <row r="1455">
      <c r="R1455" s="100"/>
      <c r="V1455" s="100"/>
      <c r="Y1455" s="100"/>
    </row>
    <row r="1456">
      <c r="R1456" s="100"/>
      <c r="V1456" s="100"/>
      <c r="Y1456" s="100"/>
    </row>
    <row r="1457">
      <c r="R1457" s="100"/>
      <c r="V1457" s="100"/>
      <c r="Y1457" s="100"/>
    </row>
    <row r="1458">
      <c r="R1458" s="100"/>
      <c r="V1458" s="100"/>
      <c r="Y1458" s="100"/>
    </row>
    <row r="1459">
      <c r="R1459" s="100"/>
      <c r="V1459" s="100"/>
      <c r="Y1459" s="100"/>
    </row>
    <row r="1460">
      <c r="R1460" s="100"/>
      <c r="V1460" s="100"/>
      <c r="Y1460" s="100"/>
    </row>
    <row r="1461">
      <c r="R1461" s="100"/>
      <c r="V1461" s="100"/>
      <c r="Y1461" s="100"/>
    </row>
    <row r="1462">
      <c r="R1462" s="100"/>
      <c r="V1462" s="100"/>
      <c r="Y1462" s="100"/>
    </row>
    <row r="1463">
      <c r="R1463" s="100"/>
      <c r="V1463" s="100"/>
      <c r="Y1463" s="100"/>
    </row>
    <row r="1464">
      <c r="R1464" s="100"/>
      <c r="V1464" s="100"/>
      <c r="Y1464" s="100"/>
    </row>
    <row r="1465">
      <c r="R1465" s="100"/>
      <c r="V1465" s="100"/>
      <c r="Y1465" s="100"/>
    </row>
    <row r="1466">
      <c r="R1466" s="100"/>
      <c r="V1466" s="100"/>
      <c r="Y1466" s="100"/>
    </row>
    <row r="1467">
      <c r="R1467" s="100"/>
      <c r="V1467" s="100"/>
      <c r="Y1467" s="100"/>
    </row>
    <row r="1468">
      <c r="R1468" s="100"/>
      <c r="V1468" s="100"/>
      <c r="Y1468" s="100"/>
    </row>
    <row r="1469">
      <c r="R1469" s="100"/>
      <c r="V1469" s="100"/>
      <c r="Y1469" s="100"/>
    </row>
    <row r="1470">
      <c r="R1470" s="100"/>
      <c r="V1470" s="100"/>
      <c r="Y1470" s="100"/>
    </row>
    <row r="1471">
      <c r="R1471" s="100"/>
      <c r="V1471" s="100"/>
      <c r="Y1471" s="100"/>
    </row>
    <row r="1472">
      <c r="R1472" s="100"/>
      <c r="V1472" s="100"/>
      <c r="Y1472" s="100"/>
    </row>
    <row r="1473">
      <c r="R1473" s="100"/>
      <c r="V1473" s="100"/>
      <c r="Y1473" s="100"/>
    </row>
    <row r="1474">
      <c r="R1474" s="100"/>
      <c r="V1474" s="100"/>
      <c r="Y1474" s="100"/>
    </row>
    <row r="1475">
      <c r="R1475" s="100"/>
      <c r="V1475" s="100"/>
      <c r="Y1475" s="100"/>
    </row>
    <row r="1476">
      <c r="R1476" s="100"/>
      <c r="V1476" s="100"/>
      <c r="Y1476" s="100"/>
    </row>
    <row r="1477">
      <c r="R1477" s="100"/>
      <c r="V1477" s="100"/>
      <c r="Y1477" s="100"/>
    </row>
    <row r="1478">
      <c r="R1478" s="100"/>
      <c r="V1478" s="100"/>
      <c r="Y1478" s="100"/>
    </row>
    <row r="1479">
      <c r="R1479" s="100"/>
      <c r="V1479" s="100"/>
      <c r="Y1479" s="100"/>
    </row>
    <row r="1480">
      <c r="R1480" s="100"/>
      <c r="V1480" s="100"/>
      <c r="Y1480" s="100"/>
    </row>
    <row r="1481">
      <c r="R1481" s="100"/>
      <c r="V1481" s="100"/>
      <c r="Y1481" s="100"/>
    </row>
    <row r="1482">
      <c r="R1482" s="100"/>
      <c r="V1482" s="100"/>
      <c r="Y1482" s="100"/>
    </row>
    <row r="1483">
      <c r="R1483" s="100"/>
      <c r="V1483" s="100"/>
      <c r="Y1483" s="100"/>
    </row>
    <row r="1484">
      <c r="R1484" s="100"/>
      <c r="V1484" s="100"/>
      <c r="Y1484" s="100"/>
    </row>
    <row r="1485">
      <c r="R1485" s="100"/>
      <c r="V1485" s="100"/>
      <c r="Y1485" s="100"/>
    </row>
    <row r="1486">
      <c r="R1486" s="100"/>
      <c r="V1486" s="100"/>
      <c r="Y1486" s="100"/>
    </row>
    <row r="1487">
      <c r="R1487" s="100"/>
      <c r="V1487" s="100"/>
      <c r="Y1487" s="100"/>
    </row>
    <row r="1488">
      <c r="R1488" s="100"/>
      <c r="V1488" s="100"/>
      <c r="Y1488" s="100"/>
    </row>
    <row r="1489">
      <c r="R1489" s="100"/>
      <c r="V1489" s="100"/>
      <c r="Y1489" s="100"/>
    </row>
    <row r="1490">
      <c r="R1490" s="100"/>
      <c r="V1490" s="100"/>
      <c r="Y1490" s="100"/>
    </row>
    <row r="1491">
      <c r="R1491" s="100"/>
      <c r="V1491" s="100"/>
      <c r="Y1491" s="100"/>
    </row>
    <row r="1492">
      <c r="R1492" s="100"/>
      <c r="V1492" s="100"/>
      <c r="Y1492" s="100"/>
    </row>
    <row r="1493">
      <c r="R1493" s="100"/>
      <c r="V1493" s="100"/>
      <c r="Y1493" s="100"/>
    </row>
    <row r="1494">
      <c r="R1494" s="100"/>
      <c r="V1494" s="100"/>
      <c r="Y1494" s="100"/>
    </row>
    <row r="1495">
      <c r="R1495" s="100"/>
      <c r="V1495" s="100"/>
      <c r="Y1495" s="100"/>
    </row>
    <row r="1496">
      <c r="R1496" s="100"/>
      <c r="V1496" s="100"/>
      <c r="Y1496" s="100"/>
    </row>
    <row r="1497">
      <c r="R1497" s="100"/>
      <c r="V1497" s="100"/>
      <c r="Y1497" s="100"/>
    </row>
    <row r="1498">
      <c r="R1498" s="100"/>
      <c r="V1498" s="100"/>
      <c r="Y1498" s="100"/>
    </row>
    <row r="1499">
      <c r="R1499" s="100"/>
      <c r="V1499" s="100"/>
      <c r="Y1499" s="100"/>
    </row>
    <row r="1500">
      <c r="R1500" s="100"/>
      <c r="V1500" s="100"/>
      <c r="Y1500" s="100"/>
    </row>
    <row r="1501">
      <c r="R1501" s="100"/>
      <c r="V1501" s="100"/>
      <c r="Y1501" s="100"/>
    </row>
    <row r="1502">
      <c r="R1502" s="100"/>
      <c r="V1502" s="100"/>
      <c r="Y1502" s="100"/>
    </row>
    <row r="1503">
      <c r="R1503" s="100"/>
      <c r="V1503" s="100"/>
      <c r="Y1503" s="100"/>
    </row>
    <row r="1504">
      <c r="R1504" s="100"/>
      <c r="V1504" s="100"/>
      <c r="Y1504" s="100"/>
    </row>
    <row r="1505">
      <c r="R1505" s="100"/>
      <c r="V1505" s="100"/>
      <c r="Y1505" s="100"/>
    </row>
    <row r="1506">
      <c r="R1506" s="100"/>
      <c r="V1506" s="100"/>
      <c r="Y1506" s="100"/>
    </row>
    <row r="1507">
      <c r="R1507" s="100"/>
      <c r="V1507" s="100"/>
      <c r="Y1507" s="100"/>
    </row>
    <row r="1508">
      <c r="R1508" s="100"/>
      <c r="V1508" s="100"/>
      <c r="Y1508" s="100"/>
    </row>
    <row r="1509">
      <c r="R1509" s="100"/>
      <c r="V1509" s="100"/>
      <c r="Y1509" s="100"/>
    </row>
    <row r="1510">
      <c r="R1510" s="100"/>
      <c r="V1510" s="100"/>
      <c r="Y1510" s="100"/>
    </row>
    <row r="1511">
      <c r="R1511" s="100"/>
      <c r="V1511" s="100"/>
      <c r="Y1511" s="100"/>
    </row>
    <row r="1512">
      <c r="R1512" s="100"/>
      <c r="V1512" s="100"/>
      <c r="Y1512" s="100"/>
    </row>
    <row r="1513">
      <c r="R1513" s="100"/>
      <c r="V1513" s="100"/>
      <c r="Y1513" s="100"/>
    </row>
    <row r="1514">
      <c r="R1514" s="100"/>
      <c r="V1514" s="100"/>
      <c r="Y1514" s="100"/>
    </row>
    <row r="1515">
      <c r="R1515" s="100"/>
      <c r="V1515" s="100"/>
      <c r="Y1515" s="100"/>
    </row>
    <row r="1516">
      <c r="R1516" s="100"/>
      <c r="V1516" s="100"/>
      <c r="Y1516" s="100"/>
    </row>
    <row r="1517">
      <c r="R1517" s="100"/>
      <c r="V1517" s="100"/>
      <c r="Y1517" s="100"/>
    </row>
    <row r="1518">
      <c r="R1518" s="100"/>
      <c r="V1518" s="100"/>
      <c r="Y1518" s="100"/>
    </row>
    <row r="1519">
      <c r="R1519" s="100"/>
      <c r="V1519" s="100"/>
      <c r="Y1519" s="100"/>
    </row>
    <row r="1520">
      <c r="R1520" s="100"/>
      <c r="V1520" s="100"/>
      <c r="Y1520" s="100"/>
    </row>
    <row r="1521">
      <c r="R1521" s="100"/>
      <c r="V1521" s="100"/>
      <c r="Y1521" s="100"/>
    </row>
    <row r="1522">
      <c r="R1522" s="100"/>
      <c r="V1522" s="100"/>
      <c r="Y1522" s="100"/>
    </row>
    <row r="1523">
      <c r="R1523" s="100"/>
      <c r="V1523" s="100"/>
      <c r="Y1523" s="100"/>
    </row>
    <row r="1524">
      <c r="R1524" s="100"/>
      <c r="V1524" s="100"/>
      <c r="Y1524" s="100"/>
    </row>
    <row r="1525">
      <c r="R1525" s="100"/>
      <c r="V1525" s="100"/>
      <c r="Y1525" s="100"/>
    </row>
    <row r="1526">
      <c r="R1526" s="100"/>
      <c r="V1526" s="100"/>
      <c r="Y1526" s="100"/>
    </row>
    <row r="1527">
      <c r="R1527" s="100"/>
      <c r="V1527" s="100"/>
      <c r="Y1527" s="100"/>
    </row>
    <row r="1528">
      <c r="R1528" s="100"/>
      <c r="V1528" s="100"/>
      <c r="Y1528" s="100"/>
    </row>
    <row r="1529">
      <c r="R1529" s="100"/>
      <c r="V1529" s="100"/>
      <c r="Y1529" s="100"/>
    </row>
    <row r="1530">
      <c r="R1530" s="100"/>
      <c r="V1530" s="100"/>
      <c r="Y1530" s="100"/>
    </row>
    <row r="1531">
      <c r="R1531" s="100"/>
      <c r="V1531" s="100"/>
      <c r="Y1531" s="100"/>
    </row>
    <row r="1532">
      <c r="R1532" s="100"/>
      <c r="V1532" s="100"/>
      <c r="Y1532" s="100"/>
    </row>
    <row r="1533">
      <c r="R1533" s="100"/>
      <c r="V1533" s="100"/>
      <c r="Y1533" s="100"/>
    </row>
    <row r="1534">
      <c r="R1534" s="100"/>
      <c r="V1534" s="100"/>
      <c r="Y1534" s="100"/>
    </row>
    <row r="1535">
      <c r="R1535" s="100"/>
      <c r="V1535" s="100"/>
      <c r="Y1535" s="100"/>
    </row>
    <row r="1536">
      <c r="R1536" s="100"/>
      <c r="V1536" s="100"/>
      <c r="Y1536" s="100"/>
    </row>
    <row r="1537">
      <c r="R1537" s="100"/>
      <c r="V1537" s="100"/>
      <c r="Y1537" s="100"/>
    </row>
    <row r="1538">
      <c r="R1538" s="100"/>
      <c r="V1538" s="100"/>
      <c r="Y1538" s="100"/>
    </row>
    <row r="1539">
      <c r="R1539" s="100"/>
      <c r="V1539" s="100"/>
      <c r="Y1539" s="100"/>
    </row>
    <row r="1540">
      <c r="R1540" s="100"/>
      <c r="V1540" s="100"/>
      <c r="Y1540" s="100"/>
    </row>
    <row r="1541">
      <c r="R1541" s="100"/>
      <c r="V1541" s="100"/>
      <c r="Y1541" s="100"/>
    </row>
    <row r="1542">
      <c r="R1542" s="100"/>
      <c r="V1542" s="100"/>
      <c r="Y1542" s="100"/>
    </row>
    <row r="1543">
      <c r="R1543" s="100"/>
      <c r="V1543" s="100"/>
      <c r="Y1543" s="100"/>
    </row>
    <row r="1544">
      <c r="R1544" s="100"/>
      <c r="V1544" s="100"/>
      <c r="Y1544" s="100"/>
    </row>
    <row r="1545">
      <c r="R1545" s="100"/>
      <c r="V1545" s="100"/>
      <c r="Y1545" s="100"/>
    </row>
    <row r="1546">
      <c r="R1546" s="100"/>
      <c r="V1546" s="100"/>
      <c r="Y1546" s="100"/>
    </row>
    <row r="1547">
      <c r="R1547" s="100"/>
      <c r="V1547" s="100"/>
      <c r="Y1547" s="100"/>
    </row>
    <row r="1548">
      <c r="R1548" s="100"/>
      <c r="V1548" s="100"/>
      <c r="Y1548" s="100"/>
    </row>
    <row r="1549">
      <c r="R1549" s="100"/>
      <c r="V1549" s="100"/>
      <c r="Y1549" s="100"/>
    </row>
    <row r="1550">
      <c r="R1550" s="100"/>
      <c r="V1550" s="100"/>
      <c r="Y1550" s="100"/>
    </row>
    <row r="1551">
      <c r="R1551" s="100"/>
      <c r="V1551" s="100"/>
      <c r="Y1551" s="100"/>
    </row>
    <row r="1552">
      <c r="R1552" s="100"/>
      <c r="V1552" s="100"/>
      <c r="Y1552" s="100"/>
    </row>
    <row r="1553">
      <c r="R1553" s="100"/>
      <c r="V1553" s="100"/>
      <c r="Y1553" s="100"/>
    </row>
    <row r="1554">
      <c r="R1554" s="100"/>
      <c r="V1554" s="100"/>
      <c r="Y1554" s="100"/>
    </row>
    <row r="1555">
      <c r="R1555" s="100"/>
      <c r="V1555" s="100"/>
      <c r="Y1555" s="100"/>
    </row>
    <row r="1556">
      <c r="R1556" s="100"/>
      <c r="V1556" s="100"/>
      <c r="Y1556" s="100"/>
    </row>
    <row r="1557">
      <c r="R1557" s="100"/>
      <c r="V1557" s="100"/>
      <c r="Y1557" s="100"/>
    </row>
    <row r="1558">
      <c r="R1558" s="100"/>
      <c r="V1558" s="100"/>
      <c r="Y1558" s="100"/>
    </row>
    <row r="1559">
      <c r="R1559" s="100"/>
      <c r="V1559" s="100"/>
      <c r="Y1559" s="100"/>
    </row>
    <row r="1560">
      <c r="R1560" s="100"/>
      <c r="V1560" s="100"/>
      <c r="Y1560" s="100"/>
    </row>
    <row r="1561">
      <c r="R1561" s="100"/>
      <c r="V1561" s="100"/>
      <c r="Y1561" s="100"/>
    </row>
    <row r="1562">
      <c r="R1562" s="100"/>
      <c r="V1562" s="100"/>
      <c r="Y1562" s="100"/>
    </row>
    <row r="1563">
      <c r="R1563" s="100"/>
      <c r="V1563" s="100"/>
      <c r="Y1563" s="100"/>
    </row>
    <row r="1564">
      <c r="R1564" s="100"/>
      <c r="V1564" s="100"/>
      <c r="Y1564" s="100"/>
    </row>
    <row r="1565">
      <c r="R1565" s="100"/>
      <c r="V1565" s="100"/>
      <c r="Y1565" s="100"/>
    </row>
    <row r="1566">
      <c r="R1566" s="100"/>
      <c r="V1566" s="100"/>
      <c r="Y1566" s="100"/>
    </row>
    <row r="1567">
      <c r="R1567" s="100"/>
      <c r="V1567" s="100"/>
      <c r="Y1567" s="100"/>
    </row>
    <row r="1568">
      <c r="R1568" s="100"/>
      <c r="V1568" s="100"/>
      <c r="Y1568" s="100"/>
    </row>
    <row r="1569">
      <c r="R1569" s="100"/>
      <c r="V1569" s="100"/>
      <c r="Y1569" s="100"/>
    </row>
    <row r="1570">
      <c r="R1570" s="100"/>
      <c r="V1570" s="100"/>
      <c r="Y1570" s="100"/>
    </row>
    <row r="1571">
      <c r="R1571" s="100"/>
      <c r="V1571" s="100"/>
      <c r="Y1571" s="100"/>
    </row>
    <row r="1572">
      <c r="R1572" s="100"/>
      <c r="V1572" s="100"/>
      <c r="Y1572" s="100"/>
    </row>
    <row r="1573">
      <c r="R1573" s="100"/>
      <c r="V1573" s="100"/>
      <c r="Y1573" s="100"/>
    </row>
    <row r="1574">
      <c r="R1574" s="100"/>
      <c r="V1574" s="100"/>
      <c r="Y1574" s="100"/>
    </row>
    <row r="1575">
      <c r="R1575" s="100"/>
      <c r="V1575" s="100"/>
      <c r="Y1575" s="100"/>
    </row>
    <row r="1576">
      <c r="R1576" s="100"/>
      <c r="V1576" s="100"/>
      <c r="Y1576" s="100"/>
    </row>
    <row r="1577">
      <c r="R1577" s="100"/>
      <c r="V1577" s="100"/>
      <c r="Y1577" s="100"/>
    </row>
    <row r="1578">
      <c r="R1578" s="100"/>
      <c r="V1578" s="100"/>
      <c r="Y1578" s="100"/>
    </row>
    <row r="1579">
      <c r="R1579" s="100"/>
      <c r="V1579" s="100"/>
      <c r="Y1579" s="100"/>
    </row>
    <row r="1580">
      <c r="R1580" s="100"/>
      <c r="V1580" s="100"/>
      <c r="Y1580" s="100"/>
    </row>
    <row r="1581">
      <c r="R1581" s="100"/>
      <c r="V1581" s="100"/>
      <c r="Y1581" s="100"/>
    </row>
    <row r="1582">
      <c r="R1582" s="100"/>
      <c r="V1582" s="100"/>
      <c r="Y1582" s="100"/>
    </row>
    <row r="1583">
      <c r="R1583" s="100"/>
      <c r="V1583" s="100"/>
      <c r="Y1583" s="100"/>
    </row>
    <row r="1584">
      <c r="R1584" s="100"/>
      <c r="V1584" s="100"/>
      <c r="Y1584" s="100"/>
    </row>
    <row r="1585">
      <c r="R1585" s="100"/>
      <c r="V1585" s="100"/>
      <c r="Y1585" s="100"/>
    </row>
    <row r="1586">
      <c r="R1586" s="100"/>
      <c r="V1586" s="100"/>
      <c r="Y1586" s="100"/>
    </row>
    <row r="1587">
      <c r="R1587" s="100"/>
      <c r="V1587" s="100"/>
      <c r="Y1587" s="100"/>
    </row>
    <row r="1588">
      <c r="R1588" s="100"/>
      <c r="V1588" s="100"/>
      <c r="Y1588" s="100"/>
    </row>
    <row r="1589">
      <c r="R1589" s="100"/>
      <c r="V1589" s="100"/>
      <c r="Y1589" s="100"/>
    </row>
    <row r="1590">
      <c r="R1590" s="100"/>
      <c r="V1590" s="100"/>
      <c r="Y1590" s="100"/>
    </row>
    <row r="1591">
      <c r="R1591" s="100"/>
      <c r="V1591" s="100"/>
      <c r="Y1591" s="100"/>
    </row>
    <row r="1592">
      <c r="R1592" s="100"/>
      <c r="V1592" s="100"/>
      <c r="Y1592" s="100"/>
    </row>
    <row r="1593">
      <c r="R1593" s="100"/>
      <c r="V1593" s="100"/>
      <c r="Y1593" s="100"/>
    </row>
    <row r="1594">
      <c r="R1594" s="100"/>
      <c r="V1594" s="100"/>
      <c r="Y1594" s="100"/>
    </row>
    <row r="1595">
      <c r="R1595" s="100"/>
      <c r="V1595" s="100"/>
      <c r="Y1595" s="100"/>
    </row>
    <row r="1596">
      <c r="R1596" s="100"/>
      <c r="V1596" s="100"/>
      <c r="Y1596" s="100"/>
    </row>
    <row r="1597">
      <c r="R1597" s="100"/>
      <c r="V1597" s="100"/>
      <c r="Y1597" s="100"/>
    </row>
    <row r="1598">
      <c r="R1598" s="100"/>
      <c r="V1598" s="100"/>
      <c r="Y1598" s="100"/>
    </row>
    <row r="1599">
      <c r="R1599" s="100"/>
      <c r="V1599" s="100"/>
      <c r="Y1599" s="100"/>
    </row>
    <row r="1600">
      <c r="R1600" s="100"/>
      <c r="V1600" s="100"/>
      <c r="Y1600" s="100"/>
    </row>
    <row r="1601">
      <c r="R1601" s="100"/>
      <c r="V1601" s="100"/>
      <c r="Y1601" s="100"/>
    </row>
    <row r="1602">
      <c r="R1602" s="100"/>
      <c r="V1602" s="100"/>
      <c r="Y1602" s="100"/>
    </row>
    <row r="1603">
      <c r="R1603" s="100"/>
      <c r="V1603" s="100"/>
      <c r="Y1603" s="100"/>
    </row>
    <row r="1604">
      <c r="R1604" s="100"/>
      <c r="V1604" s="100"/>
      <c r="Y1604" s="100"/>
    </row>
    <row r="1605">
      <c r="R1605" s="100"/>
      <c r="V1605" s="100"/>
      <c r="Y1605" s="100"/>
    </row>
    <row r="1606">
      <c r="R1606" s="100"/>
      <c r="V1606" s="100"/>
      <c r="Y1606" s="100"/>
    </row>
    <row r="1607">
      <c r="R1607" s="100"/>
      <c r="V1607" s="100"/>
      <c r="Y1607" s="100"/>
    </row>
    <row r="1608">
      <c r="R1608" s="100"/>
      <c r="V1608" s="100"/>
      <c r="Y1608" s="100"/>
    </row>
    <row r="1609">
      <c r="R1609" s="100"/>
      <c r="V1609" s="100"/>
      <c r="Y1609" s="100"/>
    </row>
    <row r="1610">
      <c r="R1610" s="100"/>
      <c r="V1610" s="100"/>
      <c r="Y1610" s="100"/>
    </row>
    <row r="1611">
      <c r="R1611" s="100"/>
      <c r="V1611" s="100"/>
      <c r="Y1611" s="100"/>
    </row>
    <row r="1612">
      <c r="R1612" s="100"/>
      <c r="V1612" s="100"/>
      <c r="Y1612" s="100"/>
    </row>
    <row r="1613">
      <c r="R1613" s="100"/>
      <c r="V1613" s="100"/>
      <c r="Y1613" s="100"/>
    </row>
    <row r="1614">
      <c r="R1614" s="100"/>
      <c r="V1614" s="100"/>
      <c r="Y1614" s="100"/>
    </row>
    <row r="1615">
      <c r="R1615" s="100"/>
      <c r="V1615" s="100"/>
      <c r="Y1615" s="100"/>
    </row>
    <row r="1616">
      <c r="R1616" s="100"/>
      <c r="V1616" s="100"/>
      <c r="Y1616" s="100"/>
    </row>
    <row r="1617">
      <c r="R1617" s="100"/>
      <c r="V1617" s="100"/>
      <c r="Y1617" s="100"/>
    </row>
    <row r="1618">
      <c r="R1618" s="100"/>
      <c r="V1618" s="100"/>
      <c r="Y1618" s="100"/>
    </row>
    <row r="1619">
      <c r="R1619" s="100"/>
      <c r="V1619" s="100"/>
      <c r="Y1619" s="100"/>
    </row>
    <row r="1620">
      <c r="R1620" s="100"/>
      <c r="V1620" s="100"/>
      <c r="Y1620" s="100"/>
    </row>
    <row r="1621">
      <c r="R1621" s="100"/>
      <c r="V1621" s="100"/>
      <c r="Y1621" s="100"/>
    </row>
    <row r="1622">
      <c r="R1622" s="100"/>
      <c r="V1622" s="100"/>
      <c r="Y1622" s="100"/>
    </row>
    <row r="1623">
      <c r="R1623" s="100"/>
      <c r="V1623" s="100"/>
      <c r="Y1623" s="100"/>
    </row>
    <row r="1624">
      <c r="R1624" s="100"/>
      <c r="V1624" s="100"/>
      <c r="Y1624" s="100"/>
    </row>
    <row r="1625">
      <c r="R1625" s="100"/>
      <c r="V1625" s="100"/>
      <c r="Y1625" s="100"/>
    </row>
    <row r="1626">
      <c r="R1626" s="100"/>
      <c r="V1626" s="100"/>
      <c r="Y1626" s="100"/>
    </row>
    <row r="1627">
      <c r="R1627" s="100"/>
      <c r="V1627" s="100"/>
      <c r="Y1627" s="100"/>
    </row>
    <row r="1628">
      <c r="R1628" s="100"/>
      <c r="V1628" s="100"/>
      <c r="Y1628" s="100"/>
    </row>
    <row r="1629">
      <c r="R1629" s="100"/>
      <c r="V1629" s="100"/>
      <c r="Y1629" s="100"/>
    </row>
    <row r="1630">
      <c r="R1630" s="100"/>
      <c r="V1630" s="100"/>
      <c r="Y1630" s="100"/>
    </row>
    <row r="1631">
      <c r="R1631" s="100"/>
      <c r="V1631" s="100"/>
      <c r="Y1631" s="100"/>
    </row>
    <row r="1632">
      <c r="R1632" s="100"/>
      <c r="V1632" s="100"/>
      <c r="Y1632" s="100"/>
    </row>
    <row r="1633">
      <c r="R1633" s="100"/>
      <c r="V1633" s="100"/>
      <c r="Y1633" s="100"/>
    </row>
    <row r="1634">
      <c r="R1634" s="100"/>
      <c r="V1634" s="100"/>
      <c r="Y1634" s="100"/>
    </row>
    <row r="1635">
      <c r="R1635" s="100"/>
      <c r="V1635" s="100"/>
      <c r="Y1635" s="100"/>
    </row>
    <row r="1636">
      <c r="R1636" s="100"/>
      <c r="V1636" s="100"/>
      <c r="Y1636" s="100"/>
    </row>
    <row r="1637">
      <c r="R1637" s="100"/>
      <c r="V1637" s="100"/>
      <c r="Y1637" s="100"/>
    </row>
    <row r="1638">
      <c r="R1638" s="100"/>
      <c r="V1638" s="100"/>
      <c r="Y1638" s="100"/>
    </row>
    <row r="1639">
      <c r="R1639" s="100"/>
      <c r="V1639" s="100"/>
      <c r="Y1639" s="100"/>
    </row>
    <row r="1640">
      <c r="R1640" s="100"/>
      <c r="V1640" s="100"/>
      <c r="Y1640" s="100"/>
    </row>
    <row r="1641">
      <c r="R1641" s="100"/>
      <c r="V1641" s="100"/>
      <c r="Y1641" s="100"/>
    </row>
    <row r="1642">
      <c r="R1642" s="100"/>
      <c r="V1642" s="100"/>
      <c r="Y1642" s="100"/>
    </row>
    <row r="1643">
      <c r="R1643" s="100"/>
      <c r="V1643" s="100"/>
      <c r="Y1643" s="100"/>
    </row>
    <row r="1644">
      <c r="R1644" s="100"/>
      <c r="V1644" s="100"/>
      <c r="Y1644" s="100"/>
    </row>
    <row r="1645">
      <c r="R1645" s="100"/>
      <c r="V1645" s="100"/>
      <c r="Y1645" s="100"/>
    </row>
    <row r="1646">
      <c r="R1646" s="100"/>
      <c r="V1646" s="100"/>
      <c r="Y1646" s="100"/>
    </row>
    <row r="1647">
      <c r="R1647" s="100"/>
      <c r="V1647" s="100"/>
      <c r="Y1647" s="100"/>
    </row>
    <row r="1648">
      <c r="R1648" s="100"/>
      <c r="V1648" s="100"/>
      <c r="Y1648" s="100"/>
    </row>
    <row r="1649">
      <c r="R1649" s="100"/>
      <c r="V1649" s="100"/>
      <c r="Y1649" s="100"/>
    </row>
    <row r="1650">
      <c r="R1650" s="100"/>
      <c r="V1650" s="100"/>
      <c r="Y1650" s="100"/>
    </row>
    <row r="1651">
      <c r="R1651" s="100"/>
      <c r="V1651" s="100"/>
      <c r="Y1651" s="100"/>
    </row>
    <row r="1652">
      <c r="R1652" s="100"/>
      <c r="V1652" s="100"/>
      <c r="Y1652" s="100"/>
    </row>
    <row r="1653">
      <c r="R1653" s="100"/>
      <c r="V1653" s="100"/>
      <c r="Y1653" s="100"/>
    </row>
    <row r="1654">
      <c r="R1654" s="100"/>
      <c r="V1654" s="100"/>
      <c r="Y1654" s="100"/>
    </row>
    <row r="1655">
      <c r="R1655" s="100"/>
      <c r="V1655" s="100"/>
      <c r="Y1655" s="100"/>
    </row>
    <row r="1656">
      <c r="R1656" s="100"/>
      <c r="V1656" s="100"/>
      <c r="Y1656" s="100"/>
    </row>
    <row r="1657">
      <c r="R1657" s="100"/>
      <c r="V1657" s="100"/>
      <c r="Y1657" s="100"/>
    </row>
    <row r="1658">
      <c r="R1658" s="100"/>
      <c r="V1658" s="100"/>
      <c r="Y1658" s="100"/>
    </row>
    <row r="1659">
      <c r="R1659" s="100"/>
      <c r="V1659" s="100"/>
      <c r="Y1659" s="100"/>
    </row>
    <row r="1660">
      <c r="R1660" s="100"/>
      <c r="V1660" s="100"/>
      <c r="Y1660" s="100"/>
    </row>
    <row r="1661">
      <c r="R1661" s="100"/>
      <c r="V1661" s="100"/>
      <c r="Y1661" s="100"/>
    </row>
    <row r="1662">
      <c r="R1662" s="100"/>
      <c r="V1662" s="100"/>
      <c r="Y1662" s="100"/>
    </row>
    <row r="1663">
      <c r="R1663" s="100"/>
      <c r="V1663" s="100"/>
      <c r="Y1663" s="100"/>
    </row>
    <row r="1664">
      <c r="R1664" s="100"/>
      <c r="V1664" s="100"/>
      <c r="Y1664" s="100"/>
    </row>
    <row r="1665">
      <c r="R1665" s="100"/>
      <c r="V1665" s="100"/>
      <c r="Y1665" s="100"/>
    </row>
    <row r="1666">
      <c r="R1666" s="100"/>
      <c r="V1666" s="100"/>
      <c r="Y1666" s="100"/>
    </row>
    <row r="1667">
      <c r="R1667" s="100"/>
      <c r="V1667" s="100"/>
      <c r="Y1667" s="100"/>
    </row>
    <row r="1668">
      <c r="R1668" s="100"/>
      <c r="V1668" s="100"/>
      <c r="Y1668" s="100"/>
    </row>
    <row r="1669">
      <c r="R1669" s="100"/>
      <c r="V1669" s="100"/>
      <c r="Y1669" s="100"/>
    </row>
    <row r="1670">
      <c r="R1670" s="100"/>
      <c r="V1670" s="100"/>
      <c r="Y1670" s="100"/>
    </row>
    <row r="1671">
      <c r="R1671" s="100"/>
      <c r="V1671" s="100"/>
      <c r="Y1671" s="100"/>
    </row>
    <row r="1672">
      <c r="R1672" s="100"/>
      <c r="V1672" s="100"/>
      <c r="Y1672" s="100"/>
    </row>
    <row r="1673">
      <c r="R1673" s="100"/>
      <c r="V1673" s="100"/>
      <c r="Y1673" s="100"/>
    </row>
    <row r="1674">
      <c r="R1674" s="100"/>
      <c r="V1674" s="100"/>
      <c r="Y1674" s="100"/>
    </row>
    <row r="1675">
      <c r="R1675" s="100"/>
      <c r="V1675" s="100"/>
      <c r="Y1675" s="100"/>
    </row>
    <row r="1676">
      <c r="R1676" s="100"/>
      <c r="V1676" s="100"/>
      <c r="Y1676" s="100"/>
    </row>
    <row r="1677">
      <c r="R1677" s="100"/>
      <c r="V1677" s="100"/>
      <c r="Y1677" s="100"/>
    </row>
    <row r="1678">
      <c r="R1678" s="100"/>
      <c r="V1678" s="100"/>
      <c r="Y1678" s="100"/>
    </row>
    <row r="1679">
      <c r="R1679" s="100"/>
      <c r="V1679" s="100"/>
      <c r="Y1679" s="100"/>
    </row>
    <row r="1680">
      <c r="R1680" s="100"/>
      <c r="V1680" s="100"/>
      <c r="Y1680" s="100"/>
    </row>
    <row r="1681">
      <c r="R1681" s="100"/>
      <c r="V1681" s="100"/>
      <c r="Y1681" s="100"/>
    </row>
    <row r="1682">
      <c r="R1682" s="100"/>
      <c r="V1682" s="100"/>
      <c r="Y1682" s="100"/>
    </row>
    <row r="1683">
      <c r="R1683" s="100"/>
      <c r="V1683" s="100"/>
      <c r="Y1683" s="100"/>
    </row>
    <row r="1684">
      <c r="R1684" s="100"/>
      <c r="V1684" s="100"/>
      <c r="Y1684" s="100"/>
    </row>
    <row r="1685">
      <c r="R1685" s="100"/>
      <c r="V1685" s="100"/>
      <c r="Y1685" s="100"/>
    </row>
    <row r="1686">
      <c r="R1686" s="100"/>
      <c r="V1686" s="100"/>
      <c r="Y1686" s="100"/>
    </row>
    <row r="1687">
      <c r="R1687" s="100"/>
      <c r="V1687" s="100"/>
      <c r="Y1687" s="100"/>
    </row>
    <row r="1688">
      <c r="R1688" s="100"/>
      <c r="V1688" s="100"/>
      <c r="Y1688" s="100"/>
    </row>
    <row r="1689">
      <c r="R1689" s="100"/>
      <c r="V1689" s="100"/>
      <c r="Y1689" s="100"/>
    </row>
    <row r="1690">
      <c r="R1690" s="100"/>
      <c r="V1690" s="100"/>
      <c r="Y1690" s="100"/>
    </row>
    <row r="1691">
      <c r="R1691" s="100"/>
      <c r="V1691" s="100"/>
      <c r="Y1691" s="100"/>
    </row>
    <row r="1692">
      <c r="R1692" s="100"/>
      <c r="V1692" s="100"/>
      <c r="Y1692" s="100"/>
    </row>
    <row r="1693">
      <c r="R1693" s="100"/>
      <c r="V1693" s="100"/>
      <c r="Y1693" s="100"/>
    </row>
    <row r="1694">
      <c r="R1694" s="100"/>
      <c r="V1694" s="100"/>
      <c r="Y1694" s="100"/>
    </row>
    <row r="1695">
      <c r="R1695" s="100"/>
      <c r="V1695" s="100"/>
      <c r="Y1695" s="100"/>
    </row>
    <row r="1696">
      <c r="R1696" s="100"/>
      <c r="V1696" s="100"/>
      <c r="Y1696" s="100"/>
    </row>
    <row r="1697">
      <c r="R1697" s="100"/>
      <c r="V1697" s="100"/>
      <c r="Y1697" s="100"/>
    </row>
    <row r="1698">
      <c r="R1698" s="100"/>
      <c r="V1698" s="100"/>
      <c r="Y1698" s="100"/>
    </row>
    <row r="1699">
      <c r="R1699" s="100"/>
      <c r="V1699" s="100"/>
      <c r="Y1699" s="100"/>
    </row>
    <row r="1700">
      <c r="R1700" s="100"/>
      <c r="V1700" s="100"/>
      <c r="Y1700" s="100"/>
    </row>
    <row r="1701">
      <c r="R1701" s="100"/>
      <c r="V1701" s="100"/>
      <c r="Y1701" s="100"/>
    </row>
    <row r="1702">
      <c r="R1702" s="100"/>
      <c r="V1702" s="100"/>
      <c r="Y1702" s="100"/>
    </row>
    <row r="1703">
      <c r="R1703" s="100"/>
      <c r="V1703" s="100"/>
      <c r="Y1703" s="100"/>
    </row>
    <row r="1704">
      <c r="R1704" s="100"/>
      <c r="V1704" s="100"/>
      <c r="Y1704" s="100"/>
    </row>
    <row r="1705">
      <c r="R1705" s="100"/>
      <c r="V1705" s="100"/>
      <c r="Y1705" s="100"/>
    </row>
    <row r="1706">
      <c r="R1706" s="100"/>
      <c r="V1706" s="100"/>
      <c r="Y1706" s="100"/>
    </row>
    <row r="1707">
      <c r="R1707" s="100"/>
      <c r="V1707" s="100"/>
      <c r="Y1707" s="100"/>
    </row>
    <row r="1708">
      <c r="R1708" s="100"/>
      <c r="V1708" s="100"/>
      <c r="Y1708" s="100"/>
    </row>
    <row r="1709">
      <c r="R1709" s="100"/>
      <c r="V1709" s="100"/>
      <c r="Y1709" s="100"/>
    </row>
    <row r="1710">
      <c r="R1710" s="100"/>
      <c r="V1710" s="100"/>
      <c r="Y1710" s="100"/>
    </row>
    <row r="1711">
      <c r="R1711" s="100"/>
      <c r="V1711" s="100"/>
      <c r="Y1711" s="100"/>
    </row>
    <row r="1712">
      <c r="R1712" s="100"/>
      <c r="V1712" s="100"/>
      <c r="Y1712" s="100"/>
    </row>
    <row r="1713">
      <c r="R1713" s="100"/>
      <c r="V1713" s="100"/>
      <c r="Y1713" s="100"/>
    </row>
    <row r="1714">
      <c r="R1714" s="100"/>
      <c r="V1714" s="100"/>
      <c r="Y1714" s="100"/>
    </row>
    <row r="1715">
      <c r="R1715" s="100"/>
      <c r="V1715" s="100"/>
      <c r="Y1715" s="100"/>
    </row>
    <row r="1716">
      <c r="R1716" s="100"/>
      <c r="V1716" s="100"/>
      <c r="Y1716" s="100"/>
    </row>
    <row r="1717">
      <c r="R1717" s="100"/>
      <c r="V1717" s="100"/>
      <c r="Y1717" s="100"/>
    </row>
    <row r="1718">
      <c r="R1718" s="100"/>
      <c r="V1718" s="100"/>
      <c r="Y1718" s="100"/>
    </row>
    <row r="1719">
      <c r="R1719" s="100"/>
      <c r="V1719" s="100"/>
      <c r="Y1719" s="100"/>
    </row>
    <row r="1720">
      <c r="R1720" s="100"/>
      <c r="V1720" s="100"/>
      <c r="Y1720" s="100"/>
    </row>
    <row r="1721">
      <c r="R1721" s="100"/>
      <c r="V1721" s="100"/>
      <c r="Y1721" s="100"/>
    </row>
    <row r="1722">
      <c r="R1722" s="100"/>
      <c r="V1722" s="100"/>
      <c r="Y1722" s="100"/>
    </row>
    <row r="1723">
      <c r="R1723" s="100"/>
      <c r="V1723" s="100"/>
      <c r="Y1723" s="100"/>
    </row>
    <row r="1724">
      <c r="R1724" s="100"/>
      <c r="V1724" s="100"/>
      <c r="Y1724" s="100"/>
    </row>
    <row r="1725">
      <c r="R1725" s="100"/>
      <c r="V1725" s="100"/>
      <c r="Y1725" s="100"/>
    </row>
    <row r="1726">
      <c r="R1726" s="100"/>
      <c r="V1726" s="100"/>
      <c r="Y1726" s="100"/>
    </row>
    <row r="1727">
      <c r="R1727" s="100"/>
      <c r="V1727" s="100"/>
      <c r="Y1727" s="100"/>
    </row>
    <row r="1728">
      <c r="R1728" s="100"/>
      <c r="V1728" s="100"/>
      <c r="Y1728" s="100"/>
    </row>
    <row r="1729">
      <c r="R1729" s="100"/>
      <c r="V1729" s="100"/>
      <c r="Y1729" s="100"/>
    </row>
    <row r="1730">
      <c r="R1730" s="100"/>
      <c r="V1730" s="100"/>
      <c r="Y1730" s="100"/>
    </row>
    <row r="1731">
      <c r="R1731" s="100"/>
      <c r="V1731" s="100"/>
      <c r="Y1731" s="100"/>
    </row>
    <row r="1732">
      <c r="R1732" s="100"/>
      <c r="V1732" s="100"/>
      <c r="Y1732" s="100"/>
    </row>
    <row r="1733">
      <c r="R1733" s="100"/>
      <c r="V1733" s="100"/>
      <c r="Y1733" s="100"/>
    </row>
    <row r="1734">
      <c r="R1734" s="100"/>
      <c r="V1734" s="100"/>
      <c r="Y1734" s="100"/>
    </row>
    <row r="1735">
      <c r="R1735" s="100"/>
      <c r="V1735" s="100"/>
      <c r="Y1735" s="100"/>
    </row>
    <row r="1736">
      <c r="R1736" s="100"/>
      <c r="V1736" s="100"/>
      <c r="Y1736" s="100"/>
    </row>
    <row r="1737">
      <c r="R1737" s="100"/>
      <c r="V1737" s="100"/>
      <c r="Y1737" s="100"/>
    </row>
    <row r="1738">
      <c r="R1738" s="100"/>
      <c r="V1738" s="100"/>
      <c r="Y1738" s="100"/>
    </row>
    <row r="1739">
      <c r="R1739" s="100"/>
      <c r="V1739" s="100"/>
      <c r="Y1739" s="100"/>
    </row>
    <row r="1740">
      <c r="R1740" s="100"/>
      <c r="V1740" s="100"/>
      <c r="Y1740" s="100"/>
    </row>
    <row r="1741">
      <c r="R1741" s="100"/>
      <c r="V1741" s="100"/>
      <c r="Y1741" s="100"/>
    </row>
    <row r="1742">
      <c r="R1742" s="100"/>
      <c r="V1742" s="100"/>
      <c r="Y1742" s="100"/>
    </row>
    <row r="1743">
      <c r="R1743" s="100"/>
      <c r="V1743" s="100"/>
      <c r="Y1743" s="100"/>
    </row>
    <row r="1744">
      <c r="R1744" s="100"/>
      <c r="V1744" s="100"/>
      <c r="Y1744" s="100"/>
    </row>
    <row r="1745">
      <c r="R1745" s="100"/>
      <c r="V1745" s="100"/>
      <c r="Y1745" s="100"/>
    </row>
    <row r="1746">
      <c r="R1746" s="100"/>
      <c r="V1746" s="100"/>
      <c r="Y1746" s="100"/>
    </row>
    <row r="1747">
      <c r="R1747" s="100"/>
      <c r="V1747" s="100"/>
      <c r="Y1747" s="100"/>
    </row>
    <row r="1748">
      <c r="R1748" s="100"/>
      <c r="V1748" s="100"/>
      <c r="Y1748" s="100"/>
    </row>
    <row r="1749">
      <c r="R1749" s="100"/>
      <c r="V1749" s="100"/>
      <c r="Y1749" s="100"/>
    </row>
    <row r="1750">
      <c r="R1750" s="100"/>
      <c r="V1750" s="100"/>
      <c r="Y1750" s="100"/>
    </row>
    <row r="1751">
      <c r="R1751" s="100"/>
      <c r="V1751" s="100"/>
      <c r="Y1751" s="100"/>
    </row>
    <row r="1752">
      <c r="R1752" s="100"/>
      <c r="V1752" s="100"/>
      <c r="Y1752" s="100"/>
    </row>
    <row r="1753">
      <c r="R1753" s="100"/>
      <c r="V1753" s="100"/>
      <c r="Y1753" s="100"/>
    </row>
    <row r="1754">
      <c r="R1754" s="100"/>
      <c r="V1754" s="100"/>
      <c r="Y1754" s="100"/>
    </row>
    <row r="1755">
      <c r="R1755" s="100"/>
      <c r="V1755" s="100"/>
      <c r="Y1755" s="100"/>
    </row>
    <row r="1756">
      <c r="R1756" s="100"/>
      <c r="V1756" s="100"/>
      <c r="Y1756" s="100"/>
    </row>
    <row r="1757">
      <c r="R1757" s="100"/>
      <c r="V1757" s="100"/>
      <c r="Y1757" s="100"/>
    </row>
    <row r="1758">
      <c r="R1758" s="100"/>
      <c r="V1758" s="100"/>
      <c r="Y1758" s="100"/>
    </row>
    <row r="1759">
      <c r="R1759" s="100"/>
      <c r="V1759" s="100"/>
      <c r="Y1759" s="100"/>
    </row>
    <row r="1760">
      <c r="R1760" s="100"/>
      <c r="V1760" s="100"/>
      <c r="Y1760" s="100"/>
    </row>
    <row r="1761">
      <c r="R1761" s="100"/>
      <c r="V1761" s="100"/>
      <c r="Y1761" s="100"/>
    </row>
    <row r="1762">
      <c r="R1762" s="100"/>
      <c r="V1762" s="100"/>
      <c r="Y1762" s="100"/>
    </row>
    <row r="1763">
      <c r="R1763" s="100"/>
      <c r="V1763" s="100"/>
      <c r="Y1763" s="100"/>
    </row>
    <row r="1764">
      <c r="R1764" s="100"/>
      <c r="V1764" s="100"/>
      <c r="Y1764" s="100"/>
    </row>
    <row r="1765">
      <c r="R1765" s="100"/>
      <c r="V1765" s="100"/>
      <c r="Y1765" s="100"/>
    </row>
    <row r="1766">
      <c r="R1766" s="100"/>
      <c r="V1766" s="100"/>
      <c r="Y1766" s="100"/>
    </row>
    <row r="1767">
      <c r="R1767" s="100"/>
      <c r="V1767" s="100"/>
      <c r="Y1767" s="100"/>
    </row>
    <row r="1768">
      <c r="R1768" s="100"/>
      <c r="V1768" s="100"/>
      <c r="Y1768" s="100"/>
    </row>
    <row r="1769">
      <c r="R1769" s="100"/>
      <c r="V1769" s="100"/>
      <c r="Y1769" s="100"/>
    </row>
    <row r="1770">
      <c r="R1770" s="100"/>
      <c r="V1770" s="100"/>
      <c r="Y1770" s="100"/>
    </row>
    <row r="1771">
      <c r="R1771" s="100"/>
      <c r="V1771" s="100"/>
      <c r="Y1771" s="100"/>
    </row>
    <row r="1772">
      <c r="R1772" s="100"/>
      <c r="V1772" s="100"/>
      <c r="Y1772" s="100"/>
    </row>
    <row r="1773">
      <c r="R1773" s="100"/>
      <c r="V1773" s="100"/>
      <c r="Y1773" s="100"/>
    </row>
    <row r="1774">
      <c r="R1774" s="100"/>
      <c r="V1774" s="100"/>
      <c r="Y1774" s="100"/>
    </row>
    <row r="1775">
      <c r="R1775" s="100"/>
      <c r="V1775" s="100"/>
      <c r="Y1775" s="100"/>
    </row>
    <row r="1776">
      <c r="R1776" s="100"/>
      <c r="V1776" s="100"/>
      <c r="Y1776" s="100"/>
    </row>
    <row r="1777">
      <c r="R1777" s="100"/>
      <c r="V1777" s="100"/>
      <c r="Y1777" s="100"/>
    </row>
    <row r="1778">
      <c r="R1778" s="100"/>
      <c r="V1778" s="100"/>
      <c r="Y1778" s="100"/>
    </row>
    <row r="1779">
      <c r="R1779" s="100"/>
      <c r="V1779" s="100"/>
      <c r="Y1779" s="100"/>
    </row>
    <row r="1780">
      <c r="R1780" s="100"/>
      <c r="V1780" s="100"/>
      <c r="Y1780" s="100"/>
    </row>
    <row r="1781">
      <c r="R1781" s="100"/>
      <c r="V1781" s="100"/>
      <c r="Y1781" s="100"/>
    </row>
    <row r="1782">
      <c r="R1782" s="100"/>
      <c r="V1782" s="100"/>
      <c r="Y1782" s="100"/>
    </row>
    <row r="1783">
      <c r="R1783" s="100"/>
      <c r="V1783" s="100"/>
      <c r="Y1783" s="100"/>
    </row>
    <row r="1784">
      <c r="R1784" s="100"/>
      <c r="V1784" s="100"/>
      <c r="Y1784" s="100"/>
    </row>
    <row r="1785">
      <c r="R1785" s="100"/>
      <c r="V1785" s="100"/>
      <c r="Y1785" s="100"/>
    </row>
    <row r="1786">
      <c r="R1786" s="100"/>
      <c r="V1786" s="100"/>
      <c r="Y1786" s="100"/>
    </row>
    <row r="1787">
      <c r="R1787" s="100"/>
      <c r="V1787" s="100"/>
      <c r="Y1787" s="100"/>
    </row>
    <row r="1788">
      <c r="R1788" s="100"/>
      <c r="V1788" s="100"/>
      <c r="Y1788" s="100"/>
    </row>
    <row r="1789">
      <c r="R1789" s="100"/>
      <c r="V1789" s="100"/>
      <c r="Y1789" s="100"/>
    </row>
    <row r="1790">
      <c r="R1790" s="100"/>
      <c r="V1790" s="100"/>
      <c r="Y1790" s="100"/>
    </row>
    <row r="1791">
      <c r="R1791" s="100"/>
      <c r="V1791" s="100"/>
      <c r="Y1791" s="100"/>
    </row>
    <row r="1792">
      <c r="R1792" s="100"/>
      <c r="V1792" s="100"/>
      <c r="Y1792" s="100"/>
    </row>
    <row r="1793">
      <c r="R1793" s="100"/>
      <c r="V1793" s="100"/>
      <c r="Y1793" s="100"/>
    </row>
    <row r="1794">
      <c r="R1794" s="100"/>
      <c r="V1794" s="100"/>
      <c r="Y1794" s="100"/>
    </row>
    <row r="1795">
      <c r="R1795" s="100"/>
      <c r="V1795" s="100"/>
      <c r="Y1795" s="100"/>
    </row>
    <row r="1796">
      <c r="R1796" s="100"/>
      <c r="V1796" s="100"/>
      <c r="Y1796" s="100"/>
    </row>
    <row r="1797">
      <c r="R1797" s="100"/>
      <c r="V1797" s="100"/>
      <c r="Y1797" s="100"/>
    </row>
    <row r="1798">
      <c r="R1798" s="100"/>
      <c r="V1798" s="100"/>
      <c r="Y1798" s="100"/>
    </row>
    <row r="1799">
      <c r="R1799" s="100"/>
      <c r="V1799" s="100"/>
      <c r="Y1799" s="100"/>
    </row>
    <row r="1800">
      <c r="R1800" s="100"/>
      <c r="V1800" s="100"/>
      <c r="Y1800" s="100"/>
    </row>
    <row r="1801">
      <c r="R1801" s="100"/>
      <c r="V1801" s="100"/>
      <c r="Y1801" s="100"/>
    </row>
    <row r="1802">
      <c r="R1802" s="100"/>
      <c r="V1802" s="100"/>
      <c r="Y1802" s="100"/>
    </row>
    <row r="1803">
      <c r="R1803" s="100"/>
      <c r="V1803" s="100"/>
      <c r="Y1803" s="100"/>
    </row>
    <row r="1804">
      <c r="R1804" s="100"/>
      <c r="V1804" s="100"/>
      <c r="Y1804" s="100"/>
    </row>
    <row r="1805">
      <c r="R1805" s="100"/>
      <c r="V1805" s="100"/>
      <c r="Y1805" s="100"/>
    </row>
    <row r="1806">
      <c r="R1806" s="100"/>
      <c r="V1806" s="100"/>
      <c r="Y1806" s="100"/>
    </row>
    <row r="1807">
      <c r="R1807" s="100"/>
      <c r="V1807" s="100"/>
      <c r="Y1807" s="100"/>
    </row>
    <row r="1808">
      <c r="R1808" s="100"/>
      <c r="V1808" s="100"/>
      <c r="Y1808" s="100"/>
    </row>
    <row r="1809">
      <c r="R1809" s="100"/>
      <c r="V1809" s="100"/>
      <c r="Y1809" s="100"/>
    </row>
    <row r="1810">
      <c r="R1810" s="100"/>
      <c r="V1810" s="100"/>
      <c r="Y1810" s="100"/>
    </row>
    <row r="1811">
      <c r="R1811" s="100"/>
      <c r="V1811" s="100"/>
      <c r="Y1811" s="100"/>
    </row>
    <row r="1812">
      <c r="R1812" s="100"/>
      <c r="V1812" s="100"/>
      <c r="Y1812" s="100"/>
    </row>
    <row r="1813">
      <c r="R1813" s="100"/>
      <c r="V1813" s="100"/>
      <c r="Y1813" s="100"/>
    </row>
    <row r="1814">
      <c r="R1814" s="100"/>
      <c r="V1814" s="100"/>
      <c r="Y1814" s="100"/>
    </row>
    <row r="1815">
      <c r="R1815" s="100"/>
      <c r="V1815" s="100"/>
      <c r="Y1815" s="100"/>
    </row>
    <row r="1816">
      <c r="R1816" s="100"/>
      <c r="V1816" s="100"/>
      <c r="Y1816" s="100"/>
    </row>
    <row r="1817">
      <c r="R1817" s="100"/>
      <c r="V1817" s="100"/>
      <c r="Y1817" s="100"/>
    </row>
    <row r="1818">
      <c r="R1818" s="100"/>
      <c r="V1818" s="100"/>
      <c r="Y1818" s="100"/>
    </row>
    <row r="1819">
      <c r="R1819" s="100"/>
      <c r="V1819" s="100"/>
      <c r="Y1819" s="100"/>
    </row>
    <row r="1820">
      <c r="R1820" s="100"/>
      <c r="V1820" s="100"/>
      <c r="Y1820" s="100"/>
    </row>
    <row r="1821">
      <c r="R1821" s="100"/>
      <c r="V1821" s="100"/>
      <c r="Y1821" s="100"/>
    </row>
    <row r="1822">
      <c r="R1822" s="100"/>
      <c r="V1822" s="100"/>
      <c r="Y1822" s="100"/>
    </row>
    <row r="1823">
      <c r="R1823" s="100"/>
      <c r="V1823" s="100"/>
      <c r="Y1823" s="100"/>
    </row>
    <row r="1824">
      <c r="R1824" s="100"/>
      <c r="V1824" s="100"/>
      <c r="Y1824" s="100"/>
    </row>
    <row r="1825">
      <c r="R1825" s="100"/>
      <c r="V1825" s="100"/>
      <c r="Y1825" s="100"/>
    </row>
    <row r="1826">
      <c r="R1826" s="100"/>
      <c r="V1826" s="100"/>
      <c r="Y1826" s="100"/>
    </row>
    <row r="1827">
      <c r="R1827" s="100"/>
      <c r="V1827" s="100"/>
      <c r="Y1827" s="100"/>
    </row>
    <row r="1828">
      <c r="R1828" s="100"/>
      <c r="V1828" s="100"/>
      <c r="Y1828" s="100"/>
    </row>
    <row r="1829">
      <c r="R1829" s="100"/>
      <c r="V1829" s="100"/>
      <c r="Y1829" s="100"/>
    </row>
    <row r="1830">
      <c r="R1830" s="100"/>
      <c r="V1830" s="100"/>
      <c r="Y1830" s="100"/>
    </row>
    <row r="1831">
      <c r="R1831" s="100"/>
      <c r="V1831" s="100"/>
      <c r="Y1831" s="100"/>
    </row>
    <row r="1832">
      <c r="R1832" s="100"/>
      <c r="V1832" s="100"/>
      <c r="Y1832" s="100"/>
    </row>
    <row r="1833">
      <c r="R1833" s="100"/>
      <c r="V1833" s="100"/>
      <c r="Y1833" s="100"/>
    </row>
    <row r="1834">
      <c r="R1834" s="100"/>
      <c r="V1834" s="100"/>
      <c r="Y1834" s="100"/>
    </row>
    <row r="1835">
      <c r="R1835" s="100"/>
      <c r="V1835" s="100"/>
      <c r="Y1835" s="100"/>
    </row>
    <row r="1836">
      <c r="R1836" s="100"/>
      <c r="V1836" s="100"/>
      <c r="Y1836" s="100"/>
    </row>
    <row r="1837">
      <c r="R1837" s="100"/>
      <c r="V1837" s="100"/>
      <c r="Y1837" s="100"/>
    </row>
    <row r="1838">
      <c r="R1838" s="100"/>
      <c r="V1838" s="100"/>
      <c r="Y1838" s="100"/>
    </row>
    <row r="1839">
      <c r="R1839" s="100"/>
      <c r="V1839" s="100"/>
      <c r="Y1839" s="100"/>
    </row>
    <row r="1840">
      <c r="R1840" s="100"/>
      <c r="V1840" s="100"/>
      <c r="Y1840" s="100"/>
    </row>
    <row r="1841">
      <c r="R1841" s="100"/>
      <c r="V1841" s="100"/>
      <c r="Y1841" s="100"/>
    </row>
    <row r="1842">
      <c r="R1842" s="100"/>
      <c r="V1842" s="100"/>
      <c r="Y1842" s="100"/>
    </row>
    <row r="1843">
      <c r="R1843" s="100"/>
      <c r="V1843" s="100"/>
      <c r="Y1843" s="100"/>
    </row>
    <row r="1844">
      <c r="R1844" s="100"/>
      <c r="V1844" s="100"/>
      <c r="Y1844" s="100"/>
    </row>
    <row r="1845">
      <c r="R1845" s="100"/>
      <c r="V1845" s="100"/>
      <c r="Y1845" s="100"/>
    </row>
    <row r="1846">
      <c r="R1846" s="100"/>
      <c r="V1846" s="100"/>
      <c r="Y1846" s="100"/>
    </row>
    <row r="1847">
      <c r="R1847" s="100"/>
      <c r="V1847" s="100"/>
      <c r="Y1847" s="100"/>
    </row>
    <row r="1848">
      <c r="R1848" s="100"/>
      <c r="V1848" s="100"/>
      <c r="Y1848" s="100"/>
    </row>
    <row r="1849">
      <c r="R1849" s="100"/>
      <c r="V1849" s="100"/>
      <c r="Y1849" s="100"/>
    </row>
    <row r="1850">
      <c r="R1850" s="100"/>
      <c r="V1850" s="100"/>
      <c r="Y1850" s="100"/>
    </row>
    <row r="1851">
      <c r="R1851" s="100"/>
      <c r="V1851" s="100"/>
      <c r="Y1851" s="100"/>
    </row>
    <row r="1852">
      <c r="R1852" s="100"/>
      <c r="V1852" s="100"/>
      <c r="Y1852" s="100"/>
    </row>
    <row r="1853">
      <c r="R1853" s="100"/>
      <c r="V1853" s="100"/>
      <c r="Y1853" s="100"/>
    </row>
    <row r="1854">
      <c r="R1854" s="100"/>
      <c r="V1854" s="100"/>
      <c r="Y1854" s="100"/>
    </row>
    <row r="1855">
      <c r="R1855" s="100"/>
      <c r="V1855" s="100"/>
      <c r="Y1855" s="100"/>
    </row>
    <row r="1856">
      <c r="R1856" s="100"/>
      <c r="V1856" s="100"/>
      <c r="Y1856" s="100"/>
    </row>
    <row r="1857">
      <c r="R1857" s="100"/>
      <c r="V1857" s="100"/>
      <c r="Y1857" s="100"/>
    </row>
    <row r="1858">
      <c r="R1858" s="100"/>
      <c r="V1858" s="100"/>
      <c r="Y1858" s="100"/>
    </row>
    <row r="1859">
      <c r="R1859" s="100"/>
      <c r="V1859" s="100"/>
      <c r="Y1859" s="100"/>
    </row>
    <row r="1860">
      <c r="R1860" s="100"/>
      <c r="V1860" s="100"/>
      <c r="Y1860" s="100"/>
    </row>
    <row r="1861">
      <c r="R1861" s="100"/>
      <c r="V1861" s="100"/>
      <c r="Y1861" s="100"/>
    </row>
    <row r="1862">
      <c r="R1862" s="100"/>
      <c r="V1862" s="100"/>
      <c r="Y1862" s="100"/>
    </row>
    <row r="1863">
      <c r="R1863" s="100"/>
      <c r="V1863" s="100"/>
      <c r="Y1863" s="100"/>
    </row>
    <row r="1864">
      <c r="R1864" s="100"/>
      <c r="V1864" s="100"/>
      <c r="Y1864" s="100"/>
    </row>
    <row r="1865">
      <c r="R1865" s="100"/>
      <c r="V1865" s="100"/>
      <c r="Y1865" s="100"/>
    </row>
    <row r="1866">
      <c r="R1866" s="100"/>
      <c r="V1866" s="100"/>
      <c r="Y1866" s="100"/>
    </row>
    <row r="1867">
      <c r="R1867" s="100"/>
      <c r="V1867" s="100"/>
      <c r="Y1867" s="100"/>
    </row>
    <row r="1868">
      <c r="R1868" s="100"/>
      <c r="V1868" s="100"/>
      <c r="Y1868" s="100"/>
    </row>
    <row r="1869">
      <c r="R1869" s="100"/>
      <c r="V1869" s="100"/>
      <c r="Y1869" s="100"/>
    </row>
    <row r="1870">
      <c r="R1870" s="100"/>
      <c r="V1870" s="100"/>
      <c r="Y1870" s="100"/>
    </row>
    <row r="1871">
      <c r="R1871" s="100"/>
      <c r="V1871" s="100"/>
      <c r="Y1871" s="100"/>
    </row>
    <row r="1872">
      <c r="R1872" s="100"/>
      <c r="V1872" s="100"/>
      <c r="Y1872" s="100"/>
    </row>
    <row r="1873">
      <c r="R1873" s="100"/>
      <c r="V1873" s="100"/>
      <c r="Y1873" s="100"/>
    </row>
    <row r="1874">
      <c r="R1874" s="100"/>
      <c r="V1874" s="100"/>
      <c r="Y1874" s="100"/>
    </row>
    <row r="1875">
      <c r="R1875" s="100"/>
      <c r="V1875" s="100"/>
      <c r="Y1875" s="100"/>
    </row>
    <row r="1876">
      <c r="R1876" s="100"/>
      <c r="V1876" s="100"/>
      <c r="Y1876" s="100"/>
    </row>
    <row r="1877">
      <c r="R1877" s="100"/>
      <c r="V1877" s="100"/>
      <c r="Y1877" s="100"/>
    </row>
    <row r="1878">
      <c r="R1878" s="100"/>
      <c r="V1878" s="100"/>
      <c r="Y1878" s="100"/>
    </row>
    <row r="1879">
      <c r="R1879" s="100"/>
      <c r="V1879" s="100"/>
      <c r="Y1879" s="100"/>
    </row>
    <row r="1880">
      <c r="R1880" s="100"/>
      <c r="V1880" s="100"/>
      <c r="Y1880" s="100"/>
    </row>
    <row r="1881">
      <c r="R1881" s="100"/>
      <c r="V1881" s="100"/>
      <c r="Y1881" s="100"/>
    </row>
    <row r="1882">
      <c r="R1882" s="100"/>
      <c r="V1882" s="100"/>
      <c r="Y1882" s="100"/>
    </row>
    <row r="1883">
      <c r="R1883" s="100"/>
      <c r="V1883" s="100"/>
      <c r="Y1883" s="100"/>
    </row>
    <row r="1884">
      <c r="R1884" s="100"/>
      <c r="V1884" s="100"/>
      <c r="Y1884" s="100"/>
    </row>
    <row r="1885">
      <c r="R1885" s="100"/>
      <c r="V1885" s="100"/>
      <c r="Y1885" s="100"/>
    </row>
    <row r="1886">
      <c r="R1886" s="100"/>
      <c r="V1886" s="100"/>
      <c r="Y1886" s="100"/>
    </row>
    <row r="1887">
      <c r="R1887" s="100"/>
      <c r="V1887" s="100"/>
      <c r="Y1887" s="100"/>
    </row>
    <row r="1888">
      <c r="R1888" s="100"/>
      <c r="V1888" s="100"/>
      <c r="Y1888" s="100"/>
    </row>
    <row r="1889">
      <c r="R1889" s="100"/>
      <c r="V1889" s="100"/>
      <c r="Y1889" s="100"/>
    </row>
    <row r="1890">
      <c r="R1890" s="100"/>
      <c r="V1890" s="100"/>
      <c r="Y1890" s="100"/>
    </row>
    <row r="1891">
      <c r="R1891" s="100"/>
      <c r="V1891" s="100"/>
      <c r="Y1891" s="100"/>
    </row>
    <row r="1892">
      <c r="R1892" s="100"/>
      <c r="V1892" s="100"/>
      <c r="Y1892" s="100"/>
    </row>
    <row r="1893">
      <c r="R1893" s="100"/>
      <c r="V1893" s="100"/>
      <c r="Y1893" s="100"/>
    </row>
    <row r="1894">
      <c r="R1894" s="100"/>
      <c r="V1894" s="100"/>
      <c r="Y1894" s="100"/>
    </row>
    <row r="1895">
      <c r="R1895" s="100"/>
      <c r="V1895" s="100"/>
      <c r="Y1895" s="100"/>
    </row>
    <row r="1896">
      <c r="R1896" s="100"/>
      <c r="V1896" s="100"/>
      <c r="Y1896" s="100"/>
    </row>
    <row r="1897">
      <c r="R1897" s="100"/>
      <c r="V1897" s="100"/>
      <c r="Y1897" s="100"/>
    </row>
    <row r="1898">
      <c r="R1898" s="100"/>
      <c r="V1898" s="100"/>
      <c r="Y1898" s="100"/>
    </row>
    <row r="1899">
      <c r="R1899" s="100"/>
      <c r="V1899" s="100"/>
      <c r="Y1899" s="100"/>
    </row>
    <row r="1900">
      <c r="R1900" s="100"/>
      <c r="V1900" s="100"/>
      <c r="Y1900" s="100"/>
    </row>
    <row r="1901">
      <c r="R1901" s="100"/>
      <c r="V1901" s="100"/>
      <c r="Y1901" s="100"/>
    </row>
    <row r="1902">
      <c r="R1902" s="100"/>
      <c r="V1902" s="100"/>
      <c r="Y1902" s="100"/>
    </row>
    <row r="1903">
      <c r="R1903" s="100"/>
      <c r="V1903" s="100"/>
      <c r="Y1903" s="100"/>
    </row>
    <row r="1904">
      <c r="R1904" s="100"/>
      <c r="V1904" s="100"/>
      <c r="Y1904" s="100"/>
    </row>
    <row r="1905">
      <c r="R1905" s="100"/>
      <c r="V1905" s="100"/>
      <c r="Y1905" s="100"/>
    </row>
    <row r="1906">
      <c r="R1906" s="100"/>
      <c r="V1906" s="100"/>
      <c r="Y1906" s="100"/>
    </row>
    <row r="1907">
      <c r="R1907" s="100"/>
      <c r="V1907" s="100"/>
      <c r="Y1907" s="100"/>
    </row>
    <row r="1908">
      <c r="R1908" s="100"/>
      <c r="V1908" s="100"/>
      <c r="Y1908" s="100"/>
    </row>
    <row r="1909">
      <c r="R1909" s="100"/>
      <c r="V1909" s="100"/>
      <c r="Y1909" s="100"/>
    </row>
    <row r="1910">
      <c r="R1910" s="100"/>
      <c r="V1910" s="100"/>
      <c r="Y1910" s="100"/>
    </row>
    <row r="1911">
      <c r="R1911" s="100"/>
      <c r="V1911" s="100"/>
      <c r="Y1911" s="100"/>
    </row>
    <row r="1912">
      <c r="R1912" s="100"/>
      <c r="V1912" s="100"/>
      <c r="Y1912" s="100"/>
    </row>
    <row r="1913">
      <c r="R1913" s="100"/>
      <c r="V1913" s="100"/>
      <c r="Y1913" s="100"/>
    </row>
    <row r="1914">
      <c r="R1914" s="100"/>
      <c r="V1914" s="100"/>
      <c r="Y1914" s="100"/>
    </row>
    <row r="1915">
      <c r="R1915" s="100"/>
      <c r="V1915" s="100"/>
      <c r="Y1915" s="100"/>
    </row>
    <row r="1916">
      <c r="R1916" s="100"/>
      <c r="V1916" s="100"/>
      <c r="Y1916" s="100"/>
    </row>
    <row r="1917">
      <c r="R1917" s="100"/>
      <c r="V1917" s="100"/>
      <c r="Y1917" s="100"/>
    </row>
    <row r="1918">
      <c r="R1918" s="100"/>
      <c r="V1918" s="100"/>
      <c r="Y1918" s="100"/>
    </row>
    <row r="1919">
      <c r="R1919" s="100"/>
      <c r="V1919" s="100"/>
      <c r="Y1919" s="100"/>
    </row>
    <row r="1920">
      <c r="R1920" s="100"/>
      <c r="V1920" s="100"/>
      <c r="Y1920" s="100"/>
    </row>
    <row r="1921">
      <c r="R1921" s="100"/>
      <c r="V1921" s="100"/>
      <c r="Y1921" s="100"/>
    </row>
    <row r="1922">
      <c r="R1922" s="100"/>
      <c r="V1922" s="100"/>
      <c r="Y1922" s="100"/>
    </row>
    <row r="1923">
      <c r="R1923" s="100"/>
      <c r="V1923" s="100"/>
      <c r="Y1923" s="100"/>
    </row>
    <row r="1924">
      <c r="R1924" s="100"/>
      <c r="V1924" s="100"/>
      <c r="Y1924" s="100"/>
    </row>
    <row r="1925">
      <c r="R1925" s="100"/>
      <c r="V1925" s="100"/>
      <c r="Y1925" s="100"/>
    </row>
    <row r="1926">
      <c r="R1926" s="100"/>
      <c r="V1926" s="100"/>
      <c r="Y1926" s="100"/>
    </row>
    <row r="1927">
      <c r="R1927" s="100"/>
      <c r="V1927" s="100"/>
      <c r="Y1927" s="100"/>
    </row>
    <row r="1928">
      <c r="R1928" s="100"/>
      <c r="V1928" s="100"/>
      <c r="Y1928" s="100"/>
    </row>
    <row r="1929">
      <c r="R1929" s="100"/>
      <c r="V1929" s="100"/>
      <c r="Y1929" s="100"/>
    </row>
    <row r="1930">
      <c r="R1930" s="100"/>
      <c r="V1930" s="100"/>
      <c r="Y1930" s="100"/>
    </row>
    <row r="1931">
      <c r="R1931" s="100"/>
      <c r="V1931" s="100"/>
      <c r="Y1931" s="100"/>
    </row>
    <row r="1932">
      <c r="R1932" s="100"/>
      <c r="V1932" s="100"/>
      <c r="Y1932" s="100"/>
    </row>
    <row r="1933">
      <c r="R1933" s="100"/>
      <c r="V1933" s="100"/>
      <c r="Y1933" s="100"/>
    </row>
    <row r="1934">
      <c r="R1934" s="100"/>
      <c r="V1934" s="100"/>
      <c r="Y1934" s="100"/>
    </row>
    <row r="1935">
      <c r="R1935" s="100"/>
      <c r="V1935" s="100"/>
      <c r="Y1935" s="100"/>
    </row>
    <row r="1936">
      <c r="R1936" s="100"/>
      <c r="V1936" s="100"/>
      <c r="Y1936" s="100"/>
    </row>
    <row r="1937">
      <c r="R1937" s="100"/>
      <c r="V1937" s="100"/>
      <c r="Y1937" s="100"/>
    </row>
    <row r="1938">
      <c r="R1938" s="100"/>
      <c r="V1938" s="100"/>
      <c r="Y1938" s="100"/>
    </row>
    <row r="1939">
      <c r="R1939" s="100"/>
      <c r="V1939" s="100"/>
      <c r="Y1939" s="100"/>
    </row>
    <row r="1940">
      <c r="R1940" s="100"/>
      <c r="V1940" s="100"/>
      <c r="Y1940" s="100"/>
    </row>
    <row r="1941">
      <c r="R1941" s="100"/>
      <c r="V1941" s="100"/>
      <c r="Y1941" s="100"/>
    </row>
    <row r="1942">
      <c r="R1942" s="100"/>
      <c r="V1942" s="100"/>
      <c r="Y1942" s="100"/>
    </row>
    <row r="1943">
      <c r="R1943" s="100"/>
      <c r="V1943" s="100"/>
      <c r="Y1943" s="100"/>
    </row>
    <row r="1944">
      <c r="R1944" s="100"/>
      <c r="V1944" s="100"/>
      <c r="Y1944" s="100"/>
    </row>
    <row r="1945">
      <c r="R1945" s="100"/>
      <c r="V1945" s="100"/>
      <c r="Y1945" s="100"/>
    </row>
    <row r="1946">
      <c r="R1946" s="100"/>
      <c r="V1946" s="100"/>
      <c r="Y1946" s="100"/>
    </row>
    <row r="1947">
      <c r="R1947" s="100"/>
      <c r="V1947" s="100"/>
      <c r="Y1947" s="100"/>
    </row>
    <row r="1948">
      <c r="R1948" s="100"/>
      <c r="V1948" s="100"/>
      <c r="Y1948" s="100"/>
    </row>
    <row r="1949">
      <c r="R1949" s="100"/>
      <c r="V1949" s="100"/>
      <c r="Y1949" s="100"/>
    </row>
    <row r="1950">
      <c r="R1950" s="100"/>
      <c r="V1950" s="100"/>
      <c r="Y1950" s="100"/>
    </row>
    <row r="1951">
      <c r="R1951" s="100"/>
      <c r="V1951" s="100"/>
      <c r="Y1951" s="100"/>
    </row>
    <row r="1952">
      <c r="R1952" s="100"/>
      <c r="V1952" s="100"/>
      <c r="Y1952" s="100"/>
    </row>
    <row r="1953">
      <c r="R1953" s="100"/>
      <c r="V1953" s="100"/>
      <c r="Y1953" s="100"/>
    </row>
    <row r="1954">
      <c r="R1954" s="100"/>
      <c r="V1954" s="100"/>
      <c r="Y1954" s="100"/>
    </row>
    <row r="1955">
      <c r="R1955" s="100"/>
      <c r="V1955" s="100"/>
      <c r="Y1955" s="100"/>
    </row>
    <row r="1956">
      <c r="R1956" s="100"/>
      <c r="V1956" s="100"/>
      <c r="Y1956" s="100"/>
    </row>
    <row r="1957">
      <c r="R1957" s="100"/>
      <c r="V1957" s="100"/>
      <c r="Y1957" s="100"/>
    </row>
    <row r="1958">
      <c r="R1958" s="100"/>
      <c r="V1958" s="100"/>
      <c r="Y1958" s="100"/>
    </row>
    <row r="1959">
      <c r="R1959" s="100"/>
      <c r="V1959" s="100"/>
      <c r="Y1959" s="100"/>
    </row>
    <row r="1960">
      <c r="R1960" s="100"/>
      <c r="V1960" s="100"/>
      <c r="Y1960" s="100"/>
    </row>
    <row r="1961">
      <c r="R1961" s="100"/>
      <c r="V1961" s="100"/>
      <c r="Y1961" s="100"/>
    </row>
    <row r="1962">
      <c r="R1962" s="100"/>
      <c r="V1962" s="100"/>
      <c r="Y1962" s="100"/>
    </row>
    <row r="1963">
      <c r="R1963" s="100"/>
      <c r="V1963" s="100"/>
      <c r="Y1963" s="100"/>
    </row>
    <row r="1964">
      <c r="R1964" s="100"/>
      <c r="V1964" s="100"/>
      <c r="Y1964" s="100"/>
    </row>
    <row r="1965">
      <c r="R1965" s="100"/>
      <c r="V1965" s="100"/>
      <c r="Y1965" s="100"/>
    </row>
    <row r="1966">
      <c r="R1966" s="100"/>
      <c r="V1966" s="100"/>
      <c r="Y1966" s="100"/>
    </row>
    <row r="1967">
      <c r="R1967" s="100"/>
      <c r="V1967" s="100"/>
      <c r="Y1967" s="100"/>
    </row>
    <row r="1968">
      <c r="R1968" s="100"/>
      <c r="V1968" s="100"/>
      <c r="Y1968" s="100"/>
    </row>
    <row r="1969">
      <c r="R1969" s="100"/>
      <c r="V1969" s="100"/>
      <c r="Y1969" s="100"/>
    </row>
    <row r="1970">
      <c r="R1970" s="100"/>
      <c r="V1970" s="100"/>
      <c r="Y1970" s="100"/>
    </row>
    <row r="1971">
      <c r="R1971" s="100"/>
      <c r="V1971" s="100"/>
      <c r="Y1971" s="100"/>
    </row>
    <row r="1972">
      <c r="R1972" s="100"/>
      <c r="V1972" s="100"/>
      <c r="Y1972" s="100"/>
    </row>
    <row r="1973">
      <c r="R1973" s="100"/>
      <c r="V1973" s="100"/>
      <c r="Y1973" s="100"/>
    </row>
    <row r="1974">
      <c r="R1974" s="100"/>
      <c r="V1974" s="100"/>
      <c r="Y1974" s="100"/>
    </row>
    <row r="1975">
      <c r="R1975" s="100"/>
      <c r="V1975" s="100"/>
      <c r="Y1975" s="100"/>
    </row>
    <row r="1976">
      <c r="R1976" s="100"/>
      <c r="V1976" s="100"/>
      <c r="Y1976" s="100"/>
    </row>
    <row r="1977">
      <c r="R1977" s="100"/>
      <c r="V1977" s="100"/>
      <c r="Y1977" s="100"/>
    </row>
    <row r="1978">
      <c r="R1978" s="100"/>
      <c r="V1978" s="100"/>
      <c r="Y1978" s="100"/>
    </row>
    <row r="1979">
      <c r="R1979" s="100"/>
      <c r="V1979" s="100"/>
      <c r="Y1979" s="100"/>
    </row>
    <row r="1980">
      <c r="R1980" s="100"/>
      <c r="V1980" s="100"/>
      <c r="Y1980" s="100"/>
    </row>
    <row r="1981">
      <c r="R1981" s="100"/>
      <c r="V1981" s="100"/>
      <c r="Y1981" s="100"/>
    </row>
    <row r="1982">
      <c r="R1982" s="100"/>
      <c r="V1982" s="100"/>
      <c r="Y1982" s="100"/>
    </row>
    <row r="1983">
      <c r="R1983" s="100"/>
      <c r="V1983" s="100"/>
      <c r="Y1983" s="100"/>
    </row>
    <row r="1984">
      <c r="R1984" s="100"/>
      <c r="V1984" s="100"/>
      <c r="Y1984" s="100"/>
    </row>
    <row r="1985">
      <c r="R1985" s="100"/>
      <c r="V1985" s="100"/>
      <c r="Y1985" s="100"/>
    </row>
    <row r="1986">
      <c r="R1986" s="100"/>
      <c r="V1986" s="100"/>
      <c r="Y1986" s="100"/>
    </row>
    <row r="1987">
      <c r="R1987" s="100"/>
      <c r="V1987" s="100"/>
      <c r="Y1987" s="100"/>
    </row>
    <row r="1988">
      <c r="R1988" s="100"/>
      <c r="V1988" s="100"/>
      <c r="Y1988" s="100"/>
    </row>
    <row r="1989">
      <c r="R1989" s="100"/>
      <c r="V1989" s="100"/>
      <c r="Y1989" s="100"/>
    </row>
    <row r="1990">
      <c r="R1990" s="100"/>
      <c r="V1990" s="100"/>
      <c r="Y1990" s="100"/>
    </row>
    <row r="1991">
      <c r="R1991" s="100"/>
      <c r="V1991" s="100"/>
      <c r="Y1991" s="100"/>
    </row>
    <row r="1992">
      <c r="R1992" s="100"/>
      <c r="V1992" s="100"/>
      <c r="Y1992" s="100"/>
    </row>
    <row r="1993">
      <c r="R1993" s="100"/>
      <c r="V1993" s="100"/>
      <c r="Y1993" s="100"/>
    </row>
    <row r="1994">
      <c r="R1994" s="100"/>
      <c r="V1994" s="100"/>
      <c r="Y1994" s="100"/>
    </row>
    <row r="1995">
      <c r="R1995" s="100"/>
      <c r="V1995" s="100"/>
      <c r="Y1995" s="100"/>
    </row>
    <row r="1996">
      <c r="R1996" s="100"/>
      <c r="V1996" s="100"/>
      <c r="Y1996" s="100"/>
    </row>
    <row r="1997">
      <c r="R1997" s="100"/>
      <c r="V1997" s="100"/>
      <c r="Y1997" s="100"/>
    </row>
    <row r="1998">
      <c r="R1998" s="100"/>
      <c r="V1998" s="100"/>
      <c r="Y1998" s="100"/>
    </row>
    <row r="1999">
      <c r="R1999" s="100"/>
      <c r="V1999" s="100"/>
      <c r="Y1999" s="100"/>
    </row>
    <row r="2000">
      <c r="R2000" s="100"/>
      <c r="V2000" s="100"/>
      <c r="Y2000" s="100"/>
    </row>
    <row r="2001">
      <c r="R2001" s="100"/>
      <c r="V2001" s="100"/>
      <c r="Y2001" s="100"/>
    </row>
    <row r="2002">
      <c r="R2002" s="100"/>
      <c r="V2002" s="100"/>
      <c r="Y2002" s="100"/>
    </row>
    <row r="2003">
      <c r="R2003" s="100"/>
      <c r="V2003" s="100"/>
      <c r="Y2003" s="100"/>
    </row>
    <row r="2004">
      <c r="R2004" s="100"/>
      <c r="V2004" s="100"/>
      <c r="Y2004" s="100"/>
    </row>
    <row r="2005">
      <c r="R2005" s="100"/>
      <c r="V2005" s="100"/>
      <c r="Y2005" s="100"/>
    </row>
    <row r="2006">
      <c r="R2006" s="100"/>
      <c r="V2006" s="100"/>
      <c r="Y2006" s="100"/>
    </row>
    <row r="2007">
      <c r="R2007" s="100"/>
      <c r="V2007" s="100"/>
      <c r="Y2007" s="100"/>
    </row>
    <row r="2008">
      <c r="R2008" s="100"/>
      <c r="V2008" s="100"/>
      <c r="Y2008" s="100"/>
    </row>
    <row r="2009">
      <c r="R2009" s="100"/>
      <c r="V2009" s="100"/>
      <c r="Y2009" s="100"/>
    </row>
    <row r="2010">
      <c r="R2010" s="100"/>
      <c r="V2010" s="100"/>
      <c r="Y2010" s="100"/>
    </row>
    <row r="2011">
      <c r="R2011" s="100"/>
      <c r="V2011" s="100"/>
      <c r="Y2011" s="100"/>
    </row>
    <row r="2012">
      <c r="R2012" s="100"/>
      <c r="V2012" s="100"/>
      <c r="Y2012" s="100"/>
    </row>
    <row r="2013">
      <c r="R2013" s="100"/>
      <c r="V2013" s="100"/>
      <c r="Y2013" s="100"/>
    </row>
    <row r="2014">
      <c r="R2014" s="100"/>
      <c r="V2014" s="100"/>
      <c r="Y2014" s="100"/>
    </row>
    <row r="2015">
      <c r="R2015" s="100"/>
      <c r="V2015" s="100"/>
      <c r="Y2015" s="100"/>
    </row>
    <row r="2016">
      <c r="R2016" s="100"/>
      <c r="V2016" s="100"/>
      <c r="Y2016" s="100"/>
    </row>
    <row r="2017">
      <c r="R2017" s="100"/>
      <c r="V2017" s="100"/>
      <c r="Y2017" s="100"/>
    </row>
    <row r="2018">
      <c r="R2018" s="100"/>
      <c r="V2018" s="100"/>
      <c r="Y2018" s="100"/>
    </row>
    <row r="2019">
      <c r="R2019" s="100"/>
      <c r="V2019" s="100"/>
      <c r="Y2019" s="100"/>
    </row>
    <row r="2020">
      <c r="R2020" s="100"/>
      <c r="V2020" s="100"/>
      <c r="Y2020" s="100"/>
    </row>
    <row r="2021">
      <c r="R2021" s="100"/>
      <c r="V2021" s="100"/>
      <c r="Y2021" s="100"/>
    </row>
    <row r="2022">
      <c r="R2022" s="100"/>
      <c r="V2022" s="100"/>
      <c r="Y2022" s="100"/>
    </row>
    <row r="2023">
      <c r="R2023" s="100"/>
      <c r="V2023" s="100"/>
      <c r="Y2023" s="100"/>
    </row>
    <row r="2024">
      <c r="R2024" s="100"/>
      <c r="V2024" s="100"/>
      <c r="Y2024" s="100"/>
    </row>
    <row r="2025">
      <c r="R2025" s="100"/>
      <c r="V2025" s="100"/>
      <c r="Y2025" s="100"/>
    </row>
    <row r="2026">
      <c r="R2026" s="100"/>
      <c r="V2026" s="100"/>
      <c r="Y2026" s="100"/>
    </row>
    <row r="2027">
      <c r="R2027" s="100"/>
      <c r="V2027" s="100"/>
      <c r="Y2027" s="100"/>
    </row>
    <row r="2028">
      <c r="R2028" s="100"/>
      <c r="V2028" s="100"/>
      <c r="Y2028" s="100"/>
    </row>
    <row r="2029">
      <c r="R2029" s="100"/>
      <c r="V2029" s="100"/>
      <c r="Y2029" s="100"/>
    </row>
    <row r="2030">
      <c r="R2030" s="100"/>
      <c r="V2030" s="100"/>
      <c r="Y2030" s="100"/>
    </row>
    <row r="2031">
      <c r="R2031" s="100"/>
      <c r="V2031" s="100"/>
      <c r="Y2031" s="100"/>
    </row>
    <row r="2032">
      <c r="R2032" s="100"/>
      <c r="V2032" s="100"/>
      <c r="Y2032" s="100"/>
    </row>
    <row r="2033">
      <c r="R2033" s="100"/>
      <c r="V2033" s="100"/>
      <c r="Y2033" s="100"/>
    </row>
    <row r="2034">
      <c r="R2034" s="100"/>
      <c r="V2034" s="100"/>
      <c r="Y2034" s="100"/>
    </row>
    <row r="2035">
      <c r="R2035" s="100"/>
      <c r="V2035" s="100"/>
      <c r="Y2035" s="100"/>
    </row>
    <row r="2036">
      <c r="R2036" s="100"/>
      <c r="V2036" s="100"/>
      <c r="Y2036" s="100"/>
    </row>
    <row r="2037">
      <c r="R2037" s="100"/>
      <c r="V2037" s="100"/>
      <c r="Y2037" s="100"/>
    </row>
    <row r="2038">
      <c r="R2038" s="100"/>
      <c r="V2038" s="100"/>
      <c r="Y2038" s="100"/>
    </row>
    <row r="2039">
      <c r="R2039" s="100"/>
      <c r="V2039" s="100"/>
      <c r="Y2039" s="100"/>
    </row>
    <row r="2040">
      <c r="R2040" s="100"/>
      <c r="V2040" s="100"/>
      <c r="Y2040" s="100"/>
    </row>
    <row r="2041">
      <c r="R2041" s="100"/>
      <c r="V2041" s="100"/>
      <c r="Y2041" s="100"/>
    </row>
    <row r="2042">
      <c r="R2042" s="100"/>
      <c r="V2042" s="100"/>
      <c r="Y2042" s="100"/>
    </row>
    <row r="2043">
      <c r="R2043" s="100"/>
      <c r="V2043" s="100"/>
      <c r="Y2043" s="100"/>
    </row>
    <row r="2044">
      <c r="R2044" s="100"/>
      <c r="V2044" s="100"/>
      <c r="Y2044" s="100"/>
    </row>
    <row r="2045">
      <c r="R2045" s="100"/>
      <c r="V2045" s="100"/>
      <c r="Y2045" s="100"/>
    </row>
    <row r="2046">
      <c r="R2046" s="100"/>
      <c r="V2046" s="100"/>
      <c r="Y2046" s="100"/>
    </row>
    <row r="2047">
      <c r="R2047" s="100"/>
      <c r="V2047" s="100"/>
      <c r="Y2047" s="100"/>
    </row>
    <row r="2048">
      <c r="R2048" s="100"/>
      <c r="V2048" s="100"/>
      <c r="Y2048" s="100"/>
    </row>
    <row r="2049">
      <c r="R2049" s="100"/>
      <c r="V2049" s="100"/>
      <c r="Y2049" s="100"/>
    </row>
    <row r="2050">
      <c r="R2050" s="100"/>
      <c r="V2050" s="100"/>
      <c r="Y2050" s="100"/>
    </row>
    <row r="2051">
      <c r="R2051" s="100"/>
      <c r="V2051" s="100"/>
      <c r="Y2051" s="100"/>
    </row>
    <row r="2052">
      <c r="R2052" s="100"/>
      <c r="V2052" s="100"/>
      <c r="Y2052" s="100"/>
    </row>
    <row r="2053">
      <c r="R2053" s="100"/>
      <c r="V2053" s="100"/>
      <c r="Y2053" s="100"/>
    </row>
    <row r="2054">
      <c r="R2054" s="100"/>
      <c r="V2054" s="100"/>
      <c r="Y2054" s="100"/>
    </row>
    <row r="2055">
      <c r="R2055" s="100"/>
      <c r="V2055" s="100"/>
      <c r="Y2055" s="100"/>
    </row>
    <row r="2056">
      <c r="R2056" s="100"/>
      <c r="V2056" s="100"/>
      <c r="Y2056" s="100"/>
    </row>
    <row r="2057">
      <c r="R2057" s="100"/>
      <c r="V2057" s="100"/>
      <c r="Y2057" s="100"/>
    </row>
    <row r="2058">
      <c r="R2058" s="100"/>
      <c r="V2058" s="100"/>
      <c r="Y2058" s="100"/>
    </row>
    <row r="2059">
      <c r="R2059" s="100"/>
      <c r="V2059" s="100"/>
      <c r="Y2059" s="100"/>
    </row>
    <row r="2060">
      <c r="R2060" s="100"/>
      <c r="V2060" s="100"/>
      <c r="Y2060" s="100"/>
    </row>
    <row r="2061">
      <c r="R2061" s="100"/>
      <c r="V2061" s="100"/>
      <c r="Y2061" s="100"/>
    </row>
    <row r="2062">
      <c r="R2062" s="100"/>
      <c r="V2062" s="100"/>
      <c r="Y2062" s="100"/>
    </row>
    <row r="2063">
      <c r="R2063" s="100"/>
      <c r="V2063" s="100"/>
      <c r="Y2063" s="100"/>
    </row>
    <row r="2064">
      <c r="R2064" s="100"/>
      <c r="V2064" s="100"/>
      <c r="Y2064" s="100"/>
    </row>
    <row r="2065">
      <c r="R2065" s="100"/>
      <c r="V2065" s="100"/>
      <c r="Y2065" s="100"/>
    </row>
    <row r="2066">
      <c r="R2066" s="100"/>
      <c r="V2066" s="100"/>
      <c r="Y2066" s="100"/>
    </row>
    <row r="2067">
      <c r="R2067" s="100"/>
      <c r="V2067" s="100"/>
      <c r="Y2067" s="100"/>
    </row>
    <row r="2068">
      <c r="R2068" s="100"/>
      <c r="V2068" s="100"/>
      <c r="Y2068" s="100"/>
    </row>
    <row r="2069">
      <c r="R2069" s="100"/>
      <c r="V2069" s="100"/>
      <c r="Y2069" s="100"/>
    </row>
    <row r="2070">
      <c r="R2070" s="100"/>
      <c r="V2070" s="100"/>
      <c r="Y2070" s="100"/>
    </row>
    <row r="2071">
      <c r="R2071" s="100"/>
      <c r="V2071" s="100"/>
      <c r="Y2071" s="100"/>
    </row>
    <row r="2072">
      <c r="R2072" s="100"/>
      <c r="V2072" s="100"/>
      <c r="Y2072" s="100"/>
    </row>
    <row r="2073">
      <c r="R2073" s="100"/>
      <c r="V2073" s="100"/>
      <c r="Y2073" s="100"/>
    </row>
    <row r="2074">
      <c r="R2074" s="100"/>
      <c r="V2074" s="100"/>
      <c r="Y2074" s="100"/>
    </row>
    <row r="2075">
      <c r="R2075" s="100"/>
      <c r="V2075" s="100"/>
      <c r="Y2075" s="100"/>
    </row>
    <row r="2076">
      <c r="R2076" s="100"/>
      <c r="V2076" s="100"/>
      <c r="Y2076" s="100"/>
    </row>
    <row r="2077">
      <c r="R2077" s="100"/>
      <c r="V2077" s="100"/>
      <c r="Y2077" s="100"/>
    </row>
    <row r="2078">
      <c r="R2078" s="100"/>
      <c r="V2078" s="100"/>
      <c r="Y2078" s="100"/>
    </row>
    <row r="2079">
      <c r="R2079" s="100"/>
      <c r="V2079" s="100"/>
      <c r="Y2079" s="100"/>
    </row>
    <row r="2080">
      <c r="R2080" s="100"/>
      <c r="V2080" s="100"/>
      <c r="Y2080" s="100"/>
    </row>
    <row r="2081">
      <c r="R2081" s="100"/>
      <c r="V2081" s="100"/>
      <c r="Y2081" s="100"/>
    </row>
    <row r="2082">
      <c r="R2082" s="100"/>
      <c r="V2082" s="100"/>
      <c r="Y2082" s="100"/>
    </row>
    <row r="2083">
      <c r="R2083" s="100"/>
      <c r="V2083" s="100"/>
      <c r="Y2083" s="100"/>
    </row>
    <row r="2084">
      <c r="R2084" s="100"/>
      <c r="V2084" s="100"/>
      <c r="Y2084" s="100"/>
    </row>
    <row r="2085">
      <c r="R2085" s="100"/>
      <c r="V2085" s="100"/>
      <c r="Y2085" s="100"/>
    </row>
    <row r="2086">
      <c r="R2086" s="100"/>
      <c r="V2086" s="100"/>
      <c r="Y2086" s="100"/>
    </row>
    <row r="2087">
      <c r="R2087" s="100"/>
      <c r="V2087" s="100"/>
      <c r="Y2087" s="100"/>
    </row>
    <row r="2088">
      <c r="R2088" s="100"/>
      <c r="V2088" s="100"/>
      <c r="Y2088" s="100"/>
    </row>
    <row r="2089">
      <c r="R2089" s="100"/>
      <c r="V2089" s="100"/>
      <c r="Y2089" s="100"/>
    </row>
    <row r="2090">
      <c r="R2090" s="100"/>
      <c r="V2090" s="100"/>
      <c r="Y2090" s="100"/>
    </row>
    <row r="2091">
      <c r="R2091" s="100"/>
      <c r="V2091" s="100"/>
      <c r="Y2091" s="100"/>
    </row>
    <row r="2092">
      <c r="R2092" s="100"/>
      <c r="V2092" s="100"/>
      <c r="Y2092" s="100"/>
    </row>
    <row r="2093">
      <c r="R2093" s="100"/>
      <c r="V2093" s="100"/>
      <c r="Y2093" s="100"/>
    </row>
    <row r="2094">
      <c r="R2094" s="100"/>
      <c r="V2094" s="100"/>
      <c r="Y2094" s="100"/>
    </row>
    <row r="2095">
      <c r="R2095" s="100"/>
      <c r="V2095" s="100"/>
      <c r="Y2095" s="100"/>
    </row>
    <row r="2096">
      <c r="R2096" s="100"/>
      <c r="V2096" s="100"/>
      <c r="Y2096" s="100"/>
    </row>
    <row r="2097">
      <c r="R2097" s="100"/>
      <c r="V2097" s="100"/>
      <c r="Y2097" s="100"/>
    </row>
    <row r="2098">
      <c r="R2098" s="100"/>
      <c r="V2098" s="100"/>
      <c r="Y2098" s="100"/>
    </row>
    <row r="2099">
      <c r="R2099" s="100"/>
      <c r="V2099" s="100"/>
      <c r="Y2099" s="100"/>
    </row>
    <row r="2100">
      <c r="R2100" s="100"/>
      <c r="V2100" s="100"/>
      <c r="Y2100" s="100"/>
    </row>
    <row r="2101">
      <c r="R2101" s="100"/>
      <c r="V2101" s="100"/>
      <c r="Y2101" s="100"/>
    </row>
    <row r="2102">
      <c r="R2102" s="100"/>
      <c r="V2102" s="100"/>
      <c r="Y2102" s="100"/>
    </row>
    <row r="2103">
      <c r="R2103" s="100"/>
      <c r="V2103" s="100"/>
      <c r="Y2103" s="100"/>
    </row>
    <row r="2104">
      <c r="R2104" s="100"/>
      <c r="V2104" s="100"/>
      <c r="Y2104" s="100"/>
    </row>
    <row r="2105">
      <c r="R2105" s="100"/>
      <c r="V2105" s="100"/>
      <c r="Y2105" s="100"/>
    </row>
    <row r="2106">
      <c r="R2106" s="100"/>
      <c r="V2106" s="100"/>
      <c r="Y2106" s="100"/>
    </row>
    <row r="2107">
      <c r="R2107" s="100"/>
      <c r="V2107" s="100"/>
      <c r="Y2107" s="100"/>
    </row>
    <row r="2108">
      <c r="R2108" s="100"/>
      <c r="V2108" s="100"/>
      <c r="Y2108" s="100"/>
    </row>
    <row r="2109">
      <c r="R2109" s="100"/>
      <c r="V2109" s="100"/>
      <c r="Y2109" s="100"/>
    </row>
    <row r="2110">
      <c r="R2110" s="100"/>
      <c r="V2110" s="100"/>
      <c r="Y2110" s="100"/>
    </row>
    <row r="2111">
      <c r="R2111" s="100"/>
      <c r="V2111" s="100"/>
      <c r="Y2111" s="100"/>
    </row>
    <row r="2112">
      <c r="R2112" s="100"/>
      <c r="V2112" s="100"/>
      <c r="Y2112" s="100"/>
    </row>
    <row r="2113">
      <c r="R2113" s="100"/>
      <c r="V2113" s="100"/>
      <c r="Y2113" s="100"/>
    </row>
    <row r="2114">
      <c r="R2114" s="100"/>
      <c r="V2114" s="100"/>
      <c r="Y2114" s="100"/>
    </row>
    <row r="2115">
      <c r="R2115" s="100"/>
      <c r="V2115" s="100"/>
      <c r="Y2115" s="100"/>
    </row>
    <row r="2116">
      <c r="R2116" s="100"/>
      <c r="V2116" s="100"/>
      <c r="Y2116" s="100"/>
    </row>
    <row r="2117">
      <c r="R2117" s="100"/>
      <c r="V2117" s="100"/>
      <c r="Y2117" s="100"/>
    </row>
    <row r="2118">
      <c r="R2118" s="100"/>
      <c r="V2118" s="100"/>
      <c r="Y2118" s="100"/>
    </row>
    <row r="2119">
      <c r="R2119" s="100"/>
      <c r="V2119" s="100"/>
      <c r="Y2119" s="100"/>
    </row>
    <row r="2120">
      <c r="R2120" s="100"/>
      <c r="V2120" s="100"/>
      <c r="Y2120" s="100"/>
    </row>
    <row r="2121">
      <c r="R2121" s="100"/>
      <c r="V2121" s="100"/>
      <c r="Y2121" s="100"/>
    </row>
    <row r="2122">
      <c r="R2122" s="100"/>
      <c r="V2122" s="100"/>
      <c r="Y2122" s="100"/>
    </row>
    <row r="2123">
      <c r="R2123" s="100"/>
      <c r="V2123" s="100"/>
      <c r="Y2123" s="100"/>
    </row>
    <row r="2124">
      <c r="R2124" s="100"/>
      <c r="V2124" s="100"/>
      <c r="Y2124" s="100"/>
    </row>
    <row r="2125">
      <c r="R2125" s="100"/>
      <c r="V2125" s="100"/>
      <c r="Y2125" s="100"/>
    </row>
    <row r="2126">
      <c r="R2126" s="100"/>
      <c r="V2126" s="100"/>
      <c r="Y2126" s="100"/>
    </row>
    <row r="2127">
      <c r="R2127" s="100"/>
      <c r="V2127" s="100"/>
      <c r="Y2127" s="100"/>
    </row>
    <row r="2128">
      <c r="R2128" s="100"/>
      <c r="V2128" s="100"/>
      <c r="Y2128" s="100"/>
    </row>
    <row r="2129">
      <c r="R2129" s="100"/>
      <c r="V2129" s="100"/>
      <c r="Y2129" s="100"/>
    </row>
    <row r="2130">
      <c r="R2130" s="100"/>
      <c r="V2130" s="100"/>
      <c r="Y2130" s="100"/>
    </row>
    <row r="2131">
      <c r="R2131" s="100"/>
      <c r="V2131" s="100"/>
      <c r="Y2131" s="100"/>
    </row>
    <row r="2132">
      <c r="R2132" s="100"/>
      <c r="V2132" s="100"/>
      <c r="Y2132" s="100"/>
    </row>
    <row r="2133">
      <c r="R2133" s="100"/>
      <c r="V2133" s="100"/>
      <c r="Y2133" s="100"/>
    </row>
    <row r="2134">
      <c r="R2134" s="100"/>
      <c r="V2134" s="100"/>
      <c r="Y2134" s="100"/>
    </row>
    <row r="2135">
      <c r="R2135" s="100"/>
      <c r="V2135" s="100"/>
      <c r="Y2135" s="100"/>
    </row>
    <row r="2136">
      <c r="R2136" s="100"/>
      <c r="V2136" s="100"/>
      <c r="Y2136" s="100"/>
    </row>
    <row r="2137">
      <c r="R2137" s="100"/>
      <c r="V2137" s="100"/>
      <c r="Y2137" s="100"/>
    </row>
    <row r="2138">
      <c r="R2138" s="100"/>
      <c r="V2138" s="100"/>
      <c r="Y2138" s="100"/>
    </row>
    <row r="2139">
      <c r="R2139" s="100"/>
      <c r="V2139" s="100"/>
      <c r="Y2139" s="100"/>
    </row>
    <row r="2140">
      <c r="R2140" s="100"/>
      <c r="V2140" s="100"/>
      <c r="Y2140" s="100"/>
    </row>
    <row r="2141">
      <c r="R2141" s="100"/>
      <c r="V2141" s="100"/>
      <c r="Y2141" s="100"/>
    </row>
    <row r="2142">
      <c r="R2142" s="100"/>
      <c r="V2142" s="100"/>
      <c r="Y2142" s="100"/>
    </row>
    <row r="2143">
      <c r="R2143" s="100"/>
      <c r="V2143" s="100"/>
      <c r="Y2143" s="100"/>
    </row>
    <row r="2144">
      <c r="R2144" s="100"/>
      <c r="V2144" s="100"/>
      <c r="Y2144" s="100"/>
    </row>
    <row r="2145">
      <c r="R2145" s="100"/>
      <c r="V2145" s="100"/>
      <c r="Y2145" s="100"/>
    </row>
    <row r="2146">
      <c r="R2146" s="100"/>
      <c r="V2146" s="100"/>
      <c r="Y2146" s="100"/>
    </row>
    <row r="2147">
      <c r="R2147" s="100"/>
      <c r="V2147" s="100"/>
      <c r="Y2147" s="100"/>
    </row>
    <row r="2148">
      <c r="R2148" s="100"/>
      <c r="V2148" s="100"/>
      <c r="Y2148" s="100"/>
    </row>
    <row r="2149">
      <c r="R2149" s="100"/>
      <c r="V2149" s="100"/>
      <c r="Y2149" s="100"/>
    </row>
    <row r="2150">
      <c r="R2150" s="100"/>
      <c r="V2150" s="100"/>
      <c r="Y2150" s="100"/>
    </row>
    <row r="2151">
      <c r="R2151" s="100"/>
      <c r="V2151" s="100"/>
      <c r="Y2151" s="100"/>
    </row>
    <row r="2152">
      <c r="R2152" s="100"/>
      <c r="V2152" s="100"/>
      <c r="Y2152" s="100"/>
    </row>
    <row r="2153">
      <c r="R2153" s="100"/>
      <c r="V2153" s="100"/>
      <c r="Y2153" s="100"/>
    </row>
    <row r="2154">
      <c r="R2154" s="100"/>
      <c r="V2154" s="100"/>
      <c r="Y2154" s="100"/>
    </row>
    <row r="2155">
      <c r="R2155" s="100"/>
      <c r="V2155" s="100"/>
      <c r="Y2155" s="100"/>
    </row>
    <row r="2156">
      <c r="R2156" s="100"/>
      <c r="V2156" s="100"/>
      <c r="Y2156" s="100"/>
    </row>
    <row r="2157">
      <c r="R2157" s="100"/>
      <c r="V2157" s="100"/>
      <c r="Y2157" s="100"/>
    </row>
    <row r="2158">
      <c r="R2158" s="100"/>
      <c r="V2158" s="100"/>
      <c r="Y2158" s="100"/>
    </row>
    <row r="2159">
      <c r="R2159" s="100"/>
      <c r="V2159" s="100"/>
      <c r="Y2159" s="100"/>
    </row>
    <row r="2160">
      <c r="R2160" s="100"/>
      <c r="V2160" s="100"/>
      <c r="Y2160" s="100"/>
    </row>
    <row r="2161">
      <c r="R2161" s="100"/>
      <c r="V2161" s="100"/>
      <c r="Y2161" s="100"/>
    </row>
    <row r="2162">
      <c r="R2162" s="100"/>
      <c r="V2162" s="100"/>
      <c r="Y2162" s="100"/>
    </row>
    <row r="2163">
      <c r="R2163" s="100"/>
      <c r="V2163" s="100"/>
      <c r="Y2163" s="100"/>
    </row>
    <row r="2164">
      <c r="R2164" s="100"/>
      <c r="V2164" s="100"/>
      <c r="Y2164" s="100"/>
    </row>
    <row r="2165">
      <c r="R2165" s="100"/>
      <c r="V2165" s="100"/>
      <c r="Y2165" s="100"/>
    </row>
    <row r="2166">
      <c r="R2166" s="100"/>
      <c r="V2166" s="100"/>
      <c r="Y2166" s="100"/>
    </row>
    <row r="2167">
      <c r="R2167" s="100"/>
      <c r="V2167" s="100"/>
      <c r="Y2167" s="100"/>
    </row>
    <row r="2168">
      <c r="R2168" s="100"/>
      <c r="V2168" s="100"/>
      <c r="Y2168" s="100"/>
    </row>
    <row r="2169">
      <c r="R2169" s="100"/>
      <c r="V2169" s="100"/>
      <c r="Y2169" s="100"/>
    </row>
    <row r="2170">
      <c r="R2170" s="100"/>
      <c r="V2170" s="100"/>
      <c r="Y2170" s="100"/>
    </row>
    <row r="2171">
      <c r="R2171" s="100"/>
      <c r="V2171" s="100"/>
      <c r="Y2171" s="100"/>
    </row>
    <row r="2172">
      <c r="R2172" s="100"/>
      <c r="V2172" s="100"/>
      <c r="Y2172" s="100"/>
    </row>
    <row r="2173">
      <c r="R2173" s="100"/>
      <c r="V2173" s="100"/>
      <c r="Y2173" s="100"/>
    </row>
    <row r="2174">
      <c r="R2174" s="100"/>
      <c r="V2174" s="100"/>
      <c r="Y2174" s="100"/>
    </row>
    <row r="2175">
      <c r="R2175" s="100"/>
      <c r="V2175" s="100"/>
      <c r="Y2175" s="100"/>
    </row>
    <row r="2176">
      <c r="R2176" s="100"/>
      <c r="V2176" s="100"/>
      <c r="Y2176" s="100"/>
    </row>
    <row r="2177">
      <c r="R2177" s="100"/>
      <c r="V2177" s="100"/>
      <c r="Y2177" s="100"/>
    </row>
    <row r="2178">
      <c r="R2178" s="100"/>
      <c r="V2178" s="100"/>
      <c r="Y2178" s="100"/>
    </row>
    <row r="2179">
      <c r="R2179" s="100"/>
      <c r="V2179" s="100"/>
      <c r="Y2179" s="100"/>
    </row>
    <row r="2180">
      <c r="R2180" s="100"/>
      <c r="V2180" s="100"/>
      <c r="Y2180" s="100"/>
    </row>
    <row r="2181">
      <c r="R2181" s="100"/>
      <c r="V2181" s="100"/>
      <c r="Y2181" s="100"/>
    </row>
    <row r="2182">
      <c r="R2182" s="100"/>
      <c r="V2182" s="100"/>
      <c r="Y2182" s="100"/>
    </row>
    <row r="2183">
      <c r="R2183" s="100"/>
      <c r="V2183" s="100"/>
      <c r="Y2183" s="100"/>
    </row>
    <row r="2184">
      <c r="R2184" s="100"/>
      <c r="V2184" s="100"/>
      <c r="Y2184" s="100"/>
    </row>
    <row r="2185">
      <c r="R2185" s="100"/>
      <c r="V2185" s="100"/>
      <c r="Y2185" s="100"/>
    </row>
    <row r="2186">
      <c r="R2186" s="100"/>
      <c r="V2186" s="100"/>
      <c r="Y2186" s="100"/>
    </row>
    <row r="2187">
      <c r="R2187" s="100"/>
      <c r="V2187" s="100"/>
      <c r="Y2187" s="100"/>
    </row>
    <row r="2188">
      <c r="R2188" s="100"/>
      <c r="V2188" s="100"/>
      <c r="Y2188" s="100"/>
    </row>
    <row r="2189">
      <c r="R2189" s="100"/>
      <c r="V2189" s="100"/>
      <c r="Y2189" s="100"/>
    </row>
    <row r="2190">
      <c r="R2190" s="100"/>
      <c r="V2190" s="100"/>
      <c r="Y2190" s="100"/>
    </row>
    <row r="2191">
      <c r="R2191" s="100"/>
      <c r="V2191" s="100"/>
      <c r="Y2191" s="100"/>
    </row>
    <row r="2192">
      <c r="R2192" s="100"/>
      <c r="V2192" s="100"/>
      <c r="Y2192" s="100"/>
    </row>
    <row r="2193">
      <c r="R2193" s="100"/>
      <c r="V2193" s="100"/>
      <c r="Y2193" s="100"/>
    </row>
    <row r="2194">
      <c r="R2194" s="100"/>
      <c r="V2194" s="100"/>
      <c r="Y2194" s="100"/>
    </row>
    <row r="2195">
      <c r="R2195" s="100"/>
      <c r="V2195" s="100"/>
      <c r="Y2195" s="100"/>
    </row>
    <row r="2196">
      <c r="R2196" s="100"/>
      <c r="V2196" s="100"/>
      <c r="Y2196" s="100"/>
    </row>
    <row r="2197">
      <c r="R2197" s="100"/>
      <c r="V2197" s="100"/>
      <c r="Y2197" s="100"/>
    </row>
    <row r="2198">
      <c r="R2198" s="100"/>
      <c r="V2198" s="100"/>
      <c r="Y2198" s="100"/>
    </row>
    <row r="2199">
      <c r="R2199" s="100"/>
      <c r="V2199" s="100"/>
      <c r="Y2199" s="100"/>
    </row>
    <row r="2200">
      <c r="R2200" s="100"/>
      <c r="V2200" s="100"/>
      <c r="Y2200" s="100"/>
    </row>
    <row r="2201">
      <c r="R2201" s="100"/>
      <c r="V2201" s="100"/>
      <c r="Y2201" s="100"/>
    </row>
    <row r="2202">
      <c r="R2202" s="100"/>
      <c r="V2202" s="100"/>
      <c r="Y2202" s="100"/>
    </row>
    <row r="2203">
      <c r="R2203" s="100"/>
      <c r="V2203" s="100"/>
      <c r="Y2203" s="100"/>
    </row>
    <row r="2204">
      <c r="R2204" s="100"/>
      <c r="V2204" s="100"/>
      <c r="Y2204" s="100"/>
    </row>
    <row r="2205">
      <c r="R2205" s="100"/>
      <c r="V2205" s="100"/>
      <c r="Y2205" s="100"/>
    </row>
    <row r="2206">
      <c r="R2206" s="100"/>
      <c r="V2206" s="100"/>
      <c r="Y2206" s="100"/>
    </row>
    <row r="2207">
      <c r="R2207" s="100"/>
      <c r="V2207" s="100"/>
      <c r="Y2207" s="100"/>
    </row>
    <row r="2208">
      <c r="R2208" s="100"/>
      <c r="V2208" s="100"/>
      <c r="Y2208" s="100"/>
    </row>
    <row r="2209">
      <c r="R2209" s="100"/>
      <c r="V2209" s="100"/>
      <c r="Y2209" s="100"/>
    </row>
    <row r="2210">
      <c r="R2210" s="100"/>
      <c r="V2210" s="100"/>
      <c r="Y2210" s="100"/>
    </row>
    <row r="2211">
      <c r="R2211" s="100"/>
      <c r="V2211" s="100"/>
      <c r="Y2211" s="100"/>
    </row>
    <row r="2212">
      <c r="R2212" s="100"/>
      <c r="V2212" s="100"/>
      <c r="Y2212" s="100"/>
    </row>
    <row r="2213">
      <c r="R2213" s="100"/>
      <c r="V2213" s="100"/>
      <c r="Y2213" s="100"/>
    </row>
    <row r="2214">
      <c r="R2214" s="100"/>
      <c r="V2214" s="100"/>
      <c r="Y2214" s="100"/>
    </row>
    <row r="2215">
      <c r="R2215" s="100"/>
      <c r="V2215" s="100"/>
      <c r="Y2215" s="100"/>
    </row>
    <row r="2216">
      <c r="R2216" s="100"/>
      <c r="V2216" s="100"/>
      <c r="Y2216" s="100"/>
    </row>
    <row r="2217">
      <c r="R2217" s="100"/>
      <c r="V2217" s="100"/>
      <c r="Y2217" s="100"/>
    </row>
    <row r="2218">
      <c r="R2218" s="100"/>
      <c r="V2218" s="100"/>
      <c r="Y2218" s="100"/>
    </row>
    <row r="2219">
      <c r="R2219" s="100"/>
      <c r="V2219" s="100"/>
      <c r="Y2219" s="100"/>
    </row>
    <row r="2220">
      <c r="R2220" s="100"/>
      <c r="V2220" s="100"/>
      <c r="Y2220" s="100"/>
    </row>
    <row r="2221">
      <c r="R2221" s="100"/>
      <c r="V2221" s="100"/>
      <c r="Y2221" s="100"/>
    </row>
    <row r="2222">
      <c r="R2222" s="100"/>
      <c r="V2222" s="100"/>
      <c r="Y2222" s="100"/>
    </row>
    <row r="2223">
      <c r="R2223" s="100"/>
      <c r="V2223" s="100"/>
      <c r="Y2223" s="100"/>
    </row>
    <row r="2224">
      <c r="R2224" s="100"/>
      <c r="V2224" s="100"/>
      <c r="Y2224" s="100"/>
    </row>
    <row r="2225">
      <c r="R2225" s="100"/>
      <c r="V2225" s="100"/>
      <c r="Y2225" s="100"/>
    </row>
    <row r="2226">
      <c r="R2226" s="100"/>
      <c r="V2226" s="100"/>
      <c r="Y2226" s="100"/>
    </row>
    <row r="2227">
      <c r="R2227" s="100"/>
      <c r="V2227" s="100"/>
      <c r="Y2227" s="100"/>
    </row>
    <row r="2228">
      <c r="R2228" s="100"/>
      <c r="V2228" s="100"/>
      <c r="Y2228" s="100"/>
    </row>
    <row r="2229">
      <c r="R2229" s="100"/>
      <c r="V2229" s="100"/>
      <c r="Y2229" s="100"/>
    </row>
    <row r="2230">
      <c r="R2230" s="100"/>
      <c r="V2230" s="100"/>
      <c r="Y2230" s="100"/>
    </row>
    <row r="2231">
      <c r="R2231" s="100"/>
      <c r="V2231" s="100"/>
      <c r="Y2231" s="100"/>
    </row>
    <row r="2232">
      <c r="R2232" s="100"/>
      <c r="V2232" s="100"/>
      <c r="Y2232" s="100"/>
    </row>
    <row r="2233">
      <c r="R2233" s="100"/>
      <c r="V2233" s="100"/>
      <c r="Y2233" s="100"/>
    </row>
    <row r="2234">
      <c r="R2234" s="100"/>
      <c r="V2234" s="100"/>
      <c r="Y2234" s="100"/>
    </row>
    <row r="2235">
      <c r="R2235" s="100"/>
      <c r="V2235" s="100"/>
      <c r="Y2235" s="100"/>
    </row>
    <row r="2236">
      <c r="R2236" s="100"/>
      <c r="V2236" s="100"/>
      <c r="Y2236" s="100"/>
    </row>
    <row r="2237">
      <c r="R2237" s="100"/>
      <c r="V2237" s="100"/>
      <c r="Y2237" s="100"/>
    </row>
    <row r="2238">
      <c r="R2238" s="100"/>
      <c r="V2238" s="100"/>
      <c r="Y2238" s="100"/>
    </row>
    <row r="2239">
      <c r="R2239" s="100"/>
      <c r="V2239" s="100"/>
      <c r="Y2239" s="100"/>
    </row>
    <row r="2240">
      <c r="R2240" s="100"/>
      <c r="V2240" s="100"/>
      <c r="Y2240" s="100"/>
    </row>
    <row r="2241">
      <c r="R2241" s="100"/>
      <c r="V2241" s="100"/>
      <c r="Y2241" s="100"/>
    </row>
    <row r="2242">
      <c r="R2242" s="100"/>
      <c r="V2242" s="100"/>
      <c r="Y2242" s="100"/>
    </row>
    <row r="2243">
      <c r="R2243" s="100"/>
      <c r="V2243" s="100"/>
      <c r="Y2243" s="100"/>
    </row>
    <row r="2244">
      <c r="R2244" s="100"/>
      <c r="V2244" s="100"/>
      <c r="Y2244" s="100"/>
    </row>
    <row r="2245">
      <c r="R2245" s="100"/>
      <c r="V2245" s="100"/>
      <c r="Y2245" s="100"/>
    </row>
    <row r="2246">
      <c r="R2246" s="100"/>
      <c r="V2246" s="100"/>
      <c r="Y2246" s="100"/>
    </row>
    <row r="2247">
      <c r="R2247" s="100"/>
      <c r="V2247" s="100"/>
      <c r="Y2247" s="100"/>
    </row>
    <row r="2248">
      <c r="R2248" s="100"/>
      <c r="V2248" s="100"/>
      <c r="Y2248" s="100"/>
    </row>
    <row r="2249">
      <c r="R2249" s="100"/>
      <c r="V2249" s="100"/>
      <c r="Y2249" s="100"/>
    </row>
    <row r="2250">
      <c r="R2250" s="100"/>
      <c r="V2250" s="100"/>
      <c r="Y2250" s="100"/>
    </row>
    <row r="2251">
      <c r="R2251" s="100"/>
      <c r="V2251" s="100"/>
      <c r="Y2251" s="100"/>
    </row>
    <row r="2252">
      <c r="R2252" s="100"/>
      <c r="V2252" s="100"/>
      <c r="Y2252" s="100"/>
    </row>
    <row r="2253">
      <c r="R2253" s="100"/>
      <c r="V2253" s="100"/>
      <c r="Y2253" s="100"/>
    </row>
    <row r="2254">
      <c r="R2254" s="100"/>
      <c r="V2254" s="100"/>
      <c r="Y2254" s="100"/>
    </row>
    <row r="2255">
      <c r="R2255" s="100"/>
      <c r="V2255" s="100"/>
      <c r="Y2255" s="100"/>
    </row>
    <row r="2256">
      <c r="R2256" s="100"/>
      <c r="V2256" s="100"/>
      <c r="Y2256" s="100"/>
    </row>
    <row r="2257">
      <c r="R2257" s="100"/>
      <c r="V2257" s="100"/>
      <c r="Y2257" s="100"/>
    </row>
    <row r="2258">
      <c r="R2258" s="100"/>
      <c r="V2258" s="100"/>
      <c r="Y2258" s="100"/>
    </row>
    <row r="2259">
      <c r="R2259" s="100"/>
      <c r="V2259" s="100"/>
      <c r="Y2259" s="100"/>
    </row>
    <row r="2260">
      <c r="R2260" s="100"/>
      <c r="V2260" s="100"/>
      <c r="Y2260" s="100"/>
    </row>
    <row r="2261">
      <c r="R2261" s="100"/>
      <c r="V2261" s="100"/>
      <c r="Y2261" s="100"/>
    </row>
    <row r="2262">
      <c r="R2262" s="100"/>
      <c r="V2262" s="100"/>
      <c r="Y2262" s="100"/>
    </row>
    <row r="2263">
      <c r="R2263" s="100"/>
      <c r="V2263" s="100"/>
      <c r="Y2263" s="100"/>
    </row>
    <row r="2264">
      <c r="R2264" s="100"/>
      <c r="V2264" s="100"/>
      <c r="Y2264" s="100"/>
    </row>
    <row r="2265">
      <c r="R2265" s="100"/>
      <c r="V2265" s="100"/>
      <c r="Y2265" s="100"/>
    </row>
    <row r="2266">
      <c r="R2266" s="100"/>
      <c r="V2266" s="100"/>
      <c r="Y2266" s="100"/>
    </row>
    <row r="2267">
      <c r="R2267" s="100"/>
      <c r="V2267" s="100"/>
      <c r="Y2267" s="100"/>
    </row>
    <row r="2268">
      <c r="R2268" s="100"/>
      <c r="V2268" s="100"/>
      <c r="Y2268" s="100"/>
    </row>
    <row r="2269">
      <c r="R2269" s="100"/>
      <c r="V2269" s="100"/>
      <c r="Y2269" s="100"/>
    </row>
    <row r="2270">
      <c r="R2270" s="100"/>
      <c r="V2270" s="100"/>
      <c r="Y2270" s="100"/>
    </row>
    <row r="2271">
      <c r="R2271" s="100"/>
      <c r="V2271" s="100"/>
      <c r="Y2271" s="100"/>
    </row>
    <row r="2272">
      <c r="R2272" s="100"/>
      <c r="V2272" s="100"/>
      <c r="Y2272" s="100"/>
    </row>
    <row r="2273">
      <c r="R2273" s="100"/>
      <c r="V2273" s="100"/>
      <c r="Y2273" s="100"/>
    </row>
    <row r="2274">
      <c r="R2274" s="100"/>
      <c r="V2274" s="100"/>
      <c r="Y2274" s="100"/>
    </row>
    <row r="2275">
      <c r="R2275" s="100"/>
      <c r="V2275" s="100"/>
      <c r="Y2275" s="100"/>
    </row>
    <row r="2276">
      <c r="R2276" s="100"/>
      <c r="V2276" s="100"/>
      <c r="Y2276" s="100"/>
    </row>
    <row r="2277">
      <c r="R2277" s="100"/>
      <c r="V2277" s="100"/>
      <c r="Y2277" s="100"/>
    </row>
    <row r="2278">
      <c r="R2278" s="100"/>
      <c r="V2278" s="100"/>
      <c r="Y2278" s="100"/>
    </row>
    <row r="2279">
      <c r="R2279" s="100"/>
      <c r="V2279" s="100"/>
      <c r="Y2279" s="100"/>
    </row>
    <row r="2280">
      <c r="R2280" s="100"/>
      <c r="V2280" s="100"/>
      <c r="Y2280" s="100"/>
    </row>
    <row r="2281">
      <c r="R2281" s="100"/>
      <c r="V2281" s="100"/>
      <c r="Y2281" s="100"/>
    </row>
    <row r="2282">
      <c r="R2282" s="100"/>
      <c r="V2282" s="100"/>
      <c r="Y2282" s="100"/>
    </row>
    <row r="2283">
      <c r="R2283" s="100"/>
      <c r="V2283" s="100"/>
      <c r="Y2283" s="100"/>
    </row>
    <row r="2284">
      <c r="R2284" s="100"/>
      <c r="V2284" s="100"/>
      <c r="Y2284" s="100"/>
    </row>
    <row r="2285">
      <c r="R2285" s="100"/>
      <c r="V2285" s="100"/>
      <c r="Y2285" s="100"/>
    </row>
    <row r="2286">
      <c r="R2286" s="100"/>
      <c r="V2286" s="100"/>
      <c r="Y2286" s="100"/>
    </row>
    <row r="2287">
      <c r="R2287" s="100"/>
      <c r="V2287" s="100"/>
      <c r="Y2287" s="100"/>
    </row>
    <row r="2288">
      <c r="R2288" s="100"/>
      <c r="V2288" s="100"/>
      <c r="Y2288" s="100"/>
    </row>
    <row r="2289">
      <c r="R2289" s="100"/>
      <c r="V2289" s="100"/>
      <c r="Y2289" s="100"/>
    </row>
    <row r="2290">
      <c r="R2290" s="100"/>
      <c r="V2290" s="100"/>
      <c r="Y2290" s="100"/>
    </row>
    <row r="2291">
      <c r="R2291" s="100"/>
      <c r="V2291" s="100"/>
      <c r="Y2291" s="100"/>
    </row>
    <row r="2292">
      <c r="R2292" s="100"/>
      <c r="V2292" s="100"/>
      <c r="Y2292" s="100"/>
    </row>
    <row r="2293">
      <c r="R2293" s="100"/>
      <c r="V2293" s="100"/>
      <c r="Y2293" s="100"/>
    </row>
    <row r="2294">
      <c r="R2294" s="100"/>
      <c r="V2294" s="100"/>
      <c r="Y2294" s="100"/>
    </row>
    <row r="2295">
      <c r="R2295" s="100"/>
      <c r="V2295" s="100"/>
      <c r="Y2295" s="100"/>
    </row>
    <row r="2296">
      <c r="R2296" s="100"/>
      <c r="V2296" s="100"/>
      <c r="Y2296" s="100"/>
    </row>
    <row r="2297">
      <c r="R2297" s="100"/>
      <c r="V2297" s="100"/>
      <c r="Y2297" s="100"/>
    </row>
    <row r="2298">
      <c r="R2298" s="100"/>
      <c r="V2298" s="100"/>
      <c r="Y2298" s="100"/>
    </row>
    <row r="2299">
      <c r="R2299" s="100"/>
      <c r="V2299" s="100"/>
      <c r="Y2299" s="100"/>
    </row>
    <row r="2300">
      <c r="R2300" s="100"/>
      <c r="V2300" s="100"/>
      <c r="Y2300" s="100"/>
    </row>
    <row r="2301">
      <c r="R2301" s="100"/>
      <c r="V2301" s="100"/>
      <c r="Y2301" s="100"/>
    </row>
    <row r="2302">
      <c r="R2302" s="100"/>
      <c r="V2302" s="100"/>
      <c r="Y2302" s="100"/>
    </row>
    <row r="2303">
      <c r="R2303" s="100"/>
      <c r="V2303" s="100"/>
      <c r="Y2303" s="100"/>
    </row>
    <row r="2304">
      <c r="R2304" s="100"/>
      <c r="V2304" s="100"/>
      <c r="Y2304" s="100"/>
    </row>
    <row r="2305">
      <c r="R2305" s="100"/>
      <c r="V2305" s="100"/>
      <c r="Y2305" s="100"/>
    </row>
    <row r="2306">
      <c r="R2306" s="100"/>
      <c r="V2306" s="100"/>
      <c r="Y2306" s="100"/>
    </row>
    <row r="2307">
      <c r="R2307" s="100"/>
      <c r="V2307" s="100"/>
      <c r="Y2307" s="100"/>
    </row>
    <row r="2308">
      <c r="R2308" s="100"/>
      <c r="V2308" s="100"/>
      <c r="Y2308" s="100"/>
    </row>
    <row r="2309">
      <c r="R2309" s="100"/>
      <c r="V2309" s="100"/>
      <c r="Y2309" s="100"/>
    </row>
    <row r="2310">
      <c r="R2310" s="100"/>
      <c r="V2310" s="100"/>
      <c r="Y2310" s="100"/>
    </row>
    <row r="2311">
      <c r="R2311" s="100"/>
      <c r="V2311" s="100"/>
      <c r="Y2311" s="100"/>
    </row>
    <row r="2312">
      <c r="R2312" s="100"/>
      <c r="V2312" s="100"/>
      <c r="Y2312" s="100"/>
    </row>
    <row r="2313">
      <c r="R2313" s="100"/>
      <c r="V2313" s="100"/>
      <c r="Y2313" s="100"/>
    </row>
    <row r="2314">
      <c r="R2314" s="100"/>
      <c r="V2314" s="100"/>
      <c r="Y2314" s="100"/>
    </row>
    <row r="2315">
      <c r="R2315" s="100"/>
      <c r="V2315" s="100"/>
      <c r="Y2315" s="100"/>
    </row>
    <row r="2316">
      <c r="R2316" s="100"/>
      <c r="V2316" s="100"/>
      <c r="Y2316" s="100"/>
    </row>
    <row r="2317">
      <c r="R2317" s="100"/>
      <c r="V2317" s="100"/>
      <c r="Y2317" s="100"/>
    </row>
    <row r="2318">
      <c r="R2318" s="100"/>
      <c r="V2318" s="100"/>
      <c r="Y2318" s="100"/>
    </row>
    <row r="2319">
      <c r="R2319" s="100"/>
      <c r="V2319" s="100"/>
      <c r="Y2319" s="100"/>
    </row>
    <row r="2320">
      <c r="R2320" s="100"/>
      <c r="V2320" s="100"/>
      <c r="Y2320" s="100"/>
    </row>
    <row r="2321">
      <c r="R2321" s="100"/>
      <c r="V2321" s="100"/>
      <c r="Y2321" s="100"/>
    </row>
    <row r="2322">
      <c r="R2322" s="100"/>
      <c r="V2322" s="100"/>
      <c r="Y2322" s="100"/>
    </row>
    <row r="2323">
      <c r="R2323" s="100"/>
      <c r="V2323" s="100"/>
      <c r="Y2323" s="100"/>
    </row>
    <row r="2324">
      <c r="R2324" s="100"/>
      <c r="V2324" s="100"/>
      <c r="Y2324" s="100"/>
    </row>
    <row r="2325">
      <c r="R2325" s="100"/>
      <c r="V2325" s="100"/>
      <c r="Y2325" s="100"/>
    </row>
    <row r="2326">
      <c r="R2326" s="100"/>
      <c r="V2326" s="100"/>
      <c r="Y2326" s="100"/>
    </row>
    <row r="2327">
      <c r="R2327" s="100"/>
      <c r="V2327" s="100"/>
      <c r="Y2327" s="100"/>
    </row>
    <row r="2328">
      <c r="R2328" s="100"/>
      <c r="V2328" s="100"/>
      <c r="Y2328" s="100"/>
    </row>
    <row r="2329">
      <c r="R2329" s="100"/>
      <c r="V2329" s="100"/>
      <c r="Y2329" s="100"/>
    </row>
    <row r="2330">
      <c r="R2330" s="100"/>
      <c r="V2330" s="100"/>
      <c r="Y2330" s="100"/>
    </row>
    <row r="2331">
      <c r="R2331" s="100"/>
      <c r="V2331" s="100"/>
      <c r="Y2331" s="100"/>
    </row>
    <row r="2332">
      <c r="R2332" s="100"/>
      <c r="V2332" s="100"/>
      <c r="Y2332" s="100"/>
    </row>
    <row r="2333">
      <c r="R2333" s="100"/>
      <c r="V2333" s="100"/>
      <c r="Y2333" s="100"/>
    </row>
    <row r="2334">
      <c r="R2334" s="100"/>
      <c r="V2334" s="100"/>
      <c r="Y2334" s="100"/>
    </row>
    <row r="2335">
      <c r="R2335" s="100"/>
      <c r="V2335" s="100"/>
      <c r="Y2335" s="100"/>
    </row>
    <row r="2336">
      <c r="R2336" s="100"/>
      <c r="V2336" s="100"/>
      <c r="Y2336" s="100"/>
    </row>
    <row r="2337">
      <c r="R2337" s="100"/>
      <c r="V2337" s="100"/>
      <c r="Y2337" s="100"/>
    </row>
    <row r="2338">
      <c r="R2338" s="100"/>
      <c r="V2338" s="100"/>
      <c r="Y2338" s="100"/>
    </row>
    <row r="2339">
      <c r="R2339" s="100"/>
      <c r="V2339" s="100"/>
      <c r="Y2339" s="100"/>
    </row>
    <row r="2340">
      <c r="R2340" s="100"/>
      <c r="V2340" s="100"/>
      <c r="Y2340" s="100"/>
    </row>
    <row r="2341">
      <c r="R2341" s="100"/>
      <c r="V2341" s="100"/>
      <c r="Y2341" s="100"/>
    </row>
    <row r="2342">
      <c r="R2342" s="100"/>
      <c r="V2342" s="100"/>
      <c r="Y2342" s="100"/>
    </row>
    <row r="2343">
      <c r="R2343" s="100"/>
      <c r="V2343" s="100"/>
      <c r="Y2343" s="100"/>
    </row>
    <row r="2344">
      <c r="R2344" s="100"/>
      <c r="V2344" s="100"/>
      <c r="Y2344" s="100"/>
    </row>
    <row r="2345">
      <c r="R2345" s="100"/>
      <c r="V2345" s="100"/>
      <c r="Y2345" s="100"/>
    </row>
    <row r="2346">
      <c r="R2346" s="100"/>
      <c r="V2346" s="100"/>
      <c r="Y2346" s="100"/>
    </row>
    <row r="2347">
      <c r="R2347" s="100"/>
      <c r="V2347" s="100"/>
      <c r="Y2347" s="100"/>
    </row>
    <row r="2348">
      <c r="R2348" s="100"/>
      <c r="V2348" s="100"/>
      <c r="Y2348" s="100"/>
    </row>
    <row r="2349">
      <c r="R2349" s="100"/>
      <c r="V2349" s="100"/>
      <c r="Y2349" s="100"/>
    </row>
    <row r="2350">
      <c r="R2350" s="100"/>
      <c r="V2350" s="100"/>
      <c r="Y2350" s="100"/>
    </row>
    <row r="2351">
      <c r="R2351" s="100"/>
      <c r="V2351" s="100"/>
      <c r="Y2351" s="100"/>
    </row>
    <row r="2352">
      <c r="R2352" s="100"/>
      <c r="V2352" s="100"/>
      <c r="Y2352" s="100"/>
    </row>
    <row r="2353">
      <c r="R2353" s="100"/>
      <c r="V2353" s="100"/>
      <c r="Y2353" s="100"/>
    </row>
    <row r="2354">
      <c r="R2354" s="100"/>
      <c r="V2354" s="100"/>
      <c r="Y2354" s="100"/>
    </row>
    <row r="2355">
      <c r="R2355" s="100"/>
      <c r="V2355" s="100"/>
      <c r="Y2355" s="100"/>
    </row>
    <row r="2356">
      <c r="R2356" s="100"/>
      <c r="V2356" s="100"/>
      <c r="Y2356" s="100"/>
    </row>
    <row r="2357">
      <c r="R2357" s="100"/>
      <c r="V2357" s="100"/>
      <c r="Y2357" s="100"/>
    </row>
    <row r="2358">
      <c r="R2358" s="100"/>
      <c r="V2358" s="100"/>
      <c r="Y2358" s="100"/>
    </row>
    <row r="2359">
      <c r="R2359" s="100"/>
      <c r="V2359" s="100"/>
      <c r="Y2359" s="100"/>
    </row>
    <row r="2360">
      <c r="R2360" s="100"/>
      <c r="V2360" s="100"/>
      <c r="Y2360" s="100"/>
    </row>
    <row r="2361">
      <c r="R2361" s="100"/>
      <c r="V2361" s="100"/>
      <c r="Y2361" s="100"/>
    </row>
    <row r="2362">
      <c r="R2362" s="100"/>
      <c r="V2362" s="100"/>
      <c r="Y2362" s="100"/>
    </row>
    <row r="2363">
      <c r="R2363" s="100"/>
      <c r="V2363" s="100"/>
      <c r="Y2363" s="100"/>
    </row>
    <row r="2364">
      <c r="R2364" s="100"/>
      <c r="V2364" s="100"/>
      <c r="Y2364" s="100"/>
    </row>
    <row r="2365">
      <c r="R2365" s="100"/>
      <c r="V2365" s="100"/>
      <c r="Y2365" s="100"/>
    </row>
    <row r="2366">
      <c r="R2366" s="100"/>
      <c r="V2366" s="100"/>
      <c r="Y2366" s="100"/>
    </row>
    <row r="2367">
      <c r="R2367" s="100"/>
      <c r="V2367" s="100"/>
      <c r="Y2367" s="100"/>
    </row>
    <row r="2368">
      <c r="R2368" s="100"/>
      <c r="V2368" s="100"/>
      <c r="Y2368" s="100"/>
    </row>
    <row r="2369">
      <c r="R2369" s="100"/>
      <c r="V2369" s="100"/>
      <c r="Y2369" s="100"/>
    </row>
    <row r="2370">
      <c r="R2370" s="100"/>
      <c r="V2370" s="100"/>
      <c r="Y2370" s="100"/>
    </row>
    <row r="2371">
      <c r="R2371" s="100"/>
      <c r="V2371" s="100"/>
      <c r="Y2371" s="100"/>
    </row>
    <row r="2372">
      <c r="R2372" s="100"/>
      <c r="V2372" s="100"/>
      <c r="Y2372" s="100"/>
    </row>
    <row r="2373">
      <c r="R2373" s="100"/>
      <c r="V2373" s="100"/>
      <c r="Y2373" s="100"/>
    </row>
    <row r="2374">
      <c r="R2374" s="100"/>
      <c r="V2374" s="100"/>
      <c r="Y2374" s="100"/>
    </row>
    <row r="2375">
      <c r="R2375" s="100"/>
      <c r="V2375" s="100"/>
      <c r="Y2375" s="100"/>
    </row>
    <row r="2376">
      <c r="R2376" s="100"/>
      <c r="V2376" s="100"/>
      <c r="Y2376" s="100"/>
    </row>
    <row r="2377">
      <c r="R2377" s="100"/>
      <c r="V2377" s="100"/>
      <c r="Y2377" s="100"/>
    </row>
    <row r="2378">
      <c r="R2378" s="100"/>
      <c r="V2378" s="100"/>
      <c r="Y2378" s="100"/>
    </row>
    <row r="2379">
      <c r="R2379" s="100"/>
      <c r="V2379" s="100"/>
      <c r="Y2379" s="100"/>
    </row>
    <row r="2380">
      <c r="R2380" s="100"/>
      <c r="V2380" s="100"/>
      <c r="Y2380" s="100"/>
    </row>
    <row r="2381">
      <c r="R2381" s="100"/>
      <c r="V2381" s="100"/>
      <c r="Y2381" s="100"/>
    </row>
    <row r="2382">
      <c r="R2382" s="100"/>
      <c r="V2382" s="100"/>
      <c r="Y2382" s="100"/>
    </row>
    <row r="2383">
      <c r="R2383" s="100"/>
      <c r="V2383" s="100"/>
      <c r="Y2383" s="100"/>
    </row>
    <row r="2384">
      <c r="R2384" s="100"/>
      <c r="V2384" s="100"/>
      <c r="Y2384" s="100"/>
    </row>
    <row r="2385">
      <c r="R2385" s="100"/>
      <c r="V2385" s="100"/>
      <c r="Y2385" s="100"/>
    </row>
    <row r="2386">
      <c r="R2386" s="100"/>
      <c r="V2386" s="100"/>
      <c r="Y2386" s="100"/>
    </row>
    <row r="2387">
      <c r="R2387" s="100"/>
      <c r="V2387" s="100"/>
      <c r="Y2387" s="100"/>
    </row>
    <row r="2388">
      <c r="R2388" s="100"/>
      <c r="V2388" s="100"/>
      <c r="Y2388" s="100"/>
    </row>
    <row r="2389">
      <c r="R2389" s="100"/>
      <c r="V2389" s="100"/>
      <c r="Y2389" s="100"/>
    </row>
    <row r="2390">
      <c r="R2390" s="100"/>
      <c r="V2390" s="100"/>
      <c r="Y2390" s="100"/>
    </row>
    <row r="2391">
      <c r="R2391" s="100"/>
      <c r="V2391" s="100"/>
      <c r="Y2391" s="100"/>
    </row>
    <row r="2392">
      <c r="R2392" s="100"/>
      <c r="V2392" s="100"/>
      <c r="Y2392" s="100"/>
    </row>
    <row r="2393">
      <c r="R2393" s="100"/>
      <c r="V2393" s="100"/>
      <c r="Y2393" s="100"/>
    </row>
    <row r="2394">
      <c r="R2394" s="100"/>
      <c r="V2394" s="100"/>
      <c r="Y2394" s="100"/>
    </row>
    <row r="2395">
      <c r="R2395" s="100"/>
      <c r="V2395" s="100"/>
      <c r="Y2395" s="100"/>
    </row>
    <row r="2396">
      <c r="R2396" s="100"/>
      <c r="V2396" s="100"/>
      <c r="Y2396" s="100"/>
    </row>
    <row r="2397">
      <c r="R2397" s="100"/>
      <c r="V2397" s="100"/>
      <c r="Y2397" s="100"/>
    </row>
    <row r="2398">
      <c r="R2398" s="100"/>
      <c r="V2398" s="100"/>
      <c r="Y2398" s="100"/>
    </row>
    <row r="2399">
      <c r="R2399" s="100"/>
      <c r="V2399" s="100"/>
      <c r="Y2399" s="100"/>
    </row>
    <row r="2400">
      <c r="R2400" s="100"/>
      <c r="V2400" s="100"/>
      <c r="Y2400" s="100"/>
    </row>
    <row r="2401">
      <c r="R2401" s="100"/>
      <c r="V2401" s="100"/>
      <c r="Y2401" s="100"/>
    </row>
    <row r="2402">
      <c r="R2402" s="100"/>
      <c r="V2402" s="100"/>
      <c r="Y2402" s="100"/>
    </row>
    <row r="2403">
      <c r="R2403" s="100"/>
      <c r="V2403" s="100"/>
      <c r="Y2403" s="100"/>
    </row>
    <row r="2404">
      <c r="R2404" s="100"/>
      <c r="V2404" s="100"/>
      <c r="Y2404" s="100"/>
    </row>
    <row r="2405">
      <c r="R2405" s="100"/>
      <c r="V2405" s="100"/>
      <c r="Y2405" s="100"/>
    </row>
    <row r="2406">
      <c r="R2406" s="100"/>
      <c r="V2406" s="100"/>
      <c r="Y2406" s="100"/>
    </row>
    <row r="2407">
      <c r="R2407" s="100"/>
      <c r="V2407" s="100"/>
      <c r="Y2407" s="100"/>
    </row>
    <row r="2408">
      <c r="R2408" s="100"/>
      <c r="V2408" s="100"/>
      <c r="Y2408" s="100"/>
    </row>
    <row r="2409">
      <c r="R2409" s="100"/>
      <c r="V2409" s="100"/>
      <c r="Y2409" s="100"/>
    </row>
    <row r="2410">
      <c r="R2410" s="100"/>
      <c r="V2410" s="100"/>
      <c r="Y2410" s="100"/>
    </row>
    <row r="2411">
      <c r="R2411" s="100"/>
      <c r="V2411" s="100"/>
      <c r="Y2411" s="100"/>
    </row>
    <row r="2412">
      <c r="R2412" s="100"/>
      <c r="V2412" s="100"/>
      <c r="Y2412" s="100"/>
    </row>
    <row r="2413">
      <c r="R2413" s="100"/>
      <c r="V2413" s="100"/>
      <c r="Y2413" s="100"/>
    </row>
    <row r="2414">
      <c r="R2414" s="100"/>
      <c r="V2414" s="100"/>
      <c r="Y2414" s="100"/>
    </row>
    <row r="2415">
      <c r="R2415" s="100"/>
      <c r="V2415" s="100"/>
      <c r="Y2415" s="100"/>
    </row>
    <row r="2416">
      <c r="R2416" s="100"/>
      <c r="V2416" s="100"/>
      <c r="Y2416" s="100"/>
    </row>
    <row r="2417">
      <c r="R2417" s="100"/>
      <c r="V2417" s="100"/>
      <c r="Y2417" s="100"/>
    </row>
    <row r="2418">
      <c r="R2418" s="100"/>
      <c r="V2418" s="100"/>
      <c r="Y2418" s="100"/>
    </row>
    <row r="2419">
      <c r="R2419" s="100"/>
      <c r="V2419" s="100"/>
      <c r="Y2419" s="100"/>
    </row>
    <row r="2420">
      <c r="R2420" s="100"/>
      <c r="V2420" s="100"/>
      <c r="Y2420" s="100"/>
    </row>
    <row r="2421">
      <c r="R2421" s="100"/>
      <c r="V2421" s="100"/>
      <c r="Y2421" s="100"/>
    </row>
    <row r="2422">
      <c r="R2422" s="100"/>
      <c r="V2422" s="100"/>
      <c r="Y2422" s="100"/>
    </row>
    <row r="2423">
      <c r="R2423" s="100"/>
      <c r="V2423" s="100"/>
      <c r="Y2423" s="100"/>
    </row>
    <row r="2424">
      <c r="R2424" s="100"/>
      <c r="V2424" s="100"/>
      <c r="Y2424" s="100"/>
    </row>
    <row r="2425">
      <c r="R2425" s="100"/>
      <c r="V2425" s="100"/>
      <c r="Y2425" s="100"/>
    </row>
    <row r="2426">
      <c r="R2426" s="100"/>
      <c r="V2426" s="100"/>
      <c r="Y2426" s="100"/>
    </row>
    <row r="2427">
      <c r="R2427" s="100"/>
      <c r="V2427" s="100"/>
      <c r="Y2427" s="100"/>
    </row>
    <row r="2428">
      <c r="R2428" s="100"/>
      <c r="V2428" s="100"/>
      <c r="Y2428" s="100"/>
    </row>
    <row r="2429">
      <c r="R2429" s="100"/>
      <c r="V2429" s="100"/>
      <c r="Y2429" s="100"/>
    </row>
    <row r="2430">
      <c r="R2430" s="100"/>
      <c r="V2430" s="100"/>
      <c r="Y2430" s="100"/>
    </row>
    <row r="2431">
      <c r="R2431" s="100"/>
      <c r="V2431" s="100"/>
      <c r="Y2431" s="100"/>
    </row>
    <row r="2432">
      <c r="R2432" s="100"/>
      <c r="V2432" s="100"/>
      <c r="Y2432" s="100"/>
    </row>
    <row r="2433">
      <c r="R2433" s="100"/>
      <c r="V2433" s="100"/>
      <c r="Y2433" s="100"/>
    </row>
    <row r="2434">
      <c r="R2434" s="100"/>
      <c r="V2434" s="100"/>
      <c r="Y2434" s="100"/>
    </row>
    <row r="2435">
      <c r="R2435" s="100"/>
      <c r="V2435" s="100"/>
      <c r="Y2435" s="100"/>
    </row>
    <row r="2436">
      <c r="R2436" s="100"/>
      <c r="V2436" s="100"/>
      <c r="Y2436" s="100"/>
    </row>
    <row r="2437">
      <c r="R2437" s="100"/>
      <c r="V2437" s="100"/>
      <c r="Y2437" s="100"/>
    </row>
    <row r="2438">
      <c r="R2438" s="100"/>
      <c r="V2438" s="100"/>
      <c r="Y2438" s="100"/>
    </row>
    <row r="2439">
      <c r="R2439" s="100"/>
      <c r="V2439" s="100"/>
      <c r="Y2439" s="100"/>
    </row>
    <row r="2440">
      <c r="R2440" s="100"/>
      <c r="V2440" s="100"/>
      <c r="Y2440" s="100"/>
    </row>
    <row r="2441">
      <c r="R2441" s="100"/>
      <c r="V2441" s="100"/>
      <c r="Y2441" s="100"/>
    </row>
    <row r="2442">
      <c r="R2442" s="100"/>
      <c r="V2442" s="100"/>
      <c r="Y2442" s="100"/>
    </row>
    <row r="2443">
      <c r="R2443" s="100"/>
      <c r="V2443" s="100"/>
      <c r="Y2443" s="100"/>
    </row>
    <row r="2444">
      <c r="R2444" s="100"/>
      <c r="V2444" s="100"/>
      <c r="Y2444" s="100"/>
    </row>
    <row r="2445">
      <c r="R2445" s="100"/>
      <c r="V2445" s="100"/>
      <c r="Y2445" s="100"/>
    </row>
    <row r="2446">
      <c r="R2446" s="100"/>
      <c r="V2446" s="100"/>
      <c r="Y2446" s="100"/>
    </row>
    <row r="2447">
      <c r="R2447" s="100"/>
      <c r="V2447" s="100"/>
      <c r="Y2447" s="100"/>
    </row>
    <row r="2448">
      <c r="R2448" s="100"/>
      <c r="V2448" s="100"/>
      <c r="Y2448" s="100"/>
    </row>
    <row r="2449">
      <c r="R2449" s="100"/>
      <c r="V2449" s="100"/>
      <c r="Y2449" s="100"/>
    </row>
    <row r="2450">
      <c r="R2450" s="100"/>
      <c r="V2450" s="100"/>
      <c r="Y2450" s="100"/>
    </row>
    <row r="2451">
      <c r="R2451" s="100"/>
      <c r="V2451" s="100"/>
      <c r="Y2451" s="100"/>
    </row>
    <row r="2452">
      <c r="R2452" s="100"/>
      <c r="V2452" s="100"/>
      <c r="Y2452" s="100"/>
    </row>
    <row r="2453">
      <c r="R2453" s="100"/>
      <c r="V2453" s="100"/>
      <c r="Y2453" s="100"/>
    </row>
    <row r="2454">
      <c r="R2454" s="100"/>
      <c r="V2454" s="100"/>
      <c r="Y2454" s="100"/>
    </row>
    <row r="2455">
      <c r="R2455" s="100"/>
      <c r="V2455" s="100"/>
      <c r="Y2455" s="100"/>
    </row>
    <row r="2456">
      <c r="R2456" s="100"/>
      <c r="V2456" s="100"/>
      <c r="Y2456" s="100"/>
    </row>
    <row r="2457">
      <c r="R2457" s="100"/>
      <c r="V2457" s="100"/>
      <c r="Y2457" s="100"/>
    </row>
    <row r="2458">
      <c r="R2458" s="100"/>
      <c r="V2458" s="100"/>
      <c r="Y2458" s="100"/>
    </row>
    <row r="2459">
      <c r="R2459" s="100"/>
      <c r="V2459" s="100"/>
      <c r="Y2459" s="100"/>
    </row>
    <row r="2460">
      <c r="R2460" s="100"/>
      <c r="V2460" s="100"/>
      <c r="Y2460" s="100"/>
    </row>
    <row r="2461">
      <c r="R2461" s="100"/>
      <c r="V2461" s="100"/>
      <c r="Y2461" s="100"/>
    </row>
    <row r="2462">
      <c r="R2462" s="100"/>
      <c r="V2462" s="100"/>
      <c r="Y2462" s="100"/>
    </row>
    <row r="2463">
      <c r="R2463" s="100"/>
      <c r="V2463" s="100"/>
      <c r="Y2463" s="100"/>
    </row>
    <row r="2464">
      <c r="R2464" s="100"/>
      <c r="V2464" s="100"/>
      <c r="Y2464" s="100"/>
    </row>
    <row r="2465">
      <c r="R2465" s="100"/>
      <c r="V2465" s="100"/>
      <c r="Y2465" s="100"/>
    </row>
    <row r="2466">
      <c r="R2466" s="100"/>
      <c r="V2466" s="100"/>
      <c r="Y2466" s="100"/>
    </row>
    <row r="2467">
      <c r="R2467" s="100"/>
      <c r="V2467" s="100"/>
      <c r="Y2467" s="100"/>
    </row>
    <row r="2468">
      <c r="R2468" s="100"/>
      <c r="V2468" s="100"/>
      <c r="Y2468" s="100"/>
    </row>
    <row r="2469">
      <c r="R2469" s="100"/>
      <c r="V2469" s="100"/>
      <c r="Y2469" s="100"/>
    </row>
    <row r="2470">
      <c r="R2470" s="100"/>
      <c r="V2470" s="100"/>
      <c r="Y2470" s="100"/>
    </row>
    <row r="2471">
      <c r="R2471" s="100"/>
      <c r="V2471" s="100"/>
      <c r="Y2471" s="100"/>
    </row>
    <row r="2472">
      <c r="R2472" s="100"/>
      <c r="V2472" s="100"/>
      <c r="Y2472" s="100"/>
    </row>
    <row r="2473">
      <c r="R2473" s="100"/>
      <c r="V2473" s="100"/>
      <c r="Y2473" s="100"/>
    </row>
    <row r="2474">
      <c r="R2474" s="100"/>
      <c r="V2474" s="100"/>
      <c r="Y2474" s="100"/>
    </row>
    <row r="2475">
      <c r="R2475" s="100"/>
      <c r="V2475" s="100"/>
      <c r="Y2475" s="100"/>
    </row>
    <row r="2476">
      <c r="R2476" s="100"/>
      <c r="V2476" s="100"/>
      <c r="Y2476" s="100"/>
    </row>
    <row r="2477">
      <c r="R2477" s="100"/>
      <c r="V2477" s="100"/>
      <c r="Y2477" s="100"/>
    </row>
    <row r="2478">
      <c r="R2478" s="100"/>
      <c r="V2478" s="100"/>
      <c r="Y2478" s="100"/>
    </row>
    <row r="2479">
      <c r="R2479" s="100"/>
      <c r="V2479" s="100"/>
      <c r="Y2479" s="100"/>
    </row>
    <row r="2480">
      <c r="R2480" s="100"/>
      <c r="V2480" s="100"/>
      <c r="Y2480" s="100"/>
    </row>
    <row r="2481">
      <c r="R2481" s="100"/>
      <c r="V2481" s="100"/>
      <c r="Y2481" s="100"/>
    </row>
    <row r="2482">
      <c r="R2482" s="100"/>
      <c r="V2482" s="100"/>
      <c r="Y2482" s="100"/>
    </row>
    <row r="2483">
      <c r="R2483" s="100"/>
      <c r="V2483" s="100"/>
      <c r="Y2483" s="100"/>
    </row>
    <row r="2484">
      <c r="R2484" s="100"/>
      <c r="V2484" s="100"/>
      <c r="Y2484" s="100"/>
    </row>
    <row r="2485">
      <c r="R2485" s="100"/>
      <c r="V2485" s="100"/>
      <c r="Y2485" s="100"/>
    </row>
    <row r="2486">
      <c r="R2486" s="100"/>
      <c r="V2486" s="100"/>
      <c r="Y2486" s="100"/>
    </row>
    <row r="2487">
      <c r="R2487" s="100"/>
      <c r="V2487" s="100"/>
      <c r="Y2487" s="100"/>
    </row>
    <row r="2488">
      <c r="R2488" s="100"/>
      <c r="V2488" s="100"/>
      <c r="Y2488" s="100"/>
    </row>
    <row r="2489">
      <c r="R2489" s="100"/>
      <c r="V2489" s="100"/>
      <c r="Y2489" s="100"/>
    </row>
    <row r="2490">
      <c r="R2490" s="100"/>
      <c r="V2490" s="100"/>
      <c r="Y2490" s="100"/>
    </row>
    <row r="2491">
      <c r="R2491" s="100"/>
      <c r="V2491" s="100"/>
      <c r="Y2491" s="100"/>
    </row>
    <row r="2492">
      <c r="R2492" s="100"/>
      <c r="V2492" s="100"/>
      <c r="Y2492" s="100"/>
    </row>
    <row r="2493">
      <c r="R2493" s="100"/>
      <c r="V2493" s="100"/>
      <c r="Y2493" s="100"/>
    </row>
    <row r="2494">
      <c r="R2494" s="100"/>
      <c r="V2494" s="100"/>
      <c r="Y2494" s="100"/>
    </row>
    <row r="2495">
      <c r="R2495" s="100"/>
      <c r="V2495" s="100"/>
      <c r="Y2495" s="100"/>
    </row>
    <row r="2496">
      <c r="R2496" s="100"/>
      <c r="V2496" s="100"/>
      <c r="Y2496" s="100"/>
    </row>
    <row r="2497">
      <c r="R2497" s="100"/>
      <c r="V2497" s="100"/>
      <c r="Y2497" s="100"/>
    </row>
    <row r="2498">
      <c r="R2498" s="100"/>
      <c r="V2498" s="100"/>
      <c r="Y2498" s="100"/>
    </row>
    <row r="2499">
      <c r="R2499" s="100"/>
      <c r="V2499" s="100"/>
      <c r="Y2499" s="100"/>
    </row>
    <row r="2500">
      <c r="R2500" s="100"/>
      <c r="V2500" s="100"/>
      <c r="Y2500" s="100"/>
    </row>
    <row r="2501">
      <c r="R2501" s="100"/>
      <c r="V2501" s="100"/>
      <c r="Y2501" s="100"/>
    </row>
    <row r="2502">
      <c r="R2502" s="100"/>
      <c r="V2502" s="100"/>
      <c r="Y2502" s="100"/>
    </row>
    <row r="2503">
      <c r="R2503" s="100"/>
      <c r="V2503" s="100"/>
      <c r="Y2503" s="100"/>
    </row>
    <row r="2504">
      <c r="R2504" s="100"/>
      <c r="V2504" s="100"/>
      <c r="Y2504" s="100"/>
    </row>
    <row r="2505">
      <c r="R2505" s="100"/>
      <c r="V2505" s="100"/>
      <c r="Y2505" s="100"/>
    </row>
    <row r="2506">
      <c r="R2506" s="100"/>
      <c r="V2506" s="100"/>
      <c r="Y2506" s="100"/>
    </row>
    <row r="2507">
      <c r="R2507" s="100"/>
      <c r="V2507" s="100"/>
      <c r="Y2507" s="100"/>
    </row>
    <row r="2508">
      <c r="R2508" s="100"/>
      <c r="V2508" s="100"/>
      <c r="Y2508" s="100"/>
    </row>
    <row r="2509">
      <c r="R2509" s="100"/>
      <c r="V2509" s="100"/>
      <c r="Y2509" s="100"/>
    </row>
    <row r="2510">
      <c r="R2510" s="100"/>
      <c r="V2510" s="100"/>
      <c r="Y2510" s="100"/>
    </row>
    <row r="2511">
      <c r="R2511" s="100"/>
      <c r="V2511" s="100"/>
      <c r="Y2511" s="100"/>
    </row>
    <row r="2512">
      <c r="R2512" s="100"/>
      <c r="V2512" s="100"/>
      <c r="Y2512" s="100"/>
    </row>
    <row r="2513">
      <c r="R2513" s="100"/>
      <c r="V2513" s="100"/>
      <c r="Y2513" s="100"/>
    </row>
    <row r="2514">
      <c r="R2514" s="100"/>
      <c r="V2514" s="100"/>
      <c r="Y2514" s="100"/>
    </row>
    <row r="2515">
      <c r="R2515" s="100"/>
      <c r="V2515" s="100"/>
      <c r="Y2515" s="100"/>
    </row>
    <row r="2516">
      <c r="R2516" s="100"/>
      <c r="V2516" s="100"/>
      <c r="Y2516" s="100"/>
    </row>
    <row r="2517">
      <c r="R2517" s="100"/>
      <c r="V2517" s="100"/>
      <c r="Y2517" s="100"/>
    </row>
    <row r="2518">
      <c r="R2518" s="100"/>
      <c r="V2518" s="100"/>
      <c r="Y2518" s="100"/>
    </row>
    <row r="2519">
      <c r="R2519" s="100"/>
      <c r="V2519" s="100"/>
      <c r="Y2519" s="100"/>
    </row>
    <row r="2520">
      <c r="R2520" s="100"/>
      <c r="V2520" s="100"/>
      <c r="Y2520" s="100"/>
    </row>
    <row r="2521">
      <c r="R2521" s="100"/>
      <c r="V2521" s="100"/>
      <c r="Y2521" s="100"/>
    </row>
    <row r="2522">
      <c r="R2522" s="100"/>
      <c r="V2522" s="100"/>
      <c r="Y2522" s="100"/>
    </row>
    <row r="2523">
      <c r="R2523" s="100"/>
      <c r="V2523" s="100"/>
      <c r="Y2523" s="100"/>
    </row>
    <row r="2524">
      <c r="R2524" s="100"/>
      <c r="V2524" s="100"/>
      <c r="Y2524" s="100"/>
    </row>
    <row r="2525">
      <c r="R2525" s="100"/>
      <c r="V2525" s="100"/>
      <c r="Y2525" s="100"/>
    </row>
    <row r="2526">
      <c r="R2526" s="100"/>
      <c r="V2526" s="100"/>
      <c r="Y2526" s="100"/>
    </row>
    <row r="2527">
      <c r="R2527" s="100"/>
      <c r="V2527" s="100"/>
      <c r="Y2527" s="100"/>
    </row>
    <row r="2528">
      <c r="R2528" s="100"/>
      <c r="V2528" s="100"/>
      <c r="Y2528" s="100"/>
    </row>
    <row r="2529">
      <c r="R2529" s="100"/>
      <c r="V2529" s="100"/>
      <c r="Y2529" s="100"/>
    </row>
    <row r="2530">
      <c r="R2530" s="100"/>
      <c r="V2530" s="100"/>
      <c r="Y2530" s="100"/>
    </row>
    <row r="2531">
      <c r="R2531" s="100"/>
      <c r="V2531" s="100"/>
      <c r="Y2531" s="100"/>
    </row>
    <row r="2532">
      <c r="R2532" s="100"/>
      <c r="V2532" s="100"/>
      <c r="Y2532" s="100"/>
    </row>
    <row r="2533">
      <c r="R2533" s="100"/>
      <c r="V2533" s="100"/>
      <c r="Y2533" s="100"/>
    </row>
    <row r="2534">
      <c r="R2534" s="100"/>
      <c r="V2534" s="100"/>
      <c r="Y2534" s="100"/>
    </row>
    <row r="2535">
      <c r="R2535" s="100"/>
      <c r="V2535" s="100"/>
      <c r="Y2535" s="100"/>
    </row>
    <row r="2536">
      <c r="R2536" s="100"/>
      <c r="V2536" s="100"/>
      <c r="Y2536" s="100"/>
    </row>
    <row r="2537">
      <c r="R2537" s="100"/>
      <c r="V2537" s="100"/>
      <c r="Y2537" s="100"/>
    </row>
    <row r="2538">
      <c r="R2538" s="100"/>
      <c r="V2538" s="100"/>
      <c r="Y2538" s="100"/>
    </row>
    <row r="2539">
      <c r="R2539" s="100"/>
      <c r="V2539" s="100"/>
      <c r="Y2539" s="100"/>
    </row>
    <row r="2540">
      <c r="R2540" s="100"/>
      <c r="V2540" s="100"/>
      <c r="Y2540" s="100"/>
    </row>
    <row r="2541">
      <c r="R2541" s="100"/>
      <c r="V2541" s="100"/>
      <c r="Y2541" s="100"/>
    </row>
    <row r="2542">
      <c r="R2542" s="100"/>
      <c r="V2542" s="100"/>
      <c r="Y2542" s="100"/>
    </row>
    <row r="2543">
      <c r="R2543" s="100"/>
      <c r="V2543" s="100"/>
      <c r="Y2543" s="100"/>
    </row>
    <row r="2544">
      <c r="R2544" s="100"/>
      <c r="V2544" s="100"/>
      <c r="Y2544" s="100"/>
    </row>
    <row r="2545">
      <c r="R2545" s="100"/>
      <c r="V2545" s="100"/>
      <c r="Y2545" s="100"/>
    </row>
    <row r="2546">
      <c r="R2546" s="100"/>
      <c r="V2546" s="100"/>
      <c r="Y2546" s="100"/>
    </row>
    <row r="2547">
      <c r="R2547" s="100"/>
      <c r="V2547" s="100"/>
      <c r="Y2547" s="100"/>
    </row>
    <row r="2548">
      <c r="R2548" s="100"/>
      <c r="V2548" s="100"/>
      <c r="Y2548" s="100"/>
    </row>
    <row r="2549">
      <c r="R2549" s="100"/>
      <c r="V2549" s="100"/>
      <c r="Y2549" s="100"/>
    </row>
    <row r="2550">
      <c r="R2550" s="100"/>
      <c r="V2550" s="100"/>
      <c r="Y2550" s="100"/>
    </row>
    <row r="2551">
      <c r="R2551" s="100"/>
      <c r="V2551" s="100"/>
      <c r="Y2551" s="100"/>
    </row>
    <row r="2552">
      <c r="R2552" s="100"/>
      <c r="V2552" s="100"/>
      <c r="Y2552" s="100"/>
    </row>
    <row r="2553">
      <c r="R2553" s="100"/>
      <c r="V2553" s="100"/>
      <c r="Y2553" s="100"/>
    </row>
    <row r="2554">
      <c r="R2554" s="100"/>
      <c r="V2554" s="100"/>
      <c r="Y2554" s="100"/>
    </row>
    <row r="2555">
      <c r="R2555" s="100"/>
      <c r="V2555" s="100"/>
      <c r="Y2555" s="100"/>
    </row>
    <row r="2556">
      <c r="R2556" s="100"/>
      <c r="V2556" s="100"/>
      <c r="Y2556" s="100"/>
    </row>
    <row r="2557">
      <c r="R2557" s="100"/>
      <c r="V2557" s="100"/>
      <c r="Y2557" s="100"/>
    </row>
    <row r="2558">
      <c r="R2558" s="100"/>
      <c r="V2558" s="100"/>
      <c r="Y2558" s="100"/>
    </row>
    <row r="2559">
      <c r="R2559" s="100"/>
      <c r="V2559" s="100"/>
      <c r="Y2559" s="100"/>
    </row>
    <row r="2560">
      <c r="R2560" s="100"/>
      <c r="V2560" s="100"/>
      <c r="Y2560" s="100"/>
    </row>
    <row r="2561">
      <c r="R2561" s="100"/>
      <c r="V2561" s="100"/>
      <c r="Y2561" s="100"/>
    </row>
    <row r="2562">
      <c r="R2562" s="100"/>
      <c r="V2562" s="100"/>
      <c r="Y2562" s="100"/>
    </row>
    <row r="2563">
      <c r="R2563" s="100"/>
      <c r="V2563" s="100"/>
      <c r="Y2563" s="100"/>
    </row>
    <row r="2564">
      <c r="R2564" s="100"/>
      <c r="V2564" s="100"/>
      <c r="Y2564" s="100"/>
    </row>
    <row r="2565">
      <c r="R2565" s="100"/>
      <c r="V2565" s="100"/>
      <c r="Y2565" s="100"/>
    </row>
    <row r="2566">
      <c r="R2566" s="100"/>
      <c r="V2566" s="100"/>
      <c r="Y2566" s="100"/>
    </row>
    <row r="2567">
      <c r="R2567" s="100"/>
      <c r="V2567" s="100"/>
      <c r="Y2567" s="100"/>
    </row>
    <row r="2568">
      <c r="R2568" s="100"/>
      <c r="V2568" s="100"/>
      <c r="Y2568" s="100"/>
    </row>
    <row r="2569">
      <c r="R2569" s="100"/>
      <c r="V2569" s="100"/>
      <c r="Y2569" s="100"/>
    </row>
    <row r="2570">
      <c r="R2570" s="100"/>
      <c r="V2570" s="100"/>
      <c r="Y2570" s="100"/>
    </row>
    <row r="2571">
      <c r="R2571" s="100"/>
      <c r="V2571" s="100"/>
      <c r="Y2571" s="100"/>
    </row>
    <row r="2572">
      <c r="R2572" s="100"/>
      <c r="V2572" s="100"/>
      <c r="Y2572" s="100"/>
    </row>
    <row r="2573">
      <c r="R2573" s="100"/>
      <c r="V2573" s="100"/>
      <c r="Y2573" s="100"/>
    </row>
    <row r="2574">
      <c r="R2574" s="100"/>
      <c r="V2574" s="100"/>
      <c r="Y2574" s="100"/>
    </row>
    <row r="2575">
      <c r="R2575" s="100"/>
      <c r="V2575" s="100"/>
      <c r="Y2575" s="100"/>
    </row>
    <row r="2576">
      <c r="R2576" s="100"/>
      <c r="V2576" s="100"/>
      <c r="Y2576" s="100"/>
    </row>
    <row r="2577">
      <c r="R2577" s="100"/>
      <c r="V2577" s="100"/>
      <c r="Y2577" s="100"/>
    </row>
    <row r="2578">
      <c r="R2578" s="100"/>
      <c r="V2578" s="100"/>
      <c r="Y2578" s="100"/>
    </row>
    <row r="2579">
      <c r="R2579" s="100"/>
      <c r="V2579" s="100"/>
      <c r="Y2579" s="100"/>
    </row>
    <row r="2580">
      <c r="R2580" s="100"/>
      <c r="V2580" s="100"/>
      <c r="Y2580" s="100"/>
    </row>
    <row r="2581">
      <c r="R2581" s="100"/>
      <c r="V2581" s="100"/>
      <c r="Y2581" s="100"/>
    </row>
    <row r="2582">
      <c r="R2582" s="100"/>
      <c r="V2582" s="100"/>
      <c r="Y2582" s="100"/>
    </row>
    <row r="2583">
      <c r="R2583" s="100"/>
      <c r="V2583" s="100"/>
      <c r="Y2583" s="100"/>
    </row>
    <row r="2584">
      <c r="R2584" s="100"/>
      <c r="V2584" s="100"/>
      <c r="Y2584" s="100"/>
    </row>
    <row r="2585">
      <c r="R2585" s="100"/>
      <c r="V2585" s="100"/>
      <c r="Y2585" s="100"/>
    </row>
    <row r="2586">
      <c r="R2586" s="100"/>
      <c r="V2586" s="100"/>
      <c r="Y2586" s="100"/>
    </row>
    <row r="2587">
      <c r="R2587" s="100"/>
      <c r="V2587" s="100"/>
      <c r="Y2587" s="100"/>
    </row>
    <row r="2588">
      <c r="R2588" s="100"/>
      <c r="V2588" s="100"/>
      <c r="Y2588" s="100"/>
    </row>
    <row r="2589">
      <c r="R2589" s="100"/>
      <c r="V2589" s="100"/>
      <c r="Y2589" s="100"/>
    </row>
    <row r="2590">
      <c r="R2590" s="100"/>
      <c r="V2590" s="100"/>
      <c r="Y2590" s="100"/>
    </row>
    <row r="2591">
      <c r="R2591" s="100"/>
      <c r="V2591" s="100"/>
      <c r="Y2591" s="100"/>
    </row>
    <row r="2592">
      <c r="R2592" s="100"/>
      <c r="V2592" s="100"/>
      <c r="Y2592" s="100"/>
    </row>
    <row r="2593">
      <c r="R2593" s="100"/>
      <c r="V2593" s="100"/>
      <c r="Y2593" s="100"/>
    </row>
    <row r="2594">
      <c r="R2594" s="100"/>
      <c r="V2594" s="100"/>
      <c r="Y2594" s="100"/>
    </row>
    <row r="2595">
      <c r="R2595" s="100"/>
      <c r="V2595" s="100"/>
      <c r="Y2595" s="100"/>
    </row>
    <row r="2596">
      <c r="R2596" s="100"/>
      <c r="V2596" s="100"/>
      <c r="Y2596" s="100"/>
    </row>
    <row r="2597">
      <c r="R2597" s="100"/>
      <c r="V2597" s="100"/>
      <c r="Y2597" s="100"/>
    </row>
    <row r="2598">
      <c r="R2598" s="100"/>
      <c r="V2598" s="100"/>
      <c r="Y2598" s="100"/>
    </row>
    <row r="2599">
      <c r="R2599" s="100"/>
      <c r="V2599" s="100"/>
      <c r="Y2599" s="100"/>
    </row>
    <row r="2600">
      <c r="R2600" s="100"/>
      <c r="V2600" s="100"/>
      <c r="Y2600" s="100"/>
    </row>
    <row r="2601">
      <c r="R2601" s="100"/>
      <c r="V2601" s="100"/>
      <c r="Y2601" s="100"/>
    </row>
    <row r="2602">
      <c r="R2602" s="100"/>
      <c r="V2602" s="100"/>
      <c r="Y2602" s="100"/>
    </row>
    <row r="2603">
      <c r="R2603" s="100"/>
      <c r="V2603" s="100"/>
      <c r="Y2603" s="100"/>
    </row>
    <row r="2604">
      <c r="R2604" s="100"/>
      <c r="V2604" s="100"/>
      <c r="Y2604" s="100"/>
    </row>
    <row r="2605">
      <c r="R2605" s="100"/>
      <c r="V2605" s="100"/>
      <c r="Y2605" s="100"/>
    </row>
    <row r="2606">
      <c r="R2606" s="100"/>
      <c r="V2606" s="100"/>
      <c r="Y2606" s="100"/>
    </row>
    <row r="2607">
      <c r="R2607" s="100"/>
      <c r="V2607" s="100"/>
      <c r="Y2607" s="100"/>
    </row>
    <row r="2608">
      <c r="R2608" s="100"/>
      <c r="V2608" s="100"/>
      <c r="Y2608" s="100"/>
    </row>
    <row r="2609">
      <c r="R2609" s="100"/>
      <c r="V2609" s="100"/>
      <c r="Y2609" s="100"/>
    </row>
    <row r="2610">
      <c r="R2610" s="100"/>
      <c r="V2610" s="100"/>
      <c r="Y2610" s="100"/>
    </row>
    <row r="2611">
      <c r="R2611" s="100"/>
      <c r="V2611" s="100"/>
      <c r="Y2611" s="100"/>
    </row>
    <row r="2612">
      <c r="R2612" s="100"/>
      <c r="V2612" s="100"/>
      <c r="Y2612" s="100"/>
    </row>
    <row r="2613">
      <c r="R2613" s="100"/>
      <c r="V2613" s="100"/>
      <c r="Y2613" s="100"/>
    </row>
    <row r="2614">
      <c r="R2614" s="100"/>
      <c r="V2614" s="100"/>
      <c r="Y2614" s="100"/>
    </row>
    <row r="2615">
      <c r="R2615" s="100"/>
      <c r="V2615" s="100"/>
      <c r="Y2615" s="100"/>
    </row>
    <row r="2616">
      <c r="R2616" s="100"/>
      <c r="V2616" s="100"/>
      <c r="Y2616" s="100"/>
    </row>
    <row r="2617">
      <c r="R2617" s="100"/>
      <c r="V2617" s="100"/>
      <c r="Y2617" s="100"/>
    </row>
    <row r="2618">
      <c r="R2618" s="100"/>
      <c r="V2618" s="100"/>
      <c r="Y2618" s="100"/>
    </row>
    <row r="2619">
      <c r="R2619" s="100"/>
      <c r="V2619" s="100"/>
      <c r="Y2619" s="100"/>
    </row>
    <row r="2620">
      <c r="R2620" s="100"/>
      <c r="V2620" s="100"/>
      <c r="Y2620" s="100"/>
    </row>
    <row r="2621">
      <c r="R2621" s="100"/>
      <c r="V2621" s="100"/>
      <c r="Y2621" s="100"/>
    </row>
    <row r="2622">
      <c r="R2622" s="100"/>
      <c r="V2622" s="100"/>
      <c r="Y2622" s="100"/>
    </row>
    <row r="2623">
      <c r="R2623" s="100"/>
      <c r="V2623" s="100"/>
      <c r="Y2623" s="100"/>
    </row>
    <row r="2624">
      <c r="R2624" s="100"/>
      <c r="V2624" s="100"/>
      <c r="Y2624" s="100"/>
    </row>
    <row r="2625">
      <c r="R2625" s="100"/>
      <c r="V2625" s="100"/>
      <c r="Y2625" s="100"/>
    </row>
    <row r="2626">
      <c r="R2626" s="100"/>
      <c r="V2626" s="100"/>
      <c r="Y2626" s="100"/>
    </row>
    <row r="2627">
      <c r="R2627" s="100"/>
      <c r="V2627" s="100"/>
      <c r="Y2627" s="100"/>
    </row>
    <row r="2628">
      <c r="R2628" s="100"/>
      <c r="V2628" s="100"/>
      <c r="Y2628" s="100"/>
    </row>
    <row r="2629">
      <c r="R2629" s="100"/>
      <c r="V2629" s="100"/>
      <c r="Y2629" s="100"/>
    </row>
    <row r="2630">
      <c r="R2630" s="100"/>
      <c r="V2630" s="100"/>
      <c r="Y2630" s="100"/>
    </row>
    <row r="2631">
      <c r="R2631" s="100"/>
      <c r="V2631" s="100"/>
      <c r="Y2631" s="100"/>
    </row>
    <row r="2632">
      <c r="R2632" s="100"/>
      <c r="V2632" s="100"/>
      <c r="Y2632" s="100"/>
    </row>
    <row r="2633">
      <c r="R2633" s="100"/>
      <c r="V2633" s="100"/>
      <c r="Y2633" s="100"/>
    </row>
    <row r="2634">
      <c r="R2634" s="100"/>
      <c r="V2634" s="100"/>
      <c r="Y2634" s="100"/>
    </row>
    <row r="2635">
      <c r="R2635" s="100"/>
      <c r="V2635" s="100"/>
      <c r="Y2635" s="100"/>
    </row>
    <row r="2636">
      <c r="R2636" s="100"/>
      <c r="V2636" s="100"/>
      <c r="Y2636" s="100"/>
    </row>
    <row r="2637">
      <c r="R2637" s="100"/>
      <c r="V2637" s="100"/>
      <c r="Y2637" s="100"/>
    </row>
    <row r="2638">
      <c r="R2638" s="100"/>
      <c r="V2638" s="100"/>
      <c r="Y2638" s="100"/>
    </row>
    <row r="2639">
      <c r="R2639" s="100"/>
      <c r="V2639" s="100"/>
      <c r="Y2639" s="100"/>
    </row>
    <row r="2640">
      <c r="R2640" s="100"/>
      <c r="V2640" s="100"/>
      <c r="Y2640" s="100"/>
    </row>
    <row r="2641">
      <c r="R2641" s="100"/>
      <c r="V2641" s="100"/>
      <c r="Y2641" s="100"/>
    </row>
    <row r="2642">
      <c r="R2642" s="100"/>
      <c r="V2642" s="100"/>
      <c r="Y2642" s="100"/>
    </row>
    <row r="2643">
      <c r="R2643" s="100"/>
      <c r="V2643" s="100"/>
      <c r="Y2643" s="100"/>
    </row>
    <row r="2644">
      <c r="R2644" s="100"/>
      <c r="V2644" s="100"/>
      <c r="Y2644" s="100"/>
    </row>
    <row r="2645">
      <c r="R2645" s="100"/>
      <c r="V2645" s="100"/>
      <c r="Y2645" s="100"/>
    </row>
    <row r="2646">
      <c r="R2646" s="100"/>
      <c r="V2646" s="100"/>
      <c r="Y2646" s="100"/>
    </row>
    <row r="2647">
      <c r="R2647" s="100"/>
      <c r="V2647" s="100"/>
      <c r="Y2647" s="100"/>
    </row>
    <row r="2648">
      <c r="R2648" s="100"/>
      <c r="V2648" s="100"/>
      <c r="Y2648" s="100"/>
    </row>
    <row r="2649">
      <c r="R2649" s="100"/>
      <c r="V2649" s="100"/>
      <c r="Y2649" s="100"/>
    </row>
    <row r="2650">
      <c r="R2650" s="100"/>
      <c r="V2650" s="100"/>
      <c r="Y2650" s="100"/>
    </row>
    <row r="2651">
      <c r="R2651" s="100"/>
      <c r="V2651" s="100"/>
      <c r="Y2651" s="100"/>
    </row>
    <row r="2652">
      <c r="R2652" s="100"/>
      <c r="V2652" s="100"/>
      <c r="Y2652" s="100"/>
    </row>
    <row r="2653">
      <c r="R2653" s="100"/>
      <c r="V2653" s="100"/>
      <c r="Y2653" s="100"/>
    </row>
    <row r="2654">
      <c r="R2654" s="100"/>
      <c r="V2654" s="100"/>
      <c r="Y2654" s="100"/>
    </row>
    <row r="2655">
      <c r="R2655" s="100"/>
      <c r="V2655" s="100"/>
      <c r="Y2655" s="100"/>
    </row>
    <row r="2656">
      <c r="R2656" s="100"/>
      <c r="V2656" s="100"/>
      <c r="Y2656" s="100"/>
    </row>
    <row r="2657">
      <c r="R2657" s="100"/>
      <c r="V2657" s="100"/>
      <c r="Y2657" s="100"/>
    </row>
    <row r="2658">
      <c r="R2658" s="100"/>
      <c r="V2658" s="100"/>
      <c r="Y2658" s="100"/>
    </row>
    <row r="2659">
      <c r="R2659" s="100"/>
      <c r="V2659" s="100"/>
      <c r="Y2659" s="100"/>
    </row>
    <row r="2660">
      <c r="R2660" s="100"/>
      <c r="V2660" s="100"/>
      <c r="Y2660" s="100"/>
    </row>
    <row r="2661">
      <c r="R2661" s="100"/>
      <c r="V2661" s="100"/>
      <c r="Y2661" s="100"/>
    </row>
    <row r="2662">
      <c r="R2662" s="100"/>
      <c r="V2662" s="100"/>
      <c r="Y2662" s="100"/>
    </row>
    <row r="2663">
      <c r="R2663" s="100"/>
      <c r="V2663" s="100"/>
      <c r="Y2663" s="100"/>
    </row>
    <row r="2664">
      <c r="R2664" s="100"/>
      <c r="V2664" s="100"/>
      <c r="Y2664" s="100"/>
    </row>
    <row r="2665">
      <c r="R2665" s="100"/>
      <c r="V2665" s="100"/>
      <c r="Y2665" s="100"/>
    </row>
    <row r="2666">
      <c r="R2666" s="100"/>
      <c r="V2666" s="100"/>
      <c r="Y2666" s="100"/>
    </row>
    <row r="2667">
      <c r="R2667" s="100"/>
      <c r="V2667" s="100"/>
      <c r="Y2667" s="100"/>
    </row>
    <row r="2668">
      <c r="R2668" s="100"/>
      <c r="V2668" s="100"/>
      <c r="Y2668" s="100"/>
    </row>
    <row r="2669">
      <c r="R2669" s="100"/>
      <c r="V2669" s="100"/>
      <c r="Y2669" s="100"/>
    </row>
    <row r="2670">
      <c r="R2670" s="100"/>
      <c r="V2670" s="100"/>
      <c r="Y2670" s="100"/>
    </row>
    <row r="2671">
      <c r="R2671" s="100"/>
      <c r="V2671" s="100"/>
      <c r="Y2671" s="100"/>
    </row>
    <row r="2672">
      <c r="R2672" s="100"/>
      <c r="V2672" s="100"/>
      <c r="Y2672" s="100"/>
    </row>
    <row r="2673">
      <c r="R2673" s="100"/>
      <c r="V2673" s="100"/>
      <c r="Y2673" s="100"/>
    </row>
    <row r="2674">
      <c r="R2674" s="100"/>
      <c r="V2674" s="100"/>
      <c r="Y2674" s="100"/>
    </row>
    <row r="2675">
      <c r="R2675" s="100"/>
      <c r="V2675" s="100"/>
      <c r="Y2675" s="100"/>
    </row>
    <row r="2676">
      <c r="R2676" s="100"/>
      <c r="V2676" s="100"/>
      <c r="Y2676" s="100"/>
    </row>
    <row r="2677">
      <c r="R2677" s="100"/>
      <c r="V2677" s="100"/>
      <c r="Y2677" s="100"/>
    </row>
    <row r="2678">
      <c r="R2678" s="100"/>
      <c r="V2678" s="100"/>
      <c r="Y2678" s="100"/>
    </row>
    <row r="2679">
      <c r="R2679" s="100"/>
      <c r="V2679" s="100"/>
      <c r="Y2679" s="100"/>
    </row>
    <row r="2680">
      <c r="R2680" s="100"/>
      <c r="V2680" s="100"/>
      <c r="Y2680" s="100"/>
    </row>
    <row r="2681">
      <c r="R2681" s="100"/>
      <c r="V2681" s="100"/>
      <c r="Y2681" s="100"/>
    </row>
    <row r="2682">
      <c r="R2682" s="100"/>
      <c r="V2682" s="100"/>
      <c r="Y2682" s="100"/>
    </row>
    <row r="2683">
      <c r="R2683" s="100"/>
      <c r="V2683" s="100"/>
      <c r="Y2683" s="100"/>
    </row>
    <row r="2684">
      <c r="R2684" s="100"/>
      <c r="V2684" s="100"/>
      <c r="Y2684" s="100"/>
    </row>
    <row r="2685">
      <c r="R2685" s="100"/>
      <c r="V2685" s="100"/>
      <c r="Y2685" s="100"/>
    </row>
    <row r="2686">
      <c r="R2686" s="100"/>
      <c r="V2686" s="100"/>
      <c r="Y2686" s="100"/>
    </row>
    <row r="2687">
      <c r="R2687" s="100"/>
      <c r="V2687" s="100"/>
      <c r="Y2687" s="100"/>
    </row>
    <row r="2688">
      <c r="R2688" s="100"/>
      <c r="V2688" s="100"/>
      <c r="Y2688" s="100"/>
    </row>
    <row r="2689">
      <c r="R2689" s="100"/>
      <c r="V2689" s="100"/>
      <c r="Y2689" s="100"/>
    </row>
    <row r="2690">
      <c r="R2690" s="100"/>
      <c r="V2690" s="100"/>
      <c r="Y2690" s="100"/>
    </row>
    <row r="2691">
      <c r="R2691" s="100"/>
      <c r="V2691" s="100"/>
      <c r="Y2691" s="100"/>
    </row>
    <row r="2692">
      <c r="R2692" s="100"/>
      <c r="V2692" s="100"/>
      <c r="Y2692" s="100"/>
    </row>
    <row r="2693">
      <c r="R2693" s="100"/>
      <c r="V2693" s="100"/>
      <c r="Y2693" s="100"/>
    </row>
    <row r="2694">
      <c r="R2694" s="100"/>
      <c r="V2694" s="100"/>
      <c r="Y2694" s="100"/>
    </row>
    <row r="2695">
      <c r="R2695" s="100"/>
      <c r="V2695" s="100"/>
      <c r="Y2695" s="100"/>
    </row>
    <row r="2696">
      <c r="R2696" s="100"/>
      <c r="V2696" s="100"/>
      <c r="Y2696" s="100"/>
    </row>
    <row r="2697">
      <c r="R2697" s="100"/>
      <c r="V2697" s="100"/>
      <c r="Y2697" s="100"/>
    </row>
    <row r="2698">
      <c r="R2698" s="100"/>
      <c r="V2698" s="100"/>
      <c r="Y2698" s="100"/>
    </row>
    <row r="2699">
      <c r="R2699" s="100"/>
      <c r="V2699" s="100"/>
      <c r="Y2699" s="100"/>
    </row>
    <row r="2700">
      <c r="R2700" s="100"/>
      <c r="V2700" s="100"/>
      <c r="Y2700" s="100"/>
    </row>
    <row r="2701">
      <c r="R2701" s="100"/>
      <c r="V2701" s="100"/>
      <c r="Y2701" s="100"/>
    </row>
    <row r="2702">
      <c r="R2702" s="100"/>
      <c r="V2702" s="100"/>
      <c r="Y2702" s="100"/>
    </row>
    <row r="2703">
      <c r="R2703" s="100"/>
      <c r="V2703" s="100"/>
      <c r="Y2703" s="100"/>
    </row>
    <row r="2704">
      <c r="R2704" s="100"/>
      <c r="V2704" s="100"/>
      <c r="Y2704" s="100"/>
    </row>
    <row r="2705">
      <c r="R2705" s="100"/>
      <c r="V2705" s="100"/>
      <c r="Y2705" s="100"/>
    </row>
    <row r="2706">
      <c r="R2706" s="100"/>
      <c r="V2706" s="100"/>
      <c r="Y2706" s="100"/>
    </row>
    <row r="2707">
      <c r="R2707" s="100"/>
      <c r="V2707" s="100"/>
      <c r="Y2707" s="100"/>
    </row>
    <row r="2708">
      <c r="R2708" s="100"/>
      <c r="V2708" s="100"/>
      <c r="Y2708" s="100"/>
    </row>
    <row r="2709">
      <c r="R2709" s="100"/>
      <c r="V2709" s="100"/>
      <c r="Y2709" s="100"/>
    </row>
    <row r="2710">
      <c r="R2710" s="100"/>
      <c r="V2710" s="100"/>
      <c r="Y2710" s="100"/>
    </row>
    <row r="2711">
      <c r="R2711" s="100"/>
      <c r="V2711" s="100"/>
      <c r="Y2711" s="100"/>
    </row>
    <row r="2712">
      <c r="R2712" s="100"/>
      <c r="V2712" s="100"/>
      <c r="Y2712" s="100"/>
    </row>
    <row r="2713">
      <c r="R2713" s="100"/>
      <c r="V2713" s="100"/>
      <c r="Y2713" s="100"/>
    </row>
    <row r="2714">
      <c r="R2714" s="100"/>
      <c r="V2714" s="100"/>
      <c r="Y2714" s="100"/>
    </row>
    <row r="2715">
      <c r="R2715" s="100"/>
      <c r="V2715" s="100"/>
      <c r="Y2715" s="100"/>
    </row>
    <row r="2716">
      <c r="R2716" s="100"/>
      <c r="V2716" s="100"/>
      <c r="Y2716" s="100"/>
    </row>
    <row r="2717">
      <c r="R2717" s="100"/>
      <c r="V2717" s="100"/>
      <c r="Y2717" s="100"/>
    </row>
    <row r="2718">
      <c r="R2718" s="100"/>
      <c r="V2718" s="100"/>
      <c r="Y2718" s="100"/>
    </row>
    <row r="2719">
      <c r="R2719" s="100"/>
      <c r="V2719" s="100"/>
      <c r="Y2719" s="100"/>
    </row>
    <row r="2720">
      <c r="R2720" s="100"/>
      <c r="V2720" s="100"/>
      <c r="Y2720" s="100"/>
    </row>
    <row r="2721">
      <c r="R2721" s="100"/>
      <c r="V2721" s="100"/>
      <c r="Y2721" s="100"/>
    </row>
    <row r="2722">
      <c r="R2722" s="100"/>
      <c r="V2722" s="100"/>
      <c r="Y2722" s="100"/>
    </row>
    <row r="2723">
      <c r="R2723" s="100"/>
      <c r="V2723" s="100"/>
      <c r="Y2723" s="100"/>
    </row>
    <row r="2724">
      <c r="R2724" s="100"/>
      <c r="V2724" s="100"/>
      <c r="Y2724" s="100"/>
    </row>
    <row r="2725">
      <c r="R2725" s="100"/>
      <c r="V2725" s="100"/>
      <c r="Y2725" s="100"/>
    </row>
    <row r="2726">
      <c r="R2726" s="100"/>
      <c r="V2726" s="100"/>
      <c r="Y2726" s="100"/>
    </row>
    <row r="2727">
      <c r="R2727" s="100"/>
      <c r="V2727" s="100"/>
      <c r="Y2727" s="100"/>
    </row>
    <row r="2728">
      <c r="R2728" s="100"/>
      <c r="V2728" s="100"/>
      <c r="Y2728" s="100"/>
    </row>
    <row r="2729">
      <c r="R2729" s="100"/>
      <c r="V2729" s="100"/>
      <c r="Y2729" s="100"/>
    </row>
    <row r="2730">
      <c r="R2730" s="100"/>
      <c r="V2730" s="100"/>
      <c r="Y2730" s="100"/>
    </row>
    <row r="2731">
      <c r="R2731" s="100"/>
      <c r="V2731" s="100"/>
      <c r="Y2731" s="100"/>
    </row>
    <row r="2732">
      <c r="R2732" s="100"/>
      <c r="V2732" s="100"/>
      <c r="Y2732" s="100"/>
    </row>
    <row r="2733">
      <c r="R2733" s="100"/>
      <c r="V2733" s="100"/>
      <c r="Y2733" s="100"/>
    </row>
    <row r="2734">
      <c r="R2734" s="100"/>
      <c r="V2734" s="100"/>
      <c r="Y2734" s="100"/>
    </row>
    <row r="2735">
      <c r="R2735" s="100"/>
      <c r="V2735" s="100"/>
      <c r="Y2735" s="100"/>
    </row>
    <row r="2736">
      <c r="R2736" s="100"/>
      <c r="V2736" s="100"/>
      <c r="Y2736" s="100"/>
    </row>
    <row r="2737">
      <c r="R2737" s="100"/>
      <c r="V2737" s="100"/>
      <c r="Y2737" s="100"/>
    </row>
    <row r="2738">
      <c r="R2738" s="100"/>
      <c r="V2738" s="100"/>
      <c r="Y2738" s="100"/>
    </row>
    <row r="2739">
      <c r="R2739" s="100"/>
      <c r="V2739" s="100"/>
      <c r="Y2739" s="100"/>
    </row>
    <row r="2740">
      <c r="R2740" s="100"/>
      <c r="V2740" s="100"/>
      <c r="Y2740" s="100"/>
    </row>
    <row r="2741">
      <c r="R2741" s="100"/>
      <c r="V2741" s="100"/>
      <c r="Y2741" s="100"/>
    </row>
    <row r="2742">
      <c r="R2742" s="100"/>
      <c r="V2742" s="100"/>
      <c r="Y2742" s="100"/>
    </row>
    <row r="2743">
      <c r="R2743" s="100"/>
      <c r="V2743" s="100"/>
      <c r="Y2743" s="100"/>
    </row>
    <row r="2744">
      <c r="R2744" s="100"/>
      <c r="V2744" s="100"/>
      <c r="Y2744" s="100"/>
    </row>
    <row r="2745">
      <c r="R2745" s="100"/>
      <c r="V2745" s="100"/>
      <c r="Y2745" s="100"/>
    </row>
    <row r="2746">
      <c r="R2746" s="100"/>
      <c r="V2746" s="100"/>
      <c r="Y2746" s="100"/>
    </row>
    <row r="2747">
      <c r="R2747" s="100"/>
      <c r="V2747" s="100"/>
      <c r="Y2747" s="100"/>
    </row>
    <row r="2748">
      <c r="R2748" s="100"/>
      <c r="V2748" s="100"/>
      <c r="Y2748" s="100"/>
    </row>
    <row r="2749">
      <c r="R2749" s="100"/>
      <c r="V2749" s="100"/>
      <c r="Y2749" s="100"/>
    </row>
    <row r="2750">
      <c r="R2750" s="100"/>
      <c r="V2750" s="100"/>
      <c r="Y2750" s="100"/>
    </row>
    <row r="2751">
      <c r="R2751" s="100"/>
      <c r="V2751" s="100"/>
      <c r="Y2751" s="100"/>
    </row>
    <row r="2752">
      <c r="R2752" s="100"/>
      <c r="V2752" s="100"/>
      <c r="Y2752" s="100"/>
    </row>
    <row r="2753">
      <c r="R2753" s="100"/>
      <c r="V2753" s="100"/>
      <c r="Y2753" s="100"/>
    </row>
    <row r="2754">
      <c r="R2754" s="100"/>
      <c r="V2754" s="100"/>
      <c r="Y2754" s="100"/>
    </row>
    <row r="2755">
      <c r="R2755" s="100"/>
      <c r="V2755" s="100"/>
      <c r="Y2755" s="100"/>
    </row>
    <row r="2756">
      <c r="R2756" s="100"/>
      <c r="V2756" s="100"/>
      <c r="Y2756" s="100"/>
    </row>
    <row r="2757">
      <c r="R2757" s="100"/>
      <c r="V2757" s="100"/>
      <c r="Y2757" s="100"/>
    </row>
    <row r="2758">
      <c r="R2758" s="100"/>
      <c r="V2758" s="100"/>
      <c r="Y2758" s="100"/>
    </row>
    <row r="2759">
      <c r="R2759" s="100"/>
      <c r="V2759" s="100"/>
      <c r="Y2759" s="100"/>
    </row>
    <row r="2760">
      <c r="R2760" s="100"/>
      <c r="V2760" s="100"/>
      <c r="Y2760" s="100"/>
    </row>
    <row r="2761">
      <c r="R2761" s="100"/>
      <c r="V2761" s="100"/>
      <c r="Y2761" s="100"/>
    </row>
    <row r="2762">
      <c r="R2762" s="100"/>
      <c r="V2762" s="100"/>
      <c r="Y2762" s="100"/>
    </row>
    <row r="2763">
      <c r="R2763" s="100"/>
      <c r="V2763" s="100"/>
      <c r="Y2763" s="100"/>
    </row>
    <row r="2764">
      <c r="R2764" s="100"/>
      <c r="V2764" s="100"/>
      <c r="Y2764" s="100"/>
    </row>
    <row r="2765">
      <c r="R2765" s="100"/>
      <c r="V2765" s="100"/>
      <c r="Y2765" s="100"/>
    </row>
    <row r="2766">
      <c r="R2766" s="100"/>
      <c r="V2766" s="100"/>
      <c r="Y2766" s="100"/>
    </row>
    <row r="2767">
      <c r="R2767" s="100"/>
      <c r="V2767" s="100"/>
      <c r="Y2767" s="100"/>
    </row>
    <row r="2768">
      <c r="R2768" s="100"/>
      <c r="V2768" s="100"/>
      <c r="Y2768" s="100"/>
    </row>
    <row r="2769">
      <c r="R2769" s="100"/>
      <c r="V2769" s="100"/>
      <c r="Y2769" s="100"/>
    </row>
    <row r="2770">
      <c r="R2770" s="100"/>
      <c r="V2770" s="100"/>
      <c r="Y2770" s="100"/>
    </row>
    <row r="2771">
      <c r="R2771" s="100"/>
      <c r="V2771" s="100"/>
      <c r="Y2771" s="100"/>
    </row>
    <row r="2772">
      <c r="R2772" s="100"/>
      <c r="V2772" s="100"/>
      <c r="Y2772" s="100"/>
    </row>
    <row r="2773">
      <c r="R2773" s="100"/>
      <c r="V2773" s="100"/>
      <c r="Y2773" s="100"/>
    </row>
    <row r="2774">
      <c r="R2774" s="100"/>
      <c r="V2774" s="100"/>
      <c r="Y2774" s="100"/>
    </row>
    <row r="2775">
      <c r="R2775" s="100"/>
      <c r="V2775" s="100"/>
      <c r="Y2775" s="100"/>
    </row>
    <row r="2776">
      <c r="R2776" s="100"/>
      <c r="V2776" s="100"/>
      <c r="Y2776" s="100"/>
    </row>
    <row r="2777">
      <c r="R2777" s="100"/>
      <c r="V2777" s="100"/>
      <c r="Y2777" s="100"/>
    </row>
    <row r="2778">
      <c r="R2778" s="100"/>
      <c r="V2778" s="100"/>
      <c r="Y2778" s="100"/>
    </row>
    <row r="2779">
      <c r="R2779" s="100"/>
      <c r="V2779" s="100"/>
      <c r="Y2779" s="100"/>
    </row>
    <row r="2780">
      <c r="R2780" s="100"/>
      <c r="V2780" s="100"/>
      <c r="Y2780" s="100"/>
    </row>
    <row r="2781">
      <c r="R2781" s="100"/>
      <c r="V2781" s="100"/>
      <c r="Y2781" s="100"/>
    </row>
    <row r="2782">
      <c r="R2782" s="100"/>
      <c r="V2782" s="100"/>
      <c r="Y2782" s="100"/>
    </row>
    <row r="2783">
      <c r="R2783" s="100"/>
      <c r="V2783" s="100"/>
      <c r="Y2783" s="100"/>
    </row>
    <row r="2784">
      <c r="R2784" s="100"/>
      <c r="V2784" s="100"/>
      <c r="Y2784" s="100"/>
    </row>
    <row r="2785">
      <c r="R2785" s="100"/>
      <c r="V2785" s="100"/>
      <c r="Y2785" s="100"/>
    </row>
    <row r="2786">
      <c r="R2786" s="100"/>
      <c r="V2786" s="100"/>
      <c r="Y2786" s="100"/>
    </row>
    <row r="2787">
      <c r="R2787" s="100"/>
      <c r="V2787" s="100"/>
      <c r="Y2787" s="100"/>
    </row>
    <row r="2788">
      <c r="R2788" s="100"/>
      <c r="V2788" s="100"/>
      <c r="Y2788" s="100"/>
    </row>
    <row r="2789">
      <c r="R2789" s="100"/>
      <c r="V2789" s="100"/>
      <c r="Y2789" s="100"/>
    </row>
    <row r="2790">
      <c r="R2790" s="100"/>
      <c r="V2790" s="100"/>
      <c r="Y2790" s="100"/>
    </row>
    <row r="2791">
      <c r="R2791" s="100"/>
      <c r="V2791" s="100"/>
      <c r="Y2791" s="100"/>
    </row>
    <row r="2792">
      <c r="R2792" s="100"/>
      <c r="V2792" s="100"/>
      <c r="Y2792" s="100"/>
    </row>
    <row r="2793">
      <c r="R2793" s="100"/>
      <c r="V2793" s="100"/>
      <c r="Y2793" s="100"/>
    </row>
    <row r="2794">
      <c r="R2794" s="100"/>
      <c r="V2794" s="100"/>
      <c r="Y2794" s="100"/>
    </row>
    <row r="2795">
      <c r="R2795" s="100"/>
      <c r="V2795" s="100"/>
      <c r="Y2795" s="100"/>
    </row>
    <row r="2796">
      <c r="R2796" s="100"/>
      <c r="V2796" s="100"/>
      <c r="Y2796" s="100"/>
    </row>
    <row r="2797">
      <c r="R2797" s="100"/>
      <c r="V2797" s="100"/>
      <c r="Y2797" s="100"/>
    </row>
    <row r="2798">
      <c r="R2798" s="100"/>
      <c r="V2798" s="100"/>
      <c r="Y2798" s="100"/>
    </row>
    <row r="2799">
      <c r="R2799" s="100"/>
      <c r="V2799" s="100"/>
      <c r="Y2799" s="100"/>
    </row>
    <row r="2800">
      <c r="R2800" s="100"/>
      <c r="V2800" s="100"/>
      <c r="Y2800" s="100"/>
    </row>
    <row r="2801">
      <c r="R2801" s="100"/>
      <c r="V2801" s="100"/>
      <c r="Y2801" s="100"/>
    </row>
    <row r="2802">
      <c r="R2802" s="100"/>
      <c r="V2802" s="100"/>
      <c r="Y2802" s="100"/>
    </row>
    <row r="2803">
      <c r="R2803" s="100"/>
      <c r="V2803" s="100"/>
      <c r="Y2803" s="100"/>
    </row>
    <row r="2804">
      <c r="R2804" s="100"/>
      <c r="V2804" s="100"/>
      <c r="Y2804" s="100"/>
    </row>
    <row r="2805">
      <c r="R2805" s="100"/>
      <c r="V2805" s="100"/>
      <c r="Y2805" s="100"/>
    </row>
    <row r="2806">
      <c r="R2806" s="100"/>
      <c r="V2806" s="100"/>
      <c r="Y2806" s="100"/>
    </row>
    <row r="2807">
      <c r="R2807" s="100"/>
      <c r="V2807" s="100"/>
      <c r="Y2807" s="100"/>
    </row>
    <row r="2808">
      <c r="R2808" s="100"/>
      <c r="V2808" s="100"/>
      <c r="Y2808" s="100"/>
    </row>
    <row r="2809">
      <c r="R2809" s="100"/>
      <c r="V2809" s="100"/>
      <c r="Y2809" s="100"/>
    </row>
    <row r="2810">
      <c r="R2810" s="100"/>
      <c r="V2810" s="100"/>
      <c r="Y2810" s="100"/>
    </row>
    <row r="2811">
      <c r="R2811" s="100"/>
      <c r="V2811" s="100"/>
      <c r="Y2811" s="100"/>
    </row>
    <row r="2812">
      <c r="R2812" s="100"/>
      <c r="V2812" s="100"/>
      <c r="Y2812" s="100"/>
    </row>
    <row r="2813">
      <c r="R2813" s="100"/>
      <c r="V2813" s="100"/>
      <c r="Y2813" s="100"/>
    </row>
    <row r="2814">
      <c r="R2814" s="100"/>
      <c r="V2814" s="100"/>
      <c r="Y2814" s="100"/>
    </row>
    <row r="2815">
      <c r="R2815" s="100"/>
      <c r="V2815" s="100"/>
      <c r="Y2815" s="100"/>
    </row>
    <row r="2816">
      <c r="R2816" s="100"/>
      <c r="V2816" s="100"/>
      <c r="Y2816" s="100"/>
    </row>
    <row r="2817">
      <c r="R2817" s="100"/>
      <c r="V2817" s="100"/>
      <c r="Y2817" s="100"/>
    </row>
    <row r="2818">
      <c r="R2818" s="100"/>
      <c r="V2818" s="100"/>
      <c r="Y2818" s="100"/>
    </row>
    <row r="2819">
      <c r="R2819" s="100"/>
      <c r="V2819" s="100"/>
      <c r="Y2819" s="100"/>
    </row>
    <row r="2820">
      <c r="R2820" s="100"/>
      <c r="V2820" s="100"/>
      <c r="Y2820" s="100"/>
    </row>
    <row r="2821">
      <c r="R2821" s="100"/>
      <c r="V2821" s="100"/>
      <c r="Y2821" s="100"/>
    </row>
    <row r="2822">
      <c r="R2822" s="100"/>
      <c r="V2822" s="100"/>
      <c r="Y2822" s="100"/>
    </row>
    <row r="2823">
      <c r="R2823" s="100"/>
      <c r="V2823" s="100"/>
      <c r="Y2823" s="100"/>
    </row>
    <row r="2824">
      <c r="R2824" s="100"/>
      <c r="V2824" s="100"/>
      <c r="Y2824" s="100"/>
    </row>
    <row r="2825">
      <c r="R2825" s="100"/>
      <c r="V2825" s="100"/>
      <c r="Y2825" s="100"/>
    </row>
    <row r="2826">
      <c r="R2826" s="100"/>
      <c r="V2826" s="100"/>
      <c r="Y2826" s="100"/>
    </row>
    <row r="2827">
      <c r="R2827" s="100"/>
      <c r="V2827" s="100"/>
      <c r="Y2827" s="100"/>
    </row>
    <row r="2828">
      <c r="R2828" s="100"/>
      <c r="V2828" s="100"/>
      <c r="Y2828" s="100"/>
    </row>
    <row r="2829">
      <c r="R2829" s="100"/>
      <c r="V2829" s="100"/>
      <c r="Y2829" s="100"/>
    </row>
    <row r="2830">
      <c r="R2830" s="100"/>
      <c r="V2830" s="100"/>
      <c r="Y2830" s="100"/>
    </row>
    <row r="2831">
      <c r="R2831" s="100"/>
      <c r="V2831" s="100"/>
      <c r="Y2831" s="100"/>
    </row>
    <row r="2832">
      <c r="R2832" s="100"/>
      <c r="V2832" s="100"/>
      <c r="Y2832" s="100"/>
    </row>
    <row r="2833">
      <c r="R2833" s="100"/>
      <c r="V2833" s="100"/>
      <c r="Y2833" s="100"/>
    </row>
    <row r="2834">
      <c r="R2834" s="100"/>
      <c r="V2834" s="100"/>
      <c r="Y2834" s="100"/>
    </row>
    <row r="2835">
      <c r="R2835" s="100"/>
      <c r="V2835" s="100"/>
      <c r="Y2835" s="100"/>
    </row>
    <row r="2836">
      <c r="R2836" s="100"/>
      <c r="V2836" s="100"/>
      <c r="Y2836" s="100"/>
    </row>
    <row r="2837">
      <c r="R2837" s="100"/>
      <c r="V2837" s="100"/>
      <c r="Y2837" s="100"/>
    </row>
    <row r="2838">
      <c r="R2838" s="100"/>
      <c r="V2838" s="100"/>
      <c r="Y2838" s="100"/>
    </row>
    <row r="2839">
      <c r="R2839" s="100"/>
      <c r="V2839" s="100"/>
      <c r="Y2839" s="100"/>
    </row>
    <row r="2840">
      <c r="R2840" s="100"/>
      <c r="V2840" s="100"/>
      <c r="Y2840" s="100"/>
    </row>
    <row r="2841">
      <c r="R2841" s="100"/>
      <c r="V2841" s="100"/>
      <c r="Y2841" s="100"/>
    </row>
    <row r="2842">
      <c r="R2842" s="100"/>
      <c r="V2842" s="100"/>
      <c r="Y2842" s="100"/>
    </row>
    <row r="2843">
      <c r="R2843" s="100"/>
      <c r="V2843" s="100"/>
      <c r="Y2843" s="100"/>
    </row>
    <row r="2844">
      <c r="R2844" s="100"/>
      <c r="V2844" s="100"/>
      <c r="Y2844" s="100"/>
    </row>
    <row r="2845">
      <c r="R2845" s="100"/>
      <c r="V2845" s="100"/>
      <c r="Y2845" s="100"/>
    </row>
    <row r="2846">
      <c r="R2846" s="100"/>
      <c r="V2846" s="100"/>
      <c r="Y2846" s="100"/>
    </row>
    <row r="2847">
      <c r="R2847" s="100"/>
      <c r="V2847" s="100"/>
      <c r="Y2847" s="100"/>
    </row>
    <row r="2848">
      <c r="R2848" s="100"/>
      <c r="V2848" s="100"/>
      <c r="Y2848" s="100"/>
    </row>
    <row r="2849">
      <c r="R2849" s="100"/>
      <c r="V2849" s="100"/>
      <c r="Y2849" s="100"/>
    </row>
    <row r="2850">
      <c r="R2850" s="100"/>
      <c r="V2850" s="100"/>
      <c r="Y2850" s="100"/>
    </row>
    <row r="2851">
      <c r="R2851" s="100"/>
      <c r="V2851" s="100"/>
      <c r="Y2851" s="100"/>
    </row>
    <row r="2852">
      <c r="R2852" s="100"/>
      <c r="V2852" s="100"/>
      <c r="Y2852" s="100"/>
    </row>
    <row r="2853">
      <c r="R2853" s="100"/>
      <c r="V2853" s="100"/>
      <c r="Y2853" s="100"/>
    </row>
    <row r="2854">
      <c r="R2854" s="100"/>
      <c r="V2854" s="100"/>
      <c r="Y2854" s="100"/>
    </row>
    <row r="2855">
      <c r="R2855" s="100"/>
      <c r="V2855" s="100"/>
      <c r="Y2855" s="100"/>
    </row>
    <row r="2856">
      <c r="R2856" s="100"/>
      <c r="V2856" s="100"/>
      <c r="Y2856" s="100"/>
    </row>
    <row r="2857">
      <c r="R2857" s="100"/>
      <c r="V2857" s="100"/>
      <c r="Y2857" s="100"/>
    </row>
    <row r="2858">
      <c r="R2858" s="100"/>
      <c r="V2858" s="100"/>
      <c r="Y2858" s="100"/>
    </row>
    <row r="2859">
      <c r="R2859" s="100"/>
      <c r="V2859" s="100"/>
      <c r="Y2859" s="100"/>
    </row>
    <row r="2860">
      <c r="R2860" s="100"/>
      <c r="V2860" s="100"/>
      <c r="Y2860" s="100"/>
    </row>
    <row r="2861">
      <c r="R2861" s="100"/>
      <c r="V2861" s="100"/>
      <c r="Y2861" s="100"/>
    </row>
    <row r="2862">
      <c r="R2862" s="100"/>
      <c r="V2862" s="100"/>
      <c r="Y2862" s="100"/>
    </row>
    <row r="2863">
      <c r="R2863" s="100"/>
      <c r="V2863" s="100"/>
      <c r="Y2863" s="100"/>
    </row>
    <row r="2864">
      <c r="R2864" s="100"/>
      <c r="V2864" s="100"/>
      <c r="Y2864" s="100"/>
    </row>
    <row r="2865">
      <c r="R2865" s="100"/>
      <c r="V2865" s="100"/>
      <c r="Y2865" s="100"/>
    </row>
    <row r="2866">
      <c r="R2866" s="100"/>
      <c r="V2866" s="100"/>
      <c r="Y2866" s="100"/>
    </row>
    <row r="2867">
      <c r="R2867" s="100"/>
      <c r="V2867" s="100"/>
      <c r="Y2867" s="100"/>
    </row>
    <row r="2868">
      <c r="R2868" s="100"/>
      <c r="V2868" s="100"/>
      <c r="Y2868" s="100"/>
    </row>
    <row r="2869">
      <c r="R2869" s="100"/>
      <c r="V2869" s="100"/>
      <c r="Y2869" s="100"/>
    </row>
    <row r="2870">
      <c r="R2870" s="100"/>
      <c r="V2870" s="100"/>
      <c r="Y2870" s="100"/>
    </row>
    <row r="2871">
      <c r="R2871" s="100"/>
      <c r="V2871" s="100"/>
      <c r="Y2871" s="100"/>
    </row>
    <row r="2872">
      <c r="R2872" s="100"/>
      <c r="V2872" s="100"/>
      <c r="Y2872" s="100"/>
    </row>
    <row r="2873">
      <c r="R2873" s="100"/>
      <c r="V2873" s="100"/>
      <c r="Y2873" s="100"/>
    </row>
    <row r="2874">
      <c r="R2874" s="100"/>
      <c r="V2874" s="100"/>
      <c r="Y2874" s="100"/>
    </row>
    <row r="2875">
      <c r="R2875" s="100"/>
      <c r="V2875" s="100"/>
      <c r="Y2875" s="100"/>
    </row>
    <row r="2876">
      <c r="R2876" s="100"/>
      <c r="V2876" s="100"/>
      <c r="Y2876" s="100"/>
    </row>
    <row r="2877">
      <c r="R2877" s="100"/>
      <c r="V2877" s="100"/>
      <c r="Y2877" s="100"/>
    </row>
    <row r="2878">
      <c r="R2878" s="100"/>
      <c r="V2878" s="100"/>
      <c r="Y2878" s="100"/>
    </row>
    <row r="2879">
      <c r="R2879" s="100"/>
      <c r="V2879" s="100"/>
      <c r="Y2879" s="100"/>
    </row>
    <row r="2880">
      <c r="R2880" s="100"/>
      <c r="V2880" s="100"/>
      <c r="Y2880" s="100"/>
    </row>
    <row r="2881">
      <c r="R2881" s="100"/>
      <c r="V2881" s="100"/>
      <c r="Y2881" s="100"/>
    </row>
    <row r="2882">
      <c r="R2882" s="100"/>
      <c r="V2882" s="100"/>
      <c r="Y2882" s="100"/>
    </row>
    <row r="2883">
      <c r="R2883" s="100"/>
      <c r="V2883" s="100"/>
      <c r="Y2883" s="100"/>
    </row>
    <row r="2884">
      <c r="R2884" s="100"/>
      <c r="V2884" s="100"/>
      <c r="Y2884" s="100"/>
    </row>
    <row r="2885">
      <c r="R2885" s="100"/>
      <c r="V2885" s="100"/>
      <c r="Y2885" s="100"/>
    </row>
    <row r="2886">
      <c r="R2886" s="100"/>
      <c r="V2886" s="100"/>
      <c r="Y2886" s="100"/>
    </row>
    <row r="2887">
      <c r="R2887" s="100"/>
      <c r="V2887" s="100"/>
      <c r="Y2887" s="100"/>
    </row>
    <row r="2888">
      <c r="R2888" s="100"/>
      <c r="V2888" s="100"/>
      <c r="Y2888" s="100"/>
    </row>
    <row r="2889">
      <c r="R2889" s="100"/>
      <c r="V2889" s="100"/>
      <c r="Y2889" s="100"/>
    </row>
    <row r="2890">
      <c r="R2890" s="100"/>
      <c r="V2890" s="100"/>
      <c r="Y2890" s="100"/>
    </row>
    <row r="2891">
      <c r="R2891" s="100"/>
      <c r="V2891" s="100"/>
      <c r="Y2891" s="100"/>
    </row>
    <row r="2892">
      <c r="R2892" s="100"/>
      <c r="V2892" s="100"/>
      <c r="Y2892" s="100"/>
    </row>
    <row r="2893">
      <c r="R2893" s="100"/>
      <c r="V2893" s="100"/>
      <c r="Y2893" s="100"/>
    </row>
    <row r="2894">
      <c r="R2894" s="100"/>
      <c r="V2894" s="100"/>
      <c r="Y2894" s="100"/>
    </row>
    <row r="2895">
      <c r="R2895" s="100"/>
      <c r="V2895" s="100"/>
      <c r="Y2895" s="100"/>
    </row>
    <row r="2896">
      <c r="R2896" s="100"/>
      <c r="V2896" s="100"/>
      <c r="Y2896" s="100"/>
    </row>
    <row r="2897">
      <c r="R2897" s="100"/>
      <c r="V2897" s="100"/>
      <c r="Y2897" s="100"/>
    </row>
    <row r="2898">
      <c r="R2898" s="100"/>
      <c r="V2898" s="100"/>
      <c r="Y2898" s="100"/>
    </row>
    <row r="2899">
      <c r="R2899" s="100"/>
      <c r="V2899" s="100"/>
      <c r="Y2899" s="100"/>
    </row>
    <row r="2900">
      <c r="R2900" s="100"/>
      <c r="V2900" s="100"/>
      <c r="Y2900" s="100"/>
    </row>
    <row r="2901">
      <c r="R2901" s="100"/>
      <c r="V2901" s="100"/>
      <c r="Y2901" s="100"/>
    </row>
    <row r="2902">
      <c r="R2902" s="100"/>
      <c r="V2902" s="100"/>
      <c r="Y2902" s="100"/>
    </row>
    <row r="2903">
      <c r="R2903" s="100"/>
      <c r="V2903" s="100"/>
      <c r="Y2903" s="100"/>
    </row>
    <row r="2904">
      <c r="R2904" s="100"/>
      <c r="V2904" s="100"/>
      <c r="Y2904" s="100"/>
    </row>
    <row r="2905">
      <c r="R2905" s="100"/>
      <c r="V2905" s="100"/>
      <c r="Y2905" s="100"/>
    </row>
    <row r="2906">
      <c r="R2906" s="100"/>
      <c r="V2906" s="100"/>
      <c r="Y2906" s="100"/>
    </row>
    <row r="2907">
      <c r="R2907" s="100"/>
      <c r="V2907" s="100"/>
      <c r="Y2907" s="100"/>
    </row>
    <row r="2908">
      <c r="R2908" s="100"/>
      <c r="V2908" s="100"/>
      <c r="Y2908" s="100"/>
    </row>
    <row r="2909">
      <c r="R2909" s="100"/>
      <c r="V2909" s="100"/>
      <c r="Y2909" s="100"/>
    </row>
    <row r="2910">
      <c r="R2910" s="100"/>
      <c r="V2910" s="100"/>
      <c r="Y2910" s="100"/>
    </row>
    <row r="2911">
      <c r="R2911" s="100"/>
      <c r="V2911" s="100"/>
      <c r="Y2911" s="100"/>
    </row>
    <row r="2912">
      <c r="R2912" s="100"/>
      <c r="V2912" s="100"/>
      <c r="Y2912" s="100"/>
    </row>
    <row r="2913">
      <c r="R2913" s="100"/>
      <c r="V2913" s="100"/>
      <c r="Y2913" s="100"/>
    </row>
    <row r="2914">
      <c r="R2914" s="100"/>
      <c r="V2914" s="100"/>
      <c r="Y2914" s="100"/>
    </row>
    <row r="2915">
      <c r="R2915" s="100"/>
      <c r="V2915" s="100"/>
      <c r="Y2915" s="100"/>
    </row>
    <row r="2916">
      <c r="R2916" s="100"/>
      <c r="V2916" s="100"/>
      <c r="Y2916" s="100"/>
    </row>
    <row r="2917">
      <c r="R2917" s="100"/>
      <c r="V2917" s="100"/>
      <c r="Y2917" s="100"/>
    </row>
    <row r="2918">
      <c r="R2918" s="100"/>
      <c r="V2918" s="100"/>
      <c r="Y2918" s="100"/>
    </row>
    <row r="2919">
      <c r="R2919" s="100"/>
      <c r="V2919" s="100"/>
      <c r="Y2919" s="100"/>
    </row>
    <row r="2920">
      <c r="R2920" s="100"/>
      <c r="V2920" s="100"/>
      <c r="Y2920" s="100"/>
    </row>
    <row r="2921">
      <c r="R2921" s="100"/>
      <c r="V2921" s="100"/>
      <c r="Y2921" s="100"/>
    </row>
    <row r="2922">
      <c r="R2922" s="100"/>
      <c r="V2922" s="100"/>
      <c r="Y2922" s="100"/>
    </row>
    <row r="2923">
      <c r="R2923" s="100"/>
      <c r="V2923" s="100"/>
      <c r="Y2923" s="100"/>
    </row>
    <row r="2924">
      <c r="R2924" s="100"/>
      <c r="V2924" s="100"/>
      <c r="Y2924" s="100"/>
    </row>
    <row r="2925">
      <c r="R2925" s="100"/>
      <c r="V2925" s="100"/>
      <c r="Y2925" s="100"/>
    </row>
    <row r="2926">
      <c r="R2926" s="100"/>
      <c r="V2926" s="100"/>
      <c r="Y2926" s="100"/>
    </row>
    <row r="2927">
      <c r="R2927" s="100"/>
      <c r="V2927" s="100"/>
      <c r="Y2927" s="100"/>
    </row>
    <row r="2928">
      <c r="R2928" s="100"/>
      <c r="V2928" s="100"/>
      <c r="Y2928" s="100"/>
    </row>
    <row r="2929">
      <c r="R2929" s="100"/>
      <c r="V2929" s="100"/>
      <c r="Y2929" s="100"/>
    </row>
    <row r="2930">
      <c r="R2930" s="100"/>
      <c r="V2930" s="100"/>
      <c r="Y2930" s="100"/>
    </row>
    <row r="2931">
      <c r="R2931" s="100"/>
      <c r="V2931" s="100"/>
      <c r="Y2931" s="100"/>
    </row>
    <row r="2932">
      <c r="R2932" s="100"/>
      <c r="V2932" s="100"/>
      <c r="Y2932" s="100"/>
    </row>
    <row r="2933">
      <c r="R2933" s="100"/>
      <c r="V2933" s="100"/>
      <c r="Y2933" s="100"/>
    </row>
    <row r="2934">
      <c r="R2934" s="100"/>
      <c r="V2934" s="100"/>
      <c r="Y2934" s="100"/>
    </row>
    <row r="2935">
      <c r="R2935" s="100"/>
      <c r="V2935" s="100"/>
      <c r="Y2935" s="100"/>
    </row>
    <row r="2936">
      <c r="R2936" s="100"/>
      <c r="V2936" s="100"/>
      <c r="Y2936" s="100"/>
    </row>
    <row r="2937">
      <c r="R2937" s="100"/>
      <c r="V2937" s="100"/>
      <c r="Y2937" s="100"/>
    </row>
    <row r="2938">
      <c r="R2938" s="100"/>
      <c r="V2938" s="100"/>
      <c r="Y2938" s="100"/>
    </row>
    <row r="2939">
      <c r="R2939" s="100"/>
      <c r="V2939" s="100"/>
      <c r="Y2939" s="100"/>
    </row>
    <row r="2940">
      <c r="R2940" s="100"/>
      <c r="V2940" s="100"/>
      <c r="Y2940" s="100"/>
    </row>
    <row r="2941">
      <c r="R2941" s="100"/>
      <c r="V2941" s="100"/>
      <c r="Y2941" s="100"/>
    </row>
    <row r="2942">
      <c r="R2942" s="100"/>
      <c r="V2942" s="100"/>
      <c r="Y2942" s="100"/>
    </row>
    <row r="2943">
      <c r="R2943" s="100"/>
      <c r="V2943" s="100"/>
      <c r="Y2943" s="100"/>
    </row>
    <row r="2944">
      <c r="R2944" s="100"/>
      <c r="V2944" s="100"/>
      <c r="Y2944" s="100"/>
    </row>
    <row r="2945">
      <c r="R2945" s="100"/>
      <c r="V2945" s="100"/>
      <c r="Y2945" s="100"/>
    </row>
    <row r="2946">
      <c r="R2946" s="100"/>
      <c r="V2946" s="100"/>
      <c r="Y2946" s="100"/>
    </row>
    <row r="2947">
      <c r="R2947" s="100"/>
      <c r="V2947" s="100"/>
      <c r="Y2947" s="100"/>
    </row>
    <row r="2948">
      <c r="R2948" s="100"/>
      <c r="V2948" s="100"/>
      <c r="Y2948" s="100"/>
    </row>
    <row r="2949">
      <c r="R2949" s="100"/>
      <c r="V2949" s="100"/>
      <c r="Y2949" s="100"/>
    </row>
    <row r="2950">
      <c r="R2950" s="100"/>
      <c r="V2950" s="100"/>
      <c r="Y2950" s="100"/>
    </row>
    <row r="2951">
      <c r="R2951" s="100"/>
      <c r="V2951" s="100"/>
      <c r="Y2951" s="100"/>
    </row>
    <row r="2952">
      <c r="R2952" s="100"/>
      <c r="V2952" s="100"/>
      <c r="Y2952" s="100"/>
    </row>
    <row r="2953">
      <c r="R2953" s="100"/>
      <c r="V2953" s="100"/>
      <c r="Y2953" s="100"/>
    </row>
    <row r="2954">
      <c r="R2954" s="100"/>
      <c r="V2954" s="100"/>
      <c r="Y2954" s="100"/>
    </row>
    <row r="2955">
      <c r="R2955" s="100"/>
      <c r="V2955" s="100"/>
      <c r="Y2955" s="100"/>
    </row>
    <row r="2956">
      <c r="R2956" s="100"/>
      <c r="V2956" s="100"/>
      <c r="Y2956" s="100"/>
    </row>
    <row r="2957">
      <c r="R2957" s="100"/>
      <c r="V2957" s="100"/>
      <c r="Y2957" s="100"/>
    </row>
    <row r="2958">
      <c r="R2958" s="100"/>
      <c r="V2958" s="100"/>
      <c r="Y2958" s="100"/>
    </row>
    <row r="2959">
      <c r="R2959" s="100"/>
      <c r="V2959" s="100"/>
      <c r="Y2959" s="100"/>
    </row>
    <row r="2960">
      <c r="R2960" s="100"/>
      <c r="V2960" s="100"/>
      <c r="Y2960" s="100"/>
    </row>
    <row r="2961">
      <c r="R2961" s="100"/>
      <c r="V2961" s="100"/>
      <c r="Y2961" s="100"/>
    </row>
    <row r="2962">
      <c r="R2962" s="100"/>
      <c r="V2962" s="100"/>
      <c r="Y2962" s="100"/>
    </row>
    <row r="2963">
      <c r="R2963" s="100"/>
      <c r="V2963" s="100"/>
      <c r="Y2963" s="100"/>
    </row>
    <row r="2964">
      <c r="R2964" s="100"/>
      <c r="V2964" s="100"/>
      <c r="Y2964" s="100"/>
    </row>
    <row r="2965">
      <c r="R2965" s="100"/>
      <c r="V2965" s="100"/>
      <c r="Y2965" s="100"/>
    </row>
    <row r="2966">
      <c r="R2966" s="100"/>
      <c r="V2966" s="100"/>
      <c r="Y2966" s="100"/>
    </row>
    <row r="2967">
      <c r="R2967" s="100"/>
      <c r="V2967" s="100"/>
      <c r="Y2967" s="100"/>
    </row>
    <row r="2968">
      <c r="R2968" s="100"/>
      <c r="V2968" s="100"/>
      <c r="Y2968" s="100"/>
    </row>
    <row r="2969">
      <c r="R2969" s="100"/>
      <c r="V2969" s="100"/>
      <c r="Y2969" s="100"/>
    </row>
    <row r="2970">
      <c r="R2970" s="100"/>
      <c r="V2970" s="100"/>
      <c r="Y2970" s="100"/>
    </row>
    <row r="2971">
      <c r="R2971" s="100"/>
      <c r="V2971" s="100"/>
      <c r="Y2971" s="100"/>
    </row>
    <row r="2972">
      <c r="R2972" s="100"/>
      <c r="V2972" s="100"/>
      <c r="Y2972" s="100"/>
    </row>
    <row r="2973">
      <c r="R2973" s="100"/>
      <c r="V2973" s="100"/>
      <c r="Y2973" s="100"/>
    </row>
    <row r="2974">
      <c r="R2974" s="100"/>
      <c r="V2974" s="100"/>
      <c r="Y2974" s="100"/>
    </row>
    <row r="2975">
      <c r="R2975" s="100"/>
      <c r="V2975" s="100"/>
      <c r="Y2975" s="100"/>
    </row>
    <row r="2976">
      <c r="R2976" s="100"/>
      <c r="V2976" s="100"/>
      <c r="Y2976" s="100"/>
    </row>
    <row r="2977">
      <c r="R2977" s="100"/>
      <c r="V2977" s="100"/>
      <c r="Y2977" s="100"/>
    </row>
    <row r="2978">
      <c r="R2978" s="100"/>
      <c r="V2978" s="100"/>
      <c r="Y2978" s="100"/>
    </row>
    <row r="2979">
      <c r="R2979" s="100"/>
      <c r="V2979" s="100"/>
      <c r="Y2979" s="100"/>
    </row>
    <row r="2980">
      <c r="R2980" s="100"/>
      <c r="V2980" s="100"/>
      <c r="Y2980" s="100"/>
    </row>
    <row r="2981">
      <c r="R2981" s="100"/>
      <c r="V2981" s="100"/>
      <c r="Y2981" s="100"/>
    </row>
    <row r="2982">
      <c r="R2982" s="100"/>
      <c r="V2982" s="100"/>
      <c r="Y2982" s="100"/>
    </row>
    <row r="2983">
      <c r="R2983" s="100"/>
      <c r="V2983" s="100"/>
      <c r="Y2983" s="100"/>
    </row>
    <row r="2984">
      <c r="R2984" s="100"/>
      <c r="V2984" s="100"/>
      <c r="Y2984" s="100"/>
    </row>
    <row r="2985">
      <c r="R2985" s="100"/>
      <c r="V2985" s="100"/>
      <c r="Y2985" s="100"/>
    </row>
    <row r="2986">
      <c r="R2986" s="100"/>
      <c r="V2986" s="100"/>
      <c r="Y2986" s="100"/>
    </row>
    <row r="2987">
      <c r="R2987" s="100"/>
      <c r="V2987" s="100"/>
      <c r="Y2987" s="100"/>
    </row>
    <row r="2988">
      <c r="R2988" s="100"/>
      <c r="V2988" s="100"/>
      <c r="Y2988" s="100"/>
    </row>
    <row r="2989">
      <c r="R2989" s="100"/>
      <c r="V2989" s="100"/>
      <c r="Y2989" s="100"/>
    </row>
    <row r="2990">
      <c r="R2990" s="100"/>
      <c r="V2990" s="100"/>
      <c r="Y2990" s="100"/>
    </row>
    <row r="2991">
      <c r="R2991" s="100"/>
      <c r="V2991" s="100"/>
      <c r="Y2991" s="100"/>
    </row>
    <row r="2992">
      <c r="R2992" s="100"/>
      <c r="V2992" s="100"/>
      <c r="Y2992" s="100"/>
    </row>
    <row r="2993">
      <c r="R2993" s="100"/>
      <c r="V2993" s="100"/>
      <c r="Y2993" s="100"/>
    </row>
    <row r="2994">
      <c r="R2994" s="100"/>
      <c r="V2994" s="100"/>
      <c r="Y2994" s="100"/>
    </row>
    <row r="2995">
      <c r="R2995" s="100"/>
      <c r="V2995" s="100"/>
      <c r="Y2995" s="100"/>
    </row>
    <row r="2996">
      <c r="R2996" s="100"/>
      <c r="V2996" s="100"/>
      <c r="Y2996" s="100"/>
    </row>
    <row r="2997">
      <c r="R2997" s="100"/>
      <c r="V2997" s="100"/>
      <c r="Y2997" s="100"/>
    </row>
    <row r="2998">
      <c r="R2998" s="100"/>
      <c r="V2998" s="100"/>
      <c r="Y2998" s="100"/>
    </row>
    <row r="2999">
      <c r="R2999" s="100"/>
      <c r="V2999" s="100"/>
      <c r="Y2999" s="100"/>
    </row>
    <row r="3000">
      <c r="R3000" s="100"/>
      <c r="V3000" s="100"/>
      <c r="Y3000" s="100"/>
    </row>
    <row r="3001">
      <c r="R3001" s="100"/>
      <c r="V3001" s="100"/>
      <c r="Y3001" s="100"/>
    </row>
    <row r="3002">
      <c r="R3002" s="100"/>
      <c r="V3002" s="100"/>
      <c r="Y3002" s="100"/>
    </row>
    <row r="3003">
      <c r="R3003" s="100"/>
      <c r="V3003" s="100"/>
      <c r="Y3003" s="100"/>
    </row>
    <row r="3004">
      <c r="R3004" s="100"/>
      <c r="V3004" s="100"/>
      <c r="Y3004" s="100"/>
    </row>
    <row r="3005">
      <c r="R3005" s="100"/>
      <c r="V3005" s="100"/>
      <c r="Y3005" s="100"/>
    </row>
    <row r="3006">
      <c r="R3006" s="100"/>
      <c r="V3006" s="100"/>
      <c r="Y3006" s="100"/>
    </row>
    <row r="3007">
      <c r="R3007" s="100"/>
      <c r="V3007" s="100"/>
      <c r="Y3007" s="100"/>
    </row>
    <row r="3008">
      <c r="R3008" s="100"/>
      <c r="V3008" s="100"/>
      <c r="Y3008" s="100"/>
    </row>
    <row r="3009">
      <c r="R3009" s="100"/>
      <c r="V3009" s="100"/>
      <c r="Y3009" s="100"/>
    </row>
    <row r="3010">
      <c r="R3010" s="100"/>
      <c r="V3010" s="100"/>
      <c r="Y3010" s="100"/>
    </row>
    <row r="3011">
      <c r="R3011" s="100"/>
      <c r="V3011" s="100"/>
      <c r="Y3011" s="100"/>
    </row>
    <row r="3012">
      <c r="R3012" s="100"/>
      <c r="V3012" s="100"/>
      <c r="Y3012" s="100"/>
    </row>
    <row r="3013">
      <c r="R3013" s="100"/>
      <c r="V3013" s="100"/>
      <c r="Y3013" s="100"/>
    </row>
    <row r="3014">
      <c r="R3014" s="100"/>
      <c r="V3014" s="100"/>
      <c r="Y3014" s="100"/>
    </row>
    <row r="3015">
      <c r="R3015" s="100"/>
      <c r="V3015" s="100"/>
      <c r="Y3015" s="100"/>
    </row>
    <row r="3016">
      <c r="R3016" s="100"/>
      <c r="V3016" s="100"/>
      <c r="Y3016" s="100"/>
    </row>
    <row r="3017">
      <c r="R3017" s="100"/>
      <c r="V3017" s="100"/>
      <c r="Y3017" s="100"/>
    </row>
    <row r="3018">
      <c r="R3018" s="100"/>
      <c r="V3018" s="100"/>
      <c r="Y3018" s="100"/>
    </row>
    <row r="3019">
      <c r="R3019" s="100"/>
      <c r="V3019" s="100"/>
      <c r="Y3019" s="100"/>
    </row>
    <row r="3020">
      <c r="R3020" s="100"/>
      <c r="V3020" s="100"/>
      <c r="Y3020" s="100"/>
    </row>
    <row r="3021">
      <c r="R3021" s="100"/>
      <c r="V3021" s="100"/>
      <c r="Y3021" s="100"/>
    </row>
    <row r="3022">
      <c r="R3022" s="100"/>
      <c r="V3022" s="100"/>
      <c r="Y3022" s="100"/>
    </row>
    <row r="3023">
      <c r="R3023" s="100"/>
      <c r="V3023" s="100"/>
      <c r="Y3023" s="100"/>
    </row>
    <row r="3024">
      <c r="R3024" s="100"/>
      <c r="V3024" s="100"/>
      <c r="Y3024" s="100"/>
    </row>
    <row r="3025">
      <c r="R3025" s="100"/>
      <c r="V3025" s="100"/>
      <c r="Y3025" s="100"/>
    </row>
    <row r="3026">
      <c r="R3026" s="100"/>
      <c r="V3026" s="100"/>
      <c r="Y3026" s="100"/>
    </row>
    <row r="3027">
      <c r="R3027" s="100"/>
      <c r="V3027" s="100"/>
      <c r="Y3027" s="100"/>
    </row>
    <row r="3028">
      <c r="R3028" s="100"/>
      <c r="V3028" s="100"/>
      <c r="Y3028" s="100"/>
    </row>
    <row r="3029">
      <c r="R3029" s="100"/>
      <c r="V3029" s="100"/>
      <c r="Y3029" s="100"/>
    </row>
    <row r="3030">
      <c r="R3030" s="100"/>
      <c r="V3030" s="100"/>
      <c r="Y3030" s="100"/>
    </row>
    <row r="3031">
      <c r="R3031" s="100"/>
      <c r="V3031" s="100"/>
      <c r="Y3031" s="100"/>
    </row>
    <row r="3032">
      <c r="R3032" s="100"/>
      <c r="V3032" s="100"/>
      <c r="Y3032" s="100"/>
    </row>
    <row r="3033">
      <c r="R3033" s="100"/>
      <c r="V3033" s="100"/>
      <c r="Y3033" s="100"/>
    </row>
    <row r="3034">
      <c r="R3034" s="100"/>
      <c r="V3034" s="100"/>
      <c r="Y3034" s="100"/>
    </row>
    <row r="3035">
      <c r="R3035" s="100"/>
      <c r="V3035" s="100"/>
      <c r="Y3035" s="100"/>
    </row>
    <row r="3036">
      <c r="R3036" s="100"/>
      <c r="V3036" s="100"/>
      <c r="Y3036" s="100"/>
    </row>
    <row r="3037">
      <c r="R3037" s="100"/>
      <c r="V3037" s="100"/>
      <c r="Y3037" s="100"/>
    </row>
    <row r="3038">
      <c r="R3038" s="100"/>
      <c r="V3038" s="100"/>
      <c r="Y3038" s="100"/>
    </row>
    <row r="3039">
      <c r="R3039" s="100"/>
      <c r="V3039" s="100"/>
      <c r="Y3039" s="100"/>
    </row>
    <row r="3040">
      <c r="R3040" s="100"/>
      <c r="V3040" s="100"/>
      <c r="Y3040" s="100"/>
    </row>
    <row r="3041">
      <c r="R3041" s="100"/>
      <c r="V3041" s="100"/>
      <c r="Y3041" s="100"/>
    </row>
    <row r="3042">
      <c r="R3042" s="100"/>
      <c r="V3042" s="100"/>
      <c r="Y3042" s="100"/>
    </row>
    <row r="3043">
      <c r="R3043" s="100"/>
      <c r="V3043" s="100"/>
      <c r="Y3043" s="100"/>
    </row>
    <row r="3044">
      <c r="R3044" s="100"/>
      <c r="V3044" s="100"/>
      <c r="Y3044" s="100"/>
    </row>
    <row r="3045">
      <c r="R3045" s="100"/>
      <c r="V3045" s="100"/>
      <c r="Y3045" s="100"/>
    </row>
    <row r="3046">
      <c r="R3046" s="100"/>
      <c r="V3046" s="100"/>
      <c r="Y3046" s="100"/>
    </row>
    <row r="3047">
      <c r="R3047" s="100"/>
      <c r="V3047" s="100"/>
      <c r="Y3047" s="100"/>
    </row>
    <row r="3048">
      <c r="R3048" s="100"/>
      <c r="V3048" s="100"/>
      <c r="Y3048" s="100"/>
    </row>
    <row r="3049">
      <c r="R3049" s="100"/>
      <c r="V3049" s="100"/>
      <c r="Y3049" s="100"/>
    </row>
    <row r="3050">
      <c r="R3050" s="100"/>
      <c r="V3050" s="100"/>
      <c r="Y3050" s="100"/>
    </row>
    <row r="3051">
      <c r="R3051" s="100"/>
      <c r="V3051" s="100"/>
      <c r="Y3051" s="100"/>
    </row>
    <row r="3052">
      <c r="R3052" s="100"/>
      <c r="V3052" s="100"/>
      <c r="Y3052" s="100"/>
    </row>
    <row r="3053">
      <c r="R3053" s="100"/>
      <c r="V3053" s="100"/>
      <c r="Y3053" s="100"/>
    </row>
    <row r="3054">
      <c r="R3054" s="100"/>
      <c r="V3054" s="100"/>
      <c r="Y3054" s="100"/>
    </row>
    <row r="3055">
      <c r="R3055" s="100"/>
      <c r="V3055" s="100"/>
      <c r="Y3055" s="100"/>
    </row>
    <row r="3056">
      <c r="R3056" s="100"/>
      <c r="V3056" s="100"/>
      <c r="Y3056" s="100"/>
    </row>
    <row r="3057">
      <c r="R3057" s="100"/>
      <c r="V3057" s="100"/>
      <c r="Y3057" s="100"/>
    </row>
    <row r="3058">
      <c r="R3058" s="100"/>
      <c r="V3058" s="100"/>
      <c r="Y3058" s="100"/>
    </row>
    <row r="3059">
      <c r="R3059" s="100"/>
      <c r="V3059" s="100"/>
      <c r="Y3059" s="100"/>
    </row>
    <row r="3060">
      <c r="R3060" s="100"/>
      <c r="V3060" s="100"/>
      <c r="Y3060" s="100"/>
    </row>
    <row r="3061">
      <c r="R3061" s="100"/>
      <c r="V3061" s="100"/>
      <c r="Y3061" s="100"/>
    </row>
    <row r="3062">
      <c r="R3062" s="100"/>
      <c r="V3062" s="100"/>
      <c r="Y3062" s="100"/>
    </row>
    <row r="3063">
      <c r="R3063" s="100"/>
      <c r="V3063" s="100"/>
      <c r="Y3063" s="100"/>
    </row>
    <row r="3064">
      <c r="R3064" s="100"/>
      <c r="V3064" s="100"/>
      <c r="Y3064" s="100"/>
    </row>
    <row r="3065">
      <c r="R3065" s="100"/>
      <c r="V3065" s="100"/>
      <c r="Y3065" s="100"/>
    </row>
    <row r="3066">
      <c r="R3066" s="100"/>
      <c r="V3066" s="100"/>
      <c r="Y3066" s="100"/>
    </row>
    <row r="3067">
      <c r="R3067" s="100"/>
      <c r="V3067" s="100"/>
      <c r="Y3067" s="100"/>
    </row>
    <row r="3068">
      <c r="R3068" s="100"/>
      <c r="V3068" s="100"/>
      <c r="Y3068" s="100"/>
    </row>
    <row r="3069">
      <c r="R3069" s="100"/>
      <c r="V3069" s="100"/>
      <c r="Y3069" s="100"/>
    </row>
    <row r="3070">
      <c r="R3070" s="100"/>
      <c r="V3070" s="100"/>
      <c r="Y3070" s="100"/>
    </row>
    <row r="3071">
      <c r="R3071" s="100"/>
      <c r="V3071" s="100"/>
      <c r="Y3071" s="100"/>
    </row>
    <row r="3072">
      <c r="R3072" s="100"/>
      <c r="V3072" s="100"/>
      <c r="Y3072" s="100"/>
    </row>
    <row r="3073">
      <c r="R3073" s="100"/>
      <c r="V3073" s="100"/>
      <c r="Y3073" s="100"/>
    </row>
    <row r="3074">
      <c r="R3074" s="100"/>
      <c r="V3074" s="100"/>
      <c r="Y3074" s="100"/>
    </row>
    <row r="3075">
      <c r="R3075" s="100"/>
      <c r="V3075" s="100"/>
      <c r="Y3075" s="100"/>
    </row>
    <row r="3076">
      <c r="R3076" s="100"/>
      <c r="V3076" s="100"/>
      <c r="Y3076" s="100"/>
    </row>
    <row r="3077">
      <c r="R3077" s="100"/>
      <c r="V3077" s="100"/>
      <c r="Y3077" s="100"/>
    </row>
    <row r="3078">
      <c r="R3078" s="100"/>
      <c r="V3078" s="100"/>
      <c r="Y3078" s="100"/>
    </row>
    <row r="3079">
      <c r="R3079" s="100"/>
      <c r="V3079" s="100"/>
      <c r="Y3079" s="100"/>
    </row>
    <row r="3080">
      <c r="R3080" s="100"/>
      <c r="V3080" s="100"/>
      <c r="Y3080" s="100"/>
    </row>
    <row r="3081">
      <c r="R3081" s="100"/>
      <c r="V3081" s="100"/>
      <c r="Y3081" s="100"/>
    </row>
    <row r="3082">
      <c r="R3082" s="100"/>
      <c r="V3082" s="100"/>
      <c r="Y3082" s="100"/>
    </row>
    <row r="3083">
      <c r="R3083" s="100"/>
      <c r="V3083" s="100"/>
      <c r="Y3083" s="100"/>
    </row>
    <row r="3084">
      <c r="R3084" s="100"/>
      <c r="V3084" s="100"/>
      <c r="Y3084" s="100"/>
    </row>
    <row r="3085">
      <c r="R3085" s="100"/>
      <c r="V3085" s="100"/>
      <c r="Y3085" s="100"/>
    </row>
    <row r="3086">
      <c r="R3086" s="100"/>
      <c r="V3086" s="100"/>
      <c r="Y3086" s="100"/>
    </row>
    <row r="3087">
      <c r="R3087" s="100"/>
      <c r="V3087" s="100"/>
      <c r="Y3087" s="100"/>
    </row>
    <row r="3088">
      <c r="R3088" s="100"/>
      <c r="V3088" s="100"/>
      <c r="Y3088" s="100"/>
    </row>
    <row r="3089">
      <c r="R3089" s="100"/>
      <c r="V3089" s="100"/>
      <c r="Y3089" s="100"/>
    </row>
    <row r="3090">
      <c r="R3090" s="100"/>
      <c r="V3090" s="100"/>
      <c r="Y3090" s="100"/>
    </row>
    <row r="3091">
      <c r="R3091" s="100"/>
      <c r="V3091" s="100"/>
      <c r="Y3091" s="100"/>
    </row>
    <row r="3092">
      <c r="R3092" s="100"/>
      <c r="V3092" s="100"/>
      <c r="Y3092" s="100"/>
    </row>
    <row r="3093">
      <c r="R3093" s="100"/>
      <c r="V3093" s="100"/>
      <c r="Y3093" s="100"/>
    </row>
    <row r="3094">
      <c r="R3094" s="100"/>
      <c r="V3094" s="100"/>
      <c r="Y3094" s="100"/>
    </row>
    <row r="3095">
      <c r="R3095" s="100"/>
      <c r="V3095" s="100"/>
      <c r="Y3095" s="100"/>
    </row>
    <row r="3096">
      <c r="R3096" s="100"/>
      <c r="V3096" s="100"/>
      <c r="Y3096" s="100"/>
    </row>
    <row r="3097">
      <c r="R3097" s="100"/>
      <c r="V3097" s="100"/>
      <c r="Y3097" s="100"/>
    </row>
    <row r="3098">
      <c r="R3098" s="100"/>
      <c r="V3098" s="100"/>
      <c r="Y3098" s="100"/>
    </row>
    <row r="3099">
      <c r="R3099" s="100"/>
      <c r="V3099" s="100"/>
      <c r="Y3099" s="100"/>
    </row>
    <row r="3100">
      <c r="R3100" s="100"/>
      <c r="V3100" s="100"/>
      <c r="Y3100" s="100"/>
    </row>
    <row r="3101">
      <c r="R3101" s="100"/>
      <c r="V3101" s="100"/>
      <c r="Y3101" s="100"/>
    </row>
    <row r="3102">
      <c r="R3102" s="100"/>
      <c r="V3102" s="100"/>
      <c r="Y3102" s="100"/>
    </row>
    <row r="3103">
      <c r="R3103" s="100"/>
      <c r="V3103" s="100"/>
      <c r="Y3103" s="100"/>
    </row>
    <row r="3104">
      <c r="R3104" s="100"/>
      <c r="V3104" s="100"/>
      <c r="Y3104" s="100"/>
    </row>
    <row r="3105">
      <c r="R3105" s="100"/>
      <c r="V3105" s="100"/>
      <c r="Y3105" s="100"/>
    </row>
    <row r="3106">
      <c r="R3106" s="100"/>
      <c r="V3106" s="100"/>
      <c r="Y3106" s="100"/>
    </row>
    <row r="3107">
      <c r="R3107" s="100"/>
      <c r="V3107" s="100"/>
      <c r="Y3107" s="100"/>
    </row>
    <row r="3108">
      <c r="R3108" s="100"/>
      <c r="V3108" s="100"/>
      <c r="Y3108" s="100"/>
    </row>
    <row r="3109">
      <c r="R3109" s="100"/>
      <c r="V3109" s="100"/>
      <c r="Y3109" s="100"/>
    </row>
    <row r="3110">
      <c r="R3110" s="100"/>
      <c r="V3110" s="100"/>
      <c r="Y3110" s="100"/>
    </row>
    <row r="3111">
      <c r="R3111" s="100"/>
      <c r="V3111" s="100"/>
      <c r="Y3111" s="100"/>
    </row>
    <row r="3112">
      <c r="R3112" s="100"/>
      <c r="V3112" s="100"/>
      <c r="Y3112" s="100"/>
    </row>
    <row r="3113">
      <c r="R3113" s="100"/>
      <c r="V3113" s="100"/>
      <c r="Y3113" s="100"/>
    </row>
    <row r="3114">
      <c r="R3114" s="100"/>
      <c r="V3114" s="100"/>
      <c r="Y3114" s="100"/>
    </row>
    <row r="3115">
      <c r="R3115" s="100"/>
      <c r="V3115" s="100"/>
      <c r="Y3115" s="100"/>
    </row>
    <row r="3116">
      <c r="R3116" s="100"/>
      <c r="V3116" s="100"/>
      <c r="Y3116" s="100"/>
    </row>
    <row r="3117">
      <c r="R3117" s="100"/>
      <c r="V3117" s="100"/>
      <c r="Y3117" s="100"/>
    </row>
    <row r="3118">
      <c r="R3118" s="100"/>
      <c r="V3118" s="100"/>
      <c r="Y3118" s="100"/>
    </row>
    <row r="3119">
      <c r="R3119" s="100"/>
      <c r="V3119" s="100"/>
      <c r="Y3119" s="100"/>
    </row>
    <row r="3120">
      <c r="R3120" s="100"/>
      <c r="V3120" s="100"/>
      <c r="Y3120" s="100"/>
    </row>
    <row r="3121">
      <c r="R3121" s="100"/>
      <c r="V3121" s="100"/>
      <c r="Y3121" s="100"/>
    </row>
    <row r="3122">
      <c r="R3122" s="100"/>
      <c r="V3122" s="100"/>
      <c r="Y3122" s="100"/>
    </row>
    <row r="3123">
      <c r="R3123" s="100"/>
      <c r="V3123" s="100"/>
      <c r="Y3123" s="100"/>
    </row>
    <row r="3124">
      <c r="R3124" s="100"/>
      <c r="V3124" s="100"/>
      <c r="Y3124" s="100"/>
    </row>
    <row r="3125">
      <c r="R3125" s="100"/>
      <c r="V3125" s="100"/>
      <c r="Y3125" s="100"/>
    </row>
    <row r="3126">
      <c r="R3126" s="100"/>
      <c r="V3126" s="100"/>
      <c r="Y3126" s="100"/>
    </row>
    <row r="3127">
      <c r="R3127" s="100"/>
      <c r="V3127" s="100"/>
      <c r="Y3127" s="100"/>
    </row>
    <row r="3128">
      <c r="R3128" s="100"/>
      <c r="V3128" s="100"/>
      <c r="Y3128" s="100"/>
    </row>
    <row r="3129">
      <c r="R3129" s="100"/>
      <c r="V3129" s="100"/>
      <c r="Y3129" s="100"/>
    </row>
    <row r="3130">
      <c r="R3130" s="100"/>
      <c r="V3130" s="100"/>
      <c r="Y3130" s="100"/>
    </row>
    <row r="3131">
      <c r="R3131" s="100"/>
      <c r="V3131" s="100"/>
      <c r="Y3131" s="100"/>
    </row>
    <row r="3132">
      <c r="R3132" s="100"/>
      <c r="V3132" s="100"/>
      <c r="Y3132" s="100"/>
    </row>
    <row r="3133">
      <c r="R3133" s="100"/>
      <c r="V3133" s="100"/>
      <c r="Y3133" s="100"/>
    </row>
    <row r="3134">
      <c r="R3134" s="100"/>
      <c r="V3134" s="100"/>
      <c r="Y3134" s="100"/>
    </row>
    <row r="3135">
      <c r="R3135" s="100"/>
      <c r="V3135" s="100"/>
      <c r="Y3135" s="100"/>
    </row>
    <row r="3136">
      <c r="R3136" s="100"/>
      <c r="V3136" s="100"/>
      <c r="Y3136" s="100"/>
    </row>
    <row r="3137">
      <c r="R3137" s="100"/>
      <c r="V3137" s="100"/>
      <c r="Y3137" s="100"/>
    </row>
    <row r="3138">
      <c r="R3138" s="100"/>
      <c r="V3138" s="100"/>
      <c r="Y3138" s="100"/>
    </row>
    <row r="3139">
      <c r="R3139" s="100"/>
      <c r="V3139" s="100"/>
      <c r="Y3139" s="100"/>
    </row>
    <row r="3140">
      <c r="R3140" s="100"/>
      <c r="V3140" s="100"/>
      <c r="Y3140" s="100"/>
    </row>
    <row r="3141">
      <c r="R3141" s="100"/>
      <c r="V3141" s="100"/>
      <c r="Y3141" s="100"/>
    </row>
    <row r="3142">
      <c r="R3142" s="100"/>
      <c r="V3142" s="100"/>
      <c r="Y3142" s="100"/>
    </row>
    <row r="3143">
      <c r="R3143" s="100"/>
      <c r="V3143" s="100"/>
      <c r="Y3143" s="100"/>
    </row>
    <row r="3144">
      <c r="R3144" s="100"/>
      <c r="V3144" s="100"/>
      <c r="Y3144" s="100"/>
    </row>
    <row r="3145">
      <c r="R3145" s="100"/>
      <c r="V3145" s="100"/>
      <c r="Y3145" s="100"/>
    </row>
    <row r="3146">
      <c r="R3146" s="100"/>
      <c r="V3146" s="100"/>
      <c r="Y3146" s="100"/>
    </row>
    <row r="3147">
      <c r="R3147" s="100"/>
      <c r="V3147" s="100"/>
      <c r="Y3147" s="100"/>
    </row>
    <row r="3148">
      <c r="R3148" s="100"/>
      <c r="V3148" s="100"/>
      <c r="Y3148" s="100"/>
    </row>
    <row r="3149">
      <c r="R3149" s="100"/>
      <c r="V3149" s="100"/>
      <c r="Y3149" s="100"/>
    </row>
    <row r="3150">
      <c r="R3150" s="100"/>
      <c r="V3150" s="100"/>
      <c r="Y3150" s="100"/>
    </row>
    <row r="3151">
      <c r="R3151" s="100"/>
      <c r="V3151" s="100"/>
      <c r="Y3151" s="100"/>
    </row>
    <row r="3152">
      <c r="R3152" s="100"/>
      <c r="V3152" s="100"/>
      <c r="Y3152" s="100"/>
    </row>
    <row r="3153">
      <c r="R3153" s="100"/>
      <c r="V3153" s="100"/>
      <c r="Y3153" s="100"/>
    </row>
    <row r="3154">
      <c r="R3154" s="100"/>
      <c r="V3154" s="100"/>
      <c r="Y3154" s="100"/>
    </row>
    <row r="3155">
      <c r="R3155" s="100"/>
      <c r="V3155" s="100"/>
      <c r="Y3155" s="100"/>
    </row>
    <row r="3156">
      <c r="R3156" s="100"/>
      <c r="V3156" s="100"/>
      <c r="Y3156" s="100"/>
    </row>
    <row r="3157">
      <c r="R3157" s="100"/>
      <c r="V3157" s="100"/>
      <c r="Y3157" s="100"/>
    </row>
    <row r="3158">
      <c r="R3158" s="100"/>
      <c r="V3158" s="100"/>
      <c r="Y3158" s="100"/>
    </row>
    <row r="3159">
      <c r="R3159" s="100"/>
      <c r="V3159" s="100"/>
      <c r="Y3159" s="100"/>
    </row>
    <row r="3160">
      <c r="R3160" s="100"/>
      <c r="V3160" s="100"/>
      <c r="Y3160" s="100"/>
    </row>
    <row r="3161">
      <c r="R3161" s="100"/>
      <c r="V3161" s="100"/>
      <c r="Y3161" s="100"/>
    </row>
    <row r="3162">
      <c r="R3162" s="100"/>
      <c r="V3162" s="100"/>
      <c r="Y3162" s="100"/>
    </row>
    <row r="3163">
      <c r="R3163" s="100"/>
      <c r="V3163" s="100"/>
      <c r="Y3163" s="100"/>
    </row>
    <row r="3164">
      <c r="R3164" s="100"/>
      <c r="V3164" s="100"/>
      <c r="Y3164" s="100"/>
    </row>
    <row r="3165">
      <c r="R3165" s="100"/>
      <c r="V3165" s="100"/>
      <c r="Y3165" s="100"/>
    </row>
    <row r="3166">
      <c r="R3166" s="100"/>
      <c r="V3166" s="100"/>
      <c r="Y3166" s="100"/>
    </row>
    <row r="3167">
      <c r="R3167" s="100"/>
      <c r="V3167" s="100"/>
      <c r="Y3167" s="100"/>
    </row>
    <row r="3168">
      <c r="R3168" s="100"/>
      <c r="V3168" s="100"/>
      <c r="Y3168" s="100"/>
    </row>
    <row r="3169">
      <c r="R3169" s="100"/>
      <c r="V3169" s="100"/>
      <c r="Y3169" s="100"/>
    </row>
    <row r="3170">
      <c r="R3170" s="100"/>
      <c r="V3170" s="100"/>
      <c r="Y3170" s="100"/>
    </row>
    <row r="3171">
      <c r="R3171" s="100"/>
      <c r="V3171" s="100"/>
      <c r="Y3171" s="100"/>
    </row>
    <row r="3172">
      <c r="R3172" s="100"/>
      <c r="V3172" s="100"/>
      <c r="Y3172" s="100"/>
    </row>
    <row r="3173">
      <c r="R3173" s="100"/>
      <c r="V3173" s="100"/>
      <c r="Y3173" s="100"/>
    </row>
    <row r="3174">
      <c r="R3174" s="100"/>
      <c r="V3174" s="100"/>
      <c r="Y3174" s="100"/>
    </row>
    <row r="3175">
      <c r="R3175" s="100"/>
      <c r="V3175" s="100"/>
      <c r="Y3175" s="100"/>
    </row>
    <row r="3176">
      <c r="R3176" s="100"/>
      <c r="V3176" s="100"/>
      <c r="Y3176" s="100"/>
    </row>
    <row r="3177">
      <c r="R3177" s="100"/>
      <c r="V3177" s="100"/>
      <c r="Y3177" s="100"/>
    </row>
    <row r="3178">
      <c r="R3178" s="100"/>
      <c r="V3178" s="100"/>
      <c r="Y3178" s="100"/>
    </row>
    <row r="3179">
      <c r="R3179" s="100"/>
      <c r="V3179" s="100"/>
      <c r="Y3179" s="100"/>
    </row>
    <row r="3180">
      <c r="R3180" s="100"/>
      <c r="V3180" s="100"/>
      <c r="Y3180" s="100"/>
    </row>
    <row r="3181">
      <c r="R3181" s="100"/>
      <c r="V3181" s="100"/>
      <c r="Y3181" s="100"/>
    </row>
    <row r="3182">
      <c r="R3182" s="100"/>
      <c r="V3182" s="100"/>
      <c r="Y3182" s="100"/>
    </row>
    <row r="3183">
      <c r="R3183" s="100"/>
      <c r="V3183" s="100"/>
      <c r="Y3183" s="100"/>
    </row>
    <row r="3184">
      <c r="R3184" s="100"/>
      <c r="V3184" s="100"/>
      <c r="Y3184" s="100"/>
    </row>
    <row r="3185">
      <c r="R3185" s="100"/>
      <c r="V3185" s="100"/>
      <c r="Y3185" s="100"/>
    </row>
    <row r="3186">
      <c r="R3186" s="100"/>
      <c r="V3186" s="100"/>
      <c r="Y3186" s="100"/>
    </row>
    <row r="3187">
      <c r="R3187" s="100"/>
      <c r="V3187" s="100"/>
      <c r="Y3187" s="100"/>
    </row>
    <row r="3188">
      <c r="R3188" s="100"/>
      <c r="V3188" s="100"/>
      <c r="Y3188" s="100"/>
    </row>
    <row r="3189">
      <c r="R3189" s="100"/>
      <c r="V3189" s="100"/>
      <c r="Y3189" s="100"/>
    </row>
    <row r="3190">
      <c r="R3190" s="100"/>
      <c r="V3190" s="100"/>
      <c r="Y3190" s="100"/>
    </row>
    <row r="3191">
      <c r="R3191" s="100"/>
      <c r="V3191" s="100"/>
      <c r="Y3191" s="100"/>
    </row>
    <row r="3192">
      <c r="R3192" s="100"/>
      <c r="V3192" s="100"/>
      <c r="Y3192" s="100"/>
    </row>
    <row r="3193">
      <c r="R3193" s="100"/>
      <c r="V3193" s="100"/>
      <c r="Y3193" s="100"/>
    </row>
    <row r="3194">
      <c r="R3194" s="100"/>
      <c r="V3194" s="100"/>
      <c r="Y3194" s="100"/>
    </row>
    <row r="3195">
      <c r="R3195" s="100"/>
      <c r="V3195" s="100"/>
      <c r="Y3195" s="100"/>
    </row>
    <row r="3196">
      <c r="R3196" s="100"/>
      <c r="V3196" s="100"/>
      <c r="Y3196" s="100"/>
    </row>
    <row r="3197">
      <c r="R3197" s="100"/>
      <c r="V3197" s="100"/>
      <c r="Y3197" s="100"/>
    </row>
    <row r="3198">
      <c r="R3198" s="100"/>
      <c r="V3198" s="100"/>
      <c r="Y3198" s="100"/>
    </row>
    <row r="3199">
      <c r="R3199" s="100"/>
      <c r="V3199" s="100"/>
      <c r="Y3199" s="100"/>
    </row>
    <row r="3200">
      <c r="R3200" s="100"/>
      <c r="V3200" s="100"/>
      <c r="Y3200" s="100"/>
    </row>
    <row r="3201">
      <c r="R3201" s="100"/>
      <c r="V3201" s="100"/>
      <c r="Y3201" s="100"/>
    </row>
    <row r="3202">
      <c r="R3202" s="100"/>
      <c r="V3202" s="100"/>
      <c r="Y3202" s="100"/>
    </row>
    <row r="3203">
      <c r="R3203" s="100"/>
      <c r="V3203" s="100"/>
      <c r="Y3203" s="100"/>
    </row>
    <row r="3204">
      <c r="R3204" s="100"/>
      <c r="V3204" s="100"/>
      <c r="Y3204" s="100"/>
    </row>
    <row r="3205">
      <c r="R3205" s="100"/>
      <c r="V3205" s="100"/>
      <c r="Y3205" s="100"/>
    </row>
    <row r="3206">
      <c r="R3206" s="100"/>
      <c r="V3206" s="100"/>
      <c r="Y3206" s="100"/>
    </row>
    <row r="3207">
      <c r="R3207" s="100"/>
      <c r="V3207" s="100"/>
      <c r="Y3207" s="100"/>
    </row>
    <row r="3208">
      <c r="R3208" s="100"/>
      <c r="V3208" s="100"/>
      <c r="Y3208" s="100"/>
    </row>
    <row r="3209">
      <c r="R3209" s="100"/>
      <c r="V3209" s="100"/>
      <c r="Y3209" s="100"/>
    </row>
    <row r="3210">
      <c r="R3210" s="100"/>
      <c r="V3210" s="100"/>
      <c r="Y3210" s="100"/>
    </row>
    <row r="3211">
      <c r="R3211" s="100"/>
      <c r="V3211" s="100"/>
      <c r="Y3211" s="100"/>
    </row>
    <row r="3212">
      <c r="R3212" s="100"/>
      <c r="V3212" s="100"/>
      <c r="Y3212" s="100"/>
    </row>
    <row r="3213">
      <c r="R3213" s="100"/>
      <c r="V3213" s="100"/>
      <c r="Y3213" s="100"/>
    </row>
    <row r="3214">
      <c r="R3214" s="100"/>
      <c r="V3214" s="100"/>
      <c r="Y3214" s="100"/>
    </row>
    <row r="3215">
      <c r="R3215" s="100"/>
      <c r="V3215" s="100"/>
      <c r="Y3215" s="100"/>
    </row>
    <row r="3216">
      <c r="R3216" s="100"/>
      <c r="V3216" s="100"/>
      <c r="Y3216" s="100"/>
    </row>
    <row r="3217">
      <c r="R3217" s="100"/>
      <c r="V3217" s="100"/>
      <c r="Y3217" s="100"/>
    </row>
    <row r="3218">
      <c r="R3218" s="100"/>
      <c r="V3218" s="100"/>
      <c r="Y3218" s="100"/>
    </row>
    <row r="3219">
      <c r="R3219" s="100"/>
      <c r="V3219" s="100"/>
      <c r="Y3219" s="100"/>
    </row>
    <row r="3220">
      <c r="R3220" s="100"/>
      <c r="V3220" s="100"/>
      <c r="Y3220" s="100"/>
    </row>
    <row r="3221">
      <c r="R3221" s="100"/>
      <c r="V3221" s="100"/>
      <c r="Y3221" s="100"/>
    </row>
    <row r="3222">
      <c r="R3222" s="100"/>
      <c r="V3222" s="100"/>
      <c r="Y3222" s="100"/>
    </row>
    <row r="3223">
      <c r="R3223" s="100"/>
      <c r="V3223" s="100"/>
      <c r="Y3223" s="100"/>
    </row>
    <row r="3224">
      <c r="R3224" s="100"/>
      <c r="V3224" s="100"/>
      <c r="Y3224" s="100"/>
    </row>
    <row r="3225">
      <c r="R3225" s="100"/>
      <c r="V3225" s="100"/>
      <c r="Y3225" s="100"/>
    </row>
    <row r="3226">
      <c r="R3226" s="100"/>
      <c r="V3226" s="100"/>
      <c r="Y3226" s="100"/>
    </row>
    <row r="3227">
      <c r="R3227" s="100"/>
      <c r="V3227" s="100"/>
      <c r="Y3227" s="100"/>
    </row>
    <row r="3228">
      <c r="R3228" s="100"/>
      <c r="V3228" s="100"/>
      <c r="Y3228" s="100"/>
    </row>
    <row r="3229">
      <c r="R3229" s="100"/>
      <c r="V3229" s="100"/>
      <c r="Y3229" s="100"/>
    </row>
    <row r="3230">
      <c r="R3230" s="100"/>
      <c r="V3230" s="100"/>
      <c r="Y3230" s="100"/>
    </row>
    <row r="3231">
      <c r="R3231" s="100"/>
      <c r="V3231" s="100"/>
      <c r="Y3231" s="100"/>
    </row>
    <row r="3232">
      <c r="R3232" s="100"/>
      <c r="V3232" s="100"/>
      <c r="Y3232" s="100"/>
    </row>
    <row r="3233">
      <c r="R3233" s="100"/>
      <c r="V3233" s="100"/>
      <c r="Y3233" s="100"/>
    </row>
    <row r="3234">
      <c r="R3234" s="100"/>
      <c r="V3234" s="100"/>
      <c r="Y3234" s="100"/>
    </row>
    <row r="3235">
      <c r="R3235" s="100"/>
      <c r="V3235" s="100"/>
      <c r="Y3235" s="100"/>
    </row>
    <row r="3236">
      <c r="R3236" s="100"/>
      <c r="V3236" s="100"/>
      <c r="Y3236" s="100"/>
    </row>
    <row r="3237">
      <c r="R3237" s="100"/>
      <c r="V3237" s="100"/>
      <c r="Y3237" s="100"/>
    </row>
    <row r="3238">
      <c r="R3238" s="100"/>
      <c r="V3238" s="100"/>
      <c r="Y3238" s="100"/>
    </row>
    <row r="3239">
      <c r="R3239" s="100"/>
      <c r="V3239" s="100"/>
      <c r="Y3239" s="100"/>
    </row>
    <row r="3240">
      <c r="R3240" s="100"/>
      <c r="V3240" s="100"/>
      <c r="Y3240" s="100"/>
    </row>
    <row r="3241">
      <c r="R3241" s="100"/>
      <c r="V3241" s="100"/>
      <c r="Y3241" s="100"/>
    </row>
    <row r="3242">
      <c r="R3242" s="100"/>
      <c r="V3242" s="100"/>
      <c r="Y3242" s="100"/>
    </row>
    <row r="3243">
      <c r="R3243" s="100"/>
      <c r="V3243" s="100"/>
      <c r="Y3243" s="100"/>
    </row>
    <row r="3244">
      <c r="R3244" s="100"/>
      <c r="V3244" s="100"/>
      <c r="Y3244" s="100"/>
    </row>
    <row r="3245">
      <c r="R3245" s="100"/>
      <c r="V3245" s="100"/>
      <c r="Y3245" s="100"/>
    </row>
    <row r="3246">
      <c r="R3246" s="100"/>
      <c r="V3246" s="100"/>
      <c r="Y3246" s="100"/>
    </row>
    <row r="3247">
      <c r="R3247" s="100"/>
      <c r="V3247" s="100"/>
      <c r="Y3247" s="100"/>
    </row>
    <row r="3248">
      <c r="R3248" s="100"/>
      <c r="V3248" s="100"/>
      <c r="Y3248" s="100"/>
    </row>
    <row r="3249">
      <c r="R3249" s="100"/>
      <c r="V3249" s="100"/>
      <c r="Y3249" s="100"/>
    </row>
    <row r="3250">
      <c r="R3250" s="100"/>
      <c r="V3250" s="100"/>
      <c r="Y3250" s="100"/>
    </row>
    <row r="3251">
      <c r="R3251" s="100"/>
      <c r="V3251" s="100"/>
      <c r="Y3251" s="100"/>
    </row>
    <row r="3252">
      <c r="R3252" s="100"/>
      <c r="V3252" s="100"/>
      <c r="Y3252" s="100"/>
    </row>
    <row r="3253">
      <c r="R3253" s="100"/>
      <c r="V3253" s="100"/>
      <c r="Y3253" s="100"/>
    </row>
    <row r="3254">
      <c r="R3254" s="100"/>
      <c r="V3254" s="100"/>
      <c r="Y3254" s="100"/>
    </row>
    <row r="3255">
      <c r="R3255" s="100"/>
      <c r="V3255" s="100"/>
      <c r="Y3255" s="100"/>
    </row>
    <row r="3256">
      <c r="R3256" s="100"/>
      <c r="V3256" s="100"/>
      <c r="Y3256" s="100"/>
    </row>
    <row r="3257">
      <c r="R3257" s="100"/>
      <c r="V3257" s="100"/>
      <c r="Y3257" s="100"/>
    </row>
    <row r="3258">
      <c r="R3258" s="100"/>
      <c r="V3258" s="100"/>
      <c r="Y3258" s="100"/>
    </row>
    <row r="3259">
      <c r="R3259" s="100"/>
      <c r="V3259" s="100"/>
      <c r="Y3259" s="100"/>
    </row>
    <row r="3260">
      <c r="R3260" s="100"/>
      <c r="V3260" s="100"/>
      <c r="Y3260" s="100"/>
    </row>
    <row r="3261">
      <c r="R3261" s="100"/>
      <c r="V3261" s="100"/>
      <c r="Y3261" s="100"/>
    </row>
    <row r="3262">
      <c r="R3262" s="100"/>
      <c r="V3262" s="100"/>
      <c r="Y3262" s="100"/>
    </row>
    <row r="3263">
      <c r="R3263" s="100"/>
      <c r="V3263" s="100"/>
      <c r="Y3263" s="100"/>
    </row>
    <row r="3264">
      <c r="R3264" s="100"/>
      <c r="V3264" s="100"/>
      <c r="Y3264" s="100"/>
    </row>
    <row r="3265">
      <c r="R3265" s="100"/>
      <c r="V3265" s="100"/>
      <c r="Y3265" s="100"/>
    </row>
    <row r="3266">
      <c r="R3266" s="100"/>
      <c r="V3266" s="100"/>
      <c r="Y3266" s="100"/>
    </row>
    <row r="3267">
      <c r="R3267" s="100"/>
      <c r="V3267" s="100"/>
      <c r="Y3267" s="100"/>
    </row>
    <row r="3268">
      <c r="R3268" s="100"/>
      <c r="V3268" s="100"/>
      <c r="Y3268" s="100"/>
    </row>
    <row r="3269">
      <c r="R3269" s="100"/>
      <c r="V3269" s="100"/>
      <c r="Y3269" s="100"/>
    </row>
    <row r="3270">
      <c r="R3270" s="100"/>
      <c r="V3270" s="100"/>
      <c r="Y3270" s="100"/>
    </row>
    <row r="3271">
      <c r="R3271" s="100"/>
      <c r="V3271" s="100"/>
      <c r="Y3271" s="100"/>
    </row>
    <row r="3272">
      <c r="R3272" s="100"/>
      <c r="V3272" s="100"/>
      <c r="Y3272" s="100"/>
    </row>
    <row r="3273">
      <c r="R3273" s="100"/>
      <c r="V3273" s="100"/>
      <c r="Y3273" s="100"/>
    </row>
    <row r="3274">
      <c r="R3274" s="100"/>
      <c r="V3274" s="100"/>
      <c r="Y3274" s="100"/>
    </row>
    <row r="3275">
      <c r="R3275" s="100"/>
      <c r="V3275" s="100"/>
      <c r="Y3275" s="100"/>
    </row>
    <row r="3276">
      <c r="R3276" s="100"/>
      <c r="V3276" s="100"/>
      <c r="Y3276" s="100"/>
    </row>
    <row r="3277">
      <c r="R3277" s="100"/>
      <c r="V3277" s="100"/>
      <c r="Y3277" s="100"/>
    </row>
    <row r="3278">
      <c r="R3278" s="100"/>
      <c r="V3278" s="100"/>
      <c r="Y3278" s="100"/>
    </row>
    <row r="3279">
      <c r="R3279" s="100"/>
      <c r="V3279" s="100"/>
      <c r="Y3279" s="100"/>
    </row>
    <row r="3280">
      <c r="R3280" s="100"/>
      <c r="V3280" s="100"/>
      <c r="Y3280" s="100"/>
    </row>
    <row r="3281">
      <c r="R3281" s="100"/>
      <c r="V3281" s="100"/>
      <c r="Y3281" s="100"/>
    </row>
    <row r="3282">
      <c r="R3282" s="100"/>
      <c r="V3282" s="100"/>
      <c r="Y3282" s="100"/>
    </row>
    <row r="3283">
      <c r="R3283" s="100"/>
      <c r="V3283" s="100"/>
      <c r="Y3283" s="100"/>
    </row>
    <row r="3284">
      <c r="R3284" s="100"/>
      <c r="V3284" s="100"/>
      <c r="Y3284" s="100"/>
    </row>
    <row r="3285">
      <c r="R3285" s="100"/>
      <c r="V3285" s="100"/>
      <c r="Y3285" s="100"/>
    </row>
    <row r="3286">
      <c r="R3286" s="100"/>
      <c r="V3286" s="100"/>
      <c r="Y3286" s="100"/>
    </row>
    <row r="3287">
      <c r="R3287" s="100"/>
      <c r="V3287" s="100"/>
      <c r="Y3287" s="100"/>
    </row>
    <row r="3288">
      <c r="R3288" s="100"/>
      <c r="V3288" s="100"/>
      <c r="Y3288" s="100"/>
    </row>
    <row r="3289">
      <c r="R3289" s="100"/>
      <c r="V3289" s="100"/>
      <c r="Y3289" s="100"/>
    </row>
    <row r="3290">
      <c r="R3290" s="100"/>
      <c r="V3290" s="100"/>
      <c r="Y3290" s="100"/>
    </row>
    <row r="3291">
      <c r="R3291" s="100"/>
      <c r="V3291" s="100"/>
      <c r="Y3291" s="100"/>
    </row>
    <row r="3292">
      <c r="R3292" s="100"/>
      <c r="V3292" s="100"/>
      <c r="Y3292" s="100"/>
    </row>
    <row r="3293">
      <c r="R3293" s="100"/>
      <c r="V3293" s="100"/>
      <c r="Y3293" s="100"/>
    </row>
    <row r="3294">
      <c r="R3294" s="100"/>
      <c r="V3294" s="100"/>
      <c r="Y3294" s="100"/>
    </row>
    <row r="3295">
      <c r="R3295" s="100"/>
      <c r="V3295" s="100"/>
      <c r="Y3295" s="100"/>
    </row>
    <row r="3296">
      <c r="R3296" s="100"/>
      <c r="V3296" s="100"/>
      <c r="Y3296" s="100"/>
    </row>
    <row r="3297">
      <c r="R3297" s="100"/>
      <c r="V3297" s="100"/>
      <c r="Y3297" s="100"/>
    </row>
    <row r="3298">
      <c r="R3298" s="100"/>
      <c r="V3298" s="100"/>
      <c r="Y3298" s="100"/>
    </row>
    <row r="3299">
      <c r="R3299" s="100"/>
      <c r="V3299" s="100"/>
      <c r="Y3299" s="100"/>
    </row>
    <row r="3300">
      <c r="R3300" s="100"/>
      <c r="V3300" s="100"/>
      <c r="Y3300" s="100"/>
    </row>
    <row r="3301">
      <c r="R3301" s="100"/>
      <c r="V3301" s="100"/>
      <c r="Y3301" s="100"/>
    </row>
    <row r="3302">
      <c r="R3302" s="100"/>
      <c r="V3302" s="100"/>
      <c r="Y3302" s="100"/>
    </row>
    <row r="3303">
      <c r="R3303" s="100"/>
      <c r="V3303" s="100"/>
      <c r="Y3303" s="100"/>
    </row>
    <row r="3304">
      <c r="R3304" s="100"/>
      <c r="V3304" s="100"/>
      <c r="Y3304" s="100"/>
    </row>
    <row r="3305">
      <c r="R3305" s="100"/>
      <c r="V3305" s="100"/>
      <c r="Y3305" s="100"/>
    </row>
    <row r="3306">
      <c r="R3306" s="100"/>
      <c r="V3306" s="100"/>
      <c r="Y3306" s="100"/>
    </row>
    <row r="3307">
      <c r="R3307" s="100"/>
      <c r="V3307" s="100"/>
      <c r="Y3307" s="100"/>
    </row>
    <row r="3308">
      <c r="R3308" s="100"/>
      <c r="V3308" s="100"/>
      <c r="Y3308" s="100"/>
    </row>
    <row r="3309">
      <c r="R3309" s="100"/>
      <c r="V3309" s="100"/>
      <c r="Y3309" s="100"/>
    </row>
    <row r="3310">
      <c r="R3310" s="100"/>
      <c r="V3310" s="100"/>
      <c r="Y3310" s="100"/>
    </row>
    <row r="3311">
      <c r="R3311" s="100"/>
      <c r="V3311" s="100"/>
      <c r="Y3311" s="100"/>
    </row>
    <row r="3312">
      <c r="R3312" s="100"/>
      <c r="V3312" s="100"/>
      <c r="Y3312" s="100"/>
    </row>
    <row r="3313">
      <c r="R3313" s="100"/>
      <c r="V3313" s="100"/>
      <c r="Y3313" s="100"/>
    </row>
    <row r="3314">
      <c r="R3314" s="100"/>
      <c r="V3314" s="100"/>
      <c r="Y3314" s="100"/>
    </row>
    <row r="3315">
      <c r="R3315" s="100"/>
      <c r="V3315" s="100"/>
      <c r="Y3315" s="100"/>
    </row>
    <row r="3316">
      <c r="R3316" s="100"/>
      <c r="V3316" s="100"/>
      <c r="Y3316" s="100"/>
    </row>
    <row r="3317">
      <c r="R3317" s="100"/>
      <c r="V3317" s="100"/>
      <c r="Y3317" s="100"/>
    </row>
    <row r="3318">
      <c r="R3318" s="100"/>
      <c r="V3318" s="100"/>
      <c r="Y3318" s="100"/>
    </row>
    <row r="3319">
      <c r="R3319" s="100"/>
      <c r="V3319" s="100"/>
      <c r="Y3319" s="100"/>
    </row>
    <row r="3320">
      <c r="R3320" s="100"/>
      <c r="V3320" s="100"/>
      <c r="Y3320" s="100"/>
    </row>
    <row r="3321">
      <c r="R3321" s="100"/>
      <c r="V3321" s="100"/>
      <c r="Y3321" s="100"/>
    </row>
    <row r="3322">
      <c r="R3322" s="100"/>
      <c r="V3322" s="100"/>
      <c r="Y3322" s="100"/>
    </row>
    <row r="3323">
      <c r="R3323" s="100"/>
      <c r="V3323" s="100"/>
      <c r="Y3323" s="100"/>
    </row>
    <row r="3324">
      <c r="R3324" s="100"/>
      <c r="V3324" s="100"/>
      <c r="Y3324" s="100"/>
    </row>
    <row r="3325">
      <c r="R3325" s="100"/>
      <c r="V3325" s="100"/>
      <c r="Y3325" s="100"/>
    </row>
    <row r="3326">
      <c r="R3326" s="100"/>
      <c r="V3326" s="100"/>
      <c r="Y3326" s="100"/>
    </row>
    <row r="3327">
      <c r="R3327" s="100"/>
      <c r="V3327" s="100"/>
      <c r="Y3327" s="100"/>
    </row>
    <row r="3328">
      <c r="R3328" s="100"/>
      <c r="V3328" s="100"/>
      <c r="Y3328" s="100"/>
    </row>
    <row r="3329">
      <c r="R3329" s="100"/>
      <c r="V3329" s="100"/>
      <c r="Y3329" s="100"/>
    </row>
    <row r="3330">
      <c r="R3330" s="100"/>
      <c r="V3330" s="100"/>
      <c r="Y3330" s="100"/>
    </row>
    <row r="3331">
      <c r="R3331" s="100"/>
      <c r="V3331" s="100"/>
      <c r="Y3331" s="100"/>
    </row>
    <row r="3332">
      <c r="R3332" s="100"/>
      <c r="V3332" s="100"/>
      <c r="Y3332" s="100"/>
    </row>
    <row r="3333">
      <c r="R3333" s="100"/>
      <c r="V3333" s="100"/>
      <c r="Y3333" s="100"/>
    </row>
    <row r="3334">
      <c r="R3334" s="100"/>
      <c r="V3334" s="100"/>
      <c r="Y3334" s="100"/>
    </row>
    <row r="3335">
      <c r="R3335" s="100"/>
      <c r="V3335" s="100"/>
      <c r="Y3335" s="100"/>
    </row>
    <row r="3336">
      <c r="R3336" s="100"/>
      <c r="V3336" s="100"/>
      <c r="Y3336" s="100"/>
    </row>
    <row r="3337">
      <c r="R3337" s="100"/>
      <c r="V3337" s="100"/>
      <c r="Y3337" s="100"/>
    </row>
    <row r="3338">
      <c r="R3338" s="100"/>
      <c r="V3338" s="100"/>
      <c r="Y3338" s="100"/>
    </row>
    <row r="3339">
      <c r="R3339" s="100"/>
      <c r="V3339" s="100"/>
      <c r="Y3339" s="100"/>
    </row>
    <row r="3340">
      <c r="R3340" s="100"/>
      <c r="V3340" s="100"/>
      <c r="Y3340" s="100"/>
    </row>
    <row r="3341">
      <c r="R3341" s="100"/>
      <c r="V3341" s="100"/>
      <c r="Y3341" s="100"/>
    </row>
    <row r="3342">
      <c r="R3342" s="100"/>
      <c r="V3342" s="100"/>
      <c r="Y3342" s="100"/>
    </row>
    <row r="3343">
      <c r="R3343" s="100"/>
      <c r="V3343" s="100"/>
      <c r="Y3343" s="100"/>
    </row>
    <row r="3344">
      <c r="R3344" s="100"/>
      <c r="V3344" s="100"/>
      <c r="Y3344" s="100"/>
    </row>
    <row r="3345">
      <c r="R3345" s="100"/>
      <c r="V3345" s="100"/>
      <c r="Y3345" s="100"/>
    </row>
    <row r="3346">
      <c r="R3346" s="100"/>
      <c r="V3346" s="100"/>
      <c r="Y3346" s="100"/>
    </row>
    <row r="3347">
      <c r="R3347" s="100"/>
      <c r="V3347" s="100"/>
      <c r="Y3347" s="100"/>
    </row>
    <row r="3348">
      <c r="R3348" s="100"/>
      <c r="V3348" s="100"/>
      <c r="Y3348" s="100"/>
    </row>
    <row r="3349">
      <c r="R3349" s="100"/>
      <c r="V3349" s="100"/>
      <c r="Y3349" s="100"/>
    </row>
    <row r="3350">
      <c r="R3350" s="100"/>
      <c r="V3350" s="100"/>
      <c r="Y3350" s="100"/>
    </row>
    <row r="3351">
      <c r="R3351" s="100"/>
      <c r="V3351" s="100"/>
      <c r="Y3351" s="100"/>
    </row>
    <row r="3352">
      <c r="R3352" s="100"/>
      <c r="V3352" s="100"/>
      <c r="Y3352" s="100"/>
    </row>
    <row r="3353">
      <c r="R3353" s="100"/>
      <c r="V3353" s="100"/>
      <c r="Y3353" s="100"/>
    </row>
    <row r="3354">
      <c r="R3354" s="100"/>
      <c r="V3354" s="100"/>
      <c r="Y3354" s="100"/>
    </row>
    <row r="3355">
      <c r="R3355" s="100"/>
      <c r="V3355" s="100"/>
      <c r="Y3355" s="100"/>
    </row>
    <row r="3356">
      <c r="R3356" s="100"/>
      <c r="V3356" s="100"/>
      <c r="Y3356" s="100"/>
    </row>
    <row r="3357">
      <c r="R3357" s="100"/>
      <c r="V3357" s="100"/>
      <c r="Y3357" s="100"/>
    </row>
    <row r="3358">
      <c r="R3358" s="100"/>
      <c r="V3358" s="100"/>
      <c r="Y3358" s="100"/>
    </row>
    <row r="3359">
      <c r="R3359" s="100"/>
      <c r="V3359" s="100"/>
      <c r="Y3359" s="100"/>
    </row>
    <row r="3360">
      <c r="R3360" s="100"/>
      <c r="V3360" s="100"/>
      <c r="Y3360" s="100"/>
    </row>
    <row r="3361">
      <c r="R3361" s="100"/>
      <c r="V3361" s="100"/>
      <c r="Y3361" s="100"/>
    </row>
    <row r="3362">
      <c r="R3362" s="100"/>
      <c r="V3362" s="100"/>
      <c r="Y3362" s="100"/>
    </row>
    <row r="3363">
      <c r="R3363" s="100"/>
      <c r="V3363" s="100"/>
      <c r="Y3363" s="100"/>
    </row>
    <row r="3364">
      <c r="R3364" s="100"/>
      <c r="V3364" s="100"/>
      <c r="Y3364" s="100"/>
    </row>
    <row r="3365">
      <c r="R3365" s="100"/>
      <c r="V3365" s="100"/>
      <c r="Y3365" s="100"/>
    </row>
    <row r="3366">
      <c r="R3366" s="100"/>
      <c r="V3366" s="100"/>
      <c r="Y3366" s="100"/>
    </row>
    <row r="3367">
      <c r="R3367" s="100"/>
      <c r="V3367" s="100"/>
      <c r="Y3367" s="100"/>
    </row>
    <row r="3368">
      <c r="R3368" s="100"/>
      <c r="V3368" s="100"/>
      <c r="Y3368" s="100"/>
    </row>
    <row r="3369">
      <c r="R3369" s="100"/>
      <c r="V3369" s="100"/>
      <c r="Y3369" s="100"/>
    </row>
    <row r="3370">
      <c r="R3370" s="100"/>
      <c r="V3370" s="100"/>
      <c r="Y3370" s="100"/>
    </row>
    <row r="3371">
      <c r="R3371" s="100"/>
      <c r="V3371" s="100"/>
      <c r="Y3371" s="100"/>
    </row>
    <row r="3372">
      <c r="R3372" s="100"/>
      <c r="V3372" s="100"/>
      <c r="Y3372" s="100"/>
    </row>
    <row r="3373">
      <c r="R3373" s="100"/>
      <c r="V3373" s="100"/>
      <c r="Y3373" s="100"/>
    </row>
    <row r="3374">
      <c r="R3374" s="100"/>
      <c r="V3374" s="100"/>
      <c r="Y3374" s="100"/>
    </row>
    <row r="3375">
      <c r="R3375" s="100"/>
      <c r="V3375" s="100"/>
      <c r="Y3375" s="100"/>
    </row>
    <row r="3376">
      <c r="R3376" s="100"/>
      <c r="V3376" s="100"/>
      <c r="Y3376" s="100"/>
    </row>
    <row r="3377">
      <c r="R3377" s="100"/>
      <c r="V3377" s="100"/>
      <c r="Y3377" s="100"/>
    </row>
    <row r="3378">
      <c r="R3378" s="100"/>
      <c r="V3378" s="100"/>
      <c r="Y3378" s="100"/>
    </row>
    <row r="3379">
      <c r="R3379" s="100"/>
      <c r="V3379" s="100"/>
      <c r="Y3379" s="100"/>
    </row>
    <row r="3380">
      <c r="R3380" s="100"/>
      <c r="V3380" s="100"/>
      <c r="Y3380" s="100"/>
    </row>
    <row r="3381">
      <c r="R3381" s="100"/>
      <c r="V3381" s="100"/>
      <c r="Y3381" s="100"/>
    </row>
    <row r="3382">
      <c r="R3382" s="100"/>
      <c r="V3382" s="100"/>
      <c r="Y3382" s="100"/>
    </row>
    <row r="3383">
      <c r="R3383" s="100"/>
      <c r="V3383" s="100"/>
      <c r="Y3383" s="100"/>
    </row>
    <row r="3384">
      <c r="R3384" s="100"/>
      <c r="V3384" s="100"/>
      <c r="Y3384" s="100"/>
    </row>
    <row r="3385">
      <c r="R3385" s="100"/>
      <c r="V3385" s="100"/>
      <c r="Y3385" s="100"/>
    </row>
    <row r="3386">
      <c r="R3386" s="100"/>
      <c r="V3386" s="100"/>
      <c r="Y3386" s="100"/>
    </row>
    <row r="3387">
      <c r="R3387" s="100"/>
      <c r="V3387" s="100"/>
      <c r="Y3387" s="100"/>
    </row>
    <row r="3388">
      <c r="R3388" s="100"/>
      <c r="V3388" s="100"/>
      <c r="Y3388" s="100"/>
    </row>
    <row r="3389">
      <c r="R3389" s="100"/>
      <c r="V3389" s="100"/>
      <c r="Y3389" s="100"/>
    </row>
    <row r="3390">
      <c r="R3390" s="100"/>
      <c r="V3390" s="100"/>
      <c r="Y3390" s="100"/>
    </row>
    <row r="3391">
      <c r="R3391" s="100"/>
      <c r="V3391" s="100"/>
      <c r="Y3391" s="100"/>
    </row>
    <row r="3392">
      <c r="R3392" s="100"/>
      <c r="V3392" s="100"/>
      <c r="Y3392" s="100"/>
    </row>
    <row r="3393">
      <c r="R3393" s="100"/>
      <c r="V3393" s="100"/>
      <c r="Y3393" s="100"/>
    </row>
    <row r="3394">
      <c r="R3394" s="100"/>
      <c r="V3394" s="100"/>
      <c r="Y3394" s="100"/>
    </row>
    <row r="3395">
      <c r="R3395" s="100"/>
      <c r="V3395" s="100"/>
      <c r="Y3395" s="100"/>
    </row>
    <row r="3396">
      <c r="R3396" s="100"/>
      <c r="V3396" s="100"/>
      <c r="Y3396" s="100"/>
    </row>
    <row r="3397">
      <c r="R3397" s="100"/>
      <c r="V3397" s="100"/>
      <c r="Y3397" s="100"/>
    </row>
    <row r="3398">
      <c r="R3398" s="100"/>
      <c r="V3398" s="100"/>
      <c r="Y3398" s="100"/>
    </row>
    <row r="3399">
      <c r="R3399" s="100"/>
      <c r="V3399" s="100"/>
      <c r="Y3399" s="100"/>
    </row>
    <row r="3400">
      <c r="R3400" s="100"/>
      <c r="V3400" s="100"/>
      <c r="Y3400" s="100"/>
    </row>
    <row r="3401">
      <c r="R3401" s="100"/>
      <c r="V3401" s="100"/>
      <c r="Y3401" s="100"/>
    </row>
    <row r="3402">
      <c r="R3402" s="100"/>
      <c r="V3402" s="100"/>
      <c r="Y3402" s="100"/>
    </row>
    <row r="3403">
      <c r="R3403" s="100"/>
      <c r="V3403" s="100"/>
      <c r="Y3403" s="100"/>
    </row>
    <row r="3404">
      <c r="R3404" s="100"/>
      <c r="V3404" s="100"/>
      <c r="Y3404" s="100"/>
    </row>
    <row r="3405">
      <c r="R3405" s="100"/>
      <c r="V3405" s="100"/>
      <c r="Y3405" s="100"/>
    </row>
    <row r="3406">
      <c r="R3406" s="100"/>
      <c r="V3406" s="100"/>
      <c r="Y3406" s="100"/>
    </row>
    <row r="3407">
      <c r="R3407" s="100"/>
      <c r="V3407" s="100"/>
      <c r="Y3407" s="100"/>
    </row>
    <row r="3408">
      <c r="R3408" s="100"/>
      <c r="V3408" s="100"/>
      <c r="Y3408" s="100"/>
    </row>
    <row r="3409">
      <c r="R3409" s="100"/>
      <c r="V3409" s="100"/>
      <c r="Y3409" s="100"/>
    </row>
    <row r="3410">
      <c r="R3410" s="100"/>
      <c r="V3410" s="100"/>
      <c r="Y3410" s="100"/>
    </row>
    <row r="3411">
      <c r="R3411" s="100"/>
      <c r="V3411" s="100"/>
      <c r="Y3411" s="100"/>
    </row>
    <row r="3412">
      <c r="R3412" s="100"/>
      <c r="V3412" s="100"/>
      <c r="Y3412" s="100"/>
    </row>
    <row r="3413">
      <c r="R3413" s="100"/>
      <c r="V3413" s="100"/>
      <c r="Y3413" s="100"/>
    </row>
    <row r="3414">
      <c r="R3414" s="100"/>
      <c r="V3414" s="100"/>
      <c r="Y3414" s="100"/>
    </row>
    <row r="3415">
      <c r="R3415" s="100"/>
      <c r="V3415" s="100"/>
      <c r="Y3415" s="100"/>
    </row>
    <row r="3416">
      <c r="R3416" s="100"/>
      <c r="V3416" s="100"/>
      <c r="Y3416" s="100"/>
    </row>
    <row r="3417">
      <c r="R3417" s="100"/>
      <c r="V3417" s="100"/>
      <c r="Y3417" s="100"/>
    </row>
    <row r="3418">
      <c r="R3418" s="100"/>
      <c r="V3418" s="100"/>
      <c r="Y3418" s="100"/>
    </row>
    <row r="3419">
      <c r="R3419" s="100"/>
      <c r="V3419" s="100"/>
      <c r="Y3419" s="100"/>
    </row>
    <row r="3420">
      <c r="R3420" s="100"/>
      <c r="V3420" s="100"/>
      <c r="Y3420" s="100"/>
    </row>
    <row r="3421">
      <c r="R3421" s="100"/>
      <c r="V3421" s="100"/>
      <c r="Y3421" s="100"/>
    </row>
    <row r="3422">
      <c r="R3422" s="100"/>
      <c r="V3422" s="100"/>
      <c r="Y3422" s="100"/>
    </row>
    <row r="3423">
      <c r="R3423" s="100"/>
      <c r="V3423" s="100"/>
      <c r="Y3423" s="100"/>
    </row>
    <row r="3424">
      <c r="R3424" s="100"/>
      <c r="V3424" s="100"/>
      <c r="Y3424" s="100"/>
    </row>
    <row r="3425">
      <c r="R3425" s="100"/>
      <c r="V3425" s="100"/>
      <c r="Y3425" s="100"/>
    </row>
    <row r="3426">
      <c r="R3426" s="100"/>
      <c r="V3426" s="100"/>
      <c r="Y3426" s="100"/>
    </row>
    <row r="3427">
      <c r="R3427" s="100"/>
      <c r="V3427" s="100"/>
      <c r="Y3427" s="100"/>
    </row>
    <row r="3428">
      <c r="R3428" s="100"/>
      <c r="V3428" s="100"/>
      <c r="Y3428" s="100"/>
    </row>
    <row r="3429">
      <c r="R3429" s="100"/>
      <c r="V3429" s="100"/>
      <c r="Y3429" s="100"/>
    </row>
    <row r="3430">
      <c r="R3430" s="100"/>
      <c r="V3430" s="100"/>
      <c r="Y3430" s="100"/>
    </row>
    <row r="3431">
      <c r="R3431" s="100"/>
      <c r="V3431" s="100"/>
      <c r="Y3431" s="100"/>
    </row>
    <row r="3432">
      <c r="R3432" s="100"/>
      <c r="V3432" s="100"/>
      <c r="Y3432" s="100"/>
    </row>
    <row r="3433">
      <c r="R3433" s="100"/>
      <c r="V3433" s="100"/>
      <c r="Y3433" s="100"/>
    </row>
    <row r="3434">
      <c r="R3434" s="100"/>
      <c r="V3434" s="100"/>
      <c r="Y3434" s="100"/>
    </row>
    <row r="3435">
      <c r="R3435" s="100"/>
      <c r="V3435" s="100"/>
      <c r="Y3435" s="100"/>
    </row>
    <row r="3436">
      <c r="R3436" s="100"/>
      <c r="V3436" s="100"/>
      <c r="Y3436" s="100"/>
    </row>
    <row r="3437">
      <c r="R3437" s="100"/>
      <c r="V3437" s="100"/>
      <c r="Y3437" s="100"/>
    </row>
    <row r="3438">
      <c r="R3438" s="100"/>
      <c r="V3438" s="100"/>
      <c r="Y3438" s="100"/>
    </row>
    <row r="3439">
      <c r="R3439" s="100"/>
      <c r="V3439" s="100"/>
      <c r="Y3439" s="100"/>
    </row>
    <row r="3440">
      <c r="R3440" s="100"/>
      <c r="V3440" s="100"/>
      <c r="Y3440" s="100"/>
    </row>
    <row r="3441">
      <c r="R3441" s="100"/>
      <c r="V3441" s="100"/>
      <c r="Y3441" s="100"/>
    </row>
    <row r="3442">
      <c r="R3442" s="100"/>
      <c r="V3442" s="100"/>
      <c r="Y3442" s="100"/>
    </row>
    <row r="3443">
      <c r="R3443" s="100"/>
      <c r="V3443" s="100"/>
      <c r="Y3443" s="100"/>
    </row>
    <row r="3444">
      <c r="R3444" s="100"/>
      <c r="V3444" s="100"/>
      <c r="Y3444" s="100"/>
    </row>
    <row r="3445">
      <c r="R3445" s="100"/>
      <c r="V3445" s="100"/>
      <c r="Y3445" s="100"/>
    </row>
    <row r="3446">
      <c r="R3446" s="100"/>
      <c r="V3446" s="100"/>
      <c r="Y3446" s="100"/>
    </row>
    <row r="3447">
      <c r="R3447" s="100"/>
      <c r="V3447" s="100"/>
      <c r="Y3447" s="100"/>
    </row>
    <row r="3448">
      <c r="R3448" s="100"/>
      <c r="V3448" s="100"/>
      <c r="Y3448" s="100"/>
    </row>
    <row r="3449">
      <c r="R3449" s="100"/>
      <c r="V3449" s="100"/>
      <c r="Y3449" s="100"/>
    </row>
    <row r="3450">
      <c r="R3450" s="100"/>
      <c r="V3450" s="100"/>
      <c r="Y3450" s="100"/>
    </row>
    <row r="3451">
      <c r="R3451" s="100"/>
      <c r="V3451" s="100"/>
      <c r="Y3451" s="100"/>
    </row>
    <row r="3452">
      <c r="R3452" s="100"/>
      <c r="V3452" s="100"/>
      <c r="Y3452" s="100"/>
    </row>
    <row r="3453">
      <c r="R3453" s="100"/>
      <c r="V3453" s="100"/>
      <c r="Y3453" s="100"/>
    </row>
    <row r="3454">
      <c r="R3454" s="100"/>
      <c r="V3454" s="100"/>
      <c r="Y3454" s="100"/>
    </row>
    <row r="3455">
      <c r="R3455" s="100"/>
      <c r="V3455" s="100"/>
      <c r="Y3455" s="100"/>
    </row>
    <row r="3456">
      <c r="R3456" s="100"/>
      <c r="V3456" s="100"/>
      <c r="Y3456" s="100"/>
    </row>
    <row r="3457">
      <c r="R3457" s="100"/>
      <c r="V3457" s="100"/>
      <c r="Y3457" s="100"/>
    </row>
    <row r="3458">
      <c r="R3458" s="100"/>
      <c r="V3458" s="100"/>
      <c r="Y3458" s="100"/>
    </row>
    <row r="3459">
      <c r="R3459" s="100"/>
      <c r="V3459" s="100"/>
      <c r="Y3459" s="100"/>
    </row>
    <row r="3460">
      <c r="R3460" s="100"/>
      <c r="V3460" s="100"/>
      <c r="Y3460" s="100"/>
    </row>
    <row r="3461">
      <c r="R3461" s="100"/>
      <c r="V3461" s="100"/>
      <c r="Y3461" s="100"/>
    </row>
    <row r="3462">
      <c r="R3462" s="100"/>
      <c r="V3462" s="100"/>
      <c r="Y3462" s="100"/>
    </row>
    <row r="3463">
      <c r="R3463" s="100"/>
      <c r="V3463" s="100"/>
      <c r="Y3463" s="100"/>
    </row>
    <row r="3464">
      <c r="R3464" s="100"/>
      <c r="V3464" s="100"/>
      <c r="Y3464" s="100"/>
    </row>
    <row r="3465">
      <c r="R3465" s="100"/>
      <c r="V3465" s="100"/>
      <c r="Y3465" s="100"/>
    </row>
    <row r="3466">
      <c r="R3466" s="100"/>
      <c r="V3466" s="100"/>
      <c r="Y3466" s="100"/>
    </row>
    <row r="3467">
      <c r="R3467" s="100"/>
      <c r="V3467" s="100"/>
      <c r="Y3467" s="100"/>
    </row>
    <row r="3468">
      <c r="R3468" s="100"/>
      <c r="V3468" s="100"/>
      <c r="Y3468" s="100"/>
    </row>
    <row r="3469">
      <c r="R3469" s="100"/>
      <c r="V3469" s="100"/>
      <c r="Y3469" s="100"/>
    </row>
    <row r="3470">
      <c r="R3470" s="100"/>
      <c r="V3470" s="100"/>
      <c r="Y3470" s="100"/>
    </row>
    <row r="3471">
      <c r="R3471" s="100"/>
      <c r="V3471" s="100"/>
      <c r="Y3471" s="100"/>
    </row>
    <row r="3472">
      <c r="R3472" s="100"/>
      <c r="V3472" s="100"/>
      <c r="Y3472" s="100"/>
    </row>
    <row r="3473">
      <c r="R3473" s="100"/>
      <c r="V3473" s="100"/>
      <c r="Y3473" s="100"/>
    </row>
    <row r="3474">
      <c r="R3474" s="100"/>
      <c r="V3474" s="100"/>
      <c r="Y3474" s="100"/>
    </row>
    <row r="3475">
      <c r="R3475" s="100"/>
      <c r="V3475" s="100"/>
      <c r="Y3475" s="100"/>
    </row>
    <row r="3476">
      <c r="R3476" s="100"/>
      <c r="V3476" s="100"/>
      <c r="Y3476" s="100"/>
    </row>
    <row r="3477">
      <c r="R3477" s="100"/>
      <c r="V3477" s="100"/>
      <c r="Y3477" s="100"/>
    </row>
    <row r="3478">
      <c r="R3478" s="100"/>
      <c r="V3478" s="100"/>
      <c r="Y3478" s="100"/>
    </row>
    <row r="3479">
      <c r="R3479" s="100"/>
      <c r="V3479" s="100"/>
      <c r="Y3479" s="100"/>
    </row>
    <row r="3480">
      <c r="R3480" s="100"/>
      <c r="V3480" s="100"/>
      <c r="Y3480" s="100"/>
    </row>
    <row r="3481">
      <c r="R3481" s="100"/>
      <c r="V3481" s="100"/>
      <c r="Y3481" s="100"/>
    </row>
    <row r="3482">
      <c r="R3482" s="100"/>
      <c r="V3482" s="100"/>
      <c r="Y3482" s="100"/>
    </row>
    <row r="3483">
      <c r="R3483" s="100"/>
      <c r="V3483" s="100"/>
      <c r="Y3483" s="100"/>
    </row>
    <row r="3484">
      <c r="R3484" s="100"/>
      <c r="V3484" s="100"/>
      <c r="Y3484" s="100"/>
    </row>
    <row r="3485">
      <c r="R3485" s="100"/>
      <c r="V3485" s="100"/>
      <c r="Y3485" s="100"/>
    </row>
    <row r="3486">
      <c r="R3486" s="100"/>
      <c r="V3486" s="100"/>
      <c r="Y3486" s="100"/>
    </row>
    <row r="3487">
      <c r="R3487" s="100"/>
      <c r="V3487" s="100"/>
      <c r="Y3487" s="100"/>
    </row>
    <row r="3488">
      <c r="R3488" s="100"/>
      <c r="V3488" s="100"/>
      <c r="Y3488" s="100"/>
    </row>
    <row r="3489">
      <c r="R3489" s="100"/>
      <c r="V3489" s="100"/>
      <c r="Y3489" s="100"/>
    </row>
    <row r="3490">
      <c r="R3490" s="100"/>
      <c r="V3490" s="100"/>
      <c r="Y3490" s="100"/>
    </row>
    <row r="3491">
      <c r="R3491" s="100"/>
      <c r="V3491" s="100"/>
      <c r="Y3491" s="100"/>
    </row>
    <row r="3492">
      <c r="R3492" s="100"/>
      <c r="V3492" s="100"/>
      <c r="Y3492" s="100"/>
    </row>
    <row r="3493">
      <c r="R3493" s="100"/>
      <c r="V3493" s="100"/>
      <c r="Y3493" s="100"/>
    </row>
    <row r="3494">
      <c r="R3494" s="100"/>
      <c r="V3494" s="100"/>
      <c r="Y3494" s="100"/>
    </row>
    <row r="3495">
      <c r="R3495" s="100"/>
      <c r="V3495" s="100"/>
      <c r="Y3495" s="100"/>
    </row>
    <row r="3496">
      <c r="R3496" s="100"/>
      <c r="V3496" s="100"/>
      <c r="Y3496" s="100"/>
    </row>
    <row r="3497">
      <c r="R3497" s="100"/>
      <c r="V3497" s="100"/>
      <c r="Y3497" s="100"/>
    </row>
    <row r="3498">
      <c r="R3498" s="100"/>
      <c r="V3498" s="100"/>
      <c r="Y3498" s="100"/>
    </row>
    <row r="3499">
      <c r="R3499" s="100"/>
      <c r="V3499" s="100"/>
      <c r="Y3499" s="100"/>
    </row>
    <row r="3500">
      <c r="R3500" s="100"/>
      <c r="V3500" s="100"/>
      <c r="Y3500" s="100"/>
    </row>
    <row r="3501">
      <c r="R3501" s="100"/>
      <c r="V3501" s="100"/>
      <c r="Y3501" s="100"/>
    </row>
    <row r="3502">
      <c r="R3502" s="100"/>
      <c r="V3502" s="100"/>
      <c r="Y3502" s="100"/>
    </row>
    <row r="3503">
      <c r="R3503" s="100"/>
      <c r="V3503" s="100"/>
      <c r="Y3503" s="100"/>
    </row>
    <row r="3504">
      <c r="R3504" s="100"/>
      <c r="V3504" s="100"/>
      <c r="Y3504" s="100"/>
    </row>
    <row r="3505">
      <c r="R3505" s="100"/>
      <c r="V3505" s="100"/>
      <c r="Y3505" s="100"/>
    </row>
    <row r="3506">
      <c r="R3506" s="100"/>
      <c r="V3506" s="100"/>
      <c r="Y3506" s="100"/>
    </row>
    <row r="3507">
      <c r="R3507" s="100"/>
      <c r="V3507" s="100"/>
      <c r="Y3507" s="100"/>
    </row>
    <row r="3508">
      <c r="R3508" s="100"/>
      <c r="V3508" s="100"/>
      <c r="Y3508" s="100"/>
    </row>
    <row r="3509">
      <c r="R3509" s="100"/>
      <c r="V3509" s="100"/>
      <c r="Y3509" s="100"/>
    </row>
    <row r="3510">
      <c r="R3510" s="100"/>
      <c r="V3510" s="100"/>
      <c r="Y3510" s="100"/>
    </row>
    <row r="3511">
      <c r="R3511" s="100"/>
      <c r="V3511" s="100"/>
      <c r="Y3511" s="100"/>
    </row>
    <row r="3512">
      <c r="R3512" s="100"/>
      <c r="V3512" s="100"/>
      <c r="Y3512" s="100"/>
    </row>
    <row r="3513">
      <c r="R3513" s="100"/>
      <c r="V3513" s="100"/>
      <c r="Y3513" s="100"/>
    </row>
    <row r="3514">
      <c r="R3514" s="100"/>
      <c r="V3514" s="100"/>
      <c r="Y3514" s="100"/>
    </row>
    <row r="3515">
      <c r="R3515" s="100"/>
      <c r="V3515" s="100"/>
      <c r="Y3515" s="100"/>
    </row>
    <row r="3516">
      <c r="R3516" s="100"/>
      <c r="V3516" s="100"/>
      <c r="Y3516" s="100"/>
    </row>
    <row r="3517">
      <c r="R3517" s="100"/>
      <c r="V3517" s="100"/>
      <c r="Y3517" s="100"/>
    </row>
    <row r="3518">
      <c r="R3518" s="100"/>
      <c r="V3518" s="100"/>
      <c r="Y3518" s="100"/>
    </row>
    <row r="3519">
      <c r="R3519" s="100"/>
      <c r="V3519" s="100"/>
      <c r="Y3519" s="100"/>
    </row>
    <row r="3520">
      <c r="R3520" s="100"/>
      <c r="V3520" s="100"/>
      <c r="Y3520" s="100"/>
    </row>
    <row r="3521">
      <c r="R3521" s="100"/>
      <c r="V3521" s="100"/>
      <c r="Y3521" s="100"/>
    </row>
    <row r="3522">
      <c r="R3522" s="100"/>
      <c r="V3522" s="100"/>
      <c r="Y3522" s="100"/>
    </row>
    <row r="3523">
      <c r="R3523" s="100"/>
      <c r="V3523" s="100"/>
      <c r="Y3523" s="100"/>
    </row>
    <row r="3524">
      <c r="R3524" s="100"/>
      <c r="V3524" s="100"/>
      <c r="Y3524" s="100"/>
    </row>
    <row r="3525">
      <c r="R3525" s="100"/>
      <c r="V3525" s="100"/>
      <c r="Y3525" s="100"/>
    </row>
    <row r="3526">
      <c r="R3526" s="100"/>
      <c r="V3526" s="100"/>
      <c r="Y3526" s="100"/>
    </row>
    <row r="3527">
      <c r="R3527" s="100"/>
      <c r="V3527" s="100"/>
      <c r="Y3527" s="100"/>
    </row>
    <row r="3528">
      <c r="R3528" s="100"/>
      <c r="V3528" s="100"/>
      <c r="Y3528" s="100"/>
    </row>
    <row r="3529">
      <c r="R3529" s="100"/>
      <c r="V3529" s="100"/>
      <c r="Y3529" s="100"/>
    </row>
    <row r="3530">
      <c r="R3530" s="100"/>
      <c r="V3530" s="100"/>
      <c r="Y3530" s="100"/>
    </row>
    <row r="3531">
      <c r="R3531" s="100"/>
      <c r="V3531" s="100"/>
      <c r="Y3531" s="100"/>
    </row>
    <row r="3532">
      <c r="R3532" s="100"/>
      <c r="V3532" s="100"/>
      <c r="Y3532" s="100"/>
    </row>
    <row r="3533">
      <c r="R3533" s="100"/>
      <c r="V3533" s="100"/>
      <c r="Y3533" s="100"/>
    </row>
    <row r="3534">
      <c r="R3534" s="100"/>
      <c r="V3534" s="100"/>
      <c r="Y3534" s="100"/>
    </row>
    <row r="3535">
      <c r="R3535" s="100"/>
      <c r="V3535" s="100"/>
      <c r="Y3535" s="100"/>
    </row>
    <row r="3536">
      <c r="R3536" s="100"/>
      <c r="V3536" s="100"/>
      <c r="Y3536" s="100"/>
    </row>
    <row r="3537">
      <c r="R3537" s="100"/>
      <c r="V3537" s="100"/>
      <c r="Y3537" s="100"/>
    </row>
    <row r="3538">
      <c r="R3538" s="100"/>
      <c r="V3538" s="100"/>
      <c r="Y3538" s="100"/>
    </row>
    <row r="3539">
      <c r="R3539" s="100"/>
      <c r="V3539" s="100"/>
      <c r="Y3539" s="100"/>
    </row>
    <row r="3540">
      <c r="R3540" s="100"/>
      <c r="V3540" s="100"/>
      <c r="Y3540" s="100"/>
    </row>
    <row r="3541">
      <c r="R3541" s="100"/>
      <c r="V3541" s="100"/>
      <c r="Y3541" s="100"/>
    </row>
    <row r="3542">
      <c r="R3542" s="100"/>
      <c r="V3542" s="100"/>
      <c r="Y3542" s="100"/>
    </row>
    <row r="3543">
      <c r="R3543" s="100"/>
      <c r="V3543" s="100"/>
      <c r="Y3543" s="100"/>
    </row>
    <row r="3544">
      <c r="R3544" s="100"/>
      <c r="V3544" s="100"/>
      <c r="Y3544" s="100"/>
    </row>
    <row r="3545">
      <c r="R3545" s="100"/>
      <c r="V3545" s="100"/>
      <c r="Y3545" s="100"/>
    </row>
    <row r="3546">
      <c r="R3546" s="100"/>
      <c r="V3546" s="100"/>
      <c r="Y3546" s="100"/>
    </row>
    <row r="3547">
      <c r="R3547" s="100"/>
      <c r="V3547" s="100"/>
      <c r="Y3547" s="100"/>
    </row>
    <row r="3548">
      <c r="R3548" s="100"/>
      <c r="V3548" s="100"/>
      <c r="Y3548" s="100"/>
    </row>
    <row r="3549">
      <c r="R3549" s="100"/>
      <c r="V3549" s="100"/>
      <c r="Y3549" s="100"/>
    </row>
    <row r="3550">
      <c r="R3550" s="100"/>
      <c r="V3550" s="100"/>
      <c r="Y3550" s="100"/>
    </row>
    <row r="3551">
      <c r="R3551" s="100"/>
      <c r="V3551" s="100"/>
      <c r="Y3551" s="100"/>
    </row>
    <row r="3552">
      <c r="R3552" s="100"/>
      <c r="V3552" s="100"/>
      <c r="Y3552" s="100"/>
    </row>
    <row r="3553">
      <c r="R3553" s="100"/>
      <c r="V3553" s="100"/>
      <c r="Y3553" s="100"/>
    </row>
    <row r="3554">
      <c r="R3554" s="100"/>
      <c r="V3554" s="100"/>
      <c r="Y3554" s="100"/>
    </row>
    <row r="3555">
      <c r="R3555" s="100"/>
      <c r="V3555" s="100"/>
      <c r="Y3555" s="100"/>
    </row>
    <row r="3556">
      <c r="R3556" s="100"/>
      <c r="V3556" s="100"/>
      <c r="Y3556" s="100"/>
    </row>
    <row r="3557">
      <c r="R3557" s="100"/>
      <c r="V3557" s="100"/>
      <c r="Y3557" s="100"/>
    </row>
    <row r="3558">
      <c r="R3558" s="100"/>
      <c r="V3558" s="100"/>
      <c r="Y3558" s="100"/>
    </row>
    <row r="3559">
      <c r="R3559" s="100"/>
      <c r="V3559" s="100"/>
      <c r="Y3559" s="100"/>
    </row>
    <row r="3560">
      <c r="R3560" s="100"/>
      <c r="V3560" s="100"/>
      <c r="Y3560" s="100"/>
    </row>
    <row r="3561">
      <c r="R3561" s="100"/>
      <c r="V3561" s="100"/>
      <c r="Y3561" s="100"/>
    </row>
    <row r="3562">
      <c r="R3562" s="100"/>
      <c r="V3562" s="100"/>
      <c r="Y3562" s="100"/>
    </row>
    <row r="3563">
      <c r="R3563" s="100"/>
      <c r="V3563" s="100"/>
      <c r="Y3563" s="100"/>
    </row>
    <row r="3564">
      <c r="R3564" s="100"/>
      <c r="V3564" s="100"/>
      <c r="Y3564" s="100"/>
    </row>
    <row r="3565">
      <c r="R3565" s="100"/>
      <c r="V3565" s="100"/>
      <c r="Y3565" s="100"/>
    </row>
    <row r="3566">
      <c r="R3566" s="100"/>
      <c r="V3566" s="100"/>
      <c r="Y3566" s="100"/>
    </row>
    <row r="3567">
      <c r="R3567" s="100"/>
      <c r="V3567" s="100"/>
      <c r="Y3567" s="100"/>
    </row>
    <row r="3568">
      <c r="R3568" s="100"/>
      <c r="V3568" s="100"/>
      <c r="Y3568" s="100"/>
    </row>
    <row r="3569">
      <c r="R3569" s="100"/>
      <c r="V3569" s="100"/>
      <c r="Y3569" s="100"/>
    </row>
    <row r="3570">
      <c r="R3570" s="100"/>
      <c r="V3570" s="100"/>
      <c r="Y3570" s="100"/>
    </row>
    <row r="3571">
      <c r="R3571" s="100"/>
      <c r="V3571" s="100"/>
      <c r="Y3571" s="100"/>
    </row>
    <row r="3572">
      <c r="R3572" s="100"/>
      <c r="V3572" s="100"/>
      <c r="Y3572" s="100"/>
    </row>
    <row r="3573">
      <c r="R3573" s="100"/>
      <c r="V3573" s="100"/>
      <c r="Y3573" s="100"/>
    </row>
    <row r="3574">
      <c r="R3574" s="100"/>
      <c r="V3574" s="100"/>
      <c r="Y3574" s="100"/>
    </row>
    <row r="3575">
      <c r="R3575" s="100"/>
      <c r="V3575" s="100"/>
      <c r="Y3575" s="100"/>
    </row>
    <row r="3576">
      <c r="R3576" s="100"/>
      <c r="V3576" s="100"/>
      <c r="Y3576" s="100"/>
    </row>
    <row r="3577">
      <c r="R3577" s="100"/>
      <c r="V3577" s="100"/>
      <c r="Y3577" s="100"/>
    </row>
    <row r="3578">
      <c r="R3578" s="100"/>
      <c r="V3578" s="100"/>
      <c r="Y3578" s="100"/>
    </row>
    <row r="3579">
      <c r="R3579" s="100"/>
      <c r="V3579" s="100"/>
      <c r="Y3579" s="100"/>
    </row>
    <row r="3580">
      <c r="R3580" s="100"/>
      <c r="V3580" s="100"/>
      <c r="Y3580" s="100"/>
    </row>
    <row r="3581">
      <c r="R3581" s="100"/>
      <c r="V3581" s="100"/>
      <c r="Y3581" s="100"/>
    </row>
    <row r="3582">
      <c r="R3582" s="100"/>
      <c r="V3582" s="100"/>
      <c r="Y3582" s="100"/>
    </row>
    <row r="3583">
      <c r="R3583" s="100"/>
      <c r="V3583" s="100"/>
      <c r="Y3583" s="100"/>
    </row>
    <row r="3584">
      <c r="R3584" s="100"/>
      <c r="V3584" s="100"/>
      <c r="Y3584" s="100"/>
    </row>
    <row r="3585">
      <c r="R3585" s="100"/>
      <c r="V3585" s="100"/>
      <c r="Y3585" s="100"/>
    </row>
    <row r="3586">
      <c r="R3586" s="100"/>
      <c r="V3586" s="100"/>
      <c r="Y3586" s="100"/>
    </row>
    <row r="3587">
      <c r="R3587" s="100"/>
      <c r="V3587" s="100"/>
      <c r="Y3587" s="100"/>
    </row>
    <row r="3588">
      <c r="R3588" s="100"/>
      <c r="V3588" s="100"/>
      <c r="Y3588" s="100"/>
    </row>
    <row r="3589">
      <c r="R3589" s="100"/>
      <c r="V3589" s="100"/>
      <c r="Y3589" s="100"/>
    </row>
    <row r="3590">
      <c r="R3590" s="100"/>
      <c r="V3590" s="100"/>
      <c r="Y3590" s="100"/>
    </row>
    <row r="3591">
      <c r="R3591" s="100"/>
      <c r="V3591" s="100"/>
      <c r="Y3591" s="100"/>
    </row>
    <row r="3592">
      <c r="R3592" s="100"/>
      <c r="V3592" s="100"/>
      <c r="Y3592" s="100"/>
    </row>
    <row r="3593">
      <c r="R3593" s="100"/>
      <c r="V3593" s="100"/>
      <c r="Y3593" s="100"/>
    </row>
    <row r="3594">
      <c r="R3594" s="100"/>
      <c r="V3594" s="100"/>
      <c r="Y3594" s="100"/>
    </row>
    <row r="3595">
      <c r="R3595" s="100"/>
      <c r="V3595" s="100"/>
      <c r="Y3595" s="100"/>
    </row>
    <row r="3596">
      <c r="R3596" s="100"/>
      <c r="V3596" s="100"/>
      <c r="Y3596" s="100"/>
    </row>
    <row r="3597">
      <c r="R3597" s="100"/>
      <c r="V3597" s="100"/>
      <c r="Y3597" s="100"/>
    </row>
    <row r="3598">
      <c r="R3598" s="100"/>
      <c r="V3598" s="100"/>
      <c r="Y3598" s="100"/>
    </row>
    <row r="3599">
      <c r="R3599" s="100"/>
      <c r="V3599" s="100"/>
      <c r="Y3599" s="100"/>
    </row>
    <row r="3600">
      <c r="R3600" s="100"/>
      <c r="V3600" s="100"/>
      <c r="Y3600" s="100"/>
    </row>
    <row r="3601">
      <c r="R3601" s="100"/>
      <c r="V3601" s="100"/>
      <c r="Y3601" s="100"/>
    </row>
    <row r="3602">
      <c r="R3602" s="100"/>
      <c r="V3602" s="100"/>
      <c r="Y3602" s="100"/>
    </row>
    <row r="3603">
      <c r="R3603" s="100"/>
      <c r="V3603" s="100"/>
      <c r="Y3603" s="100"/>
    </row>
    <row r="3604">
      <c r="R3604" s="100"/>
      <c r="V3604" s="100"/>
      <c r="Y3604" s="100"/>
    </row>
    <row r="3605">
      <c r="R3605" s="100"/>
      <c r="V3605" s="100"/>
      <c r="Y3605" s="100"/>
    </row>
    <row r="3606">
      <c r="R3606" s="100"/>
      <c r="V3606" s="100"/>
      <c r="Y3606" s="100"/>
    </row>
    <row r="3607">
      <c r="R3607" s="100"/>
      <c r="V3607" s="100"/>
      <c r="Y3607" s="100"/>
    </row>
    <row r="3608">
      <c r="R3608" s="100"/>
      <c r="V3608" s="100"/>
      <c r="Y3608" s="100"/>
    </row>
    <row r="3609">
      <c r="R3609" s="100"/>
      <c r="V3609" s="100"/>
      <c r="Y3609" s="100"/>
    </row>
    <row r="3610">
      <c r="R3610" s="100"/>
      <c r="V3610" s="100"/>
      <c r="Y3610" s="100"/>
    </row>
    <row r="3611">
      <c r="R3611" s="100"/>
      <c r="V3611" s="100"/>
      <c r="Y3611" s="100"/>
    </row>
    <row r="3612">
      <c r="R3612" s="100"/>
      <c r="V3612" s="100"/>
      <c r="Y3612" s="100"/>
    </row>
    <row r="3613">
      <c r="R3613" s="100"/>
      <c r="V3613" s="100"/>
      <c r="Y3613" s="100"/>
    </row>
    <row r="3614">
      <c r="R3614" s="100"/>
      <c r="V3614" s="100"/>
      <c r="Y3614" s="100"/>
    </row>
    <row r="3615">
      <c r="R3615" s="100"/>
      <c r="V3615" s="100"/>
      <c r="Y3615" s="100"/>
    </row>
    <row r="3616">
      <c r="R3616" s="100"/>
      <c r="V3616" s="100"/>
      <c r="Y3616" s="100"/>
    </row>
    <row r="3617">
      <c r="R3617" s="100"/>
      <c r="V3617" s="100"/>
      <c r="Y3617" s="100"/>
    </row>
    <row r="3618">
      <c r="R3618" s="100"/>
      <c r="V3618" s="100"/>
      <c r="Y3618" s="100"/>
    </row>
    <row r="3619">
      <c r="R3619" s="100"/>
      <c r="V3619" s="100"/>
      <c r="Y3619" s="100"/>
    </row>
    <row r="3620">
      <c r="R3620" s="100"/>
      <c r="V3620" s="100"/>
      <c r="Y3620" s="100"/>
    </row>
    <row r="3621">
      <c r="R3621" s="100"/>
      <c r="V3621" s="100"/>
      <c r="Y3621" s="100"/>
    </row>
    <row r="3622">
      <c r="R3622" s="100"/>
      <c r="V3622" s="100"/>
      <c r="Y3622" s="100"/>
    </row>
    <row r="3623">
      <c r="R3623" s="100"/>
      <c r="V3623" s="100"/>
      <c r="Y3623" s="100"/>
    </row>
    <row r="3624">
      <c r="R3624" s="100"/>
      <c r="V3624" s="100"/>
      <c r="Y3624" s="100"/>
    </row>
    <row r="3625">
      <c r="R3625" s="100"/>
      <c r="V3625" s="100"/>
      <c r="Y3625" s="100"/>
    </row>
    <row r="3626">
      <c r="R3626" s="100"/>
      <c r="V3626" s="100"/>
      <c r="Y3626" s="100"/>
    </row>
    <row r="3627">
      <c r="R3627" s="100"/>
      <c r="V3627" s="100"/>
      <c r="Y3627" s="100"/>
    </row>
    <row r="3628">
      <c r="R3628" s="100"/>
      <c r="V3628" s="100"/>
      <c r="Y3628" s="100"/>
    </row>
    <row r="3629">
      <c r="R3629" s="100"/>
      <c r="V3629" s="100"/>
      <c r="Y3629" s="100"/>
    </row>
    <row r="3630">
      <c r="R3630" s="100"/>
      <c r="V3630" s="100"/>
      <c r="Y3630" s="100"/>
    </row>
    <row r="3631">
      <c r="R3631" s="100"/>
      <c r="V3631" s="100"/>
      <c r="Y3631" s="100"/>
    </row>
    <row r="3632">
      <c r="R3632" s="100"/>
      <c r="V3632" s="100"/>
      <c r="Y3632" s="100"/>
    </row>
    <row r="3633">
      <c r="R3633" s="100"/>
      <c r="V3633" s="100"/>
      <c r="Y3633" s="100"/>
    </row>
    <row r="3634">
      <c r="R3634" s="100"/>
      <c r="V3634" s="100"/>
      <c r="Y3634" s="100"/>
    </row>
    <row r="3635">
      <c r="R3635" s="100"/>
      <c r="V3635" s="100"/>
      <c r="Y3635" s="100"/>
    </row>
    <row r="3636">
      <c r="R3636" s="100"/>
      <c r="V3636" s="100"/>
      <c r="Y3636" s="100"/>
    </row>
    <row r="3637">
      <c r="R3637" s="100"/>
      <c r="V3637" s="100"/>
      <c r="Y3637" s="100"/>
    </row>
    <row r="3638">
      <c r="R3638" s="100"/>
      <c r="V3638" s="100"/>
      <c r="Y3638" s="100"/>
    </row>
    <row r="3639">
      <c r="R3639" s="100"/>
      <c r="V3639" s="100"/>
      <c r="Y3639" s="100"/>
    </row>
    <row r="3640">
      <c r="R3640" s="100"/>
      <c r="V3640" s="100"/>
      <c r="Y3640" s="100"/>
    </row>
    <row r="3641">
      <c r="R3641" s="100"/>
      <c r="V3641" s="100"/>
      <c r="Y3641" s="100"/>
    </row>
    <row r="3642">
      <c r="R3642" s="100"/>
      <c r="V3642" s="100"/>
      <c r="Y3642" s="100"/>
    </row>
    <row r="3643">
      <c r="R3643" s="100"/>
      <c r="V3643" s="100"/>
      <c r="Y3643" s="100"/>
    </row>
    <row r="3644">
      <c r="R3644" s="100"/>
      <c r="V3644" s="100"/>
      <c r="Y3644" s="100"/>
    </row>
    <row r="3645">
      <c r="R3645" s="100"/>
      <c r="V3645" s="100"/>
      <c r="Y3645" s="100"/>
    </row>
    <row r="3646">
      <c r="R3646" s="100"/>
      <c r="V3646" s="100"/>
      <c r="Y3646" s="100"/>
    </row>
    <row r="3647">
      <c r="R3647" s="100"/>
      <c r="V3647" s="100"/>
      <c r="Y3647" s="100"/>
    </row>
    <row r="3648">
      <c r="R3648" s="100"/>
      <c r="V3648" s="100"/>
      <c r="Y3648" s="100"/>
    </row>
    <row r="3649">
      <c r="R3649" s="100"/>
      <c r="V3649" s="100"/>
      <c r="Y3649" s="100"/>
    </row>
    <row r="3650">
      <c r="R3650" s="100"/>
      <c r="V3650" s="100"/>
      <c r="Y3650" s="100"/>
    </row>
    <row r="3651">
      <c r="R3651" s="100"/>
      <c r="V3651" s="100"/>
      <c r="Y3651" s="100"/>
    </row>
    <row r="3652">
      <c r="R3652" s="100"/>
      <c r="V3652" s="100"/>
      <c r="Y3652" s="100"/>
    </row>
    <row r="3653">
      <c r="R3653" s="100"/>
      <c r="V3653" s="100"/>
      <c r="Y3653" s="100"/>
    </row>
    <row r="3654">
      <c r="R3654" s="100"/>
      <c r="V3654" s="100"/>
      <c r="Y3654" s="100"/>
    </row>
    <row r="3655">
      <c r="R3655" s="100"/>
      <c r="V3655" s="100"/>
      <c r="Y3655" s="100"/>
    </row>
    <row r="3656">
      <c r="R3656" s="100"/>
      <c r="V3656" s="100"/>
      <c r="Y3656" s="100"/>
    </row>
    <row r="3657">
      <c r="R3657" s="100"/>
      <c r="V3657" s="100"/>
      <c r="Y3657" s="100"/>
    </row>
    <row r="3658">
      <c r="R3658" s="100"/>
      <c r="V3658" s="100"/>
      <c r="Y3658" s="100"/>
    </row>
    <row r="3659">
      <c r="R3659" s="100"/>
      <c r="V3659" s="100"/>
      <c r="Y3659" s="100"/>
    </row>
    <row r="3660">
      <c r="R3660" s="100"/>
      <c r="V3660" s="100"/>
      <c r="Y3660" s="100"/>
    </row>
    <row r="3661">
      <c r="R3661" s="100"/>
      <c r="V3661" s="100"/>
      <c r="Y3661" s="100"/>
    </row>
    <row r="3662">
      <c r="R3662" s="100"/>
      <c r="V3662" s="100"/>
      <c r="Y3662" s="100"/>
    </row>
    <row r="3663">
      <c r="R3663" s="100"/>
      <c r="V3663" s="100"/>
      <c r="Y3663" s="100"/>
    </row>
    <row r="3664">
      <c r="R3664" s="100"/>
      <c r="V3664" s="100"/>
      <c r="Y3664" s="100"/>
    </row>
    <row r="3665">
      <c r="R3665" s="100"/>
      <c r="V3665" s="100"/>
      <c r="Y3665" s="100"/>
    </row>
    <row r="3666">
      <c r="R3666" s="100"/>
      <c r="V3666" s="100"/>
      <c r="Y3666" s="100"/>
    </row>
    <row r="3667">
      <c r="R3667" s="100"/>
      <c r="V3667" s="100"/>
      <c r="Y3667" s="100"/>
    </row>
    <row r="3668">
      <c r="R3668" s="100"/>
      <c r="V3668" s="100"/>
      <c r="Y3668" s="100"/>
    </row>
    <row r="3669">
      <c r="R3669" s="100"/>
      <c r="V3669" s="100"/>
      <c r="Y3669" s="100"/>
    </row>
    <row r="3670">
      <c r="R3670" s="100"/>
      <c r="V3670" s="100"/>
      <c r="Y3670" s="100"/>
    </row>
    <row r="3671">
      <c r="R3671" s="100"/>
      <c r="V3671" s="100"/>
      <c r="Y3671" s="100"/>
    </row>
    <row r="3672">
      <c r="R3672" s="100"/>
      <c r="V3672" s="100"/>
      <c r="Y3672" s="100"/>
    </row>
    <row r="3673">
      <c r="R3673" s="100"/>
      <c r="V3673" s="100"/>
      <c r="Y3673" s="100"/>
    </row>
    <row r="3674">
      <c r="R3674" s="100"/>
      <c r="V3674" s="100"/>
      <c r="Y3674" s="100"/>
    </row>
    <row r="3675">
      <c r="R3675" s="100"/>
      <c r="V3675" s="100"/>
      <c r="Y3675" s="100"/>
    </row>
    <row r="3676">
      <c r="R3676" s="100"/>
      <c r="V3676" s="100"/>
      <c r="Y3676" s="100"/>
    </row>
    <row r="3677">
      <c r="R3677" s="100"/>
      <c r="V3677" s="100"/>
      <c r="Y3677" s="100"/>
    </row>
    <row r="3678">
      <c r="R3678" s="100"/>
      <c r="V3678" s="100"/>
      <c r="Y3678" s="100"/>
    </row>
    <row r="3679">
      <c r="R3679" s="100"/>
      <c r="V3679" s="100"/>
      <c r="Y3679" s="100"/>
    </row>
    <row r="3680">
      <c r="R3680" s="100"/>
      <c r="V3680" s="100"/>
      <c r="Y3680" s="100"/>
    </row>
    <row r="3681">
      <c r="R3681" s="100"/>
      <c r="V3681" s="100"/>
      <c r="Y3681" s="100"/>
    </row>
    <row r="3682">
      <c r="R3682" s="100"/>
      <c r="V3682" s="100"/>
      <c r="Y3682" s="100"/>
    </row>
    <row r="3683">
      <c r="R3683" s="100"/>
      <c r="V3683" s="100"/>
      <c r="Y3683" s="100"/>
    </row>
    <row r="3684">
      <c r="R3684" s="100"/>
      <c r="V3684" s="100"/>
      <c r="Y3684" s="100"/>
    </row>
    <row r="3685">
      <c r="R3685" s="100"/>
      <c r="V3685" s="100"/>
      <c r="Y3685" s="100"/>
    </row>
    <row r="3686">
      <c r="R3686" s="100"/>
      <c r="V3686" s="100"/>
      <c r="Y3686" s="100"/>
    </row>
    <row r="3687">
      <c r="R3687" s="100"/>
      <c r="V3687" s="100"/>
      <c r="Y3687" s="100"/>
    </row>
    <row r="3688">
      <c r="R3688" s="100"/>
      <c r="V3688" s="100"/>
      <c r="Y3688" s="100"/>
    </row>
    <row r="3689">
      <c r="R3689" s="100"/>
      <c r="V3689" s="100"/>
      <c r="Y3689" s="100"/>
    </row>
    <row r="3690">
      <c r="R3690" s="100"/>
      <c r="V3690" s="100"/>
      <c r="Y3690" s="100"/>
    </row>
    <row r="3691">
      <c r="R3691" s="100"/>
      <c r="V3691" s="100"/>
      <c r="Y3691" s="100"/>
    </row>
    <row r="3692">
      <c r="R3692" s="100"/>
      <c r="V3692" s="100"/>
      <c r="Y3692" s="100"/>
    </row>
    <row r="3693">
      <c r="R3693" s="100"/>
      <c r="V3693" s="100"/>
      <c r="Y3693" s="100"/>
    </row>
    <row r="3694">
      <c r="R3694" s="100"/>
      <c r="V3694" s="100"/>
      <c r="Y3694" s="100"/>
    </row>
    <row r="3695">
      <c r="R3695" s="100"/>
      <c r="V3695" s="100"/>
      <c r="Y3695" s="100"/>
    </row>
    <row r="3696">
      <c r="R3696" s="100"/>
      <c r="V3696" s="100"/>
      <c r="Y3696" s="100"/>
    </row>
    <row r="3697">
      <c r="R3697" s="100"/>
      <c r="V3697" s="100"/>
      <c r="Y3697" s="100"/>
    </row>
    <row r="3698">
      <c r="R3698" s="100"/>
      <c r="V3698" s="100"/>
      <c r="Y3698" s="100"/>
    </row>
    <row r="3699">
      <c r="R3699" s="100"/>
      <c r="V3699" s="100"/>
      <c r="Y3699" s="100"/>
    </row>
    <row r="3700">
      <c r="R3700" s="100"/>
      <c r="V3700" s="100"/>
      <c r="Y3700" s="100"/>
    </row>
    <row r="3701">
      <c r="R3701" s="100"/>
      <c r="V3701" s="100"/>
      <c r="Y3701" s="100"/>
    </row>
    <row r="3702">
      <c r="R3702" s="100"/>
      <c r="V3702" s="100"/>
      <c r="Y3702" s="100"/>
    </row>
    <row r="3703">
      <c r="R3703" s="100"/>
      <c r="V3703" s="100"/>
      <c r="Y3703" s="100"/>
    </row>
    <row r="3704">
      <c r="R3704" s="100"/>
      <c r="V3704" s="100"/>
      <c r="Y3704" s="100"/>
    </row>
    <row r="3705">
      <c r="R3705" s="100"/>
      <c r="V3705" s="100"/>
      <c r="Y3705" s="100"/>
    </row>
    <row r="3706">
      <c r="R3706" s="100"/>
      <c r="V3706" s="100"/>
      <c r="Y3706" s="100"/>
    </row>
    <row r="3707">
      <c r="R3707" s="100"/>
      <c r="V3707" s="100"/>
      <c r="Y3707" s="100"/>
    </row>
    <row r="3708">
      <c r="R3708" s="100"/>
      <c r="V3708" s="100"/>
      <c r="Y3708" s="100"/>
    </row>
    <row r="3709">
      <c r="R3709" s="100"/>
      <c r="V3709" s="100"/>
      <c r="Y3709" s="100"/>
    </row>
    <row r="3710">
      <c r="R3710" s="100"/>
      <c r="V3710" s="100"/>
      <c r="Y3710" s="100"/>
    </row>
    <row r="3711">
      <c r="R3711" s="100"/>
      <c r="V3711" s="100"/>
      <c r="Y3711" s="100"/>
    </row>
    <row r="3712">
      <c r="R3712" s="100"/>
      <c r="V3712" s="100"/>
      <c r="Y3712" s="100"/>
    </row>
    <row r="3713">
      <c r="R3713" s="100"/>
      <c r="V3713" s="100"/>
      <c r="Y3713" s="100"/>
    </row>
    <row r="3714">
      <c r="R3714" s="100"/>
      <c r="V3714" s="100"/>
      <c r="Y3714" s="100"/>
    </row>
    <row r="3715">
      <c r="R3715" s="100"/>
      <c r="V3715" s="100"/>
      <c r="Y3715" s="100"/>
    </row>
    <row r="3716">
      <c r="R3716" s="100"/>
      <c r="V3716" s="100"/>
      <c r="Y3716" s="100"/>
    </row>
    <row r="3717">
      <c r="R3717" s="100"/>
      <c r="V3717" s="100"/>
      <c r="Y3717" s="100"/>
    </row>
    <row r="3718">
      <c r="R3718" s="100"/>
      <c r="V3718" s="100"/>
      <c r="Y3718" s="100"/>
    </row>
    <row r="3719">
      <c r="R3719" s="100"/>
      <c r="V3719" s="100"/>
      <c r="Y3719" s="100"/>
    </row>
    <row r="3720">
      <c r="R3720" s="100"/>
      <c r="V3720" s="100"/>
      <c r="Y3720" s="100"/>
    </row>
    <row r="3721">
      <c r="R3721" s="100"/>
      <c r="V3721" s="100"/>
      <c r="Y3721" s="100"/>
    </row>
    <row r="3722">
      <c r="R3722" s="100"/>
      <c r="V3722" s="100"/>
      <c r="Y3722" s="100"/>
    </row>
    <row r="3723">
      <c r="R3723" s="100"/>
      <c r="V3723" s="100"/>
      <c r="Y3723" s="100"/>
    </row>
    <row r="3724">
      <c r="R3724" s="100"/>
      <c r="V3724" s="100"/>
      <c r="Y3724" s="100"/>
    </row>
    <row r="3725">
      <c r="R3725" s="100"/>
      <c r="V3725" s="100"/>
      <c r="Y3725" s="100"/>
    </row>
    <row r="3726">
      <c r="R3726" s="100"/>
      <c r="V3726" s="100"/>
      <c r="Y3726" s="100"/>
    </row>
    <row r="3727">
      <c r="R3727" s="100"/>
      <c r="V3727" s="100"/>
      <c r="Y3727" s="100"/>
    </row>
    <row r="3728">
      <c r="R3728" s="100"/>
      <c r="V3728" s="100"/>
      <c r="Y3728" s="100"/>
    </row>
    <row r="3729">
      <c r="R3729" s="100"/>
      <c r="V3729" s="100"/>
      <c r="Y3729" s="100"/>
    </row>
    <row r="3730">
      <c r="R3730" s="100"/>
      <c r="V3730" s="100"/>
      <c r="Y3730" s="100"/>
    </row>
    <row r="3731">
      <c r="R3731" s="100"/>
      <c r="V3731" s="100"/>
      <c r="Y3731" s="100"/>
    </row>
    <row r="3732">
      <c r="R3732" s="100"/>
      <c r="V3732" s="100"/>
      <c r="Y3732" s="100"/>
    </row>
    <row r="3733">
      <c r="R3733" s="100"/>
      <c r="V3733" s="100"/>
      <c r="Y3733" s="100"/>
    </row>
    <row r="3734">
      <c r="R3734" s="100"/>
      <c r="V3734" s="100"/>
      <c r="Y3734" s="100"/>
    </row>
    <row r="3735">
      <c r="R3735" s="100"/>
      <c r="V3735" s="100"/>
      <c r="Y3735" s="100"/>
    </row>
    <row r="3736">
      <c r="R3736" s="100"/>
      <c r="V3736" s="100"/>
      <c r="Y3736" s="100"/>
    </row>
    <row r="3737">
      <c r="R3737" s="100"/>
      <c r="V3737" s="100"/>
      <c r="Y3737" s="100"/>
    </row>
    <row r="3738">
      <c r="R3738" s="100"/>
      <c r="V3738" s="100"/>
      <c r="Y3738" s="100"/>
    </row>
    <row r="3739">
      <c r="R3739" s="100"/>
      <c r="V3739" s="100"/>
      <c r="Y3739" s="100"/>
    </row>
    <row r="3740">
      <c r="R3740" s="100"/>
      <c r="V3740" s="100"/>
      <c r="Y3740" s="100"/>
    </row>
    <row r="3741">
      <c r="R3741" s="100"/>
      <c r="V3741" s="100"/>
      <c r="Y3741" s="100"/>
    </row>
    <row r="3742">
      <c r="R3742" s="100"/>
      <c r="V3742" s="100"/>
      <c r="Y3742" s="100"/>
    </row>
    <row r="3743">
      <c r="R3743" s="100"/>
      <c r="V3743" s="100"/>
      <c r="Y3743" s="100"/>
    </row>
    <row r="3744">
      <c r="R3744" s="100"/>
      <c r="V3744" s="100"/>
      <c r="Y3744" s="100"/>
    </row>
    <row r="3745">
      <c r="R3745" s="100"/>
      <c r="V3745" s="100"/>
      <c r="Y3745" s="100"/>
    </row>
    <row r="3746">
      <c r="R3746" s="100"/>
      <c r="V3746" s="100"/>
      <c r="Y3746" s="100"/>
    </row>
    <row r="3747">
      <c r="R3747" s="100"/>
      <c r="V3747" s="100"/>
      <c r="Y3747" s="100"/>
    </row>
    <row r="3748">
      <c r="R3748" s="100"/>
      <c r="V3748" s="100"/>
      <c r="Y3748" s="100"/>
    </row>
    <row r="3749">
      <c r="R3749" s="100"/>
      <c r="V3749" s="100"/>
      <c r="Y3749" s="100"/>
    </row>
    <row r="3750">
      <c r="R3750" s="100"/>
      <c r="V3750" s="100"/>
      <c r="Y3750" s="100"/>
    </row>
    <row r="3751">
      <c r="R3751" s="100"/>
      <c r="V3751" s="100"/>
      <c r="Y3751" s="100"/>
    </row>
    <row r="3752">
      <c r="R3752" s="100"/>
      <c r="V3752" s="100"/>
      <c r="Y3752" s="100"/>
    </row>
    <row r="3753">
      <c r="R3753" s="100"/>
      <c r="V3753" s="100"/>
      <c r="Y3753" s="100"/>
    </row>
    <row r="3754">
      <c r="R3754" s="100"/>
      <c r="V3754" s="100"/>
      <c r="Y3754" s="100"/>
    </row>
    <row r="3755">
      <c r="R3755" s="100"/>
      <c r="V3755" s="100"/>
      <c r="Y3755" s="100"/>
    </row>
    <row r="3756">
      <c r="R3756" s="100"/>
      <c r="V3756" s="100"/>
      <c r="Y3756" s="100"/>
    </row>
    <row r="3757">
      <c r="R3757" s="100"/>
      <c r="V3757" s="100"/>
      <c r="Y3757" s="100"/>
    </row>
    <row r="3758">
      <c r="R3758" s="100"/>
      <c r="V3758" s="100"/>
      <c r="Y3758" s="100"/>
    </row>
    <row r="3759">
      <c r="R3759" s="100"/>
      <c r="V3759" s="100"/>
      <c r="Y3759" s="100"/>
    </row>
    <row r="3760">
      <c r="R3760" s="100"/>
      <c r="V3760" s="100"/>
      <c r="Y3760" s="100"/>
    </row>
    <row r="3761">
      <c r="R3761" s="100"/>
      <c r="V3761" s="100"/>
      <c r="Y3761" s="100"/>
    </row>
    <row r="3762">
      <c r="R3762" s="100"/>
      <c r="V3762" s="100"/>
      <c r="Y3762" s="100"/>
    </row>
    <row r="3763">
      <c r="R3763" s="100"/>
      <c r="V3763" s="100"/>
      <c r="Y3763" s="100"/>
    </row>
    <row r="3764">
      <c r="R3764" s="100"/>
      <c r="V3764" s="100"/>
      <c r="Y3764" s="100"/>
    </row>
    <row r="3765">
      <c r="R3765" s="100"/>
      <c r="V3765" s="100"/>
      <c r="Y3765" s="100"/>
    </row>
    <row r="3766">
      <c r="R3766" s="100"/>
      <c r="V3766" s="100"/>
      <c r="Y3766" s="100"/>
    </row>
    <row r="3767">
      <c r="R3767" s="100"/>
      <c r="V3767" s="100"/>
      <c r="Y3767" s="100"/>
    </row>
    <row r="3768">
      <c r="R3768" s="100"/>
      <c r="V3768" s="100"/>
      <c r="Y3768" s="100"/>
    </row>
    <row r="3769">
      <c r="R3769" s="100"/>
      <c r="V3769" s="100"/>
      <c r="Y3769" s="100"/>
    </row>
    <row r="3770">
      <c r="R3770" s="100"/>
      <c r="V3770" s="100"/>
      <c r="Y3770" s="100"/>
    </row>
    <row r="3771">
      <c r="R3771" s="100"/>
      <c r="V3771" s="100"/>
      <c r="Y3771" s="100"/>
    </row>
    <row r="3772">
      <c r="R3772" s="100"/>
      <c r="V3772" s="100"/>
      <c r="Y3772" s="100"/>
    </row>
    <row r="3773">
      <c r="R3773" s="100"/>
      <c r="V3773" s="100"/>
      <c r="Y3773" s="100"/>
    </row>
    <row r="3774">
      <c r="R3774" s="100"/>
      <c r="V3774" s="100"/>
      <c r="Y3774" s="100"/>
    </row>
    <row r="3775">
      <c r="R3775" s="100"/>
      <c r="V3775" s="100"/>
      <c r="Y3775" s="100"/>
    </row>
    <row r="3776">
      <c r="R3776" s="100"/>
      <c r="V3776" s="100"/>
      <c r="Y3776" s="100"/>
    </row>
    <row r="3777">
      <c r="R3777" s="100"/>
      <c r="V3777" s="100"/>
      <c r="Y3777" s="100"/>
    </row>
    <row r="3778">
      <c r="R3778" s="100"/>
      <c r="V3778" s="100"/>
      <c r="Y3778" s="100"/>
    </row>
    <row r="3779">
      <c r="R3779" s="100"/>
      <c r="V3779" s="100"/>
      <c r="Y3779" s="100"/>
    </row>
    <row r="3780">
      <c r="R3780" s="100"/>
      <c r="V3780" s="100"/>
      <c r="Y3780" s="100"/>
    </row>
    <row r="3781">
      <c r="R3781" s="100"/>
      <c r="V3781" s="100"/>
      <c r="Y3781" s="100"/>
    </row>
    <row r="3782">
      <c r="R3782" s="100"/>
      <c r="V3782" s="100"/>
      <c r="Y3782" s="100"/>
    </row>
    <row r="3783">
      <c r="R3783" s="100"/>
      <c r="V3783" s="100"/>
      <c r="Y3783" s="100"/>
    </row>
    <row r="3784">
      <c r="R3784" s="100"/>
      <c r="V3784" s="100"/>
      <c r="Y3784" s="100"/>
    </row>
    <row r="3785">
      <c r="R3785" s="100"/>
      <c r="V3785" s="100"/>
      <c r="Y3785" s="100"/>
    </row>
    <row r="3786">
      <c r="R3786" s="100"/>
      <c r="V3786" s="100"/>
      <c r="Y3786" s="100"/>
    </row>
    <row r="3787">
      <c r="R3787" s="100"/>
      <c r="V3787" s="100"/>
      <c r="Y3787" s="100"/>
    </row>
    <row r="3788">
      <c r="R3788" s="100"/>
      <c r="V3788" s="100"/>
      <c r="Y3788" s="100"/>
    </row>
    <row r="3789">
      <c r="R3789" s="100"/>
      <c r="V3789" s="100"/>
      <c r="Y3789" s="100"/>
    </row>
    <row r="3790">
      <c r="R3790" s="100"/>
      <c r="V3790" s="100"/>
      <c r="Y3790" s="100"/>
    </row>
    <row r="3791">
      <c r="R3791" s="100"/>
      <c r="V3791" s="100"/>
      <c r="Y3791" s="100"/>
    </row>
    <row r="3792">
      <c r="R3792" s="100"/>
      <c r="V3792" s="100"/>
      <c r="Y3792" s="100"/>
    </row>
    <row r="3793">
      <c r="R3793" s="100"/>
      <c r="V3793" s="100"/>
      <c r="Y3793" s="100"/>
    </row>
    <row r="3794">
      <c r="R3794" s="100"/>
      <c r="V3794" s="100"/>
      <c r="Y3794" s="100"/>
    </row>
    <row r="3795">
      <c r="R3795" s="100"/>
      <c r="V3795" s="100"/>
      <c r="Y3795" s="100"/>
    </row>
    <row r="3796">
      <c r="R3796" s="100"/>
      <c r="V3796" s="100"/>
      <c r="Y3796" s="100"/>
    </row>
    <row r="3797">
      <c r="R3797" s="100"/>
      <c r="V3797" s="100"/>
      <c r="Y3797" s="100"/>
    </row>
    <row r="3798">
      <c r="R3798" s="100"/>
      <c r="V3798" s="100"/>
      <c r="Y3798" s="100"/>
    </row>
    <row r="3799">
      <c r="R3799" s="100"/>
      <c r="V3799" s="100"/>
      <c r="Y3799" s="100"/>
    </row>
    <row r="3800">
      <c r="R3800" s="100"/>
      <c r="V3800" s="100"/>
      <c r="Y3800" s="100"/>
    </row>
    <row r="3801">
      <c r="R3801" s="100"/>
      <c r="V3801" s="100"/>
      <c r="Y3801" s="100"/>
    </row>
    <row r="3802">
      <c r="R3802" s="100"/>
      <c r="V3802" s="100"/>
      <c r="Y3802" s="100"/>
    </row>
    <row r="3803">
      <c r="R3803" s="100"/>
      <c r="V3803" s="100"/>
      <c r="Y3803" s="100"/>
    </row>
    <row r="3804">
      <c r="R3804" s="100"/>
      <c r="V3804" s="100"/>
      <c r="Y3804" s="100"/>
    </row>
    <row r="3805">
      <c r="R3805" s="100"/>
      <c r="V3805" s="100"/>
      <c r="Y3805" s="100"/>
    </row>
    <row r="3806">
      <c r="R3806" s="100"/>
      <c r="V3806" s="100"/>
      <c r="Y3806" s="100"/>
    </row>
    <row r="3807">
      <c r="R3807" s="100"/>
      <c r="V3807" s="100"/>
      <c r="Y3807" s="100"/>
    </row>
    <row r="3808">
      <c r="R3808" s="100"/>
      <c r="V3808" s="100"/>
      <c r="Y3808" s="100"/>
    </row>
    <row r="3809">
      <c r="R3809" s="100"/>
      <c r="V3809" s="100"/>
      <c r="Y3809" s="100"/>
    </row>
    <row r="3810">
      <c r="R3810" s="100"/>
      <c r="V3810" s="100"/>
      <c r="Y3810" s="100"/>
    </row>
    <row r="3811">
      <c r="R3811" s="100"/>
      <c r="V3811" s="100"/>
      <c r="Y3811" s="100"/>
    </row>
    <row r="3812">
      <c r="R3812" s="100"/>
      <c r="V3812" s="100"/>
      <c r="Y3812" s="100"/>
    </row>
    <row r="3813">
      <c r="R3813" s="100"/>
      <c r="V3813" s="100"/>
      <c r="Y3813" s="100"/>
    </row>
    <row r="3814">
      <c r="R3814" s="100"/>
      <c r="V3814" s="100"/>
      <c r="Y3814" s="100"/>
    </row>
    <row r="3815">
      <c r="R3815" s="100"/>
      <c r="V3815" s="100"/>
      <c r="Y3815" s="100"/>
    </row>
    <row r="3816">
      <c r="R3816" s="100"/>
      <c r="V3816" s="100"/>
      <c r="Y3816" s="100"/>
    </row>
    <row r="3817">
      <c r="R3817" s="100"/>
      <c r="V3817" s="100"/>
      <c r="Y3817" s="100"/>
    </row>
    <row r="3818">
      <c r="R3818" s="100"/>
      <c r="V3818" s="100"/>
      <c r="Y3818" s="100"/>
    </row>
    <row r="3819">
      <c r="R3819" s="100"/>
      <c r="V3819" s="100"/>
      <c r="Y3819" s="100"/>
    </row>
    <row r="3820">
      <c r="R3820" s="100"/>
      <c r="V3820" s="100"/>
      <c r="Y3820" s="100"/>
    </row>
    <row r="3821">
      <c r="R3821" s="100"/>
      <c r="V3821" s="100"/>
      <c r="Y3821" s="100"/>
    </row>
    <row r="3822">
      <c r="R3822" s="100"/>
      <c r="V3822" s="100"/>
      <c r="Y3822" s="100"/>
    </row>
    <row r="3823">
      <c r="R3823" s="100"/>
      <c r="V3823" s="100"/>
      <c r="Y3823" s="100"/>
    </row>
    <row r="3824">
      <c r="R3824" s="100"/>
      <c r="V3824" s="100"/>
      <c r="Y3824" s="100"/>
    </row>
    <row r="3825">
      <c r="R3825" s="100"/>
      <c r="V3825" s="100"/>
      <c r="Y3825" s="100"/>
    </row>
    <row r="3826">
      <c r="R3826" s="100"/>
      <c r="V3826" s="100"/>
      <c r="Y3826" s="100"/>
    </row>
    <row r="3827">
      <c r="R3827" s="100"/>
      <c r="V3827" s="100"/>
      <c r="Y3827" s="100"/>
    </row>
    <row r="3828">
      <c r="R3828" s="100"/>
      <c r="V3828" s="100"/>
      <c r="Y3828" s="100"/>
    </row>
    <row r="3829">
      <c r="R3829" s="100"/>
      <c r="V3829" s="100"/>
      <c r="Y3829" s="100"/>
    </row>
    <row r="3830">
      <c r="R3830" s="100"/>
      <c r="V3830" s="100"/>
      <c r="Y3830" s="100"/>
    </row>
    <row r="3831">
      <c r="R3831" s="100"/>
      <c r="V3831" s="100"/>
      <c r="Y3831" s="100"/>
    </row>
    <row r="3832">
      <c r="R3832" s="100"/>
      <c r="V3832" s="100"/>
      <c r="Y3832" s="100"/>
    </row>
    <row r="3833">
      <c r="R3833" s="100"/>
      <c r="V3833" s="100"/>
      <c r="Y3833" s="100"/>
    </row>
    <row r="3834">
      <c r="R3834" s="100"/>
      <c r="V3834" s="100"/>
      <c r="Y3834" s="100"/>
    </row>
    <row r="3835">
      <c r="R3835" s="100"/>
      <c r="V3835" s="100"/>
      <c r="Y3835" s="100"/>
    </row>
    <row r="3836">
      <c r="R3836" s="100"/>
      <c r="V3836" s="100"/>
      <c r="Y3836" s="100"/>
    </row>
    <row r="3837">
      <c r="R3837" s="100"/>
      <c r="V3837" s="100"/>
      <c r="Y3837" s="100"/>
    </row>
    <row r="3838">
      <c r="R3838" s="100"/>
      <c r="V3838" s="100"/>
      <c r="Y3838" s="100"/>
    </row>
    <row r="3839">
      <c r="R3839" s="100"/>
      <c r="V3839" s="100"/>
      <c r="Y3839" s="100"/>
    </row>
    <row r="3840">
      <c r="R3840" s="100"/>
      <c r="V3840" s="100"/>
      <c r="Y3840" s="100"/>
    </row>
    <row r="3841">
      <c r="R3841" s="100"/>
      <c r="V3841" s="100"/>
      <c r="Y3841" s="100"/>
    </row>
    <row r="3842">
      <c r="R3842" s="100"/>
      <c r="V3842" s="100"/>
      <c r="Y3842" s="100"/>
    </row>
    <row r="3843">
      <c r="R3843" s="100"/>
      <c r="V3843" s="100"/>
      <c r="Y3843" s="100"/>
    </row>
    <row r="3844">
      <c r="R3844" s="100"/>
      <c r="V3844" s="100"/>
      <c r="Y3844" s="100"/>
    </row>
    <row r="3845">
      <c r="R3845" s="100"/>
      <c r="V3845" s="100"/>
      <c r="Y3845" s="100"/>
    </row>
    <row r="3846">
      <c r="R3846" s="100"/>
      <c r="V3846" s="100"/>
      <c r="Y3846" s="100"/>
    </row>
    <row r="3847">
      <c r="R3847" s="100"/>
      <c r="V3847" s="100"/>
      <c r="Y3847" s="100"/>
    </row>
    <row r="3848">
      <c r="R3848" s="100"/>
      <c r="V3848" s="100"/>
      <c r="Y3848" s="100"/>
    </row>
    <row r="3849">
      <c r="R3849" s="100"/>
      <c r="V3849" s="100"/>
      <c r="Y3849" s="100"/>
    </row>
    <row r="3850">
      <c r="R3850" s="100"/>
      <c r="V3850" s="100"/>
      <c r="Y3850" s="100"/>
    </row>
    <row r="3851">
      <c r="R3851" s="100"/>
      <c r="V3851" s="100"/>
      <c r="Y3851" s="100"/>
    </row>
    <row r="3852">
      <c r="R3852" s="100"/>
      <c r="V3852" s="100"/>
      <c r="Y3852" s="100"/>
    </row>
    <row r="3853">
      <c r="R3853" s="100"/>
      <c r="V3853" s="100"/>
      <c r="Y3853" s="100"/>
    </row>
    <row r="3854">
      <c r="R3854" s="100"/>
      <c r="V3854" s="100"/>
      <c r="Y3854" s="100"/>
    </row>
    <row r="3855">
      <c r="R3855" s="100"/>
      <c r="V3855" s="100"/>
      <c r="Y3855" s="100"/>
    </row>
    <row r="3856">
      <c r="R3856" s="100"/>
      <c r="V3856" s="100"/>
      <c r="Y3856" s="100"/>
    </row>
    <row r="3857">
      <c r="R3857" s="100"/>
      <c r="V3857" s="100"/>
      <c r="Y3857" s="100"/>
    </row>
    <row r="3858">
      <c r="R3858" s="100"/>
      <c r="V3858" s="100"/>
      <c r="Y3858" s="100"/>
    </row>
    <row r="3859">
      <c r="R3859" s="100"/>
      <c r="V3859" s="100"/>
      <c r="Y3859" s="100"/>
    </row>
    <row r="3860">
      <c r="R3860" s="100"/>
      <c r="V3860" s="100"/>
      <c r="Y3860" s="100"/>
    </row>
    <row r="3861">
      <c r="R3861" s="100"/>
      <c r="V3861" s="100"/>
      <c r="Y3861" s="100"/>
    </row>
    <row r="3862">
      <c r="R3862" s="100"/>
      <c r="V3862" s="100"/>
      <c r="Y3862" s="100"/>
    </row>
    <row r="3863">
      <c r="R3863" s="100"/>
      <c r="V3863" s="100"/>
      <c r="Y3863" s="100"/>
    </row>
    <row r="3864">
      <c r="R3864" s="100"/>
      <c r="V3864" s="100"/>
      <c r="Y3864" s="100"/>
    </row>
    <row r="3865">
      <c r="R3865" s="100"/>
      <c r="V3865" s="100"/>
      <c r="Y3865" s="100"/>
    </row>
    <row r="3866">
      <c r="R3866" s="100"/>
      <c r="V3866" s="100"/>
      <c r="Y3866" s="100"/>
    </row>
    <row r="3867">
      <c r="R3867" s="100"/>
      <c r="V3867" s="100"/>
      <c r="Y3867" s="100"/>
    </row>
    <row r="3868">
      <c r="R3868" s="100"/>
      <c r="V3868" s="100"/>
      <c r="Y3868" s="100"/>
    </row>
    <row r="3869">
      <c r="R3869" s="100"/>
      <c r="V3869" s="100"/>
      <c r="Y3869" s="100"/>
    </row>
    <row r="3870">
      <c r="R3870" s="100"/>
      <c r="V3870" s="100"/>
      <c r="Y3870" s="100"/>
    </row>
    <row r="3871">
      <c r="R3871" s="100"/>
      <c r="V3871" s="100"/>
      <c r="Y3871" s="100"/>
    </row>
    <row r="3872">
      <c r="R3872" s="100"/>
      <c r="V3872" s="100"/>
      <c r="Y3872" s="100"/>
    </row>
    <row r="3873">
      <c r="R3873" s="100"/>
      <c r="V3873" s="100"/>
      <c r="Y3873" s="100"/>
    </row>
    <row r="3874">
      <c r="R3874" s="100"/>
      <c r="V3874" s="100"/>
      <c r="Y3874" s="100"/>
    </row>
    <row r="3875">
      <c r="R3875" s="100"/>
      <c r="V3875" s="100"/>
      <c r="Y3875" s="100"/>
    </row>
    <row r="3876">
      <c r="R3876" s="100"/>
      <c r="V3876" s="100"/>
      <c r="Y3876" s="100"/>
    </row>
    <row r="3877">
      <c r="R3877" s="100"/>
      <c r="V3877" s="100"/>
      <c r="Y3877" s="100"/>
    </row>
    <row r="3878">
      <c r="R3878" s="100"/>
      <c r="V3878" s="100"/>
      <c r="Y3878" s="100"/>
    </row>
    <row r="3879">
      <c r="R3879" s="100"/>
      <c r="V3879" s="100"/>
      <c r="Y3879" s="100"/>
    </row>
    <row r="3880">
      <c r="R3880" s="100"/>
      <c r="V3880" s="100"/>
      <c r="Y3880" s="100"/>
    </row>
    <row r="3881">
      <c r="R3881" s="100"/>
      <c r="V3881" s="100"/>
      <c r="Y3881" s="100"/>
    </row>
    <row r="3882">
      <c r="R3882" s="100"/>
      <c r="V3882" s="100"/>
      <c r="Y3882" s="100"/>
    </row>
    <row r="3883">
      <c r="R3883" s="100"/>
      <c r="V3883" s="100"/>
      <c r="Y3883" s="100"/>
    </row>
    <row r="3884">
      <c r="R3884" s="100"/>
      <c r="V3884" s="100"/>
      <c r="Y3884" s="100"/>
    </row>
    <row r="3885">
      <c r="R3885" s="100"/>
      <c r="V3885" s="100"/>
      <c r="Y3885" s="100"/>
    </row>
    <row r="3886">
      <c r="R3886" s="100"/>
      <c r="V3886" s="100"/>
      <c r="Y3886" s="100"/>
    </row>
    <row r="3887">
      <c r="R3887" s="100"/>
      <c r="V3887" s="100"/>
      <c r="Y3887" s="100"/>
    </row>
    <row r="3888">
      <c r="R3888" s="100"/>
      <c r="V3888" s="100"/>
      <c r="Y3888" s="100"/>
    </row>
    <row r="3889">
      <c r="R3889" s="100"/>
      <c r="V3889" s="100"/>
      <c r="Y3889" s="100"/>
    </row>
    <row r="3890">
      <c r="R3890" s="100"/>
      <c r="V3890" s="100"/>
      <c r="Y3890" s="100"/>
    </row>
    <row r="3891">
      <c r="R3891" s="100"/>
      <c r="V3891" s="100"/>
      <c r="Y3891" s="100"/>
    </row>
    <row r="3892">
      <c r="R3892" s="100"/>
      <c r="V3892" s="100"/>
      <c r="Y3892" s="100"/>
    </row>
    <row r="3893">
      <c r="R3893" s="100"/>
      <c r="V3893" s="100"/>
      <c r="Y3893" s="100"/>
    </row>
    <row r="3894">
      <c r="R3894" s="100"/>
      <c r="V3894" s="100"/>
      <c r="Y3894" s="100"/>
    </row>
    <row r="3895">
      <c r="R3895" s="100"/>
      <c r="V3895" s="100"/>
      <c r="Y3895" s="100"/>
    </row>
    <row r="3896">
      <c r="R3896" s="100"/>
      <c r="V3896" s="100"/>
      <c r="Y3896" s="100"/>
    </row>
    <row r="3897">
      <c r="R3897" s="100"/>
      <c r="V3897" s="100"/>
      <c r="Y3897" s="100"/>
    </row>
    <row r="3898">
      <c r="R3898" s="100"/>
      <c r="V3898" s="100"/>
      <c r="Y3898" s="100"/>
    </row>
    <row r="3899">
      <c r="R3899" s="100"/>
      <c r="V3899" s="100"/>
      <c r="Y3899" s="100"/>
    </row>
    <row r="3900">
      <c r="R3900" s="100"/>
      <c r="V3900" s="100"/>
      <c r="Y3900" s="100"/>
    </row>
    <row r="3901">
      <c r="R3901" s="100"/>
      <c r="V3901" s="100"/>
      <c r="Y3901" s="100"/>
    </row>
    <row r="3902">
      <c r="R3902" s="100"/>
      <c r="V3902" s="100"/>
      <c r="Y3902" s="100"/>
    </row>
    <row r="3903">
      <c r="R3903" s="100"/>
      <c r="V3903" s="100"/>
      <c r="Y3903" s="100"/>
    </row>
    <row r="3904">
      <c r="R3904" s="100"/>
      <c r="V3904" s="100"/>
      <c r="Y3904" s="100"/>
    </row>
    <row r="3905">
      <c r="R3905" s="100"/>
      <c r="V3905" s="100"/>
      <c r="Y3905" s="100"/>
    </row>
    <row r="3906">
      <c r="R3906" s="100"/>
      <c r="V3906" s="100"/>
      <c r="Y3906" s="100"/>
    </row>
    <row r="3907">
      <c r="R3907" s="100"/>
      <c r="V3907" s="100"/>
      <c r="Y3907" s="100"/>
    </row>
    <row r="3908">
      <c r="R3908" s="100"/>
      <c r="V3908" s="100"/>
      <c r="Y3908" s="100"/>
    </row>
    <row r="3909">
      <c r="R3909" s="100"/>
      <c r="V3909" s="100"/>
      <c r="Y3909" s="100"/>
    </row>
    <row r="3910">
      <c r="R3910" s="100"/>
      <c r="V3910" s="100"/>
      <c r="Y3910" s="100"/>
    </row>
    <row r="3911">
      <c r="R3911" s="100"/>
      <c r="V3911" s="100"/>
      <c r="Y3911" s="100"/>
    </row>
    <row r="3912">
      <c r="R3912" s="100"/>
      <c r="V3912" s="100"/>
      <c r="Y3912" s="100"/>
    </row>
    <row r="3913">
      <c r="R3913" s="100"/>
      <c r="V3913" s="100"/>
      <c r="Y3913" s="100"/>
    </row>
    <row r="3914">
      <c r="R3914" s="100"/>
      <c r="V3914" s="100"/>
      <c r="Y3914" s="100"/>
    </row>
    <row r="3915">
      <c r="R3915" s="100"/>
      <c r="V3915" s="100"/>
      <c r="Y3915" s="100"/>
    </row>
    <row r="3916">
      <c r="R3916" s="100"/>
      <c r="V3916" s="100"/>
      <c r="Y3916" s="100"/>
    </row>
    <row r="3917">
      <c r="R3917" s="100"/>
      <c r="V3917" s="100"/>
      <c r="Y3917" s="100"/>
    </row>
    <row r="3918">
      <c r="R3918" s="100"/>
      <c r="V3918" s="100"/>
      <c r="Y3918" s="100"/>
    </row>
    <row r="3919">
      <c r="R3919" s="100"/>
      <c r="V3919" s="100"/>
      <c r="Y3919" s="100"/>
    </row>
    <row r="3920">
      <c r="R3920" s="100"/>
      <c r="V3920" s="100"/>
      <c r="Y3920" s="100"/>
    </row>
    <row r="3921">
      <c r="R3921" s="100"/>
      <c r="V3921" s="100"/>
      <c r="Y3921" s="100"/>
    </row>
    <row r="3922">
      <c r="R3922" s="100"/>
      <c r="V3922" s="100"/>
      <c r="Y3922" s="100"/>
    </row>
    <row r="3923">
      <c r="R3923" s="100"/>
      <c r="V3923" s="100"/>
      <c r="Y3923" s="100"/>
    </row>
    <row r="3924">
      <c r="R3924" s="100"/>
      <c r="V3924" s="100"/>
      <c r="Y3924" s="100"/>
    </row>
    <row r="3925">
      <c r="R3925" s="100"/>
      <c r="V3925" s="100"/>
      <c r="Y3925" s="100"/>
    </row>
    <row r="3926">
      <c r="R3926" s="100"/>
      <c r="V3926" s="100"/>
      <c r="Y3926" s="100"/>
    </row>
    <row r="3927">
      <c r="R3927" s="100"/>
      <c r="V3927" s="100"/>
      <c r="Y3927" s="100"/>
    </row>
    <row r="3928">
      <c r="R3928" s="100"/>
      <c r="V3928" s="100"/>
      <c r="Y3928" s="100"/>
    </row>
    <row r="3929">
      <c r="R3929" s="100"/>
      <c r="V3929" s="100"/>
      <c r="Y3929" s="100"/>
    </row>
    <row r="3930">
      <c r="R3930" s="100"/>
      <c r="V3930" s="100"/>
      <c r="Y3930" s="100"/>
    </row>
    <row r="3931">
      <c r="R3931" s="100"/>
      <c r="V3931" s="100"/>
      <c r="Y3931" s="100"/>
    </row>
    <row r="3932">
      <c r="R3932" s="100"/>
      <c r="V3932" s="100"/>
      <c r="Y3932" s="100"/>
    </row>
    <row r="3933">
      <c r="R3933" s="100"/>
      <c r="V3933" s="100"/>
      <c r="Y3933" s="100"/>
    </row>
    <row r="3934">
      <c r="R3934" s="100"/>
      <c r="V3934" s="100"/>
      <c r="Y3934" s="100"/>
    </row>
    <row r="3935">
      <c r="R3935" s="100"/>
      <c r="V3935" s="100"/>
      <c r="Y3935" s="100"/>
    </row>
    <row r="3936">
      <c r="R3936" s="100"/>
      <c r="V3936" s="100"/>
      <c r="Y3936" s="100"/>
    </row>
    <row r="3937">
      <c r="R3937" s="100"/>
      <c r="V3937" s="100"/>
      <c r="Y3937" s="100"/>
    </row>
    <row r="3938">
      <c r="R3938" s="100"/>
      <c r="V3938" s="100"/>
      <c r="Y3938" s="100"/>
    </row>
    <row r="3939">
      <c r="R3939" s="100"/>
      <c r="V3939" s="100"/>
      <c r="Y3939" s="100"/>
    </row>
    <row r="3940">
      <c r="R3940" s="100"/>
      <c r="V3940" s="100"/>
      <c r="Y3940" s="100"/>
    </row>
    <row r="3941">
      <c r="R3941" s="100"/>
      <c r="V3941" s="100"/>
      <c r="Y3941" s="100"/>
    </row>
    <row r="3942">
      <c r="R3942" s="100"/>
      <c r="V3942" s="100"/>
      <c r="Y3942" s="100"/>
    </row>
    <row r="3943">
      <c r="R3943" s="100"/>
      <c r="V3943" s="100"/>
      <c r="Y3943" s="100"/>
    </row>
    <row r="3944">
      <c r="R3944" s="100"/>
      <c r="V3944" s="100"/>
      <c r="Y3944" s="100"/>
    </row>
    <row r="3945">
      <c r="R3945" s="100"/>
      <c r="V3945" s="100"/>
      <c r="Y3945" s="100"/>
    </row>
    <row r="3946">
      <c r="R3946" s="100"/>
      <c r="V3946" s="100"/>
      <c r="Y3946" s="100"/>
    </row>
    <row r="3947">
      <c r="R3947" s="100"/>
      <c r="V3947" s="100"/>
      <c r="Y3947" s="100"/>
    </row>
    <row r="3948">
      <c r="R3948" s="100"/>
      <c r="V3948" s="100"/>
      <c r="Y3948" s="100"/>
    </row>
    <row r="3949">
      <c r="R3949" s="100"/>
      <c r="V3949" s="100"/>
      <c r="Y3949" s="100"/>
    </row>
    <row r="3950">
      <c r="R3950" s="100"/>
      <c r="V3950" s="100"/>
      <c r="Y3950" s="100"/>
    </row>
    <row r="3951">
      <c r="R3951" s="100"/>
      <c r="V3951" s="100"/>
      <c r="Y3951" s="100"/>
    </row>
    <row r="3952">
      <c r="R3952" s="100"/>
      <c r="V3952" s="100"/>
      <c r="Y3952" s="100"/>
    </row>
    <row r="3953">
      <c r="R3953" s="100"/>
      <c r="V3953" s="100"/>
      <c r="Y3953" s="100"/>
    </row>
    <row r="3954">
      <c r="R3954" s="100"/>
      <c r="V3954" s="100"/>
      <c r="Y3954" s="100"/>
    </row>
    <row r="3955">
      <c r="R3955" s="100"/>
      <c r="V3955" s="100"/>
      <c r="Y3955" s="100"/>
    </row>
    <row r="3956">
      <c r="R3956" s="100"/>
      <c r="V3956" s="100"/>
      <c r="Y3956" s="100"/>
    </row>
    <row r="3957">
      <c r="R3957" s="100"/>
      <c r="V3957" s="100"/>
      <c r="Y3957" s="100"/>
    </row>
    <row r="3958">
      <c r="R3958" s="100"/>
      <c r="V3958" s="100"/>
      <c r="Y3958" s="100"/>
    </row>
    <row r="3959">
      <c r="R3959" s="100"/>
      <c r="V3959" s="100"/>
      <c r="Y3959" s="100"/>
    </row>
    <row r="3960">
      <c r="R3960" s="100"/>
      <c r="V3960" s="100"/>
      <c r="Y3960" s="100"/>
    </row>
    <row r="3961">
      <c r="R3961" s="100"/>
      <c r="V3961" s="100"/>
      <c r="Y3961" s="100"/>
    </row>
    <row r="3962">
      <c r="R3962" s="100"/>
      <c r="V3962" s="100"/>
      <c r="Y3962" s="100"/>
    </row>
    <row r="3963">
      <c r="R3963" s="100"/>
      <c r="V3963" s="100"/>
      <c r="Y3963" s="100"/>
    </row>
    <row r="3964">
      <c r="R3964" s="100"/>
      <c r="V3964" s="100"/>
      <c r="Y3964" s="100"/>
    </row>
    <row r="3965">
      <c r="R3965" s="100"/>
      <c r="V3965" s="100"/>
      <c r="Y3965" s="100"/>
    </row>
    <row r="3966">
      <c r="R3966" s="100"/>
      <c r="V3966" s="100"/>
      <c r="Y3966" s="100"/>
    </row>
    <row r="3967">
      <c r="R3967" s="100"/>
      <c r="V3967" s="100"/>
      <c r="Y3967" s="100"/>
    </row>
    <row r="3968">
      <c r="R3968" s="100"/>
      <c r="V3968" s="100"/>
      <c r="Y3968" s="100"/>
    </row>
    <row r="3969">
      <c r="R3969" s="100"/>
      <c r="V3969" s="100"/>
      <c r="Y3969" s="100"/>
    </row>
    <row r="3970">
      <c r="R3970" s="100"/>
      <c r="V3970" s="100"/>
      <c r="Y3970" s="100"/>
    </row>
    <row r="3971">
      <c r="R3971" s="100"/>
      <c r="V3971" s="100"/>
      <c r="Y3971" s="100"/>
    </row>
    <row r="3972">
      <c r="R3972" s="100"/>
      <c r="V3972" s="100"/>
      <c r="Y3972" s="100"/>
    </row>
    <row r="3973">
      <c r="R3973" s="100"/>
      <c r="V3973" s="100"/>
      <c r="Y3973" s="100"/>
    </row>
    <row r="3974">
      <c r="R3974" s="100"/>
      <c r="V3974" s="100"/>
      <c r="Y3974" s="100"/>
    </row>
    <row r="3975">
      <c r="R3975" s="100"/>
      <c r="V3975" s="100"/>
      <c r="Y3975" s="100"/>
    </row>
    <row r="3976">
      <c r="R3976" s="100"/>
      <c r="V3976" s="100"/>
      <c r="Y3976" s="100"/>
    </row>
    <row r="3977">
      <c r="R3977" s="100"/>
      <c r="V3977" s="100"/>
      <c r="Y3977" s="100"/>
    </row>
    <row r="3978">
      <c r="R3978" s="100"/>
      <c r="V3978" s="100"/>
      <c r="Y3978" s="100"/>
    </row>
    <row r="3979">
      <c r="R3979" s="100"/>
      <c r="V3979" s="100"/>
      <c r="Y3979" s="100"/>
    </row>
    <row r="3980">
      <c r="R3980" s="100"/>
      <c r="V3980" s="100"/>
      <c r="Y3980" s="100"/>
    </row>
    <row r="3981">
      <c r="R3981" s="100"/>
      <c r="V3981" s="100"/>
      <c r="Y3981" s="100"/>
    </row>
    <row r="3982">
      <c r="R3982" s="100"/>
      <c r="V3982" s="100"/>
      <c r="Y3982" s="100"/>
    </row>
    <row r="3983">
      <c r="R3983" s="100"/>
      <c r="V3983" s="100"/>
      <c r="Y3983" s="100"/>
    </row>
    <row r="3984">
      <c r="R3984" s="100"/>
      <c r="V3984" s="100"/>
      <c r="Y3984" s="100"/>
    </row>
    <row r="3985">
      <c r="R3985" s="100"/>
      <c r="V3985" s="100"/>
      <c r="Y3985" s="100"/>
    </row>
    <row r="3986">
      <c r="R3986" s="100"/>
      <c r="V3986" s="100"/>
      <c r="Y3986" s="100"/>
    </row>
    <row r="3987">
      <c r="R3987" s="100"/>
      <c r="V3987" s="100"/>
      <c r="Y3987" s="100"/>
    </row>
    <row r="3988">
      <c r="R3988" s="100"/>
      <c r="V3988" s="100"/>
      <c r="Y3988" s="100"/>
    </row>
    <row r="3989">
      <c r="R3989" s="100"/>
      <c r="V3989" s="100"/>
      <c r="Y3989" s="100"/>
    </row>
    <row r="3990">
      <c r="R3990" s="100"/>
      <c r="V3990" s="100"/>
      <c r="Y3990" s="100"/>
    </row>
    <row r="3991">
      <c r="R3991" s="100"/>
      <c r="V3991" s="100"/>
      <c r="Y3991" s="100"/>
    </row>
    <row r="3992">
      <c r="R3992" s="100"/>
      <c r="V3992" s="100"/>
      <c r="Y3992" s="100"/>
    </row>
    <row r="3993">
      <c r="R3993" s="100"/>
      <c r="V3993" s="100"/>
      <c r="Y3993" s="100"/>
    </row>
    <row r="3994">
      <c r="R3994" s="100"/>
      <c r="V3994" s="100"/>
      <c r="Y3994" s="100"/>
    </row>
    <row r="3995">
      <c r="R3995" s="100"/>
      <c r="V3995" s="100"/>
      <c r="Y3995" s="100"/>
    </row>
    <row r="3996">
      <c r="R3996" s="100"/>
      <c r="V3996" s="100"/>
      <c r="Y3996" s="100"/>
    </row>
    <row r="3997">
      <c r="R3997" s="100"/>
      <c r="V3997" s="100"/>
      <c r="Y3997" s="100"/>
    </row>
    <row r="3998">
      <c r="R3998" s="100"/>
      <c r="V3998" s="100"/>
      <c r="Y3998" s="100"/>
    </row>
    <row r="3999">
      <c r="R3999" s="100"/>
      <c r="V3999" s="100"/>
      <c r="Y3999" s="100"/>
    </row>
    <row r="4000">
      <c r="R4000" s="100"/>
      <c r="V4000" s="100"/>
      <c r="Y4000" s="100"/>
    </row>
    <row r="4001">
      <c r="R4001" s="100"/>
      <c r="V4001" s="100"/>
      <c r="Y4001" s="100"/>
    </row>
    <row r="4002">
      <c r="R4002" s="100"/>
      <c r="V4002" s="100"/>
      <c r="Y4002" s="100"/>
    </row>
    <row r="4003">
      <c r="R4003" s="100"/>
      <c r="V4003" s="100"/>
      <c r="Y4003" s="100"/>
    </row>
    <row r="4004">
      <c r="R4004" s="100"/>
      <c r="V4004" s="100"/>
      <c r="Y4004" s="100"/>
    </row>
    <row r="4005">
      <c r="R4005" s="100"/>
      <c r="V4005" s="100"/>
      <c r="Y4005" s="100"/>
    </row>
    <row r="4006">
      <c r="R4006" s="100"/>
      <c r="V4006" s="100"/>
      <c r="Y4006" s="100"/>
    </row>
    <row r="4007">
      <c r="R4007" s="100"/>
      <c r="V4007" s="100"/>
      <c r="Y4007" s="100"/>
    </row>
    <row r="4008">
      <c r="R4008" s="100"/>
      <c r="V4008" s="100"/>
      <c r="Y4008" s="100"/>
    </row>
    <row r="4009">
      <c r="R4009" s="100"/>
      <c r="V4009" s="100"/>
      <c r="Y4009" s="100"/>
    </row>
    <row r="4010">
      <c r="R4010" s="100"/>
      <c r="V4010" s="100"/>
      <c r="Y4010" s="100"/>
    </row>
    <row r="4011">
      <c r="R4011" s="100"/>
      <c r="V4011" s="100"/>
      <c r="Y4011" s="100"/>
    </row>
    <row r="4012">
      <c r="R4012" s="100"/>
      <c r="V4012" s="100"/>
      <c r="Y4012" s="100"/>
    </row>
    <row r="4013">
      <c r="R4013" s="100"/>
      <c r="V4013" s="100"/>
      <c r="Y4013" s="100"/>
    </row>
    <row r="4014">
      <c r="R4014" s="100"/>
      <c r="V4014" s="100"/>
      <c r="Y4014" s="100"/>
    </row>
    <row r="4015">
      <c r="R4015" s="100"/>
      <c r="V4015" s="100"/>
      <c r="Y4015" s="100"/>
    </row>
    <row r="4016">
      <c r="R4016" s="100"/>
      <c r="V4016" s="100"/>
      <c r="Y4016" s="100"/>
    </row>
    <row r="4017">
      <c r="R4017" s="100"/>
      <c r="V4017" s="100"/>
      <c r="Y4017" s="100"/>
    </row>
    <row r="4018">
      <c r="R4018" s="100"/>
      <c r="V4018" s="100"/>
      <c r="Y4018" s="100"/>
    </row>
    <row r="4019">
      <c r="R4019" s="100"/>
      <c r="V4019" s="100"/>
      <c r="Y4019" s="100"/>
    </row>
    <row r="4020">
      <c r="R4020" s="100"/>
      <c r="V4020" s="100"/>
      <c r="Y4020" s="100"/>
    </row>
    <row r="4021">
      <c r="R4021" s="100"/>
      <c r="V4021" s="100"/>
      <c r="Y4021" s="100"/>
    </row>
    <row r="4022">
      <c r="R4022" s="100"/>
      <c r="V4022" s="100"/>
      <c r="Y4022" s="100"/>
    </row>
    <row r="4023">
      <c r="R4023" s="100"/>
      <c r="V4023" s="100"/>
      <c r="Y4023" s="100"/>
    </row>
    <row r="4024">
      <c r="R4024" s="100"/>
      <c r="V4024" s="100"/>
      <c r="Y4024" s="100"/>
    </row>
    <row r="4025">
      <c r="R4025" s="100"/>
      <c r="V4025" s="100"/>
      <c r="Y4025" s="100"/>
    </row>
    <row r="4026">
      <c r="R4026" s="100"/>
      <c r="V4026" s="100"/>
      <c r="Y4026" s="100"/>
    </row>
    <row r="4027">
      <c r="R4027" s="100"/>
      <c r="V4027" s="100"/>
      <c r="Y4027" s="100"/>
    </row>
    <row r="4028">
      <c r="R4028" s="100"/>
      <c r="V4028" s="100"/>
      <c r="Y4028" s="100"/>
    </row>
    <row r="4029">
      <c r="R4029" s="100"/>
      <c r="V4029" s="100"/>
      <c r="Y4029" s="100"/>
    </row>
    <row r="4030">
      <c r="R4030" s="100"/>
      <c r="V4030" s="100"/>
      <c r="Y4030" s="100"/>
    </row>
    <row r="4031">
      <c r="R4031" s="100"/>
      <c r="V4031" s="100"/>
      <c r="Y4031" s="100"/>
    </row>
    <row r="4032">
      <c r="R4032" s="100"/>
      <c r="V4032" s="100"/>
      <c r="Y4032" s="100"/>
    </row>
    <row r="4033">
      <c r="R4033" s="100"/>
      <c r="V4033" s="100"/>
      <c r="Y4033" s="100"/>
    </row>
    <row r="4034">
      <c r="R4034" s="100"/>
      <c r="V4034" s="100"/>
      <c r="Y4034" s="100"/>
    </row>
    <row r="4035">
      <c r="R4035" s="100"/>
      <c r="V4035" s="100"/>
      <c r="Y4035" s="100"/>
    </row>
    <row r="4036">
      <c r="R4036" s="100"/>
      <c r="V4036" s="100"/>
      <c r="Y4036" s="100"/>
    </row>
    <row r="4037">
      <c r="R4037" s="100"/>
      <c r="V4037" s="100"/>
      <c r="Y4037" s="100"/>
    </row>
    <row r="4038">
      <c r="R4038" s="100"/>
      <c r="V4038" s="100"/>
      <c r="Y4038" s="100"/>
    </row>
    <row r="4039">
      <c r="R4039" s="100"/>
      <c r="V4039" s="100"/>
      <c r="Y4039" s="100"/>
    </row>
    <row r="4040">
      <c r="R4040" s="100"/>
      <c r="V4040" s="100"/>
      <c r="Y4040" s="100"/>
    </row>
    <row r="4041">
      <c r="R4041" s="100"/>
      <c r="V4041" s="100"/>
      <c r="Y4041" s="100"/>
    </row>
    <row r="4042">
      <c r="R4042" s="100"/>
      <c r="V4042" s="100"/>
      <c r="Y4042" s="100"/>
    </row>
    <row r="4043">
      <c r="R4043" s="100"/>
      <c r="V4043" s="100"/>
      <c r="Y4043" s="100"/>
    </row>
    <row r="4044">
      <c r="R4044" s="100"/>
      <c r="V4044" s="100"/>
      <c r="Y4044" s="100"/>
    </row>
    <row r="4045">
      <c r="R4045" s="100"/>
      <c r="V4045" s="100"/>
      <c r="Y4045" s="100"/>
    </row>
    <row r="4046">
      <c r="R4046" s="100"/>
      <c r="V4046" s="100"/>
      <c r="Y4046" s="100"/>
    </row>
    <row r="4047">
      <c r="R4047" s="100"/>
      <c r="V4047" s="100"/>
      <c r="Y4047" s="100"/>
    </row>
    <row r="4048">
      <c r="R4048" s="100"/>
      <c r="V4048" s="100"/>
      <c r="Y4048" s="100"/>
    </row>
    <row r="4049">
      <c r="R4049" s="100"/>
      <c r="V4049" s="100"/>
      <c r="Y4049" s="100"/>
    </row>
    <row r="4050">
      <c r="R4050" s="100"/>
      <c r="V4050" s="100"/>
      <c r="Y4050" s="100"/>
    </row>
    <row r="4051">
      <c r="R4051" s="100"/>
      <c r="V4051" s="100"/>
      <c r="Y4051" s="100"/>
    </row>
    <row r="4052">
      <c r="R4052" s="100"/>
      <c r="V4052" s="100"/>
      <c r="Y4052" s="100"/>
    </row>
    <row r="4053">
      <c r="R4053" s="100"/>
      <c r="V4053" s="100"/>
      <c r="Y4053" s="100"/>
    </row>
    <row r="4054">
      <c r="R4054" s="100"/>
      <c r="V4054" s="100"/>
      <c r="Y4054" s="100"/>
    </row>
    <row r="4055">
      <c r="R4055" s="100"/>
      <c r="V4055" s="100"/>
      <c r="Y4055" s="100"/>
    </row>
    <row r="4056">
      <c r="R4056" s="100"/>
      <c r="V4056" s="100"/>
      <c r="Y4056" s="100"/>
    </row>
    <row r="4057">
      <c r="R4057" s="100"/>
      <c r="V4057" s="100"/>
      <c r="Y4057" s="100"/>
    </row>
    <row r="4058">
      <c r="R4058" s="100"/>
      <c r="V4058" s="100"/>
      <c r="Y4058" s="100"/>
    </row>
    <row r="4059">
      <c r="R4059" s="100"/>
      <c r="V4059" s="100"/>
      <c r="Y4059" s="100"/>
    </row>
    <row r="4060">
      <c r="R4060" s="100"/>
      <c r="V4060" s="100"/>
      <c r="Y4060" s="100"/>
    </row>
    <row r="4061">
      <c r="R4061" s="100"/>
      <c r="V4061" s="100"/>
      <c r="Y4061" s="100"/>
    </row>
    <row r="4062">
      <c r="R4062" s="100"/>
      <c r="V4062" s="100"/>
      <c r="Y4062" s="100"/>
    </row>
    <row r="4063">
      <c r="R4063" s="100"/>
      <c r="V4063" s="100"/>
      <c r="Y4063" s="100"/>
    </row>
    <row r="4064">
      <c r="R4064" s="100"/>
      <c r="V4064" s="100"/>
      <c r="Y4064" s="100"/>
    </row>
    <row r="4065">
      <c r="R4065" s="100"/>
      <c r="V4065" s="100"/>
      <c r="Y4065" s="100"/>
    </row>
    <row r="4066">
      <c r="R4066" s="100"/>
      <c r="V4066" s="100"/>
      <c r="Y4066" s="100"/>
    </row>
    <row r="4067">
      <c r="R4067" s="100"/>
      <c r="V4067" s="100"/>
      <c r="Y4067" s="100"/>
    </row>
    <row r="4068">
      <c r="R4068" s="100"/>
      <c r="V4068" s="100"/>
      <c r="Y4068" s="100"/>
    </row>
    <row r="4069">
      <c r="R4069" s="100"/>
      <c r="V4069" s="100"/>
      <c r="Y4069" s="100"/>
    </row>
    <row r="4070">
      <c r="R4070" s="100"/>
      <c r="V4070" s="100"/>
      <c r="Y4070" s="100"/>
    </row>
    <row r="4071">
      <c r="R4071" s="100"/>
      <c r="V4071" s="100"/>
      <c r="Y4071" s="100"/>
    </row>
    <row r="4072">
      <c r="R4072" s="100"/>
      <c r="V4072" s="100"/>
      <c r="Y4072" s="100"/>
    </row>
    <row r="4073">
      <c r="R4073" s="100"/>
      <c r="V4073" s="100"/>
      <c r="Y4073" s="100"/>
    </row>
    <row r="4074">
      <c r="R4074" s="100"/>
      <c r="V4074" s="100"/>
      <c r="Y4074" s="100"/>
    </row>
    <row r="4075">
      <c r="R4075" s="100"/>
      <c r="V4075" s="100"/>
      <c r="Y4075" s="100"/>
    </row>
    <row r="4076">
      <c r="R4076" s="100"/>
      <c r="V4076" s="100"/>
      <c r="Y4076" s="100"/>
    </row>
    <row r="4077">
      <c r="R4077" s="100"/>
      <c r="V4077" s="100"/>
      <c r="Y4077" s="100"/>
    </row>
    <row r="4078">
      <c r="R4078" s="100"/>
      <c r="V4078" s="100"/>
      <c r="Y4078" s="100"/>
    </row>
    <row r="4079">
      <c r="R4079" s="100"/>
      <c r="V4079" s="100"/>
      <c r="Y4079" s="100"/>
    </row>
    <row r="4080">
      <c r="R4080" s="100"/>
      <c r="V4080" s="100"/>
      <c r="Y4080" s="100"/>
    </row>
    <row r="4081">
      <c r="R4081" s="100"/>
      <c r="V4081" s="100"/>
      <c r="Y4081" s="100"/>
    </row>
    <row r="4082">
      <c r="R4082" s="100"/>
      <c r="V4082" s="100"/>
      <c r="Y4082" s="100"/>
    </row>
    <row r="4083">
      <c r="R4083" s="100"/>
      <c r="V4083" s="100"/>
      <c r="Y4083" s="100"/>
    </row>
    <row r="4084">
      <c r="R4084" s="100"/>
      <c r="V4084" s="100"/>
      <c r="Y4084" s="100"/>
    </row>
    <row r="4085">
      <c r="R4085" s="100"/>
      <c r="V4085" s="100"/>
      <c r="Y4085" s="100"/>
    </row>
    <row r="4086">
      <c r="R4086" s="100"/>
      <c r="V4086" s="100"/>
      <c r="Y4086" s="100"/>
    </row>
    <row r="4087">
      <c r="R4087" s="100"/>
      <c r="V4087" s="100"/>
      <c r="Y4087" s="100"/>
    </row>
    <row r="4088">
      <c r="R4088" s="100"/>
      <c r="V4088" s="100"/>
      <c r="Y4088" s="100"/>
    </row>
    <row r="4089">
      <c r="R4089" s="100"/>
      <c r="V4089" s="100"/>
      <c r="Y4089" s="100"/>
    </row>
    <row r="4090">
      <c r="R4090" s="100"/>
      <c r="V4090" s="100"/>
      <c r="Y4090" s="100"/>
    </row>
    <row r="4091">
      <c r="R4091" s="100"/>
      <c r="V4091" s="100"/>
      <c r="Y4091" s="100"/>
    </row>
    <row r="4092">
      <c r="R4092" s="100"/>
      <c r="V4092" s="100"/>
      <c r="Y4092" s="100"/>
    </row>
    <row r="4093">
      <c r="R4093" s="100"/>
      <c r="V4093" s="100"/>
      <c r="Y4093" s="100"/>
    </row>
    <row r="4094">
      <c r="R4094" s="100"/>
      <c r="V4094" s="100"/>
      <c r="Y4094" s="100"/>
    </row>
    <row r="4095">
      <c r="R4095" s="100"/>
      <c r="V4095" s="100"/>
      <c r="Y4095" s="100"/>
    </row>
    <row r="4096">
      <c r="R4096" s="100"/>
      <c r="V4096" s="100"/>
      <c r="Y4096" s="100"/>
    </row>
    <row r="4097">
      <c r="R4097" s="100"/>
      <c r="V4097" s="100"/>
      <c r="Y4097" s="100"/>
    </row>
    <row r="4098">
      <c r="R4098" s="100"/>
      <c r="V4098" s="100"/>
      <c r="Y4098" s="100"/>
    </row>
    <row r="4099">
      <c r="R4099" s="100"/>
      <c r="V4099" s="100"/>
      <c r="Y4099" s="100"/>
    </row>
    <row r="4100">
      <c r="R4100" s="100"/>
      <c r="V4100" s="100"/>
      <c r="Y4100" s="100"/>
    </row>
    <row r="4101">
      <c r="R4101" s="100"/>
      <c r="V4101" s="100"/>
      <c r="Y4101" s="100"/>
    </row>
    <row r="4102">
      <c r="R4102" s="100"/>
      <c r="V4102" s="100"/>
      <c r="Y4102" s="100"/>
    </row>
    <row r="4103">
      <c r="R4103" s="100"/>
      <c r="V4103" s="100"/>
      <c r="Y4103" s="100"/>
    </row>
    <row r="4104">
      <c r="R4104" s="100"/>
      <c r="V4104" s="100"/>
      <c r="Y4104" s="100"/>
    </row>
    <row r="4105">
      <c r="R4105" s="100"/>
      <c r="V4105" s="100"/>
      <c r="Y4105" s="100"/>
    </row>
    <row r="4106">
      <c r="R4106" s="100"/>
      <c r="V4106" s="100"/>
      <c r="Y4106" s="100"/>
    </row>
    <row r="4107">
      <c r="R4107" s="100"/>
      <c r="V4107" s="100"/>
      <c r="Y4107" s="100"/>
    </row>
    <row r="4108">
      <c r="R4108" s="100"/>
      <c r="V4108" s="100"/>
      <c r="Y4108" s="100"/>
    </row>
    <row r="4109">
      <c r="R4109" s="100"/>
      <c r="V4109" s="100"/>
      <c r="Y4109" s="100"/>
    </row>
    <row r="4110">
      <c r="R4110" s="100"/>
      <c r="V4110" s="100"/>
      <c r="Y4110" s="100"/>
    </row>
    <row r="4111">
      <c r="R4111" s="100"/>
      <c r="V4111" s="100"/>
      <c r="Y4111" s="100"/>
    </row>
    <row r="4112">
      <c r="R4112" s="100"/>
      <c r="V4112" s="100"/>
      <c r="Y4112" s="100"/>
    </row>
    <row r="4113">
      <c r="R4113" s="100"/>
      <c r="V4113" s="100"/>
      <c r="Y4113" s="100"/>
    </row>
    <row r="4114">
      <c r="R4114" s="100"/>
      <c r="V4114" s="100"/>
      <c r="Y4114" s="100"/>
    </row>
    <row r="4115">
      <c r="R4115" s="100"/>
      <c r="V4115" s="100"/>
      <c r="Y4115" s="100"/>
    </row>
    <row r="4116">
      <c r="R4116" s="100"/>
      <c r="V4116" s="100"/>
      <c r="Y4116" s="100"/>
    </row>
    <row r="4117">
      <c r="R4117" s="100"/>
      <c r="V4117" s="100"/>
      <c r="Y4117" s="100"/>
    </row>
    <row r="4118">
      <c r="R4118" s="100"/>
      <c r="V4118" s="100"/>
      <c r="Y4118" s="100"/>
    </row>
    <row r="4119">
      <c r="R4119" s="100"/>
      <c r="V4119" s="100"/>
      <c r="Y4119" s="100"/>
    </row>
    <row r="4120">
      <c r="R4120" s="100"/>
      <c r="V4120" s="100"/>
      <c r="Y4120" s="100"/>
    </row>
    <row r="4121">
      <c r="R4121" s="100"/>
      <c r="V4121" s="100"/>
      <c r="Y4121" s="100"/>
    </row>
    <row r="4122">
      <c r="R4122" s="100"/>
      <c r="V4122" s="100"/>
      <c r="Y4122" s="100"/>
    </row>
    <row r="4123">
      <c r="R4123" s="100"/>
      <c r="V4123" s="100"/>
      <c r="Y4123" s="100"/>
    </row>
    <row r="4124">
      <c r="R4124" s="100"/>
      <c r="V4124" s="100"/>
      <c r="Y4124" s="100"/>
    </row>
    <row r="4125">
      <c r="R4125" s="100"/>
      <c r="V4125" s="100"/>
      <c r="Y4125" s="100"/>
    </row>
    <row r="4126">
      <c r="R4126" s="100"/>
      <c r="V4126" s="100"/>
      <c r="Y4126" s="100"/>
    </row>
    <row r="4127">
      <c r="R4127" s="100"/>
      <c r="V4127" s="100"/>
      <c r="Y4127" s="100"/>
    </row>
    <row r="4128">
      <c r="R4128" s="100"/>
      <c r="V4128" s="100"/>
      <c r="Y4128" s="100"/>
    </row>
    <row r="4129">
      <c r="R4129" s="100"/>
      <c r="V4129" s="100"/>
      <c r="Y4129" s="100"/>
    </row>
    <row r="4130">
      <c r="R4130" s="100"/>
      <c r="V4130" s="100"/>
      <c r="Y4130" s="100"/>
    </row>
    <row r="4131">
      <c r="R4131" s="100"/>
      <c r="V4131" s="100"/>
      <c r="Y4131" s="100"/>
    </row>
    <row r="4132">
      <c r="R4132" s="100"/>
      <c r="V4132" s="100"/>
      <c r="Y4132" s="100"/>
    </row>
    <row r="4133">
      <c r="R4133" s="100"/>
      <c r="V4133" s="100"/>
      <c r="Y4133" s="100"/>
    </row>
    <row r="4134">
      <c r="R4134" s="100"/>
      <c r="V4134" s="100"/>
      <c r="Y4134" s="100"/>
    </row>
    <row r="4135">
      <c r="R4135" s="100"/>
      <c r="V4135" s="100"/>
      <c r="Y4135" s="100"/>
    </row>
    <row r="4136">
      <c r="R4136" s="100"/>
      <c r="V4136" s="100"/>
      <c r="Y4136" s="100"/>
    </row>
    <row r="4137">
      <c r="R4137" s="100"/>
      <c r="V4137" s="100"/>
      <c r="Y4137" s="100"/>
    </row>
    <row r="4138">
      <c r="R4138" s="100"/>
      <c r="V4138" s="100"/>
      <c r="Y4138" s="100"/>
    </row>
    <row r="4139">
      <c r="R4139" s="100"/>
      <c r="V4139" s="100"/>
      <c r="Y4139" s="100"/>
    </row>
    <row r="4140">
      <c r="R4140" s="100"/>
      <c r="V4140" s="100"/>
      <c r="Y4140" s="100"/>
    </row>
    <row r="4141">
      <c r="R4141" s="100"/>
      <c r="V4141" s="100"/>
      <c r="Y4141" s="100"/>
    </row>
    <row r="4142">
      <c r="R4142" s="100"/>
      <c r="V4142" s="100"/>
      <c r="Y4142" s="100"/>
    </row>
    <row r="4143">
      <c r="R4143" s="100"/>
      <c r="V4143" s="100"/>
      <c r="Y4143" s="100"/>
    </row>
    <row r="4144">
      <c r="R4144" s="100"/>
      <c r="V4144" s="100"/>
      <c r="Y4144" s="100"/>
    </row>
    <row r="4145">
      <c r="R4145" s="100"/>
      <c r="V4145" s="100"/>
      <c r="Y4145" s="100"/>
    </row>
    <row r="4146">
      <c r="R4146" s="100"/>
      <c r="V4146" s="100"/>
      <c r="Y4146" s="100"/>
    </row>
    <row r="4147">
      <c r="R4147" s="100"/>
      <c r="V4147" s="100"/>
      <c r="Y4147" s="100"/>
    </row>
    <row r="4148">
      <c r="R4148" s="100"/>
      <c r="V4148" s="100"/>
      <c r="Y4148" s="100"/>
    </row>
    <row r="4149">
      <c r="R4149" s="100"/>
      <c r="V4149" s="100"/>
      <c r="Y4149" s="100"/>
    </row>
    <row r="4150">
      <c r="R4150" s="100"/>
      <c r="V4150" s="100"/>
      <c r="Y4150" s="100"/>
    </row>
    <row r="4151">
      <c r="R4151" s="100"/>
      <c r="V4151" s="100"/>
      <c r="Y4151" s="100"/>
    </row>
    <row r="4152">
      <c r="R4152" s="100"/>
      <c r="V4152" s="100"/>
      <c r="Y4152" s="100"/>
    </row>
    <row r="4153">
      <c r="R4153" s="100"/>
      <c r="V4153" s="100"/>
      <c r="Y4153" s="100"/>
    </row>
    <row r="4154">
      <c r="R4154" s="100"/>
      <c r="V4154" s="100"/>
      <c r="Y4154" s="100"/>
    </row>
    <row r="4155">
      <c r="R4155" s="100"/>
      <c r="V4155" s="100"/>
      <c r="Y4155" s="100"/>
    </row>
    <row r="4156">
      <c r="R4156" s="100"/>
      <c r="V4156" s="100"/>
      <c r="Y4156" s="100"/>
    </row>
    <row r="4157">
      <c r="R4157" s="100"/>
      <c r="V4157" s="100"/>
      <c r="Y4157" s="100"/>
    </row>
    <row r="4158">
      <c r="R4158" s="100"/>
      <c r="V4158" s="100"/>
      <c r="Y4158" s="100"/>
    </row>
    <row r="4159">
      <c r="R4159" s="100"/>
      <c r="V4159" s="100"/>
      <c r="Y4159" s="100"/>
    </row>
    <row r="4160">
      <c r="R4160" s="100"/>
      <c r="V4160" s="100"/>
      <c r="Y4160" s="100"/>
    </row>
    <row r="4161">
      <c r="R4161" s="100"/>
      <c r="V4161" s="100"/>
      <c r="Y4161" s="100"/>
    </row>
    <row r="4162">
      <c r="R4162" s="100"/>
      <c r="V4162" s="100"/>
      <c r="Y4162" s="100"/>
    </row>
    <row r="4163">
      <c r="R4163" s="100"/>
      <c r="V4163" s="100"/>
      <c r="Y4163" s="100"/>
    </row>
    <row r="4164">
      <c r="R4164" s="100"/>
      <c r="V4164" s="100"/>
      <c r="Y4164" s="100"/>
    </row>
    <row r="4165">
      <c r="R4165" s="100"/>
      <c r="V4165" s="100"/>
      <c r="Y4165" s="100"/>
    </row>
    <row r="4166">
      <c r="R4166" s="100"/>
      <c r="V4166" s="100"/>
      <c r="Y4166" s="100"/>
    </row>
    <row r="4167">
      <c r="R4167" s="100"/>
      <c r="V4167" s="100"/>
      <c r="Y4167" s="100"/>
    </row>
    <row r="4168">
      <c r="R4168" s="100"/>
      <c r="V4168" s="100"/>
      <c r="Y4168" s="100"/>
    </row>
    <row r="4169">
      <c r="R4169" s="100"/>
      <c r="V4169" s="100"/>
      <c r="Y4169" s="100"/>
    </row>
    <row r="4170">
      <c r="R4170" s="100"/>
      <c r="V4170" s="100"/>
      <c r="Y4170" s="100"/>
    </row>
    <row r="4171">
      <c r="R4171" s="100"/>
      <c r="V4171" s="100"/>
      <c r="Y4171" s="100"/>
    </row>
    <row r="4172">
      <c r="R4172" s="100"/>
      <c r="V4172" s="100"/>
      <c r="Y4172" s="100"/>
    </row>
    <row r="4173">
      <c r="R4173" s="100"/>
      <c r="V4173" s="100"/>
      <c r="Y4173" s="100"/>
    </row>
    <row r="4174">
      <c r="R4174" s="100"/>
      <c r="V4174" s="100"/>
      <c r="Y4174" s="100"/>
    </row>
    <row r="4175">
      <c r="R4175" s="100"/>
      <c r="V4175" s="100"/>
      <c r="Y4175" s="100"/>
    </row>
    <row r="4176">
      <c r="R4176" s="100"/>
      <c r="V4176" s="100"/>
      <c r="Y4176" s="100"/>
    </row>
    <row r="4177">
      <c r="R4177" s="100"/>
      <c r="V4177" s="100"/>
      <c r="Y4177" s="100"/>
    </row>
    <row r="4178">
      <c r="R4178" s="100"/>
      <c r="V4178" s="100"/>
      <c r="Y4178" s="100"/>
    </row>
    <row r="4179">
      <c r="R4179" s="100"/>
      <c r="V4179" s="100"/>
      <c r="Y4179" s="100"/>
    </row>
    <row r="4180">
      <c r="R4180" s="100"/>
      <c r="V4180" s="100"/>
      <c r="Y4180" s="100"/>
    </row>
    <row r="4181">
      <c r="R4181" s="100"/>
      <c r="V4181" s="100"/>
      <c r="Y4181" s="100"/>
    </row>
    <row r="4182">
      <c r="R4182" s="100"/>
      <c r="V4182" s="100"/>
      <c r="Y4182" s="100"/>
    </row>
    <row r="4183">
      <c r="R4183" s="100"/>
      <c r="V4183" s="100"/>
      <c r="Y4183" s="100"/>
    </row>
    <row r="4184">
      <c r="R4184" s="100"/>
      <c r="V4184" s="100"/>
      <c r="Y4184" s="100"/>
    </row>
    <row r="4185">
      <c r="R4185" s="100"/>
      <c r="V4185" s="100"/>
      <c r="Y4185" s="100"/>
    </row>
    <row r="4186">
      <c r="R4186" s="100"/>
      <c r="V4186" s="100"/>
      <c r="Y4186" s="100"/>
    </row>
    <row r="4187">
      <c r="R4187" s="100"/>
      <c r="V4187" s="100"/>
      <c r="Y4187" s="100"/>
    </row>
    <row r="4188">
      <c r="R4188" s="100"/>
      <c r="V4188" s="100"/>
      <c r="Y4188" s="100"/>
    </row>
    <row r="4189">
      <c r="R4189" s="100"/>
      <c r="V4189" s="100"/>
      <c r="Y4189" s="100"/>
    </row>
    <row r="4190">
      <c r="R4190" s="100"/>
      <c r="V4190" s="100"/>
      <c r="Y4190" s="100"/>
    </row>
    <row r="4191">
      <c r="R4191" s="100"/>
      <c r="V4191" s="100"/>
      <c r="Y4191" s="100"/>
    </row>
    <row r="4192">
      <c r="R4192" s="100"/>
      <c r="V4192" s="100"/>
      <c r="Y4192" s="100"/>
    </row>
    <row r="4193">
      <c r="R4193" s="100"/>
      <c r="V4193" s="100"/>
      <c r="Y4193" s="100"/>
    </row>
    <row r="4194">
      <c r="R4194" s="100"/>
      <c r="V4194" s="100"/>
      <c r="Y4194" s="100"/>
    </row>
    <row r="4195">
      <c r="R4195" s="100"/>
      <c r="V4195" s="100"/>
      <c r="Y4195" s="100"/>
    </row>
    <row r="4196">
      <c r="R4196" s="100"/>
      <c r="V4196" s="100"/>
      <c r="Y4196" s="100"/>
    </row>
    <row r="4197">
      <c r="R4197" s="100"/>
      <c r="V4197" s="100"/>
      <c r="Y4197" s="100"/>
    </row>
    <row r="4198">
      <c r="R4198" s="100"/>
      <c r="V4198" s="100"/>
      <c r="Y4198" s="100"/>
    </row>
    <row r="4199">
      <c r="R4199" s="100"/>
      <c r="V4199" s="100"/>
      <c r="Y4199" s="100"/>
    </row>
    <row r="4200">
      <c r="R4200" s="100"/>
      <c r="V4200" s="100"/>
      <c r="Y4200" s="100"/>
    </row>
    <row r="4201">
      <c r="R4201" s="100"/>
      <c r="V4201" s="100"/>
      <c r="Y4201" s="100"/>
    </row>
    <row r="4202">
      <c r="R4202" s="100"/>
      <c r="V4202" s="100"/>
      <c r="Y4202" s="100"/>
    </row>
    <row r="4203">
      <c r="R4203" s="100"/>
      <c r="V4203" s="100"/>
      <c r="Y4203" s="100"/>
    </row>
    <row r="4204">
      <c r="R4204" s="100"/>
      <c r="V4204" s="100"/>
      <c r="Y4204" s="100"/>
    </row>
    <row r="4205">
      <c r="R4205" s="100"/>
      <c r="V4205" s="100"/>
      <c r="Y4205" s="100"/>
    </row>
    <row r="4206">
      <c r="R4206" s="100"/>
      <c r="V4206" s="100"/>
      <c r="Y4206" s="100"/>
    </row>
    <row r="4207">
      <c r="R4207" s="100"/>
      <c r="V4207" s="100"/>
      <c r="Y4207" s="100"/>
    </row>
    <row r="4208">
      <c r="R4208" s="100"/>
      <c r="V4208" s="100"/>
      <c r="Y4208" s="100"/>
    </row>
    <row r="4209">
      <c r="R4209" s="100"/>
      <c r="V4209" s="100"/>
      <c r="Y4209" s="100"/>
    </row>
    <row r="4210">
      <c r="R4210" s="100"/>
      <c r="V4210" s="100"/>
      <c r="Y4210" s="100"/>
    </row>
    <row r="4211">
      <c r="R4211" s="100"/>
      <c r="V4211" s="100"/>
      <c r="Y4211" s="100"/>
    </row>
    <row r="4212">
      <c r="R4212" s="100"/>
      <c r="V4212" s="100"/>
      <c r="Y4212" s="100"/>
    </row>
    <row r="4213">
      <c r="R4213" s="100"/>
      <c r="V4213" s="100"/>
      <c r="Y4213" s="100"/>
    </row>
    <row r="4214">
      <c r="R4214" s="100"/>
      <c r="V4214" s="100"/>
      <c r="Y4214" s="100"/>
    </row>
    <row r="4215">
      <c r="R4215" s="100"/>
      <c r="V4215" s="100"/>
      <c r="Y4215" s="100"/>
    </row>
    <row r="4216">
      <c r="R4216" s="100"/>
      <c r="V4216" s="100"/>
      <c r="Y4216" s="100"/>
    </row>
    <row r="4217">
      <c r="R4217" s="100"/>
      <c r="V4217" s="100"/>
      <c r="Y4217" s="100"/>
    </row>
    <row r="4218">
      <c r="R4218" s="100"/>
      <c r="V4218" s="100"/>
      <c r="Y4218" s="100"/>
    </row>
    <row r="4219">
      <c r="R4219" s="100"/>
      <c r="V4219" s="100"/>
      <c r="Y4219" s="100"/>
    </row>
    <row r="4220">
      <c r="R4220" s="100"/>
      <c r="V4220" s="100"/>
      <c r="Y4220" s="100"/>
    </row>
    <row r="4221">
      <c r="R4221" s="100"/>
      <c r="V4221" s="100"/>
      <c r="Y4221" s="100"/>
    </row>
    <row r="4222">
      <c r="R4222" s="100"/>
      <c r="V4222" s="100"/>
      <c r="Y4222" s="100"/>
    </row>
    <row r="4223">
      <c r="R4223" s="100"/>
      <c r="V4223" s="100"/>
      <c r="Y4223" s="100"/>
    </row>
    <row r="4224">
      <c r="R4224" s="100"/>
      <c r="V4224" s="100"/>
      <c r="Y4224" s="100"/>
    </row>
    <row r="4225">
      <c r="R4225" s="100"/>
      <c r="V4225" s="100"/>
      <c r="Y4225" s="100"/>
    </row>
    <row r="4226">
      <c r="R4226" s="100"/>
      <c r="V4226" s="100"/>
      <c r="Y4226" s="100"/>
    </row>
    <row r="4227">
      <c r="R4227" s="100"/>
      <c r="V4227" s="100"/>
      <c r="Y4227" s="100"/>
    </row>
    <row r="4228">
      <c r="R4228" s="100"/>
      <c r="V4228" s="100"/>
      <c r="Y4228" s="100"/>
    </row>
    <row r="4229">
      <c r="R4229" s="100"/>
      <c r="V4229" s="100"/>
      <c r="Y4229" s="100"/>
    </row>
    <row r="4230">
      <c r="R4230" s="100"/>
      <c r="V4230" s="100"/>
      <c r="Y4230" s="100"/>
    </row>
    <row r="4231">
      <c r="R4231" s="100"/>
      <c r="V4231" s="100"/>
      <c r="Y4231" s="100"/>
    </row>
    <row r="4232">
      <c r="R4232" s="100"/>
      <c r="V4232" s="100"/>
      <c r="Y4232" s="100"/>
    </row>
    <row r="4233">
      <c r="R4233" s="100"/>
      <c r="V4233" s="100"/>
      <c r="Y4233" s="100"/>
    </row>
    <row r="4234">
      <c r="R4234" s="100"/>
      <c r="V4234" s="100"/>
      <c r="Y4234" s="100"/>
    </row>
    <row r="4235">
      <c r="R4235" s="100"/>
      <c r="V4235" s="100"/>
      <c r="Y4235" s="100"/>
    </row>
    <row r="4236">
      <c r="R4236" s="100"/>
      <c r="V4236" s="100"/>
      <c r="Y4236" s="100"/>
    </row>
    <row r="4237">
      <c r="R4237" s="100"/>
      <c r="V4237" s="100"/>
      <c r="Y4237" s="100"/>
    </row>
    <row r="4238">
      <c r="R4238" s="100"/>
      <c r="V4238" s="100"/>
      <c r="Y4238" s="100"/>
    </row>
    <row r="4239">
      <c r="R4239" s="100"/>
      <c r="V4239" s="100"/>
      <c r="Y4239" s="100"/>
    </row>
    <row r="4240">
      <c r="R4240" s="100"/>
      <c r="V4240" s="100"/>
      <c r="Y4240" s="100"/>
    </row>
    <row r="4241">
      <c r="R4241" s="100"/>
      <c r="V4241" s="100"/>
      <c r="Y4241" s="100"/>
    </row>
    <row r="4242">
      <c r="R4242" s="100"/>
      <c r="V4242" s="100"/>
      <c r="Y4242" s="100"/>
    </row>
    <row r="4243">
      <c r="R4243" s="100"/>
      <c r="V4243" s="100"/>
      <c r="Y4243" s="100"/>
    </row>
    <row r="4244">
      <c r="R4244" s="100"/>
      <c r="V4244" s="100"/>
      <c r="Y4244" s="100"/>
    </row>
    <row r="4245">
      <c r="R4245" s="100"/>
      <c r="V4245" s="100"/>
      <c r="Y4245" s="100"/>
    </row>
    <row r="4246">
      <c r="R4246" s="100"/>
      <c r="V4246" s="100"/>
      <c r="Y4246" s="100"/>
    </row>
    <row r="4247">
      <c r="R4247" s="100"/>
      <c r="V4247" s="100"/>
      <c r="Y4247" s="100"/>
    </row>
    <row r="4248">
      <c r="R4248" s="100"/>
      <c r="V4248" s="100"/>
      <c r="Y4248" s="100"/>
    </row>
    <row r="4249">
      <c r="R4249" s="100"/>
      <c r="V4249" s="100"/>
      <c r="Y4249" s="100"/>
    </row>
    <row r="4250">
      <c r="R4250" s="100"/>
      <c r="V4250" s="100"/>
      <c r="Y4250" s="100"/>
    </row>
    <row r="4251">
      <c r="R4251" s="100"/>
      <c r="V4251" s="100"/>
      <c r="Y4251" s="100"/>
    </row>
    <row r="4252">
      <c r="R4252" s="100"/>
      <c r="V4252" s="100"/>
      <c r="Y4252" s="100"/>
    </row>
    <row r="4253">
      <c r="R4253" s="100"/>
      <c r="V4253" s="100"/>
      <c r="Y4253" s="100"/>
    </row>
    <row r="4254">
      <c r="R4254" s="100"/>
      <c r="V4254" s="100"/>
      <c r="Y4254" s="100"/>
    </row>
    <row r="4255">
      <c r="R4255" s="100"/>
      <c r="V4255" s="100"/>
      <c r="Y4255" s="100"/>
    </row>
    <row r="4256">
      <c r="R4256" s="100"/>
      <c r="V4256" s="100"/>
      <c r="Y4256" s="100"/>
    </row>
    <row r="4257">
      <c r="R4257" s="100"/>
      <c r="V4257" s="100"/>
      <c r="Y4257" s="100"/>
    </row>
    <row r="4258">
      <c r="R4258" s="100"/>
      <c r="V4258" s="100"/>
      <c r="Y4258" s="100"/>
    </row>
    <row r="4259">
      <c r="R4259" s="100"/>
      <c r="V4259" s="100"/>
      <c r="Y4259" s="100"/>
    </row>
    <row r="4260">
      <c r="R4260" s="100"/>
      <c r="V4260" s="100"/>
      <c r="Y4260" s="100"/>
    </row>
    <row r="4261">
      <c r="R4261" s="100"/>
      <c r="V4261" s="100"/>
      <c r="Y4261" s="100"/>
    </row>
    <row r="4262">
      <c r="R4262" s="100"/>
      <c r="V4262" s="100"/>
      <c r="Y4262" s="100"/>
    </row>
    <row r="4263">
      <c r="R4263" s="100"/>
      <c r="V4263" s="100"/>
      <c r="Y4263" s="100"/>
    </row>
    <row r="4264">
      <c r="R4264" s="100"/>
      <c r="V4264" s="100"/>
      <c r="Y4264" s="100"/>
    </row>
    <row r="4265">
      <c r="R4265" s="100"/>
      <c r="V4265" s="100"/>
      <c r="Y4265" s="100"/>
    </row>
    <row r="4266">
      <c r="R4266" s="100"/>
      <c r="V4266" s="100"/>
      <c r="Y4266" s="100"/>
    </row>
    <row r="4267">
      <c r="R4267" s="100"/>
      <c r="V4267" s="100"/>
      <c r="Y4267" s="100"/>
    </row>
    <row r="4268">
      <c r="R4268" s="100"/>
      <c r="V4268" s="100"/>
      <c r="Y4268" s="100"/>
    </row>
    <row r="4269">
      <c r="R4269" s="100"/>
      <c r="V4269" s="100"/>
      <c r="Y4269" s="100"/>
    </row>
    <row r="4270">
      <c r="R4270" s="100"/>
      <c r="V4270" s="100"/>
      <c r="Y4270" s="100"/>
    </row>
    <row r="4271">
      <c r="R4271" s="100"/>
      <c r="V4271" s="100"/>
      <c r="Y4271" s="100"/>
    </row>
    <row r="4272">
      <c r="R4272" s="100"/>
      <c r="V4272" s="100"/>
      <c r="Y4272" s="100"/>
    </row>
    <row r="4273">
      <c r="R4273" s="100"/>
      <c r="V4273" s="100"/>
      <c r="Y4273" s="100"/>
    </row>
    <row r="4274">
      <c r="R4274" s="100"/>
      <c r="V4274" s="100"/>
      <c r="Y4274" s="100"/>
    </row>
    <row r="4275">
      <c r="R4275" s="100"/>
      <c r="V4275" s="100"/>
      <c r="Y4275" s="100"/>
    </row>
    <row r="4276">
      <c r="R4276" s="100"/>
      <c r="V4276" s="100"/>
      <c r="Y4276" s="100"/>
    </row>
    <row r="4277">
      <c r="R4277" s="100"/>
      <c r="V4277" s="100"/>
      <c r="Y4277" s="100"/>
    </row>
    <row r="4278">
      <c r="R4278" s="100"/>
      <c r="V4278" s="100"/>
      <c r="Y4278" s="100"/>
    </row>
    <row r="4279">
      <c r="R4279" s="100"/>
      <c r="V4279" s="100"/>
      <c r="Y4279" s="100"/>
    </row>
    <row r="4280">
      <c r="R4280" s="100"/>
      <c r="V4280" s="100"/>
      <c r="Y4280" s="100"/>
    </row>
    <row r="4281">
      <c r="R4281" s="100"/>
      <c r="V4281" s="100"/>
      <c r="Y4281" s="100"/>
    </row>
    <row r="4282">
      <c r="R4282" s="100"/>
      <c r="V4282" s="100"/>
      <c r="Y4282" s="100"/>
    </row>
    <row r="4283">
      <c r="R4283" s="100"/>
      <c r="V4283" s="100"/>
      <c r="Y4283" s="100"/>
    </row>
    <row r="4284">
      <c r="R4284" s="100"/>
      <c r="V4284" s="100"/>
      <c r="Y4284" s="100"/>
    </row>
    <row r="4285">
      <c r="R4285" s="100"/>
      <c r="V4285" s="100"/>
      <c r="Y4285" s="100"/>
    </row>
    <row r="4286">
      <c r="R4286" s="100"/>
      <c r="V4286" s="100"/>
      <c r="Y4286" s="100"/>
    </row>
    <row r="4287">
      <c r="R4287" s="100"/>
      <c r="V4287" s="100"/>
      <c r="Y4287" s="100"/>
    </row>
    <row r="4288">
      <c r="R4288" s="100"/>
      <c r="V4288" s="100"/>
      <c r="Y4288" s="100"/>
    </row>
    <row r="4289">
      <c r="R4289" s="100"/>
      <c r="V4289" s="100"/>
      <c r="Y4289" s="100"/>
    </row>
    <row r="4290">
      <c r="R4290" s="100"/>
      <c r="V4290" s="100"/>
      <c r="Y4290" s="100"/>
    </row>
    <row r="4291">
      <c r="R4291" s="100"/>
      <c r="V4291" s="100"/>
      <c r="Y4291" s="100"/>
    </row>
    <row r="4292">
      <c r="R4292" s="100"/>
      <c r="V4292" s="100"/>
      <c r="Y4292" s="100"/>
    </row>
    <row r="4293">
      <c r="R4293" s="100"/>
      <c r="V4293" s="100"/>
      <c r="Y4293" s="100"/>
    </row>
    <row r="4294">
      <c r="R4294" s="100"/>
      <c r="V4294" s="100"/>
      <c r="Y4294" s="100"/>
    </row>
    <row r="4295">
      <c r="R4295" s="100"/>
      <c r="V4295" s="100"/>
      <c r="Y4295" s="100"/>
    </row>
    <row r="4296">
      <c r="R4296" s="100"/>
      <c r="V4296" s="100"/>
      <c r="Y4296" s="100"/>
    </row>
    <row r="4297">
      <c r="R4297" s="100"/>
      <c r="V4297" s="100"/>
      <c r="Y4297" s="100"/>
    </row>
    <row r="4298">
      <c r="R4298" s="100"/>
      <c r="V4298" s="100"/>
      <c r="Y4298" s="100"/>
    </row>
    <row r="4299">
      <c r="R4299" s="100"/>
      <c r="V4299" s="100"/>
      <c r="Y4299" s="100"/>
    </row>
    <row r="4300">
      <c r="R4300" s="100"/>
      <c r="V4300" s="100"/>
      <c r="Y4300" s="100"/>
    </row>
    <row r="4301">
      <c r="R4301" s="100"/>
      <c r="V4301" s="100"/>
      <c r="Y4301" s="100"/>
    </row>
    <row r="4302">
      <c r="R4302" s="100"/>
      <c r="V4302" s="100"/>
      <c r="Y4302" s="100"/>
    </row>
    <row r="4303">
      <c r="R4303" s="100"/>
      <c r="V4303" s="100"/>
      <c r="Y4303" s="100"/>
    </row>
    <row r="4304">
      <c r="R4304" s="100"/>
      <c r="V4304" s="100"/>
      <c r="Y4304" s="100"/>
    </row>
    <row r="4305">
      <c r="R4305" s="100"/>
      <c r="V4305" s="100"/>
      <c r="Y4305" s="100"/>
    </row>
    <row r="4306">
      <c r="R4306" s="100"/>
      <c r="V4306" s="100"/>
      <c r="Y4306" s="100"/>
    </row>
    <row r="4307">
      <c r="R4307" s="100"/>
      <c r="V4307" s="100"/>
      <c r="Y4307" s="100"/>
    </row>
    <row r="4308">
      <c r="R4308" s="100"/>
      <c r="V4308" s="100"/>
      <c r="Y4308" s="100"/>
    </row>
    <row r="4309">
      <c r="R4309" s="100"/>
      <c r="V4309" s="100"/>
      <c r="Y4309" s="100"/>
    </row>
    <row r="4310">
      <c r="R4310" s="100"/>
      <c r="V4310" s="100"/>
      <c r="Y4310" s="100"/>
    </row>
    <row r="4311">
      <c r="R4311" s="100"/>
      <c r="V4311" s="100"/>
      <c r="Y4311" s="100"/>
    </row>
    <row r="4312">
      <c r="R4312" s="100"/>
      <c r="V4312" s="100"/>
      <c r="Y4312" s="100"/>
    </row>
    <row r="4313">
      <c r="R4313" s="100"/>
      <c r="V4313" s="100"/>
      <c r="Y4313" s="100"/>
    </row>
    <row r="4314">
      <c r="R4314" s="100"/>
      <c r="V4314" s="100"/>
      <c r="Y4314" s="100"/>
    </row>
    <row r="4315">
      <c r="R4315" s="100"/>
      <c r="V4315" s="100"/>
      <c r="Y4315" s="100"/>
    </row>
    <row r="4316">
      <c r="R4316" s="100"/>
      <c r="V4316" s="100"/>
      <c r="Y4316" s="100"/>
    </row>
    <row r="4317">
      <c r="R4317" s="100"/>
      <c r="V4317" s="100"/>
      <c r="Y4317" s="100"/>
    </row>
    <row r="4318">
      <c r="R4318" s="100"/>
      <c r="V4318" s="100"/>
      <c r="Y4318" s="100"/>
    </row>
    <row r="4319">
      <c r="R4319" s="100"/>
      <c r="V4319" s="100"/>
      <c r="Y4319" s="100"/>
    </row>
    <row r="4320">
      <c r="R4320" s="100"/>
      <c r="V4320" s="100"/>
      <c r="Y4320" s="100"/>
    </row>
    <row r="4321">
      <c r="R4321" s="100"/>
      <c r="V4321" s="100"/>
      <c r="Y4321" s="100"/>
    </row>
    <row r="4322">
      <c r="R4322" s="100"/>
      <c r="V4322" s="100"/>
      <c r="Y4322" s="100"/>
    </row>
    <row r="4323">
      <c r="R4323" s="100"/>
      <c r="V4323" s="100"/>
      <c r="Y4323" s="100"/>
    </row>
    <row r="4324">
      <c r="R4324" s="100"/>
      <c r="V4324" s="100"/>
      <c r="Y4324" s="100"/>
    </row>
    <row r="4325">
      <c r="R4325" s="100"/>
      <c r="V4325" s="100"/>
      <c r="Y4325" s="100"/>
    </row>
    <row r="4326">
      <c r="R4326" s="100"/>
      <c r="V4326" s="100"/>
      <c r="Y4326" s="100"/>
    </row>
    <row r="4327">
      <c r="R4327" s="100"/>
      <c r="V4327" s="100"/>
      <c r="Y4327" s="100"/>
    </row>
    <row r="4328">
      <c r="R4328" s="100"/>
      <c r="V4328" s="100"/>
      <c r="Y4328" s="100"/>
    </row>
    <row r="4329">
      <c r="R4329" s="100"/>
      <c r="V4329" s="100"/>
      <c r="Y4329" s="100"/>
    </row>
    <row r="4330">
      <c r="R4330" s="100"/>
      <c r="V4330" s="100"/>
      <c r="Y4330" s="100"/>
    </row>
    <row r="4331">
      <c r="R4331" s="100"/>
      <c r="V4331" s="100"/>
      <c r="Y4331" s="100"/>
    </row>
    <row r="4332">
      <c r="R4332" s="100"/>
      <c r="V4332" s="100"/>
      <c r="Y4332" s="100"/>
    </row>
    <row r="4333">
      <c r="R4333" s="100"/>
      <c r="V4333" s="100"/>
      <c r="Y4333" s="100"/>
    </row>
    <row r="4334">
      <c r="R4334" s="100"/>
      <c r="V4334" s="100"/>
      <c r="Y4334" s="100"/>
    </row>
    <row r="4335">
      <c r="R4335" s="100"/>
      <c r="V4335" s="100"/>
      <c r="Y4335" s="100"/>
    </row>
    <row r="4336">
      <c r="R4336" s="100"/>
      <c r="V4336" s="100"/>
      <c r="Y4336" s="100"/>
    </row>
    <row r="4337">
      <c r="R4337" s="100"/>
      <c r="V4337" s="100"/>
      <c r="Y4337" s="100"/>
    </row>
    <row r="4338">
      <c r="R4338" s="100"/>
      <c r="V4338" s="100"/>
      <c r="Y4338" s="100"/>
    </row>
    <row r="4339">
      <c r="R4339" s="100"/>
      <c r="V4339" s="100"/>
      <c r="Y4339" s="100"/>
    </row>
    <row r="4340">
      <c r="R4340" s="100"/>
      <c r="V4340" s="100"/>
      <c r="Y4340" s="100"/>
    </row>
    <row r="4341">
      <c r="R4341" s="100"/>
      <c r="V4341" s="100"/>
      <c r="Y4341" s="100"/>
    </row>
    <row r="4342">
      <c r="R4342" s="100"/>
      <c r="V4342" s="100"/>
      <c r="Y4342" s="100"/>
    </row>
    <row r="4343">
      <c r="R4343" s="100"/>
      <c r="V4343" s="100"/>
      <c r="Y4343" s="100"/>
    </row>
    <row r="4344">
      <c r="R4344" s="100"/>
      <c r="V4344" s="100"/>
      <c r="Y4344" s="100"/>
    </row>
    <row r="4345">
      <c r="R4345" s="100"/>
      <c r="V4345" s="100"/>
      <c r="Y4345" s="100"/>
    </row>
    <row r="4346">
      <c r="R4346" s="100"/>
      <c r="V4346" s="100"/>
      <c r="Y4346" s="100"/>
    </row>
    <row r="4347">
      <c r="R4347" s="100"/>
      <c r="V4347" s="100"/>
      <c r="Y4347" s="100"/>
    </row>
    <row r="4348">
      <c r="R4348" s="100"/>
      <c r="V4348" s="100"/>
      <c r="Y4348" s="100"/>
    </row>
    <row r="4349">
      <c r="R4349" s="100"/>
      <c r="V4349" s="100"/>
      <c r="Y4349" s="100"/>
    </row>
    <row r="4350">
      <c r="R4350" s="100"/>
      <c r="V4350" s="100"/>
      <c r="Y4350" s="100"/>
    </row>
    <row r="4351">
      <c r="R4351" s="100"/>
      <c r="V4351" s="100"/>
      <c r="Y4351" s="100"/>
    </row>
    <row r="4352">
      <c r="R4352" s="100"/>
      <c r="V4352" s="100"/>
      <c r="Y4352" s="100"/>
    </row>
    <row r="4353">
      <c r="R4353" s="100"/>
      <c r="V4353" s="100"/>
      <c r="Y4353" s="100"/>
    </row>
    <row r="4354">
      <c r="R4354" s="100"/>
      <c r="V4354" s="100"/>
      <c r="Y4354" s="100"/>
    </row>
    <row r="4355">
      <c r="R4355" s="100"/>
      <c r="V4355" s="100"/>
      <c r="Y4355" s="100"/>
    </row>
    <row r="4356">
      <c r="R4356" s="100"/>
      <c r="V4356" s="100"/>
      <c r="Y4356" s="100"/>
    </row>
    <row r="4357">
      <c r="R4357" s="100"/>
      <c r="V4357" s="100"/>
      <c r="Y4357" s="100"/>
    </row>
    <row r="4358">
      <c r="R4358" s="100"/>
      <c r="V4358" s="100"/>
      <c r="Y4358" s="100"/>
    </row>
    <row r="4359">
      <c r="R4359" s="100"/>
      <c r="V4359" s="100"/>
      <c r="Y4359" s="100"/>
    </row>
    <row r="4360">
      <c r="R4360" s="100"/>
      <c r="V4360" s="100"/>
      <c r="Y4360" s="100"/>
    </row>
    <row r="4361">
      <c r="R4361" s="100"/>
      <c r="V4361" s="100"/>
      <c r="Y4361" s="100"/>
    </row>
    <row r="4362">
      <c r="R4362" s="100"/>
      <c r="V4362" s="100"/>
      <c r="Y4362" s="100"/>
    </row>
    <row r="4363">
      <c r="R4363" s="100"/>
      <c r="V4363" s="100"/>
      <c r="Y4363" s="100"/>
    </row>
    <row r="4364">
      <c r="R4364" s="100"/>
      <c r="V4364" s="100"/>
      <c r="Y4364" s="100"/>
    </row>
    <row r="4365">
      <c r="R4365" s="100"/>
      <c r="V4365" s="100"/>
      <c r="Y4365" s="100"/>
    </row>
    <row r="4366">
      <c r="R4366" s="100"/>
      <c r="V4366" s="100"/>
      <c r="Y4366" s="100"/>
    </row>
    <row r="4367">
      <c r="R4367" s="100"/>
      <c r="V4367" s="100"/>
      <c r="Y4367" s="100"/>
    </row>
    <row r="4368">
      <c r="R4368" s="100"/>
      <c r="V4368" s="100"/>
      <c r="Y4368" s="100"/>
    </row>
    <row r="4369">
      <c r="R4369" s="100"/>
      <c r="V4369" s="100"/>
      <c r="Y4369" s="100"/>
    </row>
    <row r="4370">
      <c r="R4370" s="100"/>
      <c r="V4370" s="100"/>
      <c r="Y4370" s="100"/>
    </row>
    <row r="4371">
      <c r="R4371" s="100"/>
      <c r="V4371" s="100"/>
      <c r="Y4371" s="100"/>
    </row>
    <row r="4372">
      <c r="R4372" s="100"/>
      <c r="V4372" s="100"/>
      <c r="Y4372" s="100"/>
    </row>
    <row r="4373">
      <c r="R4373" s="100"/>
      <c r="V4373" s="100"/>
      <c r="Y4373" s="100"/>
    </row>
    <row r="4374">
      <c r="R4374" s="100"/>
      <c r="V4374" s="100"/>
      <c r="Y4374" s="100"/>
    </row>
    <row r="4375">
      <c r="R4375" s="100"/>
      <c r="V4375" s="100"/>
      <c r="Y4375" s="100"/>
    </row>
    <row r="4376">
      <c r="R4376" s="100"/>
      <c r="V4376" s="100"/>
      <c r="Y4376" s="100"/>
    </row>
    <row r="4377">
      <c r="R4377" s="100"/>
      <c r="V4377" s="100"/>
      <c r="Y4377" s="100"/>
    </row>
    <row r="4378">
      <c r="R4378" s="100"/>
      <c r="V4378" s="100"/>
      <c r="Y4378" s="100"/>
    </row>
    <row r="4379">
      <c r="R4379" s="100"/>
      <c r="V4379" s="100"/>
      <c r="Y4379" s="100"/>
    </row>
    <row r="4380">
      <c r="R4380" s="100"/>
      <c r="V4380" s="100"/>
      <c r="Y4380" s="100"/>
    </row>
    <row r="4381">
      <c r="R4381" s="100"/>
      <c r="V4381" s="100"/>
      <c r="Y4381" s="100"/>
    </row>
    <row r="4382">
      <c r="R4382" s="100"/>
      <c r="V4382" s="100"/>
      <c r="Y4382" s="100"/>
    </row>
    <row r="4383">
      <c r="R4383" s="100"/>
      <c r="V4383" s="100"/>
      <c r="Y4383" s="100"/>
    </row>
    <row r="4384">
      <c r="R4384" s="100"/>
      <c r="V4384" s="100"/>
      <c r="Y4384" s="100"/>
    </row>
    <row r="4385">
      <c r="R4385" s="100"/>
      <c r="V4385" s="100"/>
      <c r="Y4385" s="100"/>
    </row>
    <row r="4386">
      <c r="R4386" s="100"/>
      <c r="V4386" s="100"/>
      <c r="Y4386" s="100"/>
    </row>
    <row r="4387">
      <c r="R4387" s="100"/>
      <c r="V4387" s="100"/>
      <c r="Y4387" s="100"/>
    </row>
    <row r="4388">
      <c r="R4388" s="100"/>
      <c r="V4388" s="100"/>
      <c r="Y4388" s="100"/>
    </row>
    <row r="4389">
      <c r="R4389" s="100"/>
      <c r="V4389" s="100"/>
      <c r="Y4389" s="100"/>
    </row>
    <row r="4390">
      <c r="R4390" s="100"/>
      <c r="V4390" s="100"/>
      <c r="Y4390" s="100"/>
    </row>
    <row r="4391">
      <c r="R4391" s="100"/>
      <c r="V4391" s="100"/>
      <c r="Y4391" s="100"/>
    </row>
    <row r="4392">
      <c r="R4392" s="100"/>
      <c r="V4392" s="100"/>
      <c r="Y4392" s="100"/>
    </row>
    <row r="4393">
      <c r="R4393" s="100"/>
      <c r="V4393" s="100"/>
      <c r="Y4393" s="100"/>
    </row>
    <row r="4394">
      <c r="R4394" s="100"/>
      <c r="V4394" s="100"/>
      <c r="Y4394" s="100"/>
    </row>
    <row r="4395">
      <c r="R4395" s="100"/>
      <c r="V4395" s="100"/>
      <c r="Y4395" s="100"/>
    </row>
    <row r="4396">
      <c r="R4396" s="100"/>
      <c r="V4396" s="100"/>
      <c r="Y4396" s="100"/>
    </row>
    <row r="4397">
      <c r="R4397" s="100"/>
      <c r="V4397" s="100"/>
      <c r="Y4397" s="100"/>
    </row>
    <row r="4398">
      <c r="R4398" s="100"/>
      <c r="V4398" s="100"/>
      <c r="Y4398" s="100"/>
    </row>
    <row r="4399">
      <c r="R4399" s="100"/>
      <c r="V4399" s="100"/>
      <c r="Y4399" s="100"/>
    </row>
    <row r="4400">
      <c r="R4400" s="100"/>
      <c r="V4400" s="100"/>
      <c r="Y4400" s="100"/>
    </row>
    <row r="4401">
      <c r="R4401" s="100"/>
      <c r="V4401" s="100"/>
      <c r="Y4401" s="100"/>
    </row>
    <row r="4402">
      <c r="R4402" s="100"/>
      <c r="V4402" s="100"/>
      <c r="Y4402" s="100"/>
    </row>
    <row r="4403">
      <c r="R4403" s="100"/>
      <c r="V4403" s="100"/>
      <c r="Y4403" s="100"/>
    </row>
    <row r="4404">
      <c r="R4404" s="100"/>
      <c r="V4404" s="100"/>
      <c r="Y4404" s="100"/>
    </row>
    <row r="4405">
      <c r="R4405" s="100"/>
      <c r="V4405" s="100"/>
      <c r="Y4405" s="100"/>
    </row>
    <row r="4406">
      <c r="R4406" s="100"/>
      <c r="V4406" s="100"/>
      <c r="Y4406" s="100"/>
    </row>
    <row r="4407">
      <c r="R4407" s="100"/>
      <c r="V4407" s="100"/>
      <c r="Y4407" s="100"/>
    </row>
    <row r="4408">
      <c r="R4408" s="100"/>
      <c r="V4408" s="100"/>
      <c r="Y4408" s="100"/>
    </row>
    <row r="4409">
      <c r="R4409" s="100"/>
      <c r="V4409" s="100"/>
      <c r="Y4409" s="100"/>
    </row>
    <row r="4410">
      <c r="R4410" s="100"/>
      <c r="V4410" s="100"/>
      <c r="Y4410" s="100"/>
    </row>
    <row r="4411">
      <c r="R4411" s="100"/>
      <c r="V4411" s="100"/>
      <c r="Y4411" s="100"/>
    </row>
    <row r="4412">
      <c r="R4412" s="100"/>
      <c r="V4412" s="100"/>
      <c r="Y4412" s="100"/>
    </row>
    <row r="4413">
      <c r="R4413" s="100"/>
      <c r="V4413" s="100"/>
      <c r="Y4413" s="100"/>
    </row>
    <row r="4414">
      <c r="R4414" s="100"/>
      <c r="V4414" s="100"/>
      <c r="Y4414" s="100"/>
    </row>
    <row r="4415">
      <c r="R4415" s="100"/>
      <c r="V4415" s="100"/>
      <c r="Y4415" s="100"/>
    </row>
    <row r="4416">
      <c r="R4416" s="100"/>
      <c r="V4416" s="100"/>
      <c r="Y4416" s="100"/>
    </row>
    <row r="4417">
      <c r="R4417" s="100"/>
      <c r="V4417" s="100"/>
      <c r="Y4417" s="100"/>
    </row>
    <row r="4418">
      <c r="R4418" s="100"/>
      <c r="V4418" s="100"/>
      <c r="Y4418" s="100"/>
    </row>
    <row r="4419">
      <c r="R4419" s="100"/>
      <c r="V4419" s="100"/>
      <c r="Y4419" s="100"/>
    </row>
    <row r="4420">
      <c r="R4420" s="100"/>
      <c r="V4420" s="100"/>
      <c r="Y4420" s="100"/>
    </row>
    <row r="4421">
      <c r="R4421" s="100"/>
      <c r="V4421" s="100"/>
      <c r="Y4421" s="100"/>
    </row>
    <row r="4422">
      <c r="R4422" s="100"/>
      <c r="V4422" s="100"/>
      <c r="Y4422" s="100"/>
    </row>
    <row r="4423">
      <c r="R4423" s="100"/>
      <c r="V4423" s="100"/>
      <c r="Y4423" s="100"/>
    </row>
    <row r="4424">
      <c r="R4424" s="100"/>
      <c r="V4424" s="100"/>
      <c r="Y4424" s="100"/>
    </row>
    <row r="4425">
      <c r="R4425" s="100"/>
      <c r="V4425" s="100"/>
      <c r="Y4425" s="100"/>
    </row>
    <row r="4426">
      <c r="R4426" s="100"/>
      <c r="V4426" s="100"/>
      <c r="Y4426" s="100"/>
    </row>
    <row r="4427">
      <c r="R4427" s="100"/>
      <c r="V4427" s="100"/>
      <c r="Y4427" s="100"/>
    </row>
    <row r="4428">
      <c r="R4428" s="100"/>
      <c r="V4428" s="100"/>
      <c r="Y4428" s="100"/>
    </row>
    <row r="4429">
      <c r="R4429" s="100"/>
      <c r="V4429" s="100"/>
      <c r="Y4429" s="100"/>
    </row>
    <row r="4430">
      <c r="R4430" s="100"/>
      <c r="V4430" s="100"/>
      <c r="Y4430" s="100"/>
    </row>
    <row r="4431">
      <c r="R4431" s="100"/>
      <c r="V4431" s="100"/>
      <c r="Y4431" s="100"/>
    </row>
    <row r="4432">
      <c r="R4432" s="100"/>
      <c r="V4432" s="100"/>
      <c r="Y4432" s="100"/>
    </row>
    <row r="4433">
      <c r="R4433" s="100"/>
      <c r="V4433" s="100"/>
      <c r="Y4433" s="100"/>
    </row>
    <row r="4434">
      <c r="R4434" s="100"/>
      <c r="V4434" s="100"/>
      <c r="Y4434" s="100"/>
    </row>
    <row r="4435">
      <c r="R4435" s="100"/>
      <c r="V4435" s="100"/>
      <c r="Y4435" s="100"/>
    </row>
    <row r="4436">
      <c r="R4436" s="100"/>
      <c r="V4436" s="100"/>
      <c r="Y4436" s="100"/>
    </row>
    <row r="4437">
      <c r="R4437" s="100"/>
      <c r="V4437" s="100"/>
      <c r="Y4437" s="100"/>
    </row>
    <row r="4438">
      <c r="R4438" s="100"/>
      <c r="V4438" s="100"/>
      <c r="Y4438" s="100"/>
    </row>
    <row r="4439">
      <c r="R4439" s="100"/>
      <c r="V4439" s="100"/>
      <c r="Y4439" s="100"/>
    </row>
    <row r="4440">
      <c r="R4440" s="100"/>
      <c r="V4440" s="100"/>
      <c r="Y4440" s="100"/>
    </row>
    <row r="4441">
      <c r="R4441" s="100"/>
      <c r="V4441" s="100"/>
      <c r="Y4441" s="100"/>
    </row>
    <row r="4442">
      <c r="R4442" s="100"/>
      <c r="V4442" s="100"/>
      <c r="Y4442" s="100"/>
    </row>
    <row r="4443">
      <c r="R4443" s="100"/>
      <c r="V4443" s="100"/>
      <c r="Y4443" s="100"/>
    </row>
    <row r="4444">
      <c r="R4444" s="100"/>
      <c r="V4444" s="100"/>
      <c r="Y4444" s="100"/>
    </row>
    <row r="4445">
      <c r="R4445" s="100"/>
      <c r="V4445" s="100"/>
      <c r="Y4445" s="100"/>
    </row>
    <row r="4446">
      <c r="R4446" s="100"/>
      <c r="V4446" s="100"/>
      <c r="Y4446" s="100"/>
    </row>
    <row r="4447">
      <c r="R4447" s="100"/>
      <c r="V4447" s="100"/>
      <c r="Y4447" s="100"/>
    </row>
    <row r="4448">
      <c r="R4448" s="100"/>
      <c r="V4448" s="100"/>
      <c r="Y4448" s="100"/>
    </row>
    <row r="4449">
      <c r="R4449" s="100"/>
      <c r="V4449" s="100"/>
      <c r="Y4449" s="100"/>
    </row>
    <row r="4450">
      <c r="R4450" s="100"/>
      <c r="V4450" s="100"/>
      <c r="Y4450" s="100"/>
    </row>
    <row r="4451">
      <c r="R4451" s="100"/>
      <c r="V4451" s="100"/>
      <c r="Y4451" s="100"/>
    </row>
    <row r="4452">
      <c r="R4452" s="100"/>
      <c r="V4452" s="100"/>
      <c r="Y4452" s="100"/>
    </row>
    <row r="4453">
      <c r="R4453" s="100"/>
      <c r="V4453" s="100"/>
      <c r="Y4453" s="100"/>
    </row>
    <row r="4454">
      <c r="R4454" s="100"/>
      <c r="V4454" s="100"/>
      <c r="Y4454" s="100"/>
    </row>
    <row r="4455">
      <c r="R4455" s="100"/>
      <c r="V4455" s="100"/>
      <c r="Y4455" s="100"/>
    </row>
    <row r="4456">
      <c r="R4456" s="100"/>
      <c r="V4456" s="100"/>
      <c r="Y4456" s="100"/>
    </row>
    <row r="4457">
      <c r="R4457" s="100"/>
      <c r="V4457" s="100"/>
      <c r="Y4457" s="100"/>
    </row>
    <row r="4458">
      <c r="R4458" s="100"/>
      <c r="V4458" s="100"/>
      <c r="Y4458" s="100"/>
    </row>
    <row r="4459">
      <c r="R4459" s="100"/>
      <c r="V4459" s="100"/>
      <c r="Y4459" s="100"/>
    </row>
    <row r="4460">
      <c r="R4460" s="100"/>
      <c r="V4460" s="100"/>
      <c r="Y4460" s="100"/>
    </row>
    <row r="4461">
      <c r="R4461" s="100"/>
      <c r="V4461" s="100"/>
      <c r="Y4461" s="100"/>
    </row>
    <row r="4462">
      <c r="R4462" s="100"/>
      <c r="V4462" s="100"/>
      <c r="Y4462" s="100"/>
    </row>
    <row r="4463">
      <c r="R4463" s="100"/>
      <c r="V4463" s="100"/>
      <c r="Y4463" s="100"/>
    </row>
    <row r="4464">
      <c r="R4464" s="100"/>
      <c r="V4464" s="100"/>
      <c r="Y4464" s="100"/>
    </row>
    <row r="4465">
      <c r="R4465" s="100"/>
      <c r="V4465" s="100"/>
      <c r="Y4465" s="100"/>
    </row>
    <row r="4466">
      <c r="R4466" s="100"/>
      <c r="V4466" s="100"/>
      <c r="Y4466" s="100"/>
    </row>
    <row r="4467">
      <c r="R4467" s="100"/>
      <c r="V4467" s="100"/>
      <c r="Y4467" s="100"/>
    </row>
    <row r="4468">
      <c r="R4468" s="100"/>
      <c r="V4468" s="100"/>
      <c r="Y4468" s="100"/>
    </row>
    <row r="4469">
      <c r="R4469" s="100"/>
      <c r="V4469" s="100"/>
      <c r="Y4469" s="100"/>
    </row>
    <row r="4470">
      <c r="R4470" s="100"/>
      <c r="V4470" s="100"/>
      <c r="Y4470" s="100"/>
    </row>
    <row r="4471">
      <c r="R4471" s="100"/>
      <c r="V4471" s="100"/>
      <c r="Y4471" s="100"/>
    </row>
    <row r="4472">
      <c r="R4472" s="100"/>
      <c r="V4472" s="100"/>
      <c r="Y4472" s="100"/>
    </row>
    <row r="4473">
      <c r="R4473" s="100"/>
      <c r="V4473" s="100"/>
      <c r="Y4473" s="100"/>
    </row>
    <row r="4474">
      <c r="R4474" s="100"/>
      <c r="V4474" s="100"/>
      <c r="Y4474" s="100"/>
    </row>
    <row r="4475">
      <c r="R4475" s="100"/>
      <c r="V4475" s="100"/>
      <c r="Y4475" s="100"/>
    </row>
    <row r="4476">
      <c r="R4476" s="100"/>
      <c r="V4476" s="100"/>
      <c r="Y4476" s="100"/>
    </row>
    <row r="4477">
      <c r="R4477" s="100"/>
      <c r="V4477" s="100"/>
      <c r="Y4477" s="100"/>
    </row>
    <row r="4478">
      <c r="R4478" s="100"/>
      <c r="V4478" s="100"/>
      <c r="Y4478" s="100"/>
    </row>
    <row r="4479">
      <c r="R4479" s="100"/>
      <c r="V4479" s="100"/>
      <c r="Y4479" s="100"/>
    </row>
    <row r="4480">
      <c r="R4480" s="100"/>
      <c r="V4480" s="100"/>
      <c r="Y4480" s="100"/>
    </row>
    <row r="4481">
      <c r="R4481" s="100"/>
      <c r="V4481" s="100"/>
      <c r="Y4481" s="100"/>
    </row>
    <row r="4482">
      <c r="R4482" s="100"/>
      <c r="V4482" s="100"/>
      <c r="Y4482" s="100"/>
    </row>
    <row r="4483">
      <c r="R4483" s="100"/>
      <c r="V4483" s="100"/>
      <c r="Y4483" s="100"/>
    </row>
    <row r="4484">
      <c r="R4484" s="100"/>
      <c r="V4484" s="100"/>
      <c r="Y4484" s="100"/>
    </row>
    <row r="4485">
      <c r="R4485" s="100"/>
      <c r="V4485" s="100"/>
      <c r="Y4485" s="100"/>
    </row>
    <row r="4486">
      <c r="R4486" s="100"/>
      <c r="V4486" s="100"/>
      <c r="Y4486" s="100"/>
    </row>
    <row r="4487">
      <c r="R4487" s="100"/>
      <c r="V4487" s="100"/>
      <c r="Y4487" s="100"/>
    </row>
    <row r="4488">
      <c r="R4488" s="100"/>
      <c r="V4488" s="100"/>
      <c r="Y4488" s="100"/>
    </row>
    <row r="4489">
      <c r="R4489" s="100"/>
      <c r="V4489" s="100"/>
      <c r="Y4489" s="100"/>
    </row>
    <row r="4490">
      <c r="R4490" s="100"/>
      <c r="V4490" s="100"/>
      <c r="Y4490" s="100"/>
    </row>
    <row r="4491">
      <c r="R4491" s="100"/>
      <c r="V4491" s="100"/>
      <c r="Y4491" s="100"/>
    </row>
    <row r="4492">
      <c r="R4492" s="100"/>
      <c r="V4492" s="100"/>
      <c r="Y4492" s="100"/>
    </row>
    <row r="4493">
      <c r="R4493" s="100"/>
      <c r="V4493" s="100"/>
      <c r="Y4493" s="100"/>
    </row>
    <row r="4494">
      <c r="R4494" s="100"/>
      <c r="V4494" s="100"/>
      <c r="Y4494" s="100"/>
    </row>
    <row r="4495">
      <c r="R4495" s="100"/>
      <c r="V4495" s="100"/>
      <c r="Y4495" s="100"/>
    </row>
    <row r="4496">
      <c r="R4496" s="100"/>
      <c r="V4496" s="100"/>
      <c r="Y4496" s="100"/>
    </row>
    <row r="4497">
      <c r="R4497" s="100"/>
      <c r="V4497" s="100"/>
      <c r="Y4497" s="100"/>
    </row>
    <row r="4498">
      <c r="R4498" s="100"/>
      <c r="V4498" s="100"/>
      <c r="Y4498" s="100"/>
    </row>
    <row r="4499">
      <c r="R4499" s="100"/>
      <c r="V4499" s="100"/>
      <c r="Y4499" s="100"/>
    </row>
    <row r="4500">
      <c r="R4500" s="100"/>
      <c r="V4500" s="100"/>
      <c r="Y4500" s="100"/>
    </row>
    <row r="4501">
      <c r="R4501" s="100"/>
      <c r="V4501" s="100"/>
      <c r="Y4501" s="100"/>
    </row>
    <row r="4502">
      <c r="R4502" s="100"/>
      <c r="V4502" s="100"/>
      <c r="Y4502" s="100"/>
    </row>
    <row r="4503">
      <c r="R4503" s="100"/>
      <c r="V4503" s="100"/>
      <c r="Y4503" s="100"/>
    </row>
    <row r="4504">
      <c r="R4504" s="100"/>
      <c r="V4504" s="100"/>
      <c r="Y4504" s="100"/>
    </row>
    <row r="4505">
      <c r="R4505" s="100"/>
      <c r="V4505" s="100"/>
      <c r="Y4505" s="100"/>
    </row>
    <row r="4506">
      <c r="R4506" s="100"/>
      <c r="V4506" s="100"/>
      <c r="Y4506" s="100"/>
    </row>
    <row r="4507">
      <c r="R4507" s="100"/>
      <c r="V4507" s="100"/>
      <c r="Y4507" s="100"/>
    </row>
    <row r="4508">
      <c r="R4508" s="100"/>
      <c r="V4508" s="100"/>
      <c r="Y4508" s="100"/>
    </row>
    <row r="4509">
      <c r="R4509" s="100"/>
      <c r="V4509" s="100"/>
      <c r="Y4509" s="100"/>
    </row>
    <row r="4510">
      <c r="R4510" s="100"/>
      <c r="V4510" s="100"/>
      <c r="Y4510" s="100"/>
    </row>
    <row r="4511">
      <c r="R4511" s="100"/>
      <c r="V4511" s="100"/>
      <c r="Y4511" s="100"/>
    </row>
    <row r="4512">
      <c r="R4512" s="100"/>
      <c r="V4512" s="100"/>
      <c r="Y4512" s="100"/>
    </row>
    <row r="4513">
      <c r="R4513" s="100"/>
      <c r="V4513" s="100"/>
      <c r="Y4513" s="100"/>
    </row>
    <row r="4514">
      <c r="R4514" s="100"/>
      <c r="V4514" s="100"/>
      <c r="Y4514" s="100"/>
    </row>
    <row r="4515">
      <c r="R4515" s="100"/>
      <c r="V4515" s="100"/>
      <c r="Y4515" s="100"/>
    </row>
    <row r="4516">
      <c r="R4516" s="100"/>
      <c r="V4516" s="100"/>
      <c r="Y4516" s="100"/>
    </row>
    <row r="4517">
      <c r="R4517" s="100"/>
      <c r="V4517" s="100"/>
      <c r="Y4517" s="100"/>
    </row>
    <row r="4518">
      <c r="R4518" s="100"/>
      <c r="V4518" s="100"/>
      <c r="Y4518" s="100"/>
    </row>
    <row r="4519">
      <c r="R4519" s="100"/>
      <c r="V4519" s="100"/>
      <c r="Y4519" s="100"/>
    </row>
    <row r="4520">
      <c r="R4520" s="100"/>
      <c r="V4520" s="100"/>
      <c r="Y4520" s="100"/>
    </row>
    <row r="4521">
      <c r="R4521" s="100"/>
      <c r="V4521" s="100"/>
      <c r="Y4521" s="100"/>
    </row>
    <row r="4522">
      <c r="R4522" s="100"/>
      <c r="V4522" s="100"/>
      <c r="Y4522" s="100"/>
    </row>
    <row r="4523">
      <c r="R4523" s="100"/>
      <c r="V4523" s="100"/>
      <c r="Y4523" s="100"/>
    </row>
    <row r="4524">
      <c r="R4524" s="100"/>
      <c r="V4524" s="100"/>
      <c r="Y4524" s="100"/>
    </row>
    <row r="4525">
      <c r="R4525" s="100"/>
      <c r="V4525" s="100"/>
      <c r="Y4525" s="100"/>
    </row>
    <row r="4526">
      <c r="R4526" s="100"/>
      <c r="V4526" s="100"/>
      <c r="Y4526" s="100"/>
    </row>
    <row r="4527">
      <c r="R4527" s="100"/>
      <c r="V4527" s="100"/>
      <c r="Y4527" s="100"/>
    </row>
    <row r="4528">
      <c r="R4528" s="100"/>
      <c r="V4528" s="100"/>
      <c r="Y4528" s="100"/>
    </row>
    <row r="4529">
      <c r="R4529" s="100"/>
      <c r="V4529" s="100"/>
      <c r="Y4529" s="100"/>
    </row>
    <row r="4530">
      <c r="R4530" s="100"/>
      <c r="V4530" s="100"/>
      <c r="Y4530" s="100"/>
    </row>
    <row r="4531">
      <c r="R4531" s="100"/>
      <c r="V4531" s="100"/>
      <c r="Y4531" s="100"/>
    </row>
    <row r="4532">
      <c r="R4532" s="100"/>
      <c r="V4532" s="100"/>
      <c r="Y4532" s="100"/>
    </row>
    <row r="4533">
      <c r="R4533" s="100"/>
      <c r="V4533" s="100"/>
      <c r="Y4533" s="100"/>
    </row>
    <row r="4534">
      <c r="R4534" s="100"/>
      <c r="V4534" s="100"/>
      <c r="Y4534" s="100"/>
    </row>
    <row r="4535">
      <c r="R4535" s="100"/>
      <c r="V4535" s="100"/>
      <c r="Y4535" s="100"/>
    </row>
    <row r="4536">
      <c r="R4536" s="100"/>
      <c r="V4536" s="100"/>
      <c r="Y4536" s="100"/>
    </row>
    <row r="4537">
      <c r="R4537" s="100"/>
      <c r="V4537" s="100"/>
      <c r="Y4537" s="100"/>
    </row>
    <row r="4538">
      <c r="R4538" s="100"/>
      <c r="V4538" s="100"/>
      <c r="Y4538" s="100"/>
    </row>
    <row r="4539">
      <c r="R4539" s="100"/>
      <c r="V4539" s="100"/>
      <c r="Y4539" s="100"/>
    </row>
    <row r="4540">
      <c r="R4540" s="100"/>
      <c r="V4540" s="100"/>
      <c r="Y4540" s="100"/>
    </row>
    <row r="4541">
      <c r="R4541" s="100"/>
      <c r="V4541" s="100"/>
      <c r="Y4541" s="100"/>
    </row>
    <row r="4542">
      <c r="R4542" s="100"/>
      <c r="V4542" s="100"/>
      <c r="Y4542" s="100"/>
    </row>
    <row r="4543">
      <c r="R4543" s="100"/>
      <c r="V4543" s="100"/>
      <c r="Y4543" s="100"/>
    </row>
    <row r="4544">
      <c r="R4544" s="100"/>
      <c r="V4544" s="100"/>
      <c r="Y4544" s="100"/>
    </row>
    <row r="4545">
      <c r="R4545" s="100"/>
      <c r="V4545" s="100"/>
      <c r="Y4545" s="100"/>
    </row>
    <row r="4546">
      <c r="R4546" s="100"/>
      <c r="V4546" s="100"/>
      <c r="Y4546" s="100"/>
    </row>
    <row r="4547">
      <c r="R4547" s="100"/>
      <c r="V4547" s="100"/>
      <c r="Y4547" s="100"/>
    </row>
    <row r="4548">
      <c r="R4548" s="100"/>
      <c r="V4548" s="100"/>
      <c r="Y4548" s="100"/>
    </row>
    <row r="4549">
      <c r="R4549" s="100"/>
      <c r="V4549" s="100"/>
      <c r="Y4549" s="100"/>
    </row>
    <row r="4550">
      <c r="R4550" s="100"/>
      <c r="V4550" s="100"/>
      <c r="Y4550" s="100"/>
    </row>
    <row r="4551">
      <c r="R4551" s="100"/>
      <c r="V4551" s="100"/>
      <c r="Y4551" s="100"/>
    </row>
    <row r="4552">
      <c r="R4552" s="100"/>
      <c r="V4552" s="100"/>
      <c r="Y4552" s="100"/>
    </row>
    <row r="4553">
      <c r="R4553" s="100"/>
      <c r="V4553" s="100"/>
      <c r="Y4553" s="100"/>
    </row>
    <row r="4554">
      <c r="R4554" s="100"/>
      <c r="V4554" s="100"/>
      <c r="Y4554" s="100"/>
    </row>
    <row r="4555">
      <c r="R4555" s="100"/>
      <c r="V4555" s="100"/>
      <c r="Y4555" s="100"/>
    </row>
    <row r="4556">
      <c r="R4556" s="100"/>
      <c r="V4556" s="100"/>
      <c r="Y4556" s="100"/>
    </row>
    <row r="4557">
      <c r="R4557" s="100"/>
      <c r="V4557" s="100"/>
      <c r="Y4557" s="100"/>
    </row>
    <row r="4558">
      <c r="R4558" s="100"/>
      <c r="V4558" s="100"/>
      <c r="Y4558" s="100"/>
    </row>
    <row r="4559">
      <c r="R4559" s="100"/>
      <c r="V4559" s="100"/>
      <c r="Y4559" s="100"/>
    </row>
    <row r="4560">
      <c r="R4560" s="100"/>
      <c r="V4560" s="100"/>
      <c r="Y4560" s="100"/>
    </row>
    <row r="4561">
      <c r="R4561" s="100"/>
      <c r="V4561" s="100"/>
      <c r="Y4561" s="100"/>
    </row>
    <row r="4562">
      <c r="R4562" s="100"/>
      <c r="V4562" s="100"/>
      <c r="Y4562" s="100"/>
    </row>
    <row r="4563">
      <c r="R4563" s="100"/>
      <c r="V4563" s="100"/>
      <c r="Y4563" s="100"/>
    </row>
    <row r="4564">
      <c r="R4564" s="100"/>
      <c r="V4564" s="100"/>
      <c r="Y4564" s="100"/>
    </row>
    <row r="4565">
      <c r="R4565" s="100"/>
      <c r="V4565" s="100"/>
      <c r="Y4565" s="100"/>
    </row>
    <row r="4566">
      <c r="R4566" s="100"/>
      <c r="V4566" s="100"/>
      <c r="Y4566" s="100"/>
    </row>
    <row r="4567">
      <c r="R4567" s="100"/>
      <c r="V4567" s="100"/>
      <c r="Y4567" s="100"/>
    </row>
    <row r="4568">
      <c r="R4568" s="100"/>
      <c r="V4568" s="100"/>
      <c r="Y4568" s="100"/>
    </row>
    <row r="4569">
      <c r="R4569" s="100"/>
      <c r="V4569" s="100"/>
      <c r="Y4569" s="100"/>
    </row>
    <row r="4570">
      <c r="R4570" s="100"/>
      <c r="V4570" s="100"/>
      <c r="Y4570" s="100"/>
    </row>
    <row r="4571">
      <c r="R4571" s="100"/>
      <c r="V4571" s="100"/>
      <c r="Y4571" s="100"/>
    </row>
    <row r="4572">
      <c r="R4572" s="100"/>
      <c r="V4572" s="100"/>
      <c r="Y4572" s="100"/>
    </row>
    <row r="4573">
      <c r="R4573" s="100"/>
      <c r="V4573" s="100"/>
      <c r="Y4573" s="100"/>
    </row>
    <row r="4574">
      <c r="R4574" s="100"/>
      <c r="V4574" s="100"/>
      <c r="Y4574" s="100"/>
    </row>
    <row r="4575">
      <c r="R4575" s="100"/>
      <c r="V4575" s="100"/>
      <c r="Y4575" s="100"/>
    </row>
    <row r="4576">
      <c r="R4576" s="100"/>
      <c r="V4576" s="100"/>
      <c r="Y4576" s="100"/>
    </row>
    <row r="4577">
      <c r="R4577" s="100"/>
      <c r="V4577" s="100"/>
      <c r="Y4577" s="100"/>
    </row>
    <row r="4578">
      <c r="R4578" s="100"/>
      <c r="V4578" s="100"/>
      <c r="Y4578" s="100"/>
    </row>
    <row r="4579">
      <c r="R4579" s="100"/>
      <c r="V4579" s="100"/>
      <c r="Y4579" s="100"/>
    </row>
    <row r="4580">
      <c r="R4580" s="100"/>
      <c r="V4580" s="100"/>
      <c r="Y4580" s="100"/>
    </row>
    <row r="4581">
      <c r="R4581" s="100"/>
      <c r="V4581" s="100"/>
      <c r="Y4581" s="100"/>
    </row>
    <row r="4582">
      <c r="R4582" s="100"/>
      <c r="V4582" s="100"/>
      <c r="Y4582" s="100"/>
    </row>
    <row r="4583">
      <c r="R4583" s="100"/>
      <c r="V4583" s="100"/>
      <c r="Y4583" s="100"/>
    </row>
    <row r="4584">
      <c r="R4584" s="100"/>
      <c r="V4584" s="100"/>
      <c r="Y4584" s="100"/>
    </row>
    <row r="4585">
      <c r="R4585" s="100"/>
      <c r="V4585" s="100"/>
      <c r="Y4585" s="100"/>
    </row>
    <row r="4586">
      <c r="R4586" s="100"/>
      <c r="V4586" s="100"/>
      <c r="Y4586" s="100"/>
    </row>
    <row r="4587">
      <c r="R4587" s="100"/>
      <c r="V4587" s="100"/>
      <c r="Y4587" s="100"/>
    </row>
    <row r="4588">
      <c r="R4588" s="100"/>
      <c r="V4588" s="100"/>
      <c r="Y4588" s="100"/>
    </row>
    <row r="4589">
      <c r="R4589" s="100"/>
      <c r="V4589" s="100"/>
      <c r="Y4589" s="100"/>
    </row>
    <row r="4590">
      <c r="R4590" s="100"/>
      <c r="V4590" s="100"/>
      <c r="Y4590" s="100"/>
    </row>
    <row r="4591">
      <c r="R4591" s="100"/>
      <c r="V4591" s="100"/>
      <c r="Y4591" s="100"/>
    </row>
    <row r="4592">
      <c r="R4592" s="100"/>
      <c r="V4592" s="100"/>
      <c r="Y4592" s="100"/>
    </row>
    <row r="4593">
      <c r="R4593" s="100"/>
      <c r="V4593" s="100"/>
      <c r="Y4593" s="100"/>
    </row>
    <row r="4594">
      <c r="R4594" s="100"/>
      <c r="V4594" s="100"/>
      <c r="Y4594" s="100"/>
    </row>
    <row r="4595">
      <c r="R4595" s="100"/>
      <c r="V4595" s="100"/>
      <c r="Y4595" s="100"/>
    </row>
    <row r="4596">
      <c r="R4596" s="100"/>
      <c r="V4596" s="100"/>
      <c r="Y4596" s="100"/>
    </row>
    <row r="4597">
      <c r="R4597" s="100"/>
      <c r="V4597" s="100"/>
      <c r="Y4597" s="100"/>
    </row>
    <row r="4598">
      <c r="R4598" s="100"/>
      <c r="V4598" s="100"/>
      <c r="Y4598" s="100"/>
    </row>
    <row r="4599">
      <c r="R4599" s="100"/>
      <c r="V4599" s="100"/>
      <c r="Y4599" s="100"/>
    </row>
    <row r="4600">
      <c r="R4600" s="100"/>
      <c r="V4600" s="100"/>
      <c r="Y4600" s="100"/>
    </row>
    <row r="4601">
      <c r="R4601" s="100"/>
      <c r="V4601" s="100"/>
      <c r="Y4601" s="100"/>
    </row>
    <row r="4602">
      <c r="R4602" s="100"/>
      <c r="V4602" s="100"/>
      <c r="Y4602" s="100"/>
    </row>
    <row r="4603">
      <c r="R4603" s="100"/>
      <c r="V4603" s="100"/>
      <c r="Y4603" s="100"/>
    </row>
    <row r="4604">
      <c r="R4604" s="100"/>
      <c r="V4604" s="100"/>
      <c r="Y4604" s="100"/>
    </row>
    <row r="4605">
      <c r="R4605" s="100"/>
      <c r="V4605" s="100"/>
      <c r="Y4605" s="100"/>
    </row>
    <row r="4606">
      <c r="R4606" s="100"/>
      <c r="V4606" s="100"/>
      <c r="Y4606" s="100"/>
    </row>
    <row r="4607">
      <c r="R4607" s="100"/>
      <c r="V4607" s="100"/>
      <c r="Y4607" s="100"/>
    </row>
    <row r="4608">
      <c r="R4608" s="100"/>
      <c r="V4608" s="100"/>
      <c r="Y4608" s="100"/>
    </row>
    <row r="4609">
      <c r="R4609" s="100"/>
      <c r="V4609" s="100"/>
      <c r="Y4609" s="100"/>
    </row>
    <row r="4610">
      <c r="R4610" s="100"/>
      <c r="V4610" s="100"/>
      <c r="Y4610" s="100"/>
    </row>
    <row r="4611">
      <c r="R4611" s="100"/>
      <c r="V4611" s="100"/>
      <c r="Y4611" s="100"/>
    </row>
    <row r="4612">
      <c r="R4612" s="100"/>
      <c r="V4612" s="100"/>
      <c r="Y4612" s="100"/>
    </row>
    <row r="4613">
      <c r="R4613" s="100"/>
      <c r="V4613" s="100"/>
      <c r="Y4613" s="100"/>
    </row>
    <row r="4614">
      <c r="R4614" s="100"/>
      <c r="V4614" s="100"/>
      <c r="Y4614" s="100"/>
    </row>
    <row r="4615">
      <c r="R4615" s="100"/>
      <c r="V4615" s="100"/>
      <c r="Y4615" s="100"/>
    </row>
    <row r="4616">
      <c r="R4616" s="100"/>
      <c r="V4616" s="100"/>
      <c r="Y4616" s="100"/>
    </row>
    <row r="4617">
      <c r="R4617" s="100"/>
      <c r="V4617" s="100"/>
      <c r="Y4617" s="100"/>
    </row>
    <row r="4618">
      <c r="R4618" s="100"/>
      <c r="V4618" s="100"/>
      <c r="Y4618" s="100"/>
    </row>
    <row r="4619">
      <c r="R4619" s="100"/>
      <c r="V4619" s="100"/>
      <c r="Y4619" s="100"/>
    </row>
    <row r="4620">
      <c r="R4620" s="100"/>
      <c r="V4620" s="100"/>
      <c r="Y4620" s="100"/>
    </row>
    <row r="4621">
      <c r="R4621" s="100"/>
      <c r="V4621" s="100"/>
      <c r="Y4621" s="100"/>
    </row>
    <row r="4622">
      <c r="R4622" s="100"/>
      <c r="V4622" s="100"/>
      <c r="Y4622" s="100"/>
    </row>
    <row r="4623">
      <c r="R4623" s="100"/>
      <c r="V4623" s="100"/>
      <c r="Y4623" s="100"/>
    </row>
    <row r="4624">
      <c r="R4624" s="100"/>
      <c r="V4624" s="100"/>
      <c r="Y4624" s="100"/>
    </row>
    <row r="4625">
      <c r="R4625" s="100"/>
      <c r="V4625" s="100"/>
      <c r="Y4625" s="100"/>
    </row>
    <row r="4626">
      <c r="R4626" s="100"/>
      <c r="V4626" s="100"/>
      <c r="Y4626" s="100"/>
    </row>
    <row r="4627">
      <c r="R4627" s="100"/>
      <c r="V4627" s="100"/>
      <c r="Y4627" s="100"/>
    </row>
    <row r="4628">
      <c r="R4628" s="100"/>
      <c r="V4628" s="100"/>
      <c r="Y4628" s="100"/>
    </row>
    <row r="4629">
      <c r="R4629" s="100"/>
      <c r="V4629" s="100"/>
      <c r="Y4629" s="100"/>
    </row>
    <row r="4630">
      <c r="R4630" s="100"/>
      <c r="V4630" s="100"/>
      <c r="Y4630" s="100"/>
    </row>
    <row r="4631">
      <c r="R4631" s="100"/>
      <c r="V4631" s="100"/>
      <c r="Y4631" s="100"/>
    </row>
    <row r="4632">
      <c r="R4632" s="100"/>
      <c r="V4632" s="100"/>
      <c r="Y4632" s="100"/>
    </row>
    <row r="4633">
      <c r="R4633" s="100"/>
      <c r="V4633" s="100"/>
      <c r="Y4633" s="100"/>
    </row>
    <row r="4634">
      <c r="R4634" s="100"/>
      <c r="V4634" s="100"/>
      <c r="Y4634" s="100"/>
    </row>
    <row r="4635">
      <c r="R4635" s="100"/>
      <c r="V4635" s="100"/>
      <c r="Y4635" s="100"/>
    </row>
    <row r="4636">
      <c r="R4636" s="100"/>
      <c r="V4636" s="100"/>
      <c r="Y4636" s="100"/>
    </row>
    <row r="4637">
      <c r="R4637" s="100"/>
      <c r="V4637" s="100"/>
      <c r="Y4637" s="100"/>
    </row>
    <row r="4638">
      <c r="R4638" s="100"/>
      <c r="V4638" s="100"/>
      <c r="Y4638" s="100"/>
    </row>
    <row r="4639">
      <c r="R4639" s="100"/>
      <c r="V4639" s="100"/>
      <c r="Y4639" s="100"/>
    </row>
    <row r="4640">
      <c r="R4640" s="100"/>
      <c r="V4640" s="100"/>
      <c r="Y4640" s="100"/>
    </row>
    <row r="4641">
      <c r="R4641" s="100"/>
      <c r="V4641" s="100"/>
      <c r="Y4641" s="100"/>
    </row>
    <row r="4642">
      <c r="R4642" s="100"/>
      <c r="V4642" s="100"/>
      <c r="Y4642" s="100"/>
    </row>
    <row r="4643">
      <c r="R4643" s="100"/>
      <c r="V4643" s="100"/>
      <c r="Y4643" s="100"/>
    </row>
    <row r="4644">
      <c r="R4644" s="100"/>
      <c r="V4644" s="100"/>
      <c r="Y4644" s="100"/>
    </row>
    <row r="4645">
      <c r="R4645" s="100"/>
      <c r="V4645" s="100"/>
      <c r="Y4645" s="100"/>
    </row>
    <row r="4646">
      <c r="R4646" s="100"/>
      <c r="V4646" s="100"/>
      <c r="Y4646" s="100"/>
    </row>
    <row r="4647">
      <c r="R4647" s="100"/>
      <c r="V4647" s="100"/>
      <c r="Y4647" s="100"/>
    </row>
    <row r="4648">
      <c r="R4648" s="100"/>
      <c r="V4648" s="100"/>
      <c r="Y4648" s="100"/>
    </row>
    <row r="4649">
      <c r="R4649" s="100"/>
      <c r="V4649" s="100"/>
      <c r="Y4649" s="100"/>
    </row>
    <row r="4650">
      <c r="R4650" s="100"/>
      <c r="V4650" s="100"/>
      <c r="Y4650" s="100"/>
    </row>
    <row r="4651">
      <c r="R4651" s="100"/>
      <c r="V4651" s="100"/>
      <c r="Y4651" s="100"/>
    </row>
    <row r="4652">
      <c r="R4652" s="100"/>
      <c r="V4652" s="100"/>
      <c r="Y4652" s="100"/>
    </row>
    <row r="4653">
      <c r="R4653" s="100"/>
      <c r="V4653" s="100"/>
      <c r="Y4653" s="100"/>
    </row>
    <row r="4654">
      <c r="R4654" s="100"/>
      <c r="V4654" s="100"/>
      <c r="Y4654" s="100"/>
    </row>
    <row r="4655">
      <c r="R4655" s="100"/>
      <c r="V4655" s="100"/>
      <c r="Y4655" s="100"/>
    </row>
    <row r="4656">
      <c r="R4656" s="100"/>
      <c r="V4656" s="100"/>
      <c r="Y4656" s="100"/>
    </row>
    <row r="4657">
      <c r="R4657" s="100"/>
      <c r="V4657" s="100"/>
      <c r="Y4657" s="100"/>
    </row>
    <row r="4658">
      <c r="R4658" s="100"/>
      <c r="V4658" s="100"/>
      <c r="Y4658" s="100"/>
    </row>
    <row r="4659">
      <c r="R4659" s="100"/>
      <c r="V4659" s="100"/>
      <c r="Y4659" s="100"/>
    </row>
    <row r="4660">
      <c r="R4660" s="100"/>
      <c r="V4660" s="100"/>
      <c r="Y4660" s="100"/>
    </row>
    <row r="4661">
      <c r="R4661" s="100"/>
      <c r="V4661" s="100"/>
      <c r="Y4661" s="100"/>
    </row>
    <row r="4662">
      <c r="R4662" s="100"/>
      <c r="V4662" s="100"/>
      <c r="Y4662" s="100"/>
    </row>
    <row r="4663">
      <c r="R4663" s="100"/>
      <c r="V4663" s="100"/>
      <c r="Y4663" s="100"/>
    </row>
    <row r="4664">
      <c r="R4664" s="100"/>
      <c r="V4664" s="100"/>
      <c r="Y4664" s="100"/>
    </row>
    <row r="4665">
      <c r="R4665" s="100"/>
      <c r="V4665" s="100"/>
      <c r="Y4665" s="100"/>
    </row>
    <row r="4666">
      <c r="R4666" s="100"/>
      <c r="V4666" s="100"/>
      <c r="Y4666" s="100"/>
    </row>
    <row r="4667">
      <c r="R4667" s="100"/>
      <c r="V4667" s="100"/>
      <c r="Y4667" s="100"/>
    </row>
    <row r="4668">
      <c r="R4668" s="100"/>
      <c r="V4668" s="100"/>
      <c r="Y4668" s="100"/>
    </row>
    <row r="4669">
      <c r="R4669" s="100"/>
      <c r="V4669" s="100"/>
      <c r="Y4669" s="100"/>
    </row>
    <row r="4670">
      <c r="R4670" s="100"/>
      <c r="V4670" s="100"/>
      <c r="Y4670" s="100"/>
    </row>
    <row r="4671">
      <c r="R4671" s="100"/>
      <c r="V4671" s="100"/>
      <c r="Y4671" s="100"/>
    </row>
    <row r="4672">
      <c r="R4672" s="100"/>
      <c r="V4672" s="100"/>
      <c r="Y4672" s="100"/>
    </row>
    <row r="4673">
      <c r="R4673" s="100"/>
      <c r="V4673" s="100"/>
      <c r="Y4673" s="100"/>
    </row>
    <row r="4674">
      <c r="R4674" s="100"/>
      <c r="V4674" s="100"/>
      <c r="Y4674" s="100"/>
    </row>
    <row r="4675">
      <c r="R4675" s="100"/>
      <c r="V4675" s="100"/>
      <c r="Y4675" s="100"/>
    </row>
    <row r="4676">
      <c r="R4676" s="100"/>
      <c r="V4676" s="100"/>
      <c r="Y4676" s="100"/>
    </row>
    <row r="4677">
      <c r="R4677" s="100"/>
      <c r="V4677" s="100"/>
      <c r="Y4677" s="100"/>
    </row>
    <row r="4678">
      <c r="R4678" s="100"/>
      <c r="V4678" s="100"/>
      <c r="Y4678" s="100"/>
    </row>
    <row r="4679">
      <c r="R4679" s="100"/>
      <c r="V4679" s="100"/>
      <c r="Y4679" s="100"/>
    </row>
    <row r="4680">
      <c r="R4680" s="100"/>
      <c r="V4680" s="100"/>
      <c r="Y4680" s="100"/>
    </row>
    <row r="4681">
      <c r="R4681" s="100"/>
      <c r="V4681" s="100"/>
      <c r="Y4681" s="100"/>
    </row>
    <row r="4682">
      <c r="R4682" s="100"/>
      <c r="V4682" s="100"/>
      <c r="Y4682" s="100"/>
    </row>
    <row r="4683">
      <c r="R4683" s="100"/>
      <c r="V4683" s="100"/>
      <c r="Y4683" s="100"/>
    </row>
    <row r="4684">
      <c r="R4684" s="100"/>
      <c r="V4684" s="100"/>
      <c r="Y4684" s="100"/>
    </row>
    <row r="4685">
      <c r="R4685" s="100"/>
      <c r="V4685" s="100"/>
      <c r="Y4685" s="100"/>
    </row>
    <row r="4686">
      <c r="R4686" s="100"/>
      <c r="V4686" s="100"/>
      <c r="Y4686" s="100"/>
    </row>
    <row r="4687">
      <c r="R4687" s="100"/>
      <c r="V4687" s="100"/>
      <c r="Y4687" s="100"/>
    </row>
    <row r="4688">
      <c r="R4688" s="100"/>
      <c r="V4688" s="100"/>
      <c r="Y4688" s="100"/>
    </row>
    <row r="4689">
      <c r="R4689" s="100"/>
      <c r="V4689" s="100"/>
      <c r="Y4689" s="100"/>
    </row>
    <row r="4690">
      <c r="R4690" s="100"/>
      <c r="V4690" s="100"/>
      <c r="Y4690" s="100"/>
    </row>
    <row r="4691">
      <c r="R4691" s="100"/>
      <c r="V4691" s="100"/>
      <c r="Y4691" s="100"/>
    </row>
    <row r="4692">
      <c r="R4692" s="100"/>
      <c r="V4692" s="100"/>
      <c r="Y4692" s="100"/>
    </row>
    <row r="4693">
      <c r="R4693" s="100"/>
      <c r="V4693" s="100"/>
      <c r="Y4693" s="100"/>
    </row>
    <row r="4694">
      <c r="R4694" s="100"/>
      <c r="V4694" s="100"/>
      <c r="Y4694" s="100"/>
    </row>
    <row r="4695">
      <c r="R4695" s="100"/>
      <c r="V4695" s="100"/>
      <c r="Y4695" s="100"/>
    </row>
    <row r="4696">
      <c r="R4696" s="100"/>
      <c r="V4696" s="100"/>
      <c r="Y4696" s="100"/>
    </row>
    <row r="4697">
      <c r="R4697" s="100"/>
      <c r="V4697" s="100"/>
      <c r="Y4697" s="100"/>
    </row>
    <row r="4698">
      <c r="R4698" s="100"/>
      <c r="V4698" s="100"/>
      <c r="Y4698" s="100"/>
    </row>
    <row r="4699">
      <c r="R4699" s="100"/>
      <c r="V4699" s="100"/>
      <c r="Y4699" s="100"/>
    </row>
    <row r="4700">
      <c r="R4700" s="100"/>
      <c r="V4700" s="100"/>
      <c r="Y4700" s="100"/>
    </row>
    <row r="4701">
      <c r="R4701" s="100"/>
      <c r="V4701" s="100"/>
      <c r="Y4701" s="100"/>
    </row>
    <row r="4702">
      <c r="R4702" s="100"/>
      <c r="V4702" s="100"/>
      <c r="Y4702" s="100"/>
    </row>
    <row r="4703">
      <c r="R4703" s="100"/>
      <c r="V4703" s="100"/>
      <c r="Y4703" s="100"/>
    </row>
    <row r="4704">
      <c r="R4704" s="100"/>
      <c r="V4704" s="100"/>
      <c r="Y4704" s="100"/>
    </row>
    <row r="4705">
      <c r="R4705" s="100"/>
      <c r="V4705" s="100"/>
      <c r="Y4705" s="100"/>
    </row>
    <row r="4706">
      <c r="R4706" s="100"/>
      <c r="V4706" s="100"/>
      <c r="Y4706" s="100"/>
    </row>
    <row r="4707">
      <c r="R4707" s="100"/>
      <c r="V4707" s="100"/>
      <c r="Y4707" s="100"/>
    </row>
    <row r="4708">
      <c r="R4708" s="100"/>
      <c r="V4708" s="100"/>
      <c r="Y4708" s="100"/>
    </row>
    <row r="4709">
      <c r="R4709" s="100"/>
      <c r="V4709" s="100"/>
      <c r="Y4709" s="100"/>
    </row>
    <row r="4710">
      <c r="R4710" s="100"/>
      <c r="V4710" s="100"/>
      <c r="Y4710" s="100"/>
    </row>
    <row r="4711">
      <c r="R4711" s="100"/>
      <c r="V4711" s="100"/>
      <c r="Y4711" s="100"/>
    </row>
    <row r="4712">
      <c r="R4712" s="100"/>
      <c r="V4712" s="100"/>
      <c r="Y4712" s="100"/>
    </row>
    <row r="4713">
      <c r="R4713" s="100"/>
      <c r="V4713" s="100"/>
      <c r="Y4713" s="100"/>
    </row>
    <row r="4714">
      <c r="R4714" s="100"/>
      <c r="V4714" s="100"/>
      <c r="Y4714" s="100"/>
    </row>
    <row r="4715">
      <c r="R4715" s="100"/>
      <c r="V4715" s="100"/>
      <c r="Y4715" s="100"/>
    </row>
    <row r="4716">
      <c r="R4716" s="100"/>
      <c r="V4716" s="100"/>
      <c r="Y4716" s="100"/>
    </row>
    <row r="4717">
      <c r="R4717" s="100"/>
      <c r="V4717" s="100"/>
      <c r="Y4717" s="100"/>
    </row>
    <row r="4718">
      <c r="R4718" s="100"/>
      <c r="V4718" s="100"/>
      <c r="Y4718" s="100"/>
    </row>
    <row r="4719">
      <c r="R4719" s="100"/>
      <c r="V4719" s="100"/>
      <c r="Y4719" s="100"/>
    </row>
    <row r="4720">
      <c r="R4720" s="100"/>
      <c r="V4720" s="100"/>
      <c r="Y4720" s="100"/>
    </row>
    <row r="4721">
      <c r="R4721" s="100"/>
      <c r="V4721" s="100"/>
      <c r="Y4721" s="100"/>
    </row>
    <row r="4722">
      <c r="R4722" s="100"/>
      <c r="V4722" s="100"/>
      <c r="Y4722" s="100"/>
    </row>
    <row r="4723">
      <c r="R4723" s="100"/>
      <c r="V4723" s="100"/>
      <c r="Y4723" s="100"/>
    </row>
    <row r="4724">
      <c r="R4724" s="100"/>
      <c r="V4724" s="100"/>
      <c r="Y4724" s="100"/>
    </row>
    <row r="4725">
      <c r="R4725" s="100"/>
      <c r="V4725" s="100"/>
      <c r="Y4725" s="100"/>
    </row>
    <row r="4726">
      <c r="R4726" s="100"/>
      <c r="V4726" s="100"/>
      <c r="Y4726" s="100"/>
    </row>
    <row r="4727">
      <c r="R4727" s="100"/>
      <c r="V4727" s="100"/>
      <c r="Y4727" s="100"/>
    </row>
    <row r="4728">
      <c r="R4728" s="100"/>
      <c r="V4728" s="100"/>
      <c r="Y4728" s="100"/>
    </row>
    <row r="4729">
      <c r="R4729" s="100"/>
      <c r="V4729" s="100"/>
      <c r="Y4729" s="100"/>
    </row>
    <row r="4730">
      <c r="R4730" s="100"/>
      <c r="V4730" s="100"/>
      <c r="Y4730" s="100"/>
    </row>
    <row r="4731">
      <c r="R4731" s="100"/>
      <c r="V4731" s="100"/>
      <c r="Y4731" s="100"/>
    </row>
    <row r="4732">
      <c r="R4732" s="100"/>
      <c r="V4732" s="100"/>
      <c r="Y4732" s="100"/>
    </row>
    <row r="4733">
      <c r="R4733" s="100"/>
      <c r="V4733" s="100"/>
      <c r="Y4733" s="100"/>
    </row>
    <row r="4734">
      <c r="R4734" s="100"/>
      <c r="V4734" s="100"/>
      <c r="Y4734" s="100"/>
    </row>
    <row r="4735">
      <c r="R4735" s="100"/>
      <c r="V4735" s="100"/>
      <c r="Y4735" s="100"/>
    </row>
    <row r="4736">
      <c r="R4736" s="100"/>
      <c r="V4736" s="100"/>
      <c r="Y4736" s="100"/>
    </row>
    <row r="4737">
      <c r="R4737" s="100"/>
      <c r="V4737" s="100"/>
      <c r="Y4737" s="100"/>
    </row>
    <row r="4738">
      <c r="R4738" s="100"/>
      <c r="V4738" s="100"/>
      <c r="Y4738" s="100"/>
    </row>
    <row r="4739">
      <c r="R4739" s="100"/>
      <c r="V4739" s="100"/>
      <c r="Y4739" s="100"/>
    </row>
    <row r="4740">
      <c r="R4740" s="100"/>
      <c r="V4740" s="100"/>
      <c r="Y4740" s="100"/>
    </row>
    <row r="4741">
      <c r="R4741" s="100"/>
      <c r="V4741" s="100"/>
      <c r="Y4741" s="100"/>
    </row>
    <row r="4742">
      <c r="R4742" s="100"/>
      <c r="V4742" s="100"/>
      <c r="Y4742" s="100"/>
    </row>
    <row r="4743">
      <c r="R4743" s="100"/>
      <c r="V4743" s="100"/>
      <c r="Y4743" s="100"/>
    </row>
    <row r="4744">
      <c r="R4744" s="100"/>
      <c r="V4744" s="100"/>
      <c r="Y4744" s="100"/>
    </row>
    <row r="4745">
      <c r="R4745" s="100"/>
      <c r="V4745" s="100"/>
      <c r="Y4745" s="100"/>
    </row>
    <row r="4746">
      <c r="R4746" s="100"/>
      <c r="V4746" s="100"/>
      <c r="Y4746" s="100"/>
    </row>
    <row r="4747">
      <c r="R4747" s="100"/>
      <c r="V4747" s="100"/>
      <c r="Y4747" s="100"/>
    </row>
    <row r="4748">
      <c r="R4748" s="100"/>
      <c r="V4748" s="100"/>
      <c r="Y4748" s="100"/>
    </row>
    <row r="4749">
      <c r="R4749" s="100"/>
      <c r="V4749" s="100"/>
      <c r="Y4749" s="100"/>
    </row>
    <row r="4750">
      <c r="R4750" s="100"/>
      <c r="V4750" s="100"/>
      <c r="Y4750" s="100"/>
    </row>
    <row r="4751">
      <c r="R4751" s="100"/>
      <c r="V4751" s="100"/>
      <c r="Y4751" s="100"/>
    </row>
    <row r="4752">
      <c r="R4752" s="100"/>
      <c r="V4752" s="100"/>
      <c r="Y4752" s="100"/>
    </row>
    <row r="4753">
      <c r="R4753" s="100"/>
      <c r="V4753" s="100"/>
      <c r="Y4753" s="100"/>
    </row>
    <row r="4754">
      <c r="R4754" s="100"/>
      <c r="V4754" s="100"/>
      <c r="Y4754" s="100"/>
    </row>
    <row r="4755">
      <c r="R4755" s="100"/>
      <c r="V4755" s="100"/>
      <c r="Y4755" s="100"/>
    </row>
    <row r="4756">
      <c r="R4756" s="100"/>
      <c r="V4756" s="100"/>
      <c r="Y4756" s="100"/>
    </row>
    <row r="4757">
      <c r="R4757" s="100"/>
      <c r="V4757" s="100"/>
      <c r="Y4757" s="100"/>
    </row>
    <row r="4758">
      <c r="R4758" s="100"/>
      <c r="V4758" s="100"/>
      <c r="Y4758" s="100"/>
    </row>
    <row r="4759">
      <c r="R4759" s="100"/>
      <c r="V4759" s="100"/>
      <c r="Y4759" s="100"/>
    </row>
    <row r="4760">
      <c r="R4760" s="100"/>
      <c r="V4760" s="100"/>
      <c r="Y4760" s="100"/>
    </row>
    <row r="4761">
      <c r="R4761" s="100"/>
      <c r="V4761" s="100"/>
      <c r="Y4761" s="100"/>
    </row>
    <row r="4762">
      <c r="R4762" s="100"/>
      <c r="V4762" s="100"/>
      <c r="Y4762" s="100"/>
    </row>
    <row r="4763">
      <c r="R4763" s="100"/>
      <c r="V4763" s="100"/>
      <c r="Y4763" s="100"/>
    </row>
    <row r="4764">
      <c r="R4764" s="100"/>
      <c r="V4764" s="100"/>
      <c r="Y4764" s="100"/>
    </row>
    <row r="4765">
      <c r="R4765" s="100"/>
      <c r="V4765" s="100"/>
      <c r="Y4765" s="100"/>
    </row>
    <row r="4766">
      <c r="R4766" s="100"/>
      <c r="V4766" s="100"/>
      <c r="Y4766" s="100"/>
    </row>
    <row r="4767">
      <c r="R4767" s="100"/>
      <c r="V4767" s="100"/>
      <c r="Y4767" s="100"/>
    </row>
    <row r="4768">
      <c r="R4768" s="100"/>
      <c r="V4768" s="100"/>
      <c r="Y4768" s="100"/>
    </row>
    <row r="4769">
      <c r="R4769" s="100"/>
      <c r="V4769" s="100"/>
      <c r="Y4769" s="100"/>
    </row>
    <row r="4770">
      <c r="R4770" s="100"/>
      <c r="V4770" s="100"/>
      <c r="Y4770" s="100"/>
    </row>
    <row r="4771">
      <c r="R4771" s="100"/>
      <c r="V4771" s="100"/>
      <c r="Y4771" s="100"/>
    </row>
    <row r="4772">
      <c r="R4772" s="100"/>
      <c r="V4772" s="100"/>
      <c r="Y4772" s="100"/>
    </row>
    <row r="4773">
      <c r="R4773" s="100"/>
      <c r="V4773" s="100"/>
      <c r="Y4773" s="100"/>
    </row>
    <row r="4774">
      <c r="R4774" s="100"/>
      <c r="V4774" s="100"/>
      <c r="Y4774" s="100"/>
    </row>
    <row r="4775">
      <c r="R4775" s="100"/>
      <c r="V4775" s="100"/>
      <c r="Y4775" s="100"/>
    </row>
    <row r="4776">
      <c r="R4776" s="100"/>
      <c r="V4776" s="100"/>
      <c r="Y4776" s="100"/>
    </row>
    <row r="4777">
      <c r="R4777" s="100"/>
      <c r="V4777" s="100"/>
      <c r="Y4777" s="100"/>
    </row>
    <row r="4778">
      <c r="R4778" s="100"/>
      <c r="V4778" s="100"/>
      <c r="Y4778" s="100"/>
    </row>
    <row r="4779">
      <c r="R4779" s="100"/>
      <c r="V4779" s="100"/>
      <c r="Y4779" s="100"/>
    </row>
    <row r="4780">
      <c r="R4780" s="100"/>
      <c r="V4780" s="100"/>
      <c r="Y4780" s="100"/>
    </row>
    <row r="4781">
      <c r="R4781" s="100"/>
      <c r="V4781" s="100"/>
      <c r="Y4781" s="100"/>
    </row>
    <row r="4782">
      <c r="R4782" s="100"/>
      <c r="V4782" s="100"/>
      <c r="Y4782" s="100"/>
    </row>
    <row r="4783">
      <c r="R4783" s="100"/>
      <c r="V4783" s="100"/>
      <c r="Y4783" s="100"/>
    </row>
    <row r="4784">
      <c r="R4784" s="100"/>
      <c r="V4784" s="100"/>
      <c r="Y4784" s="100"/>
    </row>
    <row r="4785">
      <c r="R4785" s="100"/>
      <c r="V4785" s="100"/>
      <c r="Y4785" s="100"/>
    </row>
    <row r="4786">
      <c r="R4786" s="100"/>
      <c r="V4786" s="100"/>
      <c r="Y4786" s="100"/>
    </row>
    <row r="4787">
      <c r="R4787" s="100"/>
      <c r="V4787" s="100"/>
      <c r="Y4787" s="100"/>
    </row>
    <row r="4788">
      <c r="R4788" s="100"/>
      <c r="V4788" s="100"/>
      <c r="Y4788" s="100"/>
    </row>
    <row r="4789">
      <c r="R4789" s="100"/>
      <c r="V4789" s="100"/>
      <c r="Y4789" s="100"/>
    </row>
    <row r="4790">
      <c r="R4790" s="100"/>
      <c r="V4790" s="100"/>
      <c r="Y4790" s="100"/>
    </row>
    <row r="4791">
      <c r="R4791" s="100"/>
      <c r="V4791" s="100"/>
      <c r="Y4791" s="100"/>
    </row>
    <row r="4792">
      <c r="R4792" s="100"/>
      <c r="V4792" s="100"/>
      <c r="Y4792" s="100"/>
    </row>
    <row r="4793">
      <c r="R4793" s="100"/>
      <c r="V4793" s="100"/>
      <c r="Y4793" s="100"/>
    </row>
    <row r="4794">
      <c r="R4794" s="100"/>
      <c r="V4794" s="100"/>
      <c r="Y4794" s="100"/>
    </row>
    <row r="4795">
      <c r="R4795" s="100"/>
      <c r="V4795" s="100"/>
      <c r="Y4795" s="100"/>
    </row>
    <row r="4796">
      <c r="R4796" s="100"/>
      <c r="V4796" s="100"/>
      <c r="Y4796" s="100"/>
    </row>
    <row r="4797">
      <c r="R4797" s="100"/>
      <c r="V4797" s="100"/>
      <c r="Y4797" s="100"/>
    </row>
    <row r="4798">
      <c r="R4798" s="100"/>
      <c r="V4798" s="100"/>
      <c r="Y4798" s="100"/>
    </row>
    <row r="4799">
      <c r="R4799" s="100"/>
      <c r="V4799" s="100"/>
      <c r="Y4799" s="100"/>
    </row>
    <row r="4800">
      <c r="R4800" s="100"/>
      <c r="V4800" s="100"/>
      <c r="Y4800" s="100"/>
    </row>
    <row r="4801">
      <c r="R4801" s="100"/>
      <c r="V4801" s="100"/>
      <c r="Y4801" s="100"/>
    </row>
    <row r="4802">
      <c r="R4802" s="100"/>
      <c r="V4802" s="100"/>
      <c r="Y4802" s="100"/>
    </row>
    <row r="4803">
      <c r="R4803" s="100"/>
      <c r="V4803" s="100"/>
      <c r="Y4803" s="100"/>
    </row>
    <row r="4804">
      <c r="R4804" s="100"/>
      <c r="V4804" s="100"/>
      <c r="Y4804" s="100"/>
    </row>
    <row r="4805">
      <c r="R4805" s="100"/>
      <c r="V4805" s="100"/>
      <c r="Y4805" s="100"/>
    </row>
    <row r="4806">
      <c r="R4806" s="100"/>
      <c r="V4806" s="100"/>
      <c r="Y4806" s="100"/>
    </row>
    <row r="4807">
      <c r="R4807" s="100"/>
      <c r="V4807" s="100"/>
      <c r="Y4807" s="100"/>
    </row>
    <row r="4808">
      <c r="R4808" s="100"/>
      <c r="V4808" s="100"/>
      <c r="Y4808" s="100"/>
    </row>
    <row r="4809">
      <c r="R4809" s="100"/>
      <c r="V4809" s="100"/>
      <c r="Y4809" s="100"/>
    </row>
    <row r="4810">
      <c r="R4810" s="100"/>
      <c r="V4810" s="100"/>
      <c r="Y4810" s="100"/>
    </row>
    <row r="4811">
      <c r="R4811" s="100"/>
      <c r="V4811" s="100"/>
      <c r="Y4811" s="100"/>
    </row>
    <row r="4812">
      <c r="R4812" s="100"/>
      <c r="V4812" s="100"/>
      <c r="Y4812" s="100"/>
    </row>
    <row r="4813">
      <c r="R4813" s="100"/>
      <c r="V4813" s="100"/>
      <c r="Y4813" s="100"/>
    </row>
    <row r="4814">
      <c r="R4814" s="100"/>
      <c r="V4814" s="100"/>
      <c r="Y4814" s="100"/>
    </row>
    <row r="4815">
      <c r="R4815" s="100"/>
      <c r="V4815" s="100"/>
      <c r="Y4815" s="100"/>
    </row>
    <row r="4816">
      <c r="R4816" s="100"/>
      <c r="V4816" s="100"/>
      <c r="Y4816" s="100"/>
    </row>
    <row r="4817">
      <c r="R4817" s="100"/>
      <c r="V4817" s="100"/>
      <c r="Y4817" s="100"/>
    </row>
    <row r="4818">
      <c r="R4818" s="100"/>
      <c r="V4818" s="100"/>
      <c r="Y4818" s="100"/>
    </row>
    <row r="4819">
      <c r="R4819" s="100"/>
      <c r="V4819" s="100"/>
      <c r="Y4819" s="100"/>
    </row>
    <row r="4820">
      <c r="R4820" s="100"/>
      <c r="V4820" s="100"/>
      <c r="Y4820" s="100"/>
    </row>
    <row r="4821">
      <c r="R4821" s="100"/>
      <c r="V4821" s="100"/>
      <c r="Y4821" s="100"/>
    </row>
    <row r="4822">
      <c r="R4822" s="100"/>
      <c r="V4822" s="100"/>
      <c r="Y4822" s="100"/>
    </row>
    <row r="4823">
      <c r="R4823" s="100"/>
      <c r="V4823" s="100"/>
      <c r="Y4823" s="100"/>
    </row>
    <row r="4824">
      <c r="R4824" s="100"/>
      <c r="V4824" s="100"/>
      <c r="Y4824" s="100"/>
    </row>
    <row r="4825">
      <c r="R4825" s="100"/>
      <c r="V4825" s="100"/>
      <c r="Y4825" s="100"/>
    </row>
    <row r="4826">
      <c r="R4826" s="100"/>
      <c r="V4826" s="100"/>
      <c r="Y4826" s="100"/>
    </row>
    <row r="4827">
      <c r="R4827" s="100"/>
      <c r="V4827" s="100"/>
      <c r="Y4827" s="100"/>
    </row>
    <row r="4828">
      <c r="R4828" s="100"/>
      <c r="V4828" s="100"/>
      <c r="Y4828" s="100"/>
    </row>
    <row r="4829">
      <c r="R4829" s="100"/>
      <c r="V4829" s="100"/>
      <c r="Y4829" s="100"/>
    </row>
    <row r="4830">
      <c r="R4830" s="100"/>
      <c r="V4830" s="100"/>
      <c r="Y4830" s="100"/>
    </row>
    <row r="4831">
      <c r="R4831" s="100"/>
      <c r="V4831" s="100"/>
      <c r="Y4831" s="100"/>
    </row>
    <row r="4832">
      <c r="R4832" s="100"/>
      <c r="V4832" s="100"/>
      <c r="Y4832" s="100"/>
    </row>
    <row r="4833">
      <c r="R4833" s="100"/>
      <c r="V4833" s="100"/>
      <c r="Y4833" s="100"/>
    </row>
    <row r="4834">
      <c r="R4834" s="100"/>
      <c r="V4834" s="100"/>
      <c r="Y4834" s="100"/>
    </row>
    <row r="4835">
      <c r="R4835" s="100"/>
      <c r="V4835" s="100"/>
      <c r="Y4835" s="100"/>
    </row>
    <row r="4836">
      <c r="R4836" s="100"/>
      <c r="V4836" s="100"/>
      <c r="Y4836" s="100"/>
    </row>
    <row r="4837">
      <c r="R4837" s="100"/>
      <c r="V4837" s="100"/>
      <c r="Y4837" s="100"/>
    </row>
    <row r="4838">
      <c r="R4838" s="100"/>
      <c r="V4838" s="100"/>
      <c r="Y4838" s="100"/>
    </row>
    <row r="4839">
      <c r="R4839" s="100"/>
      <c r="V4839" s="100"/>
      <c r="Y4839" s="100"/>
    </row>
    <row r="4840">
      <c r="R4840" s="100"/>
      <c r="V4840" s="100"/>
      <c r="Y4840" s="100"/>
    </row>
    <row r="4841">
      <c r="R4841" s="100"/>
      <c r="V4841" s="100"/>
      <c r="Y4841" s="100"/>
    </row>
    <row r="4842">
      <c r="R4842" s="100"/>
      <c r="V4842" s="100"/>
      <c r="Y4842" s="100"/>
    </row>
    <row r="4843">
      <c r="R4843" s="100"/>
      <c r="V4843" s="100"/>
      <c r="Y4843" s="100"/>
    </row>
    <row r="4844">
      <c r="R4844" s="100"/>
      <c r="V4844" s="100"/>
      <c r="Y4844" s="100"/>
    </row>
    <row r="4845">
      <c r="R4845" s="100"/>
      <c r="V4845" s="100"/>
      <c r="Y4845" s="100"/>
    </row>
    <row r="4846">
      <c r="R4846" s="100"/>
      <c r="V4846" s="100"/>
      <c r="Y4846" s="100"/>
    </row>
    <row r="4847">
      <c r="R4847" s="100"/>
      <c r="V4847" s="100"/>
      <c r="Y4847" s="100"/>
    </row>
    <row r="4848">
      <c r="R4848" s="100"/>
      <c r="V4848" s="100"/>
      <c r="Y4848" s="100"/>
    </row>
    <row r="4849">
      <c r="R4849" s="100"/>
      <c r="V4849" s="100"/>
      <c r="Y4849" s="100"/>
    </row>
    <row r="4850">
      <c r="R4850" s="100"/>
      <c r="V4850" s="100"/>
      <c r="Y4850" s="100"/>
    </row>
    <row r="4851">
      <c r="R4851" s="100"/>
      <c r="V4851" s="100"/>
      <c r="Y4851" s="100"/>
    </row>
    <row r="4852">
      <c r="R4852" s="100"/>
      <c r="V4852" s="100"/>
      <c r="Y4852" s="100"/>
    </row>
    <row r="4853">
      <c r="R4853" s="100"/>
      <c r="V4853" s="100"/>
      <c r="Y4853" s="100"/>
    </row>
    <row r="4854">
      <c r="R4854" s="100"/>
      <c r="V4854" s="100"/>
      <c r="Y4854" s="100"/>
    </row>
    <row r="4855">
      <c r="R4855" s="100"/>
      <c r="V4855" s="100"/>
      <c r="Y4855" s="100"/>
    </row>
    <row r="4856">
      <c r="R4856" s="100"/>
      <c r="V4856" s="100"/>
      <c r="Y4856" s="100"/>
    </row>
    <row r="4857">
      <c r="R4857" s="100"/>
      <c r="V4857" s="100"/>
      <c r="Y4857" s="100"/>
    </row>
    <row r="4858">
      <c r="R4858" s="100"/>
      <c r="V4858" s="100"/>
      <c r="Y4858" s="100"/>
    </row>
    <row r="4859">
      <c r="R4859" s="100"/>
      <c r="V4859" s="100"/>
      <c r="Y4859" s="100"/>
    </row>
    <row r="4860">
      <c r="R4860" s="100"/>
      <c r="V4860" s="100"/>
      <c r="Y4860" s="100"/>
    </row>
    <row r="4861">
      <c r="R4861" s="100"/>
      <c r="V4861" s="100"/>
      <c r="Y4861" s="100"/>
    </row>
    <row r="4862">
      <c r="R4862" s="100"/>
      <c r="V4862" s="100"/>
      <c r="Y4862" s="100"/>
    </row>
    <row r="4863">
      <c r="R4863" s="100"/>
      <c r="V4863" s="100"/>
      <c r="Y4863" s="100"/>
    </row>
    <row r="4864">
      <c r="R4864" s="100"/>
      <c r="V4864" s="100"/>
      <c r="Y4864" s="100"/>
    </row>
    <row r="4865">
      <c r="R4865" s="100"/>
      <c r="V4865" s="100"/>
      <c r="Y4865" s="100"/>
    </row>
    <row r="4866">
      <c r="R4866" s="100"/>
      <c r="V4866" s="100"/>
      <c r="Y4866" s="100"/>
    </row>
    <row r="4867">
      <c r="R4867" s="100"/>
      <c r="V4867" s="100"/>
      <c r="Y4867" s="100"/>
    </row>
    <row r="4868">
      <c r="R4868" s="100"/>
      <c r="V4868" s="100"/>
      <c r="Y4868" s="100"/>
    </row>
    <row r="4869">
      <c r="R4869" s="100"/>
      <c r="V4869" s="100"/>
      <c r="Y4869" s="100"/>
    </row>
    <row r="4870">
      <c r="R4870" s="100"/>
      <c r="V4870" s="100"/>
      <c r="Y4870" s="100"/>
    </row>
    <row r="4871">
      <c r="R4871" s="100"/>
      <c r="V4871" s="100"/>
      <c r="Y4871" s="100"/>
    </row>
    <row r="4872">
      <c r="R4872" s="100"/>
      <c r="V4872" s="100"/>
      <c r="Y4872" s="100"/>
    </row>
    <row r="4873">
      <c r="R4873" s="100"/>
      <c r="V4873" s="100"/>
      <c r="Y4873" s="100"/>
    </row>
    <row r="4874">
      <c r="R4874" s="100"/>
      <c r="V4874" s="100"/>
      <c r="Y4874" s="100"/>
    </row>
    <row r="4875">
      <c r="R4875" s="100"/>
      <c r="V4875" s="100"/>
      <c r="Y4875" s="100"/>
    </row>
    <row r="4876">
      <c r="R4876" s="100"/>
      <c r="V4876" s="100"/>
      <c r="Y4876" s="100"/>
    </row>
    <row r="4877">
      <c r="R4877" s="100"/>
      <c r="V4877" s="100"/>
      <c r="Y4877" s="100"/>
    </row>
    <row r="4878">
      <c r="R4878" s="100"/>
      <c r="V4878" s="100"/>
      <c r="Y4878" s="100"/>
    </row>
    <row r="4879">
      <c r="R4879" s="100"/>
      <c r="V4879" s="100"/>
      <c r="Y4879" s="100"/>
    </row>
    <row r="4880">
      <c r="R4880" s="100"/>
      <c r="V4880" s="100"/>
      <c r="Y4880" s="100"/>
    </row>
    <row r="4881">
      <c r="R4881" s="100"/>
      <c r="V4881" s="100"/>
      <c r="Y4881" s="100"/>
    </row>
    <row r="4882">
      <c r="R4882" s="100"/>
      <c r="V4882" s="100"/>
      <c r="Y4882" s="100"/>
    </row>
    <row r="4883">
      <c r="R4883" s="100"/>
      <c r="V4883" s="100"/>
      <c r="Y4883" s="100"/>
    </row>
    <row r="4884">
      <c r="R4884" s="100"/>
      <c r="V4884" s="100"/>
      <c r="Y4884" s="100"/>
    </row>
    <row r="4885">
      <c r="R4885" s="100"/>
      <c r="V4885" s="100"/>
      <c r="Y4885" s="100"/>
    </row>
    <row r="4886">
      <c r="R4886" s="100"/>
      <c r="V4886" s="100"/>
      <c r="Y4886" s="100"/>
    </row>
    <row r="4887">
      <c r="R4887" s="100"/>
      <c r="V4887" s="100"/>
      <c r="Y4887" s="100"/>
    </row>
    <row r="4888">
      <c r="R4888" s="100"/>
      <c r="V4888" s="100"/>
      <c r="Y4888" s="100"/>
    </row>
    <row r="4889">
      <c r="R4889" s="100"/>
      <c r="V4889" s="100"/>
      <c r="Y4889" s="100"/>
    </row>
    <row r="4890">
      <c r="R4890" s="100"/>
      <c r="V4890" s="100"/>
      <c r="Y4890" s="100"/>
    </row>
    <row r="4891">
      <c r="R4891" s="100"/>
      <c r="V4891" s="100"/>
      <c r="Y4891" s="100"/>
    </row>
    <row r="4892">
      <c r="R4892" s="100"/>
      <c r="V4892" s="100"/>
      <c r="Y4892" s="100"/>
    </row>
    <row r="4893">
      <c r="R4893" s="100"/>
      <c r="V4893" s="100"/>
      <c r="Y4893" s="100"/>
    </row>
    <row r="4894">
      <c r="R4894" s="100"/>
      <c r="V4894" s="100"/>
      <c r="Y4894" s="100"/>
    </row>
    <row r="4895">
      <c r="R4895" s="100"/>
      <c r="V4895" s="100"/>
      <c r="Y4895" s="100"/>
    </row>
    <row r="4896">
      <c r="R4896" s="100"/>
      <c r="V4896" s="100"/>
      <c r="Y4896" s="100"/>
    </row>
    <row r="4897">
      <c r="R4897" s="100"/>
      <c r="V4897" s="100"/>
      <c r="Y4897" s="100"/>
    </row>
    <row r="4898">
      <c r="R4898" s="100"/>
      <c r="V4898" s="100"/>
      <c r="Y4898" s="100"/>
    </row>
    <row r="4899">
      <c r="R4899" s="100"/>
      <c r="V4899" s="100"/>
      <c r="Y4899" s="100"/>
    </row>
    <row r="4900">
      <c r="R4900" s="100"/>
      <c r="V4900" s="100"/>
      <c r="Y4900" s="100"/>
    </row>
    <row r="4901">
      <c r="R4901" s="100"/>
      <c r="V4901" s="100"/>
      <c r="Y4901" s="100"/>
    </row>
    <row r="4902">
      <c r="R4902" s="100"/>
      <c r="V4902" s="100"/>
      <c r="Y4902" s="100"/>
    </row>
    <row r="4903">
      <c r="R4903" s="100"/>
      <c r="V4903" s="100"/>
      <c r="Y4903" s="100"/>
    </row>
    <row r="4904">
      <c r="R4904" s="100"/>
      <c r="V4904" s="100"/>
      <c r="Y4904" s="100"/>
    </row>
    <row r="4905">
      <c r="R4905" s="100"/>
      <c r="V4905" s="100"/>
      <c r="Y4905" s="100"/>
    </row>
    <row r="4906">
      <c r="R4906" s="100"/>
      <c r="V4906" s="100"/>
      <c r="Y4906" s="100"/>
    </row>
    <row r="4907">
      <c r="R4907" s="100"/>
      <c r="V4907" s="100"/>
      <c r="Y4907" s="100"/>
    </row>
    <row r="4908">
      <c r="R4908" s="100"/>
      <c r="V4908" s="100"/>
      <c r="Y4908" s="100"/>
    </row>
    <row r="4909">
      <c r="R4909" s="100"/>
      <c r="V4909" s="100"/>
      <c r="Y4909" s="100"/>
    </row>
    <row r="4910">
      <c r="R4910" s="100"/>
      <c r="V4910" s="100"/>
      <c r="Y4910" s="100"/>
    </row>
    <row r="4911">
      <c r="R4911" s="100"/>
      <c r="V4911" s="100"/>
      <c r="Y4911" s="100"/>
    </row>
    <row r="4912">
      <c r="R4912" s="100"/>
      <c r="V4912" s="100"/>
      <c r="Y4912" s="100"/>
    </row>
    <row r="4913">
      <c r="R4913" s="100"/>
      <c r="V4913" s="100"/>
      <c r="Y4913" s="100"/>
    </row>
    <row r="4914">
      <c r="R4914" s="100"/>
      <c r="V4914" s="100"/>
      <c r="Y4914" s="100"/>
    </row>
    <row r="4915">
      <c r="R4915" s="100"/>
      <c r="V4915" s="100"/>
      <c r="Y4915" s="100"/>
    </row>
    <row r="4916">
      <c r="R4916" s="100"/>
      <c r="V4916" s="100"/>
      <c r="Y4916" s="100"/>
    </row>
    <row r="4917">
      <c r="R4917" s="100"/>
      <c r="V4917" s="100"/>
      <c r="Y4917" s="100"/>
    </row>
    <row r="4918">
      <c r="R4918" s="100"/>
      <c r="V4918" s="100"/>
      <c r="Y4918" s="100"/>
    </row>
    <row r="4919">
      <c r="R4919" s="100"/>
      <c r="V4919" s="100"/>
      <c r="Y4919" s="100"/>
    </row>
    <row r="4920">
      <c r="R4920" s="100"/>
      <c r="V4920" s="100"/>
      <c r="Y4920" s="100"/>
    </row>
    <row r="4921">
      <c r="R4921" s="100"/>
      <c r="V4921" s="100"/>
      <c r="Y4921" s="100"/>
    </row>
    <row r="4922">
      <c r="R4922" s="100"/>
      <c r="V4922" s="100"/>
      <c r="Y4922" s="100"/>
    </row>
    <row r="4923">
      <c r="R4923" s="100"/>
      <c r="V4923" s="100"/>
      <c r="Y4923" s="100"/>
    </row>
    <row r="4924">
      <c r="R4924" s="100"/>
      <c r="V4924" s="100"/>
      <c r="Y4924" s="100"/>
    </row>
    <row r="4925">
      <c r="R4925" s="100"/>
      <c r="V4925" s="100"/>
      <c r="Y4925" s="100"/>
    </row>
    <row r="4926">
      <c r="R4926" s="100"/>
      <c r="V4926" s="100"/>
      <c r="Y4926" s="100"/>
    </row>
    <row r="4927">
      <c r="R4927" s="100"/>
      <c r="V4927" s="100"/>
      <c r="Y4927" s="100"/>
    </row>
    <row r="4928">
      <c r="R4928" s="100"/>
      <c r="V4928" s="100"/>
      <c r="Y4928" s="100"/>
    </row>
    <row r="4929">
      <c r="R4929" s="100"/>
      <c r="V4929" s="100"/>
      <c r="Y4929" s="100"/>
    </row>
    <row r="4930">
      <c r="R4930" s="100"/>
      <c r="V4930" s="100"/>
      <c r="Y4930" s="100"/>
    </row>
    <row r="4931">
      <c r="R4931" s="100"/>
      <c r="V4931" s="100"/>
      <c r="Y4931" s="100"/>
    </row>
    <row r="4932">
      <c r="R4932" s="100"/>
      <c r="V4932" s="100"/>
      <c r="Y4932" s="100"/>
    </row>
    <row r="4933">
      <c r="R4933" s="100"/>
      <c r="V4933" s="100"/>
      <c r="Y4933" s="100"/>
    </row>
    <row r="4934">
      <c r="R4934" s="100"/>
      <c r="V4934" s="100"/>
      <c r="Y4934" s="100"/>
    </row>
    <row r="4935">
      <c r="R4935" s="100"/>
      <c r="V4935" s="100"/>
      <c r="Y4935" s="100"/>
    </row>
    <row r="4936">
      <c r="R4936" s="100"/>
      <c r="V4936" s="100"/>
      <c r="Y4936" s="100"/>
    </row>
    <row r="4937">
      <c r="R4937" s="100"/>
      <c r="V4937" s="100"/>
      <c r="Y4937" s="100"/>
    </row>
    <row r="4938">
      <c r="R4938" s="100"/>
      <c r="V4938" s="100"/>
      <c r="Y4938" s="100"/>
    </row>
    <row r="4939">
      <c r="R4939" s="100"/>
      <c r="V4939" s="100"/>
      <c r="Y4939" s="100"/>
    </row>
    <row r="4940">
      <c r="R4940" s="100"/>
      <c r="V4940" s="100"/>
      <c r="Y4940" s="100"/>
    </row>
    <row r="4941">
      <c r="R4941" s="100"/>
      <c r="V4941" s="100"/>
      <c r="Y4941" s="100"/>
    </row>
    <row r="4942">
      <c r="R4942" s="100"/>
      <c r="V4942" s="100"/>
      <c r="Y4942" s="100"/>
    </row>
    <row r="4943">
      <c r="R4943" s="100"/>
      <c r="V4943" s="100"/>
      <c r="Y4943" s="100"/>
    </row>
    <row r="4944">
      <c r="R4944" s="100"/>
      <c r="V4944" s="100"/>
      <c r="Y4944" s="100"/>
    </row>
    <row r="4945">
      <c r="R4945" s="100"/>
      <c r="V4945" s="100"/>
      <c r="Y4945" s="100"/>
    </row>
    <row r="4946">
      <c r="R4946" s="100"/>
      <c r="V4946" s="100"/>
      <c r="Y4946" s="100"/>
    </row>
    <row r="4947">
      <c r="R4947" s="100"/>
      <c r="V4947" s="100"/>
      <c r="Y4947" s="100"/>
    </row>
    <row r="4948">
      <c r="R4948" s="100"/>
      <c r="V4948" s="100"/>
      <c r="Y4948" s="100"/>
    </row>
    <row r="4949">
      <c r="R4949" s="100"/>
      <c r="V4949" s="100"/>
      <c r="Y4949" s="100"/>
    </row>
    <row r="4950">
      <c r="R4950" s="100"/>
      <c r="V4950" s="100"/>
      <c r="Y4950" s="100"/>
    </row>
    <row r="4951">
      <c r="R4951" s="100"/>
      <c r="V4951" s="100"/>
      <c r="Y4951" s="100"/>
    </row>
    <row r="4952">
      <c r="R4952" s="100"/>
      <c r="V4952" s="100"/>
      <c r="Y4952" s="100"/>
    </row>
    <row r="4953">
      <c r="R4953" s="100"/>
      <c r="V4953" s="100"/>
      <c r="Y4953" s="100"/>
    </row>
    <row r="4954">
      <c r="R4954" s="100"/>
      <c r="V4954" s="100"/>
      <c r="Y4954" s="100"/>
    </row>
    <row r="4955">
      <c r="R4955" s="100"/>
      <c r="V4955" s="100"/>
      <c r="Y4955" s="100"/>
    </row>
    <row r="4956">
      <c r="R4956" s="100"/>
      <c r="V4956" s="100"/>
      <c r="Y4956" s="100"/>
    </row>
    <row r="4957">
      <c r="R4957" s="100"/>
      <c r="V4957" s="100"/>
      <c r="Y4957" s="100"/>
    </row>
    <row r="4958">
      <c r="R4958" s="100"/>
      <c r="V4958" s="100"/>
      <c r="Y4958" s="100"/>
    </row>
    <row r="4959">
      <c r="R4959" s="100"/>
      <c r="V4959" s="100"/>
      <c r="Y4959" s="100"/>
    </row>
    <row r="4960">
      <c r="R4960" s="100"/>
      <c r="V4960" s="100"/>
      <c r="Y4960" s="100"/>
    </row>
    <row r="4961">
      <c r="R4961" s="100"/>
      <c r="V4961" s="100"/>
      <c r="Y4961" s="100"/>
    </row>
    <row r="4962">
      <c r="R4962" s="100"/>
      <c r="V4962" s="100"/>
      <c r="Y4962" s="100"/>
    </row>
    <row r="4963">
      <c r="R4963" s="100"/>
      <c r="V4963" s="100"/>
      <c r="Y4963" s="100"/>
    </row>
    <row r="4964">
      <c r="R4964" s="100"/>
      <c r="V4964" s="100"/>
      <c r="Y4964" s="100"/>
    </row>
    <row r="4965">
      <c r="R4965" s="100"/>
      <c r="V4965" s="100"/>
      <c r="Y4965" s="100"/>
    </row>
    <row r="4966">
      <c r="R4966" s="100"/>
      <c r="V4966" s="100"/>
      <c r="Y4966" s="100"/>
    </row>
    <row r="4967">
      <c r="R4967" s="100"/>
      <c r="V4967" s="100"/>
      <c r="Y4967" s="100"/>
    </row>
    <row r="4968">
      <c r="R4968" s="100"/>
      <c r="V4968" s="100"/>
      <c r="Y4968" s="100"/>
    </row>
    <row r="4969">
      <c r="R4969" s="100"/>
      <c r="V4969" s="100"/>
      <c r="Y4969" s="100"/>
    </row>
    <row r="4970">
      <c r="R4970" s="100"/>
      <c r="V4970" s="100"/>
      <c r="Y4970" s="100"/>
    </row>
    <row r="4971">
      <c r="R4971" s="100"/>
      <c r="V4971" s="100"/>
      <c r="Y4971" s="100"/>
    </row>
    <row r="4972">
      <c r="R4972" s="100"/>
      <c r="V4972" s="100"/>
      <c r="Y4972" s="100"/>
    </row>
    <row r="4973">
      <c r="R4973" s="100"/>
      <c r="V4973" s="100"/>
      <c r="Y4973" s="100"/>
    </row>
    <row r="4974">
      <c r="R4974" s="100"/>
      <c r="V4974" s="100"/>
      <c r="Y4974" s="100"/>
    </row>
    <row r="4975">
      <c r="R4975" s="100"/>
      <c r="V4975" s="100"/>
      <c r="Y4975" s="100"/>
    </row>
    <row r="4976">
      <c r="R4976" s="100"/>
      <c r="V4976" s="100"/>
      <c r="Y4976" s="100"/>
    </row>
    <row r="4977">
      <c r="R4977" s="100"/>
      <c r="V4977" s="100"/>
      <c r="Y4977" s="100"/>
    </row>
    <row r="4978">
      <c r="R4978" s="100"/>
      <c r="V4978" s="100"/>
      <c r="Y4978" s="100"/>
    </row>
    <row r="4979">
      <c r="R4979" s="100"/>
      <c r="V4979" s="100"/>
      <c r="Y4979" s="100"/>
    </row>
    <row r="4980">
      <c r="R4980" s="100"/>
      <c r="V4980" s="100"/>
      <c r="Y4980" s="100"/>
    </row>
    <row r="4981">
      <c r="R4981" s="100"/>
      <c r="V4981" s="100"/>
      <c r="Y4981" s="100"/>
    </row>
    <row r="4982">
      <c r="R4982" s="100"/>
      <c r="V4982" s="100"/>
      <c r="Y4982" s="100"/>
    </row>
    <row r="4983">
      <c r="R4983" s="100"/>
      <c r="V4983" s="100"/>
      <c r="Y4983" s="100"/>
    </row>
    <row r="4984">
      <c r="R4984" s="100"/>
      <c r="V4984" s="100"/>
      <c r="Y4984" s="100"/>
    </row>
    <row r="4985">
      <c r="R4985" s="100"/>
      <c r="V4985" s="100"/>
      <c r="Y4985" s="100"/>
    </row>
    <row r="4986">
      <c r="R4986" s="100"/>
      <c r="V4986" s="100"/>
      <c r="Y4986" s="100"/>
    </row>
    <row r="4987">
      <c r="R4987" s="100"/>
      <c r="V4987" s="100"/>
      <c r="Y4987" s="100"/>
    </row>
    <row r="4988">
      <c r="R4988" s="100"/>
      <c r="V4988" s="100"/>
      <c r="Y4988" s="100"/>
    </row>
    <row r="4989">
      <c r="R4989" s="100"/>
      <c r="V4989" s="100"/>
      <c r="Y4989" s="100"/>
    </row>
    <row r="4990">
      <c r="R4990" s="100"/>
      <c r="V4990" s="100"/>
      <c r="Y4990" s="100"/>
    </row>
    <row r="4991">
      <c r="R4991" s="100"/>
      <c r="V4991" s="100"/>
      <c r="Y4991" s="100"/>
    </row>
    <row r="4992">
      <c r="R4992" s="100"/>
      <c r="V4992" s="100"/>
      <c r="Y4992" s="100"/>
    </row>
    <row r="4993">
      <c r="R4993" s="100"/>
      <c r="V4993" s="100"/>
      <c r="Y4993" s="100"/>
    </row>
    <row r="4994">
      <c r="R4994" s="100"/>
      <c r="V4994" s="100"/>
      <c r="Y4994" s="100"/>
    </row>
    <row r="4995">
      <c r="R4995" s="100"/>
      <c r="V4995" s="100"/>
      <c r="Y4995" s="100"/>
    </row>
    <row r="4996">
      <c r="R4996" s="100"/>
      <c r="V4996" s="100"/>
      <c r="Y4996" s="100"/>
    </row>
    <row r="4997">
      <c r="R4997" s="100"/>
      <c r="V4997" s="100"/>
      <c r="Y4997" s="100"/>
    </row>
    <row r="4998">
      <c r="R4998" s="100"/>
      <c r="V4998" s="100"/>
      <c r="Y4998" s="100"/>
    </row>
    <row r="4999">
      <c r="R4999" s="100"/>
      <c r="V4999" s="100"/>
      <c r="Y4999" s="100"/>
    </row>
    <row r="5000">
      <c r="R5000" s="100"/>
      <c r="V5000" s="100"/>
      <c r="Y5000" s="100"/>
    </row>
    <row r="5001">
      <c r="R5001" s="100"/>
      <c r="V5001" s="100"/>
      <c r="Y5001" s="100"/>
    </row>
    <row r="5002">
      <c r="R5002" s="100"/>
      <c r="V5002" s="100"/>
      <c r="Y5002" s="100"/>
    </row>
    <row r="5003">
      <c r="R5003" s="100"/>
      <c r="V5003" s="100"/>
      <c r="Y5003" s="100"/>
    </row>
    <row r="5004">
      <c r="R5004" s="100"/>
      <c r="V5004" s="100"/>
      <c r="Y5004" s="100"/>
    </row>
    <row r="5005">
      <c r="R5005" s="100"/>
      <c r="V5005" s="100"/>
      <c r="Y5005" s="100"/>
    </row>
    <row r="5006">
      <c r="R5006" s="100"/>
      <c r="V5006" s="100"/>
      <c r="Y5006" s="100"/>
    </row>
    <row r="5007">
      <c r="R5007" s="100"/>
      <c r="V5007" s="100"/>
      <c r="Y5007" s="100"/>
    </row>
    <row r="5008">
      <c r="R5008" s="100"/>
      <c r="V5008" s="100"/>
      <c r="Y5008" s="100"/>
    </row>
    <row r="5009">
      <c r="R5009" s="100"/>
      <c r="V5009" s="100"/>
      <c r="Y5009" s="100"/>
    </row>
    <row r="5010">
      <c r="R5010" s="100"/>
      <c r="V5010" s="100"/>
      <c r="Y5010" s="100"/>
    </row>
    <row r="5011">
      <c r="R5011" s="100"/>
      <c r="V5011" s="100"/>
      <c r="Y5011" s="100"/>
    </row>
    <row r="5012">
      <c r="R5012" s="100"/>
      <c r="V5012" s="100"/>
      <c r="Y5012" s="100"/>
    </row>
    <row r="5013">
      <c r="R5013" s="100"/>
      <c r="V5013" s="100"/>
      <c r="Y5013" s="100"/>
    </row>
    <row r="5014">
      <c r="R5014" s="100"/>
      <c r="V5014" s="100"/>
      <c r="Y5014" s="100"/>
    </row>
    <row r="5015">
      <c r="R5015" s="100"/>
      <c r="V5015" s="100"/>
      <c r="Y5015" s="100"/>
    </row>
    <row r="5016">
      <c r="R5016" s="100"/>
      <c r="V5016" s="100"/>
      <c r="Y5016" s="100"/>
    </row>
    <row r="5017">
      <c r="R5017" s="100"/>
      <c r="V5017" s="100"/>
      <c r="Y5017" s="100"/>
    </row>
    <row r="5018">
      <c r="R5018" s="100"/>
      <c r="V5018" s="100"/>
      <c r="Y5018" s="100"/>
    </row>
    <row r="5019">
      <c r="R5019" s="100"/>
      <c r="V5019" s="100"/>
      <c r="Y5019" s="100"/>
    </row>
    <row r="5020">
      <c r="R5020" s="100"/>
      <c r="V5020" s="100"/>
      <c r="Y5020" s="100"/>
    </row>
    <row r="5021">
      <c r="R5021" s="100"/>
      <c r="V5021" s="100"/>
      <c r="Y5021" s="100"/>
    </row>
    <row r="5022">
      <c r="R5022" s="100"/>
      <c r="V5022" s="100"/>
      <c r="Y5022" s="100"/>
    </row>
    <row r="5023">
      <c r="R5023" s="100"/>
      <c r="V5023" s="100"/>
      <c r="Y5023" s="100"/>
    </row>
    <row r="5024">
      <c r="R5024" s="100"/>
      <c r="V5024" s="100"/>
      <c r="Y5024" s="100"/>
    </row>
    <row r="5025">
      <c r="R5025" s="100"/>
      <c r="V5025" s="100"/>
      <c r="Y5025" s="100"/>
    </row>
    <row r="5026">
      <c r="R5026" s="100"/>
      <c r="V5026" s="100"/>
      <c r="Y5026" s="100"/>
    </row>
    <row r="5027">
      <c r="R5027" s="100"/>
      <c r="V5027" s="100"/>
      <c r="Y5027" s="100"/>
    </row>
    <row r="5028">
      <c r="R5028" s="100"/>
      <c r="V5028" s="100"/>
      <c r="Y5028" s="100"/>
    </row>
    <row r="5029">
      <c r="R5029" s="100"/>
      <c r="V5029" s="100"/>
      <c r="Y5029" s="100"/>
    </row>
    <row r="5030">
      <c r="R5030" s="100"/>
      <c r="V5030" s="100"/>
      <c r="Y5030" s="100"/>
    </row>
    <row r="5031">
      <c r="R5031" s="100"/>
      <c r="V5031" s="100"/>
      <c r="Y5031" s="100"/>
    </row>
    <row r="5032">
      <c r="R5032" s="100"/>
      <c r="V5032" s="100"/>
      <c r="Y5032" s="100"/>
    </row>
    <row r="5033">
      <c r="R5033" s="100"/>
      <c r="V5033" s="100"/>
      <c r="Y5033" s="100"/>
    </row>
    <row r="5034">
      <c r="R5034" s="100"/>
      <c r="V5034" s="100"/>
      <c r="Y5034" s="100"/>
    </row>
    <row r="5035">
      <c r="R5035" s="100"/>
      <c r="V5035" s="100"/>
      <c r="Y5035" s="100"/>
    </row>
    <row r="5036">
      <c r="R5036" s="100"/>
      <c r="V5036" s="100"/>
      <c r="Y5036" s="100"/>
    </row>
    <row r="5037">
      <c r="R5037" s="100"/>
      <c r="V5037" s="100"/>
      <c r="Y5037" s="100"/>
    </row>
    <row r="5038">
      <c r="R5038" s="100"/>
      <c r="V5038" s="100"/>
      <c r="Y5038" s="100"/>
    </row>
    <row r="5039">
      <c r="R5039" s="100"/>
      <c r="V5039" s="100"/>
      <c r="Y5039" s="100"/>
    </row>
    <row r="5040">
      <c r="R5040" s="100"/>
      <c r="V5040" s="100"/>
      <c r="Y5040" s="100"/>
    </row>
    <row r="5041">
      <c r="R5041" s="100"/>
      <c r="V5041" s="100"/>
      <c r="Y5041" s="100"/>
    </row>
    <row r="5042">
      <c r="R5042" s="100"/>
      <c r="V5042" s="100"/>
      <c r="Y5042" s="100"/>
    </row>
    <row r="5043">
      <c r="R5043" s="100"/>
      <c r="V5043" s="100"/>
      <c r="Y5043" s="100"/>
    </row>
    <row r="5044">
      <c r="R5044" s="100"/>
      <c r="V5044" s="100"/>
      <c r="Y5044" s="100"/>
    </row>
    <row r="5045">
      <c r="R5045" s="100"/>
      <c r="V5045" s="100"/>
      <c r="Y5045" s="100"/>
    </row>
    <row r="5046">
      <c r="R5046" s="100"/>
      <c r="V5046" s="100"/>
      <c r="Y5046" s="100"/>
    </row>
    <row r="5047">
      <c r="R5047" s="100"/>
      <c r="V5047" s="100"/>
      <c r="Y5047" s="100"/>
    </row>
    <row r="5048">
      <c r="R5048" s="100"/>
      <c r="V5048" s="100"/>
      <c r="Y5048" s="100"/>
    </row>
    <row r="5049">
      <c r="R5049" s="100"/>
      <c r="V5049" s="100"/>
      <c r="Y5049" s="100"/>
    </row>
    <row r="5050">
      <c r="R5050" s="100"/>
      <c r="V5050" s="100"/>
      <c r="Y5050" s="100"/>
    </row>
    <row r="5051">
      <c r="R5051" s="100"/>
      <c r="V5051" s="100"/>
      <c r="Y5051" s="100"/>
    </row>
    <row r="5052">
      <c r="R5052" s="100"/>
      <c r="V5052" s="100"/>
      <c r="Y5052" s="100"/>
    </row>
    <row r="5053">
      <c r="R5053" s="100"/>
      <c r="V5053" s="100"/>
      <c r="Y5053" s="100"/>
    </row>
    <row r="5054">
      <c r="R5054" s="100"/>
      <c r="V5054" s="100"/>
      <c r="Y5054" s="100"/>
    </row>
    <row r="5055">
      <c r="R5055" s="100"/>
      <c r="V5055" s="100"/>
      <c r="Y5055" s="100"/>
    </row>
    <row r="5056">
      <c r="R5056" s="100"/>
      <c r="V5056" s="100"/>
      <c r="Y5056" s="100"/>
    </row>
    <row r="5057">
      <c r="R5057" s="100"/>
      <c r="V5057" s="100"/>
      <c r="Y5057" s="100"/>
    </row>
    <row r="5058">
      <c r="R5058" s="100"/>
      <c r="V5058" s="100"/>
      <c r="Y5058" s="100"/>
    </row>
    <row r="5059">
      <c r="R5059" s="100"/>
      <c r="V5059" s="100"/>
      <c r="Y5059" s="100"/>
    </row>
    <row r="5060">
      <c r="R5060" s="100"/>
      <c r="V5060" s="100"/>
      <c r="Y5060" s="100"/>
    </row>
    <row r="5061">
      <c r="R5061" s="100"/>
      <c r="V5061" s="100"/>
      <c r="Y5061" s="100"/>
    </row>
    <row r="5062">
      <c r="R5062" s="100"/>
      <c r="V5062" s="100"/>
      <c r="Y5062" s="100"/>
    </row>
    <row r="5063">
      <c r="R5063" s="100"/>
      <c r="V5063" s="100"/>
      <c r="Y5063" s="100"/>
    </row>
    <row r="5064">
      <c r="R5064" s="100"/>
      <c r="V5064" s="100"/>
      <c r="Y5064" s="100"/>
    </row>
    <row r="5065">
      <c r="R5065" s="100"/>
      <c r="V5065" s="100"/>
      <c r="Y5065" s="100"/>
    </row>
    <row r="5066">
      <c r="R5066" s="100"/>
      <c r="V5066" s="100"/>
      <c r="Y5066" s="100"/>
    </row>
    <row r="5067">
      <c r="R5067" s="100"/>
      <c r="V5067" s="100"/>
      <c r="Y5067" s="100"/>
    </row>
    <row r="5068">
      <c r="R5068" s="100"/>
      <c r="V5068" s="100"/>
      <c r="Y5068" s="100"/>
    </row>
    <row r="5069">
      <c r="R5069" s="100"/>
      <c r="V5069" s="100"/>
      <c r="Y5069" s="100"/>
    </row>
    <row r="5070">
      <c r="R5070" s="100"/>
      <c r="V5070" s="100"/>
      <c r="Y5070" s="100"/>
    </row>
    <row r="5071">
      <c r="R5071" s="100"/>
      <c r="V5071" s="100"/>
      <c r="Y5071" s="100"/>
    </row>
    <row r="5072">
      <c r="R5072" s="100"/>
      <c r="V5072" s="100"/>
      <c r="Y5072" s="100"/>
    </row>
    <row r="5073">
      <c r="R5073" s="100"/>
      <c r="V5073" s="100"/>
      <c r="Y5073" s="100"/>
    </row>
    <row r="5074">
      <c r="R5074" s="100"/>
      <c r="V5074" s="100"/>
      <c r="Y5074" s="100"/>
    </row>
    <row r="5075">
      <c r="R5075" s="100"/>
      <c r="V5075" s="100"/>
      <c r="Y5075" s="100"/>
    </row>
    <row r="5076">
      <c r="R5076" s="100"/>
      <c r="V5076" s="100"/>
      <c r="Y5076" s="100"/>
    </row>
    <row r="5077">
      <c r="R5077" s="100"/>
      <c r="V5077" s="100"/>
      <c r="Y5077" s="100"/>
    </row>
    <row r="5078">
      <c r="R5078" s="100"/>
      <c r="V5078" s="100"/>
      <c r="Y5078" s="100"/>
    </row>
    <row r="5079">
      <c r="R5079" s="100"/>
      <c r="V5079" s="100"/>
      <c r="Y5079" s="100"/>
    </row>
    <row r="5080">
      <c r="R5080" s="100"/>
      <c r="V5080" s="100"/>
      <c r="Y5080" s="100"/>
    </row>
    <row r="5081">
      <c r="R5081" s="100"/>
      <c r="V5081" s="100"/>
      <c r="Y5081" s="100"/>
    </row>
    <row r="5082">
      <c r="R5082" s="100"/>
      <c r="V5082" s="100"/>
      <c r="Y5082" s="100"/>
    </row>
    <row r="5083">
      <c r="R5083" s="100"/>
      <c r="V5083" s="100"/>
      <c r="Y5083" s="100"/>
    </row>
    <row r="5084">
      <c r="R5084" s="100"/>
      <c r="V5084" s="100"/>
      <c r="Y5084" s="100"/>
    </row>
    <row r="5085">
      <c r="R5085" s="100"/>
      <c r="V5085" s="100"/>
      <c r="Y5085" s="100"/>
    </row>
    <row r="5086">
      <c r="R5086" s="100"/>
      <c r="V5086" s="100"/>
      <c r="Y5086" s="100"/>
    </row>
    <row r="5087">
      <c r="R5087" s="100"/>
      <c r="V5087" s="100"/>
      <c r="Y5087" s="100"/>
    </row>
    <row r="5088">
      <c r="R5088" s="100"/>
      <c r="V5088" s="100"/>
      <c r="Y5088" s="100"/>
    </row>
    <row r="5089">
      <c r="R5089" s="100"/>
      <c r="V5089" s="100"/>
      <c r="Y5089" s="100"/>
    </row>
    <row r="5090">
      <c r="R5090" s="100"/>
      <c r="V5090" s="100"/>
      <c r="Y5090" s="100"/>
    </row>
    <row r="5091">
      <c r="R5091" s="100"/>
      <c r="V5091" s="100"/>
      <c r="Y5091" s="100"/>
    </row>
    <row r="5092">
      <c r="R5092" s="100"/>
      <c r="V5092" s="100"/>
      <c r="Y5092" s="100"/>
    </row>
    <row r="5093">
      <c r="R5093" s="100"/>
      <c r="V5093" s="100"/>
      <c r="Y5093" s="100"/>
    </row>
    <row r="5094">
      <c r="R5094" s="100"/>
      <c r="V5094" s="100"/>
      <c r="Y5094" s="100"/>
    </row>
    <row r="5095">
      <c r="R5095" s="100"/>
      <c r="V5095" s="100"/>
      <c r="Y5095" s="100"/>
    </row>
    <row r="5096">
      <c r="R5096" s="100"/>
      <c r="V5096" s="100"/>
      <c r="Y5096" s="100"/>
    </row>
    <row r="5097">
      <c r="R5097" s="100"/>
      <c r="V5097" s="100"/>
      <c r="Y5097" s="100"/>
    </row>
    <row r="5098">
      <c r="R5098" s="100"/>
      <c r="V5098" s="100"/>
      <c r="Y5098" s="100"/>
    </row>
    <row r="5099">
      <c r="R5099" s="100"/>
      <c r="V5099" s="100"/>
      <c r="Y5099" s="100"/>
    </row>
    <row r="5100">
      <c r="R5100" s="100"/>
      <c r="V5100" s="100"/>
      <c r="Y5100" s="100"/>
    </row>
    <row r="5101">
      <c r="R5101" s="100"/>
      <c r="V5101" s="100"/>
      <c r="Y5101" s="100"/>
    </row>
    <row r="5102">
      <c r="R5102" s="100"/>
      <c r="V5102" s="100"/>
      <c r="Y5102" s="100"/>
    </row>
    <row r="5103">
      <c r="R5103" s="100"/>
      <c r="V5103" s="100"/>
      <c r="Y5103" s="100"/>
    </row>
    <row r="5104">
      <c r="R5104" s="100"/>
      <c r="V5104" s="100"/>
      <c r="Y5104" s="100"/>
    </row>
    <row r="5105">
      <c r="R5105" s="100"/>
      <c r="V5105" s="100"/>
      <c r="Y5105" s="100"/>
    </row>
    <row r="5106">
      <c r="R5106" s="100"/>
      <c r="V5106" s="100"/>
      <c r="Y5106" s="100"/>
    </row>
    <row r="5107">
      <c r="R5107" s="100"/>
      <c r="V5107" s="100"/>
      <c r="Y5107" s="100"/>
    </row>
    <row r="5108">
      <c r="R5108" s="100"/>
      <c r="V5108" s="100"/>
      <c r="Y5108" s="100"/>
    </row>
    <row r="5109">
      <c r="R5109" s="100"/>
      <c r="V5109" s="100"/>
      <c r="Y5109" s="100"/>
    </row>
    <row r="5110">
      <c r="R5110" s="100"/>
      <c r="V5110" s="100"/>
      <c r="Y5110" s="100"/>
    </row>
    <row r="5111">
      <c r="R5111" s="100"/>
      <c r="V5111" s="100"/>
      <c r="Y5111" s="100"/>
    </row>
    <row r="5112">
      <c r="R5112" s="100"/>
      <c r="V5112" s="100"/>
      <c r="Y5112" s="100"/>
    </row>
    <row r="5113">
      <c r="R5113" s="100"/>
      <c r="V5113" s="100"/>
      <c r="Y5113" s="100"/>
    </row>
    <row r="5114">
      <c r="R5114" s="100"/>
      <c r="V5114" s="100"/>
      <c r="Y5114" s="100"/>
    </row>
    <row r="5115">
      <c r="R5115" s="100"/>
      <c r="V5115" s="100"/>
      <c r="Y5115" s="100"/>
    </row>
    <row r="5116">
      <c r="R5116" s="100"/>
      <c r="V5116" s="100"/>
      <c r="Y5116" s="100"/>
    </row>
    <row r="5117">
      <c r="R5117" s="100"/>
      <c r="V5117" s="100"/>
      <c r="Y5117" s="100"/>
    </row>
    <row r="5118">
      <c r="R5118" s="100"/>
      <c r="V5118" s="100"/>
      <c r="Y5118" s="100"/>
    </row>
    <row r="5119">
      <c r="R5119" s="100"/>
      <c r="V5119" s="100"/>
      <c r="Y5119" s="100"/>
    </row>
    <row r="5120">
      <c r="R5120" s="100"/>
      <c r="V5120" s="100"/>
      <c r="Y5120" s="100"/>
    </row>
    <row r="5121">
      <c r="R5121" s="100"/>
      <c r="V5121" s="100"/>
      <c r="Y5121" s="100"/>
    </row>
    <row r="5122">
      <c r="R5122" s="100"/>
      <c r="V5122" s="100"/>
      <c r="Y5122" s="100"/>
    </row>
    <row r="5123">
      <c r="R5123" s="100"/>
      <c r="V5123" s="100"/>
      <c r="Y5123" s="100"/>
    </row>
    <row r="5124">
      <c r="R5124" s="100"/>
      <c r="V5124" s="100"/>
      <c r="Y5124" s="100"/>
    </row>
    <row r="5125">
      <c r="R5125" s="100"/>
      <c r="V5125" s="100"/>
      <c r="Y5125" s="100"/>
    </row>
    <row r="5126">
      <c r="R5126" s="100"/>
      <c r="V5126" s="100"/>
      <c r="Y5126" s="100"/>
    </row>
    <row r="5127">
      <c r="R5127" s="100"/>
      <c r="V5127" s="100"/>
      <c r="Y5127" s="100"/>
    </row>
    <row r="5128">
      <c r="R5128" s="100"/>
      <c r="V5128" s="100"/>
      <c r="Y5128" s="100"/>
    </row>
    <row r="5129">
      <c r="R5129" s="100"/>
      <c r="V5129" s="100"/>
      <c r="Y5129" s="100"/>
    </row>
    <row r="5130">
      <c r="R5130" s="100"/>
      <c r="V5130" s="100"/>
      <c r="Y5130" s="100"/>
    </row>
    <row r="5131">
      <c r="R5131" s="100"/>
      <c r="V5131" s="100"/>
      <c r="Y5131" s="100"/>
    </row>
    <row r="5132">
      <c r="R5132" s="100"/>
      <c r="V5132" s="100"/>
      <c r="Y5132" s="100"/>
    </row>
    <row r="5133">
      <c r="R5133" s="100"/>
      <c r="V5133" s="100"/>
      <c r="Y5133" s="100"/>
    </row>
    <row r="5134">
      <c r="R5134" s="100"/>
      <c r="V5134" s="100"/>
      <c r="Y5134" s="100"/>
    </row>
    <row r="5135">
      <c r="R5135" s="100"/>
      <c r="V5135" s="100"/>
      <c r="Y5135" s="100"/>
    </row>
    <row r="5136">
      <c r="R5136" s="100"/>
      <c r="V5136" s="100"/>
      <c r="Y5136" s="100"/>
    </row>
    <row r="5137">
      <c r="R5137" s="100"/>
      <c r="V5137" s="100"/>
      <c r="Y5137" s="100"/>
    </row>
    <row r="5138">
      <c r="R5138" s="100"/>
      <c r="V5138" s="100"/>
      <c r="Y5138" s="100"/>
    </row>
    <row r="5139">
      <c r="R5139" s="100"/>
      <c r="V5139" s="100"/>
      <c r="Y5139" s="100"/>
    </row>
    <row r="5140">
      <c r="R5140" s="100"/>
      <c r="V5140" s="100"/>
      <c r="Y5140" s="100"/>
    </row>
    <row r="5141">
      <c r="R5141" s="100"/>
      <c r="V5141" s="100"/>
      <c r="Y5141" s="100"/>
    </row>
    <row r="5142">
      <c r="R5142" s="100"/>
      <c r="V5142" s="100"/>
      <c r="Y5142" s="100"/>
    </row>
    <row r="5143">
      <c r="R5143" s="100"/>
      <c r="V5143" s="100"/>
      <c r="Y5143" s="100"/>
    </row>
    <row r="5144">
      <c r="R5144" s="100"/>
      <c r="V5144" s="100"/>
      <c r="Y5144" s="100"/>
    </row>
    <row r="5145">
      <c r="R5145" s="100"/>
      <c r="V5145" s="100"/>
      <c r="Y5145" s="100"/>
    </row>
    <row r="5146">
      <c r="R5146" s="100"/>
      <c r="V5146" s="100"/>
      <c r="Y5146" s="100"/>
    </row>
    <row r="5147">
      <c r="R5147" s="100"/>
      <c r="V5147" s="100"/>
      <c r="Y5147" s="100"/>
    </row>
    <row r="5148">
      <c r="R5148" s="100"/>
      <c r="V5148" s="100"/>
      <c r="Y5148" s="100"/>
    </row>
    <row r="5149">
      <c r="R5149" s="100"/>
      <c r="V5149" s="100"/>
      <c r="Y5149" s="100"/>
    </row>
    <row r="5150">
      <c r="R5150" s="100"/>
      <c r="V5150" s="100"/>
      <c r="Y5150" s="100"/>
    </row>
    <row r="5151">
      <c r="R5151" s="100"/>
      <c r="V5151" s="100"/>
      <c r="Y5151" s="100"/>
    </row>
    <row r="5152">
      <c r="R5152" s="100"/>
      <c r="V5152" s="100"/>
      <c r="Y5152" s="100"/>
    </row>
    <row r="5153">
      <c r="R5153" s="100"/>
      <c r="V5153" s="100"/>
      <c r="Y5153" s="100"/>
    </row>
    <row r="5154">
      <c r="R5154" s="100"/>
      <c r="V5154" s="100"/>
      <c r="Y5154" s="100"/>
    </row>
    <row r="5155">
      <c r="R5155" s="100"/>
      <c r="V5155" s="100"/>
      <c r="Y5155" s="100"/>
    </row>
    <row r="5156">
      <c r="R5156" s="100"/>
      <c r="V5156" s="100"/>
      <c r="Y5156" s="100"/>
    </row>
    <row r="5157">
      <c r="R5157" s="100"/>
      <c r="V5157" s="100"/>
      <c r="Y5157" s="100"/>
    </row>
    <row r="5158">
      <c r="R5158" s="100"/>
      <c r="V5158" s="100"/>
      <c r="Y5158" s="100"/>
    </row>
    <row r="5159">
      <c r="R5159" s="100"/>
      <c r="V5159" s="100"/>
      <c r="Y5159" s="100"/>
    </row>
    <row r="5160">
      <c r="R5160" s="100"/>
      <c r="V5160" s="100"/>
      <c r="Y5160" s="100"/>
    </row>
    <row r="5161">
      <c r="R5161" s="100"/>
      <c r="V5161" s="100"/>
      <c r="Y5161" s="100"/>
    </row>
    <row r="5162">
      <c r="R5162" s="100"/>
      <c r="V5162" s="100"/>
      <c r="Y5162" s="100"/>
    </row>
    <row r="5163">
      <c r="R5163" s="100"/>
      <c r="V5163" s="100"/>
      <c r="Y5163" s="100"/>
    </row>
    <row r="5164">
      <c r="R5164" s="100"/>
      <c r="V5164" s="100"/>
      <c r="Y5164" s="100"/>
    </row>
    <row r="5165">
      <c r="R5165" s="100"/>
      <c r="V5165" s="100"/>
      <c r="Y5165" s="100"/>
    </row>
    <row r="5166">
      <c r="R5166" s="100"/>
      <c r="V5166" s="100"/>
      <c r="Y5166" s="100"/>
    </row>
    <row r="5167">
      <c r="R5167" s="100"/>
      <c r="V5167" s="100"/>
      <c r="Y5167" s="100"/>
    </row>
    <row r="5168">
      <c r="R5168" s="100"/>
      <c r="V5168" s="100"/>
      <c r="Y5168" s="100"/>
    </row>
    <row r="5169">
      <c r="R5169" s="100"/>
      <c r="V5169" s="100"/>
      <c r="Y5169" s="100"/>
    </row>
    <row r="5170">
      <c r="R5170" s="100"/>
      <c r="V5170" s="100"/>
      <c r="Y5170" s="100"/>
    </row>
    <row r="5171">
      <c r="R5171" s="100"/>
      <c r="V5171" s="100"/>
      <c r="Y5171" s="100"/>
    </row>
    <row r="5172">
      <c r="R5172" s="100"/>
      <c r="V5172" s="100"/>
      <c r="Y5172" s="100"/>
    </row>
    <row r="5173">
      <c r="R5173" s="100"/>
      <c r="V5173" s="100"/>
      <c r="Y5173" s="100"/>
    </row>
    <row r="5174">
      <c r="R5174" s="100"/>
      <c r="V5174" s="100"/>
      <c r="Y5174" s="100"/>
    </row>
    <row r="5175">
      <c r="R5175" s="100"/>
      <c r="V5175" s="100"/>
      <c r="Y5175" s="100"/>
    </row>
    <row r="5176">
      <c r="R5176" s="100"/>
      <c r="V5176" s="100"/>
      <c r="Y5176" s="100"/>
    </row>
    <row r="5177">
      <c r="R5177" s="100"/>
      <c r="V5177" s="100"/>
      <c r="Y5177" s="100"/>
    </row>
    <row r="5178">
      <c r="R5178" s="100"/>
      <c r="V5178" s="100"/>
      <c r="Y5178" s="100"/>
    </row>
    <row r="5179">
      <c r="R5179" s="100"/>
      <c r="V5179" s="100"/>
      <c r="Y5179" s="100"/>
    </row>
    <row r="5180">
      <c r="R5180" s="100"/>
      <c r="V5180" s="100"/>
      <c r="Y5180" s="100"/>
    </row>
    <row r="5181">
      <c r="R5181" s="100"/>
      <c r="V5181" s="100"/>
      <c r="Y5181" s="100"/>
    </row>
    <row r="5182">
      <c r="R5182" s="100"/>
      <c r="V5182" s="100"/>
      <c r="Y5182" s="100"/>
    </row>
    <row r="5183">
      <c r="R5183" s="100"/>
      <c r="V5183" s="100"/>
      <c r="Y5183" s="100"/>
    </row>
    <row r="5184">
      <c r="R5184" s="100"/>
      <c r="V5184" s="100"/>
      <c r="Y5184" s="100"/>
    </row>
    <row r="5185">
      <c r="R5185" s="100"/>
      <c r="V5185" s="100"/>
      <c r="Y5185" s="100"/>
    </row>
    <row r="5186">
      <c r="R5186" s="100"/>
      <c r="V5186" s="100"/>
      <c r="Y5186" s="100"/>
    </row>
    <row r="5187">
      <c r="R5187" s="100"/>
      <c r="V5187" s="100"/>
      <c r="Y5187" s="100"/>
    </row>
    <row r="5188">
      <c r="R5188" s="100"/>
      <c r="V5188" s="100"/>
      <c r="Y5188" s="100"/>
    </row>
    <row r="5189">
      <c r="R5189" s="100"/>
      <c r="V5189" s="100"/>
      <c r="Y5189" s="100"/>
    </row>
    <row r="5190">
      <c r="R5190" s="100"/>
      <c r="V5190" s="100"/>
      <c r="Y5190" s="100"/>
    </row>
    <row r="5191">
      <c r="R5191" s="100"/>
      <c r="V5191" s="100"/>
      <c r="Y5191" s="100"/>
    </row>
    <row r="5192">
      <c r="R5192" s="100"/>
      <c r="V5192" s="100"/>
      <c r="Y5192" s="100"/>
    </row>
    <row r="5193">
      <c r="R5193" s="100"/>
      <c r="V5193" s="100"/>
      <c r="Y5193" s="100"/>
    </row>
    <row r="5194">
      <c r="R5194" s="100"/>
      <c r="V5194" s="100"/>
      <c r="Y5194" s="100"/>
    </row>
    <row r="5195">
      <c r="R5195" s="100"/>
      <c r="V5195" s="100"/>
      <c r="Y5195" s="100"/>
    </row>
    <row r="5196">
      <c r="R5196" s="100"/>
      <c r="V5196" s="100"/>
      <c r="Y5196" s="100"/>
    </row>
    <row r="5197">
      <c r="R5197" s="100"/>
      <c r="V5197" s="100"/>
      <c r="Y5197" s="100"/>
    </row>
    <row r="5198">
      <c r="R5198" s="100"/>
      <c r="V5198" s="100"/>
      <c r="Y5198" s="100"/>
    </row>
    <row r="5199">
      <c r="R5199" s="100"/>
      <c r="V5199" s="100"/>
      <c r="Y5199" s="100"/>
    </row>
    <row r="5200">
      <c r="R5200" s="100"/>
      <c r="V5200" s="100"/>
      <c r="Y5200" s="100"/>
    </row>
    <row r="5201">
      <c r="R5201" s="100"/>
      <c r="V5201" s="100"/>
      <c r="Y5201" s="100"/>
    </row>
    <row r="5202">
      <c r="R5202" s="100"/>
      <c r="V5202" s="100"/>
      <c r="Y5202" s="100"/>
    </row>
    <row r="5203">
      <c r="R5203" s="100"/>
      <c r="V5203" s="100"/>
      <c r="Y5203" s="100"/>
    </row>
    <row r="5204">
      <c r="R5204" s="100"/>
      <c r="V5204" s="100"/>
      <c r="Y5204" s="100"/>
    </row>
    <row r="5205">
      <c r="R5205" s="100"/>
      <c r="V5205" s="100"/>
      <c r="Y5205" s="100"/>
    </row>
    <row r="5206">
      <c r="R5206" s="100"/>
      <c r="V5206" s="100"/>
      <c r="Y5206" s="100"/>
    </row>
    <row r="5207">
      <c r="R5207" s="100"/>
      <c r="V5207" s="100"/>
      <c r="Y5207" s="100"/>
    </row>
    <row r="5208">
      <c r="R5208" s="100"/>
      <c r="V5208" s="100"/>
      <c r="Y5208" s="100"/>
    </row>
    <row r="5209">
      <c r="R5209" s="100"/>
      <c r="V5209" s="100"/>
      <c r="Y5209" s="100"/>
    </row>
    <row r="5210">
      <c r="R5210" s="100"/>
      <c r="V5210" s="100"/>
      <c r="Y5210" s="100"/>
    </row>
    <row r="5211">
      <c r="R5211" s="100"/>
      <c r="V5211" s="100"/>
      <c r="Y5211" s="100"/>
    </row>
    <row r="5212">
      <c r="R5212" s="100"/>
      <c r="V5212" s="100"/>
      <c r="Y5212" s="100"/>
    </row>
    <row r="5213">
      <c r="R5213" s="100"/>
      <c r="V5213" s="100"/>
      <c r="Y5213" s="100"/>
    </row>
    <row r="5214">
      <c r="R5214" s="100"/>
      <c r="V5214" s="100"/>
      <c r="Y5214" s="100"/>
    </row>
    <row r="5215">
      <c r="R5215" s="100"/>
      <c r="V5215" s="100"/>
      <c r="Y5215" s="100"/>
    </row>
    <row r="5216">
      <c r="R5216" s="100"/>
      <c r="V5216" s="100"/>
      <c r="Y5216" s="100"/>
    </row>
    <row r="5217">
      <c r="R5217" s="100"/>
      <c r="V5217" s="100"/>
      <c r="Y5217" s="100"/>
    </row>
    <row r="5218">
      <c r="R5218" s="100"/>
      <c r="V5218" s="100"/>
      <c r="Y5218" s="100"/>
    </row>
    <row r="5219">
      <c r="R5219" s="100"/>
      <c r="V5219" s="100"/>
      <c r="Y5219" s="100"/>
    </row>
    <row r="5220">
      <c r="R5220" s="100"/>
      <c r="V5220" s="100"/>
      <c r="Y5220" s="100"/>
    </row>
    <row r="5221">
      <c r="R5221" s="100"/>
      <c r="V5221" s="100"/>
      <c r="Y5221" s="100"/>
    </row>
    <row r="5222">
      <c r="R5222" s="100"/>
      <c r="V5222" s="100"/>
      <c r="Y5222" s="100"/>
    </row>
    <row r="5223">
      <c r="R5223" s="100"/>
      <c r="V5223" s="100"/>
      <c r="Y5223" s="100"/>
    </row>
    <row r="5224">
      <c r="R5224" s="100"/>
      <c r="V5224" s="100"/>
      <c r="Y5224" s="100"/>
    </row>
    <row r="5225">
      <c r="R5225" s="100"/>
      <c r="V5225" s="100"/>
      <c r="Y5225" s="100"/>
    </row>
    <row r="5226">
      <c r="R5226" s="100"/>
      <c r="V5226" s="100"/>
      <c r="Y5226" s="100"/>
    </row>
    <row r="5227">
      <c r="R5227" s="100"/>
      <c r="V5227" s="100"/>
      <c r="Y5227" s="100"/>
    </row>
    <row r="5228">
      <c r="R5228" s="100"/>
      <c r="V5228" s="100"/>
      <c r="Y5228" s="100"/>
    </row>
    <row r="5229">
      <c r="R5229" s="100"/>
      <c r="V5229" s="100"/>
      <c r="Y5229" s="100"/>
    </row>
    <row r="5230">
      <c r="R5230" s="100"/>
      <c r="V5230" s="100"/>
      <c r="Y5230" s="100"/>
    </row>
    <row r="5231">
      <c r="R5231" s="100"/>
      <c r="V5231" s="100"/>
      <c r="Y5231" s="100"/>
    </row>
    <row r="5232">
      <c r="R5232" s="100"/>
      <c r="V5232" s="100"/>
      <c r="Y5232" s="100"/>
    </row>
    <row r="5233">
      <c r="R5233" s="100"/>
      <c r="V5233" s="100"/>
      <c r="Y5233" s="100"/>
    </row>
    <row r="5234">
      <c r="R5234" s="100"/>
      <c r="V5234" s="100"/>
      <c r="Y5234" s="100"/>
    </row>
    <row r="5235">
      <c r="R5235" s="100"/>
      <c r="V5235" s="100"/>
      <c r="Y5235" s="100"/>
    </row>
    <row r="5236">
      <c r="R5236" s="100"/>
      <c r="V5236" s="100"/>
      <c r="Y5236" s="100"/>
    </row>
    <row r="5237">
      <c r="R5237" s="100"/>
      <c r="V5237" s="100"/>
      <c r="Y5237" s="100"/>
    </row>
    <row r="5238">
      <c r="R5238" s="100"/>
      <c r="V5238" s="100"/>
      <c r="Y5238" s="100"/>
    </row>
    <row r="5239">
      <c r="R5239" s="100"/>
      <c r="V5239" s="100"/>
      <c r="Y5239" s="100"/>
    </row>
    <row r="5240">
      <c r="R5240" s="100"/>
      <c r="V5240" s="100"/>
      <c r="Y5240" s="100"/>
    </row>
    <row r="5241">
      <c r="R5241" s="100"/>
      <c r="V5241" s="100"/>
      <c r="Y5241" s="100"/>
    </row>
    <row r="5242">
      <c r="R5242" s="100"/>
      <c r="V5242" s="100"/>
      <c r="Y5242" s="100"/>
    </row>
    <row r="5243">
      <c r="R5243" s="100"/>
      <c r="V5243" s="100"/>
      <c r="Y5243" s="100"/>
    </row>
    <row r="5244">
      <c r="R5244" s="100"/>
      <c r="V5244" s="100"/>
      <c r="Y5244" s="100"/>
    </row>
    <row r="5245">
      <c r="R5245" s="100"/>
      <c r="V5245" s="100"/>
      <c r="Y5245" s="100"/>
    </row>
    <row r="5246">
      <c r="R5246" s="100"/>
      <c r="V5246" s="100"/>
      <c r="Y5246" s="100"/>
    </row>
    <row r="5247">
      <c r="R5247" s="100"/>
      <c r="V5247" s="100"/>
      <c r="Y5247" s="100"/>
    </row>
    <row r="5248">
      <c r="R5248" s="100"/>
      <c r="V5248" s="100"/>
      <c r="Y5248" s="100"/>
    </row>
    <row r="5249">
      <c r="R5249" s="100"/>
      <c r="V5249" s="100"/>
      <c r="Y5249" s="100"/>
    </row>
    <row r="5250">
      <c r="R5250" s="100"/>
      <c r="V5250" s="100"/>
      <c r="Y5250" s="100"/>
    </row>
    <row r="5251">
      <c r="R5251" s="100"/>
      <c r="V5251" s="100"/>
      <c r="Y5251" s="100"/>
    </row>
    <row r="5252">
      <c r="R5252" s="100"/>
      <c r="V5252" s="100"/>
      <c r="Y5252" s="100"/>
    </row>
    <row r="5253">
      <c r="R5253" s="100"/>
      <c r="V5253" s="100"/>
      <c r="Y5253" s="100"/>
    </row>
    <row r="5254">
      <c r="R5254" s="100"/>
      <c r="V5254" s="100"/>
      <c r="Y5254" s="100"/>
    </row>
    <row r="5255">
      <c r="R5255" s="100"/>
      <c r="V5255" s="100"/>
      <c r="Y5255" s="100"/>
    </row>
    <row r="5256">
      <c r="R5256" s="100"/>
      <c r="V5256" s="100"/>
      <c r="Y5256" s="100"/>
    </row>
    <row r="5257">
      <c r="R5257" s="100"/>
      <c r="V5257" s="100"/>
      <c r="Y5257" s="100"/>
    </row>
    <row r="5258">
      <c r="R5258" s="100"/>
      <c r="V5258" s="100"/>
      <c r="Y5258" s="100"/>
    </row>
    <row r="5259">
      <c r="R5259" s="100"/>
      <c r="V5259" s="100"/>
      <c r="Y5259" s="100"/>
    </row>
    <row r="5260">
      <c r="R5260" s="100"/>
      <c r="V5260" s="100"/>
      <c r="Y5260" s="100"/>
    </row>
    <row r="5261">
      <c r="R5261" s="100"/>
      <c r="V5261" s="100"/>
      <c r="Y5261" s="100"/>
    </row>
    <row r="5262">
      <c r="R5262" s="100"/>
      <c r="V5262" s="100"/>
      <c r="Y5262" s="100"/>
    </row>
    <row r="5263">
      <c r="R5263" s="100"/>
      <c r="V5263" s="100"/>
      <c r="Y5263" s="100"/>
    </row>
    <row r="5264">
      <c r="R5264" s="100"/>
      <c r="V5264" s="100"/>
      <c r="Y5264" s="100"/>
    </row>
    <row r="5265">
      <c r="R5265" s="100"/>
      <c r="V5265" s="100"/>
      <c r="Y5265" s="100"/>
    </row>
    <row r="5266">
      <c r="R5266" s="100"/>
      <c r="V5266" s="100"/>
      <c r="Y5266" s="100"/>
    </row>
    <row r="5267">
      <c r="R5267" s="100"/>
      <c r="V5267" s="100"/>
      <c r="Y5267" s="100"/>
    </row>
    <row r="5268">
      <c r="R5268" s="100"/>
      <c r="V5268" s="100"/>
      <c r="Y5268" s="100"/>
    </row>
    <row r="5269">
      <c r="R5269" s="100"/>
      <c r="V5269" s="100"/>
      <c r="Y5269" s="100"/>
    </row>
    <row r="5270">
      <c r="R5270" s="100"/>
      <c r="V5270" s="100"/>
      <c r="Y5270" s="100"/>
    </row>
    <row r="5271">
      <c r="R5271" s="100"/>
      <c r="V5271" s="100"/>
      <c r="Y5271" s="100"/>
    </row>
    <row r="5272">
      <c r="R5272" s="100"/>
      <c r="V5272" s="100"/>
      <c r="Y5272" s="100"/>
    </row>
    <row r="5273">
      <c r="R5273" s="100"/>
      <c r="V5273" s="100"/>
      <c r="Y5273" s="100"/>
    </row>
    <row r="5274">
      <c r="R5274" s="100"/>
      <c r="V5274" s="100"/>
      <c r="Y5274" s="100"/>
    </row>
    <row r="5275">
      <c r="R5275" s="100"/>
      <c r="V5275" s="100"/>
      <c r="Y5275" s="100"/>
    </row>
    <row r="5276">
      <c r="R5276" s="100"/>
      <c r="V5276" s="100"/>
      <c r="Y5276" s="100"/>
    </row>
    <row r="5277">
      <c r="R5277" s="100"/>
      <c r="V5277" s="100"/>
      <c r="Y5277" s="100"/>
    </row>
    <row r="5278">
      <c r="R5278" s="100"/>
      <c r="V5278" s="100"/>
      <c r="Y5278" s="100"/>
    </row>
    <row r="5279">
      <c r="R5279" s="100"/>
      <c r="V5279" s="100"/>
      <c r="Y5279" s="100"/>
    </row>
    <row r="5280">
      <c r="R5280" s="100"/>
      <c r="V5280" s="100"/>
      <c r="Y5280" s="100"/>
    </row>
    <row r="5281">
      <c r="R5281" s="100"/>
      <c r="V5281" s="100"/>
      <c r="Y5281" s="100"/>
    </row>
    <row r="5282">
      <c r="R5282" s="100"/>
      <c r="V5282" s="100"/>
      <c r="Y5282" s="100"/>
    </row>
    <row r="5283">
      <c r="R5283" s="100"/>
      <c r="V5283" s="100"/>
      <c r="Y5283" s="100"/>
    </row>
    <row r="5284">
      <c r="R5284" s="100"/>
      <c r="V5284" s="100"/>
      <c r="Y5284" s="100"/>
    </row>
    <row r="5285">
      <c r="R5285" s="100"/>
      <c r="V5285" s="100"/>
      <c r="Y5285" s="100"/>
    </row>
    <row r="5286">
      <c r="R5286" s="100"/>
      <c r="V5286" s="100"/>
      <c r="Y5286" s="100"/>
    </row>
    <row r="5287">
      <c r="R5287" s="100"/>
      <c r="V5287" s="100"/>
      <c r="Y5287" s="100"/>
    </row>
    <row r="5288">
      <c r="R5288" s="100"/>
      <c r="V5288" s="100"/>
      <c r="Y5288" s="100"/>
    </row>
    <row r="5289">
      <c r="R5289" s="100"/>
      <c r="V5289" s="100"/>
      <c r="Y5289" s="100"/>
    </row>
    <row r="5290">
      <c r="R5290" s="100"/>
      <c r="V5290" s="100"/>
      <c r="Y5290" s="100"/>
    </row>
    <row r="5291">
      <c r="R5291" s="100"/>
      <c r="V5291" s="100"/>
      <c r="Y5291" s="100"/>
    </row>
    <row r="5292">
      <c r="R5292" s="100"/>
      <c r="V5292" s="100"/>
      <c r="Y5292" s="100"/>
    </row>
    <row r="5293">
      <c r="R5293" s="100"/>
      <c r="V5293" s="100"/>
      <c r="Y5293" s="100"/>
    </row>
    <row r="5294">
      <c r="R5294" s="100"/>
      <c r="V5294" s="100"/>
      <c r="Y5294" s="100"/>
    </row>
    <row r="5295">
      <c r="R5295" s="100"/>
      <c r="V5295" s="100"/>
      <c r="Y5295" s="100"/>
    </row>
    <row r="5296">
      <c r="R5296" s="100"/>
      <c r="V5296" s="100"/>
      <c r="Y5296" s="100"/>
    </row>
    <row r="5297">
      <c r="R5297" s="100"/>
      <c r="V5297" s="100"/>
      <c r="Y5297" s="100"/>
    </row>
    <row r="5298">
      <c r="R5298" s="100"/>
      <c r="V5298" s="100"/>
      <c r="Y5298" s="100"/>
    </row>
    <row r="5299">
      <c r="R5299" s="100"/>
      <c r="V5299" s="100"/>
      <c r="Y5299" s="100"/>
    </row>
    <row r="5300">
      <c r="R5300" s="100"/>
      <c r="V5300" s="100"/>
      <c r="Y5300" s="100"/>
    </row>
    <row r="5301">
      <c r="R5301" s="100"/>
      <c r="V5301" s="100"/>
      <c r="Y5301" s="100"/>
    </row>
    <row r="5302">
      <c r="R5302" s="100"/>
      <c r="V5302" s="100"/>
      <c r="Y5302" s="100"/>
    </row>
    <row r="5303">
      <c r="R5303" s="100"/>
      <c r="V5303" s="100"/>
      <c r="Y5303" s="100"/>
    </row>
    <row r="5304">
      <c r="R5304" s="100"/>
      <c r="V5304" s="100"/>
      <c r="Y5304" s="100"/>
    </row>
    <row r="5305">
      <c r="R5305" s="100"/>
      <c r="V5305" s="100"/>
      <c r="Y5305" s="100"/>
    </row>
    <row r="5306">
      <c r="R5306" s="100"/>
      <c r="V5306" s="100"/>
      <c r="Y5306" s="100"/>
    </row>
    <row r="5307">
      <c r="R5307" s="100"/>
      <c r="V5307" s="100"/>
      <c r="Y5307" s="100"/>
    </row>
    <row r="5308">
      <c r="R5308" s="100"/>
      <c r="V5308" s="100"/>
      <c r="Y5308" s="100"/>
    </row>
    <row r="5309">
      <c r="R5309" s="100"/>
      <c r="V5309" s="100"/>
      <c r="Y5309" s="100"/>
    </row>
    <row r="5310">
      <c r="R5310" s="100"/>
      <c r="V5310" s="100"/>
      <c r="Y5310" s="100"/>
    </row>
    <row r="5311">
      <c r="R5311" s="100"/>
      <c r="V5311" s="100"/>
      <c r="Y5311" s="100"/>
    </row>
    <row r="5312">
      <c r="R5312" s="100"/>
      <c r="V5312" s="100"/>
      <c r="Y5312" s="100"/>
    </row>
    <row r="5313">
      <c r="R5313" s="100"/>
      <c r="V5313" s="100"/>
      <c r="Y5313" s="100"/>
    </row>
    <row r="5314">
      <c r="R5314" s="100"/>
      <c r="V5314" s="100"/>
      <c r="Y5314" s="100"/>
    </row>
    <row r="5315">
      <c r="R5315" s="100"/>
      <c r="V5315" s="100"/>
      <c r="Y5315" s="100"/>
    </row>
    <row r="5316">
      <c r="R5316" s="100"/>
      <c r="V5316" s="100"/>
      <c r="Y5316" s="100"/>
    </row>
    <row r="5317">
      <c r="R5317" s="100"/>
      <c r="V5317" s="100"/>
      <c r="Y5317" s="100"/>
    </row>
    <row r="5318">
      <c r="R5318" s="100"/>
      <c r="V5318" s="100"/>
      <c r="Y5318" s="100"/>
    </row>
    <row r="5319">
      <c r="R5319" s="100"/>
      <c r="V5319" s="100"/>
      <c r="Y5319" s="100"/>
    </row>
    <row r="5320">
      <c r="R5320" s="100"/>
      <c r="V5320" s="100"/>
      <c r="Y5320" s="100"/>
    </row>
    <row r="5321">
      <c r="R5321" s="100"/>
      <c r="V5321" s="100"/>
      <c r="Y5321" s="100"/>
    </row>
    <row r="5322">
      <c r="R5322" s="100"/>
      <c r="V5322" s="100"/>
      <c r="Y5322" s="100"/>
    </row>
    <row r="5323">
      <c r="R5323" s="100"/>
      <c r="V5323" s="100"/>
      <c r="Y5323" s="100"/>
    </row>
    <row r="5324">
      <c r="R5324" s="100"/>
      <c r="V5324" s="100"/>
      <c r="Y5324" s="100"/>
    </row>
    <row r="5325">
      <c r="R5325" s="100"/>
      <c r="V5325" s="100"/>
      <c r="Y5325" s="100"/>
    </row>
    <row r="5326">
      <c r="R5326" s="100"/>
      <c r="V5326" s="100"/>
      <c r="Y5326" s="100"/>
    </row>
    <row r="5327">
      <c r="R5327" s="100"/>
      <c r="V5327" s="100"/>
      <c r="Y5327" s="100"/>
    </row>
    <row r="5328">
      <c r="R5328" s="100"/>
      <c r="V5328" s="100"/>
      <c r="Y5328" s="100"/>
    </row>
    <row r="5329">
      <c r="R5329" s="100"/>
      <c r="V5329" s="100"/>
      <c r="Y5329" s="100"/>
    </row>
    <row r="5330">
      <c r="R5330" s="100"/>
      <c r="V5330" s="100"/>
      <c r="Y5330" s="100"/>
    </row>
    <row r="5331">
      <c r="R5331" s="100"/>
      <c r="V5331" s="100"/>
      <c r="Y5331" s="100"/>
    </row>
    <row r="5332">
      <c r="R5332" s="100"/>
      <c r="V5332" s="100"/>
      <c r="Y5332" s="100"/>
    </row>
    <row r="5333">
      <c r="R5333" s="100"/>
      <c r="V5333" s="100"/>
      <c r="Y5333" s="100"/>
    </row>
    <row r="5334">
      <c r="R5334" s="100"/>
      <c r="V5334" s="100"/>
      <c r="Y5334" s="100"/>
    </row>
    <row r="5335">
      <c r="R5335" s="100"/>
      <c r="V5335" s="100"/>
      <c r="Y5335" s="100"/>
    </row>
    <row r="5336">
      <c r="R5336" s="100"/>
      <c r="V5336" s="100"/>
      <c r="Y5336" s="100"/>
    </row>
    <row r="5337">
      <c r="R5337" s="100"/>
      <c r="V5337" s="100"/>
      <c r="Y5337" s="100"/>
    </row>
    <row r="5338">
      <c r="R5338" s="100"/>
      <c r="V5338" s="100"/>
      <c r="Y5338" s="100"/>
    </row>
    <row r="5339">
      <c r="R5339" s="100"/>
      <c r="V5339" s="100"/>
      <c r="Y5339" s="100"/>
    </row>
    <row r="5340">
      <c r="R5340" s="100"/>
      <c r="V5340" s="100"/>
      <c r="Y5340" s="100"/>
    </row>
    <row r="5341">
      <c r="R5341" s="100"/>
      <c r="V5341" s="100"/>
      <c r="Y5341" s="100"/>
    </row>
    <row r="5342">
      <c r="R5342" s="100"/>
      <c r="V5342" s="100"/>
      <c r="Y5342" s="100"/>
    </row>
    <row r="5343">
      <c r="R5343" s="100"/>
      <c r="V5343" s="100"/>
      <c r="Y5343" s="100"/>
    </row>
    <row r="5344">
      <c r="R5344" s="100"/>
      <c r="V5344" s="100"/>
      <c r="Y5344" s="100"/>
    </row>
    <row r="5345">
      <c r="R5345" s="100"/>
      <c r="V5345" s="100"/>
      <c r="Y5345" s="100"/>
    </row>
    <row r="5346">
      <c r="R5346" s="100"/>
      <c r="V5346" s="100"/>
      <c r="Y5346" s="100"/>
    </row>
    <row r="5347">
      <c r="R5347" s="100"/>
      <c r="V5347" s="100"/>
      <c r="Y5347" s="100"/>
    </row>
    <row r="5348">
      <c r="R5348" s="100"/>
      <c r="V5348" s="100"/>
      <c r="Y5348" s="100"/>
    </row>
    <row r="5349">
      <c r="R5349" s="100"/>
      <c r="V5349" s="100"/>
      <c r="Y5349" s="100"/>
    </row>
    <row r="5350">
      <c r="R5350" s="100"/>
      <c r="V5350" s="100"/>
      <c r="Y5350" s="100"/>
    </row>
    <row r="5351">
      <c r="R5351" s="100"/>
      <c r="V5351" s="100"/>
      <c r="Y5351" s="100"/>
    </row>
    <row r="5352">
      <c r="R5352" s="100"/>
      <c r="V5352" s="100"/>
      <c r="Y5352" s="100"/>
    </row>
    <row r="5353">
      <c r="R5353" s="100"/>
      <c r="V5353" s="100"/>
      <c r="Y5353" s="100"/>
    </row>
    <row r="5354">
      <c r="R5354" s="100"/>
      <c r="V5354" s="100"/>
      <c r="Y5354" s="100"/>
    </row>
    <row r="5355">
      <c r="R5355" s="100"/>
      <c r="V5355" s="100"/>
      <c r="Y5355" s="100"/>
    </row>
    <row r="5356">
      <c r="R5356" s="100"/>
      <c r="V5356" s="100"/>
      <c r="Y5356" s="100"/>
    </row>
    <row r="5357">
      <c r="R5357" s="100"/>
      <c r="V5357" s="100"/>
      <c r="Y5357" s="100"/>
    </row>
    <row r="5358">
      <c r="R5358" s="100"/>
      <c r="V5358" s="100"/>
      <c r="Y5358" s="100"/>
    </row>
    <row r="5359">
      <c r="R5359" s="100"/>
      <c r="V5359" s="100"/>
      <c r="Y5359" s="100"/>
    </row>
    <row r="5360">
      <c r="R5360" s="100"/>
      <c r="V5360" s="100"/>
      <c r="Y5360" s="100"/>
    </row>
    <row r="5361">
      <c r="R5361" s="100"/>
      <c r="V5361" s="100"/>
      <c r="Y5361" s="100"/>
    </row>
    <row r="5362">
      <c r="R5362" s="100"/>
      <c r="V5362" s="100"/>
      <c r="Y5362" s="100"/>
    </row>
    <row r="5363">
      <c r="R5363" s="100"/>
      <c r="V5363" s="100"/>
      <c r="Y5363" s="100"/>
    </row>
    <row r="5364">
      <c r="R5364" s="100"/>
      <c r="V5364" s="100"/>
      <c r="Y5364" s="100"/>
    </row>
    <row r="5365">
      <c r="R5365" s="100"/>
      <c r="V5365" s="100"/>
      <c r="Y5365" s="100"/>
    </row>
    <row r="5366">
      <c r="R5366" s="100"/>
      <c r="V5366" s="100"/>
      <c r="Y5366" s="100"/>
    </row>
    <row r="5367">
      <c r="R5367" s="100"/>
      <c r="V5367" s="100"/>
      <c r="Y5367" s="100"/>
    </row>
    <row r="5368">
      <c r="R5368" s="100"/>
      <c r="V5368" s="100"/>
      <c r="Y5368" s="100"/>
    </row>
    <row r="5369">
      <c r="R5369" s="100"/>
      <c r="V5369" s="100"/>
      <c r="Y5369" s="100"/>
    </row>
    <row r="5370">
      <c r="R5370" s="100"/>
      <c r="V5370" s="100"/>
      <c r="Y5370" s="100"/>
    </row>
    <row r="5371">
      <c r="R5371" s="100"/>
      <c r="V5371" s="100"/>
      <c r="Y5371" s="100"/>
    </row>
    <row r="5372">
      <c r="R5372" s="100"/>
      <c r="V5372" s="100"/>
      <c r="Y5372" s="100"/>
    </row>
    <row r="5373">
      <c r="R5373" s="100"/>
      <c r="V5373" s="100"/>
      <c r="Y5373" s="100"/>
    </row>
    <row r="5374">
      <c r="R5374" s="100"/>
      <c r="V5374" s="100"/>
      <c r="Y5374" s="100"/>
    </row>
    <row r="5375">
      <c r="R5375" s="100"/>
      <c r="V5375" s="100"/>
      <c r="Y5375" s="100"/>
    </row>
    <row r="5376">
      <c r="R5376" s="100"/>
      <c r="V5376" s="100"/>
      <c r="Y5376" s="100"/>
    </row>
    <row r="5377">
      <c r="R5377" s="100"/>
      <c r="V5377" s="100"/>
      <c r="Y5377" s="100"/>
    </row>
    <row r="5378">
      <c r="R5378" s="100"/>
      <c r="V5378" s="100"/>
      <c r="Y5378" s="100"/>
    </row>
    <row r="5379">
      <c r="R5379" s="100"/>
      <c r="V5379" s="100"/>
      <c r="Y5379" s="100"/>
    </row>
    <row r="5380">
      <c r="R5380" s="100"/>
      <c r="V5380" s="100"/>
      <c r="Y5380" s="100"/>
    </row>
    <row r="5381">
      <c r="R5381" s="100"/>
      <c r="V5381" s="100"/>
      <c r="Y5381" s="100"/>
    </row>
    <row r="5382">
      <c r="R5382" s="100"/>
      <c r="V5382" s="100"/>
      <c r="Y5382" s="100"/>
    </row>
    <row r="5383">
      <c r="R5383" s="100"/>
      <c r="V5383" s="100"/>
      <c r="Y5383" s="100"/>
    </row>
    <row r="5384">
      <c r="R5384" s="100"/>
      <c r="V5384" s="100"/>
      <c r="Y5384" s="100"/>
    </row>
    <row r="5385">
      <c r="R5385" s="100"/>
      <c r="V5385" s="100"/>
      <c r="Y5385" s="100"/>
    </row>
    <row r="5386">
      <c r="R5386" s="100"/>
      <c r="V5386" s="100"/>
      <c r="Y5386" s="100"/>
    </row>
    <row r="5387">
      <c r="R5387" s="100"/>
      <c r="V5387" s="100"/>
      <c r="Y5387" s="100"/>
    </row>
    <row r="5388">
      <c r="R5388" s="100"/>
      <c r="V5388" s="100"/>
      <c r="Y5388" s="100"/>
    </row>
    <row r="5389">
      <c r="R5389" s="100"/>
      <c r="V5389" s="100"/>
      <c r="Y5389" s="100"/>
    </row>
    <row r="5390">
      <c r="R5390" s="100"/>
      <c r="V5390" s="100"/>
      <c r="Y5390" s="100"/>
    </row>
    <row r="5391">
      <c r="R5391" s="100"/>
      <c r="V5391" s="100"/>
      <c r="Y5391" s="100"/>
    </row>
    <row r="5392">
      <c r="R5392" s="100"/>
      <c r="V5392" s="100"/>
      <c r="Y5392" s="100"/>
    </row>
    <row r="5393">
      <c r="R5393" s="100"/>
      <c r="V5393" s="100"/>
      <c r="Y5393" s="100"/>
    </row>
    <row r="5394">
      <c r="R5394" s="100"/>
      <c r="V5394" s="100"/>
      <c r="Y5394" s="100"/>
    </row>
    <row r="5395">
      <c r="R5395" s="100"/>
      <c r="V5395" s="100"/>
      <c r="Y5395" s="100"/>
    </row>
    <row r="5396">
      <c r="R5396" s="100"/>
      <c r="V5396" s="100"/>
      <c r="Y5396" s="100"/>
    </row>
    <row r="5397">
      <c r="R5397" s="100"/>
      <c r="V5397" s="100"/>
      <c r="Y5397" s="100"/>
    </row>
    <row r="5398">
      <c r="R5398" s="100"/>
      <c r="V5398" s="100"/>
      <c r="Y5398" s="100"/>
    </row>
    <row r="5399">
      <c r="R5399" s="100"/>
      <c r="V5399" s="100"/>
      <c r="Y5399" s="100"/>
    </row>
    <row r="5400">
      <c r="R5400" s="100"/>
      <c r="V5400" s="100"/>
      <c r="Y5400" s="100"/>
    </row>
    <row r="5401">
      <c r="R5401" s="100"/>
      <c r="V5401" s="100"/>
      <c r="Y5401" s="100"/>
    </row>
    <row r="5402">
      <c r="R5402" s="100"/>
      <c r="V5402" s="100"/>
      <c r="Y5402" s="100"/>
    </row>
    <row r="5403">
      <c r="R5403" s="100"/>
      <c r="V5403" s="100"/>
      <c r="Y5403" s="100"/>
    </row>
    <row r="5404">
      <c r="R5404" s="100"/>
      <c r="V5404" s="100"/>
      <c r="Y5404" s="100"/>
    </row>
    <row r="5405">
      <c r="R5405" s="100"/>
      <c r="V5405" s="100"/>
      <c r="Y5405" s="100"/>
    </row>
    <row r="5406">
      <c r="R5406" s="100"/>
      <c r="V5406" s="100"/>
      <c r="Y5406" s="100"/>
    </row>
    <row r="5407">
      <c r="R5407" s="100"/>
      <c r="V5407" s="100"/>
      <c r="Y5407" s="100"/>
    </row>
    <row r="5408">
      <c r="R5408" s="100"/>
      <c r="V5408" s="100"/>
      <c r="Y5408" s="100"/>
    </row>
    <row r="5409">
      <c r="R5409" s="100"/>
      <c r="V5409" s="100"/>
      <c r="Y5409" s="100"/>
    </row>
    <row r="5410">
      <c r="R5410" s="100"/>
      <c r="V5410" s="100"/>
      <c r="Y5410" s="100"/>
    </row>
    <row r="5411">
      <c r="R5411" s="100"/>
      <c r="V5411" s="100"/>
      <c r="Y5411" s="100"/>
    </row>
    <row r="5412">
      <c r="R5412" s="100"/>
      <c r="V5412" s="100"/>
      <c r="Y5412" s="100"/>
    </row>
    <row r="5413">
      <c r="R5413" s="100"/>
      <c r="V5413" s="100"/>
      <c r="Y5413" s="100"/>
    </row>
    <row r="5414">
      <c r="R5414" s="100"/>
      <c r="V5414" s="100"/>
      <c r="Y5414" s="100"/>
    </row>
    <row r="5415">
      <c r="R5415" s="100"/>
      <c r="V5415" s="100"/>
      <c r="Y5415" s="100"/>
    </row>
    <row r="5416">
      <c r="R5416" s="100"/>
      <c r="V5416" s="100"/>
      <c r="Y5416" s="100"/>
    </row>
    <row r="5417">
      <c r="R5417" s="100"/>
      <c r="V5417" s="100"/>
      <c r="Y5417" s="100"/>
    </row>
    <row r="5418">
      <c r="R5418" s="100"/>
      <c r="V5418" s="100"/>
      <c r="Y5418" s="100"/>
    </row>
    <row r="5419">
      <c r="R5419" s="100"/>
      <c r="V5419" s="100"/>
      <c r="Y5419" s="100"/>
    </row>
    <row r="5420">
      <c r="R5420" s="100"/>
      <c r="V5420" s="100"/>
      <c r="Y5420" s="100"/>
    </row>
    <row r="5421">
      <c r="R5421" s="100"/>
      <c r="V5421" s="100"/>
      <c r="Y5421" s="100"/>
    </row>
    <row r="5422">
      <c r="R5422" s="100"/>
      <c r="V5422" s="100"/>
      <c r="Y5422" s="100"/>
    </row>
    <row r="5423">
      <c r="R5423" s="100"/>
      <c r="V5423" s="100"/>
      <c r="Y5423" s="100"/>
    </row>
    <row r="5424">
      <c r="R5424" s="100"/>
      <c r="V5424" s="100"/>
      <c r="Y5424" s="100"/>
    </row>
    <row r="5425">
      <c r="R5425" s="100"/>
      <c r="V5425" s="100"/>
      <c r="Y5425" s="100"/>
    </row>
    <row r="5426">
      <c r="R5426" s="100"/>
      <c r="V5426" s="100"/>
      <c r="Y5426" s="100"/>
    </row>
    <row r="5427">
      <c r="R5427" s="100"/>
      <c r="V5427" s="100"/>
      <c r="Y5427" s="100"/>
    </row>
    <row r="5428">
      <c r="R5428" s="100"/>
      <c r="V5428" s="100"/>
      <c r="Y5428" s="100"/>
    </row>
    <row r="5429">
      <c r="R5429" s="100"/>
      <c r="V5429" s="100"/>
      <c r="Y5429" s="100"/>
    </row>
    <row r="5430">
      <c r="R5430" s="100"/>
      <c r="V5430" s="100"/>
      <c r="Y5430" s="100"/>
    </row>
    <row r="5431">
      <c r="R5431" s="100"/>
      <c r="V5431" s="100"/>
      <c r="Y5431" s="100"/>
    </row>
    <row r="5432">
      <c r="R5432" s="100"/>
      <c r="V5432" s="100"/>
      <c r="Y5432" s="100"/>
    </row>
    <row r="5433">
      <c r="R5433" s="100"/>
      <c r="V5433" s="100"/>
      <c r="Y5433" s="100"/>
    </row>
    <row r="5434">
      <c r="R5434" s="100"/>
      <c r="V5434" s="100"/>
      <c r="Y5434" s="100"/>
    </row>
    <row r="5435">
      <c r="R5435" s="100"/>
      <c r="V5435" s="100"/>
      <c r="Y5435" s="100"/>
    </row>
    <row r="5436">
      <c r="R5436" s="100"/>
      <c r="V5436" s="100"/>
      <c r="Y5436" s="100"/>
    </row>
    <row r="5437">
      <c r="R5437" s="100"/>
      <c r="V5437" s="100"/>
      <c r="Y5437" s="100"/>
    </row>
    <row r="5438">
      <c r="R5438" s="100"/>
      <c r="V5438" s="100"/>
      <c r="Y5438" s="100"/>
    </row>
    <row r="5439">
      <c r="R5439" s="100"/>
      <c r="V5439" s="100"/>
      <c r="Y5439" s="100"/>
    </row>
    <row r="5440">
      <c r="R5440" s="100"/>
      <c r="V5440" s="100"/>
      <c r="Y5440" s="100"/>
    </row>
    <row r="5441">
      <c r="R5441" s="100"/>
      <c r="V5441" s="100"/>
      <c r="Y5441" s="100"/>
    </row>
    <row r="5442">
      <c r="R5442" s="100"/>
      <c r="V5442" s="100"/>
      <c r="Y5442" s="100"/>
    </row>
    <row r="5443">
      <c r="R5443" s="100"/>
      <c r="V5443" s="100"/>
      <c r="Y5443" s="100"/>
    </row>
    <row r="5444">
      <c r="R5444" s="100"/>
      <c r="V5444" s="100"/>
      <c r="Y5444" s="100"/>
    </row>
    <row r="5445">
      <c r="R5445" s="100"/>
      <c r="V5445" s="100"/>
      <c r="Y5445" s="100"/>
    </row>
    <row r="5446">
      <c r="R5446" s="100"/>
      <c r="V5446" s="100"/>
      <c r="Y5446" s="100"/>
    </row>
    <row r="5447">
      <c r="R5447" s="100"/>
      <c r="V5447" s="100"/>
      <c r="Y5447" s="100"/>
    </row>
    <row r="5448">
      <c r="R5448" s="100"/>
      <c r="V5448" s="100"/>
      <c r="Y5448" s="100"/>
    </row>
    <row r="5449">
      <c r="R5449" s="100"/>
      <c r="V5449" s="100"/>
      <c r="Y5449" s="100"/>
    </row>
    <row r="5450">
      <c r="R5450" s="100"/>
      <c r="V5450" s="100"/>
      <c r="Y5450" s="100"/>
    </row>
    <row r="5451">
      <c r="R5451" s="100"/>
      <c r="V5451" s="100"/>
      <c r="Y5451" s="100"/>
    </row>
    <row r="5452">
      <c r="R5452" s="100"/>
      <c r="V5452" s="100"/>
      <c r="Y5452" s="100"/>
    </row>
    <row r="5453">
      <c r="R5453" s="100"/>
      <c r="V5453" s="100"/>
      <c r="Y5453" s="100"/>
    </row>
    <row r="5454">
      <c r="R5454" s="100"/>
      <c r="V5454" s="100"/>
      <c r="Y5454" s="100"/>
    </row>
    <row r="5455">
      <c r="R5455" s="100"/>
      <c r="V5455" s="100"/>
      <c r="Y5455" s="100"/>
    </row>
    <row r="5456">
      <c r="R5456" s="100"/>
      <c r="V5456" s="100"/>
      <c r="Y5456" s="100"/>
    </row>
    <row r="5457">
      <c r="R5457" s="100"/>
      <c r="V5457" s="100"/>
      <c r="Y5457" s="100"/>
    </row>
    <row r="5458">
      <c r="R5458" s="100"/>
      <c r="V5458" s="100"/>
      <c r="Y5458" s="100"/>
    </row>
    <row r="5459">
      <c r="R5459" s="100"/>
      <c r="V5459" s="100"/>
      <c r="Y5459" s="100"/>
    </row>
    <row r="5460">
      <c r="R5460" s="100"/>
      <c r="V5460" s="100"/>
      <c r="Y5460" s="100"/>
    </row>
    <row r="5461">
      <c r="R5461" s="100"/>
      <c r="V5461" s="100"/>
      <c r="Y5461" s="100"/>
    </row>
    <row r="5462">
      <c r="R5462" s="100"/>
      <c r="V5462" s="100"/>
      <c r="Y5462" s="100"/>
    </row>
    <row r="5463">
      <c r="R5463" s="100"/>
      <c r="V5463" s="100"/>
      <c r="Y5463" s="100"/>
    </row>
    <row r="5464">
      <c r="R5464" s="100"/>
      <c r="V5464" s="100"/>
      <c r="Y5464" s="100"/>
    </row>
    <row r="5465">
      <c r="R5465" s="100"/>
      <c r="V5465" s="100"/>
      <c r="Y5465" s="100"/>
    </row>
    <row r="5466">
      <c r="R5466" s="100"/>
      <c r="V5466" s="100"/>
      <c r="Y5466" s="100"/>
    </row>
    <row r="5467">
      <c r="R5467" s="100"/>
      <c r="V5467" s="100"/>
      <c r="Y5467" s="100"/>
    </row>
    <row r="5468">
      <c r="R5468" s="100"/>
      <c r="V5468" s="100"/>
      <c r="Y5468" s="100"/>
    </row>
    <row r="5469">
      <c r="R5469" s="100"/>
      <c r="V5469" s="100"/>
      <c r="Y5469" s="100"/>
    </row>
    <row r="5470">
      <c r="R5470" s="100"/>
      <c r="V5470" s="100"/>
      <c r="Y5470" s="100"/>
    </row>
    <row r="5471">
      <c r="R5471" s="100"/>
      <c r="V5471" s="100"/>
      <c r="Y5471" s="100"/>
    </row>
    <row r="5472">
      <c r="R5472" s="100"/>
      <c r="V5472" s="100"/>
      <c r="Y5472" s="100"/>
    </row>
    <row r="5473">
      <c r="R5473" s="100"/>
      <c r="V5473" s="100"/>
      <c r="Y5473" s="100"/>
    </row>
    <row r="5474">
      <c r="R5474" s="100"/>
      <c r="V5474" s="100"/>
      <c r="Y5474" s="100"/>
    </row>
    <row r="5475">
      <c r="R5475" s="100"/>
      <c r="V5475" s="100"/>
      <c r="Y5475" s="100"/>
    </row>
    <row r="5476">
      <c r="R5476" s="100"/>
      <c r="V5476" s="100"/>
      <c r="Y5476" s="100"/>
    </row>
    <row r="5477">
      <c r="R5477" s="100"/>
      <c r="V5477" s="100"/>
      <c r="Y5477" s="100"/>
    </row>
    <row r="5478">
      <c r="R5478" s="100"/>
      <c r="V5478" s="100"/>
      <c r="Y5478" s="100"/>
    </row>
    <row r="5479">
      <c r="R5479" s="100"/>
      <c r="V5479" s="100"/>
      <c r="Y5479" s="100"/>
    </row>
    <row r="5480">
      <c r="R5480" s="100"/>
      <c r="V5480" s="100"/>
      <c r="Y5480" s="100"/>
    </row>
    <row r="5481">
      <c r="R5481" s="100"/>
      <c r="V5481" s="100"/>
      <c r="Y5481" s="100"/>
    </row>
    <row r="5482">
      <c r="R5482" s="100"/>
      <c r="V5482" s="100"/>
      <c r="Y5482" s="100"/>
    </row>
    <row r="5483">
      <c r="R5483" s="100"/>
      <c r="V5483" s="100"/>
      <c r="Y5483" s="100"/>
    </row>
    <row r="5484">
      <c r="R5484" s="100"/>
      <c r="V5484" s="100"/>
      <c r="Y5484" s="100"/>
    </row>
    <row r="5485">
      <c r="R5485" s="100"/>
      <c r="V5485" s="100"/>
      <c r="Y5485" s="100"/>
    </row>
    <row r="5486">
      <c r="R5486" s="100"/>
      <c r="V5486" s="100"/>
      <c r="Y5486" s="100"/>
    </row>
    <row r="5487">
      <c r="R5487" s="100"/>
      <c r="V5487" s="100"/>
      <c r="Y5487" s="100"/>
    </row>
    <row r="5488">
      <c r="R5488" s="100"/>
      <c r="V5488" s="100"/>
      <c r="Y5488" s="100"/>
    </row>
    <row r="5489">
      <c r="R5489" s="100"/>
      <c r="V5489" s="100"/>
      <c r="Y5489" s="100"/>
    </row>
    <row r="5490">
      <c r="R5490" s="100"/>
      <c r="V5490" s="100"/>
      <c r="Y5490" s="100"/>
    </row>
    <row r="5491">
      <c r="R5491" s="100"/>
      <c r="V5491" s="100"/>
      <c r="Y5491" s="100"/>
    </row>
    <row r="5492">
      <c r="R5492" s="100"/>
      <c r="V5492" s="100"/>
      <c r="Y5492" s="100"/>
    </row>
    <row r="5493">
      <c r="R5493" s="100"/>
      <c r="V5493" s="100"/>
      <c r="Y5493" s="100"/>
    </row>
    <row r="5494">
      <c r="R5494" s="100"/>
      <c r="V5494" s="100"/>
      <c r="Y5494" s="100"/>
    </row>
    <row r="5495">
      <c r="R5495" s="100"/>
      <c r="V5495" s="100"/>
      <c r="Y5495" s="100"/>
    </row>
    <row r="5496">
      <c r="R5496" s="100"/>
      <c r="V5496" s="100"/>
      <c r="Y5496" s="100"/>
    </row>
    <row r="5497">
      <c r="R5497" s="100"/>
      <c r="V5497" s="100"/>
      <c r="Y5497" s="100"/>
    </row>
    <row r="5498">
      <c r="R5498" s="100"/>
      <c r="V5498" s="100"/>
      <c r="Y5498" s="100"/>
    </row>
    <row r="5499">
      <c r="R5499" s="100"/>
      <c r="V5499" s="100"/>
      <c r="Y5499" s="100"/>
    </row>
    <row r="5500">
      <c r="R5500" s="100"/>
      <c r="V5500" s="100"/>
      <c r="Y5500" s="100"/>
    </row>
    <row r="5501">
      <c r="R5501" s="100"/>
      <c r="V5501" s="100"/>
      <c r="Y5501" s="100"/>
    </row>
    <row r="5502">
      <c r="R5502" s="100"/>
      <c r="V5502" s="100"/>
      <c r="Y5502" s="100"/>
    </row>
    <row r="5503">
      <c r="R5503" s="100"/>
      <c r="V5503" s="100"/>
      <c r="Y5503" s="100"/>
    </row>
    <row r="5504">
      <c r="R5504" s="100"/>
      <c r="V5504" s="100"/>
      <c r="Y5504" s="100"/>
    </row>
    <row r="5505">
      <c r="R5505" s="100"/>
      <c r="V5505" s="100"/>
      <c r="Y5505" s="100"/>
    </row>
    <row r="5506">
      <c r="R5506" s="100"/>
      <c r="V5506" s="100"/>
      <c r="Y5506" s="100"/>
    </row>
    <row r="5507">
      <c r="R5507" s="100"/>
      <c r="V5507" s="100"/>
      <c r="Y5507" s="100"/>
    </row>
    <row r="5508">
      <c r="R5508" s="100"/>
      <c r="V5508" s="100"/>
      <c r="Y5508" s="100"/>
    </row>
    <row r="5509">
      <c r="R5509" s="100"/>
      <c r="V5509" s="100"/>
      <c r="Y5509" s="100"/>
    </row>
    <row r="5510">
      <c r="R5510" s="100"/>
      <c r="V5510" s="100"/>
      <c r="Y5510" s="100"/>
    </row>
    <row r="5511">
      <c r="R5511" s="100"/>
      <c r="V5511" s="100"/>
      <c r="Y5511" s="100"/>
    </row>
    <row r="5512">
      <c r="R5512" s="100"/>
      <c r="V5512" s="100"/>
      <c r="Y5512" s="100"/>
    </row>
    <row r="5513">
      <c r="R5513" s="100"/>
      <c r="V5513" s="100"/>
      <c r="Y5513" s="100"/>
    </row>
    <row r="5514">
      <c r="R5514" s="100"/>
      <c r="V5514" s="100"/>
      <c r="Y5514" s="100"/>
    </row>
    <row r="5515">
      <c r="R5515" s="100"/>
      <c r="V5515" s="100"/>
      <c r="Y5515" s="100"/>
    </row>
    <row r="5516">
      <c r="R5516" s="100"/>
      <c r="V5516" s="100"/>
      <c r="Y5516" s="100"/>
    </row>
    <row r="5517">
      <c r="R5517" s="100"/>
      <c r="V5517" s="100"/>
      <c r="Y5517" s="100"/>
    </row>
    <row r="5518">
      <c r="R5518" s="100"/>
      <c r="V5518" s="100"/>
      <c r="Y5518" s="100"/>
    </row>
    <row r="5519">
      <c r="R5519" s="100"/>
      <c r="V5519" s="100"/>
      <c r="Y5519" s="100"/>
    </row>
    <row r="5520">
      <c r="R5520" s="100"/>
      <c r="V5520" s="100"/>
      <c r="Y5520" s="100"/>
    </row>
    <row r="5521">
      <c r="R5521" s="100"/>
      <c r="V5521" s="100"/>
      <c r="Y5521" s="100"/>
    </row>
    <row r="5522">
      <c r="R5522" s="100"/>
      <c r="V5522" s="100"/>
      <c r="Y5522" s="100"/>
    </row>
    <row r="5523">
      <c r="R5523" s="100"/>
      <c r="V5523" s="100"/>
      <c r="Y5523" s="100"/>
    </row>
    <row r="5524">
      <c r="R5524" s="100"/>
      <c r="V5524" s="100"/>
      <c r="Y5524" s="100"/>
    </row>
    <row r="5525">
      <c r="R5525" s="100"/>
      <c r="V5525" s="100"/>
      <c r="Y5525" s="100"/>
    </row>
    <row r="5526">
      <c r="R5526" s="100"/>
      <c r="V5526" s="100"/>
      <c r="Y5526" s="100"/>
    </row>
    <row r="5527">
      <c r="R5527" s="100"/>
      <c r="V5527" s="100"/>
      <c r="Y5527" s="100"/>
    </row>
    <row r="5528">
      <c r="R5528" s="100"/>
      <c r="V5528" s="100"/>
      <c r="Y5528" s="100"/>
    </row>
    <row r="5529">
      <c r="R5529" s="100"/>
      <c r="V5529" s="100"/>
      <c r="Y5529" s="100"/>
    </row>
    <row r="5530">
      <c r="R5530" s="100"/>
      <c r="V5530" s="100"/>
      <c r="Y5530" s="100"/>
    </row>
    <row r="5531">
      <c r="R5531" s="100"/>
      <c r="V5531" s="100"/>
      <c r="Y5531" s="100"/>
    </row>
    <row r="5532">
      <c r="R5532" s="100"/>
      <c r="V5532" s="100"/>
      <c r="Y5532" s="100"/>
    </row>
    <row r="5533">
      <c r="R5533" s="100"/>
      <c r="V5533" s="100"/>
      <c r="Y5533" s="100"/>
    </row>
    <row r="5534">
      <c r="R5534" s="100"/>
      <c r="V5534" s="100"/>
      <c r="Y5534" s="100"/>
    </row>
    <row r="5535">
      <c r="R5535" s="100"/>
      <c r="V5535" s="100"/>
      <c r="Y5535" s="100"/>
    </row>
    <row r="5536">
      <c r="R5536" s="100"/>
      <c r="V5536" s="100"/>
      <c r="Y5536" s="100"/>
    </row>
    <row r="5537">
      <c r="R5537" s="100"/>
      <c r="V5537" s="100"/>
      <c r="Y5537" s="100"/>
    </row>
    <row r="5538">
      <c r="R5538" s="100"/>
      <c r="V5538" s="100"/>
      <c r="Y5538" s="100"/>
    </row>
    <row r="5539">
      <c r="R5539" s="100"/>
      <c r="V5539" s="100"/>
      <c r="Y5539" s="100"/>
    </row>
    <row r="5540">
      <c r="R5540" s="100"/>
      <c r="V5540" s="100"/>
      <c r="Y5540" s="100"/>
    </row>
    <row r="5541">
      <c r="R5541" s="100"/>
      <c r="V5541" s="100"/>
      <c r="Y5541" s="100"/>
    </row>
    <row r="5542">
      <c r="R5542" s="100"/>
      <c r="V5542" s="100"/>
      <c r="Y5542" s="100"/>
    </row>
    <row r="5543">
      <c r="R5543" s="100"/>
      <c r="V5543" s="100"/>
      <c r="Y5543" s="100"/>
    </row>
    <row r="5544">
      <c r="R5544" s="100"/>
      <c r="V5544" s="100"/>
      <c r="Y5544" s="100"/>
    </row>
    <row r="5545">
      <c r="R5545" s="100"/>
      <c r="V5545" s="100"/>
      <c r="Y5545" s="100"/>
    </row>
    <row r="5546">
      <c r="R5546" s="100"/>
      <c r="V5546" s="100"/>
      <c r="Y5546" s="100"/>
    </row>
    <row r="5547">
      <c r="R5547" s="100"/>
      <c r="V5547" s="100"/>
      <c r="Y5547" s="100"/>
    </row>
    <row r="5548">
      <c r="R5548" s="100"/>
      <c r="V5548" s="100"/>
      <c r="Y5548" s="100"/>
    </row>
    <row r="5549">
      <c r="R5549" s="100"/>
      <c r="V5549" s="100"/>
      <c r="Y5549" s="100"/>
    </row>
    <row r="5550">
      <c r="R5550" s="100"/>
      <c r="V5550" s="100"/>
      <c r="Y5550" s="100"/>
    </row>
    <row r="5551">
      <c r="R5551" s="100"/>
      <c r="V5551" s="100"/>
      <c r="Y5551" s="100"/>
    </row>
    <row r="5552">
      <c r="R5552" s="100"/>
      <c r="V5552" s="100"/>
      <c r="Y5552" s="100"/>
    </row>
    <row r="5553">
      <c r="R5553" s="100"/>
      <c r="V5553" s="100"/>
      <c r="Y5553" s="100"/>
    </row>
    <row r="5554">
      <c r="R5554" s="100"/>
      <c r="V5554" s="100"/>
      <c r="Y5554" s="100"/>
    </row>
    <row r="5555">
      <c r="R5555" s="100"/>
      <c r="V5555" s="100"/>
      <c r="Y5555" s="100"/>
    </row>
    <row r="5556">
      <c r="R5556" s="100"/>
      <c r="V5556" s="100"/>
      <c r="Y5556" s="100"/>
    </row>
    <row r="5557">
      <c r="R5557" s="100"/>
      <c r="V5557" s="100"/>
      <c r="Y5557" s="100"/>
    </row>
    <row r="5558">
      <c r="R5558" s="100"/>
      <c r="V5558" s="100"/>
      <c r="Y5558" s="100"/>
    </row>
    <row r="5559">
      <c r="R5559" s="100"/>
      <c r="V5559" s="100"/>
      <c r="Y5559" s="100"/>
    </row>
    <row r="5560">
      <c r="R5560" s="100"/>
      <c r="V5560" s="100"/>
      <c r="Y5560" s="100"/>
    </row>
    <row r="5561">
      <c r="R5561" s="100"/>
      <c r="V5561" s="100"/>
      <c r="Y5561" s="100"/>
    </row>
    <row r="5562">
      <c r="R5562" s="100"/>
      <c r="V5562" s="100"/>
      <c r="Y5562" s="100"/>
    </row>
    <row r="5563">
      <c r="R5563" s="100"/>
      <c r="V5563" s="100"/>
      <c r="Y5563" s="100"/>
    </row>
    <row r="5564">
      <c r="R5564" s="100"/>
      <c r="V5564" s="100"/>
      <c r="Y5564" s="100"/>
    </row>
    <row r="5565">
      <c r="R5565" s="100"/>
      <c r="V5565" s="100"/>
      <c r="Y5565" s="100"/>
    </row>
    <row r="5566">
      <c r="R5566" s="100"/>
      <c r="V5566" s="100"/>
      <c r="Y5566" s="100"/>
    </row>
    <row r="5567">
      <c r="R5567" s="100"/>
      <c r="V5567" s="100"/>
      <c r="Y5567" s="100"/>
    </row>
    <row r="5568">
      <c r="R5568" s="100"/>
      <c r="V5568" s="100"/>
      <c r="Y5568" s="100"/>
    </row>
    <row r="5569">
      <c r="R5569" s="100"/>
      <c r="V5569" s="100"/>
      <c r="Y5569" s="100"/>
    </row>
    <row r="5570">
      <c r="R5570" s="100"/>
      <c r="V5570" s="100"/>
      <c r="Y5570" s="100"/>
    </row>
    <row r="5571">
      <c r="R5571" s="100"/>
      <c r="V5571" s="100"/>
      <c r="Y5571" s="100"/>
    </row>
    <row r="5572">
      <c r="R5572" s="100"/>
      <c r="V5572" s="100"/>
      <c r="Y5572" s="100"/>
    </row>
    <row r="5573">
      <c r="R5573" s="100"/>
      <c r="V5573" s="100"/>
      <c r="Y5573" s="100"/>
    </row>
    <row r="5574">
      <c r="R5574" s="100"/>
      <c r="V5574" s="100"/>
      <c r="Y5574" s="100"/>
    </row>
    <row r="5575">
      <c r="R5575" s="100"/>
      <c r="V5575" s="100"/>
      <c r="Y5575" s="100"/>
    </row>
    <row r="5576">
      <c r="R5576" s="100"/>
      <c r="V5576" s="100"/>
      <c r="Y5576" s="100"/>
    </row>
    <row r="5577">
      <c r="R5577" s="100"/>
      <c r="V5577" s="100"/>
      <c r="Y5577" s="100"/>
    </row>
    <row r="5578">
      <c r="R5578" s="100"/>
      <c r="V5578" s="100"/>
      <c r="Y5578" s="100"/>
    </row>
    <row r="5579">
      <c r="R5579" s="100"/>
      <c r="V5579" s="100"/>
      <c r="Y5579" s="100"/>
    </row>
    <row r="5580">
      <c r="R5580" s="100"/>
      <c r="V5580" s="100"/>
      <c r="Y5580" s="100"/>
    </row>
    <row r="5581">
      <c r="R5581" s="100"/>
      <c r="V5581" s="100"/>
      <c r="Y5581" s="100"/>
    </row>
    <row r="5582">
      <c r="R5582" s="100"/>
      <c r="V5582" s="100"/>
      <c r="Y5582" s="100"/>
    </row>
    <row r="5583">
      <c r="R5583" s="100"/>
      <c r="V5583" s="100"/>
      <c r="Y5583" s="100"/>
    </row>
    <row r="5584">
      <c r="R5584" s="100"/>
      <c r="V5584" s="100"/>
      <c r="Y5584" s="100"/>
    </row>
    <row r="5585">
      <c r="R5585" s="100"/>
      <c r="V5585" s="100"/>
      <c r="Y5585" s="100"/>
    </row>
    <row r="5586">
      <c r="R5586" s="100"/>
      <c r="V5586" s="100"/>
      <c r="Y5586" s="100"/>
    </row>
    <row r="5587">
      <c r="R5587" s="100"/>
      <c r="V5587" s="100"/>
      <c r="Y5587" s="100"/>
    </row>
    <row r="5588">
      <c r="R5588" s="100"/>
      <c r="V5588" s="100"/>
      <c r="Y5588" s="100"/>
    </row>
    <row r="5589">
      <c r="R5589" s="100"/>
      <c r="V5589" s="100"/>
      <c r="Y5589" s="100"/>
    </row>
    <row r="5590">
      <c r="R5590" s="100"/>
      <c r="V5590" s="100"/>
      <c r="Y5590" s="100"/>
    </row>
    <row r="5591">
      <c r="R5591" s="100"/>
      <c r="V5591" s="100"/>
      <c r="Y5591" s="100"/>
    </row>
    <row r="5592">
      <c r="R5592" s="100"/>
      <c r="V5592" s="100"/>
      <c r="Y5592" s="100"/>
    </row>
    <row r="5593">
      <c r="R5593" s="100"/>
      <c r="V5593" s="100"/>
      <c r="Y5593" s="100"/>
    </row>
    <row r="5594">
      <c r="R5594" s="100"/>
      <c r="V5594" s="100"/>
      <c r="Y5594" s="100"/>
    </row>
    <row r="5595">
      <c r="R5595" s="100"/>
      <c r="V5595" s="100"/>
      <c r="Y5595" s="100"/>
    </row>
    <row r="5596">
      <c r="R5596" s="100"/>
      <c r="V5596" s="100"/>
      <c r="Y5596" s="100"/>
    </row>
    <row r="5597">
      <c r="R5597" s="100"/>
      <c r="V5597" s="100"/>
      <c r="Y5597" s="100"/>
    </row>
    <row r="5598">
      <c r="R5598" s="100"/>
      <c r="V5598" s="100"/>
      <c r="Y5598" s="100"/>
    </row>
    <row r="5599">
      <c r="R5599" s="100"/>
      <c r="V5599" s="100"/>
      <c r="Y5599" s="100"/>
    </row>
    <row r="5600">
      <c r="R5600" s="100"/>
      <c r="V5600" s="100"/>
      <c r="Y5600" s="100"/>
    </row>
    <row r="5601">
      <c r="R5601" s="100"/>
      <c r="V5601" s="100"/>
      <c r="Y5601" s="100"/>
    </row>
    <row r="5602">
      <c r="R5602" s="100"/>
      <c r="V5602" s="100"/>
      <c r="Y5602" s="100"/>
    </row>
    <row r="5603">
      <c r="R5603" s="100"/>
      <c r="V5603" s="100"/>
      <c r="Y5603" s="100"/>
    </row>
    <row r="5604">
      <c r="R5604" s="100"/>
      <c r="V5604" s="100"/>
      <c r="Y5604" s="100"/>
    </row>
    <row r="5605">
      <c r="R5605" s="100"/>
      <c r="V5605" s="100"/>
      <c r="Y5605" s="100"/>
    </row>
    <row r="5606">
      <c r="R5606" s="100"/>
      <c r="V5606" s="100"/>
      <c r="Y5606" s="100"/>
    </row>
    <row r="5607">
      <c r="R5607" s="100"/>
      <c r="V5607" s="100"/>
      <c r="Y5607" s="100"/>
    </row>
    <row r="5608">
      <c r="R5608" s="100"/>
      <c r="V5608" s="100"/>
      <c r="Y5608" s="100"/>
    </row>
    <row r="5609">
      <c r="R5609" s="100"/>
      <c r="V5609" s="100"/>
      <c r="Y5609" s="100"/>
    </row>
    <row r="5610">
      <c r="R5610" s="100"/>
      <c r="V5610" s="100"/>
      <c r="Y5610" s="100"/>
    </row>
    <row r="5611">
      <c r="R5611" s="100"/>
      <c r="V5611" s="100"/>
      <c r="Y5611" s="100"/>
    </row>
    <row r="5612">
      <c r="R5612" s="100"/>
      <c r="V5612" s="100"/>
      <c r="Y5612" s="100"/>
    </row>
    <row r="5613">
      <c r="R5613" s="100"/>
      <c r="V5613" s="100"/>
      <c r="Y5613" s="100"/>
    </row>
    <row r="5614">
      <c r="R5614" s="100"/>
      <c r="V5614" s="100"/>
      <c r="Y5614" s="100"/>
    </row>
    <row r="5615">
      <c r="R5615" s="100"/>
      <c r="V5615" s="100"/>
      <c r="Y5615" s="100"/>
    </row>
    <row r="5616">
      <c r="R5616" s="100"/>
      <c r="V5616" s="100"/>
      <c r="Y5616" s="100"/>
    </row>
    <row r="5617">
      <c r="R5617" s="100"/>
      <c r="V5617" s="100"/>
      <c r="Y5617" s="100"/>
    </row>
    <row r="5618">
      <c r="R5618" s="100"/>
      <c r="V5618" s="100"/>
      <c r="Y5618" s="100"/>
    </row>
    <row r="5619">
      <c r="R5619" s="100"/>
      <c r="V5619" s="100"/>
      <c r="Y5619" s="100"/>
    </row>
    <row r="5620">
      <c r="R5620" s="100"/>
      <c r="V5620" s="100"/>
      <c r="Y5620" s="100"/>
    </row>
    <row r="5621">
      <c r="R5621" s="100"/>
      <c r="V5621" s="100"/>
      <c r="Y5621" s="100"/>
    </row>
    <row r="5622">
      <c r="R5622" s="100"/>
      <c r="V5622" s="100"/>
      <c r="Y5622" s="100"/>
    </row>
    <row r="5623">
      <c r="R5623" s="100"/>
      <c r="V5623" s="100"/>
      <c r="Y5623" s="100"/>
    </row>
    <row r="5624">
      <c r="R5624" s="100"/>
      <c r="V5624" s="100"/>
      <c r="Y5624" s="100"/>
    </row>
    <row r="5625">
      <c r="R5625" s="100"/>
      <c r="V5625" s="100"/>
      <c r="Y5625" s="100"/>
    </row>
    <row r="5626">
      <c r="R5626" s="100"/>
      <c r="V5626" s="100"/>
      <c r="Y5626" s="100"/>
    </row>
    <row r="5627">
      <c r="R5627" s="100"/>
      <c r="V5627" s="100"/>
      <c r="Y5627" s="100"/>
    </row>
    <row r="5628">
      <c r="R5628" s="100"/>
      <c r="V5628" s="100"/>
      <c r="Y5628" s="100"/>
    </row>
    <row r="5629">
      <c r="R5629" s="100"/>
      <c r="V5629" s="100"/>
      <c r="Y5629" s="100"/>
    </row>
    <row r="5630">
      <c r="R5630" s="100"/>
      <c r="V5630" s="100"/>
      <c r="Y5630" s="100"/>
    </row>
    <row r="5631">
      <c r="R5631" s="100"/>
      <c r="V5631" s="100"/>
      <c r="Y5631" s="100"/>
    </row>
    <row r="5632">
      <c r="R5632" s="100"/>
      <c r="V5632" s="100"/>
      <c r="Y5632" s="100"/>
    </row>
    <row r="5633">
      <c r="R5633" s="100"/>
      <c r="V5633" s="100"/>
      <c r="Y5633" s="100"/>
    </row>
    <row r="5634">
      <c r="R5634" s="100"/>
      <c r="V5634" s="100"/>
      <c r="Y5634" s="100"/>
    </row>
    <row r="5635">
      <c r="R5635" s="100"/>
      <c r="V5635" s="100"/>
      <c r="Y5635" s="100"/>
    </row>
    <row r="5636">
      <c r="R5636" s="100"/>
      <c r="V5636" s="100"/>
      <c r="Y5636" s="100"/>
    </row>
    <row r="5637">
      <c r="R5637" s="100"/>
      <c r="V5637" s="100"/>
      <c r="Y5637" s="100"/>
    </row>
    <row r="5638">
      <c r="R5638" s="100"/>
      <c r="V5638" s="100"/>
      <c r="Y5638" s="100"/>
    </row>
    <row r="5639">
      <c r="R5639" s="100"/>
      <c r="V5639" s="100"/>
      <c r="Y5639" s="100"/>
    </row>
    <row r="5640">
      <c r="R5640" s="100"/>
      <c r="V5640" s="100"/>
      <c r="Y5640" s="100"/>
    </row>
    <row r="5641">
      <c r="R5641" s="100"/>
      <c r="V5641" s="100"/>
      <c r="Y5641" s="100"/>
    </row>
    <row r="5642">
      <c r="R5642" s="100"/>
      <c r="V5642" s="100"/>
      <c r="Y5642" s="100"/>
    </row>
    <row r="5643">
      <c r="R5643" s="100"/>
      <c r="V5643" s="100"/>
      <c r="Y5643" s="100"/>
    </row>
    <row r="5644">
      <c r="R5644" s="100"/>
      <c r="V5644" s="100"/>
      <c r="Y5644" s="100"/>
    </row>
    <row r="5645">
      <c r="R5645" s="100"/>
      <c r="V5645" s="100"/>
      <c r="Y5645" s="100"/>
    </row>
    <row r="5646">
      <c r="R5646" s="100"/>
      <c r="V5646" s="100"/>
      <c r="Y5646" s="100"/>
    </row>
    <row r="5647">
      <c r="R5647" s="100"/>
      <c r="V5647" s="100"/>
      <c r="Y5647" s="100"/>
    </row>
    <row r="5648">
      <c r="R5648" s="100"/>
      <c r="V5648" s="100"/>
      <c r="Y5648" s="100"/>
    </row>
    <row r="5649">
      <c r="R5649" s="100"/>
      <c r="V5649" s="100"/>
      <c r="Y5649" s="100"/>
    </row>
    <row r="5650">
      <c r="R5650" s="100"/>
      <c r="V5650" s="100"/>
      <c r="Y5650" s="100"/>
    </row>
    <row r="5651">
      <c r="R5651" s="100"/>
      <c r="V5651" s="100"/>
      <c r="Y5651" s="100"/>
    </row>
    <row r="5652">
      <c r="R5652" s="100"/>
      <c r="V5652" s="100"/>
      <c r="Y5652" s="100"/>
    </row>
    <row r="5653">
      <c r="R5653" s="100"/>
      <c r="V5653" s="100"/>
      <c r="Y5653" s="100"/>
    </row>
    <row r="5654">
      <c r="R5654" s="100"/>
      <c r="V5654" s="100"/>
      <c r="Y5654" s="100"/>
    </row>
    <row r="5655">
      <c r="R5655" s="100"/>
      <c r="V5655" s="100"/>
      <c r="Y5655" s="100"/>
    </row>
    <row r="5656">
      <c r="R5656" s="100"/>
      <c r="V5656" s="100"/>
      <c r="Y5656" s="100"/>
    </row>
    <row r="5657">
      <c r="R5657" s="100"/>
      <c r="V5657" s="100"/>
      <c r="Y5657" s="100"/>
    </row>
    <row r="5658">
      <c r="R5658" s="100"/>
      <c r="V5658" s="100"/>
      <c r="Y5658" s="100"/>
    </row>
    <row r="5659">
      <c r="R5659" s="100"/>
      <c r="V5659" s="100"/>
      <c r="Y5659" s="100"/>
    </row>
    <row r="5660">
      <c r="R5660" s="100"/>
      <c r="V5660" s="100"/>
      <c r="Y5660" s="100"/>
    </row>
    <row r="5661">
      <c r="R5661" s="100"/>
      <c r="V5661" s="100"/>
      <c r="Y5661" s="100"/>
    </row>
    <row r="5662">
      <c r="R5662" s="100"/>
      <c r="V5662" s="100"/>
      <c r="Y5662" s="100"/>
    </row>
    <row r="5663">
      <c r="R5663" s="100"/>
      <c r="V5663" s="100"/>
      <c r="Y5663" s="100"/>
    </row>
    <row r="5664">
      <c r="R5664" s="100"/>
      <c r="V5664" s="100"/>
      <c r="Y5664" s="100"/>
    </row>
    <row r="5665">
      <c r="R5665" s="100"/>
      <c r="V5665" s="100"/>
      <c r="Y5665" s="100"/>
    </row>
    <row r="5666">
      <c r="R5666" s="100"/>
      <c r="V5666" s="100"/>
      <c r="Y5666" s="100"/>
    </row>
    <row r="5667">
      <c r="R5667" s="100"/>
      <c r="V5667" s="100"/>
      <c r="Y5667" s="100"/>
    </row>
    <row r="5668">
      <c r="R5668" s="100"/>
      <c r="V5668" s="100"/>
      <c r="Y5668" s="100"/>
    </row>
    <row r="5669">
      <c r="R5669" s="100"/>
      <c r="V5669" s="100"/>
      <c r="Y5669" s="100"/>
    </row>
    <row r="5670">
      <c r="R5670" s="100"/>
      <c r="V5670" s="100"/>
      <c r="Y5670" s="100"/>
    </row>
    <row r="5671">
      <c r="R5671" s="100"/>
      <c r="V5671" s="100"/>
      <c r="Y5671" s="100"/>
    </row>
    <row r="5672">
      <c r="R5672" s="100"/>
      <c r="V5672" s="100"/>
      <c r="Y5672" s="100"/>
    </row>
    <row r="5673">
      <c r="R5673" s="100"/>
      <c r="V5673" s="100"/>
      <c r="Y5673" s="100"/>
    </row>
    <row r="5674">
      <c r="R5674" s="100"/>
      <c r="V5674" s="100"/>
      <c r="Y5674" s="100"/>
    </row>
    <row r="5675">
      <c r="R5675" s="100"/>
      <c r="V5675" s="100"/>
      <c r="Y5675" s="100"/>
    </row>
    <row r="5676">
      <c r="R5676" s="100"/>
      <c r="V5676" s="100"/>
      <c r="Y5676" s="100"/>
    </row>
    <row r="5677">
      <c r="R5677" s="100"/>
      <c r="V5677" s="100"/>
      <c r="Y5677" s="100"/>
    </row>
    <row r="5678">
      <c r="R5678" s="100"/>
      <c r="V5678" s="100"/>
      <c r="Y5678" s="100"/>
    </row>
    <row r="5679">
      <c r="R5679" s="100"/>
      <c r="V5679" s="100"/>
      <c r="Y5679" s="100"/>
    </row>
    <row r="5680">
      <c r="R5680" s="100"/>
      <c r="V5680" s="100"/>
      <c r="Y5680" s="100"/>
    </row>
    <row r="5681">
      <c r="R5681" s="100"/>
      <c r="V5681" s="100"/>
      <c r="Y5681" s="100"/>
    </row>
    <row r="5682">
      <c r="R5682" s="100"/>
      <c r="V5682" s="100"/>
      <c r="Y5682" s="100"/>
    </row>
    <row r="5683">
      <c r="R5683" s="100"/>
      <c r="V5683" s="100"/>
      <c r="Y5683" s="100"/>
    </row>
    <row r="5684">
      <c r="R5684" s="100"/>
      <c r="V5684" s="100"/>
      <c r="Y5684" s="100"/>
    </row>
    <row r="5685">
      <c r="R5685" s="100"/>
      <c r="V5685" s="100"/>
      <c r="Y5685" s="100"/>
    </row>
    <row r="5686">
      <c r="R5686" s="100"/>
      <c r="V5686" s="100"/>
      <c r="Y5686" s="100"/>
    </row>
    <row r="5687">
      <c r="R5687" s="100"/>
      <c r="V5687" s="100"/>
      <c r="Y5687" s="100"/>
    </row>
    <row r="5688">
      <c r="R5688" s="100"/>
      <c r="V5688" s="100"/>
      <c r="Y5688" s="100"/>
    </row>
    <row r="5689">
      <c r="R5689" s="100"/>
      <c r="V5689" s="100"/>
      <c r="Y5689" s="100"/>
    </row>
    <row r="5690">
      <c r="R5690" s="100"/>
      <c r="V5690" s="100"/>
      <c r="Y5690" s="100"/>
    </row>
    <row r="5691">
      <c r="R5691" s="100"/>
      <c r="V5691" s="100"/>
      <c r="Y5691" s="100"/>
    </row>
    <row r="5692">
      <c r="R5692" s="100"/>
      <c r="V5692" s="100"/>
      <c r="Y5692" s="100"/>
    </row>
    <row r="5693">
      <c r="R5693" s="100"/>
      <c r="V5693" s="100"/>
      <c r="Y5693" s="100"/>
    </row>
    <row r="5694">
      <c r="R5694" s="100"/>
      <c r="V5694" s="100"/>
      <c r="Y5694" s="100"/>
    </row>
    <row r="5695">
      <c r="R5695" s="100"/>
      <c r="V5695" s="100"/>
      <c r="Y5695" s="100"/>
    </row>
    <row r="5696">
      <c r="R5696" s="100"/>
      <c r="V5696" s="100"/>
      <c r="Y5696" s="100"/>
    </row>
    <row r="5697">
      <c r="R5697" s="100"/>
      <c r="V5697" s="100"/>
      <c r="Y5697" s="100"/>
    </row>
    <row r="5698">
      <c r="R5698" s="100"/>
      <c r="V5698" s="100"/>
      <c r="Y5698" s="100"/>
    </row>
    <row r="5699">
      <c r="R5699" s="100"/>
      <c r="V5699" s="100"/>
      <c r="Y5699" s="100"/>
    </row>
    <row r="5700">
      <c r="R5700" s="100"/>
      <c r="V5700" s="100"/>
      <c r="Y5700" s="100"/>
    </row>
    <row r="5701">
      <c r="R5701" s="100"/>
      <c r="V5701" s="100"/>
      <c r="Y5701" s="100"/>
    </row>
    <row r="5702">
      <c r="R5702" s="100"/>
      <c r="V5702" s="100"/>
      <c r="Y5702" s="100"/>
    </row>
    <row r="5703">
      <c r="R5703" s="100"/>
      <c r="V5703" s="100"/>
      <c r="Y5703" s="100"/>
    </row>
    <row r="5704">
      <c r="R5704" s="100"/>
      <c r="V5704" s="100"/>
      <c r="Y5704" s="100"/>
    </row>
    <row r="5705">
      <c r="R5705" s="100"/>
      <c r="V5705" s="100"/>
      <c r="Y5705" s="100"/>
    </row>
    <row r="5706">
      <c r="R5706" s="100"/>
      <c r="V5706" s="100"/>
      <c r="Y5706" s="100"/>
    </row>
    <row r="5707">
      <c r="R5707" s="100"/>
      <c r="V5707" s="100"/>
      <c r="Y5707" s="100"/>
    </row>
    <row r="5708">
      <c r="R5708" s="100"/>
      <c r="V5708" s="100"/>
      <c r="Y5708" s="100"/>
    </row>
    <row r="5709">
      <c r="R5709" s="100"/>
      <c r="V5709" s="100"/>
      <c r="Y5709" s="100"/>
    </row>
    <row r="5710">
      <c r="R5710" s="100"/>
      <c r="V5710" s="100"/>
      <c r="Y5710" s="100"/>
    </row>
    <row r="5711">
      <c r="R5711" s="100"/>
      <c r="V5711" s="100"/>
      <c r="Y5711" s="100"/>
    </row>
    <row r="5712">
      <c r="R5712" s="100"/>
      <c r="V5712" s="100"/>
      <c r="Y5712" s="100"/>
    </row>
    <row r="5713">
      <c r="R5713" s="100"/>
      <c r="V5713" s="100"/>
      <c r="Y5713" s="100"/>
    </row>
    <row r="5714">
      <c r="R5714" s="100"/>
      <c r="V5714" s="100"/>
      <c r="Y5714" s="100"/>
    </row>
    <row r="5715">
      <c r="R5715" s="100"/>
      <c r="V5715" s="100"/>
      <c r="Y5715" s="100"/>
    </row>
    <row r="5716">
      <c r="R5716" s="100"/>
      <c r="V5716" s="100"/>
      <c r="Y5716" s="100"/>
    </row>
    <row r="5717">
      <c r="R5717" s="100"/>
      <c r="V5717" s="100"/>
      <c r="Y5717" s="100"/>
    </row>
    <row r="5718">
      <c r="R5718" s="100"/>
      <c r="V5718" s="100"/>
      <c r="Y5718" s="100"/>
    </row>
    <row r="5719">
      <c r="R5719" s="100"/>
      <c r="V5719" s="100"/>
      <c r="Y5719" s="100"/>
    </row>
    <row r="5720">
      <c r="R5720" s="100"/>
      <c r="V5720" s="100"/>
      <c r="Y5720" s="100"/>
    </row>
    <row r="5721">
      <c r="R5721" s="100"/>
      <c r="V5721" s="100"/>
      <c r="Y5721" s="100"/>
    </row>
    <row r="5722">
      <c r="R5722" s="100"/>
      <c r="V5722" s="100"/>
      <c r="Y5722" s="100"/>
    </row>
    <row r="5723">
      <c r="R5723" s="100"/>
      <c r="V5723" s="100"/>
      <c r="Y5723" s="100"/>
    </row>
    <row r="5724">
      <c r="R5724" s="100"/>
      <c r="V5724" s="100"/>
      <c r="Y5724" s="100"/>
    </row>
    <row r="5725">
      <c r="R5725" s="100"/>
      <c r="V5725" s="100"/>
      <c r="Y5725" s="100"/>
    </row>
    <row r="5726">
      <c r="R5726" s="100"/>
      <c r="V5726" s="100"/>
      <c r="Y5726" s="100"/>
    </row>
    <row r="5727">
      <c r="R5727" s="100"/>
      <c r="V5727" s="100"/>
      <c r="Y5727" s="100"/>
    </row>
    <row r="5728">
      <c r="R5728" s="100"/>
      <c r="V5728" s="100"/>
      <c r="Y5728" s="100"/>
    </row>
    <row r="5729">
      <c r="R5729" s="100"/>
      <c r="V5729" s="100"/>
      <c r="Y5729" s="100"/>
    </row>
    <row r="5730">
      <c r="R5730" s="100"/>
      <c r="V5730" s="100"/>
      <c r="Y5730" s="100"/>
    </row>
    <row r="5731">
      <c r="R5731" s="100"/>
      <c r="V5731" s="100"/>
      <c r="Y5731" s="100"/>
    </row>
    <row r="5732">
      <c r="R5732" s="100"/>
      <c r="V5732" s="100"/>
      <c r="Y5732" s="100"/>
    </row>
    <row r="5733">
      <c r="R5733" s="100"/>
      <c r="V5733" s="100"/>
      <c r="Y5733" s="100"/>
    </row>
    <row r="5734">
      <c r="R5734" s="100"/>
      <c r="V5734" s="100"/>
      <c r="Y5734" s="100"/>
    </row>
    <row r="5735">
      <c r="R5735" s="100"/>
      <c r="V5735" s="100"/>
      <c r="Y5735" s="100"/>
    </row>
    <row r="5736">
      <c r="R5736" s="100"/>
      <c r="V5736" s="100"/>
      <c r="Y5736" s="100"/>
    </row>
    <row r="5737">
      <c r="R5737" s="100"/>
      <c r="V5737" s="100"/>
      <c r="Y5737" s="100"/>
    </row>
    <row r="5738">
      <c r="R5738" s="100"/>
      <c r="V5738" s="100"/>
      <c r="Y5738" s="100"/>
    </row>
    <row r="5739">
      <c r="R5739" s="100"/>
      <c r="V5739" s="100"/>
      <c r="Y5739" s="100"/>
    </row>
    <row r="5740">
      <c r="R5740" s="100"/>
      <c r="V5740" s="100"/>
      <c r="Y5740" s="100"/>
    </row>
    <row r="5741">
      <c r="R5741" s="100"/>
      <c r="V5741" s="100"/>
      <c r="Y5741" s="100"/>
    </row>
    <row r="5742">
      <c r="R5742" s="100"/>
      <c r="V5742" s="100"/>
      <c r="Y5742" s="100"/>
    </row>
    <row r="5743">
      <c r="R5743" s="100"/>
      <c r="V5743" s="100"/>
      <c r="Y5743" s="100"/>
    </row>
    <row r="5744">
      <c r="R5744" s="100"/>
      <c r="V5744" s="100"/>
      <c r="Y5744" s="100"/>
    </row>
    <row r="5745">
      <c r="R5745" s="100"/>
      <c r="V5745" s="100"/>
      <c r="Y5745" s="100"/>
    </row>
    <row r="5746">
      <c r="R5746" s="100"/>
      <c r="V5746" s="100"/>
      <c r="Y5746" s="100"/>
    </row>
    <row r="5747">
      <c r="R5747" s="100"/>
      <c r="V5747" s="100"/>
      <c r="Y5747" s="100"/>
    </row>
    <row r="5748">
      <c r="R5748" s="100"/>
      <c r="V5748" s="100"/>
      <c r="Y5748" s="100"/>
    </row>
    <row r="5749">
      <c r="R5749" s="100"/>
      <c r="V5749" s="100"/>
      <c r="Y5749" s="100"/>
    </row>
    <row r="5750">
      <c r="R5750" s="100"/>
      <c r="V5750" s="100"/>
      <c r="Y5750" s="100"/>
    </row>
    <row r="5751">
      <c r="R5751" s="100"/>
      <c r="V5751" s="100"/>
      <c r="Y5751" s="100"/>
    </row>
    <row r="5752">
      <c r="R5752" s="100"/>
      <c r="V5752" s="100"/>
      <c r="Y5752" s="100"/>
    </row>
    <row r="5753">
      <c r="R5753" s="100"/>
      <c r="V5753" s="100"/>
      <c r="Y5753" s="100"/>
    </row>
    <row r="5754">
      <c r="R5754" s="100"/>
      <c r="V5754" s="100"/>
      <c r="Y5754" s="100"/>
    </row>
    <row r="5755">
      <c r="R5755" s="100"/>
      <c r="V5755" s="100"/>
      <c r="Y5755" s="100"/>
    </row>
    <row r="5756">
      <c r="R5756" s="100"/>
      <c r="V5756" s="100"/>
      <c r="Y5756" s="100"/>
    </row>
    <row r="5757">
      <c r="R5757" s="100"/>
      <c r="V5757" s="100"/>
      <c r="Y5757" s="100"/>
    </row>
    <row r="5758">
      <c r="R5758" s="100"/>
      <c r="V5758" s="100"/>
      <c r="Y5758" s="100"/>
    </row>
    <row r="5759">
      <c r="R5759" s="100"/>
      <c r="V5759" s="100"/>
      <c r="Y5759" s="100"/>
    </row>
    <row r="5760">
      <c r="R5760" s="100"/>
      <c r="V5760" s="100"/>
      <c r="Y5760" s="100"/>
    </row>
    <row r="5761">
      <c r="R5761" s="100"/>
      <c r="V5761" s="100"/>
      <c r="Y5761" s="100"/>
    </row>
    <row r="5762">
      <c r="R5762" s="100"/>
      <c r="V5762" s="100"/>
      <c r="Y5762" s="100"/>
    </row>
    <row r="5763">
      <c r="R5763" s="100"/>
      <c r="V5763" s="100"/>
      <c r="Y5763" s="100"/>
    </row>
    <row r="5764">
      <c r="R5764" s="100"/>
      <c r="V5764" s="100"/>
      <c r="Y5764" s="100"/>
    </row>
    <row r="5765">
      <c r="R5765" s="100"/>
      <c r="V5765" s="100"/>
      <c r="Y5765" s="100"/>
    </row>
    <row r="5766">
      <c r="R5766" s="100"/>
      <c r="V5766" s="100"/>
      <c r="Y5766" s="100"/>
    </row>
    <row r="5767">
      <c r="R5767" s="100"/>
      <c r="V5767" s="100"/>
      <c r="Y5767" s="100"/>
    </row>
    <row r="5768">
      <c r="R5768" s="100"/>
      <c r="V5768" s="100"/>
      <c r="Y5768" s="100"/>
    </row>
    <row r="5769">
      <c r="R5769" s="100"/>
      <c r="V5769" s="100"/>
      <c r="Y5769" s="100"/>
    </row>
    <row r="5770">
      <c r="R5770" s="100"/>
      <c r="V5770" s="100"/>
      <c r="Y5770" s="100"/>
    </row>
    <row r="5771">
      <c r="R5771" s="100"/>
      <c r="V5771" s="100"/>
      <c r="Y5771" s="100"/>
    </row>
    <row r="5772">
      <c r="R5772" s="100"/>
      <c r="V5772" s="100"/>
      <c r="Y5772" s="100"/>
    </row>
    <row r="5773">
      <c r="R5773" s="100"/>
      <c r="V5773" s="100"/>
      <c r="Y5773" s="100"/>
    </row>
    <row r="5774">
      <c r="R5774" s="100"/>
      <c r="V5774" s="100"/>
      <c r="Y5774" s="100"/>
    </row>
    <row r="5775">
      <c r="R5775" s="100"/>
      <c r="V5775" s="100"/>
      <c r="Y5775" s="100"/>
    </row>
    <row r="5776">
      <c r="R5776" s="100"/>
      <c r="V5776" s="100"/>
      <c r="Y5776" s="100"/>
    </row>
    <row r="5777">
      <c r="R5777" s="100"/>
      <c r="V5777" s="100"/>
      <c r="Y5777" s="100"/>
    </row>
    <row r="5778">
      <c r="R5778" s="100"/>
      <c r="V5778" s="100"/>
      <c r="Y5778" s="100"/>
    </row>
    <row r="5779">
      <c r="R5779" s="100"/>
      <c r="V5779" s="100"/>
      <c r="Y5779" s="100"/>
    </row>
    <row r="5780">
      <c r="R5780" s="100"/>
      <c r="V5780" s="100"/>
      <c r="Y5780" s="100"/>
    </row>
    <row r="5781">
      <c r="R5781" s="100"/>
      <c r="V5781" s="100"/>
      <c r="Y5781" s="100"/>
    </row>
    <row r="5782">
      <c r="R5782" s="100"/>
      <c r="V5782" s="100"/>
      <c r="Y5782" s="100"/>
    </row>
    <row r="5783">
      <c r="R5783" s="100"/>
      <c r="V5783" s="100"/>
      <c r="Y5783" s="100"/>
    </row>
    <row r="5784">
      <c r="R5784" s="100"/>
      <c r="V5784" s="100"/>
      <c r="Y5784" s="100"/>
    </row>
    <row r="5785">
      <c r="R5785" s="100"/>
      <c r="V5785" s="100"/>
      <c r="Y5785" s="100"/>
    </row>
    <row r="5786">
      <c r="R5786" s="100"/>
      <c r="V5786" s="100"/>
      <c r="Y5786" s="100"/>
    </row>
    <row r="5787">
      <c r="R5787" s="100"/>
      <c r="V5787" s="100"/>
      <c r="Y5787" s="100"/>
    </row>
    <row r="5788">
      <c r="R5788" s="100"/>
      <c r="V5788" s="100"/>
      <c r="Y5788" s="100"/>
    </row>
    <row r="5789">
      <c r="R5789" s="100"/>
      <c r="V5789" s="100"/>
      <c r="Y5789" s="100"/>
    </row>
    <row r="5790">
      <c r="R5790" s="100"/>
      <c r="V5790" s="100"/>
      <c r="Y5790" s="100"/>
    </row>
    <row r="5791">
      <c r="R5791" s="100"/>
      <c r="V5791" s="100"/>
      <c r="Y5791" s="100"/>
    </row>
    <row r="5792">
      <c r="R5792" s="100"/>
      <c r="V5792" s="100"/>
      <c r="Y5792" s="100"/>
    </row>
    <row r="5793">
      <c r="R5793" s="100"/>
      <c r="V5793" s="100"/>
      <c r="Y5793" s="100"/>
    </row>
    <row r="5794">
      <c r="R5794" s="100"/>
      <c r="V5794" s="100"/>
      <c r="Y5794" s="100"/>
    </row>
    <row r="5795">
      <c r="R5795" s="100"/>
      <c r="V5795" s="100"/>
      <c r="Y5795" s="100"/>
    </row>
    <row r="5796">
      <c r="R5796" s="100"/>
      <c r="V5796" s="100"/>
      <c r="Y5796" s="100"/>
    </row>
    <row r="5797">
      <c r="R5797" s="100"/>
      <c r="V5797" s="100"/>
      <c r="Y5797" s="100"/>
    </row>
    <row r="5798">
      <c r="R5798" s="100"/>
      <c r="V5798" s="100"/>
      <c r="Y5798" s="100"/>
    </row>
    <row r="5799">
      <c r="R5799" s="100"/>
      <c r="V5799" s="100"/>
      <c r="Y5799" s="100"/>
    </row>
    <row r="5800">
      <c r="R5800" s="100"/>
      <c r="V5800" s="100"/>
      <c r="Y5800" s="100"/>
    </row>
    <row r="5801">
      <c r="R5801" s="100"/>
      <c r="V5801" s="100"/>
      <c r="Y5801" s="100"/>
    </row>
    <row r="5802">
      <c r="R5802" s="100"/>
      <c r="V5802" s="100"/>
      <c r="Y5802" s="100"/>
    </row>
    <row r="5803">
      <c r="R5803" s="100"/>
      <c r="V5803" s="100"/>
      <c r="Y5803" s="100"/>
    </row>
    <row r="5804">
      <c r="R5804" s="100"/>
      <c r="V5804" s="100"/>
      <c r="Y5804" s="100"/>
    </row>
    <row r="5805">
      <c r="R5805" s="100"/>
      <c r="V5805" s="100"/>
      <c r="Y5805" s="100"/>
    </row>
    <row r="5806">
      <c r="R5806" s="100"/>
      <c r="V5806" s="100"/>
      <c r="Y5806" s="100"/>
    </row>
    <row r="5807">
      <c r="R5807" s="100"/>
      <c r="V5807" s="100"/>
      <c r="Y5807" s="100"/>
    </row>
    <row r="5808">
      <c r="R5808" s="100"/>
      <c r="V5808" s="100"/>
      <c r="Y5808" s="100"/>
    </row>
    <row r="5809">
      <c r="R5809" s="100"/>
      <c r="V5809" s="100"/>
      <c r="Y5809" s="100"/>
    </row>
    <row r="5810">
      <c r="R5810" s="100"/>
      <c r="V5810" s="100"/>
      <c r="Y5810" s="100"/>
    </row>
    <row r="5811">
      <c r="R5811" s="100"/>
      <c r="V5811" s="100"/>
      <c r="Y5811" s="100"/>
    </row>
    <row r="5812">
      <c r="R5812" s="100"/>
      <c r="V5812" s="100"/>
      <c r="Y5812" s="100"/>
    </row>
    <row r="5813">
      <c r="R5813" s="100"/>
      <c r="V5813" s="100"/>
      <c r="Y5813" s="100"/>
    </row>
    <row r="5814">
      <c r="R5814" s="100"/>
      <c r="V5814" s="100"/>
      <c r="Y5814" s="100"/>
    </row>
    <row r="5815">
      <c r="R5815" s="100"/>
      <c r="V5815" s="100"/>
      <c r="Y5815" s="100"/>
    </row>
    <row r="5816">
      <c r="R5816" s="100"/>
      <c r="V5816" s="100"/>
      <c r="Y5816" s="100"/>
    </row>
    <row r="5817">
      <c r="R5817" s="100"/>
      <c r="V5817" s="100"/>
      <c r="Y5817" s="100"/>
    </row>
    <row r="5818">
      <c r="R5818" s="100"/>
      <c r="V5818" s="100"/>
      <c r="Y5818" s="100"/>
    </row>
    <row r="5819">
      <c r="R5819" s="100"/>
      <c r="V5819" s="100"/>
      <c r="Y5819" s="100"/>
    </row>
    <row r="5820">
      <c r="R5820" s="100"/>
      <c r="V5820" s="100"/>
      <c r="Y5820" s="100"/>
    </row>
    <row r="5821">
      <c r="R5821" s="100"/>
      <c r="V5821" s="100"/>
      <c r="Y5821" s="100"/>
    </row>
    <row r="5822">
      <c r="R5822" s="100"/>
      <c r="V5822" s="100"/>
      <c r="Y5822" s="100"/>
    </row>
    <row r="5823">
      <c r="R5823" s="100"/>
      <c r="V5823" s="100"/>
      <c r="Y5823" s="100"/>
    </row>
    <row r="5824">
      <c r="R5824" s="100"/>
      <c r="V5824" s="100"/>
      <c r="Y5824" s="100"/>
    </row>
    <row r="5825">
      <c r="R5825" s="100"/>
      <c r="V5825" s="100"/>
      <c r="Y5825" s="100"/>
    </row>
    <row r="5826">
      <c r="R5826" s="100"/>
      <c r="V5826" s="100"/>
      <c r="Y5826" s="100"/>
    </row>
    <row r="5827">
      <c r="R5827" s="100"/>
      <c r="V5827" s="100"/>
      <c r="Y5827" s="100"/>
    </row>
    <row r="5828">
      <c r="R5828" s="100"/>
      <c r="V5828" s="100"/>
      <c r="Y5828" s="100"/>
    </row>
    <row r="5829">
      <c r="R5829" s="100"/>
      <c r="V5829" s="100"/>
      <c r="Y5829" s="100"/>
    </row>
    <row r="5830">
      <c r="R5830" s="100"/>
      <c r="V5830" s="100"/>
      <c r="Y5830" s="100"/>
    </row>
    <row r="5831">
      <c r="R5831" s="100"/>
      <c r="V5831" s="100"/>
      <c r="Y5831" s="100"/>
    </row>
    <row r="5832">
      <c r="R5832" s="100"/>
      <c r="V5832" s="100"/>
      <c r="Y5832" s="100"/>
    </row>
    <row r="5833">
      <c r="R5833" s="100"/>
      <c r="V5833" s="100"/>
      <c r="Y5833" s="100"/>
    </row>
    <row r="5834">
      <c r="R5834" s="100"/>
      <c r="V5834" s="100"/>
      <c r="Y5834" s="100"/>
    </row>
    <row r="5835">
      <c r="R5835" s="100"/>
      <c r="V5835" s="100"/>
      <c r="Y5835" s="100"/>
    </row>
    <row r="5836">
      <c r="R5836" s="100"/>
      <c r="V5836" s="100"/>
      <c r="Y5836" s="100"/>
    </row>
    <row r="5837">
      <c r="R5837" s="100"/>
      <c r="V5837" s="100"/>
      <c r="Y5837" s="100"/>
    </row>
    <row r="5838">
      <c r="R5838" s="100"/>
      <c r="V5838" s="100"/>
      <c r="Y5838" s="100"/>
    </row>
    <row r="5839">
      <c r="R5839" s="100"/>
      <c r="V5839" s="100"/>
      <c r="Y5839" s="100"/>
    </row>
    <row r="5840">
      <c r="R5840" s="100"/>
      <c r="V5840" s="100"/>
      <c r="Y5840" s="100"/>
    </row>
    <row r="5841">
      <c r="R5841" s="100"/>
      <c r="V5841" s="100"/>
      <c r="Y5841" s="100"/>
    </row>
    <row r="5842">
      <c r="R5842" s="100"/>
      <c r="V5842" s="100"/>
      <c r="Y5842" s="100"/>
    </row>
    <row r="5843">
      <c r="R5843" s="100"/>
      <c r="V5843" s="100"/>
      <c r="Y5843" s="100"/>
    </row>
    <row r="5844">
      <c r="R5844" s="100"/>
      <c r="V5844" s="100"/>
      <c r="Y5844" s="100"/>
    </row>
    <row r="5845">
      <c r="R5845" s="100"/>
      <c r="V5845" s="100"/>
      <c r="Y5845" s="100"/>
    </row>
    <row r="5846">
      <c r="R5846" s="100"/>
      <c r="V5846" s="100"/>
      <c r="Y5846" s="100"/>
    </row>
    <row r="5847">
      <c r="R5847" s="100"/>
      <c r="V5847" s="100"/>
      <c r="Y5847" s="100"/>
    </row>
    <row r="5848">
      <c r="R5848" s="100"/>
      <c r="V5848" s="100"/>
      <c r="Y5848" s="100"/>
    </row>
    <row r="5849">
      <c r="R5849" s="100"/>
      <c r="V5849" s="100"/>
      <c r="Y5849" s="100"/>
    </row>
    <row r="5850">
      <c r="R5850" s="100"/>
      <c r="V5850" s="100"/>
      <c r="Y5850" s="100"/>
    </row>
    <row r="5851">
      <c r="R5851" s="100"/>
      <c r="V5851" s="100"/>
      <c r="Y5851" s="100"/>
    </row>
    <row r="5852">
      <c r="R5852" s="100"/>
      <c r="V5852" s="100"/>
      <c r="Y5852" s="100"/>
    </row>
    <row r="5853">
      <c r="R5853" s="100"/>
      <c r="V5853" s="100"/>
      <c r="Y5853" s="100"/>
    </row>
    <row r="5854">
      <c r="R5854" s="100"/>
      <c r="V5854" s="100"/>
      <c r="Y5854" s="100"/>
    </row>
    <row r="5855">
      <c r="R5855" s="100"/>
      <c r="V5855" s="100"/>
      <c r="Y5855" s="100"/>
    </row>
    <row r="5856">
      <c r="R5856" s="100"/>
      <c r="V5856" s="100"/>
      <c r="Y5856" s="100"/>
    </row>
    <row r="5857">
      <c r="R5857" s="100"/>
      <c r="V5857" s="100"/>
      <c r="Y5857" s="100"/>
    </row>
    <row r="5858">
      <c r="R5858" s="100"/>
      <c r="V5858" s="100"/>
      <c r="Y5858" s="100"/>
    </row>
    <row r="5859">
      <c r="R5859" s="100"/>
      <c r="V5859" s="100"/>
      <c r="Y5859" s="100"/>
    </row>
    <row r="5860">
      <c r="R5860" s="100"/>
      <c r="V5860" s="100"/>
      <c r="Y5860" s="100"/>
    </row>
    <row r="5861">
      <c r="R5861" s="100"/>
      <c r="V5861" s="100"/>
      <c r="Y5861" s="100"/>
    </row>
    <row r="5862">
      <c r="R5862" s="100"/>
      <c r="V5862" s="100"/>
      <c r="Y5862" s="100"/>
    </row>
    <row r="5863">
      <c r="R5863" s="100"/>
      <c r="V5863" s="100"/>
      <c r="Y5863" s="100"/>
    </row>
    <row r="5864">
      <c r="R5864" s="100"/>
      <c r="V5864" s="100"/>
      <c r="Y5864" s="100"/>
    </row>
    <row r="5865">
      <c r="R5865" s="100"/>
      <c r="V5865" s="100"/>
      <c r="Y5865" s="100"/>
    </row>
    <row r="5866">
      <c r="R5866" s="100"/>
      <c r="V5866" s="100"/>
      <c r="Y5866" s="100"/>
    </row>
    <row r="5867">
      <c r="R5867" s="100"/>
      <c r="V5867" s="100"/>
      <c r="Y5867" s="100"/>
    </row>
    <row r="5868">
      <c r="R5868" s="100"/>
      <c r="V5868" s="100"/>
      <c r="Y5868" s="100"/>
    </row>
    <row r="5869">
      <c r="R5869" s="100"/>
      <c r="V5869" s="100"/>
      <c r="Y5869" s="100"/>
    </row>
    <row r="5870">
      <c r="R5870" s="100"/>
      <c r="V5870" s="100"/>
      <c r="Y5870" s="100"/>
    </row>
    <row r="5871">
      <c r="R5871" s="100"/>
      <c r="V5871" s="100"/>
      <c r="Y5871" s="100"/>
    </row>
    <row r="5872">
      <c r="R5872" s="100"/>
      <c r="V5872" s="100"/>
      <c r="Y5872" s="100"/>
    </row>
    <row r="5873">
      <c r="R5873" s="100"/>
      <c r="V5873" s="100"/>
      <c r="Y5873" s="100"/>
    </row>
    <row r="5874">
      <c r="R5874" s="100"/>
      <c r="V5874" s="100"/>
      <c r="Y5874" s="100"/>
    </row>
    <row r="5875">
      <c r="R5875" s="100"/>
      <c r="V5875" s="100"/>
      <c r="Y5875" s="100"/>
    </row>
    <row r="5876">
      <c r="R5876" s="100"/>
      <c r="V5876" s="100"/>
      <c r="Y5876" s="100"/>
    </row>
    <row r="5877">
      <c r="R5877" s="100"/>
      <c r="V5877" s="100"/>
      <c r="Y5877" s="100"/>
    </row>
    <row r="5878">
      <c r="R5878" s="100"/>
      <c r="V5878" s="100"/>
      <c r="Y5878" s="100"/>
    </row>
    <row r="5879">
      <c r="R5879" s="100"/>
      <c r="V5879" s="100"/>
      <c r="Y5879" s="100"/>
    </row>
    <row r="5880">
      <c r="R5880" s="100"/>
      <c r="V5880" s="100"/>
      <c r="Y5880" s="100"/>
    </row>
    <row r="5881">
      <c r="R5881" s="100"/>
      <c r="V5881" s="100"/>
      <c r="Y5881" s="100"/>
    </row>
    <row r="5882">
      <c r="R5882" s="100"/>
      <c r="V5882" s="100"/>
      <c r="Y5882" s="100"/>
    </row>
    <row r="5883">
      <c r="R5883" s="100"/>
      <c r="V5883" s="100"/>
      <c r="Y5883" s="100"/>
    </row>
    <row r="5884">
      <c r="R5884" s="100"/>
      <c r="V5884" s="100"/>
      <c r="Y5884" s="100"/>
    </row>
    <row r="5885">
      <c r="R5885" s="100"/>
      <c r="V5885" s="100"/>
      <c r="Y5885" s="100"/>
    </row>
    <row r="5886">
      <c r="R5886" s="100"/>
      <c r="V5886" s="100"/>
      <c r="Y5886" s="100"/>
    </row>
    <row r="5887">
      <c r="R5887" s="100"/>
      <c r="V5887" s="100"/>
      <c r="Y5887" s="100"/>
    </row>
    <row r="5888">
      <c r="R5888" s="100"/>
      <c r="V5888" s="100"/>
      <c r="Y5888" s="100"/>
    </row>
    <row r="5889">
      <c r="R5889" s="100"/>
      <c r="V5889" s="100"/>
      <c r="Y5889" s="100"/>
    </row>
    <row r="5890">
      <c r="R5890" s="100"/>
      <c r="V5890" s="100"/>
      <c r="Y5890" s="100"/>
    </row>
    <row r="5891">
      <c r="R5891" s="100"/>
      <c r="V5891" s="100"/>
      <c r="Y5891" s="100"/>
    </row>
    <row r="5892">
      <c r="R5892" s="100"/>
      <c r="V5892" s="100"/>
      <c r="Y5892" s="100"/>
    </row>
    <row r="5893">
      <c r="R5893" s="100"/>
      <c r="V5893" s="100"/>
      <c r="Y5893" s="100"/>
    </row>
    <row r="5894">
      <c r="R5894" s="100"/>
      <c r="V5894" s="100"/>
      <c r="Y5894" s="100"/>
    </row>
    <row r="5895">
      <c r="R5895" s="100"/>
      <c r="V5895" s="100"/>
      <c r="Y5895" s="100"/>
    </row>
    <row r="5896">
      <c r="R5896" s="100"/>
      <c r="V5896" s="100"/>
      <c r="Y5896" s="100"/>
    </row>
    <row r="5897">
      <c r="R5897" s="100"/>
      <c r="V5897" s="100"/>
      <c r="Y5897" s="100"/>
    </row>
    <row r="5898">
      <c r="R5898" s="100"/>
      <c r="V5898" s="100"/>
      <c r="Y5898" s="100"/>
    </row>
    <row r="5899">
      <c r="R5899" s="100"/>
      <c r="V5899" s="100"/>
      <c r="Y5899" s="100"/>
    </row>
    <row r="5900">
      <c r="R5900" s="100"/>
      <c r="V5900" s="100"/>
      <c r="Y5900" s="100"/>
    </row>
    <row r="5901">
      <c r="R5901" s="100"/>
      <c r="V5901" s="100"/>
      <c r="Y5901" s="100"/>
    </row>
    <row r="5902">
      <c r="R5902" s="100"/>
      <c r="V5902" s="100"/>
      <c r="Y5902" s="100"/>
    </row>
    <row r="5903">
      <c r="R5903" s="100"/>
      <c r="V5903" s="100"/>
      <c r="Y5903" s="100"/>
    </row>
    <row r="5904">
      <c r="R5904" s="100"/>
      <c r="V5904" s="100"/>
      <c r="Y5904" s="100"/>
    </row>
    <row r="5905">
      <c r="R5905" s="100"/>
      <c r="V5905" s="100"/>
      <c r="Y5905" s="100"/>
    </row>
    <row r="5906">
      <c r="R5906" s="100"/>
      <c r="V5906" s="100"/>
      <c r="Y5906" s="100"/>
    </row>
    <row r="5907">
      <c r="R5907" s="100"/>
      <c r="V5907" s="100"/>
      <c r="Y5907" s="100"/>
    </row>
    <row r="5908">
      <c r="R5908" s="100"/>
      <c r="V5908" s="100"/>
      <c r="Y5908" s="100"/>
    </row>
    <row r="5909">
      <c r="R5909" s="100"/>
      <c r="V5909" s="100"/>
      <c r="Y5909" s="100"/>
    </row>
    <row r="5910">
      <c r="R5910" s="100"/>
      <c r="V5910" s="100"/>
      <c r="Y5910" s="100"/>
    </row>
    <row r="5911">
      <c r="R5911" s="100"/>
      <c r="V5911" s="100"/>
      <c r="Y5911" s="100"/>
    </row>
    <row r="5912">
      <c r="R5912" s="100"/>
      <c r="V5912" s="100"/>
      <c r="Y5912" s="100"/>
    </row>
    <row r="5913">
      <c r="R5913" s="100"/>
      <c r="V5913" s="100"/>
      <c r="Y5913" s="100"/>
    </row>
    <row r="5914">
      <c r="R5914" s="100"/>
      <c r="V5914" s="100"/>
      <c r="Y5914" s="100"/>
    </row>
    <row r="5915">
      <c r="R5915" s="100"/>
      <c r="V5915" s="100"/>
      <c r="Y5915" s="100"/>
    </row>
    <row r="5916">
      <c r="R5916" s="100"/>
      <c r="V5916" s="100"/>
      <c r="Y5916" s="100"/>
    </row>
    <row r="5917">
      <c r="R5917" s="100"/>
      <c r="V5917" s="100"/>
      <c r="Y5917" s="100"/>
    </row>
    <row r="5918">
      <c r="R5918" s="100"/>
      <c r="V5918" s="100"/>
      <c r="Y5918" s="100"/>
    </row>
    <row r="5919">
      <c r="R5919" s="100"/>
      <c r="V5919" s="100"/>
      <c r="Y5919" s="100"/>
    </row>
    <row r="5920">
      <c r="R5920" s="100"/>
      <c r="V5920" s="100"/>
      <c r="Y5920" s="100"/>
    </row>
    <row r="5921">
      <c r="R5921" s="100"/>
      <c r="V5921" s="100"/>
      <c r="Y5921" s="100"/>
    </row>
    <row r="5922">
      <c r="R5922" s="100"/>
      <c r="V5922" s="100"/>
      <c r="Y5922" s="100"/>
    </row>
    <row r="5923">
      <c r="R5923" s="100"/>
      <c r="V5923" s="100"/>
      <c r="Y5923" s="100"/>
    </row>
    <row r="5924">
      <c r="R5924" s="100"/>
      <c r="V5924" s="100"/>
      <c r="Y5924" s="100"/>
    </row>
    <row r="5925">
      <c r="R5925" s="100"/>
      <c r="V5925" s="100"/>
      <c r="Y5925" s="100"/>
    </row>
    <row r="5926">
      <c r="R5926" s="100"/>
      <c r="V5926" s="100"/>
      <c r="Y5926" s="100"/>
    </row>
    <row r="5927">
      <c r="R5927" s="100"/>
      <c r="V5927" s="100"/>
      <c r="Y5927" s="100"/>
    </row>
    <row r="5928">
      <c r="R5928" s="100"/>
      <c r="V5928" s="100"/>
      <c r="Y5928" s="100"/>
    </row>
    <row r="5929">
      <c r="R5929" s="100"/>
      <c r="V5929" s="100"/>
      <c r="Y5929" s="100"/>
    </row>
    <row r="5930">
      <c r="R5930" s="100"/>
      <c r="V5930" s="100"/>
      <c r="Y5930" s="100"/>
    </row>
    <row r="5931">
      <c r="R5931" s="100"/>
      <c r="V5931" s="100"/>
      <c r="Y5931" s="100"/>
    </row>
    <row r="5932">
      <c r="R5932" s="100"/>
      <c r="V5932" s="100"/>
      <c r="Y5932" s="100"/>
    </row>
    <row r="5933">
      <c r="R5933" s="100"/>
      <c r="V5933" s="100"/>
      <c r="Y5933" s="100"/>
    </row>
    <row r="5934">
      <c r="R5934" s="100"/>
      <c r="V5934" s="100"/>
      <c r="Y5934" s="100"/>
    </row>
    <row r="5935">
      <c r="R5935" s="100"/>
      <c r="V5935" s="100"/>
      <c r="Y5935" s="100"/>
    </row>
    <row r="5936">
      <c r="R5936" s="100"/>
      <c r="V5936" s="100"/>
      <c r="Y5936" s="100"/>
    </row>
    <row r="5937">
      <c r="R5937" s="100"/>
      <c r="V5937" s="100"/>
      <c r="Y5937" s="100"/>
    </row>
    <row r="5938">
      <c r="R5938" s="100"/>
      <c r="V5938" s="100"/>
      <c r="Y5938" s="100"/>
    </row>
    <row r="5939">
      <c r="R5939" s="100"/>
      <c r="V5939" s="100"/>
      <c r="Y5939" s="100"/>
    </row>
    <row r="5940">
      <c r="R5940" s="100"/>
      <c r="V5940" s="100"/>
      <c r="Y5940" s="100"/>
    </row>
    <row r="5941">
      <c r="R5941" s="100"/>
      <c r="V5941" s="100"/>
      <c r="Y5941" s="100"/>
    </row>
    <row r="5942">
      <c r="R5942" s="100"/>
      <c r="V5942" s="100"/>
      <c r="Y5942" s="100"/>
    </row>
    <row r="5943">
      <c r="R5943" s="100"/>
      <c r="V5943" s="100"/>
      <c r="Y5943" s="100"/>
    </row>
    <row r="5944">
      <c r="R5944" s="100"/>
      <c r="V5944" s="100"/>
      <c r="Y5944" s="100"/>
    </row>
    <row r="5945">
      <c r="R5945" s="100"/>
      <c r="V5945" s="100"/>
      <c r="Y5945" s="100"/>
    </row>
    <row r="5946">
      <c r="R5946" s="100"/>
      <c r="V5946" s="100"/>
      <c r="Y5946" s="100"/>
    </row>
    <row r="5947">
      <c r="R5947" s="100"/>
      <c r="V5947" s="100"/>
      <c r="Y5947" s="100"/>
    </row>
    <row r="5948">
      <c r="R5948" s="100"/>
      <c r="V5948" s="100"/>
      <c r="Y5948" s="100"/>
    </row>
    <row r="5949">
      <c r="R5949" s="100"/>
      <c r="V5949" s="100"/>
      <c r="Y5949" s="100"/>
    </row>
    <row r="5950">
      <c r="R5950" s="100"/>
      <c r="V5950" s="100"/>
      <c r="Y5950" s="100"/>
    </row>
    <row r="5951">
      <c r="R5951" s="100"/>
      <c r="V5951" s="100"/>
      <c r="Y5951" s="100"/>
    </row>
    <row r="5952">
      <c r="R5952" s="100"/>
      <c r="V5952" s="100"/>
      <c r="Y5952" s="100"/>
    </row>
    <row r="5953">
      <c r="R5953" s="100"/>
      <c r="V5953" s="100"/>
      <c r="Y5953" s="100"/>
    </row>
    <row r="5954">
      <c r="R5954" s="100"/>
      <c r="V5954" s="100"/>
      <c r="Y5954" s="100"/>
    </row>
    <row r="5955">
      <c r="R5955" s="100"/>
      <c r="V5955" s="100"/>
      <c r="Y5955" s="100"/>
    </row>
    <row r="5956">
      <c r="R5956" s="100"/>
      <c r="V5956" s="100"/>
      <c r="Y5956" s="100"/>
    </row>
    <row r="5957">
      <c r="R5957" s="100"/>
      <c r="V5957" s="100"/>
      <c r="Y5957" s="100"/>
    </row>
    <row r="5958">
      <c r="R5958" s="100"/>
      <c r="V5958" s="100"/>
      <c r="Y5958" s="100"/>
    </row>
    <row r="5959">
      <c r="R5959" s="100"/>
      <c r="V5959" s="100"/>
      <c r="Y5959" s="100"/>
    </row>
    <row r="5960">
      <c r="R5960" s="100"/>
      <c r="V5960" s="100"/>
      <c r="Y5960" s="100"/>
    </row>
    <row r="5961">
      <c r="R5961" s="100"/>
      <c r="V5961" s="100"/>
      <c r="Y5961" s="100"/>
    </row>
    <row r="5962">
      <c r="R5962" s="100"/>
      <c r="V5962" s="100"/>
      <c r="Y5962" s="100"/>
    </row>
    <row r="5963">
      <c r="R5963" s="100"/>
      <c r="V5963" s="100"/>
      <c r="Y5963" s="100"/>
    </row>
    <row r="5964">
      <c r="R5964" s="100"/>
      <c r="V5964" s="100"/>
      <c r="Y5964" s="100"/>
    </row>
    <row r="5965">
      <c r="R5965" s="100"/>
      <c r="V5965" s="100"/>
      <c r="Y5965" s="100"/>
    </row>
    <row r="5966">
      <c r="R5966" s="100"/>
      <c r="V5966" s="100"/>
      <c r="Y5966" s="100"/>
    </row>
    <row r="5967">
      <c r="R5967" s="100"/>
      <c r="V5967" s="100"/>
      <c r="Y5967" s="100"/>
    </row>
    <row r="5968">
      <c r="R5968" s="100"/>
      <c r="V5968" s="100"/>
      <c r="Y5968" s="100"/>
    </row>
    <row r="5969">
      <c r="R5969" s="100"/>
      <c r="V5969" s="100"/>
      <c r="Y5969" s="100"/>
    </row>
    <row r="5970">
      <c r="R5970" s="100"/>
      <c r="V5970" s="100"/>
      <c r="Y5970" s="100"/>
    </row>
    <row r="5971">
      <c r="R5971" s="100"/>
      <c r="V5971" s="100"/>
      <c r="Y5971" s="100"/>
    </row>
    <row r="5972">
      <c r="R5972" s="100"/>
      <c r="V5972" s="100"/>
      <c r="Y5972" s="100"/>
    </row>
    <row r="5973">
      <c r="R5973" s="100"/>
      <c r="V5973" s="100"/>
      <c r="Y5973" s="100"/>
    </row>
    <row r="5974">
      <c r="R5974" s="100"/>
      <c r="V5974" s="100"/>
      <c r="Y5974" s="100"/>
    </row>
    <row r="5975">
      <c r="R5975" s="100"/>
      <c r="V5975" s="100"/>
      <c r="Y5975" s="100"/>
    </row>
    <row r="5976">
      <c r="R5976" s="100"/>
      <c r="V5976" s="100"/>
      <c r="Y5976" s="100"/>
    </row>
    <row r="5977">
      <c r="R5977" s="100"/>
      <c r="V5977" s="100"/>
      <c r="Y5977" s="100"/>
    </row>
    <row r="5978">
      <c r="R5978" s="100"/>
      <c r="V5978" s="100"/>
      <c r="Y5978" s="100"/>
    </row>
    <row r="5979">
      <c r="R5979" s="100"/>
      <c r="V5979" s="100"/>
      <c r="Y5979" s="100"/>
    </row>
    <row r="5980">
      <c r="R5980" s="100"/>
      <c r="V5980" s="100"/>
      <c r="Y5980" s="100"/>
    </row>
    <row r="5981">
      <c r="R5981" s="100"/>
      <c r="V5981" s="100"/>
      <c r="Y5981" s="100"/>
    </row>
    <row r="5982">
      <c r="R5982" s="100"/>
      <c r="V5982" s="100"/>
      <c r="Y5982" s="100"/>
    </row>
    <row r="5983">
      <c r="R5983" s="100"/>
      <c r="V5983" s="100"/>
      <c r="Y5983" s="100"/>
    </row>
    <row r="5984">
      <c r="R5984" s="100"/>
      <c r="V5984" s="100"/>
      <c r="Y5984" s="100"/>
    </row>
    <row r="5985">
      <c r="R5985" s="100"/>
      <c r="V5985" s="100"/>
      <c r="Y5985" s="100"/>
    </row>
    <row r="5986">
      <c r="R5986" s="100"/>
      <c r="V5986" s="100"/>
      <c r="Y5986" s="100"/>
    </row>
    <row r="5987">
      <c r="R5987" s="100"/>
      <c r="V5987" s="100"/>
      <c r="Y5987" s="100"/>
    </row>
    <row r="5988">
      <c r="R5988" s="100"/>
      <c r="V5988" s="100"/>
      <c r="Y5988" s="100"/>
    </row>
    <row r="5989">
      <c r="R5989" s="100"/>
      <c r="V5989" s="100"/>
      <c r="Y5989" s="100"/>
    </row>
    <row r="5990">
      <c r="R5990" s="100"/>
      <c r="V5990" s="100"/>
      <c r="Y5990" s="100"/>
    </row>
    <row r="5991">
      <c r="R5991" s="100"/>
      <c r="V5991" s="100"/>
      <c r="Y5991" s="100"/>
    </row>
    <row r="5992">
      <c r="R5992" s="100"/>
      <c r="V5992" s="100"/>
      <c r="Y5992" s="100"/>
    </row>
    <row r="5993">
      <c r="R5993" s="100"/>
      <c r="V5993" s="100"/>
      <c r="Y5993" s="100"/>
    </row>
    <row r="5994">
      <c r="R5994" s="100"/>
      <c r="V5994" s="100"/>
      <c r="Y5994" s="100"/>
    </row>
    <row r="5995">
      <c r="R5995" s="100"/>
      <c r="V5995" s="100"/>
      <c r="Y5995" s="100"/>
    </row>
    <row r="5996">
      <c r="R5996" s="100"/>
      <c r="V5996" s="100"/>
      <c r="Y5996" s="100"/>
    </row>
    <row r="5997">
      <c r="R5997" s="100"/>
      <c r="V5997" s="100"/>
      <c r="Y5997" s="100"/>
    </row>
    <row r="5998">
      <c r="R5998" s="100"/>
      <c r="V5998" s="100"/>
      <c r="Y5998" s="100"/>
    </row>
    <row r="5999">
      <c r="R5999" s="100"/>
      <c r="V5999" s="100"/>
      <c r="Y5999" s="100"/>
    </row>
    <row r="6000">
      <c r="R6000" s="100"/>
      <c r="V6000" s="100"/>
      <c r="Y6000" s="100"/>
    </row>
    <row r="6001">
      <c r="R6001" s="100"/>
      <c r="V6001" s="100"/>
      <c r="Y6001" s="100"/>
    </row>
    <row r="6002">
      <c r="R6002" s="100"/>
      <c r="V6002" s="100"/>
      <c r="Y6002" s="100"/>
    </row>
    <row r="6003">
      <c r="R6003" s="100"/>
      <c r="V6003" s="100"/>
      <c r="Y6003" s="100"/>
    </row>
    <row r="6004">
      <c r="R6004" s="100"/>
      <c r="V6004" s="100"/>
      <c r="Y6004" s="100"/>
    </row>
    <row r="6005">
      <c r="R6005" s="100"/>
      <c r="V6005" s="100"/>
      <c r="Y6005" s="100"/>
    </row>
    <row r="6006">
      <c r="R6006" s="100"/>
      <c r="V6006" s="100"/>
      <c r="Y6006" s="100"/>
    </row>
    <row r="6007">
      <c r="R6007" s="100"/>
      <c r="V6007" s="100"/>
      <c r="Y6007" s="100"/>
    </row>
    <row r="6008">
      <c r="R6008" s="100"/>
      <c r="V6008" s="100"/>
      <c r="Y6008" s="100"/>
    </row>
    <row r="6009">
      <c r="R6009" s="100"/>
      <c r="V6009" s="100"/>
      <c r="Y6009" s="100"/>
    </row>
    <row r="6010">
      <c r="R6010" s="100"/>
      <c r="V6010" s="100"/>
      <c r="Y6010" s="100"/>
    </row>
    <row r="6011">
      <c r="R6011" s="100"/>
      <c r="V6011" s="100"/>
      <c r="Y6011" s="100"/>
    </row>
    <row r="6012">
      <c r="R6012" s="100"/>
      <c r="V6012" s="100"/>
      <c r="Y6012" s="100"/>
    </row>
    <row r="6013">
      <c r="R6013" s="100"/>
      <c r="V6013" s="100"/>
      <c r="Y6013" s="100"/>
    </row>
    <row r="6014">
      <c r="R6014" s="100"/>
      <c r="V6014" s="100"/>
      <c r="Y6014" s="100"/>
    </row>
    <row r="6015">
      <c r="R6015" s="100"/>
      <c r="V6015" s="100"/>
      <c r="Y6015" s="100"/>
    </row>
    <row r="6016">
      <c r="R6016" s="100"/>
      <c r="V6016" s="100"/>
      <c r="Y6016" s="100"/>
    </row>
    <row r="6017">
      <c r="R6017" s="100"/>
      <c r="V6017" s="100"/>
      <c r="Y6017" s="100"/>
    </row>
    <row r="6018">
      <c r="R6018" s="100"/>
      <c r="V6018" s="100"/>
      <c r="Y6018" s="100"/>
    </row>
    <row r="6019">
      <c r="R6019" s="100"/>
      <c r="V6019" s="100"/>
      <c r="Y6019" s="100"/>
    </row>
    <row r="6020">
      <c r="R6020" s="100"/>
      <c r="V6020" s="100"/>
      <c r="Y6020" s="100"/>
    </row>
    <row r="6021">
      <c r="R6021" s="100"/>
      <c r="V6021" s="100"/>
      <c r="Y6021" s="100"/>
    </row>
    <row r="6022">
      <c r="R6022" s="100"/>
      <c r="V6022" s="100"/>
      <c r="Y6022" s="100"/>
    </row>
    <row r="6023">
      <c r="R6023" s="100"/>
      <c r="V6023" s="100"/>
      <c r="Y6023" s="100"/>
    </row>
    <row r="6024">
      <c r="R6024" s="100"/>
      <c r="V6024" s="100"/>
      <c r="Y6024" s="100"/>
    </row>
    <row r="6025">
      <c r="R6025" s="100"/>
      <c r="V6025" s="100"/>
      <c r="Y6025" s="100"/>
    </row>
    <row r="6026">
      <c r="R6026" s="100"/>
      <c r="V6026" s="100"/>
      <c r="Y6026" s="100"/>
    </row>
    <row r="6027">
      <c r="R6027" s="100"/>
      <c r="V6027" s="100"/>
      <c r="Y6027" s="100"/>
    </row>
    <row r="6028">
      <c r="R6028" s="100"/>
      <c r="V6028" s="100"/>
      <c r="Y6028" s="100"/>
    </row>
    <row r="6029">
      <c r="R6029" s="100"/>
      <c r="V6029" s="100"/>
      <c r="Y6029" s="100"/>
    </row>
    <row r="6030">
      <c r="R6030" s="100"/>
      <c r="V6030" s="100"/>
      <c r="Y6030" s="100"/>
    </row>
    <row r="6031">
      <c r="R6031" s="100"/>
      <c r="V6031" s="100"/>
      <c r="Y6031" s="100"/>
    </row>
    <row r="6032">
      <c r="R6032" s="100"/>
      <c r="V6032" s="100"/>
      <c r="Y6032" s="100"/>
    </row>
    <row r="6033">
      <c r="R6033" s="100"/>
      <c r="V6033" s="100"/>
      <c r="Y6033" s="100"/>
    </row>
    <row r="6034">
      <c r="R6034" s="100"/>
      <c r="V6034" s="100"/>
      <c r="Y6034" s="100"/>
    </row>
    <row r="6035">
      <c r="R6035" s="100"/>
      <c r="V6035" s="100"/>
      <c r="Y6035" s="100"/>
    </row>
    <row r="6036">
      <c r="R6036" s="100"/>
      <c r="V6036" s="100"/>
      <c r="Y6036" s="100"/>
    </row>
    <row r="6037">
      <c r="R6037" s="100"/>
      <c r="V6037" s="100"/>
      <c r="Y6037" s="100"/>
    </row>
    <row r="6038">
      <c r="R6038" s="100"/>
      <c r="V6038" s="100"/>
      <c r="Y6038" s="100"/>
    </row>
    <row r="6039">
      <c r="R6039" s="100"/>
      <c r="V6039" s="100"/>
      <c r="Y6039" s="100"/>
    </row>
    <row r="6040">
      <c r="R6040" s="100"/>
      <c r="V6040" s="100"/>
      <c r="Y6040" s="100"/>
    </row>
    <row r="6041">
      <c r="R6041" s="100"/>
      <c r="V6041" s="100"/>
      <c r="Y6041" s="100"/>
    </row>
    <row r="6042">
      <c r="R6042" s="100"/>
      <c r="V6042" s="100"/>
      <c r="Y6042" s="100"/>
    </row>
    <row r="6043">
      <c r="R6043" s="100"/>
      <c r="V6043" s="100"/>
      <c r="Y6043" s="100"/>
    </row>
    <row r="6044">
      <c r="R6044" s="100"/>
      <c r="V6044" s="100"/>
      <c r="Y6044" s="100"/>
    </row>
    <row r="6045">
      <c r="R6045" s="100"/>
      <c r="V6045" s="100"/>
      <c r="Y6045" s="100"/>
    </row>
    <row r="6046">
      <c r="R6046" s="100"/>
      <c r="V6046" s="100"/>
      <c r="Y6046" s="100"/>
    </row>
    <row r="6047">
      <c r="R6047" s="100"/>
      <c r="V6047" s="100"/>
      <c r="Y6047" s="100"/>
    </row>
    <row r="6048">
      <c r="R6048" s="100"/>
      <c r="V6048" s="100"/>
      <c r="Y6048" s="100"/>
    </row>
    <row r="6049">
      <c r="R6049" s="100"/>
      <c r="V6049" s="100"/>
      <c r="Y6049" s="100"/>
    </row>
    <row r="6050">
      <c r="R6050" s="100"/>
      <c r="V6050" s="100"/>
      <c r="Y6050" s="100"/>
    </row>
    <row r="6051">
      <c r="R6051" s="100"/>
      <c r="V6051" s="100"/>
      <c r="Y6051" s="100"/>
    </row>
    <row r="6052">
      <c r="R6052" s="100"/>
      <c r="V6052" s="100"/>
      <c r="Y6052" s="100"/>
    </row>
    <row r="6053">
      <c r="R6053" s="100"/>
      <c r="V6053" s="100"/>
      <c r="Y6053" s="100"/>
    </row>
    <row r="6054">
      <c r="R6054" s="100"/>
      <c r="V6054" s="100"/>
      <c r="Y6054" s="100"/>
    </row>
    <row r="6055">
      <c r="R6055" s="100"/>
      <c r="V6055" s="100"/>
      <c r="Y6055" s="100"/>
    </row>
    <row r="6056">
      <c r="R6056" s="100"/>
      <c r="V6056" s="100"/>
      <c r="Y6056" s="100"/>
    </row>
    <row r="6057">
      <c r="R6057" s="100"/>
      <c r="V6057" s="100"/>
      <c r="Y6057" s="100"/>
    </row>
    <row r="6058">
      <c r="R6058" s="100"/>
      <c r="V6058" s="100"/>
      <c r="Y6058" s="100"/>
    </row>
    <row r="6059">
      <c r="R6059" s="100"/>
      <c r="V6059" s="100"/>
      <c r="Y6059" s="100"/>
    </row>
    <row r="6060">
      <c r="R6060" s="100"/>
      <c r="V6060" s="100"/>
      <c r="Y6060" s="100"/>
    </row>
    <row r="6061">
      <c r="R6061" s="100"/>
      <c r="V6061" s="100"/>
      <c r="Y6061" s="100"/>
    </row>
    <row r="6062">
      <c r="R6062" s="100"/>
      <c r="V6062" s="100"/>
      <c r="Y6062" s="100"/>
    </row>
    <row r="6063">
      <c r="R6063" s="100"/>
      <c r="V6063" s="100"/>
      <c r="Y6063" s="100"/>
    </row>
    <row r="6064">
      <c r="R6064" s="100"/>
      <c r="V6064" s="100"/>
      <c r="Y6064" s="100"/>
    </row>
    <row r="6065">
      <c r="R6065" s="100"/>
      <c r="V6065" s="100"/>
      <c r="Y6065" s="100"/>
    </row>
    <row r="6066">
      <c r="R6066" s="100"/>
      <c r="V6066" s="100"/>
      <c r="Y6066" s="100"/>
    </row>
    <row r="6067">
      <c r="R6067" s="100"/>
      <c r="V6067" s="100"/>
      <c r="Y6067" s="100"/>
    </row>
    <row r="6068">
      <c r="R6068" s="100"/>
      <c r="V6068" s="100"/>
      <c r="Y6068" s="100"/>
    </row>
    <row r="6069">
      <c r="R6069" s="100"/>
      <c r="V6069" s="100"/>
      <c r="Y6069" s="100"/>
    </row>
    <row r="6070">
      <c r="R6070" s="100"/>
      <c r="V6070" s="100"/>
      <c r="Y6070" s="100"/>
    </row>
    <row r="6071">
      <c r="R6071" s="100"/>
      <c r="V6071" s="100"/>
      <c r="Y6071" s="100"/>
    </row>
    <row r="6072">
      <c r="R6072" s="100"/>
      <c r="V6072" s="100"/>
      <c r="Y6072" s="100"/>
    </row>
    <row r="6073">
      <c r="R6073" s="100"/>
      <c r="V6073" s="100"/>
      <c r="Y6073" s="100"/>
    </row>
    <row r="6074">
      <c r="R6074" s="100"/>
      <c r="V6074" s="100"/>
      <c r="Y6074" s="100"/>
    </row>
    <row r="6075">
      <c r="R6075" s="100"/>
      <c r="V6075" s="100"/>
      <c r="Y6075" s="100"/>
    </row>
    <row r="6076">
      <c r="R6076" s="100"/>
      <c r="V6076" s="100"/>
      <c r="Y6076" s="100"/>
    </row>
    <row r="6077">
      <c r="R6077" s="100"/>
      <c r="V6077" s="100"/>
      <c r="Y6077" s="100"/>
    </row>
    <row r="6078">
      <c r="R6078" s="100"/>
      <c r="V6078" s="100"/>
      <c r="Y6078" s="100"/>
    </row>
    <row r="6079">
      <c r="R6079" s="100"/>
      <c r="V6079" s="100"/>
      <c r="Y6079" s="100"/>
    </row>
    <row r="6080">
      <c r="R6080" s="100"/>
      <c r="V6080" s="100"/>
      <c r="Y6080" s="100"/>
    </row>
    <row r="6081">
      <c r="R6081" s="100"/>
      <c r="V6081" s="100"/>
      <c r="Y6081" s="100"/>
    </row>
    <row r="6082">
      <c r="R6082" s="100"/>
      <c r="V6082" s="100"/>
      <c r="Y6082" s="100"/>
    </row>
    <row r="6083">
      <c r="R6083" s="100"/>
      <c r="V6083" s="100"/>
      <c r="Y6083" s="100"/>
    </row>
    <row r="6084">
      <c r="R6084" s="100"/>
      <c r="V6084" s="100"/>
      <c r="Y6084" s="100"/>
    </row>
    <row r="6085">
      <c r="R6085" s="100"/>
      <c r="V6085" s="100"/>
      <c r="Y6085" s="100"/>
    </row>
    <row r="6086">
      <c r="R6086" s="100"/>
      <c r="V6086" s="100"/>
      <c r="Y6086" s="100"/>
    </row>
    <row r="6087">
      <c r="R6087" s="100"/>
      <c r="V6087" s="100"/>
      <c r="Y6087" s="100"/>
    </row>
    <row r="6088">
      <c r="R6088" s="100"/>
      <c r="V6088" s="100"/>
      <c r="Y6088" s="100"/>
    </row>
    <row r="6089">
      <c r="R6089" s="100"/>
      <c r="V6089" s="100"/>
      <c r="Y6089" s="100"/>
    </row>
    <row r="6090">
      <c r="R6090" s="100"/>
      <c r="V6090" s="100"/>
      <c r="Y6090" s="100"/>
    </row>
    <row r="6091">
      <c r="R6091" s="100"/>
      <c r="V6091" s="100"/>
      <c r="Y6091" s="100"/>
    </row>
    <row r="6092">
      <c r="R6092" s="100"/>
      <c r="V6092" s="100"/>
      <c r="Y6092" s="100"/>
    </row>
    <row r="6093">
      <c r="R6093" s="100"/>
      <c r="V6093" s="100"/>
      <c r="Y6093" s="100"/>
    </row>
    <row r="6094">
      <c r="R6094" s="100"/>
      <c r="V6094" s="100"/>
      <c r="Y6094" s="100"/>
    </row>
    <row r="6095">
      <c r="R6095" s="100"/>
      <c r="V6095" s="100"/>
      <c r="Y6095" s="100"/>
    </row>
    <row r="6096">
      <c r="R6096" s="100"/>
      <c r="V6096" s="100"/>
      <c r="Y6096" s="100"/>
    </row>
    <row r="6097">
      <c r="R6097" s="100"/>
      <c r="V6097" s="100"/>
      <c r="Y6097" s="100"/>
    </row>
    <row r="6098">
      <c r="R6098" s="100"/>
      <c r="V6098" s="100"/>
      <c r="Y6098" s="100"/>
    </row>
    <row r="6099">
      <c r="R6099" s="100"/>
      <c r="V6099" s="100"/>
      <c r="Y6099" s="100"/>
    </row>
    <row r="6100">
      <c r="R6100" s="100"/>
      <c r="V6100" s="100"/>
      <c r="Y6100" s="100"/>
    </row>
    <row r="6101">
      <c r="R6101" s="100"/>
      <c r="V6101" s="100"/>
      <c r="Y6101" s="100"/>
    </row>
    <row r="6102">
      <c r="R6102" s="100"/>
      <c r="V6102" s="100"/>
      <c r="Y6102" s="100"/>
    </row>
    <row r="6103">
      <c r="R6103" s="100"/>
      <c r="V6103" s="100"/>
      <c r="Y6103" s="100"/>
    </row>
    <row r="6104">
      <c r="R6104" s="100"/>
      <c r="V6104" s="100"/>
      <c r="Y6104" s="100"/>
    </row>
    <row r="6105">
      <c r="R6105" s="100"/>
      <c r="V6105" s="100"/>
      <c r="Y6105" s="100"/>
    </row>
    <row r="6106">
      <c r="R6106" s="100"/>
      <c r="V6106" s="100"/>
      <c r="Y6106" s="100"/>
    </row>
    <row r="6107">
      <c r="R6107" s="100"/>
      <c r="V6107" s="100"/>
      <c r="Y6107" s="100"/>
    </row>
    <row r="6108">
      <c r="R6108" s="100"/>
      <c r="V6108" s="100"/>
      <c r="Y6108" s="100"/>
    </row>
    <row r="6109">
      <c r="R6109" s="100"/>
      <c r="V6109" s="100"/>
      <c r="Y6109" s="100"/>
    </row>
    <row r="6110">
      <c r="R6110" s="100"/>
      <c r="V6110" s="100"/>
      <c r="Y6110" s="100"/>
    </row>
    <row r="6111">
      <c r="R6111" s="100"/>
      <c r="V6111" s="100"/>
      <c r="Y6111" s="100"/>
    </row>
    <row r="6112">
      <c r="R6112" s="100"/>
      <c r="V6112" s="100"/>
      <c r="Y6112" s="100"/>
    </row>
    <row r="6113">
      <c r="R6113" s="100"/>
      <c r="V6113" s="100"/>
      <c r="Y6113" s="100"/>
    </row>
    <row r="6114">
      <c r="R6114" s="100"/>
      <c r="V6114" s="100"/>
      <c r="Y6114" s="100"/>
    </row>
    <row r="6115">
      <c r="R6115" s="100"/>
      <c r="V6115" s="100"/>
      <c r="Y6115" s="100"/>
    </row>
    <row r="6116">
      <c r="R6116" s="100"/>
      <c r="V6116" s="100"/>
      <c r="Y6116" s="100"/>
    </row>
    <row r="6117">
      <c r="R6117" s="100"/>
      <c r="V6117" s="100"/>
      <c r="Y6117" s="100"/>
    </row>
    <row r="6118">
      <c r="R6118" s="100"/>
      <c r="V6118" s="100"/>
      <c r="Y6118" s="100"/>
    </row>
    <row r="6119">
      <c r="R6119" s="100"/>
      <c r="V6119" s="100"/>
      <c r="Y6119" s="100"/>
    </row>
    <row r="6120">
      <c r="R6120" s="100"/>
      <c r="V6120" s="100"/>
      <c r="Y6120" s="100"/>
    </row>
    <row r="6121">
      <c r="R6121" s="100"/>
      <c r="V6121" s="100"/>
      <c r="Y6121" s="100"/>
    </row>
    <row r="6122">
      <c r="R6122" s="100"/>
      <c r="V6122" s="100"/>
      <c r="Y6122" s="100"/>
    </row>
    <row r="6123">
      <c r="R6123" s="100"/>
      <c r="V6123" s="100"/>
      <c r="Y6123" s="100"/>
    </row>
    <row r="6124">
      <c r="R6124" s="100"/>
      <c r="V6124" s="100"/>
      <c r="Y6124" s="100"/>
    </row>
    <row r="6125">
      <c r="R6125" s="100"/>
      <c r="V6125" s="100"/>
      <c r="Y6125" s="100"/>
    </row>
    <row r="6126">
      <c r="R6126" s="100"/>
      <c r="V6126" s="100"/>
      <c r="Y6126" s="100"/>
    </row>
    <row r="6127">
      <c r="R6127" s="100"/>
      <c r="V6127" s="100"/>
      <c r="Y6127" s="100"/>
    </row>
    <row r="6128">
      <c r="R6128" s="100"/>
      <c r="V6128" s="100"/>
      <c r="Y6128" s="100"/>
    </row>
    <row r="6129">
      <c r="R6129" s="100"/>
      <c r="V6129" s="100"/>
      <c r="Y6129" s="100"/>
    </row>
    <row r="6130">
      <c r="R6130" s="100"/>
      <c r="V6130" s="100"/>
      <c r="Y6130" s="100"/>
    </row>
    <row r="6131">
      <c r="R6131" s="100"/>
      <c r="V6131" s="100"/>
      <c r="Y6131" s="100"/>
    </row>
    <row r="6132">
      <c r="R6132" s="100"/>
      <c r="V6132" s="100"/>
      <c r="Y6132" s="100"/>
    </row>
    <row r="6133">
      <c r="R6133" s="100"/>
      <c r="V6133" s="100"/>
      <c r="Y6133" s="100"/>
    </row>
    <row r="6134">
      <c r="R6134" s="100"/>
      <c r="V6134" s="100"/>
      <c r="Y6134" s="100"/>
    </row>
    <row r="6135">
      <c r="R6135" s="100"/>
      <c r="V6135" s="100"/>
      <c r="Y6135" s="100"/>
    </row>
    <row r="6136">
      <c r="R6136" s="100"/>
      <c r="V6136" s="100"/>
      <c r="Y6136" s="100"/>
    </row>
    <row r="6137">
      <c r="R6137" s="100"/>
      <c r="V6137" s="100"/>
      <c r="Y6137" s="100"/>
    </row>
    <row r="6138">
      <c r="R6138" s="100"/>
      <c r="V6138" s="100"/>
      <c r="Y6138" s="100"/>
    </row>
    <row r="6139">
      <c r="R6139" s="100"/>
      <c r="V6139" s="100"/>
      <c r="Y6139" s="100"/>
    </row>
    <row r="6140">
      <c r="R6140" s="100"/>
      <c r="V6140" s="100"/>
      <c r="Y6140" s="100"/>
    </row>
    <row r="6141">
      <c r="R6141" s="100"/>
      <c r="V6141" s="100"/>
      <c r="Y6141" s="100"/>
    </row>
    <row r="6142">
      <c r="R6142" s="100"/>
      <c r="V6142" s="100"/>
      <c r="Y6142" s="100"/>
    </row>
    <row r="6143">
      <c r="R6143" s="100"/>
      <c r="V6143" s="100"/>
      <c r="Y6143" s="100"/>
    </row>
    <row r="6144">
      <c r="R6144" s="100"/>
      <c r="V6144" s="100"/>
      <c r="Y6144" s="100"/>
    </row>
    <row r="6145">
      <c r="R6145" s="100"/>
      <c r="V6145" s="100"/>
      <c r="Y6145" s="100"/>
    </row>
    <row r="6146">
      <c r="R6146" s="100"/>
      <c r="V6146" s="100"/>
      <c r="Y6146" s="100"/>
    </row>
    <row r="6147">
      <c r="R6147" s="100"/>
      <c r="V6147" s="100"/>
      <c r="Y6147" s="100"/>
    </row>
    <row r="6148">
      <c r="R6148" s="100"/>
      <c r="V6148" s="100"/>
      <c r="Y6148" s="100"/>
    </row>
    <row r="6149">
      <c r="R6149" s="100"/>
      <c r="V6149" s="100"/>
      <c r="Y6149" s="100"/>
    </row>
    <row r="6150">
      <c r="R6150" s="100"/>
      <c r="V6150" s="100"/>
      <c r="Y6150" s="100"/>
    </row>
    <row r="6151">
      <c r="R6151" s="100"/>
      <c r="V6151" s="100"/>
      <c r="Y6151" s="100"/>
    </row>
    <row r="6152">
      <c r="R6152" s="100"/>
      <c r="V6152" s="100"/>
      <c r="Y6152" s="100"/>
    </row>
    <row r="6153">
      <c r="R6153" s="100"/>
      <c r="V6153" s="100"/>
      <c r="Y6153" s="100"/>
    </row>
    <row r="6154">
      <c r="R6154" s="100"/>
      <c r="V6154" s="100"/>
      <c r="Y6154" s="100"/>
    </row>
    <row r="6155">
      <c r="R6155" s="100"/>
      <c r="V6155" s="100"/>
      <c r="Y6155" s="100"/>
    </row>
    <row r="6156">
      <c r="R6156" s="100"/>
      <c r="V6156" s="100"/>
      <c r="Y6156" s="100"/>
    </row>
    <row r="6157">
      <c r="R6157" s="100"/>
      <c r="V6157" s="100"/>
      <c r="Y6157" s="100"/>
    </row>
    <row r="6158">
      <c r="R6158" s="100"/>
      <c r="V6158" s="100"/>
      <c r="Y6158" s="100"/>
    </row>
    <row r="6159">
      <c r="R6159" s="100"/>
      <c r="V6159" s="100"/>
      <c r="Y6159" s="100"/>
    </row>
    <row r="6160">
      <c r="R6160" s="100"/>
      <c r="V6160" s="100"/>
      <c r="Y6160" s="100"/>
    </row>
    <row r="6161">
      <c r="R6161" s="100"/>
      <c r="V6161" s="100"/>
      <c r="Y6161" s="100"/>
    </row>
    <row r="6162">
      <c r="R6162" s="100"/>
      <c r="V6162" s="100"/>
      <c r="Y6162" s="100"/>
    </row>
    <row r="6163">
      <c r="R6163" s="100"/>
      <c r="V6163" s="100"/>
      <c r="Y6163" s="100"/>
    </row>
    <row r="6164">
      <c r="R6164" s="100"/>
      <c r="V6164" s="100"/>
      <c r="Y6164" s="100"/>
    </row>
    <row r="6165">
      <c r="R6165" s="100"/>
      <c r="V6165" s="100"/>
      <c r="Y6165" s="100"/>
    </row>
    <row r="6166">
      <c r="R6166" s="100"/>
      <c r="V6166" s="100"/>
      <c r="Y6166" s="100"/>
    </row>
    <row r="6167">
      <c r="R6167" s="100"/>
      <c r="V6167" s="100"/>
      <c r="Y6167" s="100"/>
    </row>
    <row r="6168">
      <c r="R6168" s="100"/>
      <c r="V6168" s="100"/>
      <c r="Y6168" s="100"/>
    </row>
    <row r="6169">
      <c r="R6169" s="100"/>
      <c r="V6169" s="100"/>
      <c r="Y6169" s="100"/>
    </row>
    <row r="6170">
      <c r="R6170" s="100"/>
      <c r="V6170" s="100"/>
      <c r="Y6170" s="100"/>
    </row>
    <row r="6171">
      <c r="R6171" s="100"/>
      <c r="V6171" s="100"/>
      <c r="Y6171" s="100"/>
    </row>
    <row r="6172">
      <c r="R6172" s="100"/>
      <c r="V6172" s="100"/>
      <c r="Y6172" s="100"/>
    </row>
    <row r="6173">
      <c r="R6173" s="100"/>
      <c r="V6173" s="100"/>
      <c r="Y6173" s="100"/>
    </row>
    <row r="6174">
      <c r="R6174" s="100"/>
      <c r="V6174" s="100"/>
      <c r="Y6174" s="100"/>
    </row>
    <row r="6175">
      <c r="R6175" s="100"/>
      <c r="V6175" s="100"/>
      <c r="Y6175" s="100"/>
    </row>
    <row r="6176">
      <c r="R6176" s="100"/>
      <c r="V6176" s="100"/>
      <c r="Y6176" s="100"/>
    </row>
    <row r="6177">
      <c r="R6177" s="100"/>
      <c r="V6177" s="100"/>
      <c r="Y6177" s="100"/>
    </row>
    <row r="6178">
      <c r="R6178" s="100"/>
      <c r="V6178" s="100"/>
      <c r="Y6178" s="100"/>
    </row>
    <row r="6179">
      <c r="R6179" s="100"/>
      <c r="V6179" s="100"/>
      <c r="Y6179" s="100"/>
    </row>
    <row r="6180">
      <c r="R6180" s="100"/>
      <c r="V6180" s="100"/>
      <c r="Y6180" s="100"/>
    </row>
    <row r="6181">
      <c r="R6181" s="100"/>
      <c r="V6181" s="100"/>
      <c r="Y6181" s="100"/>
    </row>
    <row r="6182">
      <c r="R6182" s="100"/>
      <c r="V6182" s="100"/>
      <c r="Y6182" s="100"/>
    </row>
    <row r="6183">
      <c r="R6183" s="100"/>
      <c r="V6183" s="100"/>
      <c r="Y6183" s="100"/>
    </row>
    <row r="6184">
      <c r="R6184" s="100"/>
      <c r="V6184" s="100"/>
      <c r="Y6184" s="100"/>
    </row>
    <row r="6185">
      <c r="R6185" s="100"/>
      <c r="V6185" s="100"/>
      <c r="Y6185" s="100"/>
    </row>
    <row r="6186">
      <c r="R6186" s="100"/>
      <c r="V6186" s="100"/>
      <c r="Y6186" s="100"/>
    </row>
    <row r="6187">
      <c r="R6187" s="100"/>
      <c r="V6187" s="100"/>
      <c r="Y6187" s="100"/>
    </row>
    <row r="6188">
      <c r="R6188" s="100"/>
      <c r="V6188" s="100"/>
      <c r="Y6188" s="100"/>
    </row>
    <row r="6189">
      <c r="R6189" s="100"/>
      <c r="V6189" s="100"/>
      <c r="Y6189" s="100"/>
    </row>
    <row r="6190">
      <c r="R6190" s="100"/>
      <c r="V6190" s="100"/>
      <c r="Y6190" s="100"/>
    </row>
    <row r="6191">
      <c r="R6191" s="100"/>
      <c r="V6191" s="100"/>
      <c r="Y6191" s="100"/>
    </row>
    <row r="6192">
      <c r="R6192" s="100"/>
      <c r="V6192" s="100"/>
      <c r="Y6192" s="100"/>
    </row>
    <row r="6193">
      <c r="R6193" s="100"/>
      <c r="V6193" s="100"/>
      <c r="Y6193" s="100"/>
    </row>
    <row r="6194">
      <c r="R6194" s="100"/>
      <c r="V6194" s="100"/>
      <c r="Y6194" s="100"/>
    </row>
    <row r="6195">
      <c r="R6195" s="100"/>
      <c r="V6195" s="100"/>
      <c r="Y6195" s="100"/>
    </row>
    <row r="6196">
      <c r="R6196" s="100"/>
      <c r="V6196" s="100"/>
      <c r="Y6196" s="100"/>
    </row>
    <row r="6197">
      <c r="R6197" s="100"/>
      <c r="V6197" s="100"/>
      <c r="Y6197" s="100"/>
    </row>
    <row r="6198">
      <c r="R6198" s="100"/>
      <c r="V6198" s="100"/>
      <c r="Y6198" s="100"/>
    </row>
    <row r="6199">
      <c r="R6199" s="100"/>
      <c r="V6199" s="100"/>
      <c r="Y6199" s="100"/>
    </row>
    <row r="6200">
      <c r="R6200" s="100"/>
      <c r="V6200" s="100"/>
      <c r="Y6200" s="100"/>
    </row>
    <row r="6201">
      <c r="R6201" s="100"/>
      <c r="V6201" s="100"/>
      <c r="Y6201" s="100"/>
    </row>
    <row r="6202">
      <c r="R6202" s="100"/>
      <c r="V6202" s="100"/>
      <c r="Y6202" s="100"/>
    </row>
    <row r="6203">
      <c r="R6203" s="100"/>
      <c r="V6203" s="100"/>
      <c r="Y6203" s="100"/>
    </row>
    <row r="6204">
      <c r="R6204" s="100"/>
      <c r="V6204" s="100"/>
      <c r="Y6204" s="100"/>
    </row>
    <row r="6205">
      <c r="R6205" s="100"/>
      <c r="V6205" s="100"/>
      <c r="Y6205" s="100"/>
    </row>
    <row r="6206">
      <c r="R6206" s="100"/>
      <c r="V6206" s="100"/>
      <c r="Y6206" s="100"/>
    </row>
    <row r="6207">
      <c r="R6207" s="100"/>
      <c r="V6207" s="100"/>
      <c r="Y6207" s="100"/>
    </row>
    <row r="6208">
      <c r="R6208" s="100"/>
      <c r="V6208" s="100"/>
      <c r="Y6208" s="100"/>
    </row>
    <row r="6209">
      <c r="R6209" s="100"/>
      <c r="V6209" s="100"/>
      <c r="Y6209" s="100"/>
    </row>
    <row r="6210">
      <c r="R6210" s="100"/>
      <c r="V6210" s="100"/>
      <c r="Y6210" s="100"/>
    </row>
    <row r="6211">
      <c r="R6211" s="100"/>
      <c r="V6211" s="100"/>
      <c r="Y6211" s="100"/>
    </row>
    <row r="6212">
      <c r="R6212" s="100"/>
      <c r="V6212" s="100"/>
      <c r="Y6212" s="100"/>
    </row>
    <row r="6213">
      <c r="R6213" s="100"/>
      <c r="V6213" s="100"/>
      <c r="Y6213" s="100"/>
    </row>
    <row r="6214">
      <c r="R6214" s="100"/>
      <c r="V6214" s="100"/>
      <c r="Y6214" s="100"/>
    </row>
    <row r="6215">
      <c r="R6215" s="100"/>
      <c r="V6215" s="100"/>
      <c r="Y6215" s="100"/>
    </row>
    <row r="6216">
      <c r="R6216" s="100"/>
      <c r="V6216" s="100"/>
      <c r="Y6216" s="100"/>
    </row>
    <row r="6217">
      <c r="R6217" s="100"/>
      <c r="V6217" s="100"/>
      <c r="Y6217" s="100"/>
    </row>
    <row r="6218">
      <c r="R6218" s="100"/>
      <c r="V6218" s="100"/>
      <c r="Y6218" s="100"/>
    </row>
    <row r="6219">
      <c r="R6219" s="100"/>
      <c r="V6219" s="100"/>
      <c r="Y6219" s="100"/>
    </row>
    <row r="6220">
      <c r="R6220" s="100"/>
      <c r="V6220" s="100"/>
      <c r="Y6220" s="100"/>
    </row>
    <row r="6221">
      <c r="R6221" s="100"/>
      <c r="V6221" s="100"/>
      <c r="Y6221" s="100"/>
    </row>
    <row r="6222">
      <c r="R6222" s="100"/>
      <c r="V6222" s="100"/>
      <c r="Y6222" s="100"/>
    </row>
    <row r="6223">
      <c r="R6223" s="100"/>
      <c r="V6223" s="100"/>
      <c r="Y6223" s="100"/>
    </row>
    <row r="6224">
      <c r="R6224" s="100"/>
      <c r="V6224" s="100"/>
      <c r="Y6224" s="100"/>
    </row>
    <row r="6225">
      <c r="R6225" s="100"/>
      <c r="V6225" s="100"/>
      <c r="Y6225" s="100"/>
    </row>
    <row r="6226">
      <c r="R6226" s="100"/>
      <c r="V6226" s="100"/>
      <c r="Y6226" s="100"/>
    </row>
    <row r="6227">
      <c r="R6227" s="100"/>
      <c r="V6227" s="100"/>
      <c r="Y6227" s="100"/>
    </row>
    <row r="6228">
      <c r="R6228" s="100"/>
      <c r="V6228" s="100"/>
      <c r="Y6228" s="100"/>
    </row>
    <row r="6229">
      <c r="R6229" s="100"/>
      <c r="V6229" s="100"/>
      <c r="Y6229" s="100"/>
    </row>
    <row r="6230">
      <c r="R6230" s="100"/>
      <c r="V6230" s="100"/>
      <c r="Y6230" s="100"/>
    </row>
    <row r="6231">
      <c r="R6231" s="100"/>
      <c r="V6231" s="100"/>
      <c r="Y6231" s="100"/>
    </row>
    <row r="6232">
      <c r="R6232" s="100"/>
      <c r="V6232" s="100"/>
      <c r="Y6232" s="100"/>
    </row>
    <row r="6233">
      <c r="R6233" s="100"/>
      <c r="V6233" s="100"/>
      <c r="Y6233" s="100"/>
    </row>
    <row r="6234">
      <c r="R6234" s="100"/>
      <c r="V6234" s="100"/>
      <c r="Y6234" s="100"/>
    </row>
    <row r="6235">
      <c r="R6235" s="100"/>
      <c r="V6235" s="100"/>
      <c r="Y6235" s="100"/>
    </row>
    <row r="6236">
      <c r="R6236" s="100"/>
      <c r="V6236" s="100"/>
      <c r="Y6236" s="100"/>
    </row>
    <row r="6237">
      <c r="R6237" s="100"/>
      <c r="V6237" s="100"/>
      <c r="Y6237" s="100"/>
    </row>
    <row r="6238">
      <c r="R6238" s="100"/>
      <c r="V6238" s="100"/>
      <c r="Y6238" s="100"/>
    </row>
    <row r="6239">
      <c r="R6239" s="100"/>
      <c r="V6239" s="100"/>
      <c r="Y6239" s="100"/>
    </row>
    <row r="6240">
      <c r="R6240" s="100"/>
      <c r="V6240" s="100"/>
      <c r="Y6240" s="100"/>
    </row>
    <row r="6241">
      <c r="R6241" s="100"/>
      <c r="V6241" s="100"/>
      <c r="Y6241" s="100"/>
    </row>
    <row r="6242">
      <c r="R6242" s="100"/>
      <c r="V6242" s="100"/>
      <c r="Y6242" s="100"/>
    </row>
    <row r="6243">
      <c r="R6243" s="100"/>
      <c r="V6243" s="100"/>
      <c r="Y6243" s="100"/>
    </row>
    <row r="6244">
      <c r="R6244" s="100"/>
      <c r="V6244" s="100"/>
      <c r="Y6244" s="100"/>
    </row>
    <row r="6245">
      <c r="R6245" s="100"/>
      <c r="V6245" s="100"/>
      <c r="Y6245" s="100"/>
    </row>
    <row r="6246">
      <c r="R6246" s="100"/>
      <c r="V6246" s="100"/>
      <c r="Y6246" s="100"/>
    </row>
    <row r="6247">
      <c r="R6247" s="100"/>
      <c r="V6247" s="100"/>
      <c r="Y6247" s="100"/>
    </row>
    <row r="6248">
      <c r="R6248" s="100"/>
      <c r="V6248" s="100"/>
      <c r="Y6248" s="100"/>
    </row>
    <row r="6249">
      <c r="R6249" s="100"/>
      <c r="V6249" s="100"/>
      <c r="Y6249" s="100"/>
    </row>
    <row r="6250">
      <c r="R6250" s="100"/>
      <c r="V6250" s="100"/>
      <c r="Y6250" s="100"/>
    </row>
    <row r="6251">
      <c r="R6251" s="100"/>
      <c r="V6251" s="100"/>
      <c r="Y6251" s="100"/>
    </row>
    <row r="6252">
      <c r="R6252" s="100"/>
      <c r="V6252" s="100"/>
      <c r="Y6252" s="100"/>
    </row>
    <row r="6253">
      <c r="R6253" s="100"/>
      <c r="V6253" s="100"/>
      <c r="Y6253" s="100"/>
    </row>
    <row r="6254">
      <c r="R6254" s="100"/>
      <c r="V6254" s="100"/>
      <c r="Y6254" s="100"/>
    </row>
    <row r="6255">
      <c r="R6255" s="100"/>
      <c r="V6255" s="100"/>
      <c r="Y6255" s="100"/>
    </row>
    <row r="6256">
      <c r="R6256" s="100"/>
      <c r="V6256" s="100"/>
      <c r="Y6256" s="100"/>
    </row>
    <row r="6257">
      <c r="R6257" s="100"/>
      <c r="V6257" s="100"/>
      <c r="Y6257" s="100"/>
    </row>
    <row r="6258">
      <c r="R6258" s="100"/>
      <c r="V6258" s="100"/>
      <c r="Y6258" s="100"/>
    </row>
    <row r="6259">
      <c r="R6259" s="100"/>
      <c r="V6259" s="100"/>
      <c r="Y6259" s="100"/>
    </row>
    <row r="6260">
      <c r="R6260" s="100"/>
      <c r="V6260" s="100"/>
      <c r="Y6260" s="100"/>
    </row>
    <row r="6261">
      <c r="R6261" s="100"/>
      <c r="V6261" s="100"/>
      <c r="Y6261" s="100"/>
    </row>
    <row r="6262">
      <c r="R6262" s="100"/>
      <c r="V6262" s="100"/>
      <c r="Y6262" s="100"/>
    </row>
    <row r="6263">
      <c r="R6263" s="100"/>
      <c r="V6263" s="100"/>
      <c r="Y6263" s="100"/>
    </row>
    <row r="6264">
      <c r="R6264" s="100"/>
      <c r="V6264" s="100"/>
      <c r="Y6264" s="100"/>
    </row>
    <row r="6265">
      <c r="R6265" s="100"/>
      <c r="V6265" s="100"/>
      <c r="Y6265" s="100"/>
    </row>
    <row r="6266">
      <c r="R6266" s="100"/>
      <c r="V6266" s="100"/>
      <c r="Y6266" s="100"/>
    </row>
    <row r="6267">
      <c r="R6267" s="100"/>
      <c r="V6267" s="100"/>
      <c r="Y6267" s="100"/>
    </row>
    <row r="6268">
      <c r="R6268" s="100"/>
      <c r="V6268" s="100"/>
      <c r="Y6268" s="100"/>
    </row>
    <row r="6269">
      <c r="R6269" s="100"/>
      <c r="V6269" s="100"/>
      <c r="Y6269" s="100"/>
    </row>
    <row r="6270">
      <c r="R6270" s="100"/>
      <c r="V6270" s="100"/>
      <c r="Y6270" s="100"/>
    </row>
    <row r="6271">
      <c r="R6271" s="100"/>
      <c r="V6271" s="100"/>
      <c r="Y6271" s="100"/>
    </row>
    <row r="6272">
      <c r="R6272" s="100"/>
      <c r="V6272" s="100"/>
      <c r="Y6272" s="100"/>
    </row>
    <row r="6273">
      <c r="R6273" s="100"/>
      <c r="V6273" s="100"/>
      <c r="Y6273" s="100"/>
    </row>
    <row r="6274">
      <c r="R6274" s="100"/>
      <c r="V6274" s="100"/>
      <c r="Y6274" s="100"/>
    </row>
    <row r="6275">
      <c r="R6275" s="100"/>
      <c r="V6275" s="100"/>
      <c r="Y6275" s="100"/>
    </row>
    <row r="6276">
      <c r="R6276" s="100"/>
      <c r="V6276" s="100"/>
      <c r="Y6276" s="100"/>
    </row>
    <row r="6277">
      <c r="R6277" s="100"/>
      <c r="V6277" s="100"/>
      <c r="Y6277" s="100"/>
    </row>
    <row r="6278">
      <c r="R6278" s="100"/>
      <c r="V6278" s="100"/>
      <c r="Y6278" s="100"/>
    </row>
    <row r="6279">
      <c r="R6279" s="100"/>
      <c r="V6279" s="100"/>
      <c r="Y6279" s="100"/>
    </row>
    <row r="6280">
      <c r="R6280" s="100"/>
      <c r="V6280" s="100"/>
      <c r="Y6280" s="100"/>
    </row>
    <row r="6281">
      <c r="R6281" s="100"/>
      <c r="V6281" s="100"/>
      <c r="Y6281" s="100"/>
    </row>
    <row r="6282">
      <c r="R6282" s="100"/>
      <c r="V6282" s="100"/>
      <c r="Y6282" s="100"/>
    </row>
    <row r="6283">
      <c r="R6283" s="100"/>
      <c r="V6283" s="100"/>
      <c r="Y6283" s="100"/>
    </row>
    <row r="6284">
      <c r="R6284" s="100"/>
      <c r="V6284" s="100"/>
      <c r="Y6284" s="100"/>
    </row>
    <row r="6285">
      <c r="R6285" s="100"/>
      <c r="V6285" s="100"/>
      <c r="Y6285" s="100"/>
    </row>
    <row r="6286">
      <c r="R6286" s="100"/>
      <c r="V6286" s="100"/>
      <c r="Y6286" s="100"/>
    </row>
    <row r="6287">
      <c r="R6287" s="100"/>
      <c r="V6287" s="100"/>
      <c r="Y6287" s="100"/>
    </row>
    <row r="6288">
      <c r="R6288" s="100"/>
      <c r="V6288" s="100"/>
      <c r="Y6288" s="100"/>
    </row>
    <row r="6289">
      <c r="R6289" s="100"/>
      <c r="V6289" s="100"/>
      <c r="Y6289" s="100"/>
    </row>
    <row r="6290">
      <c r="R6290" s="100"/>
      <c r="V6290" s="100"/>
      <c r="Y6290" s="100"/>
    </row>
    <row r="6291">
      <c r="R6291" s="100"/>
      <c r="V6291" s="100"/>
      <c r="Y6291" s="100"/>
    </row>
    <row r="6292">
      <c r="R6292" s="100"/>
      <c r="V6292" s="100"/>
      <c r="Y6292" s="100"/>
    </row>
    <row r="6293">
      <c r="R6293" s="100"/>
      <c r="V6293" s="100"/>
      <c r="Y6293" s="100"/>
    </row>
    <row r="6294">
      <c r="R6294" s="100"/>
      <c r="V6294" s="100"/>
      <c r="Y6294" s="100"/>
    </row>
    <row r="6295">
      <c r="R6295" s="100"/>
      <c r="V6295" s="100"/>
      <c r="Y6295" s="100"/>
    </row>
    <row r="6296">
      <c r="R6296" s="100"/>
      <c r="V6296" s="100"/>
      <c r="Y6296" s="100"/>
    </row>
    <row r="6297">
      <c r="R6297" s="100"/>
      <c r="V6297" s="100"/>
      <c r="Y6297" s="100"/>
    </row>
    <row r="6298">
      <c r="R6298" s="100"/>
      <c r="V6298" s="100"/>
      <c r="Y6298" s="100"/>
    </row>
    <row r="6299">
      <c r="R6299" s="100"/>
      <c r="V6299" s="100"/>
      <c r="Y6299" s="100"/>
    </row>
    <row r="6300">
      <c r="R6300" s="100"/>
      <c r="V6300" s="100"/>
      <c r="Y6300" s="100"/>
    </row>
    <row r="6301">
      <c r="R6301" s="100"/>
      <c r="V6301" s="100"/>
      <c r="Y6301" s="100"/>
    </row>
    <row r="6302">
      <c r="R6302" s="100"/>
      <c r="V6302" s="100"/>
      <c r="Y6302" s="100"/>
    </row>
    <row r="6303">
      <c r="R6303" s="100"/>
      <c r="V6303" s="100"/>
      <c r="Y6303" s="100"/>
    </row>
    <row r="6304">
      <c r="R6304" s="100"/>
      <c r="V6304" s="100"/>
      <c r="Y6304" s="100"/>
    </row>
    <row r="6305">
      <c r="R6305" s="100"/>
      <c r="V6305" s="100"/>
      <c r="Y6305" s="100"/>
    </row>
    <row r="6306">
      <c r="R6306" s="100"/>
      <c r="V6306" s="100"/>
      <c r="Y6306" s="100"/>
    </row>
    <row r="6307">
      <c r="R6307" s="100"/>
      <c r="V6307" s="100"/>
      <c r="Y6307" s="100"/>
    </row>
    <row r="6308">
      <c r="R6308" s="100"/>
      <c r="V6308" s="100"/>
      <c r="Y6308" s="100"/>
    </row>
    <row r="6309">
      <c r="R6309" s="100"/>
      <c r="V6309" s="100"/>
      <c r="Y6309" s="100"/>
    </row>
    <row r="6310">
      <c r="R6310" s="100"/>
      <c r="V6310" s="100"/>
      <c r="Y6310" s="100"/>
    </row>
    <row r="6311">
      <c r="R6311" s="100"/>
      <c r="V6311" s="100"/>
      <c r="Y6311" s="100"/>
    </row>
    <row r="6312">
      <c r="R6312" s="100"/>
      <c r="V6312" s="100"/>
      <c r="Y6312" s="100"/>
    </row>
    <row r="6313">
      <c r="R6313" s="100"/>
      <c r="V6313" s="100"/>
      <c r="Y6313" s="100"/>
    </row>
    <row r="6314">
      <c r="R6314" s="100"/>
      <c r="V6314" s="100"/>
      <c r="Y6314" s="100"/>
    </row>
    <row r="6315">
      <c r="R6315" s="100"/>
      <c r="V6315" s="100"/>
      <c r="Y6315" s="100"/>
    </row>
    <row r="6316">
      <c r="R6316" s="100"/>
      <c r="V6316" s="100"/>
      <c r="Y6316" s="100"/>
    </row>
    <row r="6317">
      <c r="R6317" s="100"/>
      <c r="V6317" s="100"/>
      <c r="Y6317" s="100"/>
    </row>
    <row r="6318">
      <c r="R6318" s="100"/>
      <c r="V6318" s="100"/>
      <c r="Y6318" s="100"/>
    </row>
    <row r="6319">
      <c r="R6319" s="100"/>
      <c r="V6319" s="100"/>
      <c r="Y6319" s="100"/>
    </row>
    <row r="6320">
      <c r="R6320" s="100"/>
      <c r="V6320" s="100"/>
      <c r="Y6320" s="100"/>
    </row>
    <row r="6321">
      <c r="R6321" s="100"/>
      <c r="V6321" s="100"/>
      <c r="Y6321" s="100"/>
    </row>
    <row r="6322">
      <c r="R6322" s="100"/>
      <c r="V6322" s="100"/>
      <c r="Y6322" s="100"/>
    </row>
    <row r="6323">
      <c r="R6323" s="100"/>
      <c r="V6323" s="100"/>
      <c r="Y6323" s="100"/>
    </row>
    <row r="6324">
      <c r="R6324" s="100"/>
      <c r="V6324" s="100"/>
      <c r="Y6324" s="100"/>
    </row>
    <row r="6325">
      <c r="R6325" s="100"/>
      <c r="V6325" s="100"/>
      <c r="Y6325" s="100"/>
    </row>
    <row r="6326">
      <c r="R6326" s="100"/>
      <c r="V6326" s="100"/>
      <c r="Y6326" s="100"/>
    </row>
    <row r="6327">
      <c r="R6327" s="100"/>
      <c r="V6327" s="100"/>
      <c r="Y6327" s="100"/>
    </row>
    <row r="6328">
      <c r="R6328" s="100"/>
      <c r="V6328" s="100"/>
      <c r="Y6328" s="100"/>
    </row>
    <row r="6329">
      <c r="R6329" s="100"/>
      <c r="V6329" s="100"/>
      <c r="Y6329" s="100"/>
    </row>
    <row r="6330">
      <c r="R6330" s="100"/>
      <c r="V6330" s="100"/>
      <c r="Y6330" s="100"/>
    </row>
    <row r="6331">
      <c r="R6331" s="100"/>
      <c r="V6331" s="100"/>
      <c r="Y6331" s="100"/>
    </row>
    <row r="6332">
      <c r="R6332" s="100"/>
      <c r="V6332" s="100"/>
      <c r="Y6332" s="100"/>
    </row>
    <row r="6333">
      <c r="R6333" s="100"/>
      <c r="V6333" s="100"/>
      <c r="Y6333" s="100"/>
    </row>
    <row r="6334">
      <c r="R6334" s="100"/>
      <c r="V6334" s="100"/>
      <c r="Y6334" s="100"/>
    </row>
    <row r="6335">
      <c r="R6335" s="100"/>
      <c r="V6335" s="100"/>
      <c r="Y6335" s="100"/>
    </row>
    <row r="6336">
      <c r="R6336" s="100"/>
      <c r="V6336" s="100"/>
      <c r="Y6336" s="100"/>
    </row>
    <row r="6337">
      <c r="R6337" s="100"/>
      <c r="V6337" s="100"/>
      <c r="Y6337" s="100"/>
    </row>
    <row r="6338">
      <c r="R6338" s="100"/>
      <c r="V6338" s="100"/>
      <c r="Y6338" s="100"/>
    </row>
    <row r="6339">
      <c r="R6339" s="100"/>
      <c r="V6339" s="100"/>
      <c r="Y6339" s="100"/>
    </row>
    <row r="6340">
      <c r="R6340" s="100"/>
      <c r="V6340" s="100"/>
      <c r="Y6340" s="100"/>
    </row>
    <row r="6341">
      <c r="R6341" s="100"/>
      <c r="V6341" s="100"/>
      <c r="Y6341" s="100"/>
    </row>
    <row r="6342">
      <c r="R6342" s="100"/>
      <c r="V6342" s="100"/>
      <c r="Y6342" s="100"/>
    </row>
    <row r="6343">
      <c r="R6343" s="100"/>
      <c r="V6343" s="100"/>
      <c r="Y6343" s="100"/>
    </row>
    <row r="6344">
      <c r="R6344" s="100"/>
      <c r="V6344" s="100"/>
      <c r="Y6344" s="100"/>
    </row>
    <row r="6345">
      <c r="R6345" s="100"/>
      <c r="V6345" s="100"/>
      <c r="Y6345" s="100"/>
    </row>
    <row r="6346">
      <c r="R6346" s="100"/>
      <c r="V6346" s="100"/>
      <c r="Y6346" s="100"/>
    </row>
    <row r="6347">
      <c r="R6347" s="100"/>
      <c r="V6347" s="100"/>
      <c r="Y6347" s="100"/>
    </row>
    <row r="6348">
      <c r="R6348" s="100"/>
      <c r="V6348" s="100"/>
      <c r="Y6348" s="100"/>
    </row>
    <row r="6349">
      <c r="R6349" s="100"/>
      <c r="V6349" s="100"/>
      <c r="Y6349" s="100"/>
    </row>
    <row r="6350">
      <c r="R6350" s="100"/>
      <c r="V6350" s="100"/>
      <c r="Y6350" s="100"/>
    </row>
    <row r="6351">
      <c r="R6351" s="100"/>
      <c r="V6351" s="100"/>
      <c r="Y6351" s="100"/>
    </row>
    <row r="6352">
      <c r="R6352" s="100"/>
      <c r="V6352" s="100"/>
      <c r="Y6352" s="100"/>
    </row>
    <row r="6353">
      <c r="R6353" s="100"/>
      <c r="V6353" s="100"/>
      <c r="Y6353" s="100"/>
    </row>
    <row r="6354">
      <c r="R6354" s="100"/>
      <c r="V6354" s="100"/>
      <c r="Y6354" s="100"/>
    </row>
    <row r="6355">
      <c r="R6355" s="100"/>
      <c r="V6355" s="100"/>
      <c r="Y6355" s="100"/>
    </row>
    <row r="6356">
      <c r="R6356" s="100"/>
      <c r="V6356" s="100"/>
      <c r="Y6356" s="100"/>
    </row>
    <row r="6357">
      <c r="R6357" s="100"/>
      <c r="V6357" s="100"/>
      <c r="Y6357" s="100"/>
    </row>
    <row r="6358">
      <c r="R6358" s="100"/>
      <c r="V6358" s="100"/>
      <c r="Y6358" s="100"/>
    </row>
    <row r="6359">
      <c r="R6359" s="100"/>
      <c r="V6359" s="100"/>
      <c r="Y6359" s="100"/>
    </row>
    <row r="6360">
      <c r="R6360" s="100"/>
      <c r="V6360" s="100"/>
      <c r="Y6360" s="100"/>
    </row>
    <row r="6361">
      <c r="R6361" s="100"/>
      <c r="V6361" s="100"/>
      <c r="Y6361" s="100"/>
    </row>
    <row r="6362">
      <c r="R6362" s="100"/>
      <c r="V6362" s="100"/>
      <c r="Y6362" s="100"/>
    </row>
    <row r="6363">
      <c r="R6363" s="100"/>
      <c r="V6363" s="100"/>
      <c r="Y6363" s="100"/>
    </row>
    <row r="6364">
      <c r="R6364" s="100"/>
      <c r="V6364" s="100"/>
      <c r="Y6364" s="100"/>
    </row>
    <row r="6365">
      <c r="R6365" s="100"/>
      <c r="V6365" s="100"/>
      <c r="Y6365" s="100"/>
    </row>
    <row r="6366">
      <c r="R6366" s="100"/>
      <c r="V6366" s="100"/>
      <c r="Y6366" s="100"/>
    </row>
    <row r="6367">
      <c r="R6367" s="100"/>
      <c r="V6367" s="100"/>
      <c r="Y6367" s="100"/>
    </row>
    <row r="6368">
      <c r="R6368" s="100"/>
      <c r="V6368" s="100"/>
      <c r="Y6368" s="100"/>
    </row>
    <row r="6369">
      <c r="R6369" s="100"/>
      <c r="V6369" s="100"/>
      <c r="Y6369" s="100"/>
    </row>
    <row r="6370">
      <c r="R6370" s="100"/>
      <c r="V6370" s="100"/>
      <c r="Y6370" s="100"/>
    </row>
    <row r="6371">
      <c r="R6371" s="100"/>
      <c r="V6371" s="100"/>
      <c r="Y6371" s="100"/>
    </row>
    <row r="6372">
      <c r="R6372" s="100"/>
      <c r="V6372" s="100"/>
      <c r="Y6372" s="100"/>
    </row>
    <row r="6373">
      <c r="R6373" s="100"/>
      <c r="V6373" s="100"/>
      <c r="Y6373" s="100"/>
    </row>
    <row r="6374">
      <c r="R6374" s="100"/>
      <c r="V6374" s="100"/>
      <c r="Y6374" s="100"/>
    </row>
    <row r="6375">
      <c r="R6375" s="100"/>
      <c r="V6375" s="100"/>
      <c r="Y6375" s="100"/>
    </row>
    <row r="6376">
      <c r="R6376" s="100"/>
      <c r="V6376" s="100"/>
      <c r="Y6376" s="100"/>
    </row>
    <row r="6377">
      <c r="R6377" s="100"/>
      <c r="V6377" s="100"/>
      <c r="Y6377" s="100"/>
    </row>
    <row r="6378">
      <c r="R6378" s="100"/>
      <c r="V6378" s="100"/>
      <c r="Y6378" s="100"/>
    </row>
    <row r="6379">
      <c r="R6379" s="100"/>
      <c r="V6379" s="100"/>
      <c r="Y6379" s="100"/>
    </row>
    <row r="6380">
      <c r="R6380" s="100"/>
      <c r="V6380" s="100"/>
      <c r="Y6380" s="100"/>
    </row>
    <row r="6381">
      <c r="R6381" s="100"/>
      <c r="V6381" s="100"/>
      <c r="Y6381" s="100"/>
    </row>
    <row r="6382">
      <c r="R6382" s="100"/>
      <c r="V6382" s="100"/>
      <c r="Y6382" s="100"/>
    </row>
    <row r="6383">
      <c r="R6383" s="100"/>
      <c r="V6383" s="100"/>
      <c r="Y6383" s="100"/>
    </row>
    <row r="6384">
      <c r="R6384" s="100"/>
      <c r="V6384" s="100"/>
      <c r="Y6384" s="100"/>
    </row>
    <row r="6385">
      <c r="R6385" s="100"/>
      <c r="V6385" s="100"/>
      <c r="Y6385" s="100"/>
    </row>
    <row r="6386">
      <c r="R6386" s="100"/>
      <c r="V6386" s="100"/>
      <c r="Y6386" s="100"/>
    </row>
    <row r="6387">
      <c r="R6387" s="100"/>
      <c r="V6387" s="100"/>
      <c r="Y6387" s="100"/>
    </row>
    <row r="6388">
      <c r="R6388" s="100"/>
      <c r="V6388" s="100"/>
      <c r="Y6388" s="100"/>
    </row>
    <row r="6389">
      <c r="R6389" s="100"/>
      <c r="V6389" s="100"/>
      <c r="Y6389" s="100"/>
    </row>
    <row r="6390">
      <c r="R6390" s="100"/>
      <c r="V6390" s="100"/>
      <c r="Y6390" s="100"/>
    </row>
    <row r="6391">
      <c r="R6391" s="100"/>
      <c r="V6391" s="100"/>
      <c r="Y6391" s="100"/>
    </row>
    <row r="6392">
      <c r="R6392" s="100"/>
      <c r="V6392" s="100"/>
      <c r="Y6392" s="100"/>
    </row>
    <row r="6393">
      <c r="R6393" s="100"/>
      <c r="V6393" s="100"/>
      <c r="Y6393" s="100"/>
    </row>
    <row r="6394">
      <c r="R6394" s="100"/>
      <c r="V6394" s="100"/>
      <c r="Y6394" s="100"/>
    </row>
    <row r="6395">
      <c r="R6395" s="100"/>
      <c r="V6395" s="100"/>
      <c r="Y6395" s="100"/>
    </row>
    <row r="6396">
      <c r="R6396" s="100"/>
      <c r="V6396" s="100"/>
      <c r="Y6396" s="100"/>
    </row>
    <row r="6397">
      <c r="R6397" s="100"/>
      <c r="V6397" s="100"/>
      <c r="Y6397" s="100"/>
    </row>
    <row r="6398">
      <c r="R6398" s="100"/>
      <c r="V6398" s="100"/>
      <c r="Y6398" s="100"/>
    </row>
    <row r="6399">
      <c r="R6399" s="100"/>
      <c r="V6399" s="100"/>
      <c r="Y6399" s="100"/>
    </row>
    <row r="6400">
      <c r="R6400" s="100"/>
      <c r="V6400" s="100"/>
      <c r="Y6400" s="100"/>
    </row>
    <row r="6401">
      <c r="R6401" s="100"/>
      <c r="V6401" s="100"/>
      <c r="Y6401" s="100"/>
    </row>
    <row r="6402">
      <c r="R6402" s="100"/>
      <c r="V6402" s="100"/>
      <c r="Y6402" s="100"/>
    </row>
    <row r="6403">
      <c r="R6403" s="100"/>
      <c r="V6403" s="100"/>
      <c r="Y6403" s="100"/>
    </row>
    <row r="6404">
      <c r="R6404" s="100"/>
      <c r="V6404" s="100"/>
      <c r="Y6404" s="100"/>
    </row>
    <row r="6405">
      <c r="R6405" s="100"/>
      <c r="V6405" s="100"/>
      <c r="Y6405" s="100"/>
    </row>
    <row r="6406">
      <c r="R6406" s="100"/>
      <c r="V6406" s="100"/>
      <c r="Y6406" s="100"/>
    </row>
    <row r="6407">
      <c r="R6407" s="100"/>
      <c r="V6407" s="100"/>
      <c r="Y6407" s="100"/>
    </row>
    <row r="6408">
      <c r="R6408" s="100"/>
      <c r="V6408" s="100"/>
      <c r="Y6408" s="100"/>
    </row>
    <row r="6409">
      <c r="R6409" s="100"/>
      <c r="V6409" s="100"/>
      <c r="Y6409" s="100"/>
    </row>
    <row r="6410">
      <c r="R6410" s="100"/>
      <c r="V6410" s="100"/>
      <c r="Y6410" s="100"/>
    </row>
    <row r="6411">
      <c r="R6411" s="100"/>
      <c r="V6411" s="100"/>
      <c r="Y6411" s="100"/>
    </row>
    <row r="6412">
      <c r="R6412" s="100"/>
      <c r="V6412" s="100"/>
      <c r="Y6412" s="100"/>
    </row>
    <row r="6413">
      <c r="R6413" s="100"/>
      <c r="V6413" s="100"/>
      <c r="Y6413" s="100"/>
    </row>
    <row r="6414">
      <c r="R6414" s="100"/>
      <c r="V6414" s="100"/>
      <c r="Y6414" s="100"/>
    </row>
    <row r="6415">
      <c r="R6415" s="100"/>
      <c r="V6415" s="100"/>
      <c r="Y6415" s="100"/>
    </row>
    <row r="6416">
      <c r="R6416" s="100"/>
      <c r="V6416" s="100"/>
      <c r="Y6416" s="100"/>
    </row>
    <row r="6417">
      <c r="R6417" s="100"/>
      <c r="V6417" s="100"/>
      <c r="Y6417" s="100"/>
    </row>
    <row r="6418">
      <c r="R6418" s="100"/>
      <c r="V6418" s="100"/>
      <c r="Y6418" s="100"/>
    </row>
    <row r="6419">
      <c r="R6419" s="100"/>
      <c r="V6419" s="100"/>
      <c r="Y6419" s="100"/>
    </row>
    <row r="6420">
      <c r="R6420" s="100"/>
      <c r="V6420" s="100"/>
      <c r="Y6420" s="100"/>
    </row>
    <row r="6421">
      <c r="R6421" s="100"/>
      <c r="V6421" s="100"/>
      <c r="Y6421" s="100"/>
    </row>
    <row r="6422">
      <c r="R6422" s="100"/>
      <c r="V6422" s="100"/>
      <c r="Y6422" s="100"/>
    </row>
    <row r="6423">
      <c r="R6423" s="100"/>
      <c r="V6423" s="100"/>
      <c r="Y6423" s="100"/>
    </row>
    <row r="6424">
      <c r="R6424" s="100"/>
      <c r="V6424" s="100"/>
      <c r="Y6424" s="100"/>
    </row>
    <row r="6425">
      <c r="R6425" s="100"/>
      <c r="V6425" s="100"/>
      <c r="Y6425" s="100"/>
    </row>
    <row r="6426">
      <c r="R6426" s="100"/>
      <c r="V6426" s="100"/>
      <c r="Y6426" s="100"/>
    </row>
    <row r="6427">
      <c r="R6427" s="100"/>
      <c r="V6427" s="100"/>
      <c r="Y6427" s="100"/>
    </row>
    <row r="6428">
      <c r="R6428" s="100"/>
      <c r="V6428" s="100"/>
      <c r="Y6428" s="100"/>
    </row>
    <row r="6429">
      <c r="R6429" s="100"/>
      <c r="V6429" s="100"/>
      <c r="Y6429" s="100"/>
    </row>
    <row r="6430">
      <c r="R6430" s="100"/>
      <c r="V6430" s="100"/>
      <c r="Y6430" s="100"/>
    </row>
    <row r="6431">
      <c r="R6431" s="100"/>
      <c r="V6431" s="100"/>
      <c r="Y6431" s="100"/>
    </row>
    <row r="6432">
      <c r="R6432" s="100"/>
      <c r="V6432" s="100"/>
      <c r="Y6432" s="100"/>
    </row>
    <row r="6433">
      <c r="R6433" s="100"/>
      <c r="V6433" s="100"/>
      <c r="Y6433" s="100"/>
    </row>
    <row r="6434">
      <c r="R6434" s="100"/>
      <c r="V6434" s="100"/>
      <c r="Y6434" s="100"/>
    </row>
    <row r="6435">
      <c r="R6435" s="100"/>
      <c r="V6435" s="100"/>
      <c r="Y6435" s="100"/>
    </row>
    <row r="6436">
      <c r="R6436" s="100"/>
      <c r="V6436" s="100"/>
      <c r="Y6436" s="100"/>
    </row>
    <row r="6437">
      <c r="R6437" s="100"/>
      <c r="V6437" s="100"/>
      <c r="Y6437" s="100"/>
    </row>
    <row r="6438">
      <c r="R6438" s="100"/>
      <c r="V6438" s="100"/>
      <c r="Y6438" s="100"/>
    </row>
    <row r="6439">
      <c r="R6439" s="100"/>
      <c r="V6439" s="100"/>
      <c r="Y6439" s="100"/>
    </row>
    <row r="6440">
      <c r="R6440" s="100"/>
      <c r="V6440" s="100"/>
      <c r="Y6440" s="100"/>
    </row>
    <row r="6441">
      <c r="R6441" s="100"/>
      <c r="V6441" s="100"/>
      <c r="Y6441" s="100"/>
    </row>
    <row r="6442">
      <c r="R6442" s="100"/>
      <c r="V6442" s="100"/>
      <c r="Y6442" s="100"/>
    </row>
    <row r="6443">
      <c r="R6443" s="100"/>
      <c r="V6443" s="100"/>
      <c r="Y6443" s="100"/>
    </row>
    <row r="6444">
      <c r="R6444" s="100"/>
      <c r="V6444" s="100"/>
      <c r="Y6444" s="100"/>
    </row>
    <row r="6445">
      <c r="R6445" s="100"/>
      <c r="V6445" s="100"/>
      <c r="Y6445" s="100"/>
    </row>
    <row r="6446">
      <c r="R6446" s="100"/>
      <c r="V6446" s="100"/>
      <c r="Y6446" s="100"/>
    </row>
    <row r="6447">
      <c r="R6447" s="100"/>
      <c r="V6447" s="100"/>
      <c r="Y6447" s="100"/>
    </row>
    <row r="6448">
      <c r="R6448" s="100"/>
      <c r="V6448" s="100"/>
      <c r="Y6448" s="100"/>
    </row>
    <row r="6449">
      <c r="R6449" s="100"/>
      <c r="V6449" s="100"/>
      <c r="Y6449" s="100"/>
    </row>
    <row r="6450">
      <c r="R6450" s="100"/>
      <c r="V6450" s="100"/>
      <c r="Y6450" s="100"/>
    </row>
    <row r="6451">
      <c r="R6451" s="100"/>
      <c r="V6451" s="100"/>
      <c r="Y6451" s="100"/>
    </row>
    <row r="6452">
      <c r="R6452" s="100"/>
      <c r="V6452" s="100"/>
      <c r="Y6452" s="100"/>
    </row>
    <row r="6453">
      <c r="R6453" s="100"/>
      <c r="V6453" s="100"/>
      <c r="Y6453" s="100"/>
    </row>
    <row r="6454">
      <c r="R6454" s="100"/>
      <c r="V6454" s="100"/>
      <c r="Y6454" s="100"/>
    </row>
    <row r="6455">
      <c r="R6455" s="100"/>
      <c r="V6455" s="100"/>
      <c r="Y6455" s="100"/>
    </row>
    <row r="6456">
      <c r="R6456" s="100"/>
      <c r="V6456" s="100"/>
      <c r="Y6456" s="100"/>
    </row>
    <row r="6457">
      <c r="R6457" s="100"/>
      <c r="V6457" s="100"/>
      <c r="Y6457" s="100"/>
    </row>
    <row r="6458">
      <c r="R6458" s="100"/>
      <c r="V6458" s="100"/>
      <c r="Y6458" s="100"/>
    </row>
    <row r="6459">
      <c r="R6459" s="100"/>
      <c r="V6459" s="100"/>
      <c r="Y6459" s="100"/>
    </row>
    <row r="6460">
      <c r="R6460" s="100"/>
      <c r="V6460" s="100"/>
      <c r="Y6460" s="100"/>
    </row>
    <row r="6461">
      <c r="R6461" s="100"/>
      <c r="V6461" s="100"/>
      <c r="Y6461" s="100"/>
    </row>
    <row r="6462">
      <c r="R6462" s="100"/>
      <c r="V6462" s="100"/>
      <c r="Y6462" s="100"/>
    </row>
    <row r="6463">
      <c r="R6463" s="100"/>
      <c r="V6463" s="100"/>
      <c r="Y6463" s="100"/>
    </row>
    <row r="6464">
      <c r="R6464" s="100"/>
      <c r="V6464" s="100"/>
      <c r="Y6464" s="100"/>
    </row>
    <row r="6465">
      <c r="R6465" s="100"/>
      <c r="V6465" s="100"/>
      <c r="Y6465" s="100"/>
    </row>
    <row r="6466">
      <c r="R6466" s="100"/>
      <c r="V6466" s="100"/>
      <c r="Y6466" s="100"/>
    </row>
    <row r="6467">
      <c r="R6467" s="100"/>
      <c r="V6467" s="100"/>
      <c r="Y6467" s="100"/>
    </row>
    <row r="6468">
      <c r="R6468" s="100"/>
      <c r="V6468" s="100"/>
      <c r="Y6468" s="100"/>
    </row>
    <row r="6469">
      <c r="R6469" s="100"/>
      <c r="V6469" s="100"/>
      <c r="Y6469" s="100"/>
    </row>
    <row r="6470">
      <c r="R6470" s="100"/>
      <c r="V6470" s="100"/>
      <c r="Y6470" s="100"/>
    </row>
    <row r="6471">
      <c r="R6471" s="100"/>
      <c r="V6471" s="100"/>
      <c r="Y6471" s="100"/>
    </row>
    <row r="6472">
      <c r="R6472" s="100"/>
      <c r="V6472" s="100"/>
      <c r="Y6472" s="100"/>
    </row>
    <row r="6473">
      <c r="R6473" s="100"/>
      <c r="V6473" s="100"/>
      <c r="Y6473" s="100"/>
    </row>
    <row r="6474">
      <c r="R6474" s="100"/>
      <c r="V6474" s="100"/>
      <c r="Y6474" s="100"/>
    </row>
    <row r="6475">
      <c r="R6475" s="100"/>
      <c r="V6475" s="100"/>
      <c r="Y6475" s="100"/>
    </row>
    <row r="6476">
      <c r="R6476" s="100"/>
      <c r="V6476" s="100"/>
      <c r="Y6476" s="100"/>
    </row>
    <row r="6477">
      <c r="R6477" s="100"/>
      <c r="V6477" s="100"/>
      <c r="Y6477" s="100"/>
    </row>
    <row r="6478">
      <c r="R6478" s="100"/>
      <c r="V6478" s="100"/>
      <c r="Y6478" s="100"/>
    </row>
    <row r="6479">
      <c r="R6479" s="100"/>
      <c r="V6479" s="100"/>
      <c r="Y6479" s="100"/>
    </row>
    <row r="6480">
      <c r="R6480" s="100"/>
      <c r="V6480" s="100"/>
      <c r="Y6480" s="100"/>
    </row>
    <row r="6481">
      <c r="R6481" s="100"/>
      <c r="V6481" s="100"/>
      <c r="Y6481" s="100"/>
    </row>
    <row r="6482">
      <c r="R6482" s="100"/>
      <c r="V6482" s="100"/>
      <c r="Y6482" s="100"/>
    </row>
    <row r="6483">
      <c r="R6483" s="100"/>
      <c r="V6483" s="100"/>
      <c r="Y6483" s="100"/>
    </row>
    <row r="6484">
      <c r="R6484" s="100"/>
      <c r="V6484" s="100"/>
      <c r="Y6484" s="100"/>
    </row>
    <row r="6485">
      <c r="R6485" s="100"/>
      <c r="V6485" s="100"/>
      <c r="Y6485" s="100"/>
    </row>
    <row r="6486">
      <c r="R6486" s="100"/>
      <c r="V6486" s="100"/>
      <c r="Y6486" s="100"/>
    </row>
    <row r="6487">
      <c r="R6487" s="100"/>
      <c r="V6487" s="100"/>
      <c r="Y6487" s="100"/>
    </row>
    <row r="6488">
      <c r="R6488" s="100"/>
      <c r="V6488" s="100"/>
      <c r="Y6488" s="100"/>
    </row>
    <row r="6489">
      <c r="R6489" s="100"/>
      <c r="V6489" s="100"/>
      <c r="Y6489" s="100"/>
    </row>
    <row r="6490">
      <c r="R6490" s="100"/>
      <c r="V6490" s="100"/>
      <c r="Y6490" s="100"/>
    </row>
    <row r="6491">
      <c r="R6491" s="100"/>
      <c r="V6491" s="100"/>
      <c r="Y6491" s="100"/>
    </row>
    <row r="6492">
      <c r="R6492" s="100"/>
      <c r="V6492" s="100"/>
      <c r="Y6492" s="100"/>
    </row>
    <row r="6493">
      <c r="R6493" s="100"/>
      <c r="V6493" s="100"/>
      <c r="Y6493" s="100"/>
    </row>
    <row r="6494">
      <c r="R6494" s="100"/>
      <c r="V6494" s="100"/>
      <c r="Y6494" s="100"/>
    </row>
    <row r="6495">
      <c r="R6495" s="100"/>
      <c r="V6495" s="100"/>
      <c r="Y6495" s="100"/>
    </row>
    <row r="6496">
      <c r="R6496" s="100"/>
      <c r="V6496" s="100"/>
      <c r="Y6496" s="100"/>
    </row>
    <row r="6497">
      <c r="R6497" s="100"/>
      <c r="V6497" s="100"/>
      <c r="Y6497" s="100"/>
    </row>
    <row r="6498">
      <c r="R6498" s="100"/>
      <c r="V6498" s="100"/>
      <c r="Y6498" s="100"/>
    </row>
    <row r="6499">
      <c r="R6499" s="100"/>
      <c r="V6499" s="100"/>
      <c r="Y6499" s="100"/>
    </row>
    <row r="6500">
      <c r="R6500" s="100"/>
      <c r="V6500" s="100"/>
      <c r="Y6500" s="100"/>
    </row>
    <row r="6501">
      <c r="R6501" s="100"/>
      <c r="V6501" s="100"/>
      <c r="Y6501" s="100"/>
    </row>
    <row r="6502">
      <c r="R6502" s="100"/>
      <c r="V6502" s="100"/>
      <c r="Y6502" s="100"/>
    </row>
    <row r="6503">
      <c r="R6503" s="100"/>
      <c r="V6503" s="100"/>
      <c r="Y6503" s="100"/>
    </row>
    <row r="6504">
      <c r="R6504" s="100"/>
      <c r="V6504" s="100"/>
      <c r="Y6504" s="100"/>
    </row>
    <row r="6505">
      <c r="R6505" s="100"/>
      <c r="V6505" s="100"/>
      <c r="Y6505" s="100"/>
    </row>
    <row r="6506">
      <c r="R6506" s="100"/>
      <c r="V6506" s="100"/>
      <c r="Y6506" s="100"/>
    </row>
    <row r="6507">
      <c r="R6507" s="100"/>
      <c r="V6507" s="100"/>
      <c r="Y6507" s="100"/>
    </row>
    <row r="6508">
      <c r="R6508" s="100"/>
      <c r="V6508" s="100"/>
      <c r="Y6508" s="100"/>
    </row>
    <row r="6509">
      <c r="R6509" s="100"/>
      <c r="V6509" s="100"/>
      <c r="Y6509" s="100"/>
    </row>
    <row r="6510">
      <c r="R6510" s="100"/>
      <c r="V6510" s="100"/>
      <c r="Y6510" s="100"/>
    </row>
    <row r="6511">
      <c r="R6511" s="100"/>
      <c r="V6511" s="100"/>
      <c r="Y6511" s="100"/>
    </row>
    <row r="6512">
      <c r="R6512" s="100"/>
      <c r="V6512" s="100"/>
      <c r="Y6512" s="100"/>
    </row>
    <row r="6513">
      <c r="R6513" s="100"/>
      <c r="V6513" s="100"/>
      <c r="Y6513" s="100"/>
    </row>
    <row r="6514">
      <c r="R6514" s="100"/>
      <c r="V6514" s="100"/>
      <c r="Y6514" s="100"/>
    </row>
    <row r="6515">
      <c r="R6515" s="100"/>
      <c r="V6515" s="100"/>
      <c r="Y6515" s="100"/>
    </row>
    <row r="6516">
      <c r="R6516" s="100"/>
      <c r="V6516" s="100"/>
      <c r="Y6516" s="100"/>
    </row>
    <row r="6517">
      <c r="R6517" s="100"/>
      <c r="V6517" s="100"/>
      <c r="Y6517" s="100"/>
    </row>
    <row r="6518">
      <c r="R6518" s="100"/>
      <c r="V6518" s="100"/>
      <c r="Y6518" s="100"/>
    </row>
    <row r="6519">
      <c r="R6519" s="100"/>
      <c r="V6519" s="100"/>
      <c r="Y6519" s="100"/>
    </row>
    <row r="6520">
      <c r="R6520" s="100"/>
      <c r="V6520" s="100"/>
      <c r="Y6520" s="100"/>
    </row>
    <row r="6521">
      <c r="R6521" s="100"/>
      <c r="V6521" s="100"/>
      <c r="Y6521" s="100"/>
    </row>
    <row r="6522">
      <c r="R6522" s="100"/>
      <c r="V6522" s="100"/>
      <c r="Y6522" s="100"/>
    </row>
    <row r="6523">
      <c r="R6523" s="100"/>
      <c r="V6523" s="100"/>
      <c r="Y6523" s="100"/>
    </row>
    <row r="6524">
      <c r="R6524" s="100"/>
      <c r="V6524" s="100"/>
      <c r="Y6524" s="100"/>
    </row>
    <row r="6525">
      <c r="R6525" s="100"/>
      <c r="V6525" s="100"/>
      <c r="Y6525" s="100"/>
    </row>
    <row r="6526">
      <c r="R6526" s="100"/>
      <c r="V6526" s="100"/>
      <c r="Y6526" s="100"/>
    </row>
    <row r="6527">
      <c r="R6527" s="100"/>
      <c r="V6527" s="100"/>
      <c r="Y6527" s="100"/>
    </row>
    <row r="6528">
      <c r="R6528" s="100"/>
      <c r="V6528" s="100"/>
      <c r="Y6528" s="100"/>
    </row>
    <row r="6529">
      <c r="R6529" s="100"/>
      <c r="V6529" s="100"/>
      <c r="Y6529" s="100"/>
    </row>
    <row r="6530">
      <c r="R6530" s="100"/>
      <c r="V6530" s="100"/>
      <c r="Y6530" s="100"/>
    </row>
    <row r="6531">
      <c r="R6531" s="100"/>
      <c r="V6531" s="100"/>
      <c r="Y6531" s="100"/>
    </row>
    <row r="6532">
      <c r="R6532" s="100"/>
      <c r="V6532" s="100"/>
      <c r="Y6532" s="100"/>
    </row>
    <row r="6533">
      <c r="R6533" s="100"/>
      <c r="V6533" s="100"/>
      <c r="Y6533" s="100"/>
    </row>
    <row r="6534">
      <c r="R6534" s="100"/>
      <c r="V6534" s="100"/>
      <c r="Y6534" s="100"/>
    </row>
    <row r="6535">
      <c r="R6535" s="100"/>
      <c r="V6535" s="100"/>
      <c r="Y6535" s="100"/>
    </row>
    <row r="6536">
      <c r="R6536" s="100"/>
      <c r="V6536" s="100"/>
      <c r="Y6536" s="100"/>
    </row>
    <row r="6537">
      <c r="R6537" s="100"/>
      <c r="V6537" s="100"/>
      <c r="Y6537" s="100"/>
    </row>
    <row r="6538">
      <c r="R6538" s="100"/>
      <c r="V6538" s="100"/>
      <c r="Y6538" s="100"/>
    </row>
    <row r="6539">
      <c r="R6539" s="100"/>
      <c r="V6539" s="100"/>
      <c r="Y6539" s="100"/>
    </row>
    <row r="6540">
      <c r="R6540" s="100"/>
      <c r="V6540" s="100"/>
      <c r="Y6540" s="100"/>
    </row>
    <row r="6541">
      <c r="R6541" s="100"/>
      <c r="V6541" s="100"/>
      <c r="Y6541" s="100"/>
    </row>
    <row r="6542">
      <c r="R6542" s="100"/>
      <c r="V6542" s="100"/>
      <c r="Y6542" s="100"/>
    </row>
    <row r="6543">
      <c r="R6543" s="100"/>
      <c r="V6543" s="100"/>
      <c r="Y6543" s="100"/>
    </row>
    <row r="6544">
      <c r="R6544" s="100"/>
      <c r="V6544" s="100"/>
      <c r="Y6544" s="100"/>
    </row>
    <row r="6545">
      <c r="R6545" s="100"/>
      <c r="V6545" s="100"/>
      <c r="Y6545" s="100"/>
    </row>
    <row r="6546">
      <c r="R6546" s="100"/>
      <c r="V6546" s="100"/>
      <c r="Y6546" s="100"/>
    </row>
    <row r="6547">
      <c r="R6547" s="100"/>
      <c r="V6547" s="100"/>
      <c r="Y6547" s="100"/>
    </row>
    <row r="6548">
      <c r="R6548" s="100"/>
      <c r="V6548" s="100"/>
      <c r="Y6548" s="100"/>
    </row>
    <row r="6549">
      <c r="R6549" s="100"/>
      <c r="V6549" s="100"/>
      <c r="Y6549" s="100"/>
    </row>
    <row r="6550">
      <c r="R6550" s="100"/>
      <c r="V6550" s="100"/>
      <c r="Y6550" s="100"/>
    </row>
    <row r="6551">
      <c r="R6551" s="100"/>
      <c r="V6551" s="100"/>
      <c r="Y6551" s="100"/>
    </row>
    <row r="6552">
      <c r="R6552" s="100"/>
      <c r="V6552" s="100"/>
      <c r="Y6552" s="100"/>
    </row>
    <row r="6553">
      <c r="R6553" s="100"/>
      <c r="V6553" s="100"/>
      <c r="Y6553" s="100"/>
    </row>
    <row r="6554">
      <c r="R6554" s="100"/>
      <c r="V6554" s="100"/>
      <c r="Y6554" s="100"/>
    </row>
    <row r="6555">
      <c r="R6555" s="100"/>
      <c r="V6555" s="100"/>
      <c r="Y6555" s="100"/>
    </row>
    <row r="6556">
      <c r="R6556" s="100"/>
      <c r="V6556" s="100"/>
      <c r="Y6556" s="100"/>
    </row>
    <row r="6557">
      <c r="R6557" s="100"/>
      <c r="V6557" s="100"/>
      <c r="Y6557" s="100"/>
    </row>
    <row r="6558">
      <c r="R6558" s="100"/>
      <c r="V6558" s="100"/>
      <c r="Y6558" s="100"/>
    </row>
    <row r="6559">
      <c r="R6559" s="100"/>
      <c r="V6559" s="100"/>
      <c r="Y6559" s="100"/>
    </row>
    <row r="6560">
      <c r="R6560" s="100"/>
      <c r="V6560" s="100"/>
      <c r="Y6560" s="100"/>
    </row>
    <row r="6561">
      <c r="R6561" s="100"/>
      <c r="V6561" s="100"/>
      <c r="Y6561" s="100"/>
    </row>
    <row r="6562">
      <c r="R6562" s="100"/>
      <c r="V6562" s="100"/>
      <c r="Y6562" s="100"/>
    </row>
    <row r="6563">
      <c r="R6563" s="100"/>
      <c r="V6563" s="100"/>
      <c r="Y6563" s="100"/>
    </row>
    <row r="6564">
      <c r="R6564" s="100"/>
      <c r="V6564" s="100"/>
      <c r="Y6564" s="100"/>
    </row>
    <row r="6565">
      <c r="R6565" s="100"/>
      <c r="V6565" s="100"/>
      <c r="Y6565" s="100"/>
    </row>
    <row r="6566">
      <c r="R6566" s="100"/>
      <c r="V6566" s="100"/>
      <c r="Y6566" s="100"/>
    </row>
    <row r="6567">
      <c r="R6567" s="100"/>
      <c r="V6567" s="100"/>
      <c r="Y6567" s="100"/>
    </row>
    <row r="6568">
      <c r="R6568" s="100"/>
      <c r="V6568" s="100"/>
      <c r="Y6568" s="100"/>
    </row>
    <row r="6569">
      <c r="R6569" s="100"/>
      <c r="V6569" s="100"/>
      <c r="Y6569" s="100"/>
    </row>
    <row r="6570">
      <c r="R6570" s="100"/>
      <c r="V6570" s="100"/>
      <c r="Y6570" s="100"/>
    </row>
    <row r="6571">
      <c r="R6571" s="100"/>
      <c r="V6571" s="100"/>
      <c r="Y6571" s="100"/>
    </row>
    <row r="6572">
      <c r="R6572" s="100"/>
      <c r="V6572" s="100"/>
      <c r="Y6572" s="100"/>
    </row>
    <row r="6573">
      <c r="R6573" s="100"/>
      <c r="V6573" s="100"/>
      <c r="Y6573" s="100"/>
    </row>
    <row r="6574">
      <c r="R6574" s="100"/>
      <c r="V6574" s="100"/>
      <c r="Y6574" s="100"/>
    </row>
    <row r="6575">
      <c r="R6575" s="100"/>
      <c r="V6575" s="100"/>
      <c r="Y6575" s="100"/>
    </row>
    <row r="6576">
      <c r="R6576" s="100"/>
      <c r="V6576" s="100"/>
      <c r="Y6576" s="100"/>
    </row>
    <row r="6577">
      <c r="R6577" s="100"/>
      <c r="V6577" s="100"/>
      <c r="Y6577" s="100"/>
    </row>
    <row r="6578">
      <c r="R6578" s="100"/>
      <c r="V6578" s="100"/>
      <c r="Y6578" s="100"/>
    </row>
    <row r="6579">
      <c r="R6579" s="100"/>
      <c r="V6579" s="100"/>
      <c r="Y6579" s="100"/>
    </row>
    <row r="6580">
      <c r="R6580" s="100"/>
      <c r="V6580" s="100"/>
      <c r="Y6580" s="100"/>
    </row>
    <row r="6581">
      <c r="R6581" s="100"/>
      <c r="V6581" s="100"/>
      <c r="Y6581" s="100"/>
    </row>
    <row r="6582">
      <c r="R6582" s="100"/>
      <c r="V6582" s="100"/>
      <c r="Y6582" s="100"/>
    </row>
    <row r="6583">
      <c r="R6583" s="100"/>
      <c r="V6583" s="100"/>
      <c r="Y6583" s="100"/>
    </row>
    <row r="6584">
      <c r="R6584" s="100"/>
      <c r="V6584" s="100"/>
      <c r="Y6584" s="100"/>
    </row>
    <row r="6585">
      <c r="R6585" s="100"/>
      <c r="V6585" s="100"/>
      <c r="Y6585" s="100"/>
    </row>
    <row r="6586">
      <c r="R6586" s="100"/>
      <c r="V6586" s="100"/>
      <c r="Y6586" s="100"/>
    </row>
    <row r="6587">
      <c r="R6587" s="100"/>
      <c r="V6587" s="100"/>
      <c r="Y6587" s="100"/>
    </row>
    <row r="6588">
      <c r="R6588" s="100"/>
      <c r="V6588" s="100"/>
      <c r="Y6588" s="100"/>
    </row>
    <row r="6589">
      <c r="R6589" s="100"/>
      <c r="V6589" s="100"/>
      <c r="Y6589" s="100"/>
    </row>
    <row r="6590">
      <c r="R6590" s="100"/>
      <c r="V6590" s="100"/>
      <c r="Y6590" s="100"/>
    </row>
    <row r="6591">
      <c r="R6591" s="100"/>
      <c r="V6591" s="100"/>
      <c r="Y6591" s="100"/>
    </row>
    <row r="6592">
      <c r="R6592" s="100"/>
      <c r="V6592" s="100"/>
      <c r="Y6592" s="100"/>
    </row>
    <row r="6593">
      <c r="R6593" s="100"/>
      <c r="V6593" s="100"/>
      <c r="Y6593" s="100"/>
    </row>
    <row r="6594">
      <c r="R6594" s="100"/>
      <c r="V6594" s="100"/>
      <c r="Y6594" s="100"/>
    </row>
    <row r="6595">
      <c r="R6595" s="100"/>
      <c r="V6595" s="100"/>
      <c r="Y6595" s="100"/>
    </row>
    <row r="6596">
      <c r="R6596" s="100"/>
      <c r="V6596" s="100"/>
      <c r="Y6596" s="100"/>
    </row>
    <row r="6597">
      <c r="R6597" s="100"/>
      <c r="V6597" s="100"/>
      <c r="Y6597" s="100"/>
    </row>
    <row r="6598">
      <c r="R6598" s="100"/>
      <c r="V6598" s="100"/>
      <c r="Y6598" s="100"/>
    </row>
    <row r="6599">
      <c r="R6599" s="100"/>
      <c r="V6599" s="100"/>
      <c r="Y6599" s="100"/>
    </row>
    <row r="6600">
      <c r="R6600" s="100"/>
      <c r="V6600" s="100"/>
      <c r="Y6600" s="100"/>
    </row>
    <row r="6601">
      <c r="R6601" s="100"/>
      <c r="V6601" s="100"/>
      <c r="Y6601" s="100"/>
    </row>
    <row r="6602">
      <c r="R6602" s="100"/>
      <c r="V6602" s="100"/>
      <c r="Y6602" s="100"/>
    </row>
    <row r="6603">
      <c r="R6603" s="100"/>
      <c r="V6603" s="100"/>
      <c r="Y6603" s="100"/>
    </row>
    <row r="6604">
      <c r="R6604" s="100"/>
      <c r="V6604" s="100"/>
      <c r="Y6604" s="100"/>
    </row>
    <row r="6605">
      <c r="R6605" s="100"/>
      <c r="V6605" s="100"/>
      <c r="Y6605" s="100"/>
    </row>
    <row r="6606">
      <c r="R6606" s="100"/>
      <c r="V6606" s="100"/>
      <c r="Y6606" s="100"/>
    </row>
    <row r="6607">
      <c r="R6607" s="100"/>
      <c r="V6607" s="100"/>
      <c r="Y6607" s="100"/>
    </row>
    <row r="6608">
      <c r="R6608" s="100"/>
      <c r="V6608" s="100"/>
      <c r="Y6608" s="100"/>
    </row>
    <row r="6609">
      <c r="R6609" s="100"/>
      <c r="V6609" s="100"/>
      <c r="Y6609" s="100"/>
    </row>
    <row r="6610">
      <c r="R6610" s="100"/>
      <c r="V6610" s="100"/>
      <c r="Y6610" s="100"/>
    </row>
    <row r="6611">
      <c r="R6611" s="100"/>
      <c r="V6611" s="100"/>
      <c r="Y6611" s="100"/>
    </row>
    <row r="6612">
      <c r="R6612" s="100"/>
      <c r="V6612" s="100"/>
      <c r="Y6612" s="100"/>
    </row>
    <row r="6613">
      <c r="R6613" s="100"/>
      <c r="V6613" s="100"/>
      <c r="Y6613" s="100"/>
    </row>
    <row r="6614">
      <c r="R6614" s="100"/>
      <c r="V6614" s="100"/>
      <c r="Y6614" s="100"/>
    </row>
    <row r="6615">
      <c r="R6615" s="100"/>
      <c r="V6615" s="100"/>
      <c r="Y6615" s="100"/>
    </row>
    <row r="6616">
      <c r="R6616" s="100"/>
      <c r="V6616" s="100"/>
      <c r="Y6616" s="100"/>
    </row>
    <row r="6617">
      <c r="R6617" s="100"/>
      <c r="V6617" s="100"/>
      <c r="Y6617" s="100"/>
    </row>
    <row r="6618">
      <c r="R6618" s="100"/>
      <c r="V6618" s="100"/>
      <c r="Y6618" s="100"/>
    </row>
    <row r="6619">
      <c r="R6619" s="100"/>
      <c r="V6619" s="100"/>
      <c r="Y6619" s="100"/>
    </row>
    <row r="6620">
      <c r="R6620" s="100"/>
      <c r="V6620" s="100"/>
      <c r="Y6620" s="100"/>
    </row>
    <row r="6621">
      <c r="R6621" s="100"/>
      <c r="V6621" s="100"/>
      <c r="Y6621" s="100"/>
    </row>
    <row r="6622">
      <c r="R6622" s="100"/>
      <c r="V6622" s="100"/>
      <c r="Y6622" s="100"/>
    </row>
    <row r="6623">
      <c r="R6623" s="100"/>
      <c r="V6623" s="100"/>
      <c r="Y6623" s="100"/>
    </row>
    <row r="6624">
      <c r="R6624" s="100"/>
      <c r="V6624" s="100"/>
      <c r="Y6624" s="100"/>
    </row>
    <row r="6625">
      <c r="R6625" s="100"/>
      <c r="V6625" s="100"/>
      <c r="Y6625" s="100"/>
    </row>
    <row r="6626">
      <c r="R6626" s="100"/>
      <c r="V6626" s="100"/>
      <c r="Y6626" s="100"/>
    </row>
    <row r="6627">
      <c r="R6627" s="100"/>
      <c r="V6627" s="100"/>
      <c r="Y6627" s="100"/>
    </row>
    <row r="6628">
      <c r="R6628" s="100"/>
      <c r="V6628" s="100"/>
      <c r="Y6628" s="100"/>
    </row>
    <row r="6629">
      <c r="R6629" s="100"/>
      <c r="V6629" s="100"/>
      <c r="Y6629" s="100"/>
    </row>
    <row r="6630">
      <c r="R6630" s="100"/>
      <c r="V6630" s="100"/>
      <c r="Y6630" s="100"/>
    </row>
    <row r="6631">
      <c r="R6631" s="100"/>
      <c r="V6631" s="100"/>
      <c r="Y6631" s="100"/>
    </row>
    <row r="6632">
      <c r="R6632" s="100"/>
      <c r="V6632" s="100"/>
      <c r="Y6632" s="100"/>
    </row>
    <row r="6633">
      <c r="R6633" s="100"/>
      <c r="V6633" s="100"/>
      <c r="Y6633" s="100"/>
    </row>
    <row r="6634">
      <c r="R6634" s="100"/>
      <c r="V6634" s="100"/>
      <c r="Y6634" s="100"/>
    </row>
    <row r="6635">
      <c r="R6635" s="100"/>
      <c r="V6635" s="100"/>
      <c r="Y6635" s="100"/>
    </row>
    <row r="6636">
      <c r="R6636" s="100"/>
      <c r="V6636" s="100"/>
      <c r="Y6636" s="100"/>
    </row>
    <row r="6637">
      <c r="R6637" s="100"/>
      <c r="V6637" s="100"/>
      <c r="Y6637" s="100"/>
    </row>
    <row r="6638">
      <c r="R6638" s="100"/>
      <c r="V6638" s="100"/>
      <c r="Y6638" s="100"/>
    </row>
    <row r="6639">
      <c r="R6639" s="100"/>
      <c r="V6639" s="100"/>
      <c r="Y6639" s="100"/>
    </row>
    <row r="6640">
      <c r="R6640" s="100"/>
      <c r="V6640" s="100"/>
      <c r="Y6640" s="100"/>
    </row>
    <row r="6641">
      <c r="R6641" s="100"/>
      <c r="V6641" s="100"/>
      <c r="Y6641" s="100"/>
    </row>
    <row r="6642">
      <c r="R6642" s="100"/>
      <c r="V6642" s="100"/>
      <c r="Y6642" s="100"/>
    </row>
    <row r="6643">
      <c r="R6643" s="100"/>
      <c r="V6643" s="100"/>
      <c r="Y6643" s="100"/>
    </row>
    <row r="6644">
      <c r="R6644" s="100"/>
      <c r="V6644" s="100"/>
      <c r="Y6644" s="100"/>
    </row>
    <row r="6645">
      <c r="R6645" s="100"/>
      <c r="V6645" s="100"/>
      <c r="Y6645" s="100"/>
    </row>
    <row r="6646">
      <c r="R6646" s="100"/>
      <c r="V6646" s="100"/>
      <c r="Y6646" s="100"/>
    </row>
    <row r="6647">
      <c r="R6647" s="100"/>
      <c r="V6647" s="100"/>
      <c r="Y6647" s="100"/>
    </row>
    <row r="6648">
      <c r="R6648" s="100"/>
      <c r="V6648" s="100"/>
      <c r="Y6648" s="100"/>
    </row>
    <row r="6649">
      <c r="R6649" s="100"/>
      <c r="V6649" s="100"/>
      <c r="Y6649" s="100"/>
    </row>
    <row r="6650">
      <c r="R6650" s="100"/>
      <c r="V6650" s="100"/>
      <c r="Y6650" s="100"/>
    </row>
    <row r="6651">
      <c r="R6651" s="100"/>
      <c r="V6651" s="100"/>
      <c r="Y6651" s="100"/>
    </row>
    <row r="6652">
      <c r="R6652" s="100"/>
      <c r="V6652" s="100"/>
      <c r="Y6652" s="100"/>
    </row>
    <row r="6653">
      <c r="R6653" s="100"/>
      <c r="V6653" s="100"/>
      <c r="Y6653" s="100"/>
    </row>
    <row r="6654">
      <c r="R6654" s="100"/>
      <c r="V6654" s="100"/>
      <c r="Y6654" s="100"/>
    </row>
    <row r="6655">
      <c r="R6655" s="100"/>
      <c r="V6655" s="100"/>
      <c r="Y6655" s="100"/>
    </row>
    <row r="6656">
      <c r="R6656" s="100"/>
      <c r="V6656" s="100"/>
      <c r="Y6656" s="100"/>
    </row>
    <row r="6657">
      <c r="R6657" s="100"/>
      <c r="V6657" s="100"/>
      <c r="Y6657" s="100"/>
    </row>
    <row r="6658">
      <c r="R6658" s="100"/>
      <c r="V6658" s="100"/>
      <c r="Y6658" s="100"/>
    </row>
    <row r="6659">
      <c r="R6659" s="100"/>
      <c r="V6659" s="100"/>
      <c r="Y6659" s="100"/>
    </row>
    <row r="6660">
      <c r="R6660" s="100"/>
      <c r="V6660" s="100"/>
      <c r="Y6660" s="100"/>
    </row>
    <row r="6661">
      <c r="R6661" s="100"/>
      <c r="V6661" s="100"/>
      <c r="Y6661" s="100"/>
    </row>
    <row r="6662">
      <c r="R6662" s="100"/>
      <c r="V6662" s="100"/>
      <c r="Y6662" s="100"/>
    </row>
    <row r="6663">
      <c r="R6663" s="100"/>
      <c r="V6663" s="100"/>
      <c r="Y6663" s="100"/>
    </row>
    <row r="6664">
      <c r="R6664" s="100"/>
      <c r="V6664" s="100"/>
      <c r="Y6664" s="100"/>
    </row>
    <row r="6665">
      <c r="R6665" s="100"/>
      <c r="V6665" s="100"/>
      <c r="Y6665" s="100"/>
    </row>
    <row r="6666">
      <c r="R6666" s="100"/>
      <c r="V6666" s="100"/>
      <c r="Y6666" s="100"/>
    </row>
    <row r="6667">
      <c r="R6667" s="100"/>
      <c r="V6667" s="100"/>
      <c r="Y6667" s="100"/>
    </row>
    <row r="6668">
      <c r="R6668" s="100"/>
      <c r="V6668" s="100"/>
      <c r="Y6668" s="100"/>
    </row>
    <row r="6669">
      <c r="R6669" s="100"/>
      <c r="V6669" s="100"/>
      <c r="Y6669" s="100"/>
    </row>
    <row r="6670">
      <c r="R6670" s="100"/>
      <c r="V6670" s="100"/>
      <c r="Y6670" s="100"/>
    </row>
    <row r="6671">
      <c r="R6671" s="100"/>
      <c r="V6671" s="100"/>
      <c r="Y6671" s="100"/>
    </row>
    <row r="6672">
      <c r="R6672" s="100"/>
      <c r="V6672" s="100"/>
      <c r="Y6672" s="100"/>
    </row>
    <row r="6673">
      <c r="R6673" s="100"/>
      <c r="V6673" s="100"/>
      <c r="Y6673" s="100"/>
    </row>
    <row r="6674">
      <c r="R6674" s="100"/>
      <c r="V6674" s="100"/>
      <c r="Y6674" s="100"/>
    </row>
    <row r="6675">
      <c r="R6675" s="100"/>
      <c r="V6675" s="100"/>
      <c r="Y6675" s="100"/>
    </row>
    <row r="6676">
      <c r="R6676" s="100"/>
      <c r="V6676" s="100"/>
      <c r="Y6676" s="100"/>
    </row>
    <row r="6677">
      <c r="R6677" s="100"/>
      <c r="V6677" s="100"/>
      <c r="Y6677" s="100"/>
    </row>
    <row r="6678">
      <c r="R6678" s="100"/>
      <c r="V6678" s="100"/>
      <c r="Y6678" s="100"/>
    </row>
    <row r="6679">
      <c r="R6679" s="100"/>
      <c r="V6679" s="100"/>
      <c r="Y6679" s="100"/>
    </row>
    <row r="6680">
      <c r="R6680" s="100"/>
      <c r="V6680" s="100"/>
      <c r="Y6680" s="100"/>
    </row>
    <row r="6681">
      <c r="R6681" s="100"/>
      <c r="V6681" s="100"/>
      <c r="Y6681" s="100"/>
    </row>
    <row r="6682">
      <c r="R6682" s="100"/>
      <c r="V6682" s="100"/>
      <c r="Y6682" s="100"/>
    </row>
    <row r="6683">
      <c r="R6683" s="100"/>
      <c r="V6683" s="100"/>
      <c r="Y6683" s="100"/>
    </row>
    <row r="6684">
      <c r="R6684" s="100"/>
      <c r="V6684" s="100"/>
      <c r="Y6684" s="100"/>
    </row>
    <row r="6685">
      <c r="R6685" s="100"/>
      <c r="V6685" s="100"/>
      <c r="Y6685" s="100"/>
    </row>
    <row r="6686">
      <c r="R6686" s="100"/>
      <c r="V6686" s="100"/>
      <c r="Y6686" s="100"/>
    </row>
    <row r="6687">
      <c r="R6687" s="100"/>
      <c r="V6687" s="100"/>
      <c r="Y6687" s="100"/>
    </row>
    <row r="6688">
      <c r="R6688" s="100"/>
      <c r="V6688" s="100"/>
      <c r="Y6688" s="100"/>
    </row>
    <row r="6689">
      <c r="R6689" s="100"/>
      <c r="V6689" s="100"/>
      <c r="Y6689" s="100"/>
    </row>
    <row r="6690">
      <c r="R6690" s="100"/>
      <c r="V6690" s="100"/>
      <c r="Y6690" s="100"/>
    </row>
    <row r="6691">
      <c r="R6691" s="100"/>
      <c r="V6691" s="100"/>
      <c r="Y6691" s="100"/>
    </row>
    <row r="6692">
      <c r="R6692" s="100"/>
      <c r="V6692" s="100"/>
      <c r="Y6692" s="100"/>
    </row>
    <row r="6693">
      <c r="R6693" s="100"/>
      <c r="V6693" s="100"/>
      <c r="Y6693" s="100"/>
    </row>
    <row r="6694">
      <c r="R6694" s="100"/>
      <c r="V6694" s="100"/>
      <c r="Y6694" s="100"/>
    </row>
    <row r="6695">
      <c r="R6695" s="100"/>
      <c r="V6695" s="100"/>
      <c r="Y6695" s="100"/>
    </row>
    <row r="6696">
      <c r="R6696" s="100"/>
      <c r="V6696" s="100"/>
      <c r="Y6696" s="100"/>
    </row>
    <row r="6697">
      <c r="R6697" s="100"/>
      <c r="V6697" s="100"/>
      <c r="Y6697" s="100"/>
    </row>
    <row r="6698">
      <c r="R6698" s="100"/>
      <c r="V6698" s="100"/>
      <c r="Y6698" s="100"/>
    </row>
    <row r="6699">
      <c r="R6699" s="100"/>
      <c r="V6699" s="100"/>
      <c r="Y6699" s="100"/>
    </row>
    <row r="6700">
      <c r="R6700" s="100"/>
      <c r="V6700" s="100"/>
      <c r="Y6700" s="100"/>
    </row>
    <row r="6701">
      <c r="R6701" s="100"/>
      <c r="V6701" s="100"/>
      <c r="Y6701" s="100"/>
    </row>
    <row r="6702">
      <c r="R6702" s="100"/>
      <c r="V6702" s="100"/>
      <c r="Y6702" s="100"/>
    </row>
    <row r="6703">
      <c r="R6703" s="100"/>
      <c r="V6703" s="100"/>
      <c r="Y6703" s="100"/>
    </row>
    <row r="6704">
      <c r="R6704" s="100"/>
      <c r="V6704" s="100"/>
      <c r="Y6704" s="100"/>
    </row>
    <row r="6705">
      <c r="R6705" s="100"/>
      <c r="V6705" s="100"/>
      <c r="Y6705" s="100"/>
    </row>
    <row r="6706">
      <c r="R6706" s="100"/>
      <c r="V6706" s="100"/>
      <c r="Y6706" s="100"/>
    </row>
    <row r="6707">
      <c r="R6707" s="100"/>
      <c r="V6707" s="100"/>
      <c r="Y6707" s="100"/>
    </row>
    <row r="6708">
      <c r="R6708" s="100"/>
      <c r="V6708" s="100"/>
      <c r="Y6708" s="100"/>
    </row>
    <row r="6709">
      <c r="R6709" s="100"/>
      <c r="V6709" s="100"/>
      <c r="Y6709" s="100"/>
    </row>
    <row r="6710">
      <c r="R6710" s="100"/>
      <c r="V6710" s="100"/>
      <c r="Y6710" s="100"/>
    </row>
    <row r="6711">
      <c r="R6711" s="100"/>
      <c r="V6711" s="100"/>
      <c r="Y6711" s="100"/>
    </row>
    <row r="6712">
      <c r="R6712" s="100"/>
      <c r="V6712" s="100"/>
      <c r="Y6712" s="100"/>
    </row>
    <row r="6713">
      <c r="R6713" s="100"/>
      <c r="V6713" s="100"/>
      <c r="Y6713" s="100"/>
    </row>
    <row r="6714">
      <c r="R6714" s="100"/>
      <c r="V6714" s="100"/>
      <c r="Y6714" s="100"/>
    </row>
    <row r="6715">
      <c r="R6715" s="100"/>
      <c r="V6715" s="100"/>
      <c r="Y6715" s="100"/>
    </row>
    <row r="6716">
      <c r="R6716" s="100"/>
      <c r="V6716" s="100"/>
      <c r="Y6716" s="100"/>
    </row>
    <row r="6717">
      <c r="R6717" s="100"/>
      <c r="V6717" s="100"/>
      <c r="Y6717" s="100"/>
    </row>
    <row r="6718">
      <c r="R6718" s="100"/>
      <c r="V6718" s="100"/>
      <c r="Y6718" s="100"/>
    </row>
    <row r="6719">
      <c r="R6719" s="100"/>
      <c r="V6719" s="100"/>
      <c r="Y6719" s="100"/>
    </row>
    <row r="6720">
      <c r="R6720" s="100"/>
      <c r="V6720" s="100"/>
      <c r="Y6720" s="100"/>
    </row>
    <row r="6721">
      <c r="R6721" s="100"/>
      <c r="V6721" s="100"/>
      <c r="Y6721" s="100"/>
    </row>
    <row r="6722">
      <c r="R6722" s="100"/>
      <c r="V6722" s="100"/>
      <c r="Y6722" s="100"/>
    </row>
    <row r="6723">
      <c r="R6723" s="100"/>
      <c r="V6723" s="100"/>
      <c r="Y6723" s="100"/>
    </row>
    <row r="6724">
      <c r="R6724" s="100"/>
      <c r="V6724" s="100"/>
      <c r="Y6724" s="100"/>
    </row>
    <row r="6725">
      <c r="R6725" s="100"/>
      <c r="V6725" s="100"/>
      <c r="Y6725" s="100"/>
    </row>
    <row r="6726">
      <c r="R6726" s="100"/>
      <c r="V6726" s="100"/>
      <c r="Y6726" s="100"/>
    </row>
    <row r="6727">
      <c r="R6727" s="100"/>
      <c r="V6727" s="100"/>
      <c r="Y6727" s="100"/>
    </row>
    <row r="6728">
      <c r="R6728" s="100"/>
      <c r="V6728" s="100"/>
      <c r="Y6728" s="100"/>
    </row>
    <row r="6729">
      <c r="R6729" s="100"/>
      <c r="V6729" s="100"/>
      <c r="Y6729" s="100"/>
    </row>
    <row r="6730">
      <c r="R6730" s="100"/>
      <c r="V6730" s="100"/>
      <c r="Y6730" s="100"/>
    </row>
    <row r="6731">
      <c r="R6731" s="100"/>
      <c r="V6731" s="100"/>
      <c r="Y6731" s="100"/>
    </row>
    <row r="6732">
      <c r="R6732" s="100"/>
      <c r="V6732" s="100"/>
      <c r="Y6732" s="100"/>
    </row>
    <row r="6733">
      <c r="R6733" s="100"/>
      <c r="V6733" s="100"/>
      <c r="Y6733" s="100"/>
    </row>
    <row r="6734">
      <c r="R6734" s="100"/>
      <c r="V6734" s="100"/>
      <c r="Y6734" s="100"/>
    </row>
    <row r="6735">
      <c r="R6735" s="100"/>
      <c r="V6735" s="100"/>
      <c r="Y6735" s="100"/>
    </row>
    <row r="6736">
      <c r="R6736" s="100"/>
      <c r="V6736" s="100"/>
      <c r="Y6736" s="100"/>
    </row>
    <row r="6737">
      <c r="R6737" s="100"/>
      <c r="V6737" s="100"/>
      <c r="Y6737" s="100"/>
    </row>
    <row r="6738">
      <c r="R6738" s="100"/>
      <c r="V6738" s="100"/>
      <c r="Y6738" s="100"/>
    </row>
    <row r="6739">
      <c r="R6739" s="100"/>
      <c r="V6739" s="100"/>
      <c r="Y6739" s="100"/>
    </row>
    <row r="6740">
      <c r="R6740" s="100"/>
      <c r="V6740" s="100"/>
      <c r="Y6740" s="100"/>
    </row>
    <row r="6741">
      <c r="R6741" s="100"/>
      <c r="V6741" s="100"/>
      <c r="Y6741" s="100"/>
    </row>
    <row r="6742">
      <c r="R6742" s="100"/>
      <c r="V6742" s="100"/>
      <c r="Y6742" s="100"/>
    </row>
    <row r="6743">
      <c r="R6743" s="100"/>
      <c r="V6743" s="100"/>
      <c r="Y6743" s="100"/>
    </row>
    <row r="6744">
      <c r="R6744" s="100"/>
      <c r="V6744" s="100"/>
      <c r="Y6744" s="100"/>
    </row>
    <row r="6745">
      <c r="R6745" s="100"/>
      <c r="V6745" s="100"/>
      <c r="Y6745" s="100"/>
    </row>
    <row r="6746">
      <c r="R6746" s="100"/>
      <c r="V6746" s="100"/>
      <c r="Y6746" s="100"/>
    </row>
    <row r="6747">
      <c r="R6747" s="100"/>
      <c r="V6747" s="100"/>
      <c r="Y6747" s="100"/>
    </row>
    <row r="6748">
      <c r="R6748" s="100"/>
      <c r="V6748" s="100"/>
      <c r="Y6748" s="100"/>
    </row>
    <row r="6749">
      <c r="R6749" s="100"/>
      <c r="V6749" s="100"/>
      <c r="Y6749" s="100"/>
    </row>
    <row r="6750">
      <c r="R6750" s="100"/>
      <c r="V6750" s="100"/>
      <c r="Y6750" s="100"/>
    </row>
    <row r="6751">
      <c r="R6751" s="100"/>
      <c r="V6751" s="100"/>
      <c r="Y6751" s="100"/>
    </row>
    <row r="6752">
      <c r="R6752" s="100"/>
      <c r="V6752" s="100"/>
      <c r="Y6752" s="100"/>
    </row>
    <row r="6753">
      <c r="R6753" s="100"/>
      <c r="V6753" s="100"/>
      <c r="Y6753" s="100"/>
    </row>
    <row r="6754">
      <c r="R6754" s="100"/>
      <c r="V6754" s="100"/>
      <c r="Y6754" s="100"/>
    </row>
    <row r="6755">
      <c r="R6755" s="100"/>
      <c r="V6755" s="100"/>
      <c r="Y6755" s="100"/>
    </row>
    <row r="6756">
      <c r="R6756" s="100"/>
      <c r="V6756" s="100"/>
      <c r="Y6756" s="100"/>
    </row>
    <row r="6757">
      <c r="R6757" s="100"/>
      <c r="V6757" s="100"/>
      <c r="Y6757" s="100"/>
    </row>
    <row r="6758">
      <c r="R6758" s="100"/>
      <c r="V6758" s="100"/>
      <c r="Y6758" s="100"/>
    </row>
    <row r="6759">
      <c r="R6759" s="100"/>
      <c r="V6759" s="100"/>
      <c r="Y6759" s="100"/>
    </row>
    <row r="6760">
      <c r="R6760" s="100"/>
      <c r="V6760" s="100"/>
      <c r="Y6760" s="100"/>
    </row>
    <row r="6761">
      <c r="R6761" s="100"/>
      <c r="V6761" s="100"/>
      <c r="Y6761" s="100"/>
    </row>
    <row r="6762">
      <c r="R6762" s="100"/>
      <c r="V6762" s="100"/>
      <c r="Y6762" s="100"/>
    </row>
    <row r="6763">
      <c r="R6763" s="100"/>
      <c r="V6763" s="100"/>
      <c r="Y6763" s="100"/>
    </row>
    <row r="6764">
      <c r="R6764" s="100"/>
      <c r="V6764" s="100"/>
      <c r="Y6764" s="100"/>
    </row>
    <row r="6765">
      <c r="R6765" s="100"/>
      <c r="V6765" s="100"/>
      <c r="Y6765" s="100"/>
    </row>
    <row r="6766">
      <c r="R6766" s="100"/>
      <c r="V6766" s="100"/>
      <c r="Y6766" s="100"/>
    </row>
    <row r="6767">
      <c r="R6767" s="100"/>
      <c r="V6767" s="100"/>
      <c r="Y6767" s="100"/>
    </row>
    <row r="6768">
      <c r="R6768" s="100"/>
      <c r="V6768" s="100"/>
      <c r="Y6768" s="100"/>
    </row>
    <row r="6769">
      <c r="R6769" s="100"/>
      <c r="V6769" s="100"/>
      <c r="Y6769" s="100"/>
    </row>
    <row r="6770">
      <c r="R6770" s="100"/>
      <c r="V6770" s="100"/>
      <c r="Y6770" s="100"/>
    </row>
    <row r="6771">
      <c r="R6771" s="100"/>
      <c r="V6771" s="100"/>
      <c r="Y6771" s="100"/>
    </row>
    <row r="6772">
      <c r="R6772" s="100"/>
      <c r="V6772" s="100"/>
      <c r="Y6772" s="100"/>
    </row>
    <row r="6773">
      <c r="R6773" s="100"/>
      <c r="V6773" s="100"/>
      <c r="Y6773" s="100"/>
    </row>
    <row r="6774">
      <c r="R6774" s="100"/>
      <c r="V6774" s="100"/>
      <c r="Y6774" s="100"/>
    </row>
    <row r="6775">
      <c r="R6775" s="100"/>
      <c r="V6775" s="100"/>
      <c r="Y6775" s="100"/>
    </row>
    <row r="6776">
      <c r="R6776" s="100"/>
      <c r="V6776" s="100"/>
      <c r="Y6776" s="100"/>
    </row>
    <row r="6777">
      <c r="R6777" s="100"/>
      <c r="V6777" s="100"/>
      <c r="Y6777" s="100"/>
    </row>
    <row r="6778">
      <c r="R6778" s="100"/>
      <c r="V6778" s="100"/>
      <c r="Y6778" s="100"/>
    </row>
    <row r="6779">
      <c r="R6779" s="100"/>
      <c r="V6779" s="100"/>
      <c r="Y6779" s="100"/>
    </row>
    <row r="6780">
      <c r="R6780" s="100"/>
      <c r="V6780" s="100"/>
      <c r="Y6780" s="100"/>
    </row>
    <row r="6781">
      <c r="R6781" s="100"/>
      <c r="V6781" s="100"/>
      <c r="Y6781" s="100"/>
    </row>
    <row r="6782">
      <c r="R6782" s="100"/>
      <c r="V6782" s="100"/>
      <c r="Y6782" s="100"/>
    </row>
    <row r="6783">
      <c r="R6783" s="100"/>
      <c r="V6783" s="100"/>
      <c r="Y6783" s="100"/>
    </row>
    <row r="6784">
      <c r="R6784" s="100"/>
      <c r="V6784" s="100"/>
      <c r="Y6784" s="100"/>
    </row>
    <row r="6785">
      <c r="R6785" s="100"/>
      <c r="V6785" s="100"/>
      <c r="Y6785" s="100"/>
    </row>
    <row r="6786">
      <c r="R6786" s="100"/>
      <c r="V6786" s="100"/>
      <c r="Y6786" s="100"/>
    </row>
    <row r="6787">
      <c r="R6787" s="100"/>
      <c r="V6787" s="100"/>
      <c r="Y6787" s="100"/>
    </row>
    <row r="6788">
      <c r="R6788" s="100"/>
      <c r="V6788" s="100"/>
      <c r="Y6788" s="100"/>
    </row>
    <row r="6789">
      <c r="R6789" s="100"/>
      <c r="V6789" s="100"/>
      <c r="Y6789" s="100"/>
    </row>
    <row r="6790">
      <c r="R6790" s="100"/>
      <c r="V6790" s="100"/>
      <c r="Y6790" s="100"/>
    </row>
    <row r="6791">
      <c r="R6791" s="100"/>
      <c r="V6791" s="100"/>
      <c r="Y6791" s="100"/>
    </row>
    <row r="6792">
      <c r="R6792" s="100"/>
      <c r="V6792" s="100"/>
      <c r="Y6792" s="100"/>
    </row>
    <row r="6793">
      <c r="R6793" s="100"/>
      <c r="V6793" s="100"/>
      <c r="Y6793" s="100"/>
    </row>
    <row r="6794">
      <c r="R6794" s="100"/>
      <c r="V6794" s="100"/>
      <c r="Y6794" s="100"/>
    </row>
    <row r="6795">
      <c r="R6795" s="100"/>
      <c r="V6795" s="100"/>
      <c r="Y6795" s="100"/>
    </row>
    <row r="6796">
      <c r="R6796" s="100"/>
      <c r="V6796" s="100"/>
      <c r="Y6796" s="100"/>
    </row>
    <row r="6797">
      <c r="R6797" s="100"/>
      <c r="V6797" s="100"/>
      <c r="Y6797" s="100"/>
    </row>
    <row r="6798">
      <c r="R6798" s="100"/>
      <c r="V6798" s="100"/>
      <c r="Y6798" s="100"/>
    </row>
    <row r="6799">
      <c r="R6799" s="100"/>
      <c r="V6799" s="100"/>
      <c r="Y6799" s="100"/>
    </row>
    <row r="6800">
      <c r="R6800" s="100"/>
      <c r="V6800" s="100"/>
      <c r="Y6800" s="100"/>
    </row>
    <row r="6801">
      <c r="R6801" s="100"/>
      <c r="V6801" s="100"/>
      <c r="Y6801" s="100"/>
    </row>
    <row r="6802">
      <c r="R6802" s="100"/>
      <c r="V6802" s="100"/>
      <c r="Y6802" s="100"/>
    </row>
    <row r="6803">
      <c r="R6803" s="100"/>
      <c r="V6803" s="100"/>
      <c r="Y6803" s="100"/>
    </row>
    <row r="6804">
      <c r="R6804" s="100"/>
      <c r="V6804" s="100"/>
      <c r="Y6804" s="100"/>
    </row>
    <row r="6805">
      <c r="R6805" s="100"/>
      <c r="V6805" s="100"/>
      <c r="Y6805" s="100"/>
    </row>
    <row r="6806">
      <c r="R6806" s="100"/>
      <c r="V6806" s="100"/>
      <c r="Y6806" s="100"/>
    </row>
    <row r="6807">
      <c r="R6807" s="100"/>
      <c r="V6807" s="100"/>
      <c r="Y6807" s="100"/>
    </row>
    <row r="6808">
      <c r="R6808" s="100"/>
      <c r="V6808" s="100"/>
      <c r="Y6808" s="100"/>
    </row>
    <row r="6809">
      <c r="R6809" s="100"/>
      <c r="V6809" s="100"/>
      <c r="Y6809" s="100"/>
    </row>
    <row r="6810">
      <c r="R6810" s="100"/>
      <c r="V6810" s="100"/>
      <c r="Y6810" s="100"/>
    </row>
    <row r="6811">
      <c r="R6811" s="100"/>
      <c r="V6811" s="100"/>
      <c r="Y6811" s="100"/>
    </row>
    <row r="6812">
      <c r="R6812" s="100"/>
      <c r="V6812" s="100"/>
      <c r="Y6812" s="100"/>
    </row>
    <row r="6813">
      <c r="R6813" s="100"/>
      <c r="V6813" s="100"/>
      <c r="Y6813" s="100"/>
    </row>
    <row r="6814">
      <c r="R6814" s="100"/>
      <c r="V6814" s="100"/>
      <c r="Y6814" s="100"/>
    </row>
    <row r="6815">
      <c r="R6815" s="100"/>
      <c r="V6815" s="100"/>
      <c r="Y6815" s="100"/>
    </row>
    <row r="6816">
      <c r="R6816" s="100"/>
      <c r="V6816" s="100"/>
      <c r="Y6816" s="100"/>
    </row>
    <row r="6817">
      <c r="R6817" s="100"/>
      <c r="V6817" s="100"/>
      <c r="Y6817" s="100"/>
    </row>
    <row r="6818">
      <c r="R6818" s="100"/>
      <c r="V6818" s="100"/>
      <c r="Y6818" s="100"/>
    </row>
    <row r="6819">
      <c r="R6819" s="100"/>
      <c r="V6819" s="100"/>
      <c r="Y6819" s="100"/>
    </row>
    <row r="6820">
      <c r="R6820" s="100"/>
      <c r="V6820" s="100"/>
      <c r="Y6820" s="100"/>
    </row>
    <row r="6821">
      <c r="R6821" s="100"/>
      <c r="V6821" s="100"/>
      <c r="Y6821" s="100"/>
    </row>
    <row r="6822">
      <c r="R6822" s="100"/>
      <c r="V6822" s="100"/>
      <c r="Y6822" s="100"/>
    </row>
    <row r="6823">
      <c r="R6823" s="100"/>
      <c r="V6823" s="100"/>
      <c r="Y6823" s="100"/>
    </row>
    <row r="6824">
      <c r="R6824" s="100"/>
      <c r="V6824" s="100"/>
      <c r="Y6824" s="100"/>
    </row>
    <row r="6825">
      <c r="R6825" s="100"/>
      <c r="V6825" s="100"/>
      <c r="Y6825" s="100"/>
    </row>
    <row r="6826">
      <c r="R6826" s="100"/>
      <c r="V6826" s="100"/>
      <c r="Y6826" s="100"/>
    </row>
    <row r="6827">
      <c r="R6827" s="100"/>
      <c r="V6827" s="100"/>
      <c r="Y6827" s="100"/>
    </row>
    <row r="6828">
      <c r="R6828" s="100"/>
      <c r="V6828" s="100"/>
      <c r="Y6828" s="100"/>
    </row>
    <row r="6829">
      <c r="R6829" s="100"/>
      <c r="V6829" s="100"/>
      <c r="Y6829" s="100"/>
    </row>
    <row r="6830">
      <c r="R6830" s="100"/>
      <c r="V6830" s="100"/>
      <c r="Y6830" s="100"/>
    </row>
    <row r="6831">
      <c r="R6831" s="100"/>
      <c r="V6831" s="100"/>
      <c r="Y6831" s="100"/>
    </row>
    <row r="6832">
      <c r="R6832" s="100"/>
      <c r="V6832" s="100"/>
      <c r="Y6832" s="100"/>
    </row>
    <row r="6833">
      <c r="R6833" s="100"/>
      <c r="V6833" s="100"/>
      <c r="Y6833" s="100"/>
    </row>
    <row r="6834">
      <c r="R6834" s="100"/>
      <c r="V6834" s="100"/>
      <c r="Y6834" s="100"/>
    </row>
    <row r="6835">
      <c r="R6835" s="100"/>
      <c r="V6835" s="100"/>
      <c r="Y6835" s="100"/>
    </row>
    <row r="6836">
      <c r="R6836" s="100"/>
      <c r="V6836" s="100"/>
      <c r="Y6836" s="100"/>
    </row>
    <row r="6837">
      <c r="R6837" s="100"/>
      <c r="V6837" s="100"/>
      <c r="Y6837" s="100"/>
    </row>
    <row r="6838">
      <c r="R6838" s="100"/>
      <c r="V6838" s="100"/>
      <c r="Y6838" s="100"/>
    </row>
    <row r="6839">
      <c r="R6839" s="100"/>
      <c r="V6839" s="100"/>
      <c r="Y6839" s="100"/>
    </row>
    <row r="6840">
      <c r="R6840" s="100"/>
      <c r="V6840" s="100"/>
      <c r="Y6840" s="100"/>
    </row>
    <row r="6841">
      <c r="R6841" s="100"/>
      <c r="V6841" s="100"/>
      <c r="Y6841" s="100"/>
    </row>
    <row r="6842">
      <c r="R6842" s="100"/>
      <c r="V6842" s="100"/>
      <c r="Y6842" s="100"/>
    </row>
    <row r="6843">
      <c r="R6843" s="100"/>
      <c r="V6843" s="100"/>
      <c r="Y6843" s="100"/>
    </row>
    <row r="6844">
      <c r="R6844" s="100"/>
      <c r="V6844" s="100"/>
      <c r="Y6844" s="100"/>
    </row>
    <row r="6845">
      <c r="R6845" s="100"/>
      <c r="V6845" s="100"/>
      <c r="Y6845" s="100"/>
    </row>
    <row r="6846">
      <c r="R6846" s="100"/>
      <c r="V6846" s="100"/>
      <c r="Y6846" s="100"/>
    </row>
    <row r="6847">
      <c r="R6847" s="100"/>
      <c r="V6847" s="100"/>
      <c r="Y6847" s="100"/>
    </row>
    <row r="6848">
      <c r="R6848" s="100"/>
      <c r="V6848" s="100"/>
      <c r="Y6848" s="100"/>
    </row>
    <row r="6849">
      <c r="R6849" s="100"/>
      <c r="V6849" s="100"/>
      <c r="Y6849" s="100"/>
    </row>
    <row r="6850">
      <c r="R6850" s="100"/>
      <c r="V6850" s="100"/>
      <c r="Y6850" s="100"/>
    </row>
    <row r="6851">
      <c r="R6851" s="100"/>
      <c r="V6851" s="100"/>
      <c r="Y6851" s="100"/>
    </row>
    <row r="6852">
      <c r="R6852" s="100"/>
      <c r="V6852" s="100"/>
      <c r="Y6852" s="100"/>
    </row>
    <row r="6853">
      <c r="R6853" s="100"/>
      <c r="V6853" s="100"/>
      <c r="Y6853" s="100"/>
    </row>
    <row r="6854">
      <c r="R6854" s="100"/>
      <c r="V6854" s="100"/>
      <c r="Y6854" s="100"/>
    </row>
    <row r="6855">
      <c r="R6855" s="100"/>
      <c r="V6855" s="100"/>
      <c r="Y6855" s="100"/>
    </row>
    <row r="6856">
      <c r="R6856" s="100"/>
      <c r="V6856" s="100"/>
      <c r="Y6856" s="100"/>
    </row>
    <row r="6857">
      <c r="R6857" s="100"/>
      <c r="V6857" s="100"/>
      <c r="Y6857" s="100"/>
    </row>
    <row r="6858">
      <c r="R6858" s="100"/>
      <c r="V6858" s="100"/>
      <c r="Y6858" s="100"/>
    </row>
    <row r="6859">
      <c r="R6859" s="100"/>
      <c r="V6859" s="100"/>
      <c r="Y6859" s="100"/>
    </row>
    <row r="6860">
      <c r="R6860" s="100"/>
      <c r="V6860" s="100"/>
      <c r="Y6860" s="100"/>
    </row>
    <row r="6861">
      <c r="R6861" s="100"/>
      <c r="V6861" s="100"/>
      <c r="Y6861" s="100"/>
    </row>
    <row r="6862">
      <c r="R6862" s="100"/>
      <c r="V6862" s="100"/>
      <c r="Y6862" s="100"/>
    </row>
    <row r="6863">
      <c r="R6863" s="100"/>
      <c r="V6863" s="100"/>
      <c r="Y6863" s="100"/>
    </row>
    <row r="6864">
      <c r="R6864" s="100"/>
      <c r="V6864" s="100"/>
      <c r="Y6864" s="100"/>
    </row>
    <row r="6865">
      <c r="R6865" s="100"/>
      <c r="V6865" s="100"/>
      <c r="Y6865" s="100"/>
    </row>
    <row r="6866">
      <c r="R6866" s="100"/>
      <c r="V6866" s="100"/>
      <c r="Y6866" s="100"/>
    </row>
    <row r="6867">
      <c r="R6867" s="100"/>
      <c r="V6867" s="100"/>
      <c r="Y6867" s="100"/>
    </row>
    <row r="6868">
      <c r="R6868" s="100"/>
      <c r="V6868" s="100"/>
      <c r="Y6868" s="100"/>
    </row>
    <row r="6869">
      <c r="R6869" s="100"/>
      <c r="V6869" s="100"/>
      <c r="Y6869" s="100"/>
    </row>
    <row r="6870">
      <c r="R6870" s="100"/>
      <c r="V6870" s="100"/>
      <c r="Y6870" s="100"/>
    </row>
    <row r="6871">
      <c r="R6871" s="100"/>
      <c r="V6871" s="100"/>
      <c r="Y6871" s="100"/>
    </row>
    <row r="6872">
      <c r="R6872" s="100"/>
      <c r="V6872" s="100"/>
      <c r="Y6872" s="100"/>
    </row>
    <row r="6873">
      <c r="R6873" s="100"/>
      <c r="V6873" s="100"/>
      <c r="Y6873" s="100"/>
    </row>
    <row r="6874">
      <c r="R6874" s="100"/>
      <c r="V6874" s="100"/>
      <c r="Y6874" s="100"/>
    </row>
    <row r="6875">
      <c r="R6875" s="100"/>
      <c r="V6875" s="100"/>
      <c r="Y6875" s="100"/>
    </row>
    <row r="6876">
      <c r="R6876" s="100"/>
      <c r="V6876" s="100"/>
      <c r="Y6876" s="100"/>
    </row>
    <row r="6877">
      <c r="R6877" s="100"/>
      <c r="V6877" s="100"/>
      <c r="Y6877" s="100"/>
    </row>
    <row r="6878">
      <c r="R6878" s="100"/>
      <c r="V6878" s="100"/>
      <c r="Y6878" s="100"/>
    </row>
    <row r="6879">
      <c r="R6879" s="100"/>
      <c r="V6879" s="100"/>
      <c r="Y6879" s="100"/>
    </row>
    <row r="6880">
      <c r="R6880" s="100"/>
      <c r="V6880" s="100"/>
      <c r="Y6880" s="100"/>
    </row>
    <row r="6881">
      <c r="R6881" s="100"/>
      <c r="V6881" s="100"/>
      <c r="Y6881" s="100"/>
    </row>
    <row r="6882">
      <c r="R6882" s="100"/>
      <c r="V6882" s="100"/>
      <c r="Y6882" s="100"/>
    </row>
    <row r="6883">
      <c r="R6883" s="100"/>
      <c r="V6883" s="100"/>
      <c r="Y6883" s="100"/>
    </row>
    <row r="6884">
      <c r="R6884" s="100"/>
      <c r="V6884" s="100"/>
      <c r="Y6884" s="100"/>
    </row>
    <row r="6885">
      <c r="R6885" s="100"/>
      <c r="V6885" s="100"/>
      <c r="Y6885" s="100"/>
    </row>
    <row r="6886">
      <c r="R6886" s="100"/>
      <c r="V6886" s="100"/>
      <c r="Y6886" s="100"/>
    </row>
    <row r="6887">
      <c r="R6887" s="100"/>
      <c r="V6887" s="100"/>
      <c r="Y6887" s="100"/>
    </row>
    <row r="6888">
      <c r="R6888" s="100"/>
      <c r="V6888" s="100"/>
      <c r="Y6888" s="100"/>
    </row>
    <row r="6889">
      <c r="R6889" s="100"/>
      <c r="V6889" s="100"/>
      <c r="Y6889" s="100"/>
    </row>
    <row r="6890">
      <c r="R6890" s="100"/>
      <c r="V6890" s="100"/>
      <c r="Y6890" s="100"/>
    </row>
    <row r="6891">
      <c r="R6891" s="100"/>
      <c r="V6891" s="100"/>
      <c r="Y6891" s="100"/>
    </row>
    <row r="6892">
      <c r="R6892" s="100"/>
      <c r="V6892" s="100"/>
      <c r="Y6892" s="100"/>
    </row>
    <row r="6893">
      <c r="R6893" s="100"/>
      <c r="V6893" s="100"/>
      <c r="Y6893" s="100"/>
    </row>
    <row r="6894">
      <c r="R6894" s="100"/>
      <c r="V6894" s="100"/>
      <c r="Y6894" s="100"/>
    </row>
    <row r="6895">
      <c r="R6895" s="100"/>
      <c r="V6895" s="100"/>
      <c r="Y6895" s="100"/>
    </row>
    <row r="6896">
      <c r="R6896" s="100"/>
      <c r="V6896" s="100"/>
      <c r="Y6896" s="100"/>
    </row>
    <row r="6897">
      <c r="R6897" s="100"/>
      <c r="V6897" s="100"/>
      <c r="Y6897" s="100"/>
    </row>
    <row r="6898">
      <c r="R6898" s="100"/>
      <c r="V6898" s="100"/>
      <c r="Y6898" s="100"/>
    </row>
    <row r="6899">
      <c r="R6899" s="100"/>
      <c r="V6899" s="100"/>
      <c r="Y6899" s="100"/>
    </row>
    <row r="6900">
      <c r="R6900" s="100"/>
      <c r="V6900" s="100"/>
      <c r="Y6900" s="100"/>
    </row>
    <row r="6901">
      <c r="R6901" s="100"/>
      <c r="V6901" s="100"/>
      <c r="Y6901" s="100"/>
    </row>
    <row r="6902">
      <c r="R6902" s="100"/>
      <c r="V6902" s="100"/>
      <c r="Y6902" s="100"/>
    </row>
    <row r="6903">
      <c r="R6903" s="100"/>
      <c r="V6903" s="100"/>
      <c r="Y6903" s="100"/>
    </row>
    <row r="6904">
      <c r="R6904" s="100"/>
      <c r="V6904" s="100"/>
      <c r="Y6904" s="100"/>
    </row>
    <row r="6905">
      <c r="R6905" s="100"/>
      <c r="V6905" s="100"/>
      <c r="Y6905" s="100"/>
    </row>
    <row r="6906">
      <c r="R6906" s="100"/>
      <c r="V6906" s="100"/>
      <c r="Y6906" s="100"/>
    </row>
    <row r="6907">
      <c r="R6907" s="100"/>
      <c r="V6907" s="100"/>
      <c r="Y6907" s="100"/>
    </row>
    <row r="6908">
      <c r="R6908" s="100"/>
      <c r="V6908" s="100"/>
      <c r="Y6908" s="100"/>
    </row>
    <row r="6909">
      <c r="R6909" s="100"/>
      <c r="V6909" s="100"/>
      <c r="Y6909" s="100"/>
    </row>
    <row r="6910">
      <c r="R6910" s="100"/>
      <c r="V6910" s="100"/>
      <c r="Y6910" s="100"/>
    </row>
    <row r="6911">
      <c r="R6911" s="100"/>
      <c r="V6911" s="100"/>
      <c r="Y6911" s="100"/>
    </row>
    <row r="6912">
      <c r="R6912" s="100"/>
      <c r="V6912" s="100"/>
      <c r="Y6912" s="100"/>
    </row>
    <row r="6913">
      <c r="R6913" s="100"/>
      <c r="V6913" s="100"/>
      <c r="Y6913" s="100"/>
    </row>
    <row r="6914">
      <c r="R6914" s="100"/>
      <c r="V6914" s="100"/>
      <c r="Y6914" s="100"/>
    </row>
    <row r="6915">
      <c r="R6915" s="100"/>
      <c r="V6915" s="100"/>
      <c r="Y6915" s="100"/>
    </row>
    <row r="6916">
      <c r="R6916" s="100"/>
      <c r="V6916" s="100"/>
      <c r="Y6916" s="100"/>
    </row>
    <row r="6917">
      <c r="R6917" s="100"/>
      <c r="V6917" s="100"/>
      <c r="Y6917" s="100"/>
    </row>
    <row r="6918">
      <c r="R6918" s="100"/>
      <c r="V6918" s="100"/>
      <c r="Y6918" s="100"/>
    </row>
    <row r="6919">
      <c r="R6919" s="100"/>
      <c r="V6919" s="100"/>
      <c r="Y6919" s="100"/>
    </row>
    <row r="6920">
      <c r="R6920" s="100"/>
      <c r="V6920" s="100"/>
      <c r="Y6920" s="100"/>
    </row>
    <row r="6921">
      <c r="R6921" s="100"/>
      <c r="V6921" s="100"/>
      <c r="Y6921" s="100"/>
    </row>
    <row r="6922">
      <c r="R6922" s="100"/>
      <c r="V6922" s="100"/>
      <c r="Y6922" s="100"/>
    </row>
    <row r="6923">
      <c r="R6923" s="100"/>
      <c r="V6923" s="100"/>
      <c r="Y6923" s="100"/>
    </row>
    <row r="6924">
      <c r="R6924" s="100"/>
      <c r="V6924" s="100"/>
      <c r="Y6924" s="100"/>
    </row>
    <row r="6925">
      <c r="R6925" s="100"/>
      <c r="V6925" s="100"/>
      <c r="Y6925" s="100"/>
    </row>
    <row r="6926">
      <c r="R6926" s="100"/>
      <c r="V6926" s="100"/>
      <c r="Y6926" s="100"/>
    </row>
    <row r="6927">
      <c r="R6927" s="100"/>
      <c r="V6927" s="100"/>
      <c r="Y6927" s="100"/>
    </row>
    <row r="6928">
      <c r="R6928" s="100"/>
      <c r="V6928" s="100"/>
      <c r="Y6928" s="100"/>
    </row>
    <row r="6929">
      <c r="R6929" s="100"/>
      <c r="V6929" s="100"/>
      <c r="Y6929" s="100"/>
    </row>
    <row r="6930">
      <c r="R6930" s="100"/>
      <c r="V6930" s="100"/>
      <c r="Y6930" s="100"/>
    </row>
    <row r="6931">
      <c r="R6931" s="100"/>
      <c r="V6931" s="100"/>
      <c r="Y6931" s="100"/>
    </row>
    <row r="6932">
      <c r="R6932" s="100"/>
      <c r="V6932" s="100"/>
      <c r="Y6932" s="100"/>
    </row>
    <row r="6933">
      <c r="R6933" s="100"/>
      <c r="V6933" s="100"/>
      <c r="Y6933" s="100"/>
    </row>
    <row r="6934">
      <c r="R6934" s="100"/>
      <c r="V6934" s="100"/>
      <c r="Y6934" s="100"/>
    </row>
    <row r="6935">
      <c r="R6935" s="100"/>
      <c r="V6935" s="100"/>
      <c r="Y6935" s="100"/>
    </row>
    <row r="6936">
      <c r="R6936" s="100"/>
      <c r="V6936" s="100"/>
      <c r="Y6936" s="100"/>
    </row>
    <row r="6937">
      <c r="R6937" s="100"/>
      <c r="V6937" s="100"/>
      <c r="Y6937" s="100"/>
    </row>
    <row r="6938">
      <c r="R6938" s="100"/>
      <c r="V6938" s="100"/>
      <c r="Y6938" s="100"/>
    </row>
    <row r="6939">
      <c r="R6939" s="100"/>
      <c r="V6939" s="100"/>
      <c r="Y6939" s="100"/>
    </row>
    <row r="6940">
      <c r="R6940" s="100"/>
      <c r="V6940" s="100"/>
      <c r="Y6940" s="100"/>
    </row>
    <row r="6941">
      <c r="R6941" s="100"/>
      <c r="V6941" s="100"/>
      <c r="Y6941" s="100"/>
    </row>
    <row r="6942">
      <c r="R6942" s="100"/>
      <c r="V6942" s="100"/>
      <c r="Y6942" s="100"/>
    </row>
    <row r="6943">
      <c r="R6943" s="100"/>
      <c r="V6943" s="100"/>
      <c r="Y6943" s="100"/>
    </row>
    <row r="6944">
      <c r="R6944" s="100"/>
      <c r="V6944" s="100"/>
      <c r="Y6944" s="100"/>
    </row>
    <row r="6945">
      <c r="R6945" s="100"/>
      <c r="V6945" s="100"/>
      <c r="Y6945" s="100"/>
    </row>
    <row r="6946">
      <c r="R6946" s="100"/>
      <c r="V6946" s="100"/>
      <c r="Y6946" s="100"/>
    </row>
    <row r="6947">
      <c r="R6947" s="100"/>
      <c r="V6947" s="100"/>
      <c r="Y6947" s="100"/>
    </row>
    <row r="6948">
      <c r="R6948" s="100"/>
      <c r="V6948" s="100"/>
      <c r="Y6948" s="100"/>
    </row>
    <row r="6949">
      <c r="R6949" s="100"/>
      <c r="V6949" s="100"/>
      <c r="Y6949" s="100"/>
    </row>
    <row r="6950">
      <c r="R6950" s="100"/>
      <c r="V6950" s="100"/>
      <c r="Y6950" s="100"/>
    </row>
    <row r="6951">
      <c r="R6951" s="100"/>
      <c r="V6951" s="100"/>
      <c r="Y6951" s="100"/>
    </row>
    <row r="6952">
      <c r="R6952" s="100"/>
      <c r="V6952" s="100"/>
      <c r="Y6952" s="100"/>
    </row>
    <row r="6953">
      <c r="R6953" s="100"/>
      <c r="V6953" s="100"/>
      <c r="Y6953" s="100"/>
    </row>
    <row r="6954">
      <c r="R6954" s="100"/>
      <c r="V6954" s="100"/>
      <c r="Y6954" s="100"/>
    </row>
    <row r="6955">
      <c r="R6955" s="100"/>
      <c r="V6955" s="100"/>
      <c r="Y6955" s="100"/>
    </row>
    <row r="6956">
      <c r="R6956" s="100"/>
      <c r="V6956" s="100"/>
      <c r="Y6956" s="100"/>
    </row>
    <row r="6957">
      <c r="R6957" s="100"/>
      <c r="V6957" s="100"/>
      <c r="Y6957" s="100"/>
    </row>
    <row r="6958">
      <c r="R6958" s="100"/>
      <c r="V6958" s="100"/>
      <c r="Y6958" s="100"/>
    </row>
    <row r="6959">
      <c r="R6959" s="100"/>
      <c r="V6959" s="100"/>
      <c r="Y6959" s="100"/>
    </row>
    <row r="6960">
      <c r="R6960" s="100"/>
      <c r="V6960" s="100"/>
      <c r="Y6960" s="100"/>
    </row>
    <row r="6961">
      <c r="R6961" s="100"/>
      <c r="V6961" s="100"/>
      <c r="Y6961" s="100"/>
    </row>
    <row r="6962">
      <c r="R6962" s="100"/>
      <c r="V6962" s="100"/>
      <c r="Y6962" s="100"/>
    </row>
    <row r="6963">
      <c r="R6963" s="100"/>
      <c r="V6963" s="100"/>
      <c r="Y6963" s="100"/>
    </row>
    <row r="6964">
      <c r="R6964" s="100"/>
      <c r="V6964" s="100"/>
      <c r="Y6964" s="100"/>
    </row>
    <row r="6965">
      <c r="R6965" s="100"/>
      <c r="V6965" s="100"/>
      <c r="Y6965" s="100"/>
    </row>
    <row r="6966">
      <c r="R6966" s="100"/>
      <c r="V6966" s="100"/>
      <c r="Y6966" s="100"/>
    </row>
    <row r="6967">
      <c r="R6967" s="100"/>
      <c r="V6967" s="100"/>
      <c r="Y6967" s="100"/>
    </row>
    <row r="6968">
      <c r="R6968" s="100"/>
      <c r="V6968" s="100"/>
      <c r="Y6968" s="100"/>
    </row>
    <row r="6969">
      <c r="R6969" s="100"/>
      <c r="V6969" s="100"/>
      <c r="Y6969" s="100"/>
    </row>
    <row r="6970">
      <c r="R6970" s="100"/>
      <c r="V6970" s="100"/>
      <c r="Y6970" s="100"/>
    </row>
    <row r="6971">
      <c r="R6971" s="100"/>
      <c r="V6971" s="100"/>
      <c r="Y6971" s="100"/>
    </row>
    <row r="6972">
      <c r="R6972" s="100"/>
      <c r="V6972" s="100"/>
      <c r="Y6972" s="100"/>
    </row>
    <row r="6973">
      <c r="R6973" s="100"/>
      <c r="V6973" s="100"/>
      <c r="Y6973" s="100"/>
    </row>
    <row r="6974">
      <c r="R6974" s="100"/>
      <c r="V6974" s="100"/>
      <c r="Y6974" s="100"/>
    </row>
    <row r="6975">
      <c r="R6975" s="100"/>
      <c r="V6975" s="100"/>
      <c r="Y6975" s="100"/>
    </row>
    <row r="6976">
      <c r="R6976" s="100"/>
      <c r="V6976" s="100"/>
      <c r="Y6976" s="100"/>
    </row>
    <row r="6977">
      <c r="R6977" s="100"/>
      <c r="V6977" s="100"/>
      <c r="Y6977" s="100"/>
    </row>
    <row r="6978">
      <c r="R6978" s="100"/>
      <c r="V6978" s="100"/>
      <c r="Y6978" s="100"/>
    </row>
    <row r="6979">
      <c r="R6979" s="100"/>
      <c r="V6979" s="100"/>
      <c r="Y6979" s="100"/>
    </row>
    <row r="6980">
      <c r="R6980" s="100"/>
      <c r="V6980" s="100"/>
      <c r="Y6980" s="100"/>
    </row>
    <row r="6981">
      <c r="R6981" s="100"/>
      <c r="V6981" s="100"/>
      <c r="Y6981" s="100"/>
    </row>
    <row r="6982">
      <c r="R6982" s="100"/>
      <c r="V6982" s="100"/>
      <c r="Y6982" s="100"/>
    </row>
    <row r="6983">
      <c r="R6983" s="100"/>
      <c r="V6983" s="100"/>
      <c r="Y6983" s="100"/>
    </row>
    <row r="6984">
      <c r="R6984" s="100"/>
      <c r="V6984" s="100"/>
      <c r="Y6984" s="100"/>
    </row>
    <row r="6985">
      <c r="R6985" s="100"/>
      <c r="V6985" s="100"/>
      <c r="Y6985" s="100"/>
    </row>
    <row r="6986">
      <c r="R6986" s="100"/>
      <c r="V6986" s="100"/>
      <c r="Y6986" s="100"/>
    </row>
    <row r="6987">
      <c r="R6987" s="100"/>
      <c r="V6987" s="100"/>
      <c r="Y6987" s="100"/>
    </row>
    <row r="6988">
      <c r="R6988" s="100"/>
      <c r="V6988" s="100"/>
      <c r="Y6988" s="100"/>
    </row>
    <row r="6989">
      <c r="R6989" s="100"/>
      <c r="V6989" s="100"/>
      <c r="Y6989" s="100"/>
    </row>
    <row r="6990">
      <c r="R6990" s="100"/>
      <c r="V6990" s="100"/>
      <c r="Y6990" s="100"/>
    </row>
    <row r="6991">
      <c r="R6991" s="100"/>
      <c r="V6991" s="100"/>
      <c r="Y6991" s="100"/>
    </row>
    <row r="6992">
      <c r="R6992" s="100"/>
      <c r="V6992" s="100"/>
      <c r="Y6992" s="100"/>
    </row>
    <row r="6993">
      <c r="R6993" s="100"/>
      <c r="V6993" s="100"/>
      <c r="Y6993" s="100"/>
    </row>
    <row r="6994">
      <c r="R6994" s="100"/>
      <c r="V6994" s="100"/>
      <c r="Y6994" s="100"/>
    </row>
    <row r="6995">
      <c r="R6995" s="100"/>
      <c r="V6995" s="100"/>
      <c r="Y6995" s="100"/>
    </row>
    <row r="6996">
      <c r="R6996" s="100"/>
      <c r="V6996" s="100"/>
      <c r="Y6996" s="100"/>
    </row>
    <row r="6997">
      <c r="R6997" s="100"/>
      <c r="V6997" s="100"/>
      <c r="Y6997" s="100"/>
    </row>
    <row r="6998">
      <c r="R6998" s="100"/>
      <c r="V6998" s="100"/>
      <c r="Y6998" s="100"/>
    </row>
    <row r="6999">
      <c r="R6999" s="100"/>
      <c r="V6999" s="100"/>
      <c r="Y6999" s="100"/>
    </row>
    <row r="7000">
      <c r="R7000" s="100"/>
      <c r="V7000" s="100"/>
      <c r="Y7000" s="100"/>
    </row>
    <row r="7001">
      <c r="R7001" s="100"/>
      <c r="V7001" s="100"/>
      <c r="Y7001" s="100"/>
    </row>
    <row r="7002">
      <c r="R7002" s="100"/>
      <c r="V7002" s="100"/>
      <c r="Y7002" s="100"/>
    </row>
    <row r="7003">
      <c r="R7003" s="100"/>
      <c r="V7003" s="100"/>
      <c r="Y7003" s="100"/>
    </row>
    <row r="7004">
      <c r="R7004" s="100"/>
      <c r="V7004" s="100"/>
      <c r="Y7004" s="100"/>
    </row>
    <row r="7005">
      <c r="R7005" s="100"/>
      <c r="V7005" s="100"/>
      <c r="Y7005" s="100"/>
    </row>
    <row r="7006">
      <c r="R7006" s="100"/>
      <c r="V7006" s="100"/>
      <c r="Y7006" s="100"/>
    </row>
    <row r="7007">
      <c r="R7007" s="100"/>
      <c r="V7007" s="100"/>
      <c r="Y7007" s="100"/>
    </row>
    <row r="7008">
      <c r="R7008" s="100"/>
      <c r="V7008" s="100"/>
      <c r="Y7008" s="100"/>
    </row>
    <row r="7009">
      <c r="R7009" s="100"/>
      <c r="V7009" s="100"/>
      <c r="Y7009" s="100"/>
    </row>
    <row r="7010">
      <c r="R7010" s="100"/>
      <c r="V7010" s="100"/>
      <c r="Y7010" s="100"/>
    </row>
    <row r="7011">
      <c r="R7011" s="100"/>
      <c r="V7011" s="100"/>
      <c r="Y7011" s="100"/>
    </row>
    <row r="7012">
      <c r="R7012" s="100"/>
      <c r="V7012" s="100"/>
      <c r="Y7012" s="100"/>
    </row>
    <row r="7013">
      <c r="R7013" s="100"/>
      <c r="V7013" s="100"/>
      <c r="Y7013" s="100"/>
    </row>
    <row r="7014">
      <c r="R7014" s="100"/>
      <c r="V7014" s="100"/>
      <c r="Y7014" s="100"/>
    </row>
    <row r="7015">
      <c r="R7015" s="100"/>
      <c r="V7015" s="100"/>
      <c r="Y7015" s="100"/>
    </row>
    <row r="7016">
      <c r="R7016" s="100"/>
      <c r="V7016" s="100"/>
      <c r="Y7016" s="100"/>
    </row>
    <row r="7017">
      <c r="R7017" s="100"/>
      <c r="V7017" s="100"/>
      <c r="Y7017" s="100"/>
    </row>
    <row r="7018">
      <c r="R7018" s="100"/>
      <c r="V7018" s="100"/>
      <c r="Y7018" s="100"/>
    </row>
    <row r="7019">
      <c r="R7019" s="100"/>
      <c r="V7019" s="100"/>
      <c r="Y7019" s="100"/>
    </row>
    <row r="7020">
      <c r="R7020" s="100"/>
      <c r="V7020" s="100"/>
      <c r="Y7020" s="100"/>
    </row>
    <row r="7021">
      <c r="R7021" s="100"/>
      <c r="V7021" s="100"/>
      <c r="Y7021" s="100"/>
    </row>
    <row r="7022">
      <c r="R7022" s="100"/>
      <c r="V7022" s="100"/>
      <c r="Y7022" s="100"/>
    </row>
    <row r="7023">
      <c r="R7023" s="100"/>
      <c r="V7023" s="100"/>
      <c r="Y7023" s="100"/>
    </row>
    <row r="7024">
      <c r="R7024" s="100"/>
      <c r="V7024" s="100"/>
      <c r="Y7024" s="100"/>
    </row>
    <row r="7025">
      <c r="R7025" s="100"/>
      <c r="V7025" s="100"/>
      <c r="Y7025" s="100"/>
    </row>
    <row r="7026">
      <c r="R7026" s="100"/>
      <c r="V7026" s="100"/>
      <c r="Y7026" s="100"/>
    </row>
    <row r="7027">
      <c r="R7027" s="100"/>
      <c r="V7027" s="100"/>
      <c r="Y7027" s="100"/>
    </row>
    <row r="7028">
      <c r="R7028" s="100"/>
      <c r="V7028" s="100"/>
      <c r="Y7028" s="100"/>
    </row>
    <row r="7029">
      <c r="R7029" s="100"/>
      <c r="V7029" s="100"/>
      <c r="Y7029" s="100"/>
    </row>
    <row r="7030">
      <c r="R7030" s="100"/>
      <c r="V7030" s="100"/>
      <c r="Y7030" s="100"/>
    </row>
    <row r="7031">
      <c r="R7031" s="100"/>
      <c r="V7031" s="100"/>
      <c r="Y7031" s="100"/>
    </row>
    <row r="7032">
      <c r="R7032" s="100"/>
      <c r="V7032" s="100"/>
      <c r="Y7032" s="100"/>
    </row>
    <row r="7033">
      <c r="R7033" s="100"/>
      <c r="V7033" s="100"/>
      <c r="Y7033" s="100"/>
    </row>
    <row r="7034">
      <c r="R7034" s="100"/>
      <c r="V7034" s="100"/>
      <c r="Y7034" s="100"/>
    </row>
    <row r="7035">
      <c r="R7035" s="100"/>
      <c r="V7035" s="100"/>
      <c r="Y7035" s="100"/>
    </row>
    <row r="7036">
      <c r="R7036" s="100"/>
      <c r="V7036" s="100"/>
      <c r="Y7036" s="100"/>
    </row>
    <row r="7037">
      <c r="R7037" s="100"/>
      <c r="V7037" s="100"/>
      <c r="Y7037" s="100"/>
    </row>
    <row r="7038">
      <c r="R7038" s="100"/>
      <c r="V7038" s="100"/>
      <c r="Y7038" s="100"/>
    </row>
    <row r="7039">
      <c r="R7039" s="100"/>
      <c r="V7039" s="100"/>
      <c r="Y7039" s="100"/>
    </row>
    <row r="7040">
      <c r="R7040" s="100"/>
      <c r="V7040" s="100"/>
      <c r="Y7040" s="100"/>
    </row>
    <row r="7041">
      <c r="R7041" s="100"/>
      <c r="V7041" s="100"/>
      <c r="Y7041" s="100"/>
    </row>
    <row r="7042">
      <c r="R7042" s="100"/>
      <c r="V7042" s="100"/>
      <c r="Y7042" s="100"/>
    </row>
    <row r="7043">
      <c r="R7043" s="100"/>
      <c r="V7043" s="100"/>
      <c r="Y7043" s="100"/>
    </row>
    <row r="7044">
      <c r="R7044" s="100"/>
      <c r="V7044" s="100"/>
      <c r="Y7044" s="100"/>
    </row>
    <row r="7045">
      <c r="R7045" s="100"/>
      <c r="V7045" s="100"/>
      <c r="Y7045" s="100"/>
    </row>
    <row r="7046">
      <c r="R7046" s="100"/>
      <c r="V7046" s="100"/>
      <c r="Y7046" s="100"/>
    </row>
    <row r="7047">
      <c r="R7047" s="100"/>
      <c r="V7047" s="100"/>
      <c r="Y7047" s="100"/>
    </row>
    <row r="7048">
      <c r="R7048" s="100"/>
      <c r="V7048" s="100"/>
      <c r="Y7048" s="100"/>
    </row>
    <row r="7049">
      <c r="R7049" s="100"/>
      <c r="V7049" s="100"/>
      <c r="Y7049" s="100"/>
    </row>
    <row r="7050">
      <c r="R7050" s="100"/>
      <c r="V7050" s="100"/>
      <c r="Y7050" s="100"/>
    </row>
    <row r="7051">
      <c r="R7051" s="100"/>
      <c r="V7051" s="100"/>
      <c r="Y7051" s="100"/>
    </row>
    <row r="7052">
      <c r="R7052" s="100"/>
      <c r="V7052" s="100"/>
      <c r="Y7052" s="100"/>
    </row>
    <row r="7053">
      <c r="R7053" s="100"/>
      <c r="V7053" s="100"/>
      <c r="Y7053" s="100"/>
    </row>
    <row r="7054">
      <c r="R7054" s="100"/>
      <c r="V7054" s="100"/>
      <c r="Y7054" s="100"/>
    </row>
    <row r="7055">
      <c r="R7055" s="100"/>
      <c r="V7055" s="100"/>
      <c r="Y7055" s="100"/>
    </row>
    <row r="7056">
      <c r="R7056" s="100"/>
      <c r="V7056" s="100"/>
      <c r="Y7056" s="100"/>
    </row>
    <row r="7057">
      <c r="R7057" s="100"/>
      <c r="V7057" s="100"/>
      <c r="Y7057" s="100"/>
    </row>
    <row r="7058">
      <c r="R7058" s="100"/>
      <c r="V7058" s="100"/>
      <c r="Y7058" s="100"/>
    </row>
    <row r="7059">
      <c r="R7059" s="100"/>
      <c r="V7059" s="100"/>
      <c r="Y7059" s="100"/>
    </row>
    <row r="7060">
      <c r="R7060" s="100"/>
      <c r="V7060" s="100"/>
      <c r="Y7060" s="100"/>
    </row>
    <row r="7061">
      <c r="R7061" s="100"/>
      <c r="V7061" s="100"/>
      <c r="Y7061" s="100"/>
    </row>
    <row r="7062">
      <c r="R7062" s="100"/>
      <c r="V7062" s="100"/>
      <c r="Y7062" s="100"/>
    </row>
    <row r="7063">
      <c r="R7063" s="100"/>
      <c r="V7063" s="100"/>
      <c r="Y7063" s="100"/>
    </row>
    <row r="7064">
      <c r="R7064" s="100"/>
      <c r="V7064" s="100"/>
      <c r="Y7064" s="100"/>
    </row>
    <row r="7065">
      <c r="R7065" s="100"/>
      <c r="V7065" s="100"/>
      <c r="Y7065" s="100"/>
    </row>
    <row r="7066">
      <c r="R7066" s="100"/>
      <c r="V7066" s="100"/>
      <c r="Y7066" s="100"/>
    </row>
    <row r="7067">
      <c r="R7067" s="100"/>
      <c r="V7067" s="100"/>
      <c r="Y7067" s="100"/>
    </row>
    <row r="7068">
      <c r="R7068" s="100"/>
      <c r="V7068" s="100"/>
      <c r="Y7068" s="100"/>
    </row>
    <row r="7069">
      <c r="R7069" s="100"/>
      <c r="V7069" s="100"/>
      <c r="Y7069" s="100"/>
    </row>
    <row r="7070">
      <c r="R7070" s="100"/>
      <c r="V7070" s="100"/>
      <c r="Y7070" s="100"/>
    </row>
    <row r="7071">
      <c r="R7071" s="100"/>
      <c r="V7071" s="100"/>
      <c r="Y7071" s="100"/>
    </row>
    <row r="7072">
      <c r="R7072" s="100"/>
      <c r="V7072" s="100"/>
      <c r="Y7072" s="100"/>
    </row>
    <row r="7073">
      <c r="R7073" s="100"/>
      <c r="V7073" s="100"/>
      <c r="Y7073" s="100"/>
    </row>
    <row r="7074">
      <c r="R7074" s="100"/>
      <c r="V7074" s="100"/>
      <c r="Y7074" s="100"/>
    </row>
    <row r="7075">
      <c r="R7075" s="100"/>
      <c r="V7075" s="100"/>
      <c r="Y7075" s="100"/>
    </row>
    <row r="7076">
      <c r="R7076" s="100"/>
      <c r="V7076" s="100"/>
      <c r="Y7076" s="100"/>
    </row>
    <row r="7077">
      <c r="R7077" s="100"/>
      <c r="V7077" s="100"/>
      <c r="Y7077" s="100"/>
    </row>
    <row r="7078">
      <c r="R7078" s="100"/>
      <c r="V7078" s="100"/>
      <c r="Y7078" s="100"/>
    </row>
    <row r="7079">
      <c r="R7079" s="100"/>
      <c r="V7079" s="100"/>
      <c r="Y7079" s="100"/>
    </row>
    <row r="7080">
      <c r="R7080" s="100"/>
      <c r="V7080" s="100"/>
      <c r="Y7080" s="100"/>
    </row>
    <row r="7081">
      <c r="R7081" s="100"/>
      <c r="V7081" s="100"/>
      <c r="Y7081" s="100"/>
    </row>
    <row r="7082">
      <c r="R7082" s="100"/>
      <c r="V7082" s="100"/>
      <c r="Y7082" s="100"/>
    </row>
    <row r="7083">
      <c r="R7083" s="100"/>
      <c r="V7083" s="100"/>
      <c r="Y7083" s="100"/>
    </row>
    <row r="7084">
      <c r="R7084" s="100"/>
      <c r="V7084" s="100"/>
      <c r="Y7084" s="100"/>
    </row>
    <row r="7085">
      <c r="R7085" s="100"/>
      <c r="V7085" s="100"/>
      <c r="Y7085" s="100"/>
    </row>
    <row r="7086">
      <c r="R7086" s="100"/>
      <c r="V7086" s="100"/>
      <c r="Y7086" s="100"/>
    </row>
    <row r="7087">
      <c r="R7087" s="100"/>
      <c r="V7087" s="100"/>
      <c r="Y7087" s="100"/>
    </row>
    <row r="7088">
      <c r="R7088" s="100"/>
      <c r="V7088" s="100"/>
      <c r="Y7088" s="100"/>
    </row>
    <row r="7089">
      <c r="R7089" s="100"/>
      <c r="V7089" s="100"/>
      <c r="Y7089" s="100"/>
    </row>
    <row r="7090">
      <c r="R7090" s="100"/>
      <c r="V7090" s="100"/>
      <c r="Y7090" s="100"/>
    </row>
    <row r="7091">
      <c r="R7091" s="100"/>
      <c r="V7091" s="100"/>
      <c r="Y7091" s="100"/>
    </row>
    <row r="7092">
      <c r="R7092" s="100"/>
      <c r="V7092" s="100"/>
      <c r="Y7092" s="100"/>
    </row>
    <row r="7093">
      <c r="R7093" s="100"/>
      <c r="V7093" s="100"/>
      <c r="Y7093" s="100"/>
    </row>
    <row r="7094">
      <c r="R7094" s="100"/>
      <c r="V7094" s="100"/>
      <c r="Y7094" s="100"/>
    </row>
    <row r="7095">
      <c r="R7095" s="100"/>
      <c r="V7095" s="100"/>
      <c r="Y7095" s="100"/>
    </row>
    <row r="7096">
      <c r="R7096" s="100"/>
      <c r="V7096" s="100"/>
      <c r="Y7096" s="100"/>
    </row>
    <row r="7097">
      <c r="R7097" s="100"/>
      <c r="V7097" s="100"/>
      <c r="Y7097" s="100"/>
    </row>
    <row r="7098">
      <c r="R7098" s="100"/>
      <c r="V7098" s="100"/>
      <c r="Y7098" s="100"/>
    </row>
    <row r="7099">
      <c r="R7099" s="100"/>
      <c r="V7099" s="100"/>
      <c r="Y7099" s="100"/>
    </row>
    <row r="7100">
      <c r="R7100" s="100"/>
      <c r="V7100" s="100"/>
      <c r="Y7100" s="100"/>
    </row>
    <row r="7101">
      <c r="R7101" s="100"/>
      <c r="V7101" s="100"/>
      <c r="Y7101" s="100"/>
    </row>
    <row r="7102">
      <c r="R7102" s="100"/>
      <c r="V7102" s="100"/>
      <c r="Y7102" s="100"/>
    </row>
    <row r="7103">
      <c r="R7103" s="100"/>
      <c r="V7103" s="100"/>
      <c r="Y7103" s="100"/>
    </row>
    <row r="7104">
      <c r="R7104" s="100"/>
      <c r="V7104" s="100"/>
      <c r="Y7104" s="100"/>
    </row>
    <row r="7105">
      <c r="R7105" s="100"/>
      <c r="V7105" s="100"/>
      <c r="Y7105" s="100"/>
    </row>
    <row r="7106">
      <c r="R7106" s="100"/>
      <c r="V7106" s="100"/>
      <c r="Y7106" s="100"/>
    </row>
    <row r="7107">
      <c r="R7107" s="100"/>
      <c r="V7107" s="100"/>
      <c r="Y7107" s="100"/>
    </row>
    <row r="7108">
      <c r="R7108" s="100"/>
      <c r="V7108" s="100"/>
      <c r="Y7108" s="100"/>
    </row>
    <row r="7109">
      <c r="R7109" s="100"/>
      <c r="V7109" s="100"/>
      <c r="Y7109" s="100"/>
    </row>
    <row r="7110">
      <c r="R7110" s="100"/>
      <c r="V7110" s="100"/>
      <c r="Y7110" s="100"/>
    </row>
    <row r="7111">
      <c r="R7111" s="100"/>
      <c r="V7111" s="100"/>
      <c r="Y7111" s="100"/>
    </row>
    <row r="7112">
      <c r="R7112" s="100"/>
      <c r="V7112" s="100"/>
      <c r="Y7112" s="100"/>
    </row>
    <row r="7113">
      <c r="R7113" s="100"/>
      <c r="V7113" s="100"/>
      <c r="Y7113" s="100"/>
    </row>
    <row r="7114">
      <c r="R7114" s="100"/>
      <c r="V7114" s="100"/>
      <c r="Y7114" s="100"/>
    </row>
    <row r="7115">
      <c r="R7115" s="100"/>
      <c r="V7115" s="100"/>
      <c r="Y7115" s="100"/>
    </row>
    <row r="7116">
      <c r="R7116" s="100"/>
      <c r="V7116" s="100"/>
      <c r="Y7116" s="100"/>
    </row>
    <row r="7117">
      <c r="R7117" s="100"/>
      <c r="V7117" s="100"/>
      <c r="Y7117" s="100"/>
    </row>
    <row r="7118">
      <c r="R7118" s="100"/>
      <c r="V7118" s="100"/>
      <c r="Y7118" s="100"/>
    </row>
    <row r="7119">
      <c r="R7119" s="100"/>
      <c r="V7119" s="100"/>
      <c r="Y7119" s="100"/>
    </row>
    <row r="7120">
      <c r="R7120" s="100"/>
      <c r="V7120" s="100"/>
      <c r="Y7120" s="100"/>
    </row>
    <row r="7121">
      <c r="R7121" s="100"/>
      <c r="V7121" s="100"/>
      <c r="Y7121" s="100"/>
    </row>
    <row r="7122">
      <c r="R7122" s="100"/>
      <c r="V7122" s="100"/>
      <c r="Y7122" s="100"/>
    </row>
    <row r="7123">
      <c r="R7123" s="100"/>
      <c r="V7123" s="100"/>
      <c r="Y7123" s="100"/>
    </row>
    <row r="7124">
      <c r="R7124" s="100"/>
      <c r="V7124" s="100"/>
      <c r="Y7124" s="100"/>
    </row>
    <row r="7125">
      <c r="R7125" s="100"/>
      <c r="V7125" s="100"/>
      <c r="Y7125" s="100"/>
    </row>
    <row r="7126">
      <c r="R7126" s="100"/>
      <c r="V7126" s="100"/>
      <c r="Y7126" s="100"/>
    </row>
    <row r="7127">
      <c r="R7127" s="100"/>
      <c r="V7127" s="100"/>
      <c r="Y7127" s="100"/>
    </row>
    <row r="7128">
      <c r="R7128" s="100"/>
      <c r="V7128" s="100"/>
      <c r="Y7128" s="100"/>
    </row>
    <row r="7129">
      <c r="R7129" s="100"/>
      <c r="V7129" s="100"/>
      <c r="Y7129" s="100"/>
    </row>
    <row r="7130">
      <c r="R7130" s="100"/>
      <c r="V7130" s="100"/>
      <c r="Y7130" s="100"/>
    </row>
    <row r="7131">
      <c r="R7131" s="100"/>
      <c r="V7131" s="100"/>
      <c r="Y7131" s="100"/>
    </row>
    <row r="7132">
      <c r="R7132" s="100"/>
      <c r="V7132" s="100"/>
      <c r="Y7132" s="100"/>
    </row>
    <row r="7133">
      <c r="R7133" s="100"/>
      <c r="V7133" s="100"/>
      <c r="Y7133" s="100"/>
    </row>
    <row r="7134">
      <c r="R7134" s="100"/>
      <c r="V7134" s="100"/>
      <c r="Y7134" s="100"/>
    </row>
    <row r="7135">
      <c r="R7135" s="100"/>
      <c r="V7135" s="100"/>
      <c r="Y7135" s="100"/>
    </row>
    <row r="7136">
      <c r="R7136" s="100"/>
      <c r="V7136" s="100"/>
      <c r="Y7136" s="100"/>
    </row>
    <row r="7137">
      <c r="R7137" s="100"/>
      <c r="V7137" s="100"/>
      <c r="Y7137" s="100"/>
    </row>
    <row r="7138">
      <c r="R7138" s="100"/>
      <c r="V7138" s="100"/>
      <c r="Y7138" s="100"/>
    </row>
    <row r="7139">
      <c r="R7139" s="100"/>
      <c r="V7139" s="100"/>
      <c r="Y7139" s="100"/>
    </row>
    <row r="7140">
      <c r="R7140" s="100"/>
      <c r="V7140" s="100"/>
      <c r="Y7140" s="100"/>
    </row>
    <row r="7141">
      <c r="R7141" s="100"/>
      <c r="V7141" s="100"/>
      <c r="Y7141" s="100"/>
    </row>
    <row r="7142">
      <c r="R7142" s="100"/>
      <c r="V7142" s="100"/>
      <c r="Y7142" s="100"/>
    </row>
    <row r="7143">
      <c r="R7143" s="100"/>
      <c r="V7143" s="100"/>
      <c r="Y7143" s="100"/>
    </row>
    <row r="7144">
      <c r="R7144" s="100"/>
      <c r="V7144" s="100"/>
      <c r="Y7144" s="100"/>
    </row>
    <row r="7145">
      <c r="R7145" s="100"/>
      <c r="V7145" s="100"/>
      <c r="Y7145" s="100"/>
    </row>
    <row r="7146">
      <c r="R7146" s="100"/>
      <c r="V7146" s="100"/>
      <c r="Y7146" s="100"/>
    </row>
    <row r="7147">
      <c r="R7147" s="100"/>
      <c r="V7147" s="100"/>
      <c r="Y7147" s="100"/>
    </row>
    <row r="7148">
      <c r="R7148" s="100"/>
      <c r="V7148" s="100"/>
      <c r="Y7148" s="100"/>
    </row>
    <row r="7149">
      <c r="R7149" s="100"/>
      <c r="V7149" s="100"/>
      <c r="Y7149" s="100"/>
    </row>
    <row r="7150">
      <c r="R7150" s="100"/>
      <c r="V7150" s="100"/>
      <c r="Y7150" s="100"/>
    </row>
    <row r="7151">
      <c r="R7151" s="100"/>
      <c r="V7151" s="100"/>
      <c r="Y7151" s="100"/>
    </row>
    <row r="7152">
      <c r="R7152" s="100"/>
      <c r="V7152" s="100"/>
      <c r="Y7152" s="100"/>
    </row>
    <row r="7153">
      <c r="R7153" s="100"/>
      <c r="V7153" s="100"/>
      <c r="Y7153" s="100"/>
    </row>
    <row r="7154">
      <c r="R7154" s="100"/>
      <c r="V7154" s="100"/>
      <c r="Y7154" s="100"/>
    </row>
    <row r="7155">
      <c r="R7155" s="100"/>
      <c r="V7155" s="100"/>
      <c r="Y7155" s="100"/>
    </row>
    <row r="7156">
      <c r="R7156" s="100"/>
      <c r="V7156" s="100"/>
      <c r="Y7156" s="100"/>
    </row>
    <row r="7157">
      <c r="R7157" s="100"/>
      <c r="V7157" s="100"/>
      <c r="Y7157" s="100"/>
    </row>
    <row r="7158">
      <c r="R7158" s="100"/>
      <c r="V7158" s="100"/>
      <c r="Y7158" s="100"/>
    </row>
    <row r="7159">
      <c r="R7159" s="100"/>
      <c r="V7159" s="100"/>
      <c r="Y7159" s="100"/>
    </row>
    <row r="7160">
      <c r="R7160" s="100"/>
      <c r="V7160" s="100"/>
      <c r="Y7160" s="100"/>
    </row>
    <row r="7161">
      <c r="R7161" s="100"/>
      <c r="V7161" s="100"/>
      <c r="Y7161" s="100"/>
    </row>
    <row r="7162">
      <c r="R7162" s="100"/>
      <c r="V7162" s="100"/>
      <c r="Y7162" s="100"/>
    </row>
    <row r="7163">
      <c r="R7163" s="100"/>
      <c r="V7163" s="100"/>
      <c r="Y7163" s="100"/>
    </row>
    <row r="7164">
      <c r="R7164" s="100"/>
      <c r="V7164" s="100"/>
      <c r="Y7164" s="100"/>
    </row>
    <row r="7165">
      <c r="R7165" s="100"/>
      <c r="V7165" s="100"/>
      <c r="Y7165" s="100"/>
    </row>
    <row r="7166">
      <c r="R7166" s="100"/>
      <c r="V7166" s="100"/>
      <c r="Y7166" s="100"/>
    </row>
    <row r="7167">
      <c r="R7167" s="100"/>
      <c r="V7167" s="100"/>
      <c r="Y7167" s="100"/>
    </row>
    <row r="7168">
      <c r="R7168" s="100"/>
      <c r="V7168" s="100"/>
      <c r="Y7168" s="100"/>
    </row>
    <row r="7169">
      <c r="R7169" s="100"/>
      <c r="V7169" s="100"/>
      <c r="Y7169" s="100"/>
    </row>
    <row r="7170">
      <c r="R7170" s="100"/>
      <c r="V7170" s="100"/>
      <c r="Y7170" s="100"/>
    </row>
    <row r="7171">
      <c r="R7171" s="100"/>
      <c r="V7171" s="100"/>
      <c r="Y7171" s="100"/>
    </row>
    <row r="7172">
      <c r="R7172" s="100"/>
      <c r="V7172" s="100"/>
      <c r="Y7172" s="100"/>
    </row>
    <row r="7173">
      <c r="R7173" s="100"/>
      <c r="V7173" s="100"/>
      <c r="Y7173" s="100"/>
    </row>
    <row r="7174">
      <c r="R7174" s="100"/>
      <c r="V7174" s="100"/>
      <c r="Y7174" s="100"/>
    </row>
    <row r="7175">
      <c r="R7175" s="100"/>
      <c r="V7175" s="100"/>
      <c r="Y7175" s="100"/>
    </row>
    <row r="7176">
      <c r="R7176" s="100"/>
      <c r="V7176" s="100"/>
      <c r="Y7176" s="100"/>
    </row>
    <row r="7177">
      <c r="R7177" s="100"/>
      <c r="V7177" s="100"/>
      <c r="Y7177" s="100"/>
    </row>
    <row r="7178">
      <c r="R7178" s="100"/>
      <c r="V7178" s="100"/>
      <c r="Y7178" s="100"/>
    </row>
    <row r="7179">
      <c r="R7179" s="100"/>
      <c r="V7179" s="100"/>
      <c r="Y7179" s="100"/>
    </row>
    <row r="7180">
      <c r="R7180" s="100"/>
      <c r="V7180" s="100"/>
      <c r="Y7180" s="100"/>
    </row>
    <row r="7181">
      <c r="R7181" s="100"/>
      <c r="V7181" s="100"/>
      <c r="Y7181" s="100"/>
    </row>
    <row r="7182">
      <c r="R7182" s="100"/>
      <c r="V7182" s="100"/>
      <c r="Y7182" s="100"/>
    </row>
    <row r="7183">
      <c r="R7183" s="100"/>
      <c r="V7183" s="100"/>
      <c r="Y7183" s="100"/>
    </row>
    <row r="7184">
      <c r="R7184" s="100"/>
      <c r="V7184" s="100"/>
      <c r="Y7184" s="100"/>
    </row>
    <row r="7185">
      <c r="R7185" s="100"/>
      <c r="V7185" s="100"/>
      <c r="Y7185" s="100"/>
    </row>
    <row r="7186">
      <c r="R7186" s="100"/>
      <c r="V7186" s="100"/>
      <c r="Y7186" s="100"/>
    </row>
    <row r="7187">
      <c r="R7187" s="100"/>
      <c r="V7187" s="100"/>
      <c r="Y7187" s="100"/>
    </row>
    <row r="7188">
      <c r="R7188" s="100"/>
      <c r="V7188" s="100"/>
      <c r="Y7188" s="100"/>
    </row>
    <row r="7189">
      <c r="R7189" s="100"/>
      <c r="V7189" s="100"/>
      <c r="Y7189" s="100"/>
    </row>
    <row r="7190">
      <c r="R7190" s="100"/>
      <c r="V7190" s="100"/>
      <c r="Y7190" s="100"/>
    </row>
    <row r="7191">
      <c r="R7191" s="100"/>
      <c r="V7191" s="100"/>
      <c r="Y7191" s="100"/>
    </row>
    <row r="7192">
      <c r="R7192" s="100"/>
      <c r="V7192" s="100"/>
      <c r="Y7192" s="100"/>
    </row>
    <row r="7193">
      <c r="R7193" s="100"/>
      <c r="V7193" s="100"/>
      <c r="Y7193" s="100"/>
    </row>
    <row r="7194">
      <c r="R7194" s="100"/>
      <c r="V7194" s="100"/>
      <c r="Y7194" s="100"/>
    </row>
    <row r="7195">
      <c r="R7195" s="100"/>
      <c r="V7195" s="100"/>
      <c r="Y7195" s="100"/>
    </row>
    <row r="7196">
      <c r="R7196" s="100"/>
      <c r="V7196" s="100"/>
      <c r="Y7196" s="100"/>
    </row>
    <row r="7197">
      <c r="R7197" s="100"/>
      <c r="V7197" s="100"/>
      <c r="Y7197" s="100"/>
    </row>
    <row r="7198">
      <c r="R7198" s="100"/>
      <c r="V7198" s="100"/>
      <c r="Y7198" s="100"/>
    </row>
    <row r="7199">
      <c r="R7199" s="100"/>
      <c r="V7199" s="100"/>
      <c r="Y7199" s="100"/>
    </row>
    <row r="7200">
      <c r="R7200" s="100"/>
      <c r="V7200" s="100"/>
      <c r="Y7200" s="100"/>
    </row>
    <row r="7201">
      <c r="R7201" s="100"/>
      <c r="V7201" s="100"/>
      <c r="Y7201" s="100"/>
    </row>
    <row r="7202">
      <c r="R7202" s="100"/>
      <c r="V7202" s="100"/>
      <c r="Y7202" s="100"/>
    </row>
    <row r="7203">
      <c r="R7203" s="100"/>
      <c r="V7203" s="100"/>
      <c r="Y7203" s="100"/>
    </row>
    <row r="7204">
      <c r="R7204" s="100"/>
      <c r="V7204" s="100"/>
      <c r="Y7204" s="100"/>
    </row>
    <row r="7205">
      <c r="R7205" s="100"/>
      <c r="V7205" s="100"/>
      <c r="Y7205" s="100"/>
    </row>
    <row r="7206">
      <c r="R7206" s="100"/>
      <c r="V7206" s="100"/>
      <c r="Y7206" s="100"/>
    </row>
    <row r="7207">
      <c r="R7207" s="100"/>
      <c r="V7207" s="100"/>
      <c r="Y7207" s="100"/>
    </row>
    <row r="7208">
      <c r="R7208" s="100"/>
      <c r="V7208" s="100"/>
      <c r="Y7208" s="100"/>
    </row>
    <row r="7209">
      <c r="R7209" s="100"/>
      <c r="V7209" s="100"/>
      <c r="Y7209" s="100"/>
    </row>
    <row r="7210">
      <c r="R7210" s="100"/>
      <c r="V7210" s="100"/>
      <c r="Y7210" s="100"/>
    </row>
    <row r="7211">
      <c r="R7211" s="100"/>
      <c r="V7211" s="100"/>
      <c r="Y7211" s="100"/>
    </row>
    <row r="7212">
      <c r="R7212" s="100"/>
      <c r="V7212" s="100"/>
      <c r="Y7212" s="100"/>
    </row>
    <row r="7213">
      <c r="R7213" s="100"/>
      <c r="V7213" s="100"/>
      <c r="Y7213" s="100"/>
    </row>
    <row r="7214">
      <c r="R7214" s="100"/>
      <c r="V7214" s="100"/>
      <c r="Y7214" s="100"/>
    </row>
    <row r="7215">
      <c r="R7215" s="100"/>
      <c r="V7215" s="100"/>
      <c r="Y7215" s="100"/>
    </row>
    <row r="7216">
      <c r="R7216" s="100"/>
      <c r="V7216" s="100"/>
      <c r="Y7216" s="100"/>
    </row>
    <row r="7217">
      <c r="R7217" s="100"/>
      <c r="V7217" s="100"/>
      <c r="Y7217" s="100"/>
    </row>
    <row r="7218">
      <c r="R7218" s="100"/>
      <c r="V7218" s="100"/>
      <c r="Y7218" s="100"/>
    </row>
    <row r="7219">
      <c r="R7219" s="100"/>
      <c r="V7219" s="100"/>
      <c r="Y7219" s="100"/>
    </row>
    <row r="7220">
      <c r="R7220" s="100"/>
      <c r="V7220" s="100"/>
      <c r="Y7220" s="100"/>
    </row>
    <row r="7221">
      <c r="R7221" s="100"/>
      <c r="V7221" s="100"/>
      <c r="Y7221" s="100"/>
    </row>
    <row r="7222">
      <c r="R7222" s="100"/>
      <c r="V7222" s="100"/>
      <c r="Y7222" s="100"/>
    </row>
    <row r="7223">
      <c r="R7223" s="100"/>
      <c r="V7223" s="100"/>
      <c r="Y7223" s="100"/>
    </row>
    <row r="7224">
      <c r="R7224" s="100"/>
      <c r="V7224" s="100"/>
      <c r="Y7224" s="100"/>
    </row>
    <row r="7225">
      <c r="R7225" s="100"/>
      <c r="V7225" s="100"/>
      <c r="Y7225" s="100"/>
    </row>
    <row r="7226">
      <c r="R7226" s="100"/>
      <c r="V7226" s="100"/>
      <c r="Y7226" s="100"/>
    </row>
    <row r="7227">
      <c r="R7227" s="100"/>
      <c r="V7227" s="100"/>
      <c r="Y7227" s="100"/>
    </row>
    <row r="7228">
      <c r="R7228" s="100"/>
      <c r="V7228" s="100"/>
      <c r="Y7228" s="100"/>
    </row>
    <row r="7229">
      <c r="R7229" s="100"/>
      <c r="V7229" s="100"/>
      <c r="Y7229" s="100"/>
    </row>
    <row r="7230">
      <c r="R7230" s="100"/>
      <c r="V7230" s="100"/>
      <c r="Y7230" s="100"/>
    </row>
    <row r="7231">
      <c r="R7231" s="100"/>
      <c r="V7231" s="100"/>
      <c r="Y7231" s="100"/>
    </row>
    <row r="7232">
      <c r="R7232" s="100"/>
      <c r="V7232" s="100"/>
      <c r="Y7232" s="100"/>
    </row>
    <row r="7233">
      <c r="R7233" s="100"/>
      <c r="V7233" s="100"/>
      <c r="Y7233" s="100"/>
    </row>
    <row r="7234">
      <c r="R7234" s="100"/>
      <c r="V7234" s="100"/>
      <c r="Y7234" s="100"/>
    </row>
    <row r="7235">
      <c r="R7235" s="100"/>
      <c r="V7235" s="100"/>
      <c r="Y7235" s="100"/>
    </row>
    <row r="7236">
      <c r="R7236" s="100"/>
      <c r="V7236" s="100"/>
      <c r="Y7236" s="100"/>
    </row>
    <row r="7237">
      <c r="R7237" s="100"/>
      <c r="V7237" s="100"/>
      <c r="Y7237" s="100"/>
    </row>
    <row r="7238">
      <c r="R7238" s="100"/>
      <c r="V7238" s="100"/>
      <c r="Y7238" s="100"/>
    </row>
    <row r="7239">
      <c r="R7239" s="100"/>
      <c r="V7239" s="100"/>
      <c r="Y7239" s="100"/>
    </row>
    <row r="7240">
      <c r="R7240" s="100"/>
      <c r="V7240" s="100"/>
      <c r="Y7240" s="100"/>
    </row>
    <row r="7241">
      <c r="R7241" s="100"/>
      <c r="V7241" s="100"/>
      <c r="Y7241" s="100"/>
    </row>
    <row r="7242">
      <c r="R7242" s="100"/>
      <c r="V7242" s="100"/>
      <c r="Y7242" s="100"/>
    </row>
    <row r="7243">
      <c r="R7243" s="100"/>
      <c r="V7243" s="100"/>
      <c r="Y7243" s="100"/>
    </row>
    <row r="7244">
      <c r="R7244" s="100"/>
      <c r="V7244" s="100"/>
      <c r="Y7244" s="100"/>
    </row>
    <row r="7245">
      <c r="R7245" s="100"/>
      <c r="V7245" s="100"/>
      <c r="Y7245" s="100"/>
    </row>
    <row r="7246">
      <c r="R7246" s="100"/>
      <c r="V7246" s="100"/>
      <c r="Y7246" s="100"/>
    </row>
    <row r="7247">
      <c r="R7247" s="100"/>
      <c r="V7247" s="100"/>
      <c r="Y7247" s="100"/>
    </row>
    <row r="7248">
      <c r="R7248" s="100"/>
      <c r="V7248" s="100"/>
      <c r="Y7248" s="100"/>
    </row>
    <row r="7249">
      <c r="R7249" s="100"/>
      <c r="V7249" s="100"/>
      <c r="Y7249" s="100"/>
    </row>
    <row r="7250">
      <c r="R7250" s="100"/>
      <c r="V7250" s="100"/>
      <c r="Y7250" s="100"/>
    </row>
    <row r="7251">
      <c r="R7251" s="100"/>
      <c r="V7251" s="100"/>
      <c r="Y7251" s="100"/>
    </row>
    <row r="7252">
      <c r="R7252" s="100"/>
      <c r="V7252" s="100"/>
      <c r="Y7252" s="100"/>
    </row>
    <row r="7253">
      <c r="R7253" s="100"/>
      <c r="V7253" s="100"/>
      <c r="Y7253" s="100"/>
    </row>
    <row r="7254">
      <c r="R7254" s="100"/>
      <c r="V7254" s="100"/>
      <c r="Y7254" s="100"/>
    </row>
    <row r="7255">
      <c r="R7255" s="100"/>
      <c r="V7255" s="100"/>
      <c r="Y7255" s="100"/>
    </row>
    <row r="7256">
      <c r="R7256" s="100"/>
      <c r="V7256" s="100"/>
      <c r="Y7256" s="100"/>
    </row>
    <row r="7257">
      <c r="R7257" s="100"/>
      <c r="V7257" s="100"/>
      <c r="Y7257" s="100"/>
    </row>
    <row r="7258">
      <c r="R7258" s="100"/>
      <c r="V7258" s="100"/>
      <c r="Y7258" s="100"/>
    </row>
    <row r="7259">
      <c r="R7259" s="100"/>
      <c r="V7259" s="100"/>
      <c r="Y7259" s="100"/>
    </row>
    <row r="7260">
      <c r="R7260" s="100"/>
      <c r="V7260" s="100"/>
      <c r="Y7260" s="100"/>
    </row>
    <row r="7261">
      <c r="R7261" s="100"/>
      <c r="V7261" s="100"/>
      <c r="Y7261" s="100"/>
    </row>
    <row r="7262">
      <c r="R7262" s="100"/>
      <c r="V7262" s="100"/>
      <c r="Y7262" s="100"/>
    </row>
    <row r="7263">
      <c r="R7263" s="100"/>
      <c r="V7263" s="100"/>
      <c r="Y7263" s="100"/>
    </row>
    <row r="7264">
      <c r="R7264" s="100"/>
      <c r="V7264" s="100"/>
      <c r="Y7264" s="100"/>
    </row>
    <row r="7265">
      <c r="R7265" s="100"/>
      <c r="V7265" s="100"/>
      <c r="Y7265" s="100"/>
    </row>
    <row r="7266">
      <c r="R7266" s="100"/>
      <c r="V7266" s="100"/>
      <c r="Y7266" s="100"/>
    </row>
    <row r="7267">
      <c r="R7267" s="100"/>
      <c r="V7267" s="100"/>
      <c r="Y7267" s="100"/>
    </row>
    <row r="7268">
      <c r="R7268" s="100"/>
      <c r="V7268" s="100"/>
      <c r="Y7268" s="100"/>
    </row>
    <row r="7269">
      <c r="R7269" s="100"/>
      <c r="V7269" s="100"/>
      <c r="Y7269" s="100"/>
    </row>
    <row r="7270">
      <c r="R7270" s="100"/>
      <c r="V7270" s="100"/>
      <c r="Y7270" s="100"/>
    </row>
    <row r="7271">
      <c r="R7271" s="100"/>
      <c r="V7271" s="100"/>
      <c r="Y7271" s="100"/>
    </row>
    <row r="7272">
      <c r="R7272" s="100"/>
      <c r="V7272" s="100"/>
      <c r="Y7272" s="100"/>
    </row>
    <row r="7273">
      <c r="R7273" s="100"/>
      <c r="V7273" s="100"/>
      <c r="Y7273" s="100"/>
    </row>
    <row r="7274">
      <c r="R7274" s="100"/>
      <c r="V7274" s="100"/>
      <c r="Y7274" s="100"/>
    </row>
    <row r="7275">
      <c r="R7275" s="100"/>
      <c r="V7275" s="100"/>
      <c r="Y7275" s="100"/>
    </row>
    <row r="7276">
      <c r="R7276" s="100"/>
      <c r="V7276" s="100"/>
      <c r="Y7276" s="100"/>
    </row>
    <row r="7277">
      <c r="R7277" s="100"/>
      <c r="V7277" s="100"/>
      <c r="Y7277" s="100"/>
    </row>
    <row r="7278">
      <c r="R7278" s="100"/>
      <c r="V7278" s="100"/>
      <c r="Y7278" s="100"/>
    </row>
    <row r="7279">
      <c r="R7279" s="100"/>
      <c r="V7279" s="100"/>
      <c r="Y7279" s="100"/>
    </row>
    <row r="7280">
      <c r="R7280" s="100"/>
      <c r="V7280" s="100"/>
      <c r="Y7280" s="100"/>
    </row>
    <row r="7281">
      <c r="R7281" s="100"/>
      <c r="V7281" s="100"/>
      <c r="Y7281" s="100"/>
    </row>
    <row r="7282">
      <c r="R7282" s="100"/>
      <c r="V7282" s="100"/>
      <c r="Y7282" s="100"/>
    </row>
    <row r="7283">
      <c r="R7283" s="100"/>
      <c r="V7283" s="100"/>
      <c r="Y7283" s="100"/>
    </row>
    <row r="7284">
      <c r="R7284" s="100"/>
      <c r="V7284" s="100"/>
      <c r="Y7284" s="100"/>
    </row>
    <row r="7285">
      <c r="R7285" s="100"/>
      <c r="V7285" s="100"/>
      <c r="Y7285" s="100"/>
    </row>
    <row r="7286">
      <c r="R7286" s="100"/>
      <c r="V7286" s="100"/>
      <c r="Y7286" s="100"/>
    </row>
    <row r="7287">
      <c r="R7287" s="100"/>
      <c r="V7287" s="100"/>
      <c r="Y7287" s="100"/>
    </row>
    <row r="7288">
      <c r="R7288" s="100"/>
      <c r="V7288" s="100"/>
      <c r="Y7288" s="100"/>
    </row>
    <row r="7289">
      <c r="R7289" s="100"/>
      <c r="V7289" s="100"/>
      <c r="Y7289" s="100"/>
    </row>
    <row r="7290">
      <c r="R7290" s="100"/>
      <c r="V7290" s="100"/>
      <c r="Y7290" s="100"/>
    </row>
    <row r="7291">
      <c r="R7291" s="100"/>
      <c r="V7291" s="100"/>
      <c r="Y7291" s="100"/>
    </row>
    <row r="7292">
      <c r="R7292" s="100"/>
      <c r="V7292" s="100"/>
      <c r="Y7292" s="100"/>
    </row>
    <row r="7293">
      <c r="R7293" s="100"/>
      <c r="V7293" s="100"/>
      <c r="Y7293" s="100"/>
    </row>
    <row r="7294">
      <c r="R7294" s="100"/>
      <c r="V7294" s="100"/>
      <c r="Y7294" s="100"/>
    </row>
    <row r="7295">
      <c r="R7295" s="100"/>
      <c r="V7295" s="100"/>
      <c r="Y7295" s="100"/>
    </row>
    <row r="7296">
      <c r="R7296" s="100"/>
      <c r="V7296" s="100"/>
      <c r="Y7296" s="100"/>
    </row>
    <row r="7297">
      <c r="R7297" s="100"/>
      <c r="V7297" s="100"/>
      <c r="Y7297" s="100"/>
    </row>
    <row r="7298">
      <c r="R7298" s="100"/>
      <c r="V7298" s="100"/>
      <c r="Y7298" s="100"/>
    </row>
    <row r="7299">
      <c r="R7299" s="100"/>
      <c r="V7299" s="100"/>
      <c r="Y7299" s="100"/>
    </row>
    <row r="7300">
      <c r="R7300" s="100"/>
      <c r="V7300" s="100"/>
      <c r="Y7300" s="100"/>
    </row>
    <row r="7301">
      <c r="R7301" s="100"/>
      <c r="V7301" s="100"/>
      <c r="Y7301" s="100"/>
    </row>
    <row r="7302">
      <c r="R7302" s="100"/>
      <c r="V7302" s="100"/>
      <c r="Y7302" s="100"/>
    </row>
    <row r="7303">
      <c r="R7303" s="100"/>
      <c r="V7303" s="100"/>
      <c r="Y7303" s="100"/>
    </row>
    <row r="7304">
      <c r="R7304" s="100"/>
      <c r="V7304" s="100"/>
      <c r="Y7304" s="100"/>
    </row>
    <row r="7305">
      <c r="R7305" s="100"/>
      <c r="V7305" s="100"/>
      <c r="Y7305" s="100"/>
    </row>
    <row r="7306">
      <c r="R7306" s="100"/>
      <c r="V7306" s="100"/>
      <c r="Y7306" s="100"/>
    </row>
    <row r="7307">
      <c r="R7307" s="100"/>
      <c r="V7307" s="100"/>
      <c r="Y7307" s="100"/>
    </row>
    <row r="7308">
      <c r="R7308" s="100"/>
      <c r="V7308" s="100"/>
      <c r="Y7308" s="100"/>
    </row>
    <row r="7309">
      <c r="R7309" s="100"/>
      <c r="V7309" s="100"/>
      <c r="Y7309" s="100"/>
    </row>
    <row r="7310">
      <c r="R7310" s="100"/>
      <c r="V7310" s="100"/>
      <c r="Y7310" s="100"/>
    </row>
    <row r="7311">
      <c r="R7311" s="100"/>
      <c r="V7311" s="100"/>
      <c r="Y7311" s="100"/>
    </row>
    <row r="7312">
      <c r="R7312" s="100"/>
      <c r="V7312" s="100"/>
      <c r="Y7312" s="100"/>
    </row>
    <row r="7313">
      <c r="R7313" s="100"/>
      <c r="V7313" s="100"/>
      <c r="Y7313" s="100"/>
    </row>
    <row r="7314">
      <c r="R7314" s="100"/>
      <c r="V7314" s="100"/>
      <c r="Y7314" s="100"/>
    </row>
    <row r="7315">
      <c r="R7315" s="100"/>
      <c r="V7315" s="100"/>
      <c r="Y7315" s="100"/>
    </row>
    <row r="7316">
      <c r="R7316" s="100"/>
      <c r="V7316" s="100"/>
      <c r="Y7316" s="100"/>
    </row>
    <row r="7317">
      <c r="R7317" s="100"/>
      <c r="V7317" s="100"/>
      <c r="Y7317" s="100"/>
    </row>
    <row r="7318">
      <c r="R7318" s="100"/>
      <c r="V7318" s="100"/>
      <c r="Y7318" s="100"/>
    </row>
    <row r="7319">
      <c r="R7319" s="100"/>
      <c r="V7319" s="100"/>
      <c r="Y7319" s="100"/>
    </row>
    <row r="7320">
      <c r="R7320" s="100"/>
      <c r="V7320" s="100"/>
      <c r="Y7320" s="100"/>
    </row>
    <row r="7321">
      <c r="R7321" s="100"/>
      <c r="V7321" s="100"/>
      <c r="Y7321" s="100"/>
    </row>
    <row r="7322">
      <c r="R7322" s="100"/>
      <c r="V7322" s="100"/>
      <c r="Y7322" s="100"/>
    </row>
    <row r="7323">
      <c r="R7323" s="100"/>
      <c r="V7323" s="100"/>
      <c r="Y7323" s="100"/>
    </row>
    <row r="7324">
      <c r="R7324" s="100"/>
      <c r="V7324" s="100"/>
      <c r="Y7324" s="100"/>
    </row>
    <row r="7325">
      <c r="R7325" s="100"/>
      <c r="V7325" s="100"/>
      <c r="Y7325" s="100"/>
    </row>
    <row r="7326">
      <c r="R7326" s="100"/>
      <c r="V7326" s="100"/>
      <c r="Y7326" s="100"/>
    </row>
    <row r="7327">
      <c r="R7327" s="100"/>
      <c r="V7327" s="100"/>
      <c r="Y7327" s="100"/>
    </row>
    <row r="7328">
      <c r="R7328" s="100"/>
      <c r="V7328" s="100"/>
      <c r="Y7328" s="100"/>
    </row>
    <row r="7329">
      <c r="R7329" s="100"/>
      <c r="V7329" s="100"/>
      <c r="Y7329" s="100"/>
    </row>
    <row r="7330">
      <c r="R7330" s="100"/>
      <c r="V7330" s="100"/>
      <c r="Y7330" s="100"/>
    </row>
    <row r="7331">
      <c r="R7331" s="100"/>
      <c r="V7331" s="100"/>
      <c r="Y7331" s="100"/>
    </row>
    <row r="7332">
      <c r="R7332" s="100"/>
      <c r="V7332" s="100"/>
      <c r="Y7332" s="100"/>
    </row>
    <row r="7333">
      <c r="R7333" s="100"/>
      <c r="V7333" s="100"/>
      <c r="Y7333" s="100"/>
    </row>
    <row r="7334">
      <c r="R7334" s="100"/>
      <c r="V7334" s="100"/>
      <c r="Y7334" s="100"/>
    </row>
    <row r="7335">
      <c r="R7335" s="100"/>
      <c r="V7335" s="100"/>
      <c r="Y7335" s="100"/>
    </row>
    <row r="7336">
      <c r="R7336" s="100"/>
      <c r="V7336" s="100"/>
      <c r="Y7336" s="100"/>
    </row>
    <row r="7337">
      <c r="R7337" s="100"/>
      <c r="V7337" s="100"/>
      <c r="Y7337" s="100"/>
    </row>
    <row r="7338">
      <c r="R7338" s="100"/>
      <c r="V7338" s="100"/>
      <c r="Y7338" s="100"/>
    </row>
    <row r="7339">
      <c r="R7339" s="100"/>
      <c r="V7339" s="100"/>
      <c r="Y7339" s="100"/>
    </row>
    <row r="7340">
      <c r="R7340" s="100"/>
      <c r="V7340" s="100"/>
      <c r="Y7340" s="100"/>
    </row>
    <row r="7341">
      <c r="R7341" s="100"/>
      <c r="V7341" s="100"/>
      <c r="Y7341" s="100"/>
    </row>
    <row r="7342">
      <c r="R7342" s="100"/>
      <c r="V7342" s="100"/>
      <c r="Y7342" s="100"/>
    </row>
    <row r="7343">
      <c r="R7343" s="100"/>
      <c r="V7343" s="100"/>
      <c r="Y7343" s="100"/>
    </row>
    <row r="7344">
      <c r="R7344" s="100"/>
      <c r="V7344" s="100"/>
      <c r="Y7344" s="100"/>
    </row>
    <row r="7345">
      <c r="R7345" s="100"/>
      <c r="V7345" s="100"/>
      <c r="Y7345" s="100"/>
    </row>
    <row r="7346">
      <c r="R7346" s="100"/>
      <c r="V7346" s="100"/>
      <c r="Y7346" s="100"/>
    </row>
    <row r="7347">
      <c r="R7347" s="100"/>
      <c r="V7347" s="100"/>
      <c r="Y7347" s="100"/>
    </row>
    <row r="7348">
      <c r="R7348" s="100"/>
      <c r="V7348" s="100"/>
      <c r="Y7348" s="100"/>
    </row>
    <row r="7349">
      <c r="R7349" s="100"/>
      <c r="V7349" s="100"/>
      <c r="Y7349" s="100"/>
    </row>
    <row r="7350">
      <c r="R7350" s="100"/>
      <c r="V7350" s="100"/>
      <c r="Y7350" s="100"/>
    </row>
    <row r="7351">
      <c r="R7351" s="100"/>
      <c r="V7351" s="100"/>
      <c r="Y7351" s="100"/>
    </row>
    <row r="7352">
      <c r="R7352" s="100"/>
      <c r="V7352" s="100"/>
      <c r="Y7352" s="100"/>
    </row>
    <row r="7353">
      <c r="R7353" s="100"/>
      <c r="V7353" s="100"/>
      <c r="Y7353" s="100"/>
    </row>
    <row r="7354">
      <c r="R7354" s="100"/>
      <c r="V7354" s="100"/>
      <c r="Y7354" s="100"/>
    </row>
    <row r="7355">
      <c r="R7355" s="100"/>
      <c r="V7355" s="100"/>
      <c r="Y7355" s="100"/>
    </row>
    <row r="7356">
      <c r="R7356" s="100"/>
      <c r="V7356" s="100"/>
      <c r="Y7356" s="100"/>
    </row>
    <row r="7357">
      <c r="R7357" s="100"/>
      <c r="V7357" s="100"/>
      <c r="Y7357" s="100"/>
    </row>
    <row r="7358">
      <c r="R7358" s="100"/>
      <c r="V7358" s="100"/>
      <c r="Y7358" s="100"/>
    </row>
    <row r="7359">
      <c r="R7359" s="100"/>
      <c r="V7359" s="100"/>
      <c r="Y7359" s="100"/>
    </row>
    <row r="7360">
      <c r="R7360" s="100"/>
      <c r="V7360" s="100"/>
      <c r="Y7360" s="100"/>
    </row>
    <row r="7361">
      <c r="R7361" s="100"/>
      <c r="V7361" s="100"/>
      <c r="Y7361" s="100"/>
    </row>
    <row r="7362">
      <c r="R7362" s="100"/>
      <c r="V7362" s="100"/>
      <c r="Y7362" s="100"/>
    </row>
    <row r="7363">
      <c r="R7363" s="100"/>
      <c r="V7363" s="100"/>
      <c r="Y7363" s="100"/>
    </row>
    <row r="7364">
      <c r="R7364" s="100"/>
      <c r="V7364" s="100"/>
      <c r="Y7364" s="100"/>
    </row>
    <row r="7365">
      <c r="R7365" s="100"/>
      <c r="V7365" s="100"/>
      <c r="Y7365" s="100"/>
    </row>
    <row r="7366">
      <c r="R7366" s="100"/>
      <c r="V7366" s="100"/>
      <c r="Y7366" s="100"/>
    </row>
    <row r="7367">
      <c r="R7367" s="100"/>
      <c r="V7367" s="100"/>
      <c r="Y7367" s="100"/>
    </row>
    <row r="7368">
      <c r="R7368" s="100"/>
      <c r="V7368" s="100"/>
      <c r="Y7368" s="100"/>
    </row>
    <row r="7369">
      <c r="R7369" s="100"/>
      <c r="V7369" s="100"/>
      <c r="Y7369" s="100"/>
    </row>
    <row r="7370">
      <c r="R7370" s="100"/>
      <c r="V7370" s="100"/>
      <c r="Y7370" s="100"/>
    </row>
    <row r="7371">
      <c r="R7371" s="100"/>
      <c r="V7371" s="100"/>
      <c r="Y7371" s="100"/>
    </row>
    <row r="7372">
      <c r="R7372" s="100"/>
      <c r="V7372" s="100"/>
      <c r="Y7372" s="100"/>
    </row>
    <row r="7373">
      <c r="R7373" s="100"/>
      <c r="V7373" s="100"/>
      <c r="Y7373" s="100"/>
    </row>
    <row r="7374">
      <c r="R7374" s="100"/>
      <c r="V7374" s="100"/>
      <c r="Y7374" s="100"/>
    </row>
    <row r="7375">
      <c r="R7375" s="100"/>
      <c r="V7375" s="100"/>
      <c r="Y7375" s="100"/>
    </row>
    <row r="7376">
      <c r="R7376" s="100"/>
      <c r="V7376" s="100"/>
      <c r="Y7376" s="100"/>
    </row>
    <row r="7377">
      <c r="R7377" s="100"/>
      <c r="V7377" s="100"/>
      <c r="Y7377" s="100"/>
    </row>
    <row r="7378">
      <c r="R7378" s="100"/>
      <c r="V7378" s="100"/>
      <c r="Y7378" s="100"/>
    </row>
    <row r="7379">
      <c r="R7379" s="100"/>
      <c r="V7379" s="100"/>
      <c r="Y7379" s="100"/>
    </row>
    <row r="7380">
      <c r="R7380" s="100"/>
      <c r="V7380" s="100"/>
      <c r="Y7380" s="100"/>
    </row>
    <row r="7381">
      <c r="R7381" s="100"/>
      <c r="V7381" s="100"/>
      <c r="Y7381" s="100"/>
    </row>
    <row r="7382">
      <c r="R7382" s="100"/>
      <c r="V7382" s="100"/>
      <c r="Y7382" s="100"/>
    </row>
    <row r="7383">
      <c r="R7383" s="100"/>
      <c r="V7383" s="100"/>
      <c r="Y7383" s="100"/>
    </row>
    <row r="7384">
      <c r="R7384" s="100"/>
      <c r="V7384" s="100"/>
      <c r="Y7384" s="100"/>
    </row>
    <row r="7385">
      <c r="R7385" s="100"/>
      <c r="V7385" s="100"/>
      <c r="Y7385" s="100"/>
    </row>
    <row r="7386">
      <c r="R7386" s="100"/>
      <c r="V7386" s="100"/>
      <c r="Y7386" s="100"/>
    </row>
    <row r="7387">
      <c r="R7387" s="100"/>
      <c r="V7387" s="100"/>
      <c r="Y7387" s="100"/>
    </row>
    <row r="7388">
      <c r="R7388" s="100"/>
      <c r="V7388" s="100"/>
      <c r="Y7388" s="100"/>
    </row>
    <row r="7389">
      <c r="R7389" s="100"/>
      <c r="V7389" s="100"/>
      <c r="Y7389" s="100"/>
    </row>
    <row r="7390">
      <c r="R7390" s="100"/>
      <c r="V7390" s="100"/>
      <c r="Y7390" s="100"/>
    </row>
    <row r="7391">
      <c r="R7391" s="100"/>
      <c r="V7391" s="100"/>
      <c r="Y7391" s="100"/>
    </row>
    <row r="7392">
      <c r="R7392" s="100"/>
      <c r="V7392" s="100"/>
      <c r="Y7392" s="100"/>
    </row>
    <row r="7393">
      <c r="R7393" s="100"/>
      <c r="V7393" s="100"/>
      <c r="Y7393" s="100"/>
    </row>
    <row r="7394">
      <c r="R7394" s="100"/>
      <c r="V7394" s="100"/>
      <c r="Y7394" s="100"/>
    </row>
    <row r="7395">
      <c r="R7395" s="100"/>
      <c r="V7395" s="100"/>
      <c r="Y7395" s="100"/>
    </row>
    <row r="7396">
      <c r="R7396" s="100"/>
      <c r="V7396" s="100"/>
      <c r="Y7396" s="100"/>
    </row>
    <row r="7397">
      <c r="R7397" s="100"/>
      <c r="V7397" s="100"/>
      <c r="Y7397" s="100"/>
    </row>
    <row r="7398">
      <c r="R7398" s="100"/>
      <c r="V7398" s="100"/>
      <c r="Y7398" s="100"/>
    </row>
    <row r="7399">
      <c r="R7399" s="100"/>
      <c r="V7399" s="100"/>
      <c r="Y7399" s="100"/>
    </row>
    <row r="7400">
      <c r="R7400" s="100"/>
      <c r="V7400" s="100"/>
      <c r="Y7400" s="100"/>
    </row>
    <row r="7401">
      <c r="R7401" s="100"/>
      <c r="V7401" s="100"/>
      <c r="Y7401" s="100"/>
    </row>
    <row r="7402">
      <c r="R7402" s="100"/>
      <c r="V7402" s="100"/>
      <c r="Y7402" s="100"/>
    </row>
    <row r="7403">
      <c r="R7403" s="100"/>
      <c r="V7403" s="100"/>
      <c r="Y7403" s="100"/>
    </row>
    <row r="7404">
      <c r="R7404" s="100"/>
      <c r="V7404" s="100"/>
      <c r="Y7404" s="100"/>
    </row>
    <row r="7405">
      <c r="R7405" s="100"/>
      <c r="V7405" s="100"/>
      <c r="Y7405" s="100"/>
    </row>
    <row r="7406">
      <c r="R7406" s="100"/>
      <c r="V7406" s="100"/>
      <c r="Y7406" s="100"/>
    </row>
    <row r="7407">
      <c r="R7407" s="100"/>
      <c r="V7407" s="100"/>
      <c r="Y7407" s="100"/>
    </row>
    <row r="7408">
      <c r="R7408" s="100"/>
      <c r="V7408" s="100"/>
      <c r="Y7408" s="100"/>
    </row>
    <row r="7409">
      <c r="R7409" s="100"/>
      <c r="V7409" s="100"/>
      <c r="Y7409" s="100"/>
    </row>
    <row r="7410">
      <c r="R7410" s="100"/>
      <c r="V7410" s="100"/>
      <c r="Y7410" s="100"/>
    </row>
    <row r="7411">
      <c r="R7411" s="100"/>
      <c r="V7411" s="100"/>
      <c r="Y7411" s="100"/>
    </row>
    <row r="7412">
      <c r="R7412" s="100"/>
      <c r="V7412" s="100"/>
      <c r="Y7412" s="100"/>
    </row>
    <row r="7413">
      <c r="R7413" s="100"/>
      <c r="V7413" s="100"/>
      <c r="Y7413" s="100"/>
    </row>
    <row r="7414">
      <c r="R7414" s="100"/>
      <c r="V7414" s="100"/>
      <c r="Y7414" s="100"/>
    </row>
    <row r="7415">
      <c r="R7415" s="100"/>
      <c r="V7415" s="100"/>
      <c r="Y7415" s="100"/>
    </row>
    <row r="7416">
      <c r="R7416" s="100"/>
      <c r="V7416" s="100"/>
      <c r="Y7416" s="100"/>
    </row>
    <row r="7417">
      <c r="R7417" s="100"/>
      <c r="V7417" s="100"/>
      <c r="Y7417" s="100"/>
    </row>
    <row r="7418">
      <c r="R7418" s="100"/>
      <c r="V7418" s="100"/>
      <c r="Y7418" s="100"/>
    </row>
    <row r="7419">
      <c r="R7419" s="100"/>
      <c r="V7419" s="100"/>
      <c r="Y7419" s="100"/>
    </row>
    <row r="7420">
      <c r="R7420" s="100"/>
      <c r="V7420" s="100"/>
      <c r="Y7420" s="100"/>
    </row>
    <row r="7421">
      <c r="R7421" s="100"/>
      <c r="V7421" s="100"/>
      <c r="Y7421" s="100"/>
    </row>
    <row r="7422">
      <c r="R7422" s="100"/>
      <c r="V7422" s="100"/>
      <c r="Y7422" s="100"/>
    </row>
    <row r="7423">
      <c r="R7423" s="100"/>
      <c r="V7423" s="100"/>
      <c r="Y7423" s="100"/>
    </row>
    <row r="7424">
      <c r="R7424" s="100"/>
      <c r="V7424" s="100"/>
      <c r="Y7424" s="100"/>
    </row>
    <row r="7425">
      <c r="R7425" s="100"/>
      <c r="V7425" s="100"/>
      <c r="Y7425" s="100"/>
    </row>
    <row r="7426">
      <c r="R7426" s="100"/>
      <c r="V7426" s="100"/>
      <c r="Y7426" s="100"/>
    </row>
    <row r="7427">
      <c r="R7427" s="100"/>
      <c r="V7427" s="100"/>
      <c r="Y7427" s="100"/>
    </row>
    <row r="7428">
      <c r="R7428" s="100"/>
      <c r="V7428" s="100"/>
      <c r="Y7428" s="100"/>
    </row>
    <row r="7429">
      <c r="R7429" s="100"/>
      <c r="V7429" s="100"/>
      <c r="Y7429" s="100"/>
    </row>
    <row r="7430">
      <c r="R7430" s="100"/>
      <c r="V7430" s="100"/>
      <c r="Y7430" s="100"/>
    </row>
    <row r="7431">
      <c r="R7431" s="100"/>
      <c r="V7431" s="100"/>
      <c r="Y7431" s="100"/>
    </row>
    <row r="7432">
      <c r="R7432" s="100"/>
      <c r="V7432" s="100"/>
      <c r="Y7432" s="100"/>
    </row>
    <row r="7433">
      <c r="R7433" s="100"/>
      <c r="V7433" s="100"/>
      <c r="Y7433" s="100"/>
    </row>
    <row r="7434">
      <c r="R7434" s="100"/>
      <c r="V7434" s="100"/>
      <c r="Y7434" s="100"/>
    </row>
    <row r="7435">
      <c r="R7435" s="100"/>
      <c r="V7435" s="100"/>
      <c r="Y7435" s="100"/>
    </row>
    <row r="7436">
      <c r="R7436" s="100"/>
      <c r="V7436" s="100"/>
      <c r="Y7436" s="100"/>
    </row>
    <row r="7437">
      <c r="R7437" s="100"/>
      <c r="V7437" s="100"/>
      <c r="Y7437" s="100"/>
    </row>
    <row r="7438">
      <c r="R7438" s="100"/>
      <c r="V7438" s="100"/>
      <c r="Y7438" s="100"/>
    </row>
    <row r="7439">
      <c r="R7439" s="100"/>
      <c r="V7439" s="100"/>
      <c r="Y7439" s="100"/>
    </row>
    <row r="7440">
      <c r="R7440" s="100"/>
      <c r="V7440" s="100"/>
      <c r="Y7440" s="100"/>
    </row>
    <row r="7441">
      <c r="R7441" s="100"/>
      <c r="V7441" s="100"/>
      <c r="Y7441" s="100"/>
    </row>
    <row r="7442">
      <c r="R7442" s="100"/>
      <c r="V7442" s="100"/>
      <c r="Y7442" s="100"/>
    </row>
    <row r="7443">
      <c r="R7443" s="100"/>
      <c r="V7443" s="100"/>
      <c r="Y7443" s="100"/>
    </row>
    <row r="7444">
      <c r="R7444" s="100"/>
      <c r="V7444" s="100"/>
      <c r="Y7444" s="100"/>
    </row>
    <row r="7445">
      <c r="R7445" s="100"/>
      <c r="V7445" s="100"/>
      <c r="Y7445" s="100"/>
    </row>
    <row r="7446">
      <c r="R7446" s="100"/>
      <c r="V7446" s="100"/>
      <c r="Y7446" s="100"/>
    </row>
    <row r="7447">
      <c r="R7447" s="100"/>
      <c r="V7447" s="100"/>
      <c r="Y7447" s="100"/>
    </row>
    <row r="7448">
      <c r="R7448" s="100"/>
      <c r="V7448" s="100"/>
      <c r="Y7448" s="100"/>
    </row>
    <row r="7449">
      <c r="R7449" s="100"/>
      <c r="V7449" s="100"/>
      <c r="Y7449" s="100"/>
    </row>
    <row r="7450">
      <c r="R7450" s="100"/>
      <c r="V7450" s="100"/>
      <c r="Y7450" s="100"/>
    </row>
    <row r="7451">
      <c r="R7451" s="100"/>
      <c r="V7451" s="100"/>
      <c r="Y7451" s="100"/>
    </row>
    <row r="7452">
      <c r="R7452" s="100"/>
      <c r="V7452" s="100"/>
      <c r="Y7452" s="100"/>
    </row>
    <row r="7453">
      <c r="R7453" s="100"/>
      <c r="V7453" s="100"/>
      <c r="Y7453" s="100"/>
    </row>
    <row r="7454">
      <c r="R7454" s="100"/>
      <c r="V7454" s="100"/>
      <c r="Y7454" s="100"/>
    </row>
    <row r="7455">
      <c r="R7455" s="100"/>
      <c r="V7455" s="100"/>
      <c r="Y7455" s="100"/>
    </row>
    <row r="7456">
      <c r="R7456" s="100"/>
      <c r="V7456" s="100"/>
      <c r="Y7456" s="100"/>
    </row>
    <row r="7457">
      <c r="R7457" s="100"/>
      <c r="V7457" s="100"/>
      <c r="Y7457" s="100"/>
    </row>
    <row r="7458">
      <c r="R7458" s="100"/>
      <c r="V7458" s="100"/>
      <c r="Y7458" s="100"/>
    </row>
    <row r="7459">
      <c r="R7459" s="100"/>
      <c r="V7459" s="100"/>
      <c r="Y7459" s="100"/>
    </row>
    <row r="7460">
      <c r="R7460" s="100"/>
      <c r="V7460" s="100"/>
      <c r="Y7460" s="100"/>
    </row>
    <row r="7461">
      <c r="R7461" s="100"/>
      <c r="V7461" s="100"/>
      <c r="Y7461" s="100"/>
    </row>
    <row r="7462">
      <c r="R7462" s="100"/>
      <c r="V7462" s="100"/>
      <c r="Y7462" s="100"/>
    </row>
    <row r="7463">
      <c r="R7463" s="100"/>
      <c r="V7463" s="100"/>
      <c r="Y7463" s="100"/>
    </row>
    <row r="7464">
      <c r="R7464" s="100"/>
      <c r="V7464" s="100"/>
      <c r="Y7464" s="100"/>
    </row>
    <row r="7465">
      <c r="R7465" s="100"/>
      <c r="V7465" s="100"/>
      <c r="Y7465" s="100"/>
    </row>
    <row r="7466">
      <c r="R7466" s="100"/>
      <c r="V7466" s="100"/>
      <c r="Y7466" s="100"/>
    </row>
    <row r="7467">
      <c r="R7467" s="100"/>
      <c r="V7467" s="100"/>
      <c r="Y7467" s="100"/>
    </row>
    <row r="7468">
      <c r="R7468" s="100"/>
      <c r="V7468" s="100"/>
      <c r="Y7468" s="100"/>
    </row>
    <row r="7469">
      <c r="R7469" s="100"/>
      <c r="V7469" s="100"/>
      <c r="Y7469" s="100"/>
    </row>
    <row r="7470">
      <c r="R7470" s="100"/>
      <c r="V7470" s="100"/>
      <c r="Y7470" s="100"/>
    </row>
    <row r="7471">
      <c r="R7471" s="100"/>
      <c r="V7471" s="100"/>
      <c r="Y7471" s="100"/>
    </row>
    <row r="7472">
      <c r="R7472" s="100"/>
      <c r="V7472" s="100"/>
      <c r="Y7472" s="100"/>
    </row>
    <row r="7473">
      <c r="R7473" s="100"/>
      <c r="V7473" s="100"/>
      <c r="Y7473" s="100"/>
    </row>
    <row r="7474">
      <c r="R7474" s="100"/>
      <c r="V7474" s="100"/>
      <c r="Y7474" s="100"/>
    </row>
    <row r="7475">
      <c r="R7475" s="100"/>
      <c r="V7475" s="100"/>
      <c r="Y7475" s="100"/>
    </row>
    <row r="7476">
      <c r="R7476" s="100"/>
      <c r="V7476" s="100"/>
      <c r="Y7476" s="100"/>
    </row>
    <row r="7477">
      <c r="R7477" s="100"/>
      <c r="V7477" s="100"/>
      <c r="Y7477" s="100"/>
    </row>
    <row r="7478">
      <c r="R7478" s="100"/>
      <c r="V7478" s="100"/>
      <c r="Y7478" s="100"/>
    </row>
    <row r="7479">
      <c r="R7479" s="100"/>
      <c r="V7479" s="100"/>
      <c r="Y7479" s="100"/>
    </row>
    <row r="7480">
      <c r="R7480" s="100"/>
      <c r="V7480" s="100"/>
      <c r="Y7480" s="100"/>
    </row>
    <row r="7481">
      <c r="R7481" s="100"/>
      <c r="V7481" s="100"/>
      <c r="Y7481" s="100"/>
    </row>
    <row r="7482">
      <c r="R7482" s="100"/>
      <c r="V7482" s="100"/>
      <c r="Y7482" s="100"/>
    </row>
    <row r="7483">
      <c r="R7483" s="100"/>
      <c r="V7483" s="100"/>
      <c r="Y7483" s="100"/>
    </row>
    <row r="7484">
      <c r="R7484" s="100"/>
      <c r="V7484" s="100"/>
      <c r="Y7484" s="100"/>
    </row>
    <row r="7485">
      <c r="R7485" s="100"/>
      <c r="V7485" s="100"/>
      <c r="Y7485" s="100"/>
    </row>
    <row r="7486">
      <c r="R7486" s="100"/>
      <c r="V7486" s="100"/>
      <c r="Y7486" s="100"/>
    </row>
    <row r="7487">
      <c r="R7487" s="100"/>
      <c r="V7487" s="100"/>
      <c r="Y7487" s="100"/>
    </row>
    <row r="7488">
      <c r="R7488" s="100"/>
      <c r="V7488" s="100"/>
      <c r="Y7488" s="100"/>
    </row>
    <row r="7489">
      <c r="R7489" s="100"/>
      <c r="V7489" s="100"/>
      <c r="Y7489" s="100"/>
    </row>
    <row r="7490">
      <c r="R7490" s="100"/>
      <c r="V7490" s="100"/>
      <c r="Y7490" s="100"/>
    </row>
    <row r="7491">
      <c r="R7491" s="100"/>
      <c r="V7491" s="100"/>
      <c r="Y7491" s="100"/>
    </row>
    <row r="7492">
      <c r="R7492" s="100"/>
      <c r="V7492" s="100"/>
      <c r="Y7492" s="100"/>
    </row>
    <row r="7493">
      <c r="R7493" s="100"/>
      <c r="V7493" s="100"/>
      <c r="Y7493" s="100"/>
    </row>
    <row r="7494">
      <c r="R7494" s="100"/>
      <c r="V7494" s="100"/>
      <c r="Y7494" s="100"/>
    </row>
    <row r="7495">
      <c r="R7495" s="100"/>
      <c r="V7495" s="100"/>
      <c r="Y7495" s="100"/>
    </row>
    <row r="7496">
      <c r="R7496" s="100"/>
      <c r="V7496" s="100"/>
      <c r="Y7496" s="100"/>
    </row>
    <row r="7497">
      <c r="R7497" s="100"/>
      <c r="V7497" s="100"/>
      <c r="Y7497" s="100"/>
    </row>
    <row r="7498">
      <c r="R7498" s="100"/>
      <c r="V7498" s="100"/>
      <c r="Y7498" s="100"/>
    </row>
    <row r="7499">
      <c r="R7499" s="100"/>
      <c r="V7499" s="100"/>
      <c r="Y7499" s="100"/>
    </row>
    <row r="7500">
      <c r="R7500" s="100"/>
      <c r="V7500" s="100"/>
      <c r="Y7500" s="100"/>
    </row>
    <row r="7501">
      <c r="R7501" s="100"/>
      <c r="V7501" s="100"/>
      <c r="Y7501" s="100"/>
    </row>
    <row r="7502">
      <c r="R7502" s="100"/>
      <c r="V7502" s="100"/>
      <c r="Y7502" s="100"/>
    </row>
    <row r="7503">
      <c r="R7503" s="100"/>
      <c r="V7503" s="100"/>
      <c r="Y7503" s="100"/>
    </row>
    <row r="7504">
      <c r="R7504" s="100"/>
      <c r="V7504" s="100"/>
      <c r="Y7504" s="100"/>
    </row>
    <row r="7505">
      <c r="R7505" s="100"/>
      <c r="V7505" s="100"/>
      <c r="Y7505" s="100"/>
    </row>
    <row r="7506">
      <c r="R7506" s="100"/>
      <c r="V7506" s="100"/>
      <c r="Y7506" s="100"/>
    </row>
    <row r="7507">
      <c r="R7507" s="100"/>
      <c r="V7507" s="100"/>
      <c r="Y7507" s="100"/>
    </row>
    <row r="7508">
      <c r="R7508" s="100"/>
      <c r="V7508" s="100"/>
      <c r="Y7508" s="100"/>
    </row>
    <row r="7509">
      <c r="R7509" s="100"/>
      <c r="V7509" s="100"/>
      <c r="Y7509" s="100"/>
    </row>
    <row r="7510">
      <c r="R7510" s="100"/>
      <c r="V7510" s="100"/>
      <c r="Y7510" s="100"/>
    </row>
    <row r="7511">
      <c r="R7511" s="100"/>
      <c r="V7511" s="100"/>
      <c r="Y7511" s="100"/>
    </row>
    <row r="7512">
      <c r="R7512" s="100"/>
      <c r="V7512" s="100"/>
      <c r="Y7512" s="100"/>
    </row>
    <row r="7513">
      <c r="R7513" s="100"/>
      <c r="V7513" s="100"/>
      <c r="Y7513" s="100"/>
    </row>
    <row r="7514">
      <c r="R7514" s="100"/>
      <c r="V7514" s="100"/>
      <c r="Y7514" s="100"/>
    </row>
    <row r="7515">
      <c r="R7515" s="100"/>
      <c r="V7515" s="100"/>
      <c r="Y7515" s="100"/>
    </row>
    <row r="7516">
      <c r="R7516" s="100"/>
      <c r="V7516" s="100"/>
      <c r="Y7516" s="100"/>
    </row>
    <row r="7517">
      <c r="R7517" s="100"/>
      <c r="V7517" s="100"/>
      <c r="Y7517" s="100"/>
    </row>
    <row r="7518">
      <c r="R7518" s="100"/>
      <c r="V7518" s="100"/>
      <c r="Y7518" s="100"/>
    </row>
    <row r="7519">
      <c r="R7519" s="100"/>
      <c r="V7519" s="100"/>
      <c r="Y7519" s="100"/>
    </row>
    <row r="7520">
      <c r="R7520" s="100"/>
      <c r="V7520" s="100"/>
      <c r="Y7520" s="100"/>
    </row>
    <row r="7521">
      <c r="R7521" s="100"/>
      <c r="V7521" s="100"/>
      <c r="Y7521" s="100"/>
    </row>
    <row r="7522">
      <c r="R7522" s="100"/>
      <c r="V7522" s="100"/>
      <c r="Y7522" s="100"/>
    </row>
    <row r="7523">
      <c r="R7523" s="100"/>
      <c r="V7523" s="100"/>
      <c r="Y7523" s="100"/>
    </row>
    <row r="7524">
      <c r="R7524" s="100"/>
      <c r="V7524" s="100"/>
      <c r="Y7524" s="100"/>
    </row>
    <row r="7525">
      <c r="R7525" s="100"/>
      <c r="V7525" s="100"/>
      <c r="Y7525" s="100"/>
    </row>
    <row r="7526">
      <c r="R7526" s="100"/>
      <c r="V7526" s="100"/>
      <c r="Y7526" s="100"/>
    </row>
    <row r="7527">
      <c r="R7527" s="100"/>
      <c r="V7527" s="100"/>
      <c r="Y7527" s="100"/>
    </row>
    <row r="7528">
      <c r="R7528" s="100"/>
      <c r="V7528" s="100"/>
      <c r="Y7528" s="100"/>
    </row>
    <row r="7529">
      <c r="R7529" s="100"/>
      <c r="V7529" s="100"/>
      <c r="Y7529" s="100"/>
    </row>
    <row r="7530">
      <c r="R7530" s="100"/>
      <c r="V7530" s="100"/>
      <c r="Y7530" s="100"/>
    </row>
    <row r="7531">
      <c r="R7531" s="100"/>
      <c r="V7531" s="100"/>
      <c r="Y7531" s="100"/>
    </row>
    <row r="7532">
      <c r="R7532" s="100"/>
      <c r="V7532" s="100"/>
      <c r="Y7532" s="100"/>
    </row>
    <row r="7533">
      <c r="R7533" s="100"/>
      <c r="V7533" s="100"/>
      <c r="Y7533" s="100"/>
    </row>
    <row r="7534">
      <c r="R7534" s="100"/>
      <c r="V7534" s="100"/>
      <c r="Y7534" s="100"/>
    </row>
    <row r="7535">
      <c r="R7535" s="100"/>
      <c r="V7535" s="100"/>
      <c r="Y7535" s="100"/>
    </row>
    <row r="7536">
      <c r="R7536" s="100"/>
      <c r="V7536" s="100"/>
      <c r="Y7536" s="100"/>
    </row>
    <row r="7537">
      <c r="R7537" s="100"/>
      <c r="V7537" s="100"/>
      <c r="Y7537" s="100"/>
    </row>
    <row r="7538">
      <c r="R7538" s="100"/>
      <c r="V7538" s="100"/>
      <c r="Y7538" s="100"/>
    </row>
    <row r="7539">
      <c r="R7539" s="100"/>
      <c r="V7539" s="100"/>
      <c r="Y7539" s="100"/>
    </row>
    <row r="7540">
      <c r="R7540" s="100"/>
      <c r="V7540" s="100"/>
      <c r="Y7540" s="100"/>
    </row>
    <row r="7541">
      <c r="R7541" s="100"/>
      <c r="V7541" s="100"/>
      <c r="Y7541" s="100"/>
    </row>
    <row r="7542">
      <c r="R7542" s="100"/>
      <c r="V7542" s="100"/>
      <c r="Y7542" s="100"/>
    </row>
    <row r="7543">
      <c r="R7543" s="100"/>
      <c r="V7543" s="100"/>
      <c r="Y7543" s="100"/>
    </row>
    <row r="7544">
      <c r="R7544" s="100"/>
      <c r="V7544" s="100"/>
      <c r="Y7544" s="100"/>
    </row>
    <row r="7545">
      <c r="R7545" s="100"/>
      <c r="V7545" s="100"/>
      <c r="Y7545" s="100"/>
    </row>
    <row r="7546">
      <c r="R7546" s="100"/>
      <c r="V7546" s="100"/>
      <c r="Y7546" s="100"/>
    </row>
    <row r="7547">
      <c r="R7547" s="100"/>
      <c r="V7547" s="100"/>
      <c r="Y7547" s="100"/>
    </row>
    <row r="7548">
      <c r="R7548" s="100"/>
      <c r="V7548" s="100"/>
      <c r="Y7548" s="100"/>
    </row>
    <row r="7549">
      <c r="R7549" s="100"/>
      <c r="V7549" s="100"/>
      <c r="Y7549" s="100"/>
    </row>
    <row r="7550">
      <c r="R7550" s="100"/>
      <c r="V7550" s="100"/>
      <c r="Y7550" s="100"/>
    </row>
    <row r="7551">
      <c r="R7551" s="100"/>
      <c r="V7551" s="100"/>
      <c r="Y7551" s="100"/>
    </row>
    <row r="7552">
      <c r="R7552" s="100"/>
      <c r="V7552" s="100"/>
      <c r="Y7552" s="100"/>
    </row>
    <row r="7553">
      <c r="R7553" s="100"/>
      <c r="V7553" s="100"/>
      <c r="Y7553" s="100"/>
    </row>
    <row r="7554">
      <c r="R7554" s="100"/>
      <c r="V7554" s="100"/>
      <c r="Y7554" s="100"/>
    </row>
    <row r="7555">
      <c r="R7555" s="100"/>
      <c r="V7555" s="100"/>
      <c r="Y7555" s="100"/>
    </row>
    <row r="7556">
      <c r="R7556" s="100"/>
      <c r="V7556" s="100"/>
      <c r="Y7556" s="100"/>
    </row>
    <row r="7557">
      <c r="R7557" s="100"/>
      <c r="V7557" s="100"/>
      <c r="Y7557" s="100"/>
    </row>
    <row r="7558">
      <c r="R7558" s="100"/>
      <c r="V7558" s="100"/>
      <c r="Y7558" s="100"/>
    </row>
    <row r="7559">
      <c r="R7559" s="100"/>
      <c r="V7559" s="100"/>
      <c r="Y7559" s="100"/>
    </row>
    <row r="7560">
      <c r="R7560" s="100"/>
      <c r="V7560" s="100"/>
      <c r="Y7560" s="100"/>
    </row>
    <row r="7561">
      <c r="R7561" s="100"/>
      <c r="V7561" s="100"/>
      <c r="Y7561" s="100"/>
    </row>
    <row r="7562">
      <c r="R7562" s="100"/>
      <c r="V7562" s="100"/>
      <c r="Y7562" s="100"/>
    </row>
    <row r="7563">
      <c r="R7563" s="100"/>
      <c r="V7563" s="100"/>
      <c r="Y7563" s="100"/>
    </row>
    <row r="7564">
      <c r="R7564" s="100"/>
      <c r="V7564" s="100"/>
      <c r="Y7564" s="100"/>
    </row>
    <row r="7565">
      <c r="R7565" s="100"/>
      <c r="V7565" s="100"/>
      <c r="Y7565" s="100"/>
    </row>
    <row r="7566">
      <c r="R7566" s="100"/>
      <c r="V7566" s="100"/>
      <c r="Y7566" s="100"/>
    </row>
    <row r="7567">
      <c r="R7567" s="100"/>
      <c r="V7567" s="100"/>
      <c r="Y7567" s="100"/>
    </row>
    <row r="7568">
      <c r="R7568" s="100"/>
      <c r="V7568" s="100"/>
      <c r="Y7568" s="100"/>
    </row>
    <row r="7569">
      <c r="R7569" s="100"/>
      <c r="V7569" s="100"/>
      <c r="Y7569" s="100"/>
    </row>
    <row r="7570">
      <c r="R7570" s="100"/>
      <c r="V7570" s="100"/>
      <c r="Y7570" s="100"/>
    </row>
    <row r="7571">
      <c r="R7571" s="100"/>
      <c r="V7571" s="100"/>
      <c r="Y7571" s="100"/>
    </row>
    <row r="7572">
      <c r="R7572" s="100"/>
      <c r="V7572" s="100"/>
      <c r="Y7572" s="100"/>
    </row>
    <row r="7573">
      <c r="R7573" s="100"/>
      <c r="V7573" s="100"/>
      <c r="Y7573" s="100"/>
    </row>
    <row r="7574">
      <c r="R7574" s="100"/>
      <c r="V7574" s="100"/>
      <c r="Y7574" s="100"/>
    </row>
    <row r="7575">
      <c r="R7575" s="100"/>
      <c r="V7575" s="100"/>
      <c r="Y7575" s="100"/>
    </row>
    <row r="7576">
      <c r="R7576" s="100"/>
      <c r="V7576" s="100"/>
      <c r="Y7576" s="100"/>
    </row>
    <row r="7577">
      <c r="R7577" s="100"/>
      <c r="V7577" s="100"/>
      <c r="Y7577" s="100"/>
    </row>
    <row r="7578">
      <c r="R7578" s="100"/>
      <c r="V7578" s="100"/>
      <c r="Y7578" s="100"/>
    </row>
    <row r="7579">
      <c r="R7579" s="100"/>
      <c r="V7579" s="100"/>
      <c r="Y7579" s="100"/>
    </row>
    <row r="7580">
      <c r="R7580" s="100"/>
      <c r="V7580" s="100"/>
      <c r="Y7580" s="100"/>
    </row>
    <row r="7581">
      <c r="R7581" s="100"/>
      <c r="V7581" s="100"/>
      <c r="Y7581" s="100"/>
    </row>
    <row r="7582">
      <c r="R7582" s="100"/>
      <c r="V7582" s="100"/>
      <c r="Y7582" s="100"/>
    </row>
    <row r="7583">
      <c r="R7583" s="100"/>
      <c r="V7583" s="100"/>
      <c r="Y7583" s="100"/>
    </row>
    <row r="7584">
      <c r="R7584" s="100"/>
      <c r="V7584" s="100"/>
      <c r="Y7584" s="100"/>
    </row>
    <row r="7585">
      <c r="R7585" s="100"/>
      <c r="V7585" s="100"/>
      <c r="Y7585" s="100"/>
    </row>
    <row r="7586">
      <c r="R7586" s="100"/>
      <c r="V7586" s="100"/>
      <c r="Y7586" s="100"/>
    </row>
    <row r="7587">
      <c r="R7587" s="100"/>
      <c r="V7587" s="100"/>
      <c r="Y7587" s="100"/>
    </row>
    <row r="7588">
      <c r="R7588" s="100"/>
      <c r="V7588" s="100"/>
      <c r="Y7588" s="100"/>
    </row>
    <row r="7589">
      <c r="R7589" s="100"/>
      <c r="V7589" s="100"/>
      <c r="Y7589" s="100"/>
    </row>
    <row r="7590">
      <c r="R7590" s="100"/>
      <c r="V7590" s="100"/>
      <c r="Y7590" s="100"/>
    </row>
    <row r="7591">
      <c r="R7591" s="100"/>
      <c r="V7591" s="100"/>
      <c r="Y7591" s="100"/>
    </row>
    <row r="7592">
      <c r="R7592" s="100"/>
      <c r="V7592" s="100"/>
      <c r="Y7592" s="100"/>
    </row>
    <row r="7593">
      <c r="R7593" s="100"/>
      <c r="V7593" s="100"/>
      <c r="Y7593" s="100"/>
    </row>
    <row r="7594">
      <c r="R7594" s="100"/>
      <c r="V7594" s="100"/>
      <c r="Y7594" s="100"/>
    </row>
    <row r="7595">
      <c r="R7595" s="100"/>
      <c r="V7595" s="100"/>
      <c r="Y7595" s="100"/>
    </row>
    <row r="7596">
      <c r="R7596" s="100"/>
      <c r="V7596" s="100"/>
      <c r="Y7596" s="100"/>
    </row>
    <row r="7597">
      <c r="R7597" s="100"/>
      <c r="V7597" s="100"/>
      <c r="Y7597" s="100"/>
    </row>
    <row r="7598">
      <c r="R7598" s="100"/>
      <c r="V7598" s="100"/>
      <c r="Y7598" s="100"/>
    </row>
    <row r="7599">
      <c r="R7599" s="100"/>
      <c r="V7599" s="100"/>
      <c r="Y7599" s="100"/>
    </row>
    <row r="7600">
      <c r="R7600" s="100"/>
      <c r="V7600" s="100"/>
      <c r="Y7600" s="100"/>
    </row>
    <row r="7601">
      <c r="R7601" s="100"/>
      <c r="V7601" s="100"/>
      <c r="Y7601" s="100"/>
    </row>
    <row r="7602">
      <c r="R7602" s="100"/>
      <c r="V7602" s="100"/>
      <c r="Y7602" s="100"/>
    </row>
    <row r="7603">
      <c r="R7603" s="100"/>
      <c r="V7603" s="100"/>
      <c r="Y7603" s="100"/>
    </row>
    <row r="7604">
      <c r="R7604" s="100"/>
      <c r="V7604" s="100"/>
      <c r="Y7604" s="100"/>
    </row>
    <row r="7605">
      <c r="R7605" s="100"/>
      <c r="V7605" s="100"/>
      <c r="Y7605" s="100"/>
    </row>
    <row r="7606">
      <c r="R7606" s="100"/>
      <c r="V7606" s="100"/>
      <c r="Y7606" s="100"/>
    </row>
    <row r="7607">
      <c r="R7607" s="100"/>
      <c r="V7607" s="100"/>
      <c r="Y7607" s="100"/>
    </row>
    <row r="7608">
      <c r="R7608" s="100"/>
      <c r="V7608" s="100"/>
      <c r="Y7608" s="100"/>
    </row>
    <row r="7609">
      <c r="R7609" s="100"/>
      <c r="V7609" s="100"/>
      <c r="Y7609" s="100"/>
    </row>
    <row r="7610">
      <c r="R7610" s="100"/>
      <c r="V7610" s="100"/>
      <c r="Y7610" s="100"/>
    </row>
    <row r="7611">
      <c r="R7611" s="100"/>
      <c r="V7611" s="100"/>
      <c r="Y7611" s="100"/>
    </row>
    <row r="7612">
      <c r="R7612" s="100"/>
      <c r="V7612" s="100"/>
      <c r="Y7612" s="100"/>
    </row>
    <row r="7613">
      <c r="R7613" s="100"/>
      <c r="V7613" s="100"/>
      <c r="Y7613" s="100"/>
    </row>
    <row r="7614">
      <c r="R7614" s="100"/>
      <c r="V7614" s="100"/>
      <c r="Y7614" s="100"/>
    </row>
    <row r="7615">
      <c r="R7615" s="100"/>
      <c r="V7615" s="100"/>
      <c r="Y7615" s="100"/>
    </row>
    <row r="7616">
      <c r="R7616" s="100"/>
      <c r="V7616" s="100"/>
      <c r="Y7616" s="100"/>
    </row>
    <row r="7617">
      <c r="R7617" s="100"/>
      <c r="V7617" s="100"/>
      <c r="Y7617" s="100"/>
    </row>
    <row r="7618">
      <c r="R7618" s="100"/>
      <c r="V7618" s="100"/>
      <c r="Y7618" s="100"/>
    </row>
    <row r="7619">
      <c r="R7619" s="100"/>
      <c r="V7619" s="100"/>
      <c r="Y7619" s="100"/>
    </row>
    <row r="7620">
      <c r="R7620" s="100"/>
      <c r="V7620" s="100"/>
      <c r="Y7620" s="100"/>
    </row>
    <row r="7621">
      <c r="R7621" s="100"/>
      <c r="V7621" s="100"/>
      <c r="Y7621" s="100"/>
    </row>
    <row r="7622">
      <c r="R7622" s="100"/>
      <c r="V7622" s="100"/>
      <c r="Y7622" s="100"/>
    </row>
    <row r="7623">
      <c r="R7623" s="100"/>
      <c r="V7623" s="100"/>
      <c r="Y7623" s="100"/>
    </row>
    <row r="7624">
      <c r="R7624" s="100"/>
      <c r="V7624" s="100"/>
      <c r="Y7624" s="100"/>
    </row>
    <row r="7625">
      <c r="R7625" s="100"/>
      <c r="V7625" s="100"/>
      <c r="Y7625" s="100"/>
    </row>
    <row r="7626">
      <c r="R7626" s="100"/>
      <c r="V7626" s="100"/>
      <c r="Y7626" s="100"/>
    </row>
    <row r="7627">
      <c r="R7627" s="100"/>
      <c r="V7627" s="100"/>
      <c r="Y7627" s="100"/>
    </row>
    <row r="7628">
      <c r="R7628" s="100"/>
      <c r="V7628" s="100"/>
      <c r="Y7628" s="100"/>
    </row>
    <row r="7629">
      <c r="R7629" s="100"/>
      <c r="V7629" s="100"/>
      <c r="Y7629" s="100"/>
    </row>
    <row r="7630">
      <c r="R7630" s="100"/>
      <c r="V7630" s="100"/>
      <c r="Y7630" s="100"/>
    </row>
    <row r="7631">
      <c r="R7631" s="100"/>
      <c r="V7631" s="100"/>
      <c r="Y7631" s="100"/>
    </row>
    <row r="7632">
      <c r="R7632" s="100"/>
      <c r="V7632" s="100"/>
      <c r="Y7632" s="100"/>
    </row>
    <row r="7633">
      <c r="R7633" s="100"/>
      <c r="V7633" s="100"/>
      <c r="Y7633" s="100"/>
    </row>
    <row r="7634">
      <c r="R7634" s="100"/>
      <c r="V7634" s="100"/>
      <c r="Y7634" s="100"/>
    </row>
    <row r="7635">
      <c r="R7635" s="100"/>
      <c r="V7635" s="100"/>
      <c r="Y7635" s="100"/>
    </row>
    <row r="7636">
      <c r="R7636" s="100"/>
      <c r="V7636" s="100"/>
      <c r="Y7636" s="100"/>
    </row>
    <row r="7637">
      <c r="R7637" s="100"/>
      <c r="V7637" s="100"/>
      <c r="Y7637" s="100"/>
    </row>
    <row r="7638">
      <c r="R7638" s="100"/>
      <c r="V7638" s="100"/>
      <c r="Y7638" s="100"/>
    </row>
    <row r="7639">
      <c r="R7639" s="100"/>
      <c r="V7639" s="100"/>
      <c r="Y7639" s="100"/>
    </row>
    <row r="7640">
      <c r="R7640" s="100"/>
      <c r="V7640" s="100"/>
      <c r="Y7640" s="100"/>
    </row>
    <row r="7641">
      <c r="R7641" s="100"/>
      <c r="V7641" s="100"/>
      <c r="Y7641" s="100"/>
    </row>
    <row r="7642">
      <c r="R7642" s="100"/>
      <c r="V7642" s="100"/>
      <c r="Y7642" s="100"/>
    </row>
    <row r="7643">
      <c r="R7643" s="100"/>
      <c r="V7643" s="100"/>
      <c r="Y7643" s="100"/>
    </row>
    <row r="7644">
      <c r="R7644" s="100"/>
      <c r="V7644" s="100"/>
      <c r="Y7644" s="100"/>
    </row>
    <row r="7645">
      <c r="R7645" s="100"/>
      <c r="V7645" s="100"/>
      <c r="Y7645" s="100"/>
    </row>
    <row r="7646">
      <c r="R7646" s="100"/>
      <c r="V7646" s="100"/>
      <c r="Y7646" s="100"/>
    </row>
    <row r="7647">
      <c r="R7647" s="100"/>
      <c r="V7647" s="100"/>
      <c r="Y7647" s="100"/>
    </row>
    <row r="7648">
      <c r="R7648" s="100"/>
      <c r="V7648" s="100"/>
      <c r="Y7648" s="100"/>
    </row>
    <row r="7649">
      <c r="R7649" s="100"/>
      <c r="V7649" s="100"/>
      <c r="Y7649" s="100"/>
    </row>
    <row r="7650">
      <c r="R7650" s="100"/>
      <c r="V7650" s="100"/>
      <c r="Y7650" s="100"/>
    </row>
    <row r="7651">
      <c r="R7651" s="100"/>
      <c r="V7651" s="100"/>
      <c r="Y7651" s="100"/>
    </row>
    <row r="7652">
      <c r="R7652" s="100"/>
      <c r="V7652" s="100"/>
      <c r="Y7652" s="100"/>
    </row>
    <row r="7653">
      <c r="R7653" s="100"/>
      <c r="V7653" s="100"/>
      <c r="Y7653" s="100"/>
    </row>
    <row r="7654">
      <c r="R7654" s="100"/>
      <c r="V7654" s="100"/>
      <c r="Y7654" s="100"/>
    </row>
    <row r="7655">
      <c r="R7655" s="100"/>
      <c r="V7655" s="100"/>
      <c r="Y7655" s="100"/>
    </row>
    <row r="7656">
      <c r="R7656" s="100"/>
      <c r="V7656" s="100"/>
      <c r="Y7656" s="100"/>
    </row>
    <row r="7657">
      <c r="R7657" s="100"/>
      <c r="V7657" s="100"/>
      <c r="Y7657" s="100"/>
    </row>
    <row r="7658">
      <c r="R7658" s="100"/>
      <c r="V7658" s="100"/>
      <c r="Y7658" s="100"/>
    </row>
    <row r="7659">
      <c r="R7659" s="100"/>
      <c r="V7659" s="100"/>
      <c r="Y7659" s="100"/>
    </row>
    <row r="7660">
      <c r="R7660" s="100"/>
      <c r="V7660" s="100"/>
      <c r="Y7660" s="100"/>
    </row>
    <row r="7661">
      <c r="R7661" s="100"/>
      <c r="V7661" s="100"/>
      <c r="Y7661" s="100"/>
    </row>
    <row r="7662">
      <c r="R7662" s="100"/>
      <c r="V7662" s="100"/>
      <c r="Y7662" s="100"/>
    </row>
    <row r="7663">
      <c r="R7663" s="100"/>
      <c r="V7663" s="100"/>
      <c r="Y7663" s="100"/>
    </row>
    <row r="7664">
      <c r="R7664" s="100"/>
      <c r="V7664" s="100"/>
      <c r="Y7664" s="100"/>
    </row>
    <row r="7665">
      <c r="R7665" s="100"/>
      <c r="V7665" s="100"/>
      <c r="Y7665" s="100"/>
    </row>
    <row r="7666">
      <c r="R7666" s="100"/>
      <c r="V7666" s="100"/>
      <c r="Y7666" s="100"/>
    </row>
    <row r="7667">
      <c r="R7667" s="100"/>
      <c r="V7667" s="100"/>
      <c r="Y7667" s="100"/>
    </row>
    <row r="7668">
      <c r="R7668" s="100"/>
      <c r="V7668" s="100"/>
      <c r="Y7668" s="100"/>
    </row>
    <row r="7669">
      <c r="R7669" s="100"/>
      <c r="V7669" s="100"/>
      <c r="Y7669" s="100"/>
    </row>
    <row r="7670">
      <c r="R7670" s="100"/>
      <c r="V7670" s="100"/>
      <c r="Y7670" s="100"/>
    </row>
    <row r="7671">
      <c r="R7671" s="100"/>
      <c r="V7671" s="100"/>
      <c r="Y7671" s="100"/>
    </row>
    <row r="7672">
      <c r="R7672" s="100"/>
      <c r="V7672" s="100"/>
      <c r="Y7672" s="100"/>
    </row>
    <row r="7673">
      <c r="R7673" s="100"/>
      <c r="V7673" s="100"/>
      <c r="Y7673" s="100"/>
    </row>
    <row r="7674">
      <c r="R7674" s="100"/>
      <c r="V7674" s="100"/>
      <c r="Y7674" s="100"/>
    </row>
    <row r="7675">
      <c r="R7675" s="100"/>
      <c r="V7675" s="100"/>
      <c r="Y7675" s="100"/>
    </row>
    <row r="7676">
      <c r="R7676" s="100"/>
      <c r="V7676" s="100"/>
      <c r="Y7676" s="100"/>
    </row>
    <row r="7677">
      <c r="R7677" s="100"/>
      <c r="V7677" s="100"/>
      <c r="Y7677" s="100"/>
    </row>
    <row r="7678">
      <c r="R7678" s="100"/>
      <c r="V7678" s="100"/>
      <c r="Y7678" s="100"/>
    </row>
    <row r="7679">
      <c r="R7679" s="100"/>
      <c r="V7679" s="100"/>
      <c r="Y7679" s="100"/>
    </row>
    <row r="7680">
      <c r="R7680" s="100"/>
      <c r="V7680" s="100"/>
      <c r="Y7680" s="100"/>
    </row>
    <row r="7681">
      <c r="R7681" s="100"/>
      <c r="V7681" s="100"/>
      <c r="Y7681" s="100"/>
    </row>
    <row r="7682">
      <c r="R7682" s="100"/>
      <c r="V7682" s="100"/>
      <c r="Y7682" s="100"/>
    </row>
    <row r="7683">
      <c r="R7683" s="100"/>
      <c r="V7683" s="100"/>
      <c r="Y7683" s="100"/>
    </row>
    <row r="7684">
      <c r="R7684" s="100"/>
      <c r="V7684" s="100"/>
      <c r="Y7684" s="100"/>
    </row>
    <row r="7685">
      <c r="R7685" s="100"/>
      <c r="V7685" s="100"/>
      <c r="Y7685" s="100"/>
    </row>
    <row r="7686">
      <c r="R7686" s="100"/>
      <c r="V7686" s="100"/>
      <c r="Y7686" s="100"/>
    </row>
    <row r="7687">
      <c r="R7687" s="100"/>
      <c r="V7687" s="100"/>
      <c r="Y7687" s="100"/>
    </row>
    <row r="7688">
      <c r="R7688" s="100"/>
      <c r="V7688" s="100"/>
      <c r="Y7688" s="100"/>
    </row>
    <row r="7689">
      <c r="R7689" s="100"/>
      <c r="V7689" s="100"/>
      <c r="Y7689" s="100"/>
    </row>
    <row r="7690">
      <c r="R7690" s="100"/>
      <c r="V7690" s="100"/>
      <c r="Y7690" s="100"/>
    </row>
    <row r="7691">
      <c r="R7691" s="100"/>
      <c r="V7691" s="100"/>
      <c r="Y7691" s="100"/>
    </row>
    <row r="7692">
      <c r="R7692" s="100"/>
      <c r="V7692" s="100"/>
      <c r="Y7692" s="100"/>
    </row>
    <row r="7693">
      <c r="R7693" s="100"/>
      <c r="V7693" s="100"/>
      <c r="Y7693" s="100"/>
    </row>
    <row r="7694">
      <c r="R7694" s="100"/>
      <c r="V7694" s="100"/>
      <c r="Y7694" s="100"/>
    </row>
    <row r="7695">
      <c r="R7695" s="100"/>
      <c r="V7695" s="100"/>
      <c r="Y7695" s="100"/>
    </row>
    <row r="7696">
      <c r="R7696" s="100"/>
      <c r="V7696" s="100"/>
      <c r="Y7696" s="100"/>
    </row>
    <row r="7697">
      <c r="R7697" s="100"/>
      <c r="V7697" s="100"/>
      <c r="Y7697" s="100"/>
    </row>
    <row r="7698">
      <c r="R7698" s="100"/>
      <c r="V7698" s="100"/>
      <c r="Y7698" s="100"/>
    </row>
    <row r="7699">
      <c r="R7699" s="100"/>
      <c r="V7699" s="100"/>
      <c r="Y7699" s="100"/>
    </row>
    <row r="7700">
      <c r="R7700" s="100"/>
      <c r="V7700" s="100"/>
      <c r="Y7700" s="100"/>
    </row>
    <row r="7701">
      <c r="R7701" s="100"/>
      <c r="V7701" s="100"/>
      <c r="Y7701" s="100"/>
    </row>
    <row r="7702">
      <c r="R7702" s="100"/>
      <c r="V7702" s="100"/>
      <c r="Y7702" s="100"/>
    </row>
    <row r="7703">
      <c r="R7703" s="100"/>
      <c r="V7703" s="100"/>
      <c r="Y7703" s="100"/>
    </row>
    <row r="7704">
      <c r="R7704" s="100"/>
      <c r="V7704" s="100"/>
      <c r="Y7704" s="100"/>
    </row>
    <row r="7705">
      <c r="R7705" s="100"/>
      <c r="V7705" s="100"/>
      <c r="Y7705" s="100"/>
    </row>
    <row r="7706">
      <c r="R7706" s="100"/>
      <c r="V7706" s="100"/>
      <c r="Y7706" s="100"/>
    </row>
    <row r="7707">
      <c r="R7707" s="100"/>
      <c r="V7707" s="100"/>
      <c r="Y7707" s="100"/>
    </row>
    <row r="7708">
      <c r="R7708" s="100"/>
      <c r="V7708" s="100"/>
      <c r="Y7708" s="100"/>
    </row>
    <row r="7709">
      <c r="R7709" s="100"/>
      <c r="V7709" s="100"/>
      <c r="Y7709" s="100"/>
    </row>
    <row r="7710">
      <c r="R7710" s="100"/>
      <c r="V7710" s="100"/>
      <c r="Y7710" s="100"/>
    </row>
    <row r="7711">
      <c r="R7711" s="100"/>
      <c r="V7711" s="100"/>
      <c r="Y7711" s="100"/>
    </row>
    <row r="7712">
      <c r="R7712" s="100"/>
      <c r="V7712" s="100"/>
      <c r="Y7712" s="100"/>
    </row>
    <row r="7713">
      <c r="R7713" s="100"/>
      <c r="V7713" s="100"/>
      <c r="Y7713" s="100"/>
    </row>
    <row r="7714">
      <c r="R7714" s="100"/>
      <c r="V7714" s="100"/>
      <c r="Y7714" s="100"/>
    </row>
    <row r="7715">
      <c r="R7715" s="100"/>
      <c r="V7715" s="100"/>
      <c r="Y7715" s="100"/>
    </row>
    <row r="7716">
      <c r="R7716" s="100"/>
      <c r="V7716" s="100"/>
      <c r="Y7716" s="100"/>
    </row>
    <row r="7717">
      <c r="R7717" s="100"/>
      <c r="V7717" s="100"/>
      <c r="Y7717" s="100"/>
    </row>
    <row r="7718">
      <c r="R7718" s="100"/>
      <c r="V7718" s="100"/>
      <c r="Y7718" s="100"/>
    </row>
    <row r="7719">
      <c r="R7719" s="100"/>
      <c r="V7719" s="100"/>
      <c r="Y7719" s="100"/>
    </row>
    <row r="7720">
      <c r="R7720" s="100"/>
      <c r="V7720" s="100"/>
      <c r="Y7720" s="100"/>
    </row>
    <row r="7721">
      <c r="R7721" s="100"/>
      <c r="V7721" s="100"/>
      <c r="Y7721" s="100"/>
    </row>
    <row r="7722">
      <c r="R7722" s="100"/>
      <c r="V7722" s="100"/>
      <c r="Y7722" s="100"/>
    </row>
    <row r="7723">
      <c r="R7723" s="100"/>
      <c r="V7723" s="100"/>
      <c r="Y7723" s="100"/>
    </row>
    <row r="7724">
      <c r="R7724" s="100"/>
      <c r="V7724" s="100"/>
      <c r="Y7724" s="100"/>
    </row>
    <row r="7725">
      <c r="R7725" s="100"/>
      <c r="V7725" s="100"/>
      <c r="Y7725" s="100"/>
    </row>
    <row r="7726">
      <c r="R7726" s="100"/>
      <c r="V7726" s="100"/>
      <c r="Y7726" s="100"/>
    </row>
    <row r="7727">
      <c r="R7727" s="100"/>
      <c r="V7727" s="100"/>
      <c r="Y7727" s="100"/>
    </row>
    <row r="7728">
      <c r="R7728" s="100"/>
      <c r="V7728" s="100"/>
      <c r="Y7728" s="100"/>
    </row>
    <row r="7729">
      <c r="R7729" s="100"/>
      <c r="V7729" s="100"/>
      <c r="Y7729" s="100"/>
    </row>
    <row r="7730">
      <c r="R7730" s="100"/>
      <c r="V7730" s="100"/>
      <c r="Y7730" s="100"/>
    </row>
    <row r="7731">
      <c r="R7731" s="100"/>
      <c r="V7731" s="100"/>
      <c r="Y7731" s="100"/>
    </row>
    <row r="7732">
      <c r="R7732" s="100"/>
      <c r="V7732" s="100"/>
      <c r="Y7732" s="100"/>
    </row>
    <row r="7733">
      <c r="R7733" s="100"/>
      <c r="V7733" s="100"/>
      <c r="Y7733" s="100"/>
    </row>
    <row r="7734">
      <c r="R7734" s="100"/>
      <c r="V7734" s="100"/>
      <c r="Y7734" s="100"/>
    </row>
    <row r="7735">
      <c r="R7735" s="100"/>
      <c r="V7735" s="100"/>
      <c r="Y7735" s="100"/>
    </row>
    <row r="7736">
      <c r="R7736" s="100"/>
      <c r="V7736" s="100"/>
      <c r="Y7736" s="100"/>
    </row>
    <row r="7737">
      <c r="R7737" s="100"/>
      <c r="V7737" s="100"/>
      <c r="Y7737" s="100"/>
    </row>
    <row r="7738">
      <c r="R7738" s="100"/>
      <c r="V7738" s="100"/>
      <c r="Y7738" s="100"/>
    </row>
    <row r="7739">
      <c r="R7739" s="100"/>
      <c r="V7739" s="100"/>
      <c r="Y7739" s="100"/>
    </row>
    <row r="7740">
      <c r="R7740" s="100"/>
      <c r="V7740" s="100"/>
      <c r="Y7740" s="100"/>
    </row>
    <row r="7741">
      <c r="R7741" s="100"/>
      <c r="V7741" s="100"/>
      <c r="Y7741" s="100"/>
    </row>
    <row r="7742">
      <c r="R7742" s="100"/>
      <c r="V7742" s="100"/>
      <c r="Y7742" s="100"/>
    </row>
    <row r="7743">
      <c r="R7743" s="100"/>
      <c r="V7743" s="100"/>
      <c r="Y7743" s="100"/>
    </row>
    <row r="7744">
      <c r="R7744" s="100"/>
      <c r="V7744" s="100"/>
      <c r="Y7744" s="100"/>
    </row>
    <row r="7745">
      <c r="R7745" s="100"/>
      <c r="V7745" s="100"/>
      <c r="Y7745" s="100"/>
    </row>
    <row r="7746">
      <c r="R7746" s="100"/>
      <c r="V7746" s="100"/>
      <c r="Y7746" s="100"/>
    </row>
    <row r="7747">
      <c r="R7747" s="100"/>
      <c r="V7747" s="100"/>
      <c r="Y7747" s="100"/>
    </row>
    <row r="7748">
      <c r="R7748" s="100"/>
      <c r="V7748" s="100"/>
      <c r="Y7748" s="100"/>
    </row>
    <row r="7749">
      <c r="R7749" s="100"/>
      <c r="V7749" s="100"/>
      <c r="Y7749" s="100"/>
    </row>
    <row r="7750">
      <c r="R7750" s="100"/>
      <c r="V7750" s="100"/>
      <c r="Y7750" s="100"/>
    </row>
    <row r="7751">
      <c r="R7751" s="100"/>
      <c r="V7751" s="100"/>
      <c r="Y7751" s="100"/>
    </row>
    <row r="7752">
      <c r="R7752" s="100"/>
      <c r="V7752" s="100"/>
      <c r="Y7752" s="100"/>
    </row>
    <row r="7753">
      <c r="R7753" s="100"/>
      <c r="V7753" s="100"/>
      <c r="Y7753" s="100"/>
    </row>
    <row r="7754">
      <c r="R7754" s="100"/>
      <c r="V7754" s="100"/>
      <c r="Y7754" s="100"/>
    </row>
    <row r="7755">
      <c r="R7755" s="100"/>
      <c r="V7755" s="100"/>
      <c r="Y7755" s="100"/>
    </row>
    <row r="7756">
      <c r="R7756" s="100"/>
      <c r="V7756" s="100"/>
      <c r="Y7756" s="100"/>
    </row>
    <row r="7757">
      <c r="R7757" s="100"/>
      <c r="V7757" s="100"/>
      <c r="Y7757" s="100"/>
    </row>
    <row r="7758">
      <c r="R7758" s="100"/>
      <c r="V7758" s="100"/>
      <c r="Y7758" s="100"/>
    </row>
    <row r="7759">
      <c r="R7759" s="100"/>
      <c r="V7759" s="100"/>
      <c r="Y7759" s="100"/>
    </row>
    <row r="7760">
      <c r="R7760" s="100"/>
      <c r="V7760" s="100"/>
      <c r="Y7760" s="100"/>
    </row>
    <row r="7761">
      <c r="R7761" s="100"/>
      <c r="V7761" s="100"/>
      <c r="Y7761" s="100"/>
    </row>
    <row r="7762">
      <c r="R7762" s="100"/>
      <c r="V7762" s="100"/>
      <c r="Y7762" s="100"/>
    </row>
    <row r="7763">
      <c r="R7763" s="100"/>
      <c r="V7763" s="100"/>
      <c r="Y7763" s="100"/>
    </row>
    <row r="7764">
      <c r="R7764" s="100"/>
      <c r="V7764" s="100"/>
      <c r="Y7764" s="100"/>
    </row>
    <row r="7765">
      <c r="R7765" s="100"/>
      <c r="V7765" s="100"/>
      <c r="Y7765" s="100"/>
    </row>
    <row r="7766">
      <c r="R7766" s="100"/>
      <c r="V7766" s="100"/>
      <c r="Y7766" s="100"/>
    </row>
    <row r="7767">
      <c r="R7767" s="100"/>
      <c r="V7767" s="100"/>
      <c r="Y7767" s="100"/>
    </row>
    <row r="7768">
      <c r="R7768" s="100"/>
      <c r="V7768" s="100"/>
      <c r="Y7768" s="100"/>
    </row>
    <row r="7769">
      <c r="R7769" s="100"/>
      <c r="V7769" s="100"/>
      <c r="Y7769" s="100"/>
    </row>
    <row r="7770">
      <c r="R7770" s="100"/>
      <c r="V7770" s="100"/>
      <c r="Y7770" s="100"/>
    </row>
    <row r="7771">
      <c r="R7771" s="100"/>
      <c r="V7771" s="100"/>
      <c r="Y7771" s="100"/>
    </row>
    <row r="7772">
      <c r="R7772" s="100"/>
      <c r="V7772" s="100"/>
      <c r="Y7772" s="100"/>
    </row>
    <row r="7773">
      <c r="R7773" s="100"/>
      <c r="V7773" s="100"/>
      <c r="Y7773" s="100"/>
    </row>
    <row r="7774">
      <c r="R7774" s="100"/>
      <c r="V7774" s="100"/>
      <c r="Y7774" s="100"/>
    </row>
    <row r="7775">
      <c r="R7775" s="100"/>
      <c r="V7775" s="100"/>
      <c r="Y7775" s="100"/>
    </row>
    <row r="7776">
      <c r="R7776" s="100"/>
      <c r="V7776" s="100"/>
      <c r="Y7776" s="100"/>
    </row>
    <row r="7777">
      <c r="R7777" s="100"/>
      <c r="V7777" s="100"/>
      <c r="Y7777" s="100"/>
    </row>
    <row r="7778">
      <c r="R7778" s="100"/>
      <c r="V7778" s="100"/>
      <c r="Y7778" s="100"/>
    </row>
    <row r="7779">
      <c r="R7779" s="100"/>
      <c r="V7779" s="100"/>
      <c r="Y7779" s="100"/>
    </row>
    <row r="7780">
      <c r="R7780" s="100"/>
      <c r="V7780" s="100"/>
      <c r="Y7780" s="100"/>
    </row>
    <row r="7781">
      <c r="R7781" s="100"/>
      <c r="V7781" s="100"/>
      <c r="Y7781" s="100"/>
    </row>
    <row r="7782">
      <c r="R7782" s="100"/>
      <c r="V7782" s="100"/>
      <c r="Y7782" s="100"/>
    </row>
    <row r="7783">
      <c r="R7783" s="100"/>
      <c r="V7783" s="100"/>
      <c r="Y7783" s="100"/>
    </row>
    <row r="7784">
      <c r="R7784" s="100"/>
      <c r="V7784" s="100"/>
      <c r="Y7784" s="100"/>
    </row>
    <row r="7785">
      <c r="R7785" s="100"/>
      <c r="V7785" s="100"/>
      <c r="Y7785" s="100"/>
    </row>
    <row r="7786">
      <c r="R7786" s="100"/>
      <c r="V7786" s="100"/>
      <c r="Y7786" s="100"/>
    </row>
    <row r="7787">
      <c r="R7787" s="100"/>
      <c r="V7787" s="100"/>
      <c r="Y7787" s="100"/>
    </row>
    <row r="7788">
      <c r="R7788" s="100"/>
      <c r="V7788" s="100"/>
      <c r="Y7788" s="100"/>
    </row>
    <row r="7789">
      <c r="R7789" s="100"/>
      <c r="V7789" s="100"/>
      <c r="Y7789" s="100"/>
    </row>
    <row r="7790">
      <c r="R7790" s="100"/>
      <c r="V7790" s="100"/>
      <c r="Y7790" s="100"/>
    </row>
    <row r="7791">
      <c r="R7791" s="100"/>
      <c r="V7791" s="100"/>
      <c r="Y7791" s="100"/>
    </row>
    <row r="7792">
      <c r="R7792" s="100"/>
      <c r="V7792" s="100"/>
      <c r="Y7792" s="100"/>
    </row>
    <row r="7793">
      <c r="R7793" s="100"/>
      <c r="V7793" s="100"/>
      <c r="Y7793" s="100"/>
    </row>
    <row r="7794">
      <c r="R7794" s="100"/>
      <c r="V7794" s="100"/>
      <c r="Y7794" s="100"/>
    </row>
    <row r="7795">
      <c r="R7795" s="100"/>
      <c r="V7795" s="100"/>
      <c r="Y7795" s="100"/>
    </row>
    <row r="7796">
      <c r="R7796" s="100"/>
      <c r="V7796" s="100"/>
      <c r="Y7796" s="100"/>
    </row>
    <row r="7797">
      <c r="R7797" s="100"/>
      <c r="V7797" s="100"/>
      <c r="Y7797" s="100"/>
    </row>
    <row r="7798">
      <c r="R7798" s="100"/>
      <c r="V7798" s="100"/>
      <c r="Y7798" s="100"/>
    </row>
    <row r="7799">
      <c r="R7799" s="100"/>
      <c r="V7799" s="100"/>
      <c r="Y7799" s="100"/>
    </row>
    <row r="7800">
      <c r="R7800" s="100"/>
      <c r="V7800" s="100"/>
      <c r="Y7800" s="100"/>
    </row>
    <row r="7801">
      <c r="R7801" s="100"/>
      <c r="V7801" s="100"/>
      <c r="Y7801" s="100"/>
    </row>
    <row r="7802">
      <c r="R7802" s="100"/>
      <c r="V7802" s="100"/>
      <c r="Y7802" s="100"/>
    </row>
    <row r="7803">
      <c r="R7803" s="100"/>
      <c r="V7803" s="100"/>
      <c r="Y7803" s="100"/>
    </row>
    <row r="7804">
      <c r="R7804" s="100"/>
      <c r="V7804" s="100"/>
      <c r="Y7804" s="100"/>
    </row>
    <row r="7805">
      <c r="R7805" s="100"/>
      <c r="V7805" s="100"/>
      <c r="Y7805" s="100"/>
    </row>
    <row r="7806">
      <c r="R7806" s="100"/>
      <c r="V7806" s="100"/>
      <c r="Y7806" s="100"/>
    </row>
    <row r="7807">
      <c r="R7807" s="100"/>
      <c r="V7807" s="100"/>
      <c r="Y7807" s="100"/>
    </row>
    <row r="7808">
      <c r="R7808" s="100"/>
      <c r="V7808" s="100"/>
      <c r="Y7808" s="100"/>
    </row>
    <row r="7809">
      <c r="R7809" s="100"/>
      <c r="V7809" s="100"/>
      <c r="Y7809" s="100"/>
    </row>
    <row r="7810">
      <c r="R7810" s="100"/>
      <c r="V7810" s="100"/>
      <c r="Y7810" s="100"/>
    </row>
    <row r="7811">
      <c r="R7811" s="100"/>
      <c r="V7811" s="100"/>
      <c r="Y7811" s="100"/>
    </row>
    <row r="7812">
      <c r="R7812" s="100"/>
      <c r="V7812" s="100"/>
      <c r="Y7812" s="100"/>
    </row>
    <row r="7813">
      <c r="R7813" s="100"/>
      <c r="V7813" s="100"/>
      <c r="Y7813" s="100"/>
    </row>
    <row r="7814">
      <c r="R7814" s="100"/>
      <c r="V7814" s="100"/>
      <c r="Y7814" s="100"/>
    </row>
    <row r="7815">
      <c r="R7815" s="100"/>
      <c r="V7815" s="100"/>
      <c r="Y7815" s="100"/>
    </row>
    <row r="7816">
      <c r="R7816" s="100"/>
      <c r="V7816" s="100"/>
      <c r="Y7816" s="100"/>
    </row>
    <row r="7817">
      <c r="R7817" s="100"/>
      <c r="V7817" s="100"/>
      <c r="Y7817" s="100"/>
    </row>
    <row r="7818">
      <c r="R7818" s="100"/>
      <c r="V7818" s="100"/>
      <c r="Y7818" s="100"/>
    </row>
    <row r="7819">
      <c r="R7819" s="100"/>
      <c r="V7819" s="100"/>
      <c r="Y7819" s="100"/>
    </row>
    <row r="7820">
      <c r="R7820" s="100"/>
      <c r="V7820" s="100"/>
      <c r="Y7820" s="100"/>
    </row>
    <row r="7821">
      <c r="R7821" s="100"/>
      <c r="V7821" s="100"/>
      <c r="Y7821" s="100"/>
    </row>
    <row r="7822">
      <c r="R7822" s="100"/>
      <c r="V7822" s="100"/>
      <c r="Y7822" s="100"/>
    </row>
    <row r="7823">
      <c r="R7823" s="100"/>
      <c r="V7823" s="100"/>
      <c r="Y7823" s="100"/>
    </row>
    <row r="7824">
      <c r="R7824" s="100"/>
      <c r="V7824" s="100"/>
      <c r="Y7824" s="100"/>
    </row>
    <row r="7825">
      <c r="R7825" s="100"/>
      <c r="V7825" s="100"/>
      <c r="Y7825" s="100"/>
    </row>
    <row r="7826">
      <c r="R7826" s="100"/>
      <c r="V7826" s="100"/>
      <c r="Y7826" s="100"/>
    </row>
    <row r="7827">
      <c r="R7827" s="100"/>
      <c r="V7827" s="100"/>
      <c r="Y7827" s="100"/>
    </row>
    <row r="7828">
      <c r="R7828" s="100"/>
      <c r="V7828" s="100"/>
      <c r="Y7828" s="100"/>
    </row>
    <row r="7829">
      <c r="R7829" s="100"/>
      <c r="V7829" s="100"/>
      <c r="Y7829" s="100"/>
    </row>
    <row r="7830">
      <c r="R7830" s="100"/>
      <c r="V7830" s="100"/>
      <c r="Y7830" s="100"/>
    </row>
    <row r="7831">
      <c r="R7831" s="100"/>
      <c r="V7831" s="100"/>
      <c r="Y7831" s="100"/>
    </row>
    <row r="7832">
      <c r="R7832" s="100"/>
      <c r="V7832" s="100"/>
      <c r="Y7832" s="100"/>
    </row>
    <row r="7833">
      <c r="R7833" s="100"/>
      <c r="V7833" s="100"/>
      <c r="Y7833" s="100"/>
    </row>
    <row r="7834">
      <c r="R7834" s="100"/>
      <c r="V7834" s="100"/>
      <c r="Y7834" s="100"/>
    </row>
    <row r="7835">
      <c r="R7835" s="100"/>
      <c r="V7835" s="100"/>
      <c r="Y7835" s="100"/>
    </row>
    <row r="7836">
      <c r="R7836" s="100"/>
      <c r="V7836" s="100"/>
      <c r="Y7836" s="100"/>
    </row>
    <row r="7837">
      <c r="R7837" s="100"/>
      <c r="V7837" s="100"/>
      <c r="Y7837" s="100"/>
    </row>
    <row r="7838">
      <c r="R7838" s="100"/>
      <c r="V7838" s="100"/>
      <c r="Y7838" s="100"/>
    </row>
    <row r="7839">
      <c r="R7839" s="100"/>
      <c r="V7839" s="100"/>
      <c r="Y7839" s="100"/>
    </row>
    <row r="7840">
      <c r="R7840" s="100"/>
      <c r="V7840" s="100"/>
      <c r="Y7840" s="100"/>
    </row>
    <row r="7841">
      <c r="R7841" s="100"/>
      <c r="V7841" s="100"/>
      <c r="Y7841" s="100"/>
    </row>
    <row r="7842">
      <c r="R7842" s="100"/>
      <c r="V7842" s="100"/>
      <c r="Y7842" s="100"/>
    </row>
    <row r="7843">
      <c r="R7843" s="100"/>
      <c r="V7843" s="100"/>
      <c r="Y7843" s="100"/>
    </row>
    <row r="7844">
      <c r="R7844" s="100"/>
      <c r="V7844" s="100"/>
      <c r="Y7844" s="100"/>
    </row>
    <row r="7845">
      <c r="R7845" s="100"/>
      <c r="V7845" s="100"/>
      <c r="Y7845" s="100"/>
    </row>
    <row r="7846">
      <c r="R7846" s="100"/>
      <c r="V7846" s="100"/>
      <c r="Y7846" s="100"/>
    </row>
    <row r="7847">
      <c r="R7847" s="100"/>
      <c r="V7847" s="100"/>
      <c r="Y7847" s="100"/>
    </row>
    <row r="7848">
      <c r="R7848" s="100"/>
      <c r="V7848" s="100"/>
      <c r="Y7848" s="100"/>
    </row>
    <row r="7849">
      <c r="R7849" s="100"/>
      <c r="V7849" s="100"/>
      <c r="Y7849" s="100"/>
    </row>
    <row r="7850">
      <c r="R7850" s="100"/>
      <c r="V7850" s="100"/>
      <c r="Y7850" s="100"/>
    </row>
    <row r="7851">
      <c r="R7851" s="100"/>
      <c r="V7851" s="100"/>
      <c r="Y7851" s="100"/>
    </row>
    <row r="7852">
      <c r="R7852" s="100"/>
      <c r="V7852" s="100"/>
      <c r="Y7852" s="100"/>
    </row>
    <row r="7853">
      <c r="R7853" s="100"/>
      <c r="V7853" s="100"/>
      <c r="Y7853" s="100"/>
    </row>
    <row r="7854">
      <c r="R7854" s="100"/>
      <c r="V7854" s="100"/>
      <c r="Y7854" s="100"/>
    </row>
    <row r="7855">
      <c r="R7855" s="100"/>
      <c r="V7855" s="100"/>
      <c r="Y7855" s="100"/>
    </row>
    <row r="7856">
      <c r="R7856" s="100"/>
      <c r="V7856" s="100"/>
      <c r="Y7856" s="100"/>
    </row>
    <row r="7857">
      <c r="R7857" s="100"/>
      <c r="V7857" s="100"/>
      <c r="Y7857" s="100"/>
    </row>
    <row r="7858">
      <c r="R7858" s="100"/>
      <c r="V7858" s="100"/>
      <c r="Y7858" s="100"/>
    </row>
    <row r="7859">
      <c r="R7859" s="100"/>
      <c r="V7859" s="100"/>
      <c r="Y7859" s="100"/>
    </row>
    <row r="7860">
      <c r="R7860" s="100"/>
      <c r="V7860" s="100"/>
      <c r="Y7860" s="100"/>
    </row>
    <row r="7861">
      <c r="R7861" s="100"/>
      <c r="V7861" s="100"/>
      <c r="Y7861" s="100"/>
    </row>
    <row r="7862">
      <c r="R7862" s="100"/>
      <c r="V7862" s="100"/>
      <c r="Y7862" s="100"/>
    </row>
    <row r="7863">
      <c r="R7863" s="100"/>
      <c r="V7863" s="100"/>
      <c r="Y7863" s="100"/>
    </row>
    <row r="7864">
      <c r="R7864" s="100"/>
      <c r="V7864" s="100"/>
      <c r="Y7864" s="100"/>
    </row>
    <row r="7865">
      <c r="R7865" s="100"/>
      <c r="V7865" s="100"/>
      <c r="Y7865" s="100"/>
    </row>
    <row r="7866">
      <c r="R7866" s="100"/>
      <c r="V7866" s="100"/>
      <c r="Y7866" s="100"/>
    </row>
    <row r="7867">
      <c r="R7867" s="100"/>
      <c r="V7867" s="100"/>
      <c r="Y7867" s="100"/>
    </row>
    <row r="7868">
      <c r="R7868" s="100"/>
      <c r="V7868" s="100"/>
      <c r="Y7868" s="100"/>
    </row>
    <row r="7869">
      <c r="R7869" s="100"/>
      <c r="V7869" s="100"/>
      <c r="Y7869" s="100"/>
    </row>
    <row r="7870">
      <c r="R7870" s="100"/>
      <c r="V7870" s="100"/>
      <c r="Y7870" s="100"/>
    </row>
    <row r="7871">
      <c r="R7871" s="100"/>
      <c r="V7871" s="100"/>
      <c r="Y7871" s="100"/>
    </row>
    <row r="7872">
      <c r="R7872" s="100"/>
      <c r="V7872" s="100"/>
      <c r="Y7872" s="100"/>
    </row>
    <row r="7873">
      <c r="R7873" s="100"/>
      <c r="V7873" s="100"/>
      <c r="Y7873" s="100"/>
    </row>
    <row r="7874">
      <c r="R7874" s="100"/>
      <c r="V7874" s="100"/>
      <c r="Y7874" s="100"/>
    </row>
    <row r="7875">
      <c r="R7875" s="100"/>
      <c r="V7875" s="100"/>
      <c r="Y7875" s="100"/>
    </row>
    <row r="7876">
      <c r="R7876" s="100"/>
      <c r="V7876" s="100"/>
      <c r="Y7876" s="100"/>
    </row>
    <row r="7877">
      <c r="R7877" s="100"/>
      <c r="V7877" s="100"/>
      <c r="Y7877" s="100"/>
    </row>
    <row r="7878">
      <c r="R7878" s="100"/>
      <c r="V7878" s="100"/>
      <c r="Y7878" s="100"/>
    </row>
    <row r="7879">
      <c r="R7879" s="100"/>
      <c r="V7879" s="100"/>
      <c r="Y7879" s="100"/>
    </row>
    <row r="7880">
      <c r="R7880" s="100"/>
      <c r="V7880" s="100"/>
      <c r="Y7880" s="100"/>
    </row>
    <row r="7881">
      <c r="R7881" s="100"/>
      <c r="V7881" s="100"/>
      <c r="Y7881" s="100"/>
    </row>
    <row r="7882">
      <c r="R7882" s="100"/>
      <c r="V7882" s="100"/>
      <c r="Y7882" s="100"/>
    </row>
    <row r="7883">
      <c r="R7883" s="100"/>
      <c r="V7883" s="100"/>
      <c r="Y7883" s="100"/>
    </row>
    <row r="7884">
      <c r="R7884" s="100"/>
      <c r="V7884" s="100"/>
      <c r="Y7884" s="100"/>
    </row>
    <row r="7885">
      <c r="R7885" s="100"/>
      <c r="V7885" s="100"/>
      <c r="Y7885" s="100"/>
    </row>
    <row r="7886">
      <c r="R7886" s="100"/>
      <c r="V7886" s="100"/>
      <c r="Y7886" s="100"/>
    </row>
    <row r="7887">
      <c r="R7887" s="100"/>
      <c r="V7887" s="100"/>
      <c r="Y7887" s="100"/>
    </row>
    <row r="7888">
      <c r="R7888" s="100"/>
      <c r="V7888" s="100"/>
      <c r="Y7888" s="100"/>
    </row>
    <row r="7889">
      <c r="R7889" s="100"/>
      <c r="V7889" s="100"/>
      <c r="Y7889" s="100"/>
    </row>
    <row r="7890">
      <c r="R7890" s="100"/>
      <c r="V7890" s="100"/>
      <c r="Y7890" s="100"/>
    </row>
    <row r="7891">
      <c r="R7891" s="100"/>
      <c r="V7891" s="100"/>
      <c r="Y7891" s="100"/>
    </row>
    <row r="7892">
      <c r="R7892" s="100"/>
      <c r="V7892" s="100"/>
      <c r="Y7892" s="100"/>
    </row>
    <row r="7893">
      <c r="R7893" s="100"/>
      <c r="V7893" s="100"/>
      <c r="Y7893" s="100"/>
    </row>
    <row r="7894">
      <c r="R7894" s="100"/>
      <c r="V7894" s="100"/>
      <c r="Y7894" s="100"/>
    </row>
    <row r="7895">
      <c r="R7895" s="100"/>
      <c r="V7895" s="100"/>
      <c r="Y7895" s="100"/>
    </row>
    <row r="7896">
      <c r="R7896" s="100"/>
      <c r="V7896" s="100"/>
      <c r="Y7896" s="100"/>
    </row>
    <row r="7897">
      <c r="R7897" s="100"/>
      <c r="V7897" s="100"/>
      <c r="Y7897" s="100"/>
    </row>
    <row r="7898">
      <c r="R7898" s="100"/>
      <c r="V7898" s="100"/>
      <c r="Y7898" s="100"/>
    </row>
    <row r="7899">
      <c r="R7899" s="100"/>
      <c r="V7899" s="100"/>
      <c r="Y7899" s="100"/>
    </row>
    <row r="7900">
      <c r="R7900" s="100"/>
      <c r="V7900" s="100"/>
      <c r="Y7900" s="100"/>
    </row>
    <row r="7901">
      <c r="R7901" s="100"/>
      <c r="V7901" s="100"/>
      <c r="Y7901" s="100"/>
    </row>
    <row r="7902">
      <c r="R7902" s="100"/>
      <c r="V7902" s="100"/>
      <c r="Y7902" s="100"/>
    </row>
    <row r="7903">
      <c r="R7903" s="100"/>
      <c r="V7903" s="100"/>
      <c r="Y7903" s="100"/>
    </row>
    <row r="7904">
      <c r="R7904" s="100"/>
      <c r="V7904" s="100"/>
      <c r="Y7904" s="100"/>
    </row>
    <row r="7905">
      <c r="R7905" s="100"/>
      <c r="V7905" s="100"/>
      <c r="Y7905" s="100"/>
    </row>
    <row r="7906">
      <c r="R7906" s="100"/>
      <c r="V7906" s="100"/>
      <c r="Y7906" s="100"/>
    </row>
    <row r="7907">
      <c r="R7907" s="100"/>
      <c r="V7907" s="100"/>
      <c r="Y7907" s="100"/>
    </row>
    <row r="7908">
      <c r="R7908" s="100"/>
      <c r="V7908" s="100"/>
      <c r="Y7908" s="100"/>
    </row>
    <row r="7909">
      <c r="R7909" s="100"/>
      <c r="V7909" s="100"/>
      <c r="Y7909" s="100"/>
    </row>
    <row r="7910">
      <c r="R7910" s="100"/>
      <c r="V7910" s="100"/>
      <c r="Y7910" s="100"/>
    </row>
    <row r="7911">
      <c r="R7911" s="100"/>
      <c r="V7911" s="100"/>
      <c r="Y7911" s="100"/>
    </row>
    <row r="7912">
      <c r="R7912" s="100"/>
      <c r="V7912" s="100"/>
      <c r="Y7912" s="100"/>
    </row>
    <row r="7913">
      <c r="R7913" s="100"/>
      <c r="V7913" s="100"/>
      <c r="Y7913" s="100"/>
    </row>
    <row r="7914">
      <c r="R7914" s="100"/>
      <c r="V7914" s="100"/>
      <c r="Y7914" s="100"/>
    </row>
    <row r="7915">
      <c r="R7915" s="100"/>
      <c r="V7915" s="100"/>
      <c r="Y7915" s="100"/>
    </row>
    <row r="7916">
      <c r="R7916" s="100"/>
      <c r="V7916" s="100"/>
      <c r="Y7916" s="100"/>
    </row>
    <row r="7917">
      <c r="R7917" s="100"/>
      <c r="V7917" s="100"/>
      <c r="Y7917" s="100"/>
    </row>
    <row r="7918">
      <c r="R7918" s="100"/>
      <c r="V7918" s="100"/>
      <c r="Y7918" s="100"/>
    </row>
    <row r="7919">
      <c r="R7919" s="100"/>
      <c r="V7919" s="100"/>
      <c r="Y7919" s="100"/>
    </row>
    <row r="7920">
      <c r="R7920" s="100"/>
      <c r="V7920" s="100"/>
      <c r="Y7920" s="100"/>
    </row>
    <row r="7921">
      <c r="R7921" s="100"/>
      <c r="V7921" s="100"/>
      <c r="Y7921" s="100"/>
    </row>
    <row r="7922">
      <c r="R7922" s="100"/>
      <c r="V7922" s="100"/>
      <c r="Y7922" s="100"/>
    </row>
    <row r="7923">
      <c r="R7923" s="100"/>
      <c r="V7923" s="100"/>
      <c r="Y7923" s="100"/>
    </row>
    <row r="7924">
      <c r="R7924" s="100"/>
      <c r="V7924" s="100"/>
      <c r="Y7924" s="100"/>
    </row>
    <row r="7925">
      <c r="R7925" s="100"/>
      <c r="V7925" s="100"/>
      <c r="Y7925" s="100"/>
    </row>
    <row r="7926">
      <c r="R7926" s="100"/>
      <c r="V7926" s="100"/>
      <c r="Y7926" s="100"/>
    </row>
    <row r="7927">
      <c r="R7927" s="100"/>
      <c r="V7927" s="100"/>
      <c r="Y7927" s="100"/>
    </row>
    <row r="7928">
      <c r="R7928" s="100"/>
      <c r="V7928" s="100"/>
      <c r="Y7928" s="100"/>
    </row>
    <row r="7929">
      <c r="R7929" s="100"/>
      <c r="V7929" s="100"/>
      <c r="Y7929" s="100"/>
    </row>
    <row r="7930">
      <c r="R7930" s="100"/>
      <c r="V7930" s="100"/>
      <c r="Y7930" s="100"/>
    </row>
    <row r="7931">
      <c r="R7931" s="100"/>
      <c r="V7931" s="100"/>
      <c r="Y7931" s="100"/>
    </row>
    <row r="7932">
      <c r="R7932" s="100"/>
      <c r="V7932" s="100"/>
      <c r="Y7932" s="100"/>
    </row>
    <row r="7933">
      <c r="R7933" s="100"/>
      <c r="V7933" s="100"/>
      <c r="Y7933" s="100"/>
    </row>
    <row r="7934">
      <c r="R7934" s="100"/>
      <c r="V7934" s="100"/>
      <c r="Y7934" s="100"/>
    </row>
    <row r="7935">
      <c r="R7935" s="100"/>
      <c r="V7935" s="100"/>
      <c r="Y7935" s="100"/>
    </row>
    <row r="7936">
      <c r="R7936" s="100"/>
      <c r="V7936" s="100"/>
      <c r="Y7936" s="100"/>
    </row>
    <row r="7937">
      <c r="R7937" s="100"/>
      <c r="V7937" s="100"/>
      <c r="Y7937" s="100"/>
    </row>
    <row r="7938">
      <c r="R7938" s="100"/>
      <c r="V7938" s="100"/>
      <c r="Y7938" s="100"/>
    </row>
    <row r="7939">
      <c r="R7939" s="100"/>
      <c r="V7939" s="100"/>
      <c r="Y7939" s="100"/>
    </row>
    <row r="7940">
      <c r="R7940" s="100"/>
      <c r="V7940" s="100"/>
      <c r="Y7940" s="100"/>
    </row>
    <row r="7941">
      <c r="R7941" s="100"/>
      <c r="V7941" s="100"/>
      <c r="Y7941" s="100"/>
    </row>
    <row r="7942">
      <c r="R7942" s="100"/>
      <c r="V7942" s="100"/>
      <c r="Y7942" s="100"/>
    </row>
    <row r="7943">
      <c r="R7943" s="100"/>
      <c r="V7943" s="100"/>
      <c r="Y7943" s="100"/>
    </row>
    <row r="7944">
      <c r="R7944" s="100"/>
      <c r="V7944" s="100"/>
      <c r="Y7944" s="100"/>
    </row>
    <row r="7945">
      <c r="R7945" s="100"/>
      <c r="V7945" s="100"/>
      <c r="Y7945" s="100"/>
    </row>
    <row r="7946">
      <c r="R7946" s="100"/>
      <c r="V7946" s="100"/>
      <c r="Y7946" s="100"/>
    </row>
    <row r="7947">
      <c r="R7947" s="100"/>
      <c r="V7947" s="100"/>
      <c r="Y7947" s="100"/>
    </row>
    <row r="7948">
      <c r="R7948" s="100"/>
      <c r="V7948" s="100"/>
      <c r="Y7948" s="100"/>
    </row>
    <row r="7949">
      <c r="R7949" s="100"/>
      <c r="V7949" s="100"/>
      <c r="Y7949" s="100"/>
    </row>
    <row r="7950">
      <c r="R7950" s="100"/>
      <c r="V7950" s="100"/>
      <c r="Y7950" s="100"/>
    </row>
    <row r="7951">
      <c r="R7951" s="100"/>
      <c r="V7951" s="100"/>
      <c r="Y7951" s="100"/>
    </row>
    <row r="7952">
      <c r="R7952" s="100"/>
      <c r="V7952" s="100"/>
      <c r="Y7952" s="100"/>
    </row>
    <row r="7953">
      <c r="R7953" s="100"/>
      <c r="V7953" s="100"/>
      <c r="Y7953" s="100"/>
    </row>
    <row r="7954">
      <c r="R7954" s="100"/>
      <c r="V7954" s="100"/>
      <c r="Y7954" s="100"/>
    </row>
    <row r="7955">
      <c r="R7955" s="100"/>
      <c r="V7955" s="100"/>
      <c r="Y7955" s="100"/>
    </row>
    <row r="7956">
      <c r="R7956" s="100"/>
      <c r="V7956" s="100"/>
      <c r="Y7956" s="100"/>
    </row>
    <row r="7957">
      <c r="R7957" s="100"/>
      <c r="V7957" s="100"/>
      <c r="Y7957" s="100"/>
    </row>
    <row r="7958">
      <c r="R7958" s="100"/>
      <c r="V7958" s="100"/>
      <c r="Y7958" s="100"/>
    </row>
    <row r="7959">
      <c r="R7959" s="100"/>
      <c r="V7959" s="100"/>
      <c r="Y7959" s="100"/>
    </row>
    <row r="7960">
      <c r="R7960" s="100"/>
      <c r="V7960" s="100"/>
      <c r="Y7960" s="100"/>
    </row>
    <row r="7961">
      <c r="R7961" s="100"/>
      <c r="V7961" s="100"/>
      <c r="Y7961" s="100"/>
    </row>
    <row r="7962">
      <c r="R7962" s="100"/>
      <c r="V7962" s="100"/>
      <c r="Y7962" s="100"/>
    </row>
    <row r="7963">
      <c r="R7963" s="100"/>
      <c r="V7963" s="100"/>
      <c r="Y7963" s="100"/>
    </row>
    <row r="7964">
      <c r="R7964" s="100"/>
      <c r="V7964" s="100"/>
      <c r="Y7964" s="100"/>
    </row>
    <row r="7965">
      <c r="R7965" s="100"/>
      <c r="V7965" s="100"/>
      <c r="Y7965" s="100"/>
    </row>
    <row r="7966">
      <c r="R7966" s="100"/>
      <c r="V7966" s="100"/>
      <c r="Y7966" s="100"/>
    </row>
    <row r="7967">
      <c r="R7967" s="100"/>
      <c r="V7967" s="100"/>
      <c r="Y7967" s="100"/>
    </row>
    <row r="7968">
      <c r="R7968" s="100"/>
      <c r="V7968" s="100"/>
      <c r="Y7968" s="100"/>
    </row>
    <row r="7969">
      <c r="R7969" s="100"/>
      <c r="V7969" s="100"/>
      <c r="Y7969" s="100"/>
    </row>
    <row r="7970">
      <c r="R7970" s="100"/>
      <c r="V7970" s="100"/>
      <c r="Y7970" s="100"/>
    </row>
    <row r="7971">
      <c r="R7971" s="100"/>
      <c r="V7971" s="100"/>
      <c r="Y7971" s="100"/>
    </row>
    <row r="7972">
      <c r="R7972" s="100"/>
      <c r="V7972" s="100"/>
      <c r="Y7972" s="100"/>
    </row>
    <row r="7973">
      <c r="R7973" s="100"/>
      <c r="V7973" s="100"/>
      <c r="Y7973" s="100"/>
    </row>
    <row r="7974">
      <c r="R7974" s="100"/>
      <c r="V7974" s="100"/>
      <c r="Y7974" s="100"/>
    </row>
    <row r="7975">
      <c r="R7975" s="100"/>
      <c r="V7975" s="100"/>
      <c r="Y7975" s="100"/>
    </row>
    <row r="7976">
      <c r="R7976" s="100"/>
      <c r="V7976" s="100"/>
      <c r="Y7976" s="100"/>
    </row>
    <row r="7977">
      <c r="R7977" s="100"/>
      <c r="V7977" s="100"/>
      <c r="Y7977" s="100"/>
    </row>
    <row r="7978">
      <c r="R7978" s="100"/>
      <c r="V7978" s="100"/>
      <c r="Y7978" s="100"/>
    </row>
    <row r="7979">
      <c r="R7979" s="100"/>
      <c r="V7979" s="100"/>
      <c r="Y7979" s="100"/>
    </row>
    <row r="7980">
      <c r="R7980" s="100"/>
      <c r="V7980" s="100"/>
      <c r="Y7980" s="100"/>
    </row>
    <row r="7981">
      <c r="R7981" s="100"/>
      <c r="V7981" s="100"/>
      <c r="Y7981" s="100"/>
    </row>
    <row r="7982">
      <c r="R7982" s="100"/>
      <c r="V7982" s="100"/>
      <c r="Y7982" s="100"/>
    </row>
    <row r="7983">
      <c r="R7983" s="100"/>
      <c r="V7983" s="100"/>
      <c r="Y7983" s="100"/>
    </row>
    <row r="7984">
      <c r="R7984" s="100"/>
      <c r="V7984" s="100"/>
      <c r="Y7984" s="100"/>
    </row>
    <row r="7985">
      <c r="R7985" s="100"/>
      <c r="V7985" s="100"/>
      <c r="Y7985" s="100"/>
    </row>
    <row r="7986">
      <c r="R7986" s="100"/>
      <c r="V7986" s="100"/>
      <c r="Y7986" s="100"/>
    </row>
    <row r="7987">
      <c r="R7987" s="100"/>
      <c r="V7987" s="100"/>
      <c r="Y7987" s="100"/>
    </row>
    <row r="7988">
      <c r="R7988" s="100"/>
      <c r="V7988" s="100"/>
      <c r="Y7988" s="100"/>
    </row>
    <row r="7989">
      <c r="R7989" s="100"/>
      <c r="V7989" s="100"/>
      <c r="Y7989" s="100"/>
    </row>
    <row r="7990">
      <c r="R7990" s="100"/>
      <c r="V7990" s="100"/>
      <c r="Y7990" s="100"/>
    </row>
    <row r="7991">
      <c r="R7991" s="100"/>
      <c r="V7991" s="100"/>
      <c r="Y7991" s="100"/>
    </row>
    <row r="7992">
      <c r="R7992" s="100"/>
      <c r="V7992" s="100"/>
      <c r="Y7992" s="100"/>
    </row>
    <row r="7993">
      <c r="R7993" s="100"/>
      <c r="V7993" s="100"/>
      <c r="Y7993" s="100"/>
    </row>
    <row r="7994">
      <c r="R7994" s="100"/>
      <c r="V7994" s="100"/>
      <c r="Y7994" s="100"/>
    </row>
    <row r="7995">
      <c r="R7995" s="100"/>
      <c r="V7995" s="100"/>
      <c r="Y7995" s="100"/>
    </row>
    <row r="7996">
      <c r="R7996" s="100"/>
      <c r="V7996" s="100"/>
      <c r="Y7996" s="100"/>
    </row>
    <row r="7997">
      <c r="R7997" s="100"/>
      <c r="V7997" s="100"/>
      <c r="Y7997" s="100"/>
    </row>
    <row r="7998">
      <c r="R7998" s="100"/>
      <c r="V7998" s="100"/>
      <c r="Y7998" s="100"/>
    </row>
    <row r="7999">
      <c r="R7999" s="100"/>
      <c r="V7999" s="100"/>
      <c r="Y7999" s="100"/>
    </row>
    <row r="8000">
      <c r="R8000" s="100"/>
      <c r="V8000" s="100"/>
      <c r="Y8000" s="100"/>
    </row>
    <row r="8001">
      <c r="R8001" s="100"/>
      <c r="V8001" s="100"/>
      <c r="Y8001" s="100"/>
    </row>
    <row r="8002">
      <c r="R8002" s="100"/>
      <c r="V8002" s="100"/>
      <c r="Y8002" s="100"/>
    </row>
    <row r="8003">
      <c r="R8003" s="100"/>
      <c r="V8003" s="100"/>
      <c r="Y8003" s="100"/>
    </row>
    <row r="8004">
      <c r="R8004" s="100"/>
      <c r="V8004" s="100"/>
      <c r="Y8004" s="100"/>
    </row>
    <row r="8005">
      <c r="R8005" s="100"/>
      <c r="V8005" s="100"/>
      <c r="Y8005" s="100"/>
    </row>
    <row r="8006">
      <c r="R8006" s="100"/>
      <c r="V8006" s="100"/>
      <c r="Y8006" s="100"/>
    </row>
    <row r="8007">
      <c r="R8007" s="100"/>
      <c r="V8007" s="100"/>
      <c r="Y8007" s="100"/>
    </row>
    <row r="8008">
      <c r="R8008" s="100"/>
      <c r="V8008" s="100"/>
      <c r="Y8008" s="100"/>
    </row>
    <row r="8009">
      <c r="R8009" s="100"/>
      <c r="V8009" s="100"/>
      <c r="Y8009" s="100"/>
    </row>
    <row r="8010">
      <c r="R8010" s="100"/>
      <c r="V8010" s="100"/>
      <c r="Y8010" s="100"/>
    </row>
    <row r="8011">
      <c r="R8011" s="100"/>
      <c r="V8011" s="100"/>
      <c r="Y8011" s="100"/>
    </row>
    <row r="8012">
      <c r="R8012" s="100"/>
      <c r="V8012" s="100"/>
      <c r="Y8012" s="100"/>
    </row>
    <row r="8013">
      <c r="R8013" s="100"/>
      <c r="V8013" s="100"/>
      <c r="Y8013" s="100"/>
    </row>
    <row r="8014">
      <c r="R8014" s="100"/>
      <c r="V8014" s="100"/>
      <c r="Y8014" s="100"/>
    </row>
    <row r="8015">
      <c r="R8015" s="100"/>
      <c r="V8015" s="100"/>
      <c r="Y8015" s="100"/>
    </row>
    <row r="8016">
      <c r="R8016" s="100"/>
      <c r="V8016" s="100"/>
      <c r="Y8016" s="100"/>
    </row>
    <row r="8017">
      <c r="R8017" s="100"/>
      <c r="V8017" s="100"/>
      <c r="Y8017" s="100"/>
    </row>
    <row r="8018">
      <c r="R8018" s="100"/>
      <c r="V8018" s="100"/>
      <c r="Y8018" s="100"/>
    </row>
    <row r="8019">
      <c r="R8019" s="100"/>
      <c r="V8019" s="100"/>
      <c r="Y8019" s="100"/>
    </row>
    <row r="8020">
      <c r="R8020" s="100"/>
      <c r="V8020" s="100"/>
      <c r="Y8020" s="100"/>
    </row>
    <row r="8021">
      <c r="R8021" s="100"/>
      <c r="V8021" s="100"/>
      <c r="Y8021" s="100"/>
    </row>
    <row r="8022">
      <c r="R8022" s="100"/>
      <c r="V8022" s="100"/>
      <c r="Y8022" s="100"/>
    </row>
    <row r="8023">
      <c r="R8023" s="100"/>
      <c r="V8023" s="100"/>
      <c r="Y8023" s="100"/>
    </row>
    <row r="8024">
      <c r="R8024" s="100"/>
      <c r="V8024" s="100"/>
      <c r="Y8024" s="100"/>
    </row>
    <row r="8025">
      <c r="R8025" s="100"/>
      <c r="V8025" s="100"/>
      <c r="Y8025" s="100"/>
    </row>
    <row r="8026">
      <c r="R8026" s="100"/>
      <c r="V8026" s="100"/>
      <c r="Y8026" s="100"/>
    </row>
    <row r="8027">
      <c r="R8027" s="100"/>
      <c r="V8027" s="100"/>
      <c r="Y8027" s="100"/>
    </row>
    <row r="8028">
      <c r="R8028" s="100"/>
      <c r="V8028" s="100"/>
      <c r="Y8028" s="100"/>
    </row>
    <row r="8029">
      <c r="R8029" s="100"/>
      <c r="V8029" s="100"/>
      <c r="Y8029" s="100"/>
    </row>
    <row r="8030">
      <c r="R8030" s="100"/>
      <c r="V8030" s="100"/>
      <c r="Y8030" s="100"/>
    </row>
    <row r="8031">
      <c r="R8031" s="100"/>
      <c r="V8031" s="100"/>
      <c r="Y8031" s="100"/>
    </row>
    <row r="8032">
      <c r="R8032" s="100"/>
      <c r="V8032" s="100"/>
      <c r="Y8032" s="100"/>
    </row>
    <row r="8033">
      <c r="R8033" s="100"/>
      <c r="V8033" s="100"/>
      <c r="Y8033" s="100"/>
    </row>
    <row r="8034">
      <c r="R8034" s="100"/>
      <c r="V8034" s="100"/>
      <c r="Y8034" s="100"/>
    </row>
    <row r="8035">
      <c r="R8035" s="100"/>
      <c r="V8035" s="100"/>
      <c r="Y8035" s="100"/>
    </row>
    <row r="8036">
      <c r="R8036" s="100"/>
      <c r="V8036" s="100"/>
      <c r="Y8036" s="100"/>
    </row>
    <row r="8037">
      <c r="R8037" s="100"/>
      <c r="V8037" s="100"/>
      <c r="Y8037" s="100"/>
    </row>
    <row r="8038">
      <c r="R8038" s="100"/>
      <c r="V8038" s="100"/>
      <c r="Y8038" s="100"/>
    </row>
    <row r="8039">
      <c r="R8039" s="100"/>
      <c r="V8039" s="100"/>
      <c r="Y8039" s="100"/>
    </row>
    <row r="8040">
      <c r="R8040" s="100"/>
      <c r="V8040" s="100"/>
      <c r="Y8040" s="100"/>
    </row>
    <row r="8041">
      <c r="R8041" s="100"/>
      <c r="V8041" s="100"/>
      <c r="Y8041" s="100"/>
    </row>
    <row r="8042">
      <c r="R8042" s="100"/>
      <c r="V8042" s="100"/>
      <c r="Y8042" s="100"/>
    </row>
    <row r="8043">
      <c r="R8043" s="100"/>
      <c r="V8043" s="100"/>
      <c r="Y8043" s="100"/>
    </row>
    <row r="8044">
      <c r="R8044" s="100"/>
      <c r="V8044" s="100"/>
      <c r="Y8044" s="100"/>
    </row>
    <row r="8045">
      <c r="R8045" s="100"/>
      <c r="V8045" s="100"/>
      <c r="Y8045" s="100"/>
    </row>
    <row r="8046">
      <c r="R8046" s="100"/>
      <c r="V8046" s="100"/>
      <c r="Y8046" s="100"/>
    </row>
    <row r="8047">
      <c r="R8047" s="100"/>
      <c r="V8047" s="100"/>
      <c r="Y8047" s="100"/>
    </row>
    <row r="8048">
      <c r="R8048" s="100"/>
      <c r="V8048" s="100"/>
      <c r="Y8048" s="100"/>
    </row>
    <row r="8049">
      <c r="R8049" s="100"/>
      <c r="V8049" s="100"/>
      <c r="Y8049" s="100"/>
    </row>
    <row r="8050">
      <c r="R8050" s="100"/>
      <c r="V8050" s="100"/>
      <c r="Y8050" s="100"/>
    </row>
    <row r="8051">
      <c r="R8051" s="100"/>
      <c r="V8051" s="100"/>
      <c r="Y8051" s="100"/>
    </row>
    <row r="8052">
      <c r="R8052" s="100"/>
      <c r="V8052" s="100"/>
      <c r="Y8052" s="100"/>
    </row>
    <row r="8053">
      <c r="R8053" s="100"/>
      <c r="V8053" s="100"/>
      <c r="Y8053" s="100"/>
    </row>
    <row r="8054">
      <c r="R8054" s="100"/>
      <c r="V8054" s="100"/>
      <c r="Y8054" s="100"/>
    </row>
    <row r="8055">
      <c r="R8055" s="100"/>
      <c r="V8055" s="100"/>
      <c r="Y8055" s="100"/>
    </row>
    <row r="8056">
      <c r="R8056" s="100"/>
      <c r="V8056" s="100"/>
      <c r="Y8056" s="100"/>
    </row>
    <row r="8057">
      <c r="R8057" s="100"/>
      <c r="V8057" s="100"/>
      <c r="Y8057" s="100"/>
    </row>
    <row r="8058">
      <c r="R8058" s="100"/>
      <c r="V8058" s="100"/>
      <c r="Y8058" s="100"/>
    </row>
    <row r="8059">
      <c r="R8059" s="100"/>
      <c r="V8059" s="100"/>
      <c r="Y8059" s="100"/>
    </row>
    <row r="8060">
      <c r="R8060" s="100"/>
      <c r="V8060" s="100"/>
      <c r="Y8060" s="100"/>
    </row>
    <row r="8061">
      <c r="R8061" s="100"/>
      <c r="V8061" s="100"/>
      <c r="Y8061" s="100"/>
    </row>
    <row r="8062">
      <c r="R8062" s="100"/>
      <c r="V8062" s="100"/>
      <c r="Y8062" s="100"/>
    </row>
    <row r="8063">
      <c r="R8063" s="100"/>
      <c r="V8063" s="100"/>
      <c r="Y8063" s="100"/>
    </row>
    <row r="8064">
      <c r="R8064" s="100"/>
      <c r="V8064" s="100"/>
      <c r="Y8064" s="100"/>
    </row>
    <row r="8065">
      <c r="R8065" s="100"/>
      <c r="V8065" s="100"/>
      <c r="Y8065" s="100"/>
    </row>
    <row r="8066">
      <c r="R8066" s="100"/>
      <c r="V8066" s="100"/>
      <c r="Y8066" s="100"/>
    </row>
    <row r="8067">
      <c r="R8067" s="100"/>
      <c r="V8067" s="100"/>
      <c r="Y8067" s="100"/>
    </row>
    <row r="8068">
      <c r="R8068" s="100"/>
      <c r="V8068" s="100"/>
      <c r="Y8068" s="100"/>
    </row>
    <row r="8069">
      <c r="R8069" s="100"/>
      <c r="V8069" s="100"/>
      <c r="Y8069" s="100"/>
    </row>
    <row r="8070">
      <c r="R8070" s="100"/>
      <c r="V8070" s="100"/>
      <c r="Y8070" s="100"/>
    </row>
    <row r="8071">
      <c r="R8071" s="100"/>
      <c r="V8071" s="100"/>
      <c r="Y8071" s="100"/>
    </row>
    <row r="8072">
      <c r="R8072" s="100"/>
      <c r="V8072" s="100"/>
      <c r="Y8072" s="100"/>
    </row>
    <row r="8073">
      <c r="R8073" s="100"/>
      <c r="V8073" s="100"/>
      <c r="Y8073" s="100"/>
    </row>
    <row r="8074">
      <c r="R8074" s="100"/>
      <c r="V8074" s="100"/>
      <c r="Y8074" s="100"/>
    </row>
    <row r="8075">
      <c r="R8075" s="100"/>
      <c r="V8075" s="100"/>
      <c r="Y8075" s="100"/>
    </row>
    <row r="8076">
      <c r="R8076" s="100"/>
      <c r="V8076" s="100"/>
      <c r="Y8076" s="100"/>
    </row>
    <row r="8077">
      <c r="R8077" s="100"/>
      <c r="V8077" s="100"/>
      <c r="Y8077" s="100"/>
    </row>
    <row r="8078">
      <c r="R8078" s="100"/>
      <c r="V8078" s="100"/>
      <c r="Y8078" s="100"/>
    </row>
    <row r="8079">
      <c r="R8079" s="100"/>
      <c r="V8079" s="100"/>
      <c r="Y8079" s="100"/>
    </row>
    <row r="8080">
      <c r="R8080" s="100"/>
      <c r="V8080" s="100"/>
      <c r="Y8080" s="100"/>
    </row>
    <row r="8081">
      <c r="R8081" s="100"/>
      <c r="V8081" s="100"/>
      <c r="Y8081" s="100"/>
    </row>
    <row r="8082">
      <c r="R8082" s="100"/>
      <c r="V8082" s="100"/>
      <c r="Y8082" s="100"/>
    </row>
    <row r="8083">
      <c r="R8083" s="100"/>
      <c r="V8083" s="100"/>
      <c r="Y8083" s="100"/>
    </row>
    <row r="8084">
      <c r="R8084" s="100"/>
      <c r="V8084" s="100"/>
      <c r="Y8084" s="100"/>
    </row>
    <row r="8085">
      <c r="R8085" s="100"/>
      <c r="V8085" s="100"/>
      <c r="Y8085" s="100"/>
    </row>
    <row r="8086">
      <c r="R8086" s="100"/>
      <c r="V8086" s="100"/>
      <c r="Y8086" s="100"/>
    </row>
    <row r="8087">
      <c r="R8087" s="100"/>
      <c r="V8087" s="100"/>
      <c r="Y8087" s="100"/>
    </row>
    <row r="8088">
      <c r="R8088" s="100"/>
      <c r="V8088" s="100"/>
      <c r="Y8088" s="100"/>
    </row>
    <row r="8089">
      <c r="R8089" s="100"/>
      <c r="V8089" s="100"/>
      <c r="Y8089" s="100"/>
    </row>
    <row r="8090">
      <c r="R8090" s="100"/>
      <c r="V8090" s="100"/>
      <c r="Y8090" s="100"/>
    </row>
    <row r="8091">
      <c r="R8091" s="100"/>
      <c r="V8091" s="100"/>
      <c r="Y8091" s="100"/>
    </row>
    <row r="8092">
      <c r="R8092" s="100"/>
      <c r="V8092" s="100"/>
      <c r="Y8092" s="100"/>
    </row>
    <row r="8093">
      <c r="R8093" s="100"/>
      <c r="V8093" s="100"/>
      <c r="Y8093" s="100"/>
    </row>
    <row r="8094">
      <c r="R8094" s="100"/>
      <c r="V8094" s="100"/>
      <c r="Y8094" s="100"/>
    </row>
    <row r="8095">
      <c r="R8095" s="100"/>
      <c r="V8095" s="100"/>
      <c r="Y8095" s="100"/>
    </row>
    <row r="8096">
      <c r="R8096" s="100"/>
      <c r="V8096" s="100"/>
      <c r="Y8096" s="100"/>
    </row>
    <row r="8097">
      <c r="R8097" s="100"/>
      <c r="V8097" s="100"/>
      <c r="Y8097" s="100"/>
    </row>
    <row r="8098">
      <c r="R8098" s="100"/>
      <c r="V8098" s="100"/>
      <c r="Y8098" s="100"/>
    </row>
    <row r="8099">
      <c r="R8099" s="100"/>
      <c r="V8099" s="100"/>
      <c r="Y8099" s="100"/>
    </row>
    <row r="8100">
      <c r="R8100" s="100"/>
      <c r="V8100" s="100"/>
      <c r="Y8100" s="100"/>
    </row>
    <row r="8101">
      <c r="R8101" s="100"/>
      <c r="V8101" s="100"/>
      <c r="Y8101" s="100"/>
    </row>
    <row r="8102">
      <c r="R8102" s="100"/>
      <c r="V8102" s="100"/>
      <c r="Y8102" s="100"/>
    </row>
    <row r="8103">
      <c r="R8103" s="100"/>
      <c r="V8103" s="100"/>
      <c r="Y8103" s="100"/>
    </row>
    <row r="8104">
      <c r="R8104" s="100"/>
      <c r="V8104" s="100"/>
      <c r="Y8104" s="100"/>
    </row>
    <row r="8105">
      <c r="R8105" s="100"/>
      <c r="V8105" s="100"/>
      <c r="Y8105" s="100"/>
    </row>
    <row r="8106">
      <c r="R8106" s="100"/>
      <c r="V8106" s="100"/>
      <c r="Y8106" s="100"/>
    </row>
    <row r="8107">
      <c r="R8107" s="100"/>
      <c r="V8107" s="100"/>
      <c r="Y8107" s="100"/>
    </row>
    <row r="8108">
      <c r="R8108" s="100"/>
      <c r="V8108" s="100"/>
      <c r="Y8108" s="100"/>
    </row>
    <row r="8109">
      <c r="R8109" s="100"/>
      <c r="V8109" s="100"/>
      <c r="Y8109" s="100"/>
    </row>
    <row r="8110">
      <c r="R8110" s="100"/>
      <c r="V8110" s="100"/>
      <c r="Y8110" s="100"/>
    </row>
    <row r="8111">
      <c r="R8111" s="100"/>
      <c r="V8111" s="100"/>
      <c r="Y8111" s="100"/>
    </row>
    <row r="8112">
      <c r="R8112" s="100"/>
      <c r="V8112" s="100"/>
      <c r="Y8112" s="100"/>
    </row>
    <row r="8113">
      <c r="R8113" s="100"/>
      <c r="V8113" s="100"/>
      <c r="Y8113" s="100"/>
    </row>
    <row r="8114">
      <c r="R8114" s="100"/>
      <c r="V8114" s="100"/>
      <c r="Y8114" s="100"/>
    </row>
    <row r="8115">
      <c r="R8115" s="100"/>
      <c r="V8115" s="100"/>
      <c r="Y8115" s="100"/>
    </row>
    <row r="8116">
      <c r="R8116" s="100"/>
      <c r="V8116" s="100"/>
      <c r="Y8116" s="100"/>
    </row>
    <row r="8117">
      <c r="R8117" s="100"/>
      <c r="V8117" s="100"/>
      <c r="Y8117" s="100"/>
    </row>
    <row r="8118">
      <c r="R8118" s="100"/>
      <c r="V8118" s="100"/>
      <c r="Y8118" s="100"/>
    </row>
    <row r="8119">
      <c r="R8119" s="100"/>
      <c r="V8119" s="100"/>
      <c r="Y8119" s="100"/>
    </row>
    <row r="8120">
      <c r="R8120" s="100"/>
      <c r="V8120" s="100"/>
      <c r="Y8120" s="100"/>
    </row>
    <row r="8121">
      <c r="R8121" s="100"/>
      <c r="V8121" s="100"/>
      <c r="Y8121" s="100"/>
    </row>
    <row r="8122">
      <c r="R8122" s="100"/>
      <c r="V8122" s="100"/>
      <c r="Y8122" s="100"/>
    </row>
    <row r="8123">
      <c r="R8123" s="100"/>
      <c r="V8123" s="100"/>
      <c r="Y8123" s="100"/>
    </row>
    <row r="8124">
      <c r="R8124" s="100"/>
      <c r="V8124" s="100"/>
      <c r="Y8124" s="100"/>
    </row>
    <row r="8125">
      <c r="R8125" s="100"/>
      <c r="V8125" s="100"/>
      <c r="Y8125" s="100"/>
    </row>
    <row r="8126">
      <c r="R8126" s="100"/>
      <c r="V8126" s="100"/>
      <c r="Y8126" s="100"/>
    </row>
    <row r="8127">
      <c r="R8127" s="100"/>
      <c r="V8127" s="100"/>
      <c r="Y8127" s="100"/>
    </row>
    <row r="8128">
      <c r="R8128" s="100"/>
      <c r="V8128" s="100"/>
      <c r="Y8128" s="100"/>
    </row>
    <row r="8129">
      <c r="R8129" s="100"/>
      <c r="V8129" s="100"/>
      <c r="Y8129" s="100"/>
    </row>
    <row r="8130">
      <c r="R8130" s="100"/>
      <c r="V8130" s="100"/>
      <c r="Y8130" s="100"/>
    </row>
    <row r="8131">
      <c r="R8131" s="100"/>
      <c r="V8131" s="100"/>
      <c r="Y8131" s="100"/>
    </row>
    <row r="8132">
      <c r="R8132" s="100"/>
      <c r="V8132" s="100"/>
      <c r="Y8132" s="100"/>
    </row>
    <row r="8133">
      <c r="R8133" s="100"/>
      <c r="V8133" s="100"/>
      <c r="Y8133" s="100"/>
    </row>
    <row r="8134">
      <c r="R8134" s="100"/>
      <c r="V8134" s="100"/>
      <c r="Y8134" s="100"/>
    </row>
    <row r="8135">
      <c r="R8135" s="100"/>
      <c r="V8135" s="100"/>
      <c r="Y8135" s="100"/>
    </row>
    <row r="8136">
      <c r="R8136" s="100"/>
      <c r="V8136" s="100"/>
      <c r="Y8136" s="100"/>
    </row>
    <row r="8137">
      <c r="R8137" s="100"/>
      <c r="V8137" s="100"/>
      <c r="Y8137" s="100"/>
    </row>
    <row r="8138">
      <c r="R8138" s="100"/>
      <c r="V8138" s="100"/>
      <c r="Y8138" s="100"/>
    </row>
    <row r="8139">
      <c r="R8139" s="100"/>
      <c r="V8139" s="100"/>
      <c r="Y8139" s="100"/>
    </row>
    <row r="8140">
      <c r="R8140" s="100"/>
      <c r="V8140" s="100"/>
      <c r="Y8140" s="100"/>
    </row>
    <row r="8141">
      <c r="R8141" s="100"/>
      <c r="V8141" s="100"/>
      <c r="Y8141" s="100"/>
    </row>
    <row r="8142">
      <c r="R8142" s="100"/>
      <c r="V8142" s="100"/>
      <c r="Y8142" s="100"/>
    </row>
    <row r="8143">
      <c r="R8143" s="100"/>
      <c r="V8143" s="100"/>
      <c r="Y8143" s="100"/>
    </row>
    <row r="8144">
      <c r="R8144" s="100"/>
      <c r="V8144" s="100"/>
      <c r="Y8144" s="100"/>
    </row>
    <row r="8145">
      <c r="R8145" s="100"/>
      <c r="V8145" s="100"/>
      <c r="Y8145" s="100"/>
    </row>
    <row r="8146">
      <c r="R8146" s="100"/>
      <c r="V8146" s="100"/>
      <c r="Y8146" s="100"/>
    </row>
    <row r="8147">
      <c r="R8147" s="100"/>
      <c r="V8147" s="100"/>
      <c r="Y8147" s="100"/>
    </row>
    <row r="8148">
      <c r="R8148" s="100"/>
      <c r="V8148" s="100"/>
      <c r="Y8148" s="100"/>
    </row>
    <row r="8149">
      <c r="R8149" s="100"/>
      <c r="V8149" s="100"/>
      <c r="Y8149" s="100"/>
    </row>
    <row r="8150">
      <c r="R8150" s="100"/>
      <c r="V8150" s="100"/>
      <c r="Y8150" s="100"/>
    </row>
    <row r="8151">
      <c r="R8151" s="100"/>
      <c r="V8151" s="100"/>
      <c r="Y8151" s="100"/>
    </row>
    <row r="8152">
      <c r="R8152" s="100"/>
      <c r="V8152" s="100"/>
      <c r="Y8152" s="100"/>
    </row>
    <row r="8153">
      <c r="R8153" s="100"/>
      <c r="V8153" s="100"/>
      <c r="Y8153" s="100"/>
    </row>
    <row r="8154">
      <c r="R8154" s="100"/>
      <c r="V8154" s="100"/>
      <c r="Y8154" s="100"/>
    </row>
    <row r="8155">
      <c r="R8155" s="100"/>
      <c r="V8155" s="100"/>
      <c r="Y8155" s="100"/>
    </row>
    <row r="8156">
      <c r="R8156" s="100"/>
      <c r="V8156" s="100"/>
      <c r="Y8156" s="100"/>
    </row>
    <row r="8157">
      <c r="R8157" s="100"/>
      <c r="V8157" s="100"/>
      <c r="Y8157" s="100"/>
    </row>
    <row r="8158">
      <c r="R8158" s="100"/>
      <c r="V8158" s="100"/>
      <c r="Y8158" s="100"/>
    </row>
    <row r="8159">
      <c r="R8159" s="100"/>
      <c r="V8159" s="100"/>
      <c r="Y8159" s="100"/>
    </row>
    <row r="8160">
      <c r="R8160" s="100"/>
      <c r="V8160" s="100"/>
      <c r="Y8160" s="100"/>
    </row>
    <row r="8161">
      <c r="R8161" s="100"/>
      <c r="V8161" s="100"/>
      <c r="Y8161" s="100"/>
    </row>
    <row r="8162">
      <c r="R8162" s="100"/>
      <c r="V8162" s="100"/>
      <c r="Y8162" s="100"/>
    </row>
    <row r="8163">
      <c r="R8163" s="100"/>
      <c r="V8163" s="100"/>
      <c r="Y8163" s="100"/>
    </row>
    <row r="8164">
      <c r="R8164" s="100"/>
      <c r="V8164" s="100"/>
      <c r="Y8164" s="100"/>
    </row>
    <row r="8165">
      <c r="R8165" s="100"/>
      <c r="V8165" s="100"/>
      <c r="Y8165" s="100"/>
    </row>
    <row r="8166">
      <c r="R8166" s="100"/>
      <c r="V8166" s="100"/>
      <c r="Y8166" s="100"/>
    </row>
    <row r="8167">
      <c r="R8167" s="100"/>
      <c r="V8167" s="100"/>
      <c r="Y8167" s="100"/>
    </row>
    <row r="8168">
      <c r="R8168" s="100"/>
      <c r="V8168" s="100"/>
      <c r="Y8168" s="100"/>
    </row>
    <row r="8169">
      <c r="R8169" s="100"/>
      <c r="V8169" s="100"/>
      <c r="Y8169" s="100"/>
    </row>
    <row r="8170">
      <c r="R8170" s="100"/>
      <c r="V8170" s="100"/>
      <c r="Y8170" s="100"/>
    </row>
    <row r="8171">
      <c r="R8171" s="100"/>
      <c r="V8171" s="100"/>
      <c r="Y8171" s="100"/>
    </row>
    <row r="8172">
      <c r="R8172" s="100"/>
      <c r="V8172" s="100"/>
      <c r="Y8172" s="100"/>
    </row>
    <row r="8173">
      <c r="R8173" s="100"/>
      <c r="V8173" s="100"/>
      <c r="Y8173" s="100"/>
    </row>
    <row r="8174">
      <c r="R8174" s="100"/>
      <c r="V8174" s="100"/>
      <c r="Y8174" s="100"/>
    </row>
    <row r="8175">
      <c r="R8175" s="100"/>
      <c r="V8175" s="100"/>
      <c r="Y8175" s="100"/>
    </row>
    <row r="8176">
      <c r="R8176" s="100"/>
      <c r="V8176" s="100"/>
      <c r="Y8176" s="100"/>
    </row>
    <row r="8177">
      <c r="R8177" s="100"/>
      <c r="V8177" s="100"/>
      <c r="Y8177" s="100"/>
    </row>
    <row r="8178">
      <c r="R8178" s="100"/>
      <c r="V8178" s="100"/>
      <c r="Y8178" s="100"/>
    </row>
    <row r="8179">
      <c r="R8179" s="100"/>
      <c r="V8179" s="100"/>
      <c r="Y8179" s="100"/>
    </row>
    <row r="8180">
      <c r="R8180" s="100"/>
      <c r="V8180" s="100"/>
      <c r="Y8180" s="100"/>
    </row>
    <row r="8181">
      <c r="R8181" s="100"/>
      <c r="V8181" s="100"/>
      <c r="Y8181" s="100"/>
    </row>
    <row r="8182">
      <c r="R8182" s="100"/>
      <c r="V8182" s="100"/>
      <c r="Y8182" s="100"/>
    </row>
    <row r="8183">
      <c r="R8183" s="100"/>
      <c r="V8183" s="100"/>
      <c r="Y8183" s="100"/>
    </row>
    <row r="8184">
      <c r="R8184" s="100"/>
      <c r="V8184" s="100"/>
      <c r="Y8184" s="100"/>
    </row>
    <row r="8185">
      <c r="R8185" s="100"/>
      <c r="V8185" s="100"/>
      <c r="Y8185" s="100"/>
    </row>
    <row r="8186">
      <c r="R8186" s="100"/>
      <c r="V8186" s="100"/>
      <c r="Y8186" s="100"/>
    </row>
    <row r="8187">
      <c r="R8187" s="100"/>
      <c r="V8187" s="100"/>
      <c r="Y8187" s="100"/>
    </row>
    <row r="8188">
      <c r="R8188" s="100"/>
      <c r="V8188" s="100"/>
      <c r="Y8188" s="100"/>
    </row>
    <row r="8189">
      <c r="R8189" s="100"/>
      <c r="V8189" s="100"/>
      <c r="Y8189" s="100"/>
    </row>
    <row r="8190">
      <c r="R8190" s="100"/>
      <c r="V8190" s="100"/>
      <c r="Y8190" s="100"/>
    </row>
    <row r="8191">
      <c r="R8191" s="100"/>
      <c r="V8191" s="100"/>
      <c r="Y8191" s="100"/>
    </row>
    <row r="8192">
      <c r="R8192" s="100"/>
      <c r="V8192" s="100"/>
      <c r="Y8192" s="100"/>
    </row>
    <row r="8193">
      <c r="R8193" s="100"/>
      <c r="V8193" s="100"/>
      <c r="Y8193" s="100"/>
    </row>
    <row r="8194">
      <c r="R8194" s="100"/>
      <c r="V8194" s="100"/>
      <c r="Y8194" s="100"/>
    </row>
    <row r="8195">
      <c r="R8195" s="100"/>
      <c r="V8195" s="100"/>
      <c r="Y8195" s="100"/>
    </row>
    <row r="8196">
      <c r="R8196" s="100"/>
      <c r="V8196" s="100"/>
      <c r="Y8196" s="100"/>
    </row>
    <row r="8197">
      <c r="R8197" s="100"/>
      <c r="V8197" s="100"/>
      <c r="Y8197" s="100"/>
    </row>
    <row r="8198">
      <c r="R8198" s="100"/>
      <c r="V8198" s="100"/>
      <c r="Y8198" s="100"/>
    </row>
    <row r="8199">
      <c r="R8199" s="100"/>
      <c r="V8199" s="100"/>
      <c r="Y8199" s="100"/>
    </row>
    <row r="8200">
      <c r="R8200" s="100"/>
      <c r="V8200" s="100"/>
      <c r="Y8200" s="100"/>
    </row>
    <row r="8201">
      <c r="R8201" s="100"/>
      <c r="V8201" s="100"/>
      <c r="Y8201" s="100"/>
    </row>
    <row r="8202">
      <c r="R8202" s="100"/>
      <c r="V8202" s="100"/>
      <c r="Y8202" s="100"/>
    </row>
    <row r="8203">
      <c r="R8203" s="100"/>
      <c r="V8203" s="100"/>
      <c r="Y8203" s="100"/>
    </row>
    <row r="8204">
      <c r="R8204" s="100"/>
      <c r="V8204" s="100"/>
      <c r="Y8204" s="100"/>
    </row>
    <row r="8205">
      <c r="R8205" s="100"/>
      <c r="V8205" s="100"/>
      <c r="Y8205" s="100"/>
    </row>
    <row r="8206">
      <c r="R8206" s="100"/>
      <c r="V8206" s="100"/>
      <c r="Y8206" s="100"/>
    </row>
    <row r="8207">
      <c r="R8207" s="100"/>
      <c r="V8207" s="100"/>
      <c r="Y8207" s="100"/>
    </row>
    <row r="8208">
      <c r="R8208" s="100"/>
      <c r="V8208" s="100"/>
      <c r="Y8208" s="100"/>
    </row>
    <row r="8209">
      <c r="R8209" s="100"/>
      <c r="V8209" s="100"/>
      <c r="Y8209" s="100"/>
    </row>
    <row r="8210">
      <c r="R8210" s="100"/>
      <c r="V8210" s="100"/>
      <c r="Y8210" s="100"/>
    </row>
    <row r="8211">
      <c r="R8211" s="100"/>
      <c r="V8211" s="100"/>
      <c r="Y8211" s="100"/>
    </row>
    <row r="8212">
      <c r="R8212" s="100"/>
      <c r="V8212" s="100"/>
      <c r="Y8212" s="100"/>
    </row>
    <row r="8213">
      <c r="R8213" s="100"/>
      <c r="V8213" s="100"/>
      <c r="Y8213" s="100"/>
    </row>
    <row r="8214">
      <c r="R8214" s="100"/>
      <c r="V8214" s="100"/>
      <c r="Y8214" s="100"/>
    </row>
    <row r="8215">
      <c r="R8215" s="100"/>
      <c r="V8215" s="100"/>
      <c r="Y8215" s="100"/>
    </row>
    <row r="8216">
      <c r="R8216" s="100"/>
      <c r="V8216" s="100"/>
      <c r="Y8216" s="100"/>
    </row>
    <row r="8217">
      <c r="R8217" s="100"/>
      <c r="V8217" s="100"/>
      <c r="Y8217" s="100"/>
    </row>
    <row r="8218">
      <c r="R8218" s="100"/>
      <c r="V8218" s="100"/>
      <c r="Y8218" s="100"/>
    </row>
    <row r="8219">
      <c r="R8219" s="100"/>
      <c r="V8219" s="100"/>
      <c r="Y8219" s="100"/>
    </row>
    <row r="8220">
      <c r="R8220" s="100"/>
      <c r="V8220" s="100"/>
      <c r="Y8220" s="100"/>
    </row>
    <row r="8221">
      <c r="R8221" s="100"/>
      <c r="V8221" s="100"/>
      <c r="Y8221" s="100"/>
    </row>
    <row r="8222">
      <c r="R8222" s="100"/>
      <c r="V8222" s="100"/>
      <c r="Y8222" s="100"/>
    </row>
    <row r="8223">
      <c r="R8223" s="100"/>
      <c r="V8223" s="100"/>
      <c r="Y8223" s="100"/>
    </row>
    <row r="8224">
      <c r="R8224" s="100"/>
      <c r="V8224" s="100"/>
      <c r="Y8224" s="100"/>
    </row>
    <row r="8225">
      <c r="R8225" s="100"/>
      <c r="V8225" s="100"/>
      <c r="Y8225" s="100"/>
    </row>
    <row r="8226">
      <c r="R8226" s="100"/>
      <c r="V8226" s="100"/>
      <c r="Y8226" s="100"/>
    </row>
    <row r="8227">
      <c r="R8227" s="100"/>
      <c r="V8227" s="100"/>
      <c r="Y8227" s="100"/>
    </row>
    <row r="8228">
      <c r="R8228" s="100"/>
      <c r="V8228" s="100"/>
      <c r="Y8228" s="100"/>
    </row>
    <row r="8229">
      <c r="R8229" s="100"/>
      <c r="V8229" s="100"/>
      <c r="Y8229" s="100"/>
    </row>
    <row r="8230">
      <c r="R8230" s="100"/>
      <c r="V8230" s="100"/>
      <c r="Y8230" s="100"/>
    </row>
    <row r="8231">
      <c r="R8231" s="100"/>
      <c r="V8231" s="100"/>
      <c r="Y8231" s="100"/>
    </row>
    <row r="8232">
      <c r="R8232" s="100"/>
      <c r="V8232" s="100"/>
      <c r="Y8232" s="100"/>
    </row>
    <row r="8233">
      <c r="R8233" s="100"/>
      <c r="V8233" s="100"/>
      <c r="Y8233" s="100"/>
    </row>
    <row r="8234">
      <c r="R8234" s="100"/>
      <c r="V8234" s="100"/>
      <c r="Y8234" s="100"/>
    </row>
    <row r="8235">
      <c r="R8235" s="100"/>
      <c r="V8235" s="100"/>
      <c r="Y8235" s="100"/>
    </row>
    <row r="8236">
      <c r="R8236" s="100"/>
      <c r="V8236" s="100"/>
      <c r="Y8236" s="100"/>
    </row>
    <row r="8237">
      <c r="R8237" s="100"/>
      <c r="V8237" s="100"/>
      <c r="Y8237" s="100"/>
    </row>
    <row r="8238">
      <c r="R8238" s="100"/>
      <c r="V8238" s="100"/>
      <c r="Y8238" s="100"/>
    </row>
    <row r="8239">
      <c r="R8239" s="100"/>
      <c r="V8239" s="100"/>
      <c r="Y8239" s="100"/>
    </row>
    <row r="8240">
      <c r="R8240" s="100"/>
      <c r="V8240" s="100"/>
      <c r="Y8240" s="100"/>
    </row>
    <row r="8241">
      <c r="R8241" s="100"/>
      <c r="V8241" s="100"/>
      <c r="Y8241" s="100"/>
    </row>
    <row r="8242">
      <c r="R8242" s="100"/>
      <c r="V8242" s="100"/>
      <c r="Y8242" s="100"/>
    </row>
    <row r="8243">
      <c r="R8243" s="100"/>
      <c r="V8243" s="100"/>
      <c r="Y8243" s="100"/>
    </row>
    <row r="8244">
      <c r="R8244" s="100"/>
      <c r="V8244" s="100"/>
      <c r="Y8244" s="100"/>
    </row>
    <row r="8245">
      <c r="R8245" s="100"/>
      <c r="V8245" s="100"/>
      <c r="Y8245" s="100"/>
    </row>
    <row r="8246">
      <c r="R8246" s="100"/>
      <c r="V8246" s="100"/>
      <c r="Y8246" s="100"/>
    </row>
    <row r="8247">
      <c r="R8247" s="100"/>
      <c r="V8247" s="100"/>
      <c r="Y8247" s="100"/>
    </row>
    <row r="8248">
      <c r="R8248" s="100"/>
      <c r="V8248" s="100"/>
      <c r="Y8248" s="100"/>
    </row>
    <row r="8249">
      <c r="R8249" s="100"/>
      <c r="V8249" s="100"/>
      <c r="Y8249" s="100"/>
    </row>
    <row r="8250">
      <c r="R8250" s="100"/>
      <c r="V8250" s="100"/>
      <c r="Y8250" s="100"/>
    </row>
    <row r="8251">
      <c r="R8251" s="100"/>
      <c r="V8251" s="100"/>
      <c r="Y8251" s="100"/>
    </row>
    <row r="8252">
      <c r="R8252" s="100"/>
      <c r="V8252" s="100"/>
      <c r="Y8252" s="100"/>
    </row>
    <row r="8253">
      <c r="R8253" s="100"/>
      <c r="V8253" s="100"/>
      <c r="Y8253" s="100"/>
    </row>
    <row r="8254">
      <c r="R8254" s="100"/>
      <c r="V8254" s="100"/>
      <c r="Y8254" s="100"/>
    </row>
    <row r="8255">
      <c r="R8255" s="100"/>
      <c r="V8255" s="100"/>
      <c r="Y8255" s="100"/>
    </row>
    <row r="8256">
      <c r="R8256" s="100"/>
      <c r="V8256" s="100"/>
      <c r="Y8256" s="100"/>
    </row>
    <row r="8257">
      <c r="R8257" s="100"/>
      <c r="V8257" s="100"/>
      <c r="Y8257" s="100"/>
    </row>
    <row r="8258">
      <c r="R8258" s="100"/>
      <c r="V8258" s="100"/>
      <c r="Y8258" s="100"/>
    </row>
    <row r="8259">
      <c r="R8259" s="100"/>
      <c r="V8259" s="100"/>
      <c r="Y8259" s="100"/>
    </row>
    <row r="8260">
      <c r="R8260" s="100"/>
      <c r="V8260" s="100"/>
      <c r="Y8260" s="100"/>
    </row>
    <row r="8261">
      <c r="R8261" s="100"/>
      <c r="V8261" s="100"/>
      <c r="Y8261" s="100"/>
    </row>
    <row r="8262">
      <c r="R8262" s="100"/>
      <c r="V8262" s="100"/>
      <c r="Y8262" s="100"/>
    </row>
    <row r="8263">
      <c r="R8263" s="100"/>
      <c r="V8263" s="100"/>
      <c r="Y8263" s="100"/>
    </row>
    <row r="8264">
      <c r="R8264" s="100"/>
      <c r="V8264" s="100"/>
      <c r="Y8264" s="100"/>
    </row>
    <row r="8265">
      <c r="R8265" s="100"/>
      <c r="V8265" s="100"/>
      <c r="Y8265" s="100"/>
    </row>
    <row r="8266">
      <c r="R8266" s="100"/>
      <c r="V8266" s="100"/>
      <c r="Y8266" s="100"/>
    </row>
    <row r="8267">
      <c r="R8267" s="100"/>
      <c r="V8267" s="100"/>
      <c r="Y8267" s="100"/>
    </row>
    <row r="8268">
      <c r="R8268" s="100"/>
      <c r="V8268" s="100"/>
      <c r="Y8268" s="100"/>
    </row>
    <row r="8269">
      <c r="R8269" s="100"/>
      <c r="V8269" s="100"/>
      <c r="Y8269" s="100"/>
    </row>
    <row r="8270">
      <c r="R8270" s="100"/>
      <c r="V8270" s="100"/>
      <c r="Y8270" s="100"/>
    </row>
    <row r="8271">
      <c r="R8271" s="100"/>
      <c r="V8271" s="100"/>
      <c r="Y8271" s="100"/>
    </row>
    <row r="8272">
      <c r="R8272" s="100"/>
      <c r="V8272" s="100"/>
      <c r="Y8272" s="100"/>
    </row>
    <row r="8273">
      <c r="R8273" s="100"/>
      <c r="V8273" s="100"/>
      <c r="Y8273" s="100"/>
    </row>
    <row r="8274">
      <c r="R8274" s="100"/>
      <c r="V8274" s="100"/>
      <c r="Y8274" s="100"/>
    </row>
    <row r="8275">
      <c r="R8275" s="100"/>
      <c r="V8275" s="100"/>
      <c r="Y8275" s="100"/>
    </row>
    <row r="8276">
      <c r="R8276" s="100"/>
      <c r="V8276" s="100"/>
      <c r="Y8276" s="100"/>
    </row>
    <row r="8277">
      <c r="R8277" s="100"/>
      <c r="V8277" s="100"/>
      <c r="Y8277" s="100"/>
    </row>
    <row r="8278">
      <c r="R8278" s="100"/>
      <c r="V8278" s="100"/>
      <c r="Y8278" s="100"/>
    </row>
    <row r="8279">
      <c r="R8279" s="100"/>
      <c r="V8279" s="100"/>
      <c r="Y8279" s="100"/>
    </row>
    <row r="8280">
      <c r="R8280" s="100"/>
      <c r="V8280" s="100"/>
      <c r="Y8280" s="100"/>
    </row>
    <row r="8281">
      <c r="R8281" s="100"/>
      <c r="V8281" s="100"/>
      <c r="Y8281" s="100"/>
    </row>
    <row r="8282">
      <c r="R8282" s="100"/>
      <c r="V8282" s="100"/>
      <c r="Y8282" s="100"/>
    </row>
    <row r="8283">
      <c r="R8283" s="100"/>
      <c r="V8283" s="100"/>
      <c r="Y8283" s="100"/>
    </row>
    <row r="8284">
      <c r="R8284" s="100"/>
      <c r="V8284" s="100"/>
      <c r="Y8284" s="100"/>
    </row>
    <row r="8285">
      <c r="R8285" s="100"/>
      <c r="V8285" s="100"/>
      <c r="Y8285" s="100"/>
    </row>
    <row r="8286">
      <c r="R8286" s="100"/>
      <c r="V8286" s="100"/>
      <c r="Y8286" s="100"/>
    </row>
    <row r="8287">
      <c r="R8287" s="100"/>
      <c r="V8287" s="100"/>
      <c r="Y8287" s="100"/>
    </row>
    <row r="8288">
      <c r="R8288" s="100"/>
      <c r="V8288" s="100"/>
      <c r="Y8288" s="100"/>
    </row>
    <row r="8289">
      <c r="R8289" s="100"/>
      <c r="V8289" s="100"/>
      <c r="Y8289" s="100"/>
    </row>
    <row r="8290">
      <c r="R8290" s="100"/>
      <c r="V8290" s="100"/>
      <c r="Y8290" s="100"/>
    </row>
    <row r="8291">
      <c r="R8291" s="100"/>
      <c r="V8291" s="100"/>
      <c r="Y8291" s="100"/>
    </row>
    <row r="8292">
      <c r="R8292" s="100"/>
      <c r="V8292" s="100"/>
      <c r="Y8292" s="100"/>
    </row>
    <row r="8293">
      <c r="R8293" s="100"/>
      <c r="V8293" s="100"/>
      <c r="Y8293" s="100"/>
    </row>
    <row r="8294">
      <c r="R8294" s="100"/>
      <c r="V8294" s="100"/>
      <c r="Y8294" s="100"/>
    </row>
    <row r="8295">
      <c r="R8295" s="100"/>
      <c r="V8295" s="100"/>
      <c r="Y8295" s="100"/>
    </row>
    <row r="8296">
      <c r="R8296" s="100"/>
      <c r="V8296" s="100"/>
      <c r="Y8296" s="100"/>
    </row>
    <row r="8297">
      <c r="R8297" s="100"/>
      <c r="V8297" s="100"/>
      <c r="Y8297" s="100"/>
    </row>
    <row r="8298">
      <c r="R8298" s="100"/>
      <c r="V8298" s="100"/>
      <c r="Y8298" s="100"/>
    </row>
    <row r="8299">
      <c r="R8299" s="100"/>
      <c r="V8299" s="100"/>
      <c r="Y8299" s="100"/>
    </row>
    <row r="8300">
      <c r="R8300" s="100"/>
      <c r="V8300" s="100"/>
      <c r="Y8300" s="100"/>
    </row>
    <row r="8301">
      <c r="R8301" s="100"/>
      <c r="V8301" s="100"/>
      <c r="Y8301" s="100"/>
    </row>
    <row r="8302">
      <c r="R8302" s="100"/>
      <c r="V8302" s="100"/>
      <c r="Y8302" s="100"/>
    </row>
    <row r="8303">
      <c r="R8303" s="100"/>
      <c r="V8303" s="100"/>
      <c r="Y8303" s="100"/>
    </row>
    <row r="8304">
      <c r="R8304" s="100"/>
      <c r="V8304" s="100"/>
      <c r="Y8304" s="100"/>
    </row>
    <row r="8305">
      <c r="R8305" s="100"/>
      <c r="V8305" s="100"/>
      <c r="Y8305" s="100"/>
    </row>
    <row r="8306">
      <c r="R8306" s="100"/>
      <c r="V8306" s="100"/>
      <c r="Y8306" s="100"/>
    </row>
    <row r="8307">
      <c r="R8307" s="100"/>
      <c r="V8307" s="100"/>
      <c r="Y8307" s="100"/>
    </row>
    <row r="8308">
      <c r="R8308" s="100"/>
      <c r="V8308" s="100"/>
      <c r="Y8308" s="100"/>
    </row>
    <row r="8309">
      <c r="R8309" s="100"/>
      <c r="V8309" s="100"/>
      <c r="Y8309" s="100"/>
    </row>
    <row r="8310">
      <c r="R8310" s="100"/>
      <c r="V8310" s="100"/>
      <c r="Y8310" s="100"/>
    </row>
    <row r="8311">
      <c r="R8311" s="100"/>
      <c r="V8311" s="100"/>
      <c r="Y8311" s="100"/>
    </row>
    <row r="8312">
      <c r="R8312" s="100"/>
      <c r="V8312" s="100"/>
      <c r="Y8312" s="100"/>
    </row>
    <row r="8313">
      <c r="R8313" s="100"/>
      <c r="V8313" s="100"/>
      <c r="Y8313" s="100"/>
    </row>
    <row r="8314">
      <c r="R8314" s="100"/>
      <c r="V8314" s="100"/>
      <c r="Y8314" s="100"/>
    </row>
    <row r="8315">
      <c r="R8315" s="100"/>
      <c r="V8315" s="100"/>
      <c r="Y8315" s="100"/>
    </row>
    <row r="8316">
      <c r="R8316" s="100"/>
      <c r="V8316" s="100"/>
      <c r="Y8316" s="100"/>
    </row>
    <row r="8317">
      <c r="R8317" s="100"/>
      <c r="V8317" s="100"/>
      <c r="Y8317" s="100"/>
    </row>
    <row r="8318">
      <c r="R8318" s="100"/>
      <c r="V8318" s="100"/>
      <c r="Y8318" s="100"/>
    </row>
    <row r="8319">
      <c r="R8319" s="100"/>
      <c r="V8319" s="100"/>
      <c r="Y8319" s="100"/>
    </row>
    <row r="8320">
      <c r="R8320" s="100"/>
      <c r="V8320" s="100"/>
      <c r="Y8320" s="100"/>
    </row>
    <row r="8321">
      <c r="R8321" s="100"/>
      <c r="V8321" s="100"/>
      <c r="Y8321" s="100"/>
    </row>
    <row r="8322">
      <c r="R8322" s="100"/>
      <c r="V8322" s="100"/>
      <c r="Y8322" s="100"/>
    </row>
    <row r="8323">
      <c r="R8323" s="100"/>
      <c r="V8323" s="100"/>
      <c r="Y8323" s="100"/>
    </row>
    <row r="8324">
      <c r="R8324" s="100"/>
      <c r="V8324" s="100"/>
      <c r="Y8324" s="100"/>
    </row>
    <row r="8325">
      <c r="R8325" s="100"/>
      <c r="V8325" s="100"/>
      <c r="Y8325" s="100"/>
    </row>
    <row r="8326">
      <c r="R8326" s="100"/>
      <c r="V8326" s="100"/>
      <c r="Y8326" s="100"/>
    </row>
    <row r="8327">
      <c r="R8327" s="100"/>
      <c r="V8327" s="100"/>
      <c r="Y8327" s="100"/>
    </row>
    <row r="8328">
      <c r="R8328" s="100"/>
      <c r="V8328" s="100"/>
      <c r="Y8328" s="100"/>
    </row>
    <row r="8329">
      <c r="R8329" s="100"/>
      <c r="V8329" s="100"/>
      <c r="Y8329" s="100"/>
    </row>
    <row r="8330">
      <c r="R8330" s="100"/>
      <c r="V8330" s="100"/>
      <c r="Y8330" s="100"/>
    </row>
    <row r="8331">
      <c r="R8331" s="100"/>
      <c r="V8331" s="100"/>
      <c r="Y8331" s="100"/>
    </row>
    <row r="8332">
      <c r="R8332" s="100"/>
      <c r="V8332" s="100"/>
      <c r="Y8332" s="100"/>
    </row>
    <row r="8333">
      <c r="R8333" s="100"/>
      <c r="V8333" s="100"/>
      <c r="Y8333" s="100"/>
    </row>
    <row r="8334">
      <c r="R8334" s="100"/>
      <c r="V8334" s="100"/>
      <c r="Y8334" s="100"/>
    </row>
    <row r="8335">
      <c r="R8335" s="100"/>
      <c r="V8335" s="100"/>
      <c r="Y8335" s="100"/>
    </row>
    <row r="8336">
      <c r="R8336" s="100"/>
      <c r="V8336" s="100"/>
      <c r="Y8336" s="100"/>
    </row>
    <row r="8337">
      <c r="R8337" s="100"/>
      <c r="V8337" s="100"/>
      <c r="Y8337" s="100"/>
    </row>
    <row r="8338">
      <c r="R8338" s="100"/>
      <c r="V8338" s="100"/>
      <c r="Y8338" s="100"/>
    </row>
    <row r="8339">
      <c r="R8339" s="100"/>
      <c r="V8339" s="100"/>
      <c r="Y8339" s="100"/>
    </row>
    <row r="8340">
      <c r="R8340" s="100"/>
      <c r="V8340" s="100"/>
      <c r="Y8340" s="100"/>
    </row>
    <row r="8341">
      <c r="R8341" s="100"/>
      <c r="V8341" s="100"/>
      <c r="Y8341" s="100"/>
    </row>
    <row r="8342">
      <c r="R8342" s="100"/>
      <c r="V8342" s="100"/>
      <c r="Y8342" s="100"/>
    </row>
    <row r="8343">
      <c r="R8343" s="100"/>
      <c r="V8343" s="100"/>
      <c r="Y8343" s="100"/>
    </row>
    <row r="8344">
      <c r="R8344" s="100"/>
      <c r="V8344" s="100"/>
      <c r="Y8344" s="100"/>
    </row>
    <row r="8345">
      <c r="R8345" s="100"/>
      <c r="V8345" s="100"/>
      <c r="Y8345" s="100"/>
    </row>
    <row r="8346">
      <c r="R8346" s="100"/>
      <c r="V8346" s="100"/>
      <c r="Y8346" s="100"/>
    </row>
    <row r="8347">
      <c r="R8347" s="100"/>
      <c r="V8347" s="100"/>
      <c r="Y8347" s="100"/>
    </row>
    <row r="8348">
      <c r="R8348" s="100"/>
      <c r="V8348" s="100"/>
      <c r="Y8348" s="100"/>
    </row>
    <row r="8349">
      <c r="R8349" s="100"/>
      <c r="V8349" s="100"/>
      <c r="Y8349" s="100"/>
    </row>
    <row r="8350">
      <c r="R8350" s="100"/>
      <c r="V8350" s="100"/>
      <c r="Y8350" s="100"/>
    </row>
    <row r="8351">
      <c r="R8351" s="100"/>
      <c r="V8351" s="100"/>
      <c r="Y8351" s="100"/>
    </row>
    <row r="8352">
      <c r="R8352" s="100"/>
      <c r="V8352" s="100"/>
      <c r="Y8352" s="100"/>
    </row>
    <row r="8353">
      <c r="R8353" s="100"/>
      <c r="V8353" s="100"/>
      <c r="Y8353" s="100"/>
    </row>
    <row r="8354">
      <c r="R8354" s="100"/>
      <c r="V8354" s="100"/>
      <c r="Y8354" s="100"/>
    </row>
    <row r="8355">
      <c r="R8355" s="100"/>
      <c r="V8355" s="100"/>
      <c r="Y8355" s="100"/>
    </row>
    <row r="8356">
      <c r="R8356" s="100"/>
      <c r="V8356" s="100"/>
      <c r="Y8356" s="100"/>
    </row>
    <row r="8357">
      <c r="R8357" s="100"/>
      <c r="V8357" s="100"/>
      <c r="Y8357" s="100"/>
    </row>
    <row r="8358">
      <c r="R8358" s="100"/>
      <c r="V8358" s="100"/>
      <c r="Y8358" s="100"/>
    </row>
    <row r="8359">
      <c r="R8359" s="100"/>
      <c r="V8359" s="100"/>
      <c r="Y8359" s="100"/>
    </row>
    <row r="8360">
      <c r="R8360" s="100"/>
      <c r="V8360" s="100"/>
      <c r="Y8360" s="100"/>
    </row>
    <row r="8361">
      <c r="R8361" s="100"/>
      <c r="V8361" s="100"/>
      <c r="Y8361" s="100"/>
    </row>
    <row r="8362">
      <c r="R8362" s="100"/>
      <c r="V8362" s="100"/>
      <c r="Y8362" s="100"/>
    </row>
    <row r="8363">
      <c r="R8363" s="100"/>
      <c r="V8363" s="100"/>
      <c r="Y8363" s="100"/>
    </row>
    <row r="8364">
      <c r="R8364" s="100"/>
      <c r="V8364" s="100"/>
      <c r="Y8364" s="100"/>
    </row>
    <row r="8365">
      <c r="R8365" s="100"/>
      <c r="V8365" s="100"/>
      <c r="Y8365" s="100"/>
    </row>
    <row r="8366">
      <c r="R8366" s="100"/>
      <c r="V8366" s="100"/>
      <c r="Y8366" s="100"/>
    </row>
    <row r="8367">
      <c r="R8367" s="100"/>
      <c r="V8367" s="100"/>
      <c r="Y8367" s="100"/>
    </row>
    <row r="8368">
      <c r="R8368" s="100"/>
      <c r="V8368" s="100"/>
      <c r="Y8368" s="100"/>
    </row>
    <row r="8369">
      <c r="R8369" s="100"/>
      <c r="V8369" s="100"/>
      <c r="Y8369" s="100"/>
    </row>
    <row r="8370">
      <c r="R8370" s="100"/>
      <c r="V8370" s="100"/>
      <c r="Y8370" s="100"/>
    </row>
    <row r="8371">
      <c r="R8371" s="100"/>
      <c r="V8371" s="100"/>
      <c r="Y8371" s="100"/>
    </row>
    <row r="8372">
      <c r="R8372" s="100"/>
      <c r="V8372" s="100"/>
      <c r="Y8372" s="100"/>
    </row>
    <row r="8373">
      <c r="R8373" s="100"/>
      <c r="V8373" s="100"/>
      <c r="Y8373" s="100"/>
    </row>
    <row r="8374">
      <c r="R8374" s="100"/>
      <c r="V8374" s="100"/>
      <c r="Y8374" s="100"/>
    </row>
    <row r="8375">
      <c r="R8375" s="100"/>
      <c r="V8375" s="100"/>
      <c r="Y8375" s="100"/>
    </row>
    <row r="8376">
      <c r="R8376" s="100"/>
      <c r="V8376" s="100"/>
      <c r="Y8376" s="100"/>
    </row>
    <row r="8377">
      <c r="R8377" s="100"/>
      <c r="V8377" s="100"/>
      <c r="Y8377" s="100"/>
    </row>
    <row r="8378">
      <c r="R8378" s="100"/>
      <c r="V8378" s="100"/>
      <c r="Y8378" s="100"/>
    </row>
    <row r="8379">
      <c r="R8379" s="100"/>
      <c r="V8379" s="100"/>
      <c r="Y8379" s="100"/>
    </row>
    <row r="8380">
      <c r="R8380" s="100"/>
      <c r="V8380" s="100"/>
      <c r="Y8380" s="100"/>
    </row>
    <row r="8381">
      <c r="R8381" s="100"/>
      <c r="V8381" s="100"/>
      <c r="Y8381" s="100"/>
    </row>
    <row r="8382">
      <c r="R8382" s="100"/>
      <c r="V8382" s="100"/>
      <c r="Y8382" s="100"/>
    </row>
    <row r="8383">
      <c r="R8383" s="100"/>
      <c r="V8383" s="100"/>
      <c r="Y8383" s="100"/>
    </row>
    <row r="8384">
      <c r="R8384" s="100"/>
      <c r="V8384" s="100"/>
      <c r="Y8384" s="100"/>
    </row>
    <row r="8385">
      <c r="R8385" s="100"/>
      <c r="V8385" s="100"/>
      <c r="Y8385" s="100"/>
    </row>
    <row r="8386">
      <c r="R8386" s="100"/>
      <c r="V8386" s="100"/>
      <c r="Y8386" s="100"/>
    </row>
    <row r="8387">
      <c r="R8387" s="100"/>
      <c r="V8387" s="100"/>
      <c r="Y8387" s="100"/>
    </row>
    <row r="8388">
      <c r="R8388" s="100"/>
      <c r="V8388" s="100"/>
      <c r="Y8388" s="100"/>
    </row>
    <row r="8389">
      <c r="R8389" s="100"/>
      <c r="V8389" s="100"/>
      <c r="Y8389" s="100"/>
    </row>
    <row r="8390">
      <c r="R8390" s="100"/>
      <c r="V8390" s="100"/>
      <c r="Y8390" s="100"/>
    </row>
    <row r="8391">
      <c r="R8391" s="100"/>
      <c r="V8391" s="100"/>
      <c r="Y8391" s="100"/>
    </row>
    <row r="8392">
      <c r="R8392" s="100"/>
      <c r="V8392" s="100"/>
      <c r="Y8392" s="100"/>
    </row>
    <row r="8393">
      <c r="R8393" s="100"/>
      <c r="V8393" s="100"/>
      <c r="Y8393" s="100"/>
    </row>
    <row r="8394">
      <c r="R8394" s="100"/>
      <c r="V8394" s="100"/>
      <c r="Y8394" s="100"/>
    </row>
    <row r="8395">
      <c r="R8395" s="100"/>
      <c r="V8395" s="100"/>
      <c r="Y8395" s="100"/>
    </row>
    <row r="8396">
      <c r="R8396" s="100"/>
      <c r="V8396" s="100"/>
      <c r="Y8396" s="100"/>
    </row>
    <row r="8397">
      <c r="R8397" s="100"/>
      <c r="V8397" s="100"/>
      <c r="Y8397" s="100"/>
    </row>
    <row r="8398">
      <c r="R8398" s="100"/>
      <c r="V8398" s="100"/>
      <c r="Y8398" s="100"/>
    </row>
    <row r="8399">
      <c r="R8399" s="100"/>
      <c r="V8399" s="100"/>
      <c r="Y8399" s="100"/>
    </row>
    <row r="8400">
      <c r="R8400" s="100"/>
      <c r="V8400" s="100"/>
      <c r="Y8400" s="100"/>
    </row>
    <row r="8401">
      <c r="R8401" s="100"/>
      <c r="V8401" s="100"/>
      <c r="Y8401" s="100"/>
    </row>
    <row r="8402">
      <c r="R8402" s="100"/>
      <c r="V8402" s="100"/>
      <c r="Y8402" s="100"/>
    </row>
    <row r="8403">
      <c r="R8403" s="100"/>
      <c r="V8403" s="100"/>
      <c r="Y8403" s="100"/>
    </row>
    <row r="8404">
      <c r="R8404" s="100"/>
      <c r="V8404" s="100"/>
      <c r="Y8404" s="100"/>
    </row>
    <row r="8405">
      <c r="R8405" s="100"/>
      <c r="V8405" s="100"/>
      <c r="Y8405" s="100"/>
    </row>
    <row r="8406">
      <c r="R8406" s="100"/>
      <c r="V8406" s="100"/>
      <c r="Y8406" s="100"/>
    </row>
    <row r="8407">
      <c r="R8407" s="100"/>
      <c r="V8407" s="100"/>
      <c r="Y8407" s="100"/>
    </row>
    <row r="8408">
      <c r="R8408" s="100"/>
      <c r="V8408" s="100"/>
      <c r="Y8408" s="100"/>
    </row>
    <row r="8409">
      <c r="R8409" s="100"/>
      <c r="V8409" s="100"/>
      <c r="Y8409" s="100"/>
    </row>
    <row r="8410">
      <c r="R8410" s="100"/>
      <c r="V8410" s="100"/>
      <c r="Y8410" s="100"/>
    </row>
    <row r="8411">
      <c r="R8411" s="100"/>
      <c r="V8411" s="100"/>
      <c r="Y8411" s="100"/>
    </row>
    <row r="8412">
      <c r="R8412" s="100"/>
      <c r="V8412" s="100"/>
      <c r="Y8412" s="100"/>
    </row>
    <row r="8413">
      <c r="R8413" s="100"/>
      <c r="V8413" s="100"/>
      <c r="Y8413" s="100"/>
    </row>
    <row r="8414">
      <c r="R8414" s="100"/>
      <c r="V8414" s="100"/>
      <c r="Y8414" s="100"/>
    </row>
    <row r="8415">
      <c r="R8415" s="100"/>
      <c r="V8415" s="100"/>
      <c r="Y8415" s="100"/>
    </row>
    <row r="8416">
      <c r="R8416" s="100"/>
      <c r="V8416" s="100"/>
      <c r="Y8416" s="100"/>
    </row>
    <row r="8417">
      <c r="R8417" s="100"/>
      <c r="V8417" s="100"/>
      <c r="Y8417" s="100"/>
    </row>
    <row r="8418">
      <c r="R8418" s="100"/>
      <c r="V8418" s="100"/>
      <c r="Y8418" s="100"/>
    </row>
    <row r="8419">
      <c r="R8419" s="100"/>
      <c r="V8419" s="100"/>
      <c r="Y8419" s="100"/>
    </row>
    <row r="8420">
      <c r="R8420" s="100"/>
      <c r="V8420" s="100"/>
      <c r="Y8420" s="100"/>
    </row>
    <row r="8421">
      <c r="R8421" s="100"/>
      <c r="V8421" s="100"/>
      <c r="Y8421" s="100"/>
    </row>
    <row r="8422">
      <c r="R8422" s="100"/>
      <c r="V8422" s="100"/>
      <c r="Y8422" s="100"/>
    </row>
    <row r="8423">
      <c r="R8423" s="100"/>
      <c r="V8423" s="100"/>
      <c r="Y8423" s="100"/>
    </row>
    <row r="8424">
      <c r="R8424" s="100"/>
      <c r="V8424" s="100"/>
      <c r="Y8424" s="100"/>
    </row>
    <row r="8425">
      <c r="R8425" s="100"/>
      <c r="V8425" s="100"/>
      <c r="Y8425" s="100"/>
    </row>
    <row r="8426">
      <c r="R8426" s="100"/>
      <c r="V8426" s="100"/>
      <c r="Y8426" s="100"/>
    </row>
    <row r="8427">
      <c r="R8427" s="100"/>
      <c r="V8427" s="100"/>
      <c r="Y8427" s="100"/>
    </row>
    <row r="8428">
      <c r="R8428" s="100"/>
      <c r="V8428" s="100"/>
      <c r="Y8428" s="100"/>
    </row>
    <row r="8429">
      <c r="R8429" s="100"/>
      <c r="V8429" s="100"/>
      <c r="Y8429" s="100"/>
    </row>
    <row r="8430">
      <c r="R8430" s="100"/>
      <c r="V8430" s="100"/>
      <c r="Y8430" s="100"/>
    </row>
    <row r="8431">
      <c r="R8431" s="100"/>
      <c r="V8431" s="100"/>
      <c r="Y8431" s="100"/>
    </row>
    <row r="8432">
      <c r="R8432" s="100"/>
      <c r="V8432" s="100"/>
      <c r="Y8432" s="100"/>
    </row>
    <row r="8433">
      <c r="R8433" s="100"/>
      <c r="V8433" s="100"/>
      <c r="Y8433" s="100"/>
    </row>
    <row r="8434">
      <c r="R8434" s="100"/>
      <c r="V8434" s="100"/>
      <c r="Y8434" s="100"/>
    </row>
    <row r="8435">
      <c r="R8435" s="100"/>
      <c r="V8435" s="100"/>
      <c r="Y8435" s="100"/>
    </row>
    <row r="8436">
      <c r="R8436" s="100"/>
      <c r="V8436" s="100"/>
      <c r="Y8436" s="100"/>
    </row>
    <row r="8437">
      <c r="R8437" s="100"/>
      <c r="V8437" s="100"/>
      <c r="Y8437" s="100"/>
    </row>
    <row r="8438">
      <c r="R8438" s="100"/>
      <c r="V8438" s="100"/>
      <c r="Y8438" s="100"/>
    </row>
    <row r="8439">
      <c r="R8439" s="100"/>
      <c r="V8439" s="100"/>
      <c r="Y8439" s="100"/>
    </row>
    <row r="8440">
      <c r="R8440" s="100"/>
      <c r="V8440" s="100"/>
      <c r="Y8440" s="100"/>
    </row>
    <row r="8441">
      <c r="R8441" s="100"/>
      <c r="V8441" s="100"/>
      <c r="Y8441" s="100"/>
    </row>
    <row r="8442">
      <c r="R8442" s="100"/>
      <c r="V8442" s="100"/>
      <c r="Y8442" s="100"/>
    </row>
    <row r="8443">
      <c r="R8443" s="100"/>
      <c r="V8443" s="100"/>
      <c r="Y8443" s="100"/>
    </row>
    <row r="8444">
      <c r="R8444" s="100"/>
      <c r="V8444" s="100"/>
      <c r="Y8444" s="100"/>
    </row>
    <row r="8445">
      <c r="R8445" s="100"/>
      <c r="V8445" s="100"/>
      <c r="Y8445" s="100"/>
    </row>
    <row r="8446">
      <c r="R8446" s="100"/>
      <c r="V8446" s="100"/>
      <c r="Y8446" s="100"/>
    </row>
    <row r="8447">
      <c r="R8447" s="100"/>
      <c r="V8447" s="100"/>
      <c r="Y8447" s="100"/>
    </row>
    <row r="8448">
      <c r="R8448" s="100"/>
      <c r="V8448" s="100"/>
      <c r="Y8448" s="100"/>
    </row>
    <row r="8449">
      <c r="R8449" s="100"/>
      <c r="V8449" s="100"/>
      <c r="Y8449" s="100"/>
    </row>
    <row r="8450">
      <c r="R8450" s="100"/>
      <c r="V8450" s="100"/>
      <c r="Y8450" s="100"/>
    </row>
    <row r="8451">
      <c r="R8451" s="100"/>
      <c r="V8451" s="100"/>
      <c r="Y8451" s="100"/>
    </row>
    <row r="8452">
      <c r="R8452" s="100"/>
      <c r="V8452" s="100"/>
      <c r="Y8452" s="100"/>
    </row>
    <row r="8453">
      <c r="R8453" s="100"/>
      <c r="V8453" s="100"/>
      <c r="Y8453" s="100"/>
    </row>
    <row r="8454">
      <c r="R8454" s="100"/>
      <c r="V8454" s="100"/>
      <c r="Y8454" s="100"/>
    </row>
    <row r="8455">
      <c r="R8455" s="100"/>
      <c r="V8455" s="100"/>
      <c r="Y8455" s="100"/>
    </row>
    <row r="8456">
      <c r="R8456" s="100"/>
      <c r="V8456" s="100"/>
      <c r="Y8456" s="100"/>
    </row>
    <row r="8457">
      <c r="R8457" s="100"/>
      <c r="V8457" s="100"/>
      <c r="Y8457" s="100"/>
    </row>
    <row r="8458">
      <c r="R8458" s="100"/>
      <c r="V8458" s="100"/>
      <c r="Y8458" s="100"/>
    </row>
    <row r="8459">
      <c r="R8459" s="100"/>
      <c r="V8459" s="100"/>
      <c r="Y8459" s="100"/>
    </row>
    <row r="8460">
      <c r="R8460" s="100"/>
      <c r="V8460" s="100"/>
      <c r="Y8460" s="100"/>
    </row>
    <row r="8461">
      <c r="R8461" s="100"/>
      <c r="V8461" s="100"/>
      <c r="Y8461" s="100"/>
    </row>
    <row r="8462">
      <c r="R8462" s="100"/>
      <c r="V8462" s="100"/>
      <c r="Y8462" s="100"/>
    </row>
    <row r="8463">
      <c r="R8463" s="100"/>
      <c r="V8463" s="100"/>
      <c r="Y8463" s="100"/>
    </row>
    <row r="8464">
      <c r="R8464" s="100"/>
      <c r="V8464" s="100"/>
      <c r="Y8464" s="100"/>
    </row>
    <row r="8465">
      <c r="R8465" s="100"/>
      <c r="V8465" s="100"/>
      <c r="Y8465" s="100"/>
    </row>
    <row r="8466">
      <c r="R8466" s="100"/>
      <c r="V8466" s="100"/>
      <c r="Y8466" s="100"/>
    </row>
    <row r="8467">
      <c r="R8467" s="100"/>
      <c r="V8467" s="100"/>
      <c r="Y8467" s="100"/>
    </row>
    <row r="8468">
      <c r="R8468" s="100"/>
      <c r="V8468" s="100"/>
      <c r="Y8468" s="100"/>
    </row>
    <row r="8469">
      <c r="R8469" s="100"/>
      <c r="V8469" s="100"/>
      <c r="Y8469" s="100"/>
    </row>
    <row r="8470">
      <c r="R8470" s="100"/>
      <c r="V8470" s="100"/>
      <c r="Y8470" s="100"/>
    </row>
    <row r="8471">
      <c r="R8471" s="100"/>
      <c r="V8471" s="100"/>
      <c r="Y8471" s="100"/>
    </row>
    <row r="8472">
      <c r="R8472" s="100"/>
      <c r="V8472" s="100"/>
      <c r="Y8472" s="100"/>
    </row>
    <row r="8473">
      <c r="R8473" s="100"/>
      <c r="V8473" s="100"/>
      <c r="Y8473" s="100"/>
    </row>
    <row r="8474">
      <c r="R8474" s="100"/>
      <c r="V8474" s="100"/>
      <c r="Y8474" s="100"/>
    </row>
    <row r="8475">
      <c r="R8475" s="100"/>
      <c r="V8475" s="100"/>
      <c r="Y8475" s="100"/>
    </row>
    <row r="8476">
      <c r="R8476" s="100"/>
      <c r="V8476" s="100"/>
      <c r="Y8476" s="100"/>
    </row>
    <row r="8477">
      <c r="R8477" s="100"/>
      <c r="V8477" s="100"/>
      <c r="Y8477" s="100"/>
    </row>
    <row r="8478">
      <c r="R8478" s="100"/>
      <c r="V8478" s="100"/>
      <c r="Y8478" s="100"/>
    </row>
    <row r="8479">
      <c r="R8479" s="100"/>
      <c r="V8479" s="100"/>
      <c r="Y8479" s="100"/>
    </row>
    <row r="8480">
      <c r="R8480" s="100"/>
      <c r="V8480" s="100"/>
      <c r="Y8480" s="100"/>
    </row>
    <row r="8481">
      <c r="R8481" s="100"/>
      <c r="V8481" s="100"/>
      <c r="Y8481" s="100"/>
    </row>
    <row r="8482">
      <c r="R8482" s="100"/>
      <c r="V8482" s="100"/>
      <c r="Y8482" s="100"/>
    </row>
    <row r="8483">
      <c r="R8483" s="100"/>
      <c r="V8483" s="100"/>
      <c r="Y8483" s="100"/>
    </row>
    <row r="8484">
      <c r="R8484" s="100"/>
      <c r="V8484" s="100"/>
      <c r="Y8484" s="100"/>
    </row>
    <row r="8485">
      <c r="R8485" s="100"/>
      <c r="V8485" s="100"/>
      <c r="Y8485" s="100"/>
    </row>
    <row r="8486">
      <c r="R8486" s="100"/>
      <c r="V8486" s="100"/>
      <c r="Y8486" s="100"/>
    </row>
    <row r="8487">
      <c r="R8487" s="100"/>
      <c r="V8487" s="100"/>
      <c r="Y8487" s="100"/>
    </row>
    <row r="8488">
      <c r="R8488" s="100"/>
      <c r="V8488" s="100"/>
      <c r="Y8488" s="100"/>
    </row>
    <row r="8489">
      <c r="R8489" s="100"/>
      <c r="V8489" s="100"/>
      <c r="Y8489" s="100"/>
    </row>
    <row r="8490">
      <c r="R8490" s="100"/>
      <c r="V8490" s="100"/>
      <c r="Y8490" s="100"/>
    </row>
    <row r="8491">
      <c r="R8491" s="100"/>
      <c r="V8491" s="100"/>
      <c r="Y8491" s="100"/>
    </row>
    <row r="8492">
      <c r="R8492" s="100"/>
      <c r="V8492" s="100"/>
      <c r="Y8492" s="100"/>
    </row>
    <row r="8493">
      <c r="R8493" s="100"/>
      <c r="V8493" s="100"/>
      <c r="Y8493" s="100"/>
    </row>
    <row r="8494">
      <c r="R8494" s="100"/>
      <c r="V8494" s="100"/>
      <c r="Y8494" s="100"/>
    </row>
    <row r="8495">
      <c r="R8495" s="100"/>
      <c r="V8495" s="100"/>
      <c r="Y8495" s="100"/>
    </row>
    <row r="8496">
      <c r="R8496" s="100"/>
      <c r="V8496" s="100"/>
      <c r="Y8496" s="100"/>
    </row>
    <row r="8497">
      <c r="R8497" s="100"/>
      <c r="V8497" s="100"/>
      <c r="Y8497" s="100"/>
    </row>
    <row r="8498">
      <c r="R8498" s="100"/>
      <c r="V8498" s="100"/>
      <c r="Y8498" s="100"/>
    </row>
    <row r="8499">
      <c r="R8499" s="100"/>
      <c r="V8499" s="100"/>
      <c r="Y8499" s="100"/>
    </row>
    <row r="8500">
      <c r="R8500" s="100"/>
      <c r="V8500" s="100"/>
      <c r="Y8500" s="100"/>
    </row>
    <row r="8501">
      <c r="R8501" s="100"/>
      <c r="V8501" s="100"/>
      <c r="Y8501" s="100"/>
    </row>
    <row r="8502">
      <c r="R8502" s="100"/>
      <c r="V8502" s="100"/>
      <c r="Y8502" s="100"/>
    </row>
    <row r="8503">
      <c r="R8503" s="100"/>
      <c r="V8503" s="100"/>
      <c r="Y8503" s="100"/>
    </row>
    <row r="8504">
      <c r="R8504" s="100"/>
      <c r="V8504" s="100"/>
      <c r="Y8504" s="100"/>
    </row>
    <row r="8505">
      <c r="R8505" s="100"/>
      <c r="V8505" s="100"/>
      <c r="Y8505" s="100"/>
    </row>
    <row r="8506">
      <c r="R8506" s="100"/>
      <c r="V8506" s="100"/>
      <c r="Y8506" s="100"/>
    </row>
    <row r="8507">
      <c r="R8507" s="100"/>
      <c r="V8507" s="100"/>
      <c r="Y8507" s="100"/>
    </row>
    <row r="8508">
      <c r="R8508" s="100"/>
      <c r="V8508" s="100"/>
      <c r="Y8508" s="100"/>
    </row>
    <row r="8509">
      <c r="R8509" s="100"/>
      <c r="V8509" s="100"/>
      <c r="Y8509" s="100"/>
    </row>
    <row r="8510">
      <c r="R8510" s="100"/>
      <c r="V8510" s="100"/>
      <c r="Y8510" s="100"/>
    </row>
    <row r="8511">
      <c r="R8511" s="100"/>
      <c r="V8511" s="100"/>
      <c r="Y8511" s="100"/>
    </row>
    <row r="8512">
      <c r="R8512" s="100"/>
      <c r="V8512" s="100"/>
      <c r="Y8512" s="100"/>
    </row>
    <row r="8513">
      <c r="R8513" s="100"/>
      <c r="V8513" s="100"/>
      <c r="Y8513" s="100"/>
    </row>
    <row r="8514">
      <c r="R8514" s="100"/>
      <c r="V8514" s="100"/>
      <c r="Y8514" s="100"/>
    </row>
    <row r="8515">
      <c r="R8515" s="100"/>
      <c r="V8515" s="100"/>
      <c r="Y8515" s="100"/>
    </row>
    <row r="8516">
      <c r="R8516" s="100"/>
      <c r="V8516" s="100"/>
      <c r="Y8516" s="100"/>
    </row>
    <row r="8517">
      <c r="R8517" s="100"/>
      <c r="V8517" s="100"/>
      <c r="Y8517" s="100"/>
    </row>
    <row r="8518">
      <c r="R8518" s="100"/>
      <c r="V8518" s="100"/>
      <c r="Y8518" s="100"/>
    </row>
    <row r="8519">
      <c r="R8519" s="100"/>
      <c r="V8519" s="100"/>
      <c r="Y8519" s="100"/>
    </row>
    <row r="8520">
      <c r="R8520" s="100"/>
      <c r="V8520" s="100"/>
      <c r="Y8520" s="100"/>
    </row>
    <row r="8521">
      <c r="R8521" s="100"/>
      <c r="V8521" s="100"/>
      <c r="Y8521" s="100"/>
    </row>
    <row r="8522">
      <c r="R8522" s="100"/>
      <c r="V8522" s="100"/>
      <c r="Y8522" s="100"/>
    </row>
    <row r="8523">
      <c r="R8523" s="100"/>
      <c r="V8523" s="100"/>
      <c r="Y8523" s="100"/>
    </row>
    <row r="8524">
      <c r="R8524" s="100"/>
      <c r="V8524" s="100"/>
      <c r="Y8524" s="100"/>
    </row>
    <row r="8525">
      <c r="R8525" s="100"/>
      <c r="V8525" s="100"/>
      <c r="Y8525" s="100"/>
    </row>
    <row r="8526">
      <c r="R8526" s="100"/>
      <c r="V8526" s="100"/>
      <c r="Y8526" s="100"/>
    </row>
    <row r="8527">
      <c r="R8527" s="100"/>
      <c r="V8527" s="100"/>
      <c r="Y8527" s="100"/>
    </row>
    <row r="8528">
      <c r="R8528" s="100"/>
      <c r="V8528" s="100"/>
      <c r="Y8528" s="100"/>
    </row>
    <row r="8529">
      <c r="R8529" s="100"/>
      <c r="V8529" s="100"/>
      <c r="Y8529" s="100"/>
    </row>
    <row r="8530">
      <c r="R8530" s="100"/>
      <c r="V8530" s="100"/>
      <c r="Y8530" s="100"/>
    </row>
    <row r="8531">
      <c r="R8531" s="100"/>
      <c r="V8531" s="100"/>
      <c r="Y8531" s="100"/>
    </row>
    <row r="8532">
      <c r="R8532" s="100"/>
      <c r="V8532" s="100"/>
      <c r="Y8532" s="100"/>
    </row>
    <row r="8533">
      <c r="R8533" s="100"/>
      <c r="V8533" s="100"/>
      <c r="Y8533" s="100"/>
    </row>
    <row r="8534">
      <c r="R8534" s="100"/>
      <c r="V8534" s="100"/>
      <c r="Y8534" s="100"/>
    </row>
    <row r="8535">
      <c r="R8535" s="100"/>
      <c r="V8535" s="100"/>
      <c r="Y8535" s="100"/>
    </row>
    <row r="8536">
      <c r="R8536" s="100"/>
      <c r="V8536" s="100"/>
      <c r="Y8536" s="100"/>
    </row>
    <row r="8537">
      <c r="R8537" s="100"/>
      <c r="V8537" s="100"/>
      <c r="Y8537" s="100"/>
    </row>
    <row r="8538">
      <c r="R8538" s="100"/>
      <c r="V8538" s="100"/>
      <c r="Y8538" s="100"/>
    </row>
    <row r="8539">
      <c r="R8539" s="100"/>
      <c r="V8539" s="100"/>
      <c r="Y8539" s="100"/>
    </row>
    <row r="8540">
      <c r="R8540" s="100"/>
      <c r="V8540" s="100"/>
      <c r="Y8540" s="100"/>
    </row>
    <row r="8541">
      <c r="R8541" s="100"/>
      <c r="V8541" s="100"/>
      <c r="Y8541" s="100"/>
    </row>
    <row r="8542">
      <c r="R8542" s="100"/>
      <c r="V8542" s="100"/>
      <c r="Y8542" s="100"/>
    </row>
    <row r="8543">
      <c r="R8543" s="100"/>
      <c r="V8543" s="100"/>
      <c r="Y8543" s="100"/>
    </row>
    <row r="8544">
      <c r="R8544" s="100"/>
      <c r="V8544" s="100"/>
      <c r="Y8544" s="100"/>
    </row>
    <row r="8545">
      <c r="R8545" s="100"/>
      <c r="V8545" s="100"/>
      <c r="Y8545" s="100"/>
    </row>
    <row r="8546">
      <c r="R8546" s="100"/>
      <c r="V8546" s="100"/>
      <c r="Y8546" s="100"/>
    </row>
    <row r="8547">
      <c r="R8547" s="100"/>
      <c r="V8547" s="100"/>
      <c r="Y8547" s="100"/>
    </row>
    <row r="8548">
      <c r="R8548" s="100"/>
      <c r="V8548" s="100"/>
      <c r="Y8548" s="100"/>
    </row>
    <row r="8549">
      <c r="R8549" s="100"/>
      <c r="V8549" s="100"/>
      <c r="Y8549" s="100"/>
    </row>
    <row r="8550">
      <c r="R8550" s="100"/>
      <c r="V8550" s="100"/>
      <c r="Y8550" s="100"/>
    </row>
    <row r="8551">
      <c r="R8551" s="100"/>
      <c r="V8551" s="100"/>
      <c r="Y8551" s="100"/>
    </row>
    <row r="8552">
      <c r="R8552" s="100"/>
      <c r="V8552" s="100"/>
      <c r="Y8552" s="100"/>
    </row>
    <row r="8553">
      <c r="R8553" s="100"/>
      <c r="V8553" s="100"/>
      <c r="Y8553" s="100"/>
    </row>
    <row r="8554">
      <c r="R8554" s="100"/>
      <c r="V8554" s="100"/>
      <c r="Y8554" s="100"/>
    </row>
    <row r="8555">
      <c r="R8555" s="100"/>
      <c r="V8555" s="100"/>
      <c r="Y8555" s="100"/>
    </row>
    <row r="8556">
      <c r="R8556" s="100"/>
      <c r="V8556" s="100"/>
      <c r="Y8556" s="100"/>
    </row>
    <row r="8557">
      <c r="R8557" s="100"/>
      <c r="V8557" s="100"/>
      <c r="Y8557" s="100"/>
    </row>
    <row r="8558">
      <c r="R8558" s="100"/>
      <c r="V8558" s="100"/>
      <c r="Y8558" s="100"/>
    </row>
    <row r="8559">
      <c r="R8559" s="100"/>
      <c r="V8559" s="100"/>
      <c r="Y8559" s="100"/>
    </row>
    <row r="8560">
      <c r="R8560" s="100"/>
      <c r="V8560" s="100"/>
      <c r="Y8560" s="100"/>
    </row>
    <row r="8561">
      <c r="R8561" s="100"/>
      <c r="V8561" s="100"/>
      <c r="Y8561" s="100"/>
    </row>
    <row r="8562">
      <c r="R8562" s="100"/>
      <c r="V8562" s="100"/>
      <c r="Y8562" s="100"/>
    </row>
    <row r="8563">
      <c r="R8563" s="100"/>
      <c r="V8563" s="100"/>
      <c r="Y8563" s="100"/>
    </row>
    <row r="8564">
      <c r="R8564" s="100"/>
      <c r="V8564" s="100"/>
      <c r="Y8564" s="100"/>
    </row>
    <row r="8565">
      <c r="R8565" s="100"/>
      <c r="V8565" s="100"/>
      <c r="Y8565" s="100"/>
    </row>
    <row r="8566">
      <c r="R8566" s="100"/>
      <c r="V8566" s="100"/>
      <c r="Y8566" s="100"/>
    </row>
    <row r="8567">
      <c r="R8567" s="100"/>
      <c r="V8567" s="100"/>
      <c r="Y8567" s="100"/>
    </row>
    <row r="8568">
      <c r="R8568" s="100"/>
      <c r="V8568" s="100"/>
      <c r="Y8568" s="100"/>
    </row>
    <row r="8569">
      <c r="R8569" s="100"/>
      <c r="V8569" s="100"/>
      <c r="Y8569" s="100"/>
    </row>
    <row r="8570">
      <c r="R8570" s="100"/>
      <c r="V8570" s="100"/>
      <c r="Y8570" s="100"/>
    </row>
    <row r="8571">
      <c r="R8571" s="100"/>
      <c r="V8571" s="100"/>
      <c r="Y8571" s="100"/>
    </row>
    <row r="8572">
      <c r="R8572" s="100"/>
      <c r="V8572" s="100"/>
      <c r="Y8572" s="100"/>
    </row>
    <row r="8573">
      <c r="R8573" s="100"/>
      <c r="V8573" s="100"/>
      <c r="Y8573" s="100"/>
    </row>
    <row r="8574">
      <c r="R8574" s="100"/>
      <c r="V8574" s="100"/>
      <c r="Y8574" s="100"/>
    </row>
    <row r="8575">
      <c r="R8575" s="100"/>
      <c r="V8575" s="100"/>
      <c r="Y8575" s="100"/>
    </row>
    <row r="8576">
      <c r="R8576" s="100"/>
      <c r="V8576" s="100"/>
      <c r="Y8576" s="100"/>
    </row>
    <row r="8577">
      <c r="R8577" s="100"/>
      <c r="V8577" s="100"/>
      <c r="Y8577" s="100"/>
    </row>
    <row r="8578">
      <c r="R8578" s="100"/>
      <c r="V8578" s="100"/>
      <c r="Y8578" s="100"/>
    </row>
    <row r="8579">
      <c r="R8579" s="100"/>
      <c r="V8579" s="100"/>
      <c r="Y8579" s="100"/>
    </row>
    <row r="8580">
      <c r="R8580" s="100"/>
      <c r="V8580" s="100"/>
      <c r="Y8580" s="100"/>
    </row>
    <row r="8581">
      <c r="R8581" s="100"/>
      <c r="V8581" s="100"/>
      <c r="Y8581" s="100"/>
    </row>
    <row r="8582">
      <c r="R8582" s="100"/>
      <c r="V8582" s="100"/>
      <c r="Y8582" s="100"/>
    </row>
    <row r="8583">
      <c r="R8583" s="100"/>
      <c r="V8583" s="100"/>
      <c r="Y8583" s="100"/>
    </row>
    <row r="8584">
      <c r="R8584" s="100"/>
      <c r="V8584" s="100"/>
      <c r="Y8584" s="100"/>
    </row>
    <row r="8585">
      <c r="R8585" s="100"/>
      <c r="V8585" s="100"/>
      <c r="Y8585" s="100"/>
    </row>
    <row r="8586">
      <c r="R8586" s="100"/>
      <c r="V8586" s="100"/>
      <c r="Y8586" s="100"/>
    </row>
    <row r="8587">
      <c r="R8587" s="100"/>
      <c r="V8587" s="100"/>
      <c r="Y8587" s="100"/>
    </row>
    <row r="8588">
      <c r="R8588" s="100"/>
      <c r="V8588" s="100"/>
      <c r="Y8588" s="100"/>
    </row>
    <row r="8589">
      <c r="R8589" s="100"/>
      <c r="V8589" s="100"/>
      <c r="Y8589" s="100"/>
    </row>
    <row r="8590">
      <c r="R8590" s="100"/>
      <c r="V8590" s="100"/>
      <c r="Y8590" s="100"/>
    </row>
    <row r="8591">
      <c r="R8591" s="100"/>
      <c r="V8591" s="100"/>
      <c r="Y8591" s="100"/>
    </row>
    <row r="8592">
      <c r="R8592" s="100"/>
      <c r="V8592" s="100"/>
      <c r="Y8592" s="100"/>
    </row>
    <row r="8593">
      <c r="R8593" s="100"/>
      <c r="V8593" s="100"/>
      <c r="Y8593" s="100"/>
    </row>
    <row r="8594">
      <c r="R8594" s="100"/>
      <c r="V8594" s="100"/>
      <c r="Y8594" s="100"/>
    </row>
    <row r="8595">
      <c r="R8595" s="100"/>
      <c r="V8595" s="100"/>
      <c r="Y8595" s="100"/>
    </row>
    <row r="8596">
      <c r="R8596" s="100"/>
      <c r="V8596" s="100"/>
      <c r="Y8596" s="100"/>
    </row>
    <row r="8597">
      <c r="R8597" s="100"/>
      <c r="V8597" s="100"/>
      <c r="Y8597" s="100"/>
    </row>
    <row r="8598">
      <c r="R8598" s="100"/>
      <c r="V8598" s="100"/>
      <c r="Y8598" s="100"/>
    </row>
    <row r="8599">
      <c r="R8599" s="100"/>
      <c r="V8599" s="100"/>
      <c r="Y8599" s="100"/>
    </row>
    <row r="8600">
      <c r="R8600" s="100"/>
      <c r="V8600" s="100"/>
      <c r="Y8600" s="100"/>
    </row>
    <row r="8601">
      <c r="R8601" s="100"/>
      <c r="V8601" s="100"/>
      <c r="Y8601" s="100"/>
    </row>
    <row r="8602">
      <c r="R8602" s="100"/>
      <c r="V8602" s="100"/>
      <c r="Y8602" s="100"/>
    </row>
    <row r="8603">
      <c r="R8603" s="100"/>
      <c r="V8603" s="100"/>
      <c r="Y8603" s="100"/>
    </row>
    <row r="8604">
      <c r="R8604" s="100"/>
      <c r="V8604" s="100"/>
      <c r="Y8604" s="100"/>
    </row>
    <row r="8605">
      <c r="R8605" s="100"/>
      <c r="V8605" s="100"/>
      <c r="Y8605" s="100"/>
    </row>
    <row r="8606">
      <c r="R8606" s="100"/>
      <c r="V8606" s="100"/>
      <c r="Y8606" s="100"/>
    </row>
    <row r="8607">
      <c r="R8607" s="100"/>
      <c r="V8607" s="100"/>
      <c r="Y8607" s="100"/>
    </row>
    <row r="8608">
      <c r="R8608" s="100"/>
      <c r="V8608" s="100"/>
      <c r="Y8608" s="100"/>
    </row>
    <row r="8609">
      <c r="R8609" s="100"/>
      <c r="V8609" s="100"/>
      <c r="Y8609" s="100"/>
    </row>
    <row r="8610">
      <c r="R8610" s="100"/>
      <c r="V8610" s="100"/>
      <c r="Y8610" s="100"/>
    </row>
    <row r="8611">
      <c r="R8611" s="100"/>
      <c r="V8611" s="100"/>
      <c r="Y8611" s="100"/>
    </row>
    <row r="8612">
      <c r="R8612" s="100"/>
      <c r="V8612" s="100"/>
      <c r="Y8612" s="100"/>
    </row>
    <row r="8613">
      <c r="R8613" s="100"/>
      <c r="V8613" s="100"/>
      <c r="Y8613" s="100"/>
    </row>
    <row r="8614">
      <c r="R8614" s="100"/>
      <c r="V8614" s="100"/>
      <c r="Y8614" s="100"/>
    </row>
    <row r="8615">
      <c r="R8615" s="100"/>
      <c r="V8615" s="100"/>
      <c r="Y8615" s="100"/>
    </row>
    <row r="8616">
      <c r="R8616" s="100"/>
      <c r="V8616" s="100"/>
      <c r="Y8616" s="100"/>
    </row>
    <row r="8617">
      <c r="R8617" s="100"/>
      <c r="V8617" s="100"/>
      <c r="Y8617" s="100"/>
    </row>
    <row r="8618">
      <c r="R8618" s="100"/>
      <c r="V8618" s="100"/>
      <c r="Y8618" s="100"/>
    </row>
    <row r="8619">
      <c r="R8619" s="100"/>
      <c r="V8619" s="100"/>
      <c r="Y8619" s="100"/>
    </row>
    <row r="8620">
      <c r="R8620" s="100"/>
      <c r="V8620" s="100"/>
      <c r="Y8620" s="100"/>
    </row>
    <row r="8621">
      <c r="R8621" s="100"/>
      <c r="V8621" s="100"/>
      <c r="Y8621" s="100"/>
    </row>
    <row r="8622">
      <c r="R8622" s="100"/>
      <c r="V8622" s="100"/>
      <c r="Y8622" s="100"/>
    </row>
    <row r="8623">
      <c r="R8623" s="100"/>
      <c r="V8623" s="100"/>
      <c r="Y8623" s="100"/>
    </row>
    <row r="8624">
      <c r="R8624" s="100"/>
      <c r="V8624" s="100"/>
      <c r="Y8624" s="100"/>
    </row>
    <row r="8625">
      <c r="R8625" s="100"/>
      <c r="V8625" s="100"/>
      <c r="Y8625" s="100"/>
    </row>
    <row r="8626">
      <c r="R8626" s="100"/>
      <c r="V8626" s="100"/>
      <c r="Y8626" s="100"/>
    </row>
    <row r="8627">
      <c r="R8627" s="100"/>
      <c r="V8627" s="100"/>
      <c r="Y8627" s="100"/>
    </row>
    <row r="8628">
      <c r="R8628" s="100"/>
      <c r="V8628" s="100"/>
      <c r="Y8628" s="100"/>
    </row>
    <row r="8629">
      <c r="R8629" s="100"/>
      <c r="V8629" s="100"/>
      <c r="Y8629" s="100"/>
    </row>
    <row r="8630">
      <c r="R8630" s="100"/>
      <c r="V8630" s="100"/>
      <c r="Y8630" s="100"/>
    </row>
    <row r="8631">
      <c r="R8631" s="100"/>
      <c r="V8631" s="100"/>
      <c r="Y8631" s="100"/>
    </row>
    <row r="8632">
      <c r="R8632" s="100"/>
      <c r="V8632" s="100"/>
      <c r="Y8632" s="100"/>
    </row>
    <row r="8633">
      <c r="R8633" s="100"/>
      <c r="V8633" s="100"/>
      <c r="Y8633" s="100"/>
    </row>
    <row r="8634">
      <c r="R8634" s="100"/>
      <c r="V8634" s="100"/>
      <c r="Y8634" s="100"/>
    </row>
    <row r="8635">
      <c r="R8635" s="100"/>
      <c r="V8635" s="100"/>
      <c r="Y8635" s="100"/>
    </row>
    <row r="8636">
      <c r="R8636" s="100"/>
      <c r="V8636" s="100"/>
      <c r="Y8636" s="100"/>
    </row>
    <row r="8637">
      <c r="R8637" s="100"/>
      <c r="V8637" s="100"/>
      <c r="Y8637" s="100"/>
    </row>
    <row r="8638">
      <c r="R8638" s="100"/>
      <c r="V8638" s="100"/>
      <c r="Y8638" s="100"/>
    </row>
    <row r="8639">
      <c r="R8639" s="100"/>
      <c r="V8639" s="100"/>
      <c r="Y8639" s="100"/>
    </row>
    <row r="8640">
      <c r="R8640" s="100"/>
      <c r="V8640" s="100"/>
      <c r="Y8640" s="100"/>
    </row>
    <row r="8641">
      <c r="R8641" s="100"/>
      <c r="V8641" s="100"/>
      <c r="Y8641" s="100"/>
    </row>
    <row r="8642">
      <c r="R8642" s="100"/>
      <c r="V8642" s="100"/>
      <c r="Y8642" s="100"/>
    </row>
    <row r="8643">
      <c r="R8643" s="100"/>
      <c r="V8643" s="100"/>
      <c r="Y8643" s="100"/>
    </row>
    <row r="8644">
      <c r="R8644" s="100"/>
      <c r="V8644" s="100"/>
      <c r="Y8644" s="100"/>
    </row>
    <row r="8645">
      <c r="R8645" s="100"/>
      <c r="V8645" s="100"/>
      <c r="Y8645" s="100"/>
    </row>
    <row r="8646">
      <c r="R8646" s="100"/>
      <c r="V8646" s="100"/>
      <c r="Y8646" s="100"/>
    </row>
    <row r="8647">
      <c r="R8647" s="100"/>
      <c r="V8647" s="100"/>
      <c r="Y8647" s="100"/>
    </row>
    <row r="8648">
      <c r="R8648" s="100"/>
      <c r="V8648" s="100"/>
      <c r="Y8648" s="100"/>
    </row>
    <row r="8649">
      <c r="R8649" s="100"/>
      <c r="V8649" s="100"/>
      <c r="Y8649" s="100"/>
    </row>
    <row r="8650">
      <c r="R8650" s="100"/>
      <c r="V8650" s="100"/>
      <c r="Y8650" s="100"/>
    </row>
    <row r="8651">
      <c r="R8651" s="100"/>
      <c r="V8651" s="100"/>
      <c r="Y8651" s="100"/>
    </row>
    <row r="8652">
      <c r="R8652" s="100"/>
      <c r="V8652" s="100"/>
      <c r="Y8652" s="100"/>
    </row>
    <row r="8653">
      <c r="R8653" s="100"/>
      <c r="V8653" s="100"/>
      <c r="Y8653" s="100"/>
    </row>
    <row r="8654">
      <c r="R8654" s="100"/>
      <c r="V8654" s="100"/>
      <c r="Y8654" s="100"/>
    </row>
    <row r="8655">
      <c r="R8655" s="100"/>
      <c r="V8655" s="100"/>
      <c r="Y8655" s="100"/>
    </row>
    <row r="8656">
      <c r="R8656" s="100"/>
      <c r="V8656" s="100"/>
      <c r="Y8656" s="100"/>
    </row>
    <row r="8657">
      <c r="R8657" s="100"/>
      <c r="V8657" s="100"/>
      <c r="Y8657" s="100"/>
    </row>
    <row r="8658">
      <c r="R8658" s="100"/>
      <c r="V8658" s="100"/>
      <c r="Y8658" s="100"/>
    </row>
    <row r="8659">
      <c r="R8659" s="100"/>
      <c r="V8659" s="100"/>
      <c r="Y8659" s="100"/>
    </row>
    <row r="8660">
      <c r="R8660" s="100"/>
      <c r="V8660" s="100"/>
      <c r="Y8660" s="100"/>
    </row>
    <row r="8661">
      <c r="R8661" s="100"/>
      <c r="V8661" s="100"/>
      <c r="Y8661" s="100"/>
    </row>
    <row r="8662">
      <c r="R8662" s="100"/>
      <c r="V8662" s="100"/>
      <c r="Y8662" s="100"/>
    </row>
    <row r="8663">
      <c r="R8663" s="100"/>
      <c r="V8663" s="100"/>
      <c r="Y8663" s="100"/>
    </row>
    <row r="8664">
      <c r="R8664" s="100"/>
      <c r="V8664" s="100"/>
      <c r="Y8664" s="100"/>
    </row>
    <row r="8665">
      <c r="R8665" s="100"/>
      <c r="V8665" s="100"/>
      <c r="Y8665" s="100"/>
    </row>
    <row r="8666">
      <c r="R8666" s="100"/>
      <c r="V8666" s="100"/>
      <c r="Y8666" s="100"/>
    </row>
    <row r="8667">
      <c r="R8667" s="100"/>
      <c r="V8667" s="100"/>
      <c r="Y8667" s="100"/>
    </row>
    <row r="8668">
      <c r="R8668" s="100"/>
      <c r="V8668" s="100"/>
      <c r="Y8668" s="100"/>
    </row>
    <row r="8669">
      <c r="R8669" s="100"/>
      <c r="V8669" s="100"/>
      <c r="Y8669" s="100"/>
    </row>
    <row r="8670">
      <c r="R8670" s="100"/>
      <c r="V8670" s="100"/>
      <c r="Y8670" s="100"/>
    </row>
    <row r="8671">
      <c r="R8671" s="100"/>
      <c r="V8671" s="100"/>
      <c r="Y8671" s="100"/>
    </row>
    <row r="8672">
      <c r="R8672" s="100"/>
      <c r="V8672" s="100"/>
      <c r="Y8672" s="100"/>
    </row>
    <row r="8673">
      <c r="R8673" s="100"/>
      <c r="V8673" s="100"/>
      <c r="Y8673" s="100"/>
    </row>
    <row r="8674">
      <c r="R8674" s="100"/>
      <c r="V8674" s="100"/>
      <c r="Y8674" s="100"/>
    </row>
    <row r="8675">
      <c r="R8675" s="100"/>
      <c r="V8675" s="100"/>
      <c r="Y8675" s="100"/>
    </row>
    <row r="8676">
      <c r="R8676" s="100"/>
      <c r="V8676" s="100"/>
      <c r="Y8676" s="100"/>
    </row>
    <row r="8677">
      <c r="R8677" s="100"/>
      <c r="V8677" s="100"/>
      <c r="Y8677" s="100"/>
    </row>
    <row r="8678">
      <c r="R8678" s="100"/>
      <c r="V8678" s="100"/>
      <c r="Y8678" s="100"/>
    </row>
    <row r="8679">
      <c r="R8679" s="100"/>
      <c r="V8679" s="100"/>
      <c r="Y8679" s="100"/>
    </row>
    <row r="8680">
      <c r="R8680" s="100"/>
      <c r="V8680" s="100"/>
      <c r="Y8680" s="100"/>
    </row>
    <row r="8681">
      <c r="R8681" s="100"/>
      <c r="V8681" s="100"/>
      <c r="Y8681" s="100"/>
    </row>
    <row r="8682">
      <c r="R8682" s="100"/>
      <c r="V8682" s="100"/>
      <c r="Y8682" s="100"/>
    </row>
    <row r="8683">
      <c r="R8683" s="100"/>
      <c r="V8683" s="100"/>
      <c r="Y8683" s="100"/>
    </row>
    <row r="8684">
      <c r="R8684" s="100"/>
      <c r="V8684" s="100"/>
      <c r="Y8684" s="100"/>
    </row>
    <row r="8685">
      <c r="R8685" s="100"/>
      <c r="V8685" s="100"/>
      <c r="Y8685" s="100"/>
    </row>
    <row r="8686">
      <c r="R8686" s="100"/>
      <c r="V8686" s="100"/>
      <c r="Y8686" s="100"/>
    </row>
    <row r="8687">
      <c r="R8687" s="100"/>
      <c r="V8687" s="100"/>
      <c r="Y8687" s="100"/>
    </row>
    <row r="8688">
      <c r="R8688" s="100"/>
      <c r="V8688" s="100"/>
      <c r="Y8688" s="100"/>
    </row>
    <row r="8689">
      <c r="R8689" s="100"/>
      <c r="V8689" s="100"/>
      <c r="Y8689" s="100"/>
    </row>
    <row r="8690">
      <c r="R8690" s="100"/>
      <c r="V8690" s="100"/>
      <c r="Y8690" s="100"/>
    </row>
    <row r="8691">
      <c r="R8691" s="100"/>
      <c r="V8691" s="100"/>
      <c r="Y8691" s="100"/>
    </row>
    <row r="8692">
      <c r="R8692" s="100"/>
      <c r="V8692" s="100"/>
      <c r="Y8692" s="100"/>
    </row>
    <row r="8693">
      <c r="R8693" s="100"/>
      <c r="V8693" s="100"/>
      <c r="Y8693" s="100"/>
    </row>
    <row r="8694">
      <c r="R8694" s="100"/>
      <c r="V8694" s="100"/>
      <c r="Y8694" s="100"/>
    </row>
    <row r="8695">
      <c r="R8695" s="100"/>
      <c r="V8695" s="100"/>
      <c r="Y8695" s="100"/>
    </row>
    <row r="8696">
      <c r="R8696" s="100"/>
      <c r="V8696" s="100"/>
      <c r="Y8696" s="100"/>
    </row>
    <row r="8697">
      <c r="R8697" s="100"/>
      <c r="V8697" s="100"/>
      <c r="Y8697" s="100"/>
    </row>
    <row r="8698">
      <c r="R8698" s="100"/>
      <c r="V8698" s="100"/>
      <c r="Y8698" s="100"/>
    </row>
    <row r="8699">
      <c r="R8699" s="100"/>
      <c r="V8699" s="100"/>
      <c r="Y8699" s="100"/>
    </row>
    <row r="8700">
      <c r="R8700" s="100"/>
      <c r="V8700" s="100"/>
      <c r="Y8700" s="100"/>
    </row>
    <row r="8701">
      <c r="R8701" s="100"/>
      <c r="V8701" s="100"/>
      <c r="Y8701" s="100"/>
    </row>
    <row r="8702">
      <c r="R8702" s="100"/>
      <c r="V8702" s="100"/>
      <c r="Y8702" s="100"/>
    </row>
    <row r="8703">
      <c r="R8703" s="100"/>
      <c r="V8703" s="100"/>
      <c r="Y8703" s="100"/>
    </row>
    <row r="8704">
      <c r="R8704" s="100"/>
      <c r="V8704" s="100"/>
      <c r="Y8704" s="100"/>
    </row>
    <row r="8705">
      <c r="R8705" s="100"/>
      <c r="V8705" s="100"/>
      <c r="Y8705" s="100"/>
    </row>
    <row r="8706">
      <c r="R8706" s="100"/>
      <c r="V8706" s="100"/>
      <c r="Y8706" s="100"/>
    </row>
    <row r="8707">
      <c r="R8707" s="100"/>
      <c r="V8707" s="100"/>
      <c r="Y8707" s="100"/>
    </row>
    <row r="8708">
      <c r="R8708" s="100"/>
      <c r="V8708" s="100"/>
      <c r="Y8708" s="100"/>
    </row>
    <row r="8709">
      <c r="R8709" s="100"/>
      <c r="V8709" s="100"/>
      <c r="Y8709" s="100"/>
    </row>
    <row r="8710">
      <c r="R8710" s="100"/>
      <c r="V8710" s="100"/>
      <c r="Y8710" s="100"/>
    </row>
    <row r="8711">
      <c r="R8711" s="100"/>
      <c r="V8711" s="100"/>
      <c r="Y8711" s="100"/>
    </row>
    <row r="8712">
      <c r="R8712" s="100"/>
      <c r="V8712" s="100"/>
      <c r="Y8712" s="100"/>
    </row>
    <row r="8713">
      <c r="R8713" s="100"/>
      <c r="V8713" s="100"/>
      <c r="Y8713" s="100"/>
    </row>
    <row r="8714">
      <c r="R8714" s="100"/>
      <c r="V8714" s="100"/>
      <c r="Y8714" s="100"/>
    </row>
    <row r="8715">
      <c r="R8715" s="100"/>
      <c r="V8715" s="100"/>
      <c r="Y8715" s="100"/>
    </row>
    <row r="8716">
      <c r="R8716" s="100"/>
      <c r="V8716" s="100"/>
      <c r="Y8716" s="100"/>
    </row>
    <row r="8717">
      <c r="R8717" s="100"/>
      <c r="V8717" s="100"/>
      <c r="Y8717" s="100"/>
    </row>
    <row r="8718">
      <c r="R8718" s="100"/>
      <c r="V8718" s="100"/>
      <c r="Y8718" s="100"/>
    </row>
    <row r="8719">
      <c r="R8719" s="100"/>
      <c r="V8719" s="100"/>
      <c r="Y8719" s="100"/>
    </row>
    <row r="8720">
      <c r="R8720" s="100"/>
      <c r="V8720" s="100"/>
      <c r="Y8720" s="100"/>
    </row>
    <row r="8721">
      <c r="R8721" s="100"/>
      <c r="V8721" s="100"/>
      <c r="Y8721" s="100"/>
    </row>
    <row r="8722">
      <c r="R8722" s="100"/>
      <c r="V8722" s="100"/>
      <c r="Y8722" s="100"/>
    </row>
    <row r="8723">
      <c r="R8723" s="100"/>
      <c r="V8723" s="100"/>
      <c r="Y8723" s="100"/>
    </row>
    <row r="8724">
      <c r="R8724" s="100"/>
      <c r="V8724" s="100"/>
      <c r="Y8724" s="100"/>
    </row>
    <row r="8725">
      <c r="R8725" s="100"/>
      <c r="V8725" s="100"/>
      <c r="Y8725" s="100"/>
    </row>
    <row r="8726">
      <c r="R8726" s="100"/>
      <c r="V8726" s="100"/>
      <c r="Y8726" s="100"/>
    </row>
    <row r="8727">
      <c r="R8727" s="100"/>
      <c r="V8727" s="100"/>
      <c r="Y8727" s="100"/>
    </row>
    <row r="8728">
      <c r="R8728" s="100"/>
      <c r="V8728" s="100"/>
      <c r="Y8728" s="100"/>
    </row>
    <row r="8729">
      <c r="R8729" s="100"/>
      <c r="V8729" s="100"/>
      <c r="Y8729" s="100"/>
    </row>
    <row r="8730">
      <c r="R8730" s="100"/>
      <c r="V8730" s="100"/>
      <c r="Y8730" s="100"/>
    </row>
    <row r="8731">
      <c r="R8731" s="100"/>
      <c r="V8731" s="100"/>
      <c r="Y8731" s="100"/>
    </row>
    <row r="8732">
      <c r="R8732" s="100"/>
      <c r="V8732" s="100"/>
      <c r="Y8732" s="100"/>
    </row>
    <row r="8733">
      <c r="R8733" s="100"/>
      <c r="V8733" s="100"/>
      <c r="Y8733" s="100"/>
    </row>
    <row r="8734">
      <c r="R8734" s="100"/>
      <c r="V8734" s="100"/>
      <c r="Y8734" s="100"/>
    </row>
    <row r="8735">
      <c r="R8735" s="100"/>
      <c r="V8735" s="100"/>
      <c r="Y8735" s="100"/>
    </row>
    <row r="8736">
      <c r="R8736" s="100"/>
      <c r="V8736" s="100"/>
      <c r="Y8736" s="100"/>
    </row>
    <row r="8737">
      <c r="R8737" s="100"/>
      <c r="V8737" s="100"/>
      <c r="Y8737" s="100"/>
    </row>
    <row r="8738">
      <c r="R8738" s="100"/>
      <c r="V8738" s="100"/>
      <c r="Y8738" s="100"/>
    </row>
    <row r="8739">
      <c r="R8739" s="100"/>
      <c r="V8739" s="100"/>
      <c r="Y8739" s="100"/>
    </row>
    <row r="8740">
      <c r="R8740" s="100"/>
      <c r="V8740" s="100"/>
      <c r="Y8740" s="100"/>
    </row>
    <row r="8741">
      <c r="R8741" s="100"/>
      <c r="V8741" s="100"/>
      <c r="Y8741" s="100"/>
    </row>
    <row r="8742">
      <c r="R8742" s="100"/>
      <c r="V8742" s="100"/>
      <c r="Y8742" s="100"/>
    </row>
    <row r="8743">
      <c r="R8743" s="100"/>
      <c r="V8743" s="100"/>
      <c r="Y8743" s="100"/>
    </row>
    <row r="8744">
      <c r="R8744" s="100"/>
      <c r="V8744" s="100"/>
      <c r="Y8744" s="100"/>
    </row>
    <row r="8745">
      <c r="R8745" s="100"/>
      <c r="V8745" s="100"/>
      <c r="Y8745" s="100"/>
    </row>
    <row r="8746">
      <c r="R8746" s="100"/>
      <c r="V8746" s="100"/>
      <c r="Y8746" s="100"/>
    </row>
    <row r="8747">
      <c r="R8747" s="100"/>
      <c r="V8747" s="100"/>
      <c r="Y8747" s="100"/>
    </row>
    <row r="8748">
      <c r="R8748" s="100"/>
      <c r="V8748" s="100"/>
      <c r="Y8748" s="100"/>
    </row>
    <row r="8749">
      <c r="R8749" s="100"/>
      <c r="V8749" s="100"/>
      <c r="Y8749" s="100"/>
    </row>
    <row r="8750">
      <c r="R8750" s="100"/>
      <c r="V8750" s="100"/>
      <c r="Y8750" s="100"/>
    </row>
    <row r="8751">
      <c r="R8751" s="100"/>
      <c r="V8751" s="100"/>
      <c r="Y8751" s="100"/>
    </row>
    <row r="8752">
      <c r="R8752" s="100"/>
      <c r="V8752" s="100"/>
      <c r="Y8752" s="100"/>
    </row>
    <row r="8753">
      <c r="R8753" s="100"/>
      <c r="V8753" s="100"/>
      <c r="Y8753" s="100"/>
    </row>
    <row r="8754">
      <c r="R8754" s="100"/>
      <c r="V8754" s="100"/>
      <c r="Y8754" s="100"/>
    </row>
    <row r="8755">
      <c r="R8755" s="100"/>
      <c r="V8755" s="100"/>
      <c r="Y8755" s="100"/>
    </row>
    <row r="8756">
      <c r="R8756" s="100"/>
      <c r="V8756" s="100"/>
      <c r="Y8756" s="100"/>
    </row>
    <row r="8757">
      <c r="R8757" s="100"/>
      <c r="V8757" s="100"/>
      <c r="Y8757" s="100"/>
    </row>
    <row r="8758">
      <c r="R8758" s="100"/>
      <c r="V8758" s="100"/>
      <c r="Y8758" s="100"/>
    </row>
    <row r="8759">
      <c r="R8759" s="100"/>
      <c r="V8759" s="100"/>
      <c r="Y8759" s="100"/>
    </row>
    <row r="8760">
      <c r="R8760" s="100"/>
      <c r="V8760" s="100"/>
      <c r="Y8760" s="100"/>
    </row>
    <row r="8761">
      <c r="R8761" s="100"/>
      <c r="V8761" s="100"/>
      <c r="Y8761" s="100"/>
    </row>
    <row r="8762">
      <c r="R8762" s="100"/>
      <c r="V8762" s="100"/>
      <c r="Y8762" s="100"/>
    </row>
    <row r="8763">
      <c r="R8763" s="100"/>
      <c r="V8763" s="100"/>
      <c r="Y8763" s="100"/>
    </row>
    <row r="8764">
      <c r="R8764" s="100"/>
      <c r="V8764" s="100"/>
      <c r="Y8764" s="100"/>
    </row>
    <row r="8765">
      <c r="R8765" s="100"/>
      <c r="V8765" s="100"/>
      <c r="Y8765" s="100"/>
    </row>
    <row r="8766">
      <c r="R8766" s="100"/>
      <c r="V8766" s="100"/>
      <c r="Y8766" s="100"/>
    </row>
    <row r="8767">
      <c r="R8767" s="100"/>
      <c r="V8767" s="100"/>
      <c r="Y8767" s="100"/>
    </row>
    <row r="8768">
      <c r="R8768" s="100"/>
      <c r="V8768" s="100"/>
      <c r="Y8768" s="100"/>
    </row>
    <row r="8769">
      <c r="R8769" s="100"/>
      <c r="V8769" s="100"/>
      <c r="Y8769" s="100"/>
    </row>
    <row r="8770">
      <c r="R8770" s="100"/>
      <c r="V8770" s="100"/>
      <c r="Y8770" s="100"/>
    </row>
    <row r="8771">
      <c r="R8771" s="100"/>
      <c r="V8771" s="100"/>
      <c r="Y8771" s="100"/>
    </row>
    <row r="8772">
      <c r="R8772" s="100"/>
      <c r="V8772" s="100"/>
      <c r="Y8772" s="100"/>
    </row>
    <row r="8773">
      <c r="R8773" s="100"/>
      <c r="V8773" s="100"/>
      <c r="Y8773" s="100"/>
    </row>
    <row r="8774">
      <c r="R8774" s="100"/>
      <c r="V8774" s="100"/>
      <c r="Y8774" s="100"/>
    </row>
    <row r="8775">
      <c r="R8775" s="100"/>
      <c r="V8775" s="100"/>
      <c r="Y8775" s="100"/>
    </row>
    <row r="8776">
      <c r="R8776" s="100"/>
      <c r="V8776" s="100"/>
      <c r="Y8776" s="100"/>
    </row>
    <row r="8777">
      <c r="R8777" s="100"/>
      <c r="V8777" s="100"/>
      <c r="Y8777" s="100"/>
    </row>
    <row r="8778">
      <c r="R8778" s="100"/>
      <c r="V8778" s="100"/>
      <c r="Y8778" s="100"/>
    </row>
    <row r="8779">
      <c r="R8779" s="100"/>
      <c r="V8779" s="100"/>
      <c r="Y8779" s="100"/>
    </row>
    <row r="8780">
      <c r="R8780" s="100"/>
      <c r="V8780" s="100"/>
      <c r="Y8780" s="100"/>
    </row>
    <row r="8781">
      <c r="R8781" s="100"/>
      <c r="V8781" s="100"/>
      <c r="Y8781" s="100"/>
    </row>
    <row r="8782">
      <c r="R8782" s="100"/>
      <c r="V8782" s="100"/>
      <c r="Y8782" s="100"/>
    </row>
    <row r="8783">
      <c r="R8783" s="100"/>
      <c r="V8783" s="100"/>
      <c r="Y8783" s="100"/>
    </row>
    <row r="8784">
      <c r="R8784" s="100"/>
      <c r="V8784" s="100"/>
      <c r="Y8784" s="100"/>
    </row>
    <row r="8785">
      <c r="R8785" s="100"/>
      <c r="V8785" s="100"/>
      <c r="Y8785" s="100"/>
    </row>
    <row r="8786">
      <c r="R8786" s="100"/>
      <c r="V8786" s="100"/>
      <c r="Y8786" s="100"/>
    </row>
    <row r="8787">
      <c r="R8787" s="100"/>
      <c r="V8787" s="100"/>
      <c r="Y8787" s="100"/>
    </row>
    <row r="8788">
      <c r="R8788" s="100"/>
      <c r="V8788" s="100"/>
      <c r="Y8788" s="100"/>
    </row>
    <row r="8789">
      <c r="R8789" s="100"/>
      <c r="V8789" s="100"/>
      <c r="Y8789" s="100"/>
    </row>
    <row r="8790">
      <c r="R8790" s="100"/>
      <c r="V8790" s="100"/>
      <c r="Y8790" s="100"/>
    </row>
    <row r="8791">
      <c r="R8791" s="100"/>
      <c r="V8791" s="100"/>
      <c r="Y8791" s="100"/>
    </row>
    <row r="8792">
      <c r="R8792" s="100"/>
      <c r="V8792" s="100"/>
      <c r="Y8792" s="100"/>
    </row>
    <row r="8793">
      <c r="R8793" s="100"/>
      <c r="V8793" s="100"/>
      <c r="Y8793" s="100"/>
    </row>
    <row r="8794">
      <c r="R8794" s="100"/>
      <c r="V8794" s="100"/>
      <c r="Y8794" s="100"/>
    </row>
    <row r="8795">
      <c r="R8795" s="100"/>
      <c r="V8795" s="100"/>
      <c r="Y8795" s="100"/>
    </row>
    <row r="8796">
      <c r="R8796" s="100"/>
      <c r="V8796" s="100"/>
      <c r="Y8796" s="100"/>
    </row>
    <row r="8797">
      <c r="R8797" s="100"/>
      <c r="V8797" s="100"/>
      <c r="Y8797" s="100"/>
    </row>
    <row r="8798">
      <c r="R8798" s="100"/>
      <c r="V8798" s="100"/>
      <c r="Y8798" s="100"/>
    </row>
    <row r="8799">
      <c r="R8799" s="100"/>
      <c r="V8799" s="100"/>
      <c r="Y8799" s="100"/>
    </row>
    <row r="8800">
      <c r="R8800" s="100"/>
      <c r="V8800" s="100"/>
      <c r="Y8800" s="100"/>
    </row>
    <row r="8801">
      <c r="R8801" s="100"/>
      <c r="V8801" s="100"/>
      <c r="Y8801" s="100"/>
    </row>
    <row r="8802">
      <c r="R8802" s="100"/>
      <c r="V8802" s="100"/>
      <c r="Y8802" s="100"/>
    </row>
    <row r="8803">
      <c r="R8803" s="100"/>
      <c r="V8803" s="100"/>
      <c r="Y8803" s="100"/>
    </row>
    <row r="8804">
      <c r="R8804" s="100"/>
      <c r="V8804" s="100"/>
      <c r="Y8804" s="100"/>
    </row>
    <row r="8805">
      <c r="R8805" s="100"/>
      <c r="V8805" s="100"/>
      <c r="Y8805" s="100"/>
    </row>
    <row r="8806">
      <c r="R8806" s="100"/>
      <c r="V8806" s="100"/>
      <c r="Y8806" s="100"/>
    </row>
    <row r="8807">
      <c r="R8807" s="100"/>
      <c r="V8807" s="100"/>
      <c r="Y8807" s="100"/>
    </row>
    <row r="8808">
      <c r="R8808" s="100"/>
      <c r="V8808" s="100"/>
      <c r="Y8808" s="100"/>
    </row>
    <row r="8809">
      <c r="R8809" s="100"/>
      <c r="V8809" s="100"/>
      <c r="Y8809" s="100"/>
    </row>
    <row r="8810">
      <c r="R8810" s="100"/>
      <c r="V8810" s="100"/>
      <c r="Y8810" s="100"/>
    </row>
    <row r="8811">
      <c r="R8811" s="100"/>
      <c r="V8811" s="100"/>
      <c r="Y8811" s="100"/>
    </row>
    <row r="8812">
      <c r="R8812" s="100"/>
      <c r="V8812" s="100"/>
      <c r="Y8812" s="100"/>
    </row>
    <row r="8813">
      <c r="R8813" s="100"/>
      <c r="V8813" s="100"/>
      <c r="Y8813" s="100"/>
    </row>
    <row r="8814">
      <c r="R8814" s="100"/>
      <c r="V8814" s="100"/>
      <c r="Y8814" s="100"/>
    </row>
    <row r="8815">
      <c r="R8815" s="100"/>
      <c r="V8815" s="100"/>
      <c r="Y8815" s="100"/>
    </row>
    <row r="8816">
      <c r="R8816" s="100"/>
      <c r="V8816" s="100"/>
      <c r="Y8816" s="100"/>
    </row>
    <row r="8817">
      <c r="R8817" s="100"/>
      <c r="V8817" s="100"/>
      <c r="Y8817" s="100"/>
    </row>
    <row r="8818">
      <c r="R8818" s="100"/>
      <c r="V8818" s="100"/>
      <c r="Y8818" s="100"/>
    </row>
    <row r="8819">
      <c r="R8819" s="100"/>
      <c r="V8819" s="100"/>
      <c r="Y8819" s="100"/>
    </row>
    <row r="8820">
      <c r="R8820" s="100"/>
      <c r="V8820" s="100"/>
      <c r="Y8820" s="100"/>
    </row>
    <row r="8821">
      <c r="R8821" s="100"/>
      <c r="V8821" s="100"/>
      <c r="Y8821" s="100"/>
    </row>
    <row r="8822">
      <c r="R8822" s="100"/>
      <c r="V8822" s="100"/>
      <c r="Y8822" s="100"/>
    </row>
    <row r="8823">
      <c r="R8823" s="100"/>
      <c r="V8823" s="100"/>
      <c r="Y8823" s="100"/>
    </row>
    <row r="8824">
      <c r="R8824" s="100"/>
      <c r="V8824" s="100"/>
      <c r="Y8824" s="100"/>
    </row>
    <row r="8825">
      <c r="R8825" s="100"/>
      <c r="V8825" s="100"/>
      <c r="Y8825" s="100"/>
    </row>
    <row r="8826">
      <c r="R8826" s="100"/>
      <c r="V8826" s="100"/>
      <c r="Y8826" s="100"/>
    </row>
    <row r="8827">
      <c r="R8827" s="100"/>
      <c r="V8827" s="100"/>
      <c r="Y8827" s="100"/>
    </row>
    <row r="8828">
      <c r="R8828" s="100"/>
      <c r="V8828" s="100"/>
      <c r="Y8828" s="100"/>
    </row>
    <row r="8829">
      <c r="R8829" s="100"/>
      <c r="V8829" s="100"/>
      <c r="Y8829" s="100"/>
    </row>
    <row r="8830">
      <c r="R8830" s="100"/>
      <c r="V8830" s="100"/>
      <c r="Y8830" s="100"/>
    </row>
    <row r="8831">
      <c r="R8831" s="100"/>
      <c r="V8831" s="100"/>
      <c r="Y8831" s="100"/>
    </row>
    <row r="8832">
      <c r="R8832" s="100"/>
      <c r="V8832" s="100"/>
      <c r="Y8832" s="100"/>
    </row>
    <row r="8833">
      <c r="R8833" s="100"/>
      <c r="V8833" s="100"/>
      <c r="Y8833" s="100"/>
    </row>
    <row r="8834">
      <c r="R8834" s="100"/>
      <c r="V8834" s="100"/>
      <c r="Y8834" s="100"/>
    </row>
    <row r="8835">
      <c r="R8835" s="100"/>
      <c r="V8835" s="100"/>
      <c r="Y8835" s="100"/>
    </row>
    <row r="8836">
      <c r="R8836" s="100"/>
      <c r="V8836" s="100"/>
      <c r="Y8836" s="100"/>
    </row>
    <row r="8837">
      <c r="R8837" s="100"/>
      <c r="V8837" s="100"/>
      <c r="Y8837" s="100"/>
    </row>
    <row r="8838">
      <c r="R8838" s="100"/>
      <c r="V8838" s="100"/>
      <c r="Y8838" s="100"/>
    </row>
    <row r="8839">
      <c r="R8839" s="100"/>
      <c r="V8839" s="100"/>
      <c r="Y8839" s="100"/>
    </row>
    <row r="8840">
      <c r="R8840" s="100"/>
      <c r="V8840" s="100"/>
      <c r="Y8840" s="100"/>
    </row>
    <row r="8841">
      <c r="R8841" s="100"/>
      <c r="V8841" s="100"/>
      <c r="Y8841" s="100"/>
    </row>
    <row r="8842">
      <c r="R8842" s="100"/>
      <c r="V8842" s="100"/>
      <c r="Y8842" s="100"/>
    </row>
    <row r="8843">
      <c r="R8843" s="100"/>
      <c r="V8843" s="100"/>
      <c r="Y8843" s="100"/>
    </row>
    <row r="8844">
      <c r="R8844" s="100"/>
      <c r="V8844" s="100"/>
      <c r="Y8844" s="100"/>
    </row>
    <row r="8845">
      <c r="R8845" s="100"/>
      <c r="V8845" s="100"/>
      <c r="Y8845" s="100"/>
    </row>
    <row r="8846">
      <c r="R8846" s="100"/>
      <c r="V8846" s="100"/>
      <c r="Y8846" s="100"/>
    </row>
    <row r="8847">
      <c r="R8847" s="100"/>
      <c r="V8847" s="100"/>
      <c r="Y8847" s="100"/>
    </row>
    <row r="8848">
      <c r="R8848" s="100"/>
      <c r="V8848" s="100"/>
      <c r="Y8848" s="100"/>
    </row>
    <row r="8849">
      <c r="R8849" s="100"/>
      <c r="V8849" s="100"/>
      <c r="Y8849" s="100"/>
    </row>
    <row r="8850">
      <c r="R8850" s="100"/>
      <c r="V8850" s="100"/>
      <c r="Y8850" s="100"/>
    </row>
    <row r="8851">
      <c r="R8851" s="100"/>
      <c r="V8851" s="100"/>
      <c r="Y8851" s="100"/>
    </row>
    <row r="8852">
      <c r="R8852" s="100"/>
      <c r="V8852" s="100"/>
      <c r="Y8852" s="100"/>
    </row>
    <row r="8853">
      <c r="R8853" s="100"/>
      <c r="V8853" s="100"/>
      <c r="Y8853" s="100"/>
    </row>
    <row r="8854">
      <c r="R8854" s="100"/>
      <c r="V8854" s="100"/>
      <c r="Y8854" s="100"/>
    </row>
    <row r="8855">
      <c r="R8855" s="100"/>
      <c r="V8855" s="100"/>
      <c r="Y8855" s="100"/>
    </row>
    <row r="8856">
      <c r="R8856" s="100"/>
      <c r="V8856" s="100"/>
      <c r="Y8856" s="100"/>
    </row>
    <row r="8857">
      <c r="R8857" s="100"/>
      <c r="V8857" s="100"/>
      <c r="Y8857" s="100"/>
    </row>
    <row r="8858">
      <c r="R8858" s="100"/>
      <c r="V8858" s="100"/>
      <c r="Y8858" s="100"/>
    </row>
    <row r="8859">
      <c r="R8859" s="100"/>
      <c r="V8859" s="100"/>
      <c r="Y8859" s="100"/>
    </row>
    <row r="8860">
      <c r="R8860" s="100"/>
      <c r="V8860" s="100"/>
      <c r="Y8860" s="100"/>
    </row>
    <row r="8861">
      <c r="R8861" s="100"/>
      <c r="V8861" s="100"/>
      <c r="Y8861" s="100"/>
    </row>
    <row r="8862">
      <c r="R8862" s="100"/>
      <c r="V8862" s="100"/>
      <c r="Y8862" s="100"/>
    </row>
    <row r="8863">
      <c r="R8863" s="100"/>
      <c r="V8863" s="100"/>
      <c r="Y8863" s="100"/>
    </row>
    <row r="8864">
      <c r="R8864" s="100"/>
      <c r="V8864" s="100"/>
      <c r="Y8864" s="100"/>
    </row>
    <row r="8865">
      <c r="R8865" s="100"/>
      <c r="V8865" s="100"/>
      <c r="Y8865" s="100"/>
    </row>
    <row r="8866">
      <c r="R8866" s="100"/>
      <c r="V8866" s="100"/>
      <c r="Y8866" s="100"/>
    </row>
    <row r="8867">
      <c r="R8867" s="100"/>
      <c r="V8867" s="100"/>
      <c r="Y8867" s="100"/>
    </row>
    <row r="8868">
      <c r="R8868" s="100"/>
      <c r="V8868" s="100"/>
      <c r="Y8868" s="100"/>
    </row>
    <row r="8869">
      <c r="R8869" s="100"/>
      <c r="V8869" s="100"/>
      <c r="Y8869" s="100"/>
    </row>
    <row r="8870">
      <c r="R8870" s="100"/>
      <c r="V8870" s="100"/>
      <c r="Y8870" s="100"/>
    </row>
    <row r="8871">
      <c r="R8871" s="100"/>
      <c r="V8871" s="100"/>
      <c r="Y8871" s="100"/>
    </row>
    <row r="8872">
      <c r="R8872" s="100"/>
      <c r="V8872" s="100"/>
      <c r="Y8872" s="100"/>
    </row>
    <row r="8873">
      <c r="R8873" s="100"/>
      <c r="V8873" s="100"/>
      <c r="Y8873" s="100"/>
    </row>
    <row r="8874">
      <c r="R8874" s="100"/>
      <c r="V8874" s="100"/>
      <c r="Y8874" s="100"/>
    </row>
    <row r="8875">
      <c r="R8875" s="100"/>
      <c r="V8875" s="100"/>
      <c r="Y8875" s="100"/>
    </row>
    <row r="8876">
      <c r="R8876" s="100"/>
      <c r="V8876" s="100"/>
      <c r="Y8876" s="100"/>
    </row>
    <row r="8877">
      <c r="R8877" s="100"/>
      <c r="V8877" s="100"/>
      <c r="Y8877" s="100"/>
    </row>
    <row r="8878">
      <c r="R8878" s="100"/>
      <c r="V8878" s="100"/>
      <c r="Y8878" s="100"/>
    </row>
    <row r="8879">
      <c r="R8879" s="100"/>
      <c r="V8879" s="100"/>
      <c r="Y8879" s="100"/>
    </row>
    <row r="8880">
      <c r="R8880" s="100"/>
      <c r="V8880" s="100"/>
      <c r="Y8880" s="100"/>
    </row>
    <row r="8881">
      <c r="R8881" s="100"/>
      <c r="V8881" s="100"/>
      <c r="Y8881" s="100"/>
    </row>
    <row r="8882">
      <c r="R8882" s="100"/>
      <c r="V8882" s="100"/>
      <c r="Y8882" s="100"/>
    </row>
    <row r="8883">
      <c r="R8883" s="100"/>
      <c r="V8883" s="100"/>
      <c r="Y8883" s="100"/>
    </row>
    <row r="8884">
      <c r="R8884" s="100"/>
      <c r="V8884" s="100"/>
      <c r="Y8884" s="100"/>
    </row>
    <row r="8885">
      <c r="R8885" s="100"/>
      <c r="V8885" s="100"/>
      <c r="Y8885" s="100"/>
    </row>
    <row r="8886">
      <c r="R8886" s="100"/>
      <c r="V8886" s="100"/>
      <c r="Y8886" s="100"/>
    </row>
    <row r="8887">
      <c r="R8887" s="100"/>
      <c r="V8887" s="100"/>
      <c r="Y8887" s="100"/>
    </row>
    <row r="8888">
      <c r="R8888" s="100"/>
      <c r="V8888" s="100"/>
      <c r="Y8888" s="100"/>
    </row>
    <row r="8889">
      <c r="R8889" s="100"/>
      <c r="V8889" s="100"/>
      <c r="Y8889" s="100"/>
    </row>
    <row r="8890">
      <c r="R8890" s="100"/>
      <c r="V8890" s="100"/>
      <c r="Y8890" s="100"/>
    </row>
    <row r="8891">
      <c r="R8891" s="100"/>
      <c r="V8891" s="100"/>
      <c r="Y8891" s="100"/>
    </row>
    <row r="8892">
      <c r="R8892" s="100"/>
      <c r="V8892" s="100"/>
      <c r="Y8892" s="100"/>
    </row>
    <row r="8893">
      <c r="R8893" s="100"/>
      <c r="V8893" s="100"/>
      <c r="Y8893" s="100"/>
    </row>
    <row r="8894">
      <c r="R8894" s="100"/>
      <c r="V8894" s="100"/>
      <c r="Y8894" s="100"/>
    </row>
    <row r="8895">
      <c r="R8895" s="100"/>
      <c r="V8895" s="100"/>
      <c r="Y8895" s="100"/>
    </row>
    <row r="8896">
      <c r="R8896" s="100"/>
      <c r="V8896" s="100"/>
      <c r="Y8896" s="100"/>
    </row>
    <row r="8897">
      <c r="R8897" s="100"/>
      <c r="V8897" s="100"/>
      <c r="Y8897" s="100"/>
    </row>
    <row r="8898">
      <c r="R8898" s="100"/>
      <c r="V8898" s="100"/>
      <c r="Y8898" s="100"/>
    </row>
    <row r="8899">
      <c r="R8899" s="100"/>
      <c r="V8899" s="100"/>
      <c r="Y8899" s="100"/>
    </row>
    <row r="8900">
      <c r="R8900" s="100"/>
      <c r="V8900" s="100"/>
      <c r="Y8900" s="100"/>
    </row>
    <row r="8901">
      <c r="R8901" s="100"/>
      <c r="V8901" s="100"/>
      <c r="Y8901" s="100"/>
    </row>
    <row r="8902">
      <c r="R8902" s="100"/>
      <c r="V8902" s="100"/>
      <c r="Y8902" s="100"/>
    </row>
    <row r="8903">
      <c r="R8903" s="100"/>
      <c r="V8903" s="100"/>
      <c r="Y8903" s="100"/>
    </row>
    <row r="8904">
      <c r="R8904" s="100"/>
      <c r="V8904" s="100"/>
      <c r="Y8904" s="100"/>
    </row>
    <row r="8905">
      <c r="R8905" s="100"/>
      <c r="V8905" s="100"/>
      <c r="Y8905" s="100"/>
    </row>
    <row r="8906">
      <c r="R8906" s="100"/>
      <c r="V8906" s="100"/>
      <c r="Y8906" s="100"/>
    </row>
    <row r="8907">
      <c r="R8907" s="100"/>
      <c r="V8907" s="100"/>
      <c r="Y8907" s="100"/>
    </row>
    <row r="8908">
      <c r="R8908" s="100"/>
      <c r="V8908" s="100"/>
      <c r="Y8908" s="100"/>
    </row>
    <row r="8909">
      <c r="R8909" s="100"/>
      <c r="V8909" s="100"/>
      <c r="Y8909" s="100"/>
    </row>
    <row r="8910">
      <c r="R8910" s="100"/>
      <c r="V8910" s="100"/>
      <c r="Y8910" s="100"/>
    </row>
    <row r="8911">
      <c r="R8911" s="100"/>
      <c r="V8911" s="100"/>
      <c r="Y8911" s="100"/>
    </row>
    <row r="8912">
      <c r="R8912" s="100"/>
      <c r="V8912" s="100"/>
      <c r="Y8912" s="100"/>
    </row>
    <row r="8913">
      <c r="R8913" s="100"/>
      <c r="V8913" s="100"/>
      <c r="Y8913" s="100"/>
    </row>
    <row r="8914">
      <c r="R8914" s="100"/>
      <c r="V8914" s="100"/>
      <c r="Y8914" s="100"/>
    </row>
    <row r="8915">
      <c r="R8915" s="100"/>
      <c r="V8915" s="100"/>
      <c r="Y8915" s="100"/>
    </row>
    <row r="8916">
      <c r="R8916" s="100"/>
      <c r="V8916" s="100"/>
      <c r="Y8916" s="100"/>
    </row>
    <row r="8917">
      <c r="R8917" s="100"/>
      <c r="V8917" s="100"/>
      <c r="Y8917" s="100"/>
    </row>
    <row r="8918">
      <c r="R8918" s="100"/>
      <c r="V8918" s="100"/>
      <c r="Y8918" s="100"/>
    </row>
    <row r="8919">
      <c r="R8919" s="100"/>
      <c r="V8919" s="100"/>
      <c r="Y8919" s="100"/>
    </row>
    <row r="8920">
      <c r="R8920" s="100"/>
      <c r="V8920" s="100"/>
      <c r="Y8920" s="100"/>
    </row>
    <row r="8921">
      <c r="R8921" s="100"/>
      <c r="V8921" s="100"/>
      <c r="Y8921" s="100"/>
    </row>
    <row r="8922">
      <c r="R8922" s="100"/>
      <c r="V8922" s="100"/>
      <c r="Y8922" s="100"/>
    </row>
    <row r="8923">
      <c r="R8923" s="100"/>
      <c r="V8923" s="100"/>
      <c r="Y8923" s="100"/>
    </row>
    <row r="8924">
      <c r="R8924" s="100"/>
      <c r="V8924" s="100"/>
      <c r="Y8924" s="100"/>
    </row>
    <row r="8925">
      <c r="R8925" s="100"/>
      <c r="V8925" s="100"/>
      <c r="Y8925" s="100"/>
    </row>
    <row r="8926">
      <c r="R8926" s="100"/>
      <c r="V8926" s="100"/>
      <c r="Y8926" s="100"/>
    </row>
    <row r="8927">
      <c r="R8927" s="100"/>
      <c r="V8927" s="100"/>
      <c r="Y8927" s="100"/>
    </row>
    <row r="8928">
      <c r="R8928" s="100"/>
      <c r="V8928" s="100"/>
      <c r="Y8928" s="100"/>
    </row>
    <row r="8929">
      <c r="R8929" s="100"/>
      <c r="V8929" s="100"/>
      <c r="Y8929" s="100"/>
    </row>
    <row r="8930">
      <c r="R8930" s="100"/>
      <c r="V8930" s="100"/>
      <c r="Y8930" s="100"/>
    </row>
    <row r="8931">
      <c r="R8931" s="100"/>
      <c r="V8931" s="100"/>
      <c r="Y8931" s="100"/>
    </row>
    <row r="8932">
      <c r="R8932" s="100"/>
      <c r="V8932" s="100"/>
      <c r="Y8932" s="100"/>
    </row>
    <row r="8933">
      <c r="R8933" s="100"/>
      <c r="V8933" s="100"/>
      <c r="Y8933" s="100"/>
    </row>
    <row r="8934">
      <c r="R8934" s="100"/>
      <c r="V8934" s="100"/>
      <c r="Y8934" s="100"/>
    </row>
    <row r="8935">
      <c r="R8935" s="100"/>
      <c r="V8935" s="100"/>
      <c r="Y8935" s="100"/>
    </row>
    <row r="8936">
      <c r="R8936" s="100"/>
      <c r="V8936" s="100"/>
      <c r="Y8936" s="100"/>
    </row>
    <row r="8937">
      <c r="R8937" s="100"/>
      <c r="V8937" s="100"/>
      <c r="Y8937" s="100"/>
    </row>
    <row r="8938">
      <c r="R8938" s="100"/>
      <c r="V8938" s="100"/>
      <c r="Y8938" s="100"/>
    </row>
    <row r="8939">
      <c r="R8939" s="100"/>
      <c r="V8939" s="100"/>
      <c r="Y8939" s="100"/>
    </row>
    <row r="8940">
      <c r="R8940" s="100"/>
      <c r="V8940" s="100"/>
      <c r="Y8940" s="100"/>
    </row>
    <row r="8941">
      <c r="R8941" s="100"/>
      <c r="V8941" s="100"/>
      <c r="Y8941" s="100"/>
    </row>
    <row r="8942">
      <c r="R8942" s="100"/>
      <c r="V8942" s="100"/>
      <c r="Y8942" s="100"/>
    </row>
    <row r="8943">
      <c r="R8943" s="100"/>
      <c r="V8943" s="100"/>
      <c r="Y8943" s="100"/>
    </row>
    <row r="8944">
      <c r="R8944" s="100"/>
      <c r="V8944" s="100"/>
      <c r="Y8944" s="100"/>
    </row>
    <row r="8945">
      <c r="R8945" s="100"/>
      <c r="V8945" s="100"/>
      <c r="Y8945" s="100"/>
    </row>
    <row r="8946">
      <c r="R8946" s="100"/>
      <c r="V8946" s="100"/>
      <c r="Y8946" s="100"/>
    </row>
    <row r="8947">
      <c r="R8947" s="100"/>
      <c r="V8947" s="100"/>
      <c r="Y8947" s="100"/>
    </row>
    <row r="8948">
      <c r="R8948" s="100"/>
      <c r="V8948" s="100"/>
      <c r="Y8948" s="100"/>
    </row>
    <row r="8949">
      <c r="R8949" s="100"/>
      <c r="V8949" s="100"/>
      <c r="Y8949" s="100"/>
    </row>
    <row r="8950">
      <c r="R8950" s="100"/>
      <c r="V8950" s="100"/>
      <c r="Y8950" s="100"/>
    </row>
    <row r="8951">
      <c r="R8951" s="100"/>
      <c r="V8951" s="100"/>
      <c r="Y8951" s="100"/>
    </row>
    <row r="8952">
      <c r="R8952" s="100"/>
      <c r="V8952" s="100"/>
      <c r="Y8952" s="100"/>
    </row>
    <row r="8953">
      <c r="R8953" s="100"/>
      <c r="V8953" s="100"/>
      <c r="Y8953" s="100"/>
    </row>
    <row r="8954">
      <c r="R8954" s="100"/>
      <c r="V8954" s="100"/>
      <c r="Y8954" s="100"/>
    </row>
    <row r="8955">
      <c r="R8955" s="100"/>
      <c r="V8955" s="100"/>
      <c r="Y8955" s="100"/>
    </row>
    <row r="8956">
      <c r="R8956" s="100"/>
      <c r="V8956" s="100"/>
      <c r="Y8956" s="100"/>
    </row>
    <row r="8957">
      <c r="R8957" s="100"/>
      <c r="V8957" s="100"/>
      <c r="Y8957" s="100"/>
    </row>
    <row r="8958">
      <c r="R8958" s="100"/>
      <c r="V8958" s="100"/>
      <c r="Y8958" s="100"/>
    </row>
    <row r="8959">
      <c r="R8959" s="100"/>
      <c r="V8959" s="100"/>
      <c r="Y8959" s="100"/>
    </row>
    <row r="8960">
      <c r="R8960" s="100"/>
      <c r="V8960" s="100"/>
      <c r="Y8960" s="100"/>
    </row>
    <row r="8961">
      <c r="R8961" s="100"/>
      <c r="V8961" s="100"/>
      <c r="Y8961" s="100"/>
    </row>
    <row r="8962">
      <c r="R8962" s="100"/>
      <c r="V8962" s="100"/>
      <c r="Y8962" s="100"/>
    </row>
    <row r="8963">
      <c r="R8963" s="100"/>
      <c r="V8963" s="100"/>
      <c r="Y8963" s="100"/>
    </row>
    <row r="8964">
      <c r="R8964" s="100"/>
      <c r="V8964" s="100"/>
      <c r="Y8964" s="100"/>
    </row>
    <row r="8965">
      <c r="R8965" s="100"/>
      <c r="V8965" s="100"/>
      <c r="Y8965" s="100"/>
    </row>
    <row r="8966">
      <c r="R8966" s="100"/>
      <c r="V8966" s="100"/>
      <c r="Y8966" s="100"/>
    </row>
    <row r="8967">
      <c r="R8967" s="100"/>
      <c r="V8967" s="100"/>
      <c r="Y8967" s="100"/>
    </row>
    <row r="8968">
      <c r="R8968" s="100"/>
      <c r="V8968" s="100"/>
      <c r="Y8968" s="100"/>
    </row>
    <row r="8969">
      <c r="R8969" s="100"/>
      <c r="V8969" s="100"/>
      <c r="Y8969" s="100"/>
    </row>
    <row r="8970">
      <c r="R8970" s="100"/>
      <c r="V8970" s="100"/>
      <c r="Y8970" s="100"/>
    </row>
    <row r="8971">
      <c r="R8971" s="100"/>
      <c r="V8971" s="100"/>
      <c r="Y8971" s="100"/>
    </row>
    <row r="8972">
      <c r="R8972" s="100"/>
      <c r="V8972" s="100"/>
      <c r="Y8972" s="100"/>
    </row>
    <row r="8973">
      <c r="R8973" s="100"/>
      <c r="V8973" s="100"/>
      <c r="Y8973" s="100"/>
    </row>
    <row r="8974">
      <c r="R8974" s="100"/>
      <c r="V8974" s="100"/>
      <c r="Y8974" s="100"/>
    </row>
    <row r="8975">
      <c r="R8975" s="100"/>
      <c r="V8975" s="100"/>
      <c r="Y8975" s="100"/>
    </row>
    <row r="8976">
      <c r="R8976" s="100"/>
      <c r="V8976" s="100"/>
      <c r="Y8976" s="100"/>
    </row>
    <row r="8977">
      <c r="R8977" s="100"/>
      <c r="V8977" s="100"/>
      <c r="Y8977" s="100"/>
    </row>
    <row r="8978">
      <c r="R8978" s="100"/>
      <c r="V8978" s="100"/>
      <c r="Y8978" s="100"/>
    </row>
    <row r="8979">
      <c r="R8979" s="100"/>
      <c r="V8979" s="100"/>
      <c r="Y8979" s="100"/>
    </row>
    <row r="8980">
      <c r="R8980" s="100"/>
      <c r="V8980" s="100"/>
      <c r="Y8980" s="100"/>
    </row>
    <row r="8981">
      <c r="R8981" s="100"/>
      <c r="V8981" s="100"/>
      <c r="Y8981" s="100"/>
    </row>
    <row r="8982">
      <c r="R8982" s="100"/>
      <c r="V8982" s="100"/>
      <c r="Y8982" s="100"/>
    </row>
    <row r="8983">
      <c r="R8983" s="100"/>
      <c r="V8983" s="100"/>
      <c r="Y8983" s="100"/>
    </row>
    <row r="8984">
      <c r="R8984" s="100"/>
      <c r="V8984" s="100"/>
      <c r="Y8984" s="100"/>
    </row>
    <row r="8985">
      <c r="R8985" s="100"/>
      <c r="V8985" s="100"/>
      <c r="Y8985" s="100"/>
    </row>
    <row r="8986">
      <c r="R8986" s="100"/>
      <c r="V8986" s="100"/>
      <c r="Y8986" s="100"/>
    </row>
    <row r="8987">
      <c r="R8987" s="100"/>
      <c r="V8987" s="100"/>
      <c r="Y8987" s="100"/>
    </row>
    <row r="8988">
      <c r="R8988" s="100"/>
      <c r="V8988" s="100"/>
      <c r="Y8988" s="100"/>
    </row>
    <row r="8989">
      <c r="R8989" s="100"/>
      <c r="V8989" s="100"/>
      <c r="Y8989" s="100"/>
    </row>
    <row r="8990">
      <c r="R8990" s="100"/>
      <c r="V8990" s="100"/>
      <c r="Y8990" s="100"/>
    </row>
    <row r="8991">
      <c r="R8991" s="100"/>
      <c r="V8991" s="100"/>
      <c r="Y8991" s="100"/>
    </row>
    <row r="8992">
      <c r="R8992" s="100"/>
      <c r="V8992" s="100"/>
      <c r="Y8992" s="100"/>
    </row>
    <row r="8993">
      <c r="R8993" s="100"/>
      <c r="V8993" s="100"/>
      <c r="Y8993" s="100"/>
    </row>
    <row r="8994">
      <c r="R8994" s="100"/>
      <c r="V8994" s="100"/>
      <c r="Y8994" s="100"/>
    </row>
    <row r="8995">
      <c r="R8995" s="100"/>
      <c r="V8995" s="100"/>
      <c r="Y8995" s="100"/>
    </row>
    <row r="8996">
      <c r="R8996" s="100"/>
      <c r="V8996" s="100"/>
      <c r="Y8996" s="100"/>
    </row>
    <row r="8997">
      <c r="R8997" s="100"/>
      <c r="V8997" s="100"/>
      <c r="Y8997" s="100"/>
    </row>
    <row r="8998">
      <c r="R8998" s="100"/>
      <c r="V8998" s="100"/>
      <c r="Y8998" s="100"/>
    </row>
    <row r="8999">
      <c r="R8999" s="100"/>
      <c r="V8999" s="100"/>
      <c r="Y8999" s="100"/>
    </row>
    <row r="9000">
      <c r="R9000" s="100"/>
      <c r="V9000" s="100"/>
      <c r="Y9000" s="100"/>
    </row>
    <row r="9001">
      <c r="R9001" s="100"/>
      <c r="V9001" s="100"/>
      <c r="Y9001" s="100"/>
    </row>
    <row r="9002">
      <c r="R9002" s="100"/>
      <c r="V9002" s="100"/>
      <c r="Y9002" s="100"/>
    </row>
    <row r="9003">
      <c r="R9003" s="100"/>
      <c r="V9003" s="100"/>
      <c r="Y9003" s="100"/>
    </row>
    <row r="9004">
      <c r="R9004" s="100"/>
      <c r="V9004" s="100"/>
      <c r="Y9004" s="100"/>
    </row>
    <row r="9005">
      <c r="R9005" s="100"/>
      <c r="V9005" s="100"/>
      <c r="Y9005" s="100"/>
    </row>
    <row r="9006">
      <c r="R9006" s="100"/>
      <c r="V9006" s="100"/>
      <c r="Y9006" s="100"/>
    </row>
    <row r="9007">
      <c r="R9007" s="100"/>
      <c r="V9007" s="100"/>
      <c r="Y9007" s="100"/>
    </row>
    <row r="9008">
      <c r="R9008" s="100"/>
      <c r="V9008" s="100"/>
      <c r="Y9008" s="100"/>
    </row>
    <row r="9009">
      <c r="R9009" s="100"/>
      <c r="V9009" s="100"/>
      <c r="Y9009" s="100"/>
    </row>
    <row r="9010">
      <c r="R9010" s="100"/>
      <c r="V9010" s="100"/>
      <c r="Y9010" s="100"/>
    </row>
    <row r="9011">
      <c r="R9011" s="100"/>
      <c r="V9011" s="100"/>
      <c r="Y9011" s="100"/>
    </row>
    <row r="9012">
      <c r="R9012" s="100"/>
      <c r="V9012" s="100"/>
      <c r="Y9012" s="100"/>
    </row>
    <row r="9013">
      <c r="R9013" s="100"/>
      <c r="V9013" s="100"/>
      <c r="Y9013" s="100"/>
    </row>
    <row r="9014">
      <c r="R9014" s="100"/>
      <c r="V9014" s="100"/>
      <c r="Y9014" s="100"/>
    </row>
    <row r="9015">
      <c r="R9015" s="100"/>
      <c r="V9015" s="100"/>
      <c r="Y9015" s="100"/>
    </row>
    <row r="9016">
      <c r="R9016" s="100"/>
      <c r="V9016" s="100"/>
      <c r="Y9016" s="100"/>
    </row>
    <row r="9017">
      <c r="R9017" s="100"/>
      <c r="V9017" s="100"/>
      <c r="Y9017" s="100"/>
    </row>
    <row r="9018">
      <c r="R9018" s="100"/>
      <c r="V9018" s="100"/>
      <c r="Y9018" s="100"/>
    </row>
    <row r="9019">
      <c r="R9019" s="100"/>
      <c r="V9019" s="100"/>
      <c r="Y9019" s="100"/>
    </row>
    <row r="9020">
      <c r="R9020" s="100"/>
      <c r="V9020" s="100"/>
      <c r="Y9020" s="100"/>
    </row>
    <row r="9021">
      <c r="R9021" s="100"/>
      <c r="V9021" s="100"/>
      <c r="Y9021" s="100"/>
    </row>
    <row r="9022">
      <c r="R9022" s="100"/>
      <c r="V9022" s="100"/>
      <c r="Y9022" s="100"/>
    </row>
    <row r="9023">
      <c r="R9023" s="100"/>
      <c r="V9023" s="100"/>
      <c r="Y9023" s="100"/>
    </row>
    <row r="9024">
      <c r="R9024" s="100"/>
      <c r="V9024" s="100"/>
      <c r="Y9024" s="100"/>
    </row>
    <row r="9025">
      <c r="R9025" s="100"/>
      <c r="V9025" s="100"/>
      <c r="Y9025" s="100"/>
    </row>
    <row r="9026">
      <c r="R9026" s="100"/>
      <c r="V9026" s="100"/>
      <c r="Y9026" s="100"/>
    </row>
    <row r="9027">
      <c r="R9027" s="100"/>
      <c r="V9027" s="100"/>
      <c r="Y9027" s="100"/>
    </row>
    <row r="9028">
      <c r="R9028" s="100"/>
      <c r="V9028" s="100"/>
      <c r="Y9028" s="100"/>
    </row>
    <row r="9029">
      <c r="R9029" s="100"/>
      <c r="V9029" s="100"/>
      <c r="Y9029" s="100"/>
    </row>
    <row r="9030">
      <c r="R9030" s="100"/>
      <c r="V9030" s="100"/>
      <c r="Y9030" s="100"/>
    </row>
    <row r="9031">
      <c r="R9031" s="100"/>
      <c r="V9031" s="100"/>
      <c r="Y9031" s="100"/>
    </row>
    <row r="9032">
      <c r="R9032" s="100"/>
      <c r="V9032" s="100"/>
      <c r="Y9032" s="100"/>
    </row>
    <row r="9033">
      <c r="R9033" s="100"/>
      <c r="V9033" s="100"/>
      <c r="Y9033" s="100"/>
    </row>
    <row r="9034">
      <c r="R9034" s="100"/>
      <c r="V9034" s="100"/>
      <c r="Y9034" s="100"/>
    </row>
    <row r="9035">
      <c r="R9035" s="100"/>
      <c r="V9035" s="100"/>
      <c r="Y9035" s="100"/>
    </row>
    <row r="9036">
      <c r="R9036" s="100"/>
      <c r="V9036" s="100"/>
      <c r="Y9036" s="100"/>
    </row>
    <row r="9037">
      <c r="R9037" s="100"/>
      <c r="V9037" s="100"/>
      <c r="Y9037" s="100"/>
    </row>
    <row r="9038">
      <c r="R9038" s="100"/>
      <c r="V9038" s="100"/>
      <c r="Y9038" s="100"/>
    </row>
    <row r="9039">
      <c r="R9039" s="100"/>
      <c r="V9039" s="100"/>
      <c r="Y9039" s="100"/>
    </row>
    <row r="9040">
      <c r="R9040" s="100"/>
      <c r="V9040" s="100"/>
      <c r="Y9040" s="100"/>
    </row>
    <row r="9041">
      <c r="R9041" s="100"/>
      <c r="V9041" s="100"/>
      <c r="Y9041" s="100"/>
    </row>
    <row r="9042">
      <c r="R9042" s="100"/>
      <c r="V9042" s="100"/>
      <c r="Y9042" s="100"/>
    </row>
    <row r="9043">
      <c r="R9043" s="100"/>
      <c r="V9043" s="100"/>
      <c r="Y9043" s="100"/>
    </row>
    <row r="9044">
      <c r="R9044" s="100"/>
      <c r="V9044" s="100"/>
      <c r="Y9044" s="100"/>
    </row>
    <row r="9045">
      <c r="R9045" s="100"/>
      <c r="V9045" s="100"/>
      <c r="Y9045" s="100"/>
    </row>
    <row r="9046">
      <c r="R9046" s="100"/>
      <c r="V9046" s="100"/>
      <c r="Y9046" s="100"/>
    </row>
    <row r="9047">
      <c r="R9047" s="100"/>
      <c r="V9047" s="100"/>
      <c r="Y9047" s="100"/>
    </row>
    <row r="9048">
      <c r="R9048" s="100"/>
      <c r="V9048" s="100"/>
      <c r="Y9048" s="100"/>
    </row>
    <row r="9049">
      <c r="R9049" s="100"/>
      <c r="V9049" s="100"/>
      <c r="Y9049" s="100"/>
    </row>
    <row r="9050">
      <c r="R9050" s="100"/>
      <c r="V9050" s="100"/>
      <c r="Y9050" s="100"/>
    </row>
    <row r="9051">
      <c r="R9051" s="100"/>
      <c r="V9051" s="100"/>
      <c r="Y9051" s="100"/>
    </row>
    <row r="9052">
      <c r="R9052" s="100"/>
      <c r="V9052" s="100"/>
      <c r="Y9052" s="100"/>
    </row>
    <row r="9053">
      <c r="R9053" s="100"/>
      <c r="V9053" s="100"/>
      <c r="Y9053" s="100"/>
    </row>
    <row r="9054">
      <c r="R9054" s="100"/>
      <c r="V9054" s="100"/>
      <c r="Y9054" s="100"/>
    </row>
    <row r="9055">
      <c r="R9055" s="100"/>
      <c r="V9055" s="100"/>
      <c r="Y9055" s="100"/>
    </row>
    <row r="9056">
      <c r="R9056" s="100"/>
      <c r="V9056" s="100"/>
      <c r="Y9056" s="100"/>
    </row>
    <row r="9057">
      <c r="R9057" s="100"/>
      <c r="V9057" s="100"/>
      <c r="Y9057" s="100"/>
    </row>
    <row r="9058">
      <c r="R9058" s="100"/>
      <c r="V9058" s="100"/>
      <c r="Y9058" s="100"/>
    </row>
    <row r="9059">
      <c r="R9059" s="100"/>
      <c r="V9059" s="100"/>
      <c r="Y9059" s="100"/>
    </row>
    <row r="9060">
      <c r="R9060" s="100"/>
      <c r="V9060" s="100"/>
      <c r="Y9060" s="100"/>
    </row>
    <row r="9061">
      <c r="R9061" s="100"/>
      <c r="V9061" s="100"/>
      <c r="Y9061" s="100"/>
    </row>
    <row r="9062">
      <c r="R9062" s="100"/>
      <c r="V9062" s="100"/>
      <c r="Y9062" s="100"/>
    </row>
    <row r="9063">
      <c r="R9063" s="100"/>
      <c r="V9063" s="100"/>
      <c r="Y9063" s="100"/>
    </row>
    <row r="9064">
      <c r="R9064" s="100"/>
      <c r="V9064" s="100"/>
      <c r="Y9064" s="100"/>
    </row>
    <row r="9065">
      <c r="R9065" s="100"/>
      <c r="V9065" s="100"/>
      <c r="Y9065" s="100"/>
    </row>
    <row r="9066">
      <c r="R9066" s="100"/>
      <c r="V9066" s="100"/>
      <c r="Y9066" s="100"/>
    </row>
    <row r="9067">
      <c r="R9067" s="100"/>
      <c r="V9067" s="100"/>
      <c r="Y9067" s="100"/>
    </row>
    <row r="9068">
      <c r="R9068" s="100"/>
      <c r="V9068" s="100"/>
      <c r="Y9068" s="100"/>
    </row>
    <row r="9069">
      <c r="R9069" s="100"/>
      <c r="V9069" s="100"/>
      <c r="Y9069" s="100"/>
    </row>
    <row r="9070">
      <c r="R9070" s="100"/>
      <c r="V9070" s="100"/>
      <c r="Y9070" s="100"/>
    </row>
    <row r="9071">
      <c r="R9071" s="100"/>
      <c r="V9071" s="100"/>
      <c r="Y9071" s="100"/>
    </row>
    <row r="9072">
      <c r="R9072" s="100"/>
      <c r="V9072" s="100"/>
      <c r="Y9072" s="100"/>
    </row>
    <row r="9073">
      <c r="R9073" s="100"/>
      <c r="V9073" s="100"/>
      <c r="Y9073" s="100"/>
    </row>
    <row r="9074">
      <c r="R9074" s="100"/>
      <c r="V9074" s="100"/>
      <c r="Y9074" s="100"/>
    </row>
    <row r="9075">
      <c r="R9075" s="100"/>
      <c r="V9075" s="100"/>
      <c r="Y9075" s="100"/>
    </row>
    <row r="9076">
      <c r="R9076" s="100"/>
      <c r="V9076" s="100"/>
      <c r="Y9076" s="100"/>
    </row>
    <row r="9077">
      <c r="R9077" s="100"/>
      <c r="V9077" s="100"/>
      <c r="Y9077" s="100"/>
    </row>
    <row r="9078">
      <c r="R9078" s="100"/>
      <c r="V9078" s="100"/>
      <c r="Y9078" s="100"/>
    </row>
    <row r="9079">
      <c r="R9079" s="100"/>
      <c r="V9079" s="100"/>
      <c r="Y9079" s="100"/>
    </row>
    <row r="9080">
      <c r="R9080" s="100"/>
      <c r="V9080" s="100"/>
      <c r="Y9080" s="100"/>
    </row>
    <row r="9081">
      <c r="R9081" s="100"/>
      <c r="V9081" s="100"/>
      <c r="Y9081" s="100"/>
    </row>
    <row r="9082">
      <c r="R9082" s="100"/>
      <c r="V9082" s="100"/>
      <c r="Y9082" s="100"/>
    </row>
    <row r="9083">
      <c r="R9083" s="100"/>
      <c r="V9083" s="100"/>
      <c r="Y9083" s="100"/>
    </row>
    <row r="9084">
      <c r="R9084" s="100"/>
      <c r="V9084" s="100"/>
      <c r="Y9084" s="100"/>
    </row>
    <row r="9085">
      <c r="R9085" s="100"/>
      <c r="V9085" s="100"/>
      <c r="Y9085" s="100"/>
    </row>
    <row r="9086">
      <c r="R9086" s="100"/>
      <c r="V9086" s="100"/>
      <c r="Y9086" s="100"/>
    </row>
    <row r="9087">
      <c r="R9087" s="100"/>
      <c r="V9087" s="100"/>
      <c r="Y9087" s="100"/>
    </row>
    <row r="9088">
      <c r="R9088" s="100"/>
      <c r="V9088" s="100"/>
      <c r="Y9088" s="100"/>
    </row>
    <row r="9089">
      <c r="R9089" s="100"/>
      <c r="V9089" s="100"/>
      <c r="Y9089" s="100"/>
    </row>
    <row r="9090">
      <c r="R9090" s="100"/>
      <c r="V9090" s="100"/>
      <c r="Y9090" s="100"/>
    </row>
    <row r="9091">
      <c r="R9091" s="100"/>
      <c r="V9091" s="100"/>
      <c r="Y9091" s="100"/>
    </row>
    <row r="9092">
      <c r="R9092" s="100"/>
      <c r="V9092" s="100"/>
      <c r="Y9092" s="100"/>
    </row>
    <row r="9093">
      <c r="R9093" s="100"/>
      <c r="V9093" s="100"/>
      <c r="Y9093" s="100"/>
    </row>
    <row r="9094">
      <c r="R9094" s="100"/>
      <c r="V9094" s="100"/>
      <c r="Y9094" s="100"/>
    </row>
    <row r="9095">
      <c r="R9095" s="100"/>
      <c r="V9095" s="100"/>
      <c r="Y9095" s="100"/>
    </row>
    <row r="9096">
      <c r="R9096" s="100"/>
      <c r="V9096" s="100"/>
      <c r="Y9096" s="100"/>
    </row>
    <row r="9097">
      <c r="R9097" s="100"/>
      <c r="V9097" s="100"/>
      <c r="Y9097" s="100"/>
    </row>
    <row r="9098">
      <c r="R9098" s="100"/>
      <c r="V9098" s="100"/>
      <c r="Y9098" s="100"/>
    </row>
    <row r="9099">
      <c r="R9099" s="100"/>
      <c r="V9099" s="100"/>
      <c r="Y9099" s="100"/>
    </row>
    <row r="9100">
      <c r="R9100" s="100"/>
      <c r="V9100" s="100"/>
      <c r="Y9100" s="100"/>
    </row>
    <row r="9101">
      <c r="R9101" s="100"/>
      <c r="V9101" s="100"/>
      <c r="Y9101" s="100"/>
    </row>
    <row r="9102">
      <c r="R9102" s="100"/>
      <c r="V9102" s="100"/>
      <c r="Y9102" s="100"/>
    </row>
    <row r="9103">
      <c r="R9103" s="100"/>
      <c r="V9103" s="100"/>
      <c r="Y9103" s="100"/>
    </row>
    <row r="9104">
      <c r="R9104" s="100"/>
      <c r="V9104" s="100"/>
      <c r="Y9104" s="100"/>
    </row>
    <row r="9105">
      <c r="R9105" s="100"/>
      <c r="V9105" s="100"/>
      <c r="Y9105" s="100"/>
    </row>
    <row r="9106">
      <c r="R9106" s="100"/>
      <c r="V9106" s="100"/>
      <c r="Y9106" s="100"/>
    </row>
    <row r="9107">
      <c r="R9107" s="100"/>
      <c r="V9107" s="100"/>
      <c r="Y9107" s="100"/>
    </row>
    <row r="9108">
      <c r="R9108" s="100"/>
      <c r="V9108" s="100"/>
      <c r="Y9108" s="100"/>
    </row>
    <row r="9109">
      <c r="R9109" s="100"/>
      <c r="V9109" s="100"/>
      <c r="Y9109" s="100"/>
    </row>
    <row r="9110">
      <c r="R9110" s="100"/>
      <c r="V9110" s="100"/>
      <c r="Y9110" s="100"/>
    </row>
    <row r="9111">
      <c r="R9111" s="100"/>
      <c r="V9111" s="100"/>
      <c r="Y9111" s="100"/>
    </row>
    <row r="9112">
      <c r="R9112" s="100"/>
      <c r="V9112" s="100"/>
      <c r="Y9112" s="100"/>
    </row>
    <row r="9113">
      <c r="R9113" s="100"/>
      <c r="V9113" s="100"/>
      <c r="Y9113" s="100"/>
    </row>
    <row r="9114">
      <c r="R9114" s="100"/>
      <c r="V9114" s="100"/>
      <c r="Y9114" s="100"/>
    </row>
    <row r="9115">
      <c r="R9115" s="100"/>
      <c r="V9115" s="100"/>
      <c r="Y9115" s="100"/>
    </row>
    <row r="9116">
      <c r="R9116" s="100"/>
      <c r="V9116" s="100"/>
      <c r="Y9116" s="100"/>
    </row>
    <row r="9117">
      <c r="R9117" s="100"/>
      <c r="V9117" s="100"/>
      <c r="Y9117" s="100"/>
    </row>
    <row r="9118">
      <c r="R9118" s="100"/>
      <c r="V9118" s="100"/>
      <c r="Y9118" s="100"/>
    </row>
    <row r="9119">
      <c r="R9119" s="100"/>
      <c r="V9119" s="100"/>
      <c r="Y9119" s="100"/>
    </row>
    <row r="9120">
      <c r="R9120" s="100"/>
      <c r="V9120" s="100"/>
      <c r="Y9120" s="100"/>
    </row>
    <row r="9121">
      <c r="R9121" s="100"/>
      <c r="V9121" s="100"/>
      <c r="Y9121" s="100"/>
    </row>
    <row r="9122">
      <c r="R9122" s="100"/>
      <c r="V9122" s="100"/>
      <c r="Y9122" s="100"/>
    </row>
    <row r="9123">
      <c r="R9123" s="100"/>
      <c r="V9123" s="100"/>
      <c r="Y9123" s="100"/>
    </row>
    <row r="9124">
      <c r="R9124" s="100"/>
      <c r="V9124" s="100"/>
      <c r="Y9124" s="100"/>
    </row>
    <row r="9125">
      <c r="R9125" s="100"/>
      <c r="V9125" s="100"/>
      <c r="Y9125" s="100"/>
    </row>
    <row r="9126">
      <c r="R9126" s="100"/>
      <c r="V9126" s="100"/>
      <c r="Y9126" s="100"/>
    </row>
    <row r="9127">
      <c r="R9127" s="100"/>
      <c r="V9127" s="100"/>
      <c r="Y9127" s="100"/>
    </row>
    <row r="9128">
      <c r="R9128" s="100"/>
      <c r="V9128" s="100"/>
      <c r="Y9128" s="100"/>
    </row>
    <row r="9129">
      <c r="R9129" s="100"/>
      <c r="V9129" s="100"/>
      <c r="Y9129" s="100"/>
    </row>
    <row r="9130">
      <c r="R9130" s="100"/>
      <c r="V9130" s="100"/>
      <c r="Y9130" s="100"/>
    </row>
    <row r="9131">
      <c r="R9131" s="100"/>
      <c r="V9131" s="100"/>
      <c r="Y9131" s="100"/>
    </row>
    <row r="9132">
      <c r="R9132" s="100"/>
      <c r="V9132" s="100"/>
      <c r="Y9132" s="100"/>
    </row>
    <row r="9133">
      <c r="R9133" s="100"/>
      <c r="V9133" s="100"/>
      <c r="Y9133" s="100"/>
    </row>
    <row r="9134">
      <c r="R9134" s="100"/>
      <c r="V9134" s="100"/>
      <c r="Y9134" s="100"/>
    </row>
    <row r="9135">
      <c r="R9135" s="100"/>
      <c r="V9135" s="100"/>
      <c r="Y9135" s="100"/>
    </row>
    <row r="9136">
      <c r="R9136" s="100"/>
      <c r="V9136" s="100"/>
      <c r="Y9136" s="100"/>
    </row>
    <row r="9137">
      <c r="R9137" s="100"/>
      <c r="V9137" s="100"/>
      <c r="Y9137" s="100"/>
    </row>
    <row r="9138">
      <c r="R9138" s="100"/>
      <c r="V9138" s="100"/>
      <c r="Y9138" s="100"/>
    </row>
    <row r="9139">
      <c r="R9139" s="100"/>
      <c r="V9139" s="100"/>
      <c r="Y9139" s="100"/>
    </row>
    <row r="9140">
      <c r="R9140" s="100"/>
      <c r="V9140" s="100"/>
      <c r="Y9140" s="100"/>
    </row>
    <row r="9141">
      <c r="R9141" s="100"/>
      <c r="V9141" s="100"/>
      <c r="Y9141" s="100"/>
    </row>
    <row r="9142">
      <c r="R9142" s="100"/>
      <c r="V9142" s="100"/>
      <c r="Y9142" s="100"/>
    </row>
    <row r="9143">
      <c r="R9143" s="100"/>
      <c r="V9143" s="100"/>
      <c r="Y9143" s="100"/>
    </row>
    <row r="9144">
      <c r="R9144" s="100"/>
      <c r="V9144" s="100"/>
      <c r="Y9144" s="100"/>
    </row>
    <row r="9145">
      <c r="R9145" s="100"/>
      <c r="V9145" s="100"/>
      <c r="Y9145" s="100"/>
    </row>
    <row r="9146">
      <c r="R9146" s="100"/>
      <c r="V9146" s="100"/>
      <c r="Y9146" s="100"/>
    </row>
    <row r="9147">
      <c r="R9147" s="100"/>
      <c r="V9147" s="100"/>
      <c r="Y9147" s="100"/>
    </row>
    <row r="9148">
      <c r="R9148" s="100"/>
      <c r="V9148" s="100"/>
      <c r="Y9148" s="100"/>
    </row>
    <row r="9149">
      <c r="R9149" s="100"/>
      <c r="V9149" s="100"/>
      <c r="Y9149" s="100"/>
    </row>
    <row r="9150">
      <c r="R9150" s="100"/>
      <c r="V9150" s="100"/>
      <c r="Y9150" s="100"/>
    </row>
    <row r="9151">
      <c r="R9151" s="100"/>
      <c r="V9151" s="100"/>
      <c r="Y9151" s="100"/>
    </row>
    <row r="9152">
      <c r="R9152" s="100"/>
      <c r="V9152" s="100"/>
      <c r="Y9152" s="100"/>
    </row>
    <row r="9153">
      <c r="R9153" s="100"/>
      <c r="V9153" s="100"/>
      <c r="Y9153" s="100"/>
    </row>
    <row r="9154">
      <c r="R9154" s="100"/>
      <c r="V9154" s="100"/>
      <c r="Y9154" s="100"/>
    </row>
    <row r="9155">
      <c r="R9155" s="100"/>
      <c r="V9155" s="100"/>
      <c r="Y9155" s="100"/>
    </row>
    <row r="9156">
      <c r="R9156" s="100"/>
      <c r="V9156" s="100"/>
      <c r="Y9156" s="100"/>
    </row>
    <row r="9157">
      <c r="R9157" s="100"/>
      <c r="V9157" s="100"/>
      <c r="Y9157" s="100"/>
    </row>
    <row r="9158">
      <c r="R9158" s="100"/>
      <c r="V9158" s="100"/>
      <c r="Y9158" s="100"/>
    </row>
    <row r="9159">
      <c r="R9159" s="100"/>
      <c r="V9159" s="100"/>
      <c r="Y9159" s="100"/>
    </row>
    <row r="9160">
      <c r="R9160" s="100"/>
      <c r="V9160" s="100"/>
      <c r="Y9160" s="100"/>
    </row>
    <row r="9161">
      <c r="R9161" s="100"/>
      <c r="V9161" s="100"/>
      <c r="Y9161" s="100"/>
    </row>
    <row r="9162">
      <c r="R9162" s="100"/>
      <c r="V9162" s="100"/>
      <c r="Y9162" s="100"/>
    </row>
    <row r="9163">
      <c r="R9163" s="100"/>
      <c r="V9163" s="100"/>
      <c r="Y9163" s="100"/>
    </row>
    <row r="9164">
      <c r="R9164" s="100"/>
      <c r="V9164" s="100"/>
      <c r="Y9164" s="100"/>
    </row>
    <row r="9165">
      <c r="R9165" s="100"/>
      <c r="V9165" s="100"/>
      <c r="Y9165" s="100"/>
    </row>
    <row r="9166">
      <c r="R9166" s="100"/>
      <c r="V9166" s="100"/>
      <c r="Y9166" s="100"/>
    </row>
    <row r="9167">
      <c r="R9167" s="100"/>
      <c r="V9167" s="100"/>
      <c r="Y9167" s="100"/>
    </row>
    <row r="9168">
      <c r="R9168" s="100"/>
      <c r="V9168" s="100"/>
      <c r="Y9168" s="100"/>
    </row>
    <row r="9169">
      <c r="R9169" s="100"/>
      <c r="V9169" s="100"/>
      <c r="Y9169" s="100"/>
    </row>
    <row r="9170">
      <c r="R9170" s="100"/>
      <c r="V9170" s="100"/>
      <c r="Y9170" s="100"/>
    </row>
    <row r="9171">
      <c r="R9171" s="100"/>
      <c r="V9171" s="100"/>
      <c r="Y9171" s="100"/>
    </row>
    <row r="9172">
      <c r="R9172" s="100"/>
      <c r="V9172" s="100"/>
      <c r="Y9172" s="100"/>
    </row>
    <row r="9173">
      <c r="R9173" s="100"/>
      <c r="V9173" s="100"/>
      <c r="Y9173" s="100"/>
    </row>
    <row r="9174">
      <c r="R9174" s="100"/>
      <c r="V9174" s="100"/>
      <c r="Y9174" s="100"/>
    </row>
    <row r="9175">
      <c r="R9175" s="100"/>
      <c r="V9175" s="100"/>
      <c r="Y9175" s="100"/>
    </row>
    <row r="9176">
      <c r="R9176" s="100"/>
      <c r="V9176" s="100"/>
      <c r="Y9176" s="100"/>
    </row>
    <row r="9177">
      <c r="R9177" s="100"/>
      <c r="V9177" s="100"/>
      <c r="Y9177" s="100"/>
    </row>
    <row r="9178">
      <c r="R9178" s="100"/>
      <c r="V9178" s="100"/>
      <c r="Y9178" s="100"/>
    </row>
    <row r="9179">
      <c r="R9179" s="100"/>
      <c r="V9179" s="100"/>
      <c r="Y9179" s="100"/>
    </row>
    <row r="9180">
      <c r="R9180" s="100"/>
      <c r="V9180" s="100"/>
      <c r="Y9180" s="100"/>
    </row>
    <row r="9181">
      <c r="R9181" s="100"/>
      <c r="V9181" s="100"/>
      <c r="Y9181" s="100"/>
    </row>
    <row r="9182">
      <c r="R9182" s="100"/>
      <c r="V9182" s="100"/>
      <c r="Y9182" s="100"/>
    </row>
    <row r="9183">
      <c r="R9183" s="100"/>
      <c r="V9183" s="100"/>
      <c r="Y9183" s="100"/>
    </row>
    <row r="9184">
      <c r="R9184" s="100"/>
      <c r="V9184" s="100"/>
      <c r="Y9184" s="100"/>
    </row>
    <row r="9185">
      <c r="R9185" s="100"/>
      <c r="V9185" s="100"/>
      <c r="Y9185" s="100"/>
    </row>
    <row r="9186">
      <c r="R9186" s="100"/>
      <c r="V9186" s="100"/>
      <c r="Y9186" s="100"/>
    </row>
    <row r="9187">
      <c r="R9187" s="100"/>
      <c r="V9187" s="100"/>
      <c r="Y9187" s="100"/>
    </row>
    <row r="9188">
      <c r="R9188" s="100"/>
      <c r="V9188" s="100"/>
      <c r="Y9188" s="100"/>
    </row>
    <row r="9189">
      <c r="R9189" s="100"/>
      <c r="V9189" s="100"/>
      <c r="Y9189" s="100"/>
    </row>
    <row r="9190">
      <c r="R9190" s="100"/>
      <c r="V9190" s="100"/>
      <c r="Y9190" s="100"/>
    </row>
    <row r="9191">
      <c r="R9191" s="100"/>
      <c r="V9191" s="100"/>
      <c r="Y9191" s="100"/>
    </row>
    <row r="9192">
      <c r="R9192" s="100"/>
      <c r="V9192" s="100"/>
      <c r="Y9192" s="100"/>
    </row>
    <row r="9193">
      <c r="R9193" s="100"/>
      <c r="V9193" s="100"/>
      <c r="Y9193" s="100"/>
    </row>
    <row r="9194">
      <c r="R9194" s="100"/>
      <c r="V9194" s="100"/>
      <c r="Y9194" s="100"/>
    </row>
    <row r="9195">
      <c r="R9195" s="100"/>
      <c r="V9195" s="100"/>
      <c r="Y9195" s="100"/>
    </row>
    <row r="9196">
      <c r="R9196" s="100"/>
      <c r="V9196" s="100"/>
      <c r="Y9196" s="100"/>
    </row>
    <row r="9197">
      <c r="R9197" s="100"/>
      <c r="V9197" s="100"/>
      <c r="Y9197" s="100"/>
    </row>
    <row r="9198">
      <c r="R9198" s="100"/>
      <c r="V9198" s="100"/>
      <c r="Y9198" s="100"/>
    </row>
    <row r="9199">
      <c r="R9199" s="100"/>
      <c r="V9199" s="100"/>
      <c r="Y9199" s="100"/>
    </row>
    <row r="9200">
      <c r="R9200" s="100"/>
      <c r="V9200" s="100"/>
      <c r="Y9200" s="100"/>
    </row>
    <row r="9201">
      <c r="R9201" s="100"/>
      <c r="V9201" s="100"/>
      <c r="Y9201" s="100"/>
    </row>
    <row r="9202">
      <c r="R9202" s="100"/>
      <c r="V9202" s="100"/>
      <c r="Y9202" s="100"/>
    </row>
    <row r="9203">
      <c r="R9203" s="100"/>
      <c r="V9203" s="100"/>
      <c r="Y9203" s="100"/>
    </row>
    <row r="9204">
      <c r="R9204" s="100"/>
      <c r="V9204" s="100"/>
      <c r="Y9204" s="100"/>
    </row>
    <row r="9205">
      <c r="R9205" s="100"/>
      <c r="V9205" s="100"/>
      <c r="Y9205" s="100"/>
    </row>
    <row r="9206">
      <c r="R9206" s="100"/>
      <c r="V9206" s="100"/>
      <c r="Y9206" s="100"/>
    </row>
    <row r="9207">
      <c r="R9207" s="100"/>
      <c r="V9207" s="100"/>
      <c r="Y9207" s="100"/>
    </row>
    <row r="9208">
      <c r="R9208" s="100"/>
      <c r="V9208" s="100"/>
      <c r="Y9208" s="100"/>
    </row>
    <row r="9209">
      <c r="R9209" s="100"/>
      <c r="V9209" s="100"/>
      <c r="Y9209" s="100"/>
    </row>
    <row r="9210">
      <c r="R9210" s="100"/>
      <c r="V9210" s="100"/>
      <c r="Y9210" s="100"/>
    </row>
    <row r="9211">
      <c r="R9211" s="100"/>
      <c r="V9211" s="100"/>
      <c r="Y9211" s="100"/>
    </row>
    <row r="9212">
      <c r="R9212" s="100"/>
      <c r="V9212" s="100"/>
      <c r="Y9212" s="100"/>
    </row>
    <row r="9213">
      <c r="R9213" s="100"/>
      <c r="V9213" s="100"/>
      <c r="Y9213" s="100"/>
    </row>
    <row r="9214">
      <c r="R9214" s="100"/>
      <c r="V9214" s="100"/>
      <c r="Y9214" s="100"/>
    </row>
    <row r="9215">
      <c r="R9215" s="100"/>
      <c r="V9215" s="100"/>
      <c r="Y9215" s="100"/>
    </row>
    <row r="9216">
      <c r="R9216" s="100"/>
      <c r="V9216" s="100"/>
      <c r="Y9216" s="100"/>
    </row>
    <row r="9217">
      <c r="R9217" s="100"/>
      <c r="V9217" s="100"/>
      <c r="Y9217" s="100"/>
    </row>
    <row r="9218">
      <c r="R9218" s="100"/>
      <c r="V9218" s="100"/>
      <c r="Y9218" s="100"/>
    </row>
    <row r="9219">
      <c r="R9219" s="100"/>
      <c r="V9219" s="100"/>
      <c r="Y9219" s="100"/>
    </row>
    <row r="9220">
      <c r="R9220" s="100"/>
      <c r="V9220" s="100"/>
      <c r="Y9220" s="100"/>
    </row>
    <row r="9221">
      <c r="R9221" s="100"/>
      <c r="V9221" s="100"/>
      <c r="Y9221" s="100"/>
    </row>
    <row r="9222">
      <c r="R9222" s="100"/>
      <c r="V9222" s="100"/>
      <c r="Y9222" s="100"/>
    </row>
    <row r="9223">
      <c r="R9223" s="100"/>
      <c r="V9223" s="100"/>
      <c r="Y9223" s="100"/>
    </row>
    <row r="9224">
      <c r="R9224" s="100"/>
      <c r="V9224" s="100"/>
      <c r="Y9224" s="100"/>
    </row>
    <row r="9225">
      <c r="R9225" s="100"/>
      <c r="V9225" s="100"/>
      <c r="Y9225" s="100"/>
    </row>
    <row r="9226">
      <c r="R9226" s="100"/>
      <c r="V9226" s="100"/>
      <c r="Y9226" s="100"/>
    </row>
    <row r="9227">
      <c r="R9227" s="100"/>
      <c r="V9227" s="100"/>
      <c r="Y9227" s="100"/>
    </row>
    <row r="9228">
      <c r="R9228" s="100"/>
      <c r="V9228" s="100"/>
      <c r="Y9228" s="100"/>
    </row>
    <row r="9229">
      <c r="R9229" s="100"/>
      <c r="V9229" s="100"/>
      <c r="Y9229" s="100"/>
    </row>
    <row r="9230">
      <c r="R9230" s="100"/>
      <c r="V9230" s="100"/>
      <c r="Y9230" s="100"/>
    </row>
    <row r="9231">
      <c r="R9231" s="100"/>
      <c r="V9231" s="100"/>
      <c r="Y9231" s="100"/>
    </row>
    <row r="9232">
      <c r="R9232" s="100"/>
      <c r="V9232" s="100"/>
      <c r="Y9232" s="100"/>
    </row>
    <row r="9233">
      <c r="R9233" s="100"/>
      <c r="V9233" s="100"/>
      <c r="Y9233" s="100"/>
    </row>
    <row r="9234">
      <c r="R9234" s="100"/>
      <c r="V9234" s="100"/>
      <c r="Y9234" s="100"/>
    </row>
    <row r="9235">
      <c r="R9235" s="100"/>
      <c r="V9235" s="100"/>
      <c r="Y9235" s="100"/>
    </row>
    <row r="9236">
      <c r="R9236" s="100"/>
      <c r="V9236" s="100"/>
      <c r="Y9236" s="100"/>
    </row>
    <row r="9237">
      <c r="R9237" s="100"/>
      <c r="V9237" s="100"/>
      <c r="Y9237" s="100"/>
    </row>
    <row r="9238">
      <c r="R9238" s="100"/>
      <c r="V9238" s="100"/>
      <c r="Y9238" s="100"/>
    </row>
    <row r="9239">
      <c r="R9239" s="100"/>
      <c r="V9239" s="100"/>
      <c r="Y9239" s="100"/>
    </row>
    <row r="9240">
      <c r="R9240" s="100"/>
      <c r="V9240" s="100"/>
      <c r="Y9240" s="100"/>
    </row>
    <row r="9241">
      <c r="R9241" s="100"/>
      <c r="V9241" s="100"/>
      <c r="Y9241" s="100"/>
    </row>
    <row r="9242">
      <c r="R9242" s="100"/>
      <c r="V9242" s="100"/>
      <c r="Y9242" s="100"/>
    </row>
    <row r="9243">
      <c r="R9243" s="100"/>
      <c r="V9243" s="100"/>
      <c r="Y9243" s="100"/>
    </row>
    <row r="9244">
      <c r="R9244" s="100"/>
      <c r="V9244" s="100"/>
      <c r="Y9244" s="100"/>
    </row>
    <row r="9245">
      <c r="R9245" s="100"/>
      <c r="V9245" s="100"/>
      <c r="Y9245" s="100"/>
    </row>
    <row r="9246">
      <c r="R9246" s="100"/>
      <c r="V9246" s="100"/>
      <c r="Y9246" s="100"/>
    </row>
    <row r="9247">
      <c r="R9247" s="100"/>
      <c r="V9247" s="100"/>
      <c r="Y9247" s="100"/>
    </row>
    <row r="9248">
      <c r="R9248" s="100"/>
      <c r="V9248" s="100"/>
      <c r="Y9248" s="100"/>
    </row>
    <row r="9249">
      <c r="R9249" s="100"/>
      <c r="V9249" s="100"/>
      <c r="Y9249" s="100"/>
    </row>
    <row r="9250">
      <c r="R9250" s="100"/>
      <c r="V9250" s="100"/>
      <c r="Y9250" s="100"/>
    </row>
    <row r="9251">
      <c r="R9251" s="100"/>
      <c r="V9251" s="100"/>
      <c r="Y9251" s="100"/>
    </row>
    <row r="9252">
      <c r="R9252" s="100"/>
      <c r="V9252" s="100"/>
      <c r="Y9252" s="100"/>
    </row>
    <row r="9253">
      <c r="R9253" s="100"/>
      <c r="V9253" s="100"/>
      <c r="Y9253" s="100"/>
    </row>
    <row r="9254">
      <c r="R9254" s="100"/>
      <c r="V9254" s="100"/>
      <c r="Y9254" s="100"/>
    </row>
    <row r="9255">
      <c r="R9255" s="100"/>
      <c r="V9255" s="100"/>
      <c r="Y9255" s="100"/>
    </row>
    <row r="9256">
      <c r="R9256" s="100"/>
      <c r="V9256" s="100"/>
      <c r="Y9256" s="100"/>
    </row>
    <row r="9257">
      <c r="R9257" s="100"/>
      <c r="V9257" s="100"/>
      <c r="Y9257" s="100"/>
    </row>
    <row r="9258">
      <c r="R9258" s="100"/>
      <c r="V9258" s="100"/>
      <c r="Y9258" s="100"/>
    </row>
    <row r="9259">
      <c r="R9259" s="100"/>
      <c r="V9259" s="100"/>
      <c r="Y9259" s="100"/>
    </row>
    <row r="9260">
      <c r="R9260" s="100"/>
      <c r="V9260" s="100"/>
      <c r="Y9260" s="100"/>
    </row>
    <row r="9261">
      <c r="R9261" s="100"/>
      <c r="V9261" s="100"/>
      <c r="Y9261" s="100"/>
    </row>
    <row r="9262">
      <c r="R9262" s="100"/>
      <c r="V9262" s="100"/>
      <c r="Y9262" s="100"/>
    </row>
    <row r="9263">
      <c r="R9263" s="100"/>
      <c r="V9263" s="100"/>
      <c r="Y9263" s="100"/>
    </row>
    <row r="9264">
      <c r="R9264" s="100"/>
      <c r="V9264" s="100"/>
      <c r="Y9264" s="100"/>
    </row>
    <row r="9265">
      <c r="R9265" s="100"/>
      <c r="V9265" s="100"/>
      <c r="Y9265" s="100"/>
    </row>
    <row r="9266">
      <c r="R9266" s="100"/>
      <c r="V9266" s="100"/>
      <c r="Y9266" s="100"/>
    </row>
    <row r="9267">
      <c r="R9267" s="100"/>
      <c r="V9267" s="100"/>
      <c r="Y9267" s="100"/>
    </row>
    <row r="9268">
      <c r="R9268" s="100"/>
      <c r="V9268" s="100"/>
      <c r="Y9268" s="100"/>
    </row>
    <row r="9269">
      <c r="R9269" s="100"/>
      <c r="V9269" s="100"/>
      <c r="Y9269" s="100"/>
    </row>
    <row r="9270">
      <c r="R9270" s="100"/>
      <c r="V9270" s="100"/>
      <c r="Y9270" s="100"/>
    </row>
    <row r="9271">
      <c r="R9271" s="100"/>
      <c r="V9271" s="100"/>
      <c r="Y9271" s="100"/>
    </row>
    <row r="9272">
      <c r="R9272" s="100"/>
      <c r="V9272" s="100"/>
      <c r="Y9272" s="100"/>
    </row>
    <row r="9273">
      <c r="R9273" s="100"/>
      <c r="V9273" s="100"/>
      <c r="Y9273" s="100"/>
    </row>
    <row r="9274">
      <c r="R9274" s="100"/>
      <c r="V9274" s="100"/>
      <c r="Y9274" s="100"/>
    </row>
    <row r="9275">
      <c r="R9275" s="100"/>
      <c r="V9275" s="100"/>
      <c r="Y9275" s="100"/>
    </row>
    <row r="9276">
      <c r="R9276" s="100"/>
      <c r="V9276" s="100"/>
      <c r="Y9276" s="100"/>
    </row>
    <row r="9277">
      <c r="R9277" s="100"/>
      <c r="V9277" s="100"/>
      <c r="Y9277" s="100"/>
    </row>
    <row r="9278">
      <c r="R9278" s="100"/>
      <c r="V9278" s="100"/>
      <c r="Y9278" s="100"/>
    </row>
    <row r="9279">
      <c r="R9279" s="100"/>
      <c r="V9279" s="100"/>
      <c r="Y9279" s="100"/>
    </row>
    <row r="9280">
      <c r="R9280" s="100"/>
      <c r="V9280" s="100"/>
      <c r="Y9280" s="100"/>
    </row>
    <row r="9281">
      <c r="R9281" s="100"/>
      <c r="V9281" s="100"/>
      <c r="Y9281" s="100"/>
    </row>
    <row r="9282">
      <c r="R9282" s="100"/>
      <c r="V9282" s="100"/>
      <c r="Y9282" s="100"/>
    </row>
    <row r="9283">
      <c r="R9283" s="100"/>
      <c r="V9283" s="100"/>
      <c r="Y9283" s="100"/>
    </row>
    <row r="9284">
      <c r="R9284" s="100"/>
      <c r="V9284" s="100"/>
      <c r="Y9284" s="100"/>
    </row>
    <row r="9285">
      <c r="R9285" s="100"/>
      <c r="V9285" s="100"/>
      <c r="Y9285" s="100"/>
    </row>
    <row r="9286">
      <c r="R9286" s="100"/>
      <c r="V9286" s="100"/>
      <c r="Y9286" s="100"/>
    </row>
    <row r="9287">
      <c r="R9287" s="100"/>
      <c r="V9287" s="100"/>
      <c r="Y9287" s="100"/>
    </row>
    <row r="9288">
      <c r="R9288" s="100"/>
      <c r="V9288" s="100"/>
      <c r="Y9288" s="100"/>
    </row>
    <row r="9289">
      <c r="R9289" s="100"/>
      <c r="V9289" s="100"/>
      <c r="Y9289" s="100"/>
    </row>
    <row r="9290">
      <c r="R9290" s="100"/>
      <c r="V9290" s="100"/>
      <c r="Y9290" s="100"/>
    </row>
    <row r="9291">
      <c r="R9291" s="100"/>
      <c r="V9291" s="100"/>
      <c r="Y9291" s="100"/>
    </row>
    <row r="9292">
      <c r="R9292" s="100"/>
      <c r="V9292" s="100"/>
      <c r="Y9292" s="100"/>
    </row>
    <row r="9293">
      <c r="R9293" s="100"/>
      <c r="V9293" s="100"/>
      <c r="Y9293" s="100"/>
    </row>
    <row r="9294">
      <c r="R9294" s="100"/>
      <c r="V9294" s="100"/>
      <c r="Y9294" s="100"/>
    </row>
    <row r="9295">
      <c r="R9295" s="100"/>
      <c r="V9295" s="100"/>
      <c r="Y9295" s="100"/>
    </row>
    <row r="9296">
      <c r="R9296" s="100"/>
      <c r="V9296" s="100"/>
      <c r="Y9296" s="100"/>
    </row>
    <row r="9297">
      <c r="R9297" s="100"/>
      <c r="V9297" s="100"/>
      <c r="Y9297" s="100"/>
    </row>
    <row r="9298">
      <c r="R9298" s="100"/>
      <c r="V9298" s="100"/>
      <c r="Y9298" s="100"/>
    </row>
    <row r="9299">
      <c r="R9299" s="100"/>
      <c r="V9299" s="100"/>
      <c r="Y9299" s="100"/>
    </row>
    <row r="9300">
      <c r="R9300" s="100"/>
      <c r="V9300" s="100"/>
      <c r="Y9300" s="100"/>
    </row>
    <row r="9301">
      <c r="R9301" s="100"/>
      <c r="V9301" s="100"/>
      <c r="Y9301" s="100"/>
    </row>
    <row r="9302">
      <c r="R9302" s="100"/>
      <c r="V9302" s="100"/>
      <c r="Y9302" s="100"/>
    </row>
    <row r="9303">
      <c r="R9303" s="100"/>
      <c r="V9303" s="100"/>
      <c r="Y9303" s="100"/>
    </row>
    <row r="9304">
      <c r="R9304" s="100"/>
      <c r="V9304" s="100"/>
      <c r="Y9304" s="100"/>
    </row>
    <row r="9305">
      <c r="R9305" s="100"/>
      <c r="V9305" s="100"/>
      <c r="Y9305" s="100"/>
    </row>
    <row r="9306">
      <c r="R9306" s="100"/>
      <c r="V9306" s="100"/>
      <c r="Y9306" s="100"/>
    </row>
    <row r="9307">
      <c r="R9307" s="100"/>
      <c r="V9307" s="100"/>
      <c r="Y9307" s="100"/>
    </row>
    <row r="9308">
      <c r="R9308" s="100"/>
      <c r="V9308" s="100"/>
      <c r="Y9308" s="100"/>
    </row>
    <row r="9309">
      <c r="R9309" s="100"/>
      <c r="V9309" s="100"/>
      <c r="Y9309" s="100"/>
    </row>
    <row r="9310">
      <c r="R9310" s="100"/>
      <c r="V9310" s="100"/>
      <c r="Y9310" s="100"/>
    </row>
    <row r="9311">
      <c r="R9311" s="100"/>
      <c r="V9311" s="100"/>
      <c r="Y9311" s="100"/>
    </row>
    <row r="9312">
      <c r="R9312" s="100"/>
      <c r="V9312" s="100"/>
      <c r="Y9312" s="100"/>
    </row>
    <row r="9313">
      <c r="R9313" s="100"/>
      <c r="V9313" s="100"/>
      <c r="Y9313" s="100"/>
    </row>
    <row r="9314">
      <c r="R9314" s="100"/>
      <c r="V9314" s="100"/>
      <c r="Y9314" s="100"/>
    </row>
    <row r="9315">
      <c r="R9315" s="100"/>
      <c r="V9315" s="100"/>
      <c r="Y9315" s="100"/>
    </row>
    <row r="9316">
      <c r="R9316" s="100"/>
      <c r="V9316" s="100"/>
      <c r="Y9316" s="100"/>
    </row>
    <row r="9317">
      <c r="R9317" s="100"/>
      <c r="V9317" s="100"/>
      <c r="Y9317" s="100"/>
    </row>
    <row r="9318">
      <c r="R9318" s="100"/>
      <c r="V9318" s="100"/>
      <c r="Y9318" s="100"/>
    </row>
    <row r="9319">
      <c r="R9319" s="100"/>
      <c r="V9319" s="100"/>
      <c r="Y9319" s="100"/>
    </row>
    <row r="9320">
      <c r="R9320" s="100"/>
      <c r="V9320" s="100"/>
      <c r="Y9320" s="100"/>
    </row>
    <row r="9321">
      <c r="R9321" s="100"/>
      <c r="V9321" s="100"/>
      <c r="Y9321" s="100"/>
    </row>
    <row r="9322">
      <c r="R9322" s="100"/>
      <c r="V9322" s="100"/>
      <c r="Y9322" s="100"/>
    </row>
    <row r="9323">
      <c r="R9323" s="100"/>
      <c r="V9323" s="100"/>
      <c r="Y9323" s="100"/>
    </row>
    <row r="9324">
      <c r="R9324" s="100"/>
      <c r="V9324" s="100"/>
      <c r="Y9324" s="100"/>
    </row>
    <row r="9325">
      <c r="R9325" s="100"/>
      <c r="V9325" s="100"/>
      <c r="Y9325" s="100"/>
    </row>
    <row r="9326">
      <c r="R9326" s="100"/>
      <c r="V9326" s="100"/>
      <c r="Y9326" s="100"/>
    </row>
    <row r="9327">
      <c r="R9327" s="100"/>
      <c r="V9327" s="100"/>
      <c r="Y9327" s="100"/>
    </row>
    <row r="9328">
      <c r="R9328" s="100"/>
      <c r="V9328" s="100"/>
      <c r="Y9328" s="100"/>
    </row>
    <row r="9329">
      <c r="R9329" s="100"/>
      <c r="V9329" s="100"/>
      <c r="Y9329" s="100"/>
    </row>
    <row r="9330">
      <c r="R9330" s="100"/>
      <c r="V9330" s="100"/>
      <c r="Y9330" s="100"/>
    </row>
    <row r="9331">
      <c r="R9331" s="100"/>
      <c r="V9331" s="100"/>
      <c r="Y9331" s="100"/>
    </row>
    <row r="9332">
      <c r="R9332" s="100"/>
      <c r="V9332" s="100"/>
      <c r="Y9332" s="100"/>
    </row>
    <row r="9333">
      <c r="R9333" s="100"/>
      <c r="V9333" s="100"/>
      <c r="Y9333" s="100"/>
    </row>
    <row r="9334">
      <c r="R9334" s="100"/>
      <c r="V9334" s="100"/>
      <c r="Y9334" s="100"/>
    </row>
    <row r="9335">
      <c r="R9335" s="100"/>
      <c r="V9335" s="100"/>
      <c r="Y9335" s="100"/>
    </row>
    <row r="9336">
      <c r="R9336" s="100"/>
      <c r="V9336" s="100"/>
      <c r="Y9336" s="100"/>
    </row>
    <row r="9337">
      <c r="R9337" s="100"/>
      <c r="V9337" s="100"/>
      <c r="Y9337" s="100"/>
    </row>
    <row r="9338">
      <c r="R9338" s="100"/>
      <c r="V9338" s="100"/>
      <c r="Y9338" s="100"/>
    </row>
    <row r="9339">
      <c r="R9339" s="100"/>
      <c r="V9339" s="100"/>
      <c r="Y9339" s="100"/>
    </row>
    <row r="9340">
      <c r="R9340" s="100"/>
      <c r="V9340" s="100"/>
      <c r="Y9340" s="100"/>
    </row>
    <row r="9341">
      <c r="R9341" s="100"/>
      <c r="V9341" s="100"/>
      <c r="Y9341" s="100"/>
    </row>
    <row r="9342">
      <c r="R9342" s="100"/>
      <c r="V9342" s="100"/>
      <c r="Y9342" s="100"/>
    </row>
    <row r="9343">
      <c r="R9343" s="100"/>
      <c r="V9343" s="100"/>
      <c r="Y9343" s="100"/>
    </row>
    <row r="9344">
      <c r="R9344" s="100"/>
      <c r="V9344" s="100"/>
      <c r="Y9344" s="100"/>
    </row>
    <row r="9345">
      <c r="R9345" s="100"/>
      <c r="V9345" s="100"/>
      <c r="Y9345" s="100"/>
    </row>
    <row r="9346">
      <c r="R9346" s="100"/>
      <c r="V9346" s="100"/>
      <c r="Y9346" s="100"/>
    </row>
    <row r="9347">
      <c r="R9347" s="100"/>
      <c r="V9347" s="100"/>
      <c r="Y9347" s="100"/>
    </row>
    <row r="9348">
      <c r="R9348" s="100"/>
      <c r="V9348" s="100"/>
      <c r="Y9348" s="100"/>
    </row>
    <row r="9349">
      <c r="R9349" s="100"/>
      <c r="V9349" s="100"/>
      <c r="Y9349" s="100"/>
    </row>
    <row r="9350">
      <c r="R9350" s="100"/>
      <c r="V9350" s="100"/>
      <c r="Y9350" s="100"/>
    </row>
    <row r="9351">
      <c r="R9351" s="100"/>
      <c r="V9351" s="100"/>
      <c r="Y9351" s="100"/>
    </row>
    <row r="9352">
      <c r="R9352" s="100"/>
      <c r="V9352" s="100"/>
      <c r="Y9352" s="100"/>
    </row>
    <row r="9353">
      <c r="R9353" s="100"/>
      <c r="V9353" s="100"/>
      <c r="Y9353" s="100"/>
    </row>
    <row r="9354">
      <c r="R9354" s="100"/>
      <c r="V9354" s="100"/>
      <c r="Y9354" s="100"/>
    </row>
    <row r="9355">
      <c r="R9355" s="100"/>
      <c r="V9355" s="100"/>
      <c r="Y9355" s="100"/>
    </row>
    <row r="9356">
      <c r="R9356" s="100"/>
      <c r="V9356" s="100"/>
      <c r="Y9356" s="100"/>
    </row>
    <row r="9357">
      <c r="R9357" s="100"/>
      <c r="V9357" s="100"/>
      <c r="Y9357" s="100"/>
    </row>
    <row r="9358">
      <c r="R9358" s="100"/>
      <c r="V9358" s="100"/>
      <c r="Y9358" s="100"/>
    </row>
    <row r="9359">
      <c r="R9359" s="100"/>
      <c r="V9359" s="100"/>
      <c r="Y9359" s="100"/>
    </row>
    <row r="9360">
      <c r="R9360" s="100"/>
      <c r="V9360" s="100"/>
      <c r="Y9360" s="100"/>
    </row>
    <row r="9361">
      <c r="R9361" s="100"/>
      <c r="V9361" s="100"/>
      <c r="Y9361" s="100"/>
    </row>
    <row r="9362">
      <c r="R9362" s="100"/>
      <c r="V9362" s="100"/>
      <c r="Y9362" s="100"/>
    </row>
    <row r="9363">
      <c r="R9363" s="100"/>
      <c r="V9363" s="100"/>
      <c r="Y9363" s="100"/>
    </row>
    <row r="9364">
      <c r="R9364" s="100"/>
      <c r="V9364" s="100"/>
      <c r="Y9364" s="100"/>
    </row>
    <row r="9365">
      <c r="R9365" s="100"/>
      <c r="V9365" s="100"/>
      <c r="Y9365" s="100"/>
    </row>
    <row r="9366">
      <c r="R9366" s="100"/>
      <c r="V9366" s="100"/>
      <c r="Y9366" s="100"/>
    </row>
    <row r="9367">
      <c r="R9367" s="100"/>
      <c r="V9367" s="100"/>
      <c r="Y9367" s="100"/>
    </row>
    <row r="9368">
      <c r="R9368" s="100"/>
      <c r="V9368" s="100"/>
      <c r="Y9368" s="100"/>
    </row>
    <row r="9369">
      <c r="R9369" s="100"/>
      <c r="V9369" s="100"/>
      <c r="Y9369" s="100"/>
    </row>
    <row r="9370">
      <c r="R9370" s="100"/>
      <c r="V9370" s="100"/>
      <c r="Y9370" s="100"/>
    </row>
    <row r="9371">
      <c r="R9371" s="100"/>
      <c r="V9371" s="100"/>
      <c r="Y9371" s="100"/>
    </row>
    <row r="9372">
      <c r="R9372" s="100"/>
      <c r="V9372" s="100"/>
      <c r="Y9372" s="100"/>
    </row>
    <row r="9373">
      <c r="R9373" s="100"/>
      <c r="V9373" s="100"/>
      <c r="Y9373" s="100"/>
    </row>
    <row r="9374">
      <c r="R9374" s="100"/>
      <c r="V9374" s="100"/>
      <c r="Y9374" s="100"/>
    </row>
    <row r="9375">
      <c r="R9375" s="100"/>
      <c r="V9375" s="100"/>
      <c r="Y9375" s="100"/>
    </row>
    <row r="9376">
      <c r="R9376" s="100"/>
      <c r="V9376" s="100"/>
      <c r="Y9376" s="100"/>
    </row>
    <row r="9377">
      <c r="R9377" s="100"/>
      <c r="V9377" s="100"/>
      <c r="Y9377" s="100"/>
    </row>
    <row r="9378">
      <c r="R9378" s="100"/>
      <c r="V9378" s="100"/>
      <c r="Y9378" s="100"/>
    </row>
    <row r="9379">
      <c r="R9379" s="100"/>
      <c r="V9379" s="100"/>
      <c r="Y9379" s="100"/>
    </row>
    <row r="9380">
      <c r="R9380" s="100"/>
      <c r="V9380" s="100"/>
      <c r="Y9380" s="100"/>
    </row>
    <row r="9381">
      <c r="R9381" s="100"/>
      <c r="V9381" s="100"/>
      <c r="Y9381" s="100"/>
    </row>
    <row r="9382">
      <c r="R9382" s="100"/>
      <c r="V9382" s="100"/>
      <c r="Y9382" s="100"/>
    </row>
    <row r="9383">
      <c r="R9383" s="100"/>
      <c r="V9383" s="100"/>
      <c r="Y9383" s="100"/>
    </row>
    <row r="9384">
      <c r="R9384" s="100"/>
      <c r="V9384" s="100"/>
      <c r="Y9384" s="100"/>
    </row>
    <row r="9385">
      <c r="R9385" s="100"/>
      <c r="V9385" s="100"/>
      <c r="Y9385" s="100"/>
    </row>
    <row r="9386">
      <c r="R9386" s="100"/>
      <c r="V9386" s="100"/>
      <c r="Y9386" s="100"/>
    </row>
    <row r="9387">
      <c r="R9387" s="100"/>
      <c r="V9387" s="100"/>
      <c r="Y9387" s="100"/>
    </row>
    <row r="9388">
      <c r="R9388" s="100"/>
      <c r="V9388" s="100"/>
      <c r="Y9388" s="100"/>
    </row>
    <row r="9389">
      <c r="R9389" s="100"/>
      <c r="V9389" s="100"/>
      <c r="Y9389" s="100"/>
    </row>
    <row r="9390">
      <c r="R9390" s="100"/>
      <c r="V9390" s="100"/>
      <c r="Y9390" s="100"/>
    </row>
    <row r="9391">
      <c r="R9391" s="100"/>
      <c r="V9391" s="100"/>
      <c r="Y9391" s="100"/>
    </row>
    <row r="9392">
      <c r="R9392" s="100"/>
      <c r="V9392" s="100"/>
      <c r="Y9392" s="100"/>
    </row>
    <row r="9393">
      <c r="R9393" s="100"/>
      <c r="V9393" s="100"/>
      <c r="Y9393" s="100"/>
    </row>
    <row r="9394">
      <c r="R9394" s="100"/>
      <c r="V9394" s="100"/>
      <c r="Y9394" s="100"/>
    </row>
    <row r="9395">
      <c r="R9395" s="100"/>
      <c r="V9395" s="100"/>
      <c r="Y9395" s="100"/>
    </row>
    <row r="9396">
      <c r="R9396" s="100"/>
      <c r="V9396" s="100"/>
      <c r="Y9396" s="100"/>
    </row>
    <row r="9397">
      <c r="R9397" s="100"/>
      <c r="V9397" s="100"/>
      <c r="Y9397" s="100"/>
    </row>
    <row r="9398">
      <c r="R9398" s="100"/>
      <c r="V9398" s="100"/>
      <c r="Y9398" s="100"/>
    </row>
    <row r="9399">
      <c r="R9399" s="100"/>
      <c r="V9399" s="100"/>
      <c r="Y9399" s="100"/>
    </row>
    <row r="9400">
      <c r="R9400" s="100"/>
      <c r="V9400" s="100"/>
      <c r="Y9400" s="100"/>
    </row>
    <row r="9401">
      <c r="R9401" s="100"/>
      <c r="V9401" s="100"/>
      <c r="Y9401" s="100"/>
    </row>
    <row r="9402">
      <c r="R9402" s="100"/>
      <c r="V9402" s="100"/>
      <c r="Y9402" s="100"/>
    </row>
    <row r="9403">
      <c r="R9403" s="100"/>
      <c r="V9403" s="100"/>
      <c r="Y9403" s="100"/>
    </row>
    <row r="9404">
      <c r="R9404" s="100"/>
      <c r="V9404" s="100"/>
      <c r="Y9404" s="100"/>
    </row>
    <row r="9405">
      <c r="R9405" s="100"/>
      <c r="V9405" s="100"/>
      <c r="Y9405" s="100"/>
    </row>
    <row r="9406">
      <c r="R9406" s="100"/>
      <c r="V9406" s="100"/>
      <c r="Y9406" s="100"/>
    </row>
    <row r="9407">
      <c r="R9407" s="100"/>
      <c r="V9407" s="100"/>
      <c r="Y9407" s="100"/>
    </row>
    <row r="9408">
      <c r="R9408" s="100"/>
      <c r="V9408" s="100"/>
      <c r="Y9408" s="100"/>
    </row>
    <row r="9409">
      <c r="R9409" s="100"/>
      <c r="V9409" s="100"/>
      <c r="Y9409" s="100"/>
    </row>
    <row r="9410">
      <c r="R9410" s="100"/>
      <c r="V9410" s="100"/>
      <c r="Y9410" s="100"/>
    </row>
    <row r="9411">
      <c r="R9411" s="100"/>
      <c r="V9411" s="100"/>
      <c r="Y9411" s="100"/>
    </row>
    <row r="9412">
      <c r="R9412" s="100"/>
      <c r="V9412" s="100"/>
      <c r="Y9412" s="100"/>
    </row>
    <row r="9413">
      <c r="R9413" s="100"/>
      <c r="V9413" s="100"/>
      <c r="Y9413" s="100"/>
    </row>
    <row r="9414">
      <c r="R9414" s="100"/>
      <c r="V9414" s="100"/>
      <c r="Y9414" s="100"/>
    </row>
    <row r="9415">
      <c r="R9415" s="100"/>
      <c r="V9415" s="100"/>
      <c r="Y9415" s="100"/>
    </row>
    <row r="9416">
      <c r="R9416" s="100"/>
      <c r="V9416" s="100"/>
      <c r="Y9416" s="100"/>
    </row>
    <row r="9417">
      <c r="R9417" s="100"/>
      <c r="V9417" s="100"/>
      <c r="Y9417" s="100"/>
    </row>
    <row r="9418">
      <c r="R9418" s="100"/>
      <c r="V9418" s="100"/>
      <c r="Y9418" s="100"/>
    </row>
    <row r="9419">
      <c r="R9419" s="100"/>
      <c r="V9419" s="100"/>
      <c r="Y9419" s="100"/>
    </row>
    <row r="9420">
      <c r="R9420" s="100"/>
      <c r="V9420" s="100"/>
      <c r="Y9420" s="100"/>
    </row>
    <row r="9421">
      <c r="R9421" s="100"/>
      <c r="V9421" s="100"/>
      <c r="Y9421" s="100"/>
    </row>
    <row r="9422">
      <c r="R9422" s="100"/>
      <c r="V9422" s="100"/>
      <c r="Y9422" s="100"/>
    </row>
    <row r="9423">
      <c r="R9423" s="100"/>
      <c r="V9423" s="100"/>
      <c r="Y9423" s="100"/>
    </row>
    <row r="9424">
      <c r="R9424" s="100"/>
      <c r="V9424" s="100"/>
      <c r="Y9424" s="100"/>
    </row>
    <row r="9425">
      <c r="R9425" s="100"/>
      <c r="V9425" s="100"/>
      <c r="Y9425" s="100"/>
    </row>
    <row r="9426">
      <c r="R9426" s="100"/>
      <c r="V9426" s="100"/>
      <c r="Y9426" s="100"/>
    </row>
    <row r="9427">
      <c r="R9427" s="100"/>
      <c r="V9427" s="100"/>
      <c r="Y9427" s="100"/>
    </row>
    <row r="9428">
      <c r="R9428" s="100"/>
      <c r="V9428" s="100"/>
      <c r="Y9428" s="100"/>
    </row>
    <row r="9429">
      <c r="R9429" s="100"/>
      <c r="V9429" s="100"/>
      <c r="Y9429" s="100"/>
    </row>
    <row r="9430">
      <c r="R9430" s="100"/>
      <c r="V9430" s="100"/>
      <c r="Y9430" s="100"/>
    </row>
    <row r="9431">
      <c r="R9431" s="100"/>
      <c r="V9431" s="100"/>
      <c r="Y9431" s="100"/>
    </row>
    <row r="9432">
      <c r="R9432" s="100"/>
      <c r="V9432" s="100"/>
      <c r="Y9432" s="100"/>
    </row>
    <row r="9433">
      <c r="R9433" s="100"/>
      <c r="V9433" s="100"/>
      <c r="Y9433" s="100"/>
    </row>
    <row r="9434">
      <c r="R9434" s="100"/>
      <c r="V9434" s="100"/>
      <c r="Y9434" s="100"/>
    </row>
    <row r="9435">
      <c r="R9435" s="100"/>
      <c r="V9435" s="100"/>
      <c r="Y9435" s="100"/>
    </row>
    <row r="9436">
      <c r="R9436" s="100"/>
      <c r="V9436" s="100"/>
      <c r="Y9436" s="100"/>
    </row>
    <row r="9437">
      <c r="R9437" s="100"/>
      <c r="V9437" s="100"/>
      <c r="Y9437" s="100"/>
    </row>
    <row r="9438">
      <c r="R9438" s="100"/>
      <c r="V9438" s="100"/>
      <c r="Y9438" s="100"/>
    </row>
    <row r="9439">
      <c r="R9439" s="100"/>
      <c r="V9439" s="100"/>
      <c r="Y9439" s="100"/>
    </row>
    <row r="9440">
      <c r="R9440" s="100"/>
      <c r="V9440" s="100"/>
      <c r="Y9440" s="100"/>
    </row>
    <row r="9441">
      <c r="R9441" s="100"/>
      <c r="V9441" s="100"/>
      <c r="Y9441" s="100"/>
    </row>
    <row r="9442">
      <c r="R9442" s="100"/>
      <c r="V9442" s="100"/>
      <c r="Y9442" s="100"/>
    </row>
    <row r="9443">
      <c r="R9443" s="100"/>
      <c r="V9443" s="100"/>
      <c r="Y9443" s="100"/>
    </row>
    <row r="9444">
      <c r="R9444" s="100"/>
      <c r="V9444" s="100"/>
      <c r="Y9444" s="100"/>
    </row>
    <row r="9445">
      <c r="R9445" s="100"/>
      <c r="V9445" s="100"/>
      <c r="Y9445" s="100"/>
    </row>
    <row r="9446">
      <c r="R9446" s="100"/>
      <c r="V9446" s="100"/>
      <c r="Y9446" s="100"/>
    </row>
    <row r="9447">
      <c r="R9447" s="100"/>
      <c r="V9447" s="100"/>
      <c r="Y9447" s="100"/>
    </row>
    <row r="9448">
      <c r="R9448" s="100"/>
      <c r="V9448" s="100"/>
      <c r="Y9448" s="100"/>
    </row>
    <row r="9449">
      <c r="R9449" s="100"/>
      <c r="V9449" s="100"/>
      <c r="Y9449" s="100"/>
    </row>
    <row r="9450">
      <c r="R9450" s="100"/>
      <c r="V9450" s="100"/>
      <c r="Y9450" s="100"/>
    </row>
    <row r="9451">
      <c r="R9451" s="100"/>
      <c r="V9451" s="100"/>
      <c r="Y9451" s="100"/>
    </row>
    <row r="9452">
      <c r="R9452" s="100"/>
      <c r="V9452" s="100"/>
      <c r="Y9452" s="100"/>
    </row>
    <row r="9453">
      <c r="R9453" s="100"/>
      <c r="V9453" s="100"/>
      <c r="Y9453" s="100"/>
    </row>
    <row r="9454">
      <c r="R9454" s="100"/>
      <c r="V9454" s="100"/>
      <c r="Y9454" s="100"/>
    </row>
    <row r="9455">
      <c r="R9455" s="100"/>
      <c r="V9455" s="100"/>
      <c r="Y9455" s="100"/>
    </row>
    <row r="9456">
      <c r="R9456" s="100"/>
      <c r="V9456" s="100"/>
      <c r="Y9456" s="100"/>
    </row>
    <row r="9457">
      <c r="R9457" s="100"/>
      <c r="V9457" s="100"/>
      <c r="Y9457" s="100"/>
    </row>
    <row r="9458">
      <c r="R9458" s="100"/>
      <c r="V9458" s="100"/>
      <c r="Y9458" s="100"/>
    </row>
    <row r="9459">
      <c r="R9459" s="100"/>
      <c r="V9459" s="100"/>
      <c r="Y9459" s="100"/>
    </row>
    <row r="9460">
      <c r="R9460" s="100"/>
      <c r="V9460" s="100"/>
      <c r="Y9460" s="100"/>
    </row>
    <row r="9461">
      <c r="R9461" s="100"/>
      <c r="V9461" s="100"/>
      <c r="Y9461" s="100"/>
    </row>
    <row r="9462">
      <c r="R9462" s="100"/>
      <c r="V9462" s="100"/>
      <c r="Y9462" s="100"/>
    </row>
    <row r="9463">
      <c r="R9463" s="100"/>
      <c r="V9463" s="100"/>
      <c r="Y9463" s="100"/>
    </row>
    <row r="9464">
      <c r="R9464" s="100"/>
      <c r="V9464" s="100"/>
      <c r="Y9464" s="100"/>
    </row>
    <row r="9465">
      <c r="R9465" s="100"/>
      <c r="V9465" s="100"/>
      <c r="Y9465" s="100"/>
    </row>
    <row r="9466">
      <c r="R9466" s="100"/>
      <c r="V9466" s="100"/>
      <c r="Y9466" s="100"/>
    </row>
    <row r="9467">
      <c r="R9467" s="100"/>
      <c r="V9467" s="100"/>
      <c r="Y9467" s="100"/>
    </row>
    <row r="9468">
      <c r="R9468" s="100"/>
      <c r="V9468" s="100"/>
      <c r="Y9468" s="100"/>
    </row>
    <row r="9469">
      <c r="R9469" s="100"/>
      <c r="V9469" s="100"/>
      <c r="Y9469" s="100"/>
    </row>
    <row r="9470">
      <c r="R9470" s="100"/>
      <c r="V9470" s="100"/>
      <c r="Y9470" s="100"/>
    </row>
    <row r="9471">
      <c r="R9471" s="100"/>
      <c r="V9471" s="100"/>
      <c r="Y9471" s="100"/>
    </row>
    <row r="9472">
      <c r="R9472" s="100"/>
      <c r="V9472" s="100"/>
      <c r="Y9472" s="100"/>
    </row>
    <row r="9473">
      <c r="R9473" s="100"/>
      <c r="V9473" s="100"/>
      <c r="Y9473" s="100"/>
    </row>
    <row r="9474">
      <c r="R9474" s="100"/>
      <c r="V9474" s="100"/>
      <c r="Y9474" s="100"/>
    </row>
    <row r="9475">
      <c r="R9475" s="100"/>
      <c r="V9475" s="100"/>
      <c r="Y9475" s="100"/>
    </row>
    <row r="9476">
      <c r="R9476" s="100"/>
      <c r="V9476" s="100"/>
      <c r="Y9476" s="100"/>
    </row>
    <row r="9477">
      <c r="R9477" s="100"/>
      <c r="V9477" s="100"/>
      <c r="Y9477" s="100"/>
    </row>
    <row r="9478">
      <c r="R9478" s="100"/>
      <c r="V9478" s="100"/>
      <c r="Y9478" s="100"/>
    </row>
    <row r="9479">
      <c r="R9479" s="100"/>
      <c r="V9479" s="100"/>
      <c r="Y9479" s="100"/>
    </row>
    <row r="9480">
      <c r="R9480" s="100"/>
      <c r="V9480" s="100"/>
      <c r="Y9480" s="100"/>
    </row>
    <row r="9481">
      <c r="R9481" s="100"/>
      <c r="V9481" s="100"/>
      <c r="Y9481" s="100"/>
    </row>
    <row r="9482">
      <c r="R9482" s="100"/>
      <c r="V9482" s="100"/>
      <c r="Y9482" s="100"/>
    </row>
    <row r="9483">
      <c r="R9483" s="100"/>
      <c r="V9483" s="100"/>
      <c r="Y9483" s="100"/>
    </row>
    <row r="9484">
      <c r="R9484" s="100"/>
      <c r="V9484" s="100"/>
      <c r="Y9484" s="100"/>
    </row>
    <row r="9485">
      <c r="R9485" s="100"/>
      <c r="V9485" s="100"/>
      <c r="Y9485" s="100"/>
    </row>
    <row r="9486">
      <c r="R9486" s="100"/>
      <c r="V9486" s="100"/>
      <c r="Y9486" s="100"/>
    </row>
    <row r="9487">
      <c r="R9487" s="100"/>
      <c r="V9487" s="100"/>
      <c r="Y9487" s="100"/>
    </row>
    <row r="9488">
      <c r="R9488" s="100"/>
      <c r="V9488" s="100"/>
      <c r="Y9488" s="100"/>
    </row>
    <row r="9489">
      <c r="R9489" s="100"/>
      <c r="V9489" s="100"/>
      <c r="Y9489" s="100"/>
    </row>
    <row r="9490">
      <c r="R9490" s="100"/>
      <c r="V9490" s="100"/>
      <c r="Y9490" s="100"/>
    </row>
    <row r="9491">
      <c r="R9491" s="100"/>
      <c r="V9491" s="100"/>
      <c r="Y9491" s="100"/>
    </row>
    <row r="9492">
      <c r="R9492" s="100"/>
      <c r="V9492" s="100"/>
      <c r="Y9492" s="100"/>
    </row>
    <row r="9493">
      <c r="R9493" s="100"/>
      <c r="V9493" s="100"/>
      <c r="Y9493" s="100"/>
    </row>
    <row r="9494">
      <c r="R9494" s="100"/>
      <c r="V9494" s="100"/>
      <c r="Y9494" s="100"/>
    </row>
    <row r="9495">
      <c r="R9495" s="100"/>
      <c r="V9495" s="100"/>
      <c r="Y9495" s="100"/>
    </row>
    <row r="9496">
      <c r="R9496" s="100"/>
      <c r="V9496" s="100"/>
      <c r="Y9496" s="100"/>
    </row>
    <row r="9497">
      <c r="R9497" s="100"/>
      <c r="V9497" s="100"/>
      <c r="Y9497" s="100"/>
    </row>
    <row r="9498">
      <c r="R9498" s="100"/>
      <c r="V9498" s="100"/>
      <c r="Y9498" s="100"/>
    </row>
    <row r="9499">
      <c r="R9499" s="100"/>
      <c r="V9499" s="100"/>
      <c r="Y9499" s="100"/>
    </row>
    <row r="9500">
      <c r="R9500" s="100"/>
      <c r="V9500" s="100"/>
      <c r="Y9500" s="100"/>
    </row>
    <row r="9501">
      <c r="R9501" s="100"/>
      <c r="V9501" s="100"/>
      <c r="Y9501" s="100"/>
    </row>
    <row r="9502">
      <c r="R9502" s="100"/>
      <c r="V9502" s="100"/>
      <c r="Y9502" s="100"/>
    </row>
    <row r="9503">
      <c r="R9503" s="100"/>
      <c r="V9503" s="100"/>
      <c r="Y9503" s="100"/>
    </row>
    <row r="9504">
      <c r="R9504" s="100"/>
      <c r="V9504" s="100"/>
      <c r="Y9504" s="100"/>
    </row>
    <row r="9505">
      <c r="R9505" s="100"/>
      <c r="V9505" s="100"/>
      <c r="Y9505" s="100"/>
    </row>
    <row r="9506">
      <c r="R9506" s="100"/>
      <c r="V9506" s="100"/>
      <c r="Y9506" s="100"/>
    </row>
    <row r="9507">
      <c r="R9507" s="100"/>
      <c r="V9507" s="100"/>
      <c r="Y9507" s="100"/>
    </row>
    <row r="9508">
      <c r="R9508" s="100"/>
      <c r="V9508" s="100"/>
      <c r="Y9508" s="100"/>
    </row>
    <row r="9509">
      <c r="R9509" s="100"/>
      <c r="V9509" s="100"/>
      <c r="Y9509" s="100"/>
    </row>
    <row r="9510">
      <c r="R9510" s="100"/>
      <c r="V9510" s="100"/>
      <c r="Y9510" s="100"/>
    </row>
    <row r="9511">
      <c r="R9511" s="100"/>
      <c r="V9511" s="100"/>
      <c r="Y9511" s="100"/>
    </row>
    <row r="9512">
      <c r="R9512" s="100"/>
      <c r="V9512" s="100"/>
      <c r="Y9512" s="100"/>
    </row>
    <row r="9513">
      <c r="R9513" s="100"/>
      <c r="V9513" s="100"/>
      <c r="Y9513" s="100"/>
    </row>
    <row r="9514">
      <c r="R9514" s="100"/>
      <c r="V9514" s="100"/>
      <c r="Y9514" s="100"/>
    </row>
    <row r="9515">
      <c r="R9515" s="100"/>
      <c r="V9515" s="100"/>
      <c r="Y9515" s="100"/>
    </row>
    <row r="9516">
      <c r="R9516" s="100"/>
      <c r="V9516" s="100"/>
      <c r="Y9516" s="100"/>
    </row>
    <row r="9517">
      <c r="R9517" s="100"/>
      <c r="V9517" s="100"/>
      <c r="Y9517" s="100"/>
    </row>
    <row r="9518">
      <c r="R9518" s="100"/>
      <c r="V9518" s="100"/>
      <c r="Y9518" s="100"/>
    </row>
    <row r="9519">
      <c r="R9519" s="100"/>
      <c r="V9519" s="100"/>
      <c r="Y9519" s="100"/>
    </row>
    <row r="9520">
      <c r="R9520" s="100"/>
      <c r="V9520" s="100"/>
      <c r="Y9520" s="100"/>
    </row>
    <row r="9521">
      <c r="R9521" s="100"/>
      <c r="V9521" s="100"/>
      <c r="Y9521" s="100"/>
    </row>
    <row r="9522">
      <c r="R9522" s="100"/>
      <c r="V9522" s="100"/>
      <c r="Y9522" s="100"/>
    </row>
    <row r="9523">
      <c r="R9523" s="100"/>
      <c r="V9523" s="100"/>
      <c r="Y9523" s="100"/>
    </row>
    <row r="9524">
      <c r="R9524" s="100"/>
      <c r="V9524" s="100"/>
      <c r="Y9524" s="100"/>
    </row>
    <row r="9525">
      <c r="R9525" s="100"/>
      <c r="V9525" s="100"/>
      <c r="Y9525" s="100"/>
    </row>
    <row r="9526">
      <c r="R9526" s="100"/>
      <c r="V9526" s="100"/>
      <c r="Y9526" s="100"/>
    </row>
    <row r="9527">
      <c r="R9527" s="100"/>
      <c r="V9527" s="100"/>
      <c r="Y9527" s="100"/>
    </row>
    <row r="9528">
      <c r="R9528" s="100"/>
      <c r="V9528" s="100"/>
      <c r="Y9528" s="100"/>
    </row>
    <row r="9529">
      <c r="R9529" s="100"/>
      <c r="V9529" s="100"/>
      <c r="Y9529" s="100"/>
    </row>
    <row r="9530">
      <c r="R9530" s="100"/>
      <c r="V9530" s="100"/>
      <c r="Y9530" s="100"/>
    </row>
    <row r="9531">
      <c r="R9531" s="100"/>
      <c r="V9531" s="100"/>
      <c r="Y9531" s="100"/>
    </row>
    <row r="9532">
      <c r="R9532" s="100"/>
      <c r="V9532" s="100"/>
      <c r="Y9532" s="100"/>
    </row>
    <row r="9533">
      <c r="R9533" s="100"/>
      <c r="V9533" s="100"/>
      <c r="Y9533" s="100"/>
    </row>
    <row r="9534">
      <c r="R9534" s="100"/>
      <c r="V9534" s="100"/>
      <c r="Y9534" s="100"/>
    </row>
    <row r="9535">
      <c r="R9535" s="100"/>
      <c r="V9535" s="100"/>
      <c r="Y9535" s="100"/>
    </row>
    <row r="9536">
      <c r="R9536" s="100"/>
      <c r="V9536" s="100"/>
      <c r="Y9536" s="100"/>
    </row>
    <row r="9537">
      <c r="R9537" s="100"/>
      <c r="V9537" s="100"/>
      <c r="Y9537" s="100"/>
    </row>
    <row r="9538">
      <c r="R9538" s="100"/>
      <c r="V9538" s="100"/>
      <c r="Y9538" s="100"/>
    </row>
    <row r="9539">
      <c r="R9539" s="100"/>
      <c r="V9539" s="100"/>
      <c r="Y9539" s="100"/>
    </row>
    <row r="9540">
      <c r="R9540" s="100"/>
      <c r="V9540" s="100"/>
      <c r="Y9540" s="100"/>
    </row>
    <row r="9541">
      <c r="R9541" s="100"/>
      <c r="V9541" s="100"/>
      <c r="Y9541" s="100"/>
    </row>
    <row r="9542">
      <c r="R9542" s="100"/>
      <c r="V9542" s="100"/>
      <c r="Y9542" s="100"/>
    </row>
    <row r="9543">
      <c r="R9543" s="100"/>
      <c r="V9543" s="100"/>
      <c r="Y9543" s="100"/>
    </row>
    <row r="9544">
      <c r="R9544" s="100"/>
      <c r="V9544" s="100"/>
      <c r="Y9544" s="100"/>
    </row>
    <row r="9545">
      <c r="R9545" s="100"/>
      <c r="V9545" s="100"/>
      <c r="Y9545" s="100"/>
    </row>
    <row r="9546">
      <c r="R9546" s="100"/>
      <c r="V9546" s="100"/>
      <c r="Y9546" s="100"/>
    </row>
    <row r="9547">
      <c r="R9547" s="100"/>
      <c r="V9547" s="100"/>
      <c r="Y9547" s="100"/>
    </row>
    <row r="9548">
      <c r="R9548" s="100"/>
      <c r="V9548" s="100"/>
      <c r="Y9548" s="100"/>
    </row>
    <row r="9549">
      <c r="R9549" s="100"/>
      <c r="V9549" s="100"/>
      <c r="Y9549" s="100"/>
    </row>
    <row r="9550">
      <c r="R9550" s="100"/>
      <c r="V9550" s="100"/>
      <c r="Y9550" s="100"/>
    </row>
    <row r="9551">
      <c r="R9551" s="100"/>
      <c r="V9551" s="100"/>
      <c r="Y9551" s="100"/>
    </row>
    <row r="9552">
      <c r="R9552" s="100"/>
      <c r="V9552" s="100"/>
      <c r="Y9552" s="100"/>
    </row>
    <row r="9553">
      <c r="R9553" s="100"/>
      <c r="V9553" s="100"/>
      <c r="Y9553" s="100"/>
    </row>
    <row r="9554">
      <c r="R9554" s="100"/>
      <c r="V9554" s="100"/>
      <c r="Y9554" s="100"/>
    </row>
    <row r="9555">
      <c r="R9555" s="100"/>
      <c r="V9555" s="100"/>
      <c r="Y9555" s="100"/>
    </row>
    <row r="9556">
      <c r="R9556" s="100"/>
      <c r="V9556" s="100"/>
      <c r="Y9556" s="100"/>
    </row>
    <row r="9557">
      <c r="R9557" s="100"/>
      <c r="V9557" s="100"/>
      <c r="Y9557" s="100"/>
    </row>
    <row r="9558">
      <c r="R9558" s="100"/>
      <c r="V9558" s="100"/>
      <c r="Y9558" s="100"/>
    </row>
    <row r="9559">
      <c r="R9559" s="100"/>
      <c r="V9559" s="100"/>
      <c r="Y9559" s="100"/>
    </row>
    <row r="9560">
      <c r="R9560" s="100"/>
      <c r="V9560" s="100"/>
      <c r="Y9560" s="100"/>
    </row>
    <row r="9561">
      <c r="R9561" s="100"/>
      <c r="V9561" s="100"/>
      <c r="Y9561" s="100"/>
    </row>
    <row r="9562">
      <c r="R9562" s="100"/>
      <c r="V9562" s="100"/>
      <c r="Y9562" s="100"/>
    </row>
    <row r="9563">
      <c r="R9563" s="100"/>
      <c r="V9563" s="100"/>
      <c r="Y9563" s="100"/>
    </row>
    <row r="9564">
      <c r="R9564" s="100"/>
      <c r="V9564" s="100"/>
      <c r="Y9564" s="100"/>
    </row>
    <row r="9565">
      <c r="R9565" s="100"/>
      <c r="V9565" s="100"/>
      <c r="Y9565" s="100"/>
    </row>
    <row r="9566">
      <c r="R9566" s="100"/>
      <c r="V9566" s="100"/>
      <c r="Y9566" s="100"/>
    </row>
    <row r="9567">
      <c r="R9567" s="100"/>
      <c r="V9567" s="100"/>
      <c r="Y9567" s="100"/>
    </row>
    <row r="9568">
      <c r="R9568" s="100"/>
      <c r="V9568" s="100"/>
      <c r="Y9568" s="100"/>
    </row>
    <row r="9569">
      <c r="R9569" s="100"/>
      <c r="V9569" s="100"/>
      <c r="Y9569" s="100"/>
    </row>
    <row r="9570">
      <c r="R9570" s="100"/>
      <c r="V9570" s="100"/>
      <c r="Y9570" s="100"/>
    </row>
    <row r="9571">
      <c r="R9571" s="100"/>
      <c r="V9571" s="100"/>
      <c r="Y9571" s="100"/>
    </row>
    <row r="9572">
      <c r="R9572" s="100"/>
      <c r="V9572" s="100"/>
      <c r="Y9572" s="100"/>
    </row>
    <row r="9573">
      <c r="R9573" s="100"/>
      <c r="V9573" s="100"/>
      <c r="Y9573" s="100"/>
    </row>
    <row r="9574">
      <c r="R9574" s="100"/>
      <c r="V9574" s="100"/>
      <c r="Y9574" s="100"/>
    </row>
    <row r="9575">
      <c r="R9575" s="100"/>
      <c r="V9575" s="100"/>
      <c r="Y9575" s="100"/>
    </row>
    <row r="9576">
      <c r="R9576" s="100"/>
      <c r="V9576" s="100"/>
      <c r="Y9576" s="100"/>
    </row>
    <row r="9577">
      <c r="R9577" s="100"/>
      <c r="V9577" s="100"/>
      <c r="Y9577" s="100"/>
    </row>
    <row r="9578">
      <c r="R9578" s="100"/>
      <c r="V9578" s="100"/>
      <c r="Y9578" s="100"/>
    </row>
    <row r="9579">
      <c r="R9579" s="100"/>
      <c r="V9579" s="100"/>
      <c r="Y9579" s="100"/>
    </row>
    <row r="9580">
      <c r="R9580" s="100"/>
      <c r="V9580" s="100"/>
      <c r="Y9580" s="100"/>
    </row>
    <row r="9581">
      <c r="R9581" s="100"/>
      <c r="V9581" s="100"/>
      <c r="Y9581" s="100"/>
    </row>
    <row r="9582">
      <c r="R9582" s="100"/>
      <c r="V9582" s="100"/>
      <c r="Y9582" s="100"/>
    </row>
    <row r="9583">
      <c r="R9583" s="100"/>
      <c r="V9583" s="100"/>
      <c r="Y9583" s="100"/>
    </row>
    <row r="9584">
      <c r="R9584" s="100"/>
      <c r="V9584" s="100"/>
      <c r="Y9584" s="100"/>
    </row>
    <row r="9585">
      <c r="R9585" s="100"/>
      <c r="V9585" s="100"/>
      <c r="Y9585" s="100"/>
    </row>
    <row r="9586">
      <c r="R9586" s="100"/>
      <c r="V9586" s="100"/>
      <c r="Y9586" s="100"/>
    </row>
    <row r="9587">
      <c r="R9587" s="100"/>
      <c r="V9587" s="100"/>
      <c r="Y9587" s="100"/>
    </row>
    <row r="9588">
      <c r="R9588" s="100"/>
      <c r="V9588" s="100"/>
      <c r="Y9588" s="100"/>
    </row>
    <row r="9589">
      <c r="R9589" s="100"/>
      <c r="V9589" s="100"/>
      <c r="Y9589" s="100"/>
    </row>
    <row r="9590">
      <c r="R9590" s="100"/>
      <c r="V9590" s="100"/>
      <c r="Y9590" s="100"/>
    </row>
    <row r="9591">
      <c r="R9591" s="100"/>
      <c r="V9591" s="100"/>
      <c r="Y9591" s="100"/>
    </row>
    <row r="9592">
      <c r="R9592" s="100"/>
      <c r="V9592" s="100"/>
      <c r="Y9592" s="100"/>
    </row>
    <row r="9593">
      <c r="R9593" s="100"/>
      <c r="V9593" s="100"/>
      <c r="Y9593" s="100"/>
    </row>
    <row r="9594">
      <c r="R9594" s="100"/>
      <c r="V9594" s="100"/>
      <c r="Y9594" s="100"/>
    </row>
    <row r="9595">
      <c r="R9595" s="100"/>
      <c r="V9595" s="100"/>
      <c r="Y9595" s="100"/>
    </row>
    <row r="9596">
      <c r="R9596" s="100"/>
      <c r="V9596" s="100"/>
      <c r="Y9596" s="100"/>
    </row>
    <row r="9597">
      <c r="R9597" s="100"/>
      <c r="V9597" s="100"/>
      <c r="Y9597" s="100"/>
    </row>
    <row r="9598">
      <c r="R9598" s="100"/>
      <c r="V9598" s="100"/>
      <c r="Y9598" s="100"/>
    </row>
    <row r="9599">
      <c r="R9599" s="100"/>
      <c r="V9599" s="100"/>
      <c r="Y9599" s="100"/>
    </row>
    <row r="9600">
      <c r="R9600" s="100"/>
      <c r="V9600" s="100"/>
      <c r="Y9600" s="100"/>
    </row>
    <row r="9601">
      <c r="R9601" s="100"/>
      <c r="V9601" s="100"/>
      <c r="Y9601" s="100"/>
    </row>
    <row r="9602">
      <c r="R9602" s="100"/>
      <c r="V9602" s="100"/>
      <c r="Y9602" s="100"/>
    </row>
    <row r="9603">
      <c r="R9603" s="100"/>
      <c r="V9603" s="100"/>
      <c r="Y9603" s="100"/>
    </row>
    <row r="9604">
      <c r="R9604" s="100"/>
      <c r="V9604" s="100"/>
      <c r="Y9604" s="100"/>
    </row>
    <row r="9605">
      <c r="R9605" s="100"/>
      <c r="V9605" s="100"/>
      <c r="Y9605" s="100"/>
    </row>
    <row r="9606">
      <c r="R9606" s="100"/>
      <c r="V9606" s="100"/>
      <c r="Y9606" s="100"/>
    </row>
    <row r="9607">
      <c r="R9607" s="100"/>
      <c r="V9607" s="100"/>
      <c r="Y9607" s="100"/>
    </row>
    <row r="9608">
      <c r="R9608" s="100"/>
      <c r="V9608" s="100"/>
      <c r="Y9608" s="100"/>
    </row>
    <row r="9609">
      <c r="R9609" s="100"/>
      <c r="V9609" s="100"/>
      <c r="Y9609" s="100"/>
    </row>
    <row r="9610">
      <c r="R9610" s="100"/>
      <c r="V9610" s="100"/>
      <c r="Y9610" s="100"/>
    </row>
    <row r="9611">
      <c r="R9611" s="100"/>
      <c r="V9611" s="100"/>
      <c r="Y9611" s="100"/>
    </row>
    <row r="9612">
      <c r="R9612" s="100"/>
      <c r="V9612" s="100"/>
      <c r="Y9612" s="100"/>
    </row>
    <row r="9613">
      <c r="R9613" s="100"/>
      <c r="V9613" s="100"/>
      <c r="Y9613" s="100"/>
    </row>
    <row r="9614">
      <c r="R9614" s="100"/>
      <c r="V9614" s="100"/>
      <c r="Y9614" s="100"/>
    </row>
    <row r="9615">
      <c r="R9615" s="100"/>
      <c r="V9615" s="100"/>
      <c r="Y9615" s="100"/>
    </row>
    <row r="9616">
      <c r="R9616" s="100"/>
      <c r="V9616" s="100"/>
      <c r="Y9616" s="100"/>
    </row>
    <row r="9617">
      <c r="R9617" s="100"/>
      <c r="V9617" s="100"/>
      <c r="Y9617" s="100"/>
    </row>
    <row r="9618">
      <c r="R9618" s="100"/>
      <c r="V9618" s="100"/>
      <c r="Y9618" s="100"/>
    </row>
    <row r="9619">
      <c r="R9619" s="100"/>
      <c r="V9619" s="100"/>
      <c r="Y9619" s="100"/>
    </row>
    <row r="9620">
      <c r="R9620" s="100"/>
      <c r="V9620" s="100"/>
      <c r="Y9620" s="100"/>
    </row>
    <row r="9621">
      <c r="R9621" s="100"/>
      <c r="V9621" s="100"/>
      <c r="Y9621" s="100"/>
    </row>
    <row r="9622">
      <c r="R9622" s="100"/>
      <c r="V9622" s="100"/>
      <c r="Y9622" s="100"/>
    </row>
    <row r="9623">
      <c r="R9623" s="100"/>
      <c r="V9623" s="100"/>
      <c r="Y9623" s="100"/>
    </row>
    <row r="9624">
      <c r="R9624" s="100"/>
      <c r="V9624" s="100"/>
      <c r="Y9624" s="100"/>
    </row>
    <row r="9625">
      <c r="R9625" s="100"/>
      <c r="V9625" s="100"/>
      <c r="Y9625" s="100"/>
    </row>
    <row r="9626">
      <c r="R9626" s="100"/>
      <c r="V9626" s="100"/>
      <c r="Y9626" s="100"/>
    </row>
    <row r="9627">
      <c r="R9627" s="100"/>
      <c r="V9627" s="100"/>
      <c r="Y9627" s="100"/>
    </row>
    <row r="9628">
      <c r="R9628" s="100"/>
      <c r="V9628" s="100"/>
      <c r="Y9628" s="100"/>
    </row>
    <row r="9629">
      <c r="R9629" s="100"/>
      <c r="V9629" s="100"/>
      <c r="Y9629" s="100"/>
    </row>
    <row r="9630">
      <c r="R9630" s="100"/>
      <c r="V9630" s="100"/>
      <c r="Y9630" s="100"/>
    </row>
    <row r="9631">
      <c r="R9631" s="100"/>
      <c r="V9631" s="100"/>
      <c r="Y9631" s="100"/>
    </row>
    <row r="9632">
      <c r="R9632" s="100"/>
      <c r="V9632" s="100"/>
      <c r="Y9632" s="100"/>
    </row>
    <row r="9633">
      <c r="R9633" s="100"/>
      <c r="V9633" s="100"/>
      <c r="Y9633" s="100"/>
    </row>
    <row r="9634">
      <c r="R9634" s="100"/>
      <c r="V9634" s="100"/>
      <c r="Y9634" s="100"/>
    </row>
    <row r="9635">
      <c r="R9635" s="100"/>
      <c r="V9635" s="100"/>
      <c r="Y9635" s="100"/>
    </row>
    <row r="9636">
      <c r="R9636" s="100"/>
      <c r="V9636" s="100"/>
      <c r="Y9636" s="100"/>
    </row>
    <row r="9637">
      <c r="R9637" s="100"/>
      <c r="V9637" s="100"/>
      <c r="Y9637" s="100"/>
    </row>
    <row r="9638">
      <c r="R9638" s="100"/>
      <c r="V9638" s="100"/>
      <c r="Y9638" s="100"/>
    </row>
    <row r="9639">
      <c r="R9639" s="100"/>
      <c r="V9639" s="100"/>
      <c r="Y9639" s="100"/>
    </row>
    <row r="9640">
      <c r="R9640" s="100"/>
      <c r="V9640" s="100"/>
      <c r="Y9640" s="100"/>
    </row>
    <row r="9641">
      <c r="R9641" s="100"/>
      <c r="V9641" s="100"/>
      <c r="Y9641" s="100"/>
    </row>
    <row r="9642">
      <c r="R9642" s="100"/>
      <c r="V9642" s="100"/>
      <c r="Y9642" s="100"/>
    </row>
    <row r="9643">
      <c r="R9643" s="100"/>
      <c r="V9643" s="100"/>
      <c r="Y9643" s="100"/>
    </row>
    <row r="9644">
      <c r="R9644" s="100"/>
      <c r="V9644" s="100"/>
      <c r="Y9644" s="100"/>
    </row>
    <row r="9645">
      <c r="R9645" s="100"/>
      <c r="V9645" s="100"/>
      <c r="Y9645" s="100"/>
    </row>
    <row r="9646">
      <c r="R9646" s="100"/>
      <c r="V9646" s="100"/>
      <c r="Y9646" s="100"/>
    </row>
    <row r="9647">
      <c r="R9647" s="100"/>
      <c r="V9647" s="100"/>
      <c r="Y9647" s="100"/>
    </row>
    <row r="9648">
      <c r="R9648" s="100"/>
      <c r="V9648" s="100"/>
      <c r="Y9648" s="100"/>
    </row>
    <row r="9649">
      <c r="R9649" s="100"/>
      <c r="V9649" s="100"/>
      <c r="Y9649" s="100"/>
    </row>
    <row r="9650">
      <c r="R9650" s="100"/>
      <c r="V9650" s="100"/>
      <c r="Y9650" s="100"/>
    </row>
    <row r="9651">
      <c r="R9651" s="100"/>
      <c r="V9651" s="100"/>
      <c r="Y9651" s="100"/>
    </row>
    <row r="9652">
      <c r="R9652" s="100"/>
      <c r="V9652" s="100"/>
      <c r="Y9652" s="100"/>
    </row>
    <row r="9653">
      <c r="R9653" s="100"/>
      <c r="V9653" s="100"/>
      <c r="Y9653" s="100"/>
    </row>
    <row r="9654">
      <c r="R9654" s="100"/>
      <c r="V9654" s="100"/>
      <c r="Y9654" s="100"/>
    </row>
    <row r="9655">
      <c r="R9655" s="100"/>
      <c r="V9655" s="100"/>
      <c r="Y9655" s="100"/>
    </row>
    <row r="9656">
      <c r="R9656" s="100"/>
      <c r="V9656" s="100"/>
      <c r="Y9656" s="100"/>
    </row>
    <row r="9657">
      <c r="R9657" s="100"/>
      <c r="V9657" s="100"/>
      <c r="Y9657" s="100"/>
    </row>
    <row r="9658">
      <c r="R9658" s="100"/>
      <c r="V9658" s="100"/>
      <c r="Y9658" s="100"/>
    </row>
    <row r="9659">
      <c r="R9659" s="100"/>
      <c r="V9659" s="100"/>
      <c r="Y9659" s="100"/>
    </row>
    <row r="9660">
      <c r="R9660" s="100"/>
      <c r="V9660" s="100"/>
      <c r="Y9660" s="100"/>
    </row>
    <row r="9661">
      <c r="R9661" s="100"/>
      <c r="V9661" s="100"/>
      <c r="Y9661" s="100"/>
    </row>
    <row r="9662">
      <c r="R9662" s="100"/>
      <c r="V9662" s="100"/>
      <c r="Y9662" s="100"/>
    </row>
    <row r="9663">
      <c r="R9663" s="100"/>
      <c r="V9663" s="100"/>
      <c r="Y9663" s="100"/>
    </row>
    <row r="9664">
      <c r="R9664" s="100"/>
      <c r="V9664" s="100"/>
      <c r="Y9664" s="100"/>
    </row>
    <row r="9665">
      <c r="R9665" s="100"/>
      <c r="V9665" s="100"/>
      <c r="Y9665" s="100"/>
    </row>
    <row r="9666">
      <c r="R9666" s="100"/>
      <c r="V9666" s="100"/>
      <c r="Y9666" s="100"/>
    </row>
    <row r="9667">
      <c r="R9667" s="100"/>
      <c r="V9667" s="100"/>
      <c r="Y9667" s="100"/>
    </row>
    <row r="9668">
      <c r="R9668" s="100"/>
      <c r="V9668" s="100"/>
      <c r="Y9668" s="100"/>
    </row>
    <row r="9669">
      <c r="R9669" s="100"/>
      <c r="V9669" s="100"/>
      <c r="Y9669" s="100"/>
    </row>
    <row r="9670">
      <c r="R9670" s="100"/>
      <c r="V9670" s="100"/>
      <c r="Y9670" s="100"/>
    </row>
    <row r="9671">
      <c r="R9671" s="100"/>
      <c r="V9671" s="100"/>
      <c r="Y9671" s="100"/>
    </row>
    <row r="9672">
      <c r="R9672" s="100"/>
      <c r="V9672" s="100"/>
      <c r="Y9672" s="100"/>
    </row>
    <row r="9673">
      <c r="R9673" s="100"/>
      <c r="V9673" s="100"/>
      <c r="Y9673" s="100"/>
    </row>
    <row r="9674">
      <c r="R9674" s="100"/>
      <c r="V9674" s="100"/>
      <c r="Y9674" s="100"/>
    </row>
    <row r="9675">
      <c r="R9675" s="100"/>
      <c r="V9675" s="100"/>
      <c r="Y9675" s="100"/>
    </row>
    <row r="9676">
      <c r="R9676" s="100"/>
      <c r="V9676" s="100"/>
      <c r="Y9676" s="100"/>
    </row>
    <row r="9677">
      <c r="R9677" s="100"/>
      <c r="V9677" s="100"/>
      <c r="Y9677" s="100"/>
    </row>
    <row r="9678">
      <c r="R9678" s="100"/>
      <c r="V9678" s="100"/>
      <c r="Y9678" s="100"/>
    </row>
    <row r="9679">
      <c r="R9679" s="100"/>
      <c r="V9679" s="100"/>
      <c r="Y9679" s="100"/>
    </row>
    <row r="9680">
      <c r="R9680" s="100"/>
      <c r="V9680" s="100"/>
      <c r="Y9680" s="100"/>
    </row>
    <row r="9681">
      <c r="R9681" s="100"/>
      <c r="V9681" s="100"/>
      <c r="Y9681" s="100"/>
    </row>
    <row r="9682">
      <c r="R9682" s="100"/>
      <c r="V9682" s="100"/>
      <c r="Y9682" s="100"/>
    </row>
    <row r="9683">
      <c r="R9683" s="100"/>
      <c r="V9683" s="100"/>
      <c r="Y9683" s="100"/>
    </row>
    <row r="9684">
      <c r="R9684" s="100"/>
      <c r="V9684" s="100"/>
      <c r="Y9684" s="100"/>
    </row>
    <row r="9685">
      <c r="R9685" s="100"/>
      <c r="V9685" s="100"/>
      <c r="Y9685" s="100"/>
    </row>
    <row r="9686">
      <c r="R9686" s="100"/>
      <c r="V9686" s="100"/>
      <c r="Y9686" s="100"/>
    </row>
    <row r="9687">
      <c r="R9687" s="100"/>
      <c r="V9687" s="100"/>
      <c r="Y9687" s="100"/>
    </row>
    <row r="9688">
      <c r="R9688" s="100"/>
      <c r="V9688" s="100"/>
      <c r="Y9688" s="100"/>
    </row>
    <row r="9689">
      <c r="R9689" s="100"/>
      <c r="V9689" s="100"/>
      <c r="Y9689" s="100"/>
    </row>
    <row r="9690">
      <c r="R9690" s="100"/>
      <c r="V9690" s="100"/>
      <c r="Y9690" s="100"/>
    </row>
    <row r="9691">
      <c r="R9691" s="100"/>
      <c r="V9691" s="100"/>
      <c r="Y9691" s="100"/>
    </row>
    <row r="9692">
      <c r="R9692" s="100"/>
      <c r="V9692" s="100"/>
      <c r="Y9692" s="100"/>
    </row>
    <row r="9693">
      <c r="R9693" s="100"/>
      <c r="V9693" s="100"/>
      <c r="Y9693" s="100"/>
    </row>
    <row r="9694">
      <c r="R9694" s="100"/>
      <c r="V9694" s="100"/>
      <c r="Y9694" s="100"/>
    </row>
    <row r="9695">
      <c r="R9695" s="100"/>
      <c r="V9695" s="100"/>
      <c r="Y9695" s="100"/>
    </row>
    <row r="9696">
      <c r="R9696" s="100"/>
      <c r="V9696" s="100"/>
      <c r="Y9696" s="100"/>
    </row>
    <row r="9697">
      <c r="R9697" s="100"/>
      <c r="V9697" s="100"/>
      <c r="Y9697" s="100"/>
    </row>
    <row r="9698">
      <c r="R9698" s="100"/>
      <c r="V9698" s="100"/>
      <c r="Y9698" s="100"/>
    </row>
    <row r="9699">
      <c r="R9699" s="100"/>
      <c r="V9699" s="100"/>
      <c r="Y9699" s="100"/>
    </row>
    <row r="9700">
      <c r="R9700" s="100"/>
      <c r="V9700" s="100"/>
      <c r="Y9700" s="100"/>
    </row>
    <row r="9701">
      <c r="R9701" s="100"/>
      <c r="V9701" s="100"/>
      <c r="Y9701" s="100"/>
    </row>
    <row r="9702">
      <c r="R9702" s="100"/>
      <c r="V9702" s="100"/>
      <c r="Y9702" s="100"/>
    </row>
    <row r="9703">
      <c r="R9703" s="100"/>
      <c r="V9703" s="100"/>
      <c r="Y9703" s="100"/>
    </row>
    <row r="9704">
      <c r="R9704" s="100"/>
      <c r="V9704" s="100"/>
      <c r="Y9704" s="100"/>
    </row>
    <row r="9705">
      <c r="R9705" s="100"/>
      <c r="V9705" s="100"/>
      <c r="Y9705" s="100"/>
    </row>
    <row r="9706">
      <c r="R9706" s="100"/>
      <c r="V9706" s="100"/>
      <c r="Y9706" s="100"/>
    </row>
    <row r="9707">
      <c r="R9707" s="100"/>
      <c r="V9707" s="100"/>
      <c r="Y9707" s="100"/>
    </row>
    <row r="9708">
      <c r="R9708" s="100"/>
      <c r="V9708" s="100"/>
      <c r="Y9708" s="100"/>
    </row>
    <row r="9709">
      <c r="R9709" s="100"/>
      <c r="V9709" s="100"/>
      <c r="Y9709" s="100"/>
    </row>
    <row r="9710">
      <c r="R9710" s="100"/>
      <c r="V9710" s="100"/>
      <c r="Y9710" s="100"/>
    </row>
    <row r="9711">
      <c r="R9711" s="100"/>
      <c r="V9711" s="100"/>
      <c r="Y9711" s="100"/>
    </row>
    <row r="9712">
      <c r="R9712" s="100"/>
      <c r="V9712" s="100"/>
      <c r="Y9712" s="100"/>
    </row>
    <row r="9713">
      <c r="R9713" s="100"/>
      <c r="V9713" s="100"/>
      <c r="Y9713" s="100"/>
    </row>
    <row r="9714">
      <c r="R9714" s="100"/>
      <c r="V9714" s="100"/>
      <c r="Y9714" s="100"/>
    </row>
    <row r="9715">
      <c r="R9715" s="100"/>
      <c r="V9715" s="100"/>
      <c r="Y9715" s="100"/>
    </row>
    <row r="9716">
      <c r="R9716" s="100"/>
      <c r="V9716" s="100"/>
      <c r="Y9716" s="100"/>
    </row>
    <row r="9717">
      <c r="R9717" s="100"/>
      <c r="V9717" s="100"/>
      <c r="Y9717" s="100"/>
    </row>
    <row r="9718">
      <c r="R9718" s="100"/>
      <c r="V9718" s="100"/>
      <c r="Y9718" s="100"/>
    </row>
    <row r="9719">
      <c r="R9719" s="100"/>
      <c r="V9719" s="100"/>
      <c r="Y9719" s="100"/>
    </row>
    <row r="9720">
      <c r="R9720" s="100"/>
      <c r="V9720" s="100"/>
      <c r="Y9720" s="100"/>
    </row>
    <row r="9721">
      <c r="R9721" s="100"/>
      <c r="V9721" s="100"/>
      <c r="Y9721" s="100"/>
    </row>
    <row r="9722">
      <c r="R9722" s="100"/>
      <c r="V9722" s="100"/>
      <c r="Y9722" s="100"/>
    </row>
    <row r="9723">
      <c r="R9723" s="100"/>
      <c r="V9723" s="100"/>
      <c r="Y9723" s="100"/>
    </row>
    <row r="9724">
      <c r="R9724" s="100"/>
      <c r="V9724" s="100"/>
      <c r="Y9724" s="100"/>
    </row>
    <row r="9725">
      <c r="R9725" s="100"/>
      <c r="V9725" s="100"/>
      <c r="Y9725" s="100"/>
    </row>
    <row r="9726">
      <c r="R9726" s="100"/>
      <c r="V9726" s="100"/>
      <c r="Y9726" s="100"/>
    </row>
    <row r="9727">
      <c r="R9727" s="100"/>
      <c r="V9727" s="100"/>
      <c r="Y9727" s="100"/>
    </row>
    <row r="9728">
      <c r="R9728" s="100"/>
      <c r="V9728" s="100"/>
      <c r="Y9728" s="100"/>
    </row>
    <row r="9729">
      <c r="R9729" s="100"/>
      <c r="V9729" s="100"/>
      <c r="Y9729" s="100"/>
    </row>
    <row r="9730">
      <c r="R9730" s="100"/>
      <c r="V9730" s="100"/>
      <c r="Y9730" s="100"/>
    </row>
    <row r="9731">
      <c r="R9731" s="100"/>
      <c r="V9731" s="100"/>
      <c r="Y9731" s="100"/>
    </row>
    <row r="9732">
      <c r="R9732" s="100"/>
      <c r="V9732" s="100"/>
      <c r="Y9732" s="100"/>
    </row>
    <row r="9733">
      <c r="R9733" s="100"/>
      <c r="V9733" s="100"/>
      <c r="Y9733" s="100"/>
    </row>
    <row r="9734">
      <c r="R9734" s="100"/>
      <c r="V9734" s="100"/>
      <c r="Y9734" s="100"/>
    </row>
    <row r="9735">
      <c r="R9735" s="100"/>
      <c r="V9735" s="100"/>
      <c r="Y9735" s="100"/>
    </row>
    <row r="9736">
      <c r="R9736" s="100"/>
      <c r="V9736" s="100"/>
      <c r="Y9736" s="100"/>
    </row>
    <row r="9737">
      <c r="R9737" s="100"/>
      <c r="V9737" s="100"/>
      <c r="Y9737" s="100"/>
    </row>
    <row r="9738">
      <c r="R9738" s="100"/>
      <c r="V9738" s="100"/>
      <c r="Y9738" s="100"/>
    </row>
    <row r="9739">
      <c r="R9739" s="100"/>
      <c r="V9739" s="100"/>
      <c r="Y9739" s="100"/>
    </row>
    <row r="9740">
      <c r="R9740" s="100"/>
      <c r="V9740" s="100"/>
      <c r="Y9740" s="100"/>
    </row>
    <row r="9741">
      <c r="R9741" s="100"/>
      <c r="V9741" s="100"/>
      <c r="Y9741" s="100"/>
    </row>
    <row r="9742">
      <c r="R9742" s="100"/>
      <c r="V9742" s="100"/>
      <c r="Y9742" s="100"/>
    </row>
    <row r="9743">
      <c r="R9743" s="100"/>
      <c r="V9743" s="100"/>
      <c r="Y9743" s="100"/>
    </row>
    <row r="9744">
      <c r="R9744" s="100"/>
      <c r="V9744" s="100"/>
      <c r="Y9744" s="100"/>
    </row>
    <row r="9745">
      <c r="R9745" s="100"/>
      <c r="V9745" s="100"/>
      <c r="Y9745" s="100"/>
    </row>
    <row r="9746">
      <c r="R9746" s="100"/>
      <c r="V9746" s="100"/>
      <c r="Y9746" s="100"/>
    </row>
    <row r="9747">
      <c r="R9747" s="100"/>
      <c r="V9747" s="100"/>
      <c r="Y9747" s="100"/>
    </row>
    <row r="9748">
      <c r="R9748" s="100"/>
      <c r="V9748" s="100"/>
      <c r="Y9748" s="100"/>
    </row>
    <row r="9749">
      <c r="R9749" s="100"/>
      <c r="V9749" s="100"/>
      <c r="Y9749" s="100"/>
    </row>
    <row r="9750">
      <c r="R9750" s="100"/>
      <c r="V9750" s="100"/>
      <c r="Y9750" s="100"/>
    </row>
    <row r="9751">
      <c r="R9751" s="100"/>
      <c r="V9751" s="100"/>
      <c r="Y9751" s="100"/>
    </row>
    <row r="9752">
      <c r="R9752" s="100"/>
      <c r="V9752" s="100"/>
      <c r="Y9752" s="100"/>
    </row>
    <row r="9753">
      <c r="R9753" s="100"/>
      <c r="V9753" s="100"/>
      <c r="Y9753" s="100"/>
    </row>
    <row r="9754">
      <c r="R9754" s="100"/>
      <c r="V9754" s="100"/>
      <c r="Y9754" s="100"/>
    </row>
    <row r="9755">
      <c r="R9755" s="100"/>
      <c r="V9755" s="100"/>
      <c r="Y9755" s="100"/>
    </row>
    <row r="9756">
      <c r="R9756" s="100"/>
      <c r="V9756" s="100"/>
      <c r="Y9756" s="100"/>
    </row>
    <row r="9757">
      <c r="R9757" s="100"/>
      <c r="V9757" s="100"/>
      <c r="Y9757" s="100"/>
    </row>
    <row r="9758">
      <c r="R9758" s="100"/>
      <c r="V9758" s="100"/>
      <c r="Y9758" s="100"/>
    </row>
    <row r="9759">
      <c r="R9759" s="100"/>
      <c r="V9759" s="100"/>
      <c r="Y9759" s="100"/>
    </row>
    <row r="9760">
      <c r="R9760" s="100"/>
      <c r="V9760" s="100"/>
      <c r="Y9760" s="100"/>
    </row>
    <row r="9761">
      <c r="R9761" s="100"/>
      <c r="V9761" s="100"/>
      <c r="Y9761" s="100"/>
    </row>
    <row r="9762">
      <c r="R9762" s="100"/>
      <c r="V9762" s="100"/>
      <c r="Y9762" s="100"/>
    </row>
    <row r="9763">
      <c r="R9763" s="100"/>
      <c r="V9763" s="100"/>
      <c r="Y9763" s="100"/>
    </row>
    <row r="9764">
      <c r="R9764" s="100"/>
      <c r="V9764" s="100"/>
      <c r="Y9764" s="100"/>
    </row>
    <row r="9765">
      <c r="R9765" s="100"/>
      <c r="V9765" s="100"/>
      <c r="Y9765" s="100"/>
    </row>
    <row r="9766">
      <c r="R9766" s="100"/>
      <c r="V9766" s="100"/>
      <c r="Y9766" s="100"/>
    </row>
    <row r="9767">
      <c r="R9767" s="100"/>
      <c r="V9767" s="100"/>
      <c r="Y9767" s="100"/>
    </row>
    <row r="9768">
      <c r="R9768" s="100"/>
      <c r="V9768" s="100"/>
      <c r="Y9768" s="100"/>
    </row>
    <row r="9769">
      <c r="R9769" s="100"/>
      <c r="V9769" s="100"/>
      <c r="Y9769" s="100"/>
    </row>
    <row r="9770">
      <c r="R9770" s="100"/>
      <c r="V9770" s="100"/>
      <c r="Y9770" s="100"/>
    </row>
    <row r="9771">
      <c r="R9771" s="100"/>
      <c r="V9771" s="100"/>
      <c r="Y9771" s="100"/>
    </row>
    <row r="9772">
      <c r="R9772" s="100"/>
      <c r="V9772" s="100"/>
      <c r="Y9772" s="100"/>
    </row>
    <row r="9773">
      <c r="R9773" s="100"/>
      <c r="V9773" s="100"/>
      <c r="Y9773" s="100"/>
    </row>
    <row r="9774">
      <c r="R9774" s="100"/>
      <c r="V9774" s="100"/>
      <c r="Y9774" s="100"/>
    </row>
    <row r="9775">
      <c r="R9775" s="100"/>
      <c r="V9775" s="100"/>
      <c r="Y9775" s="100"/>
    </row>
    <row r="9776">
      <c r="R9776" s="100"/>
      <c r="V9776" s="100"/>
      <c r="Y9776" s="100"/>
    </row>
    <row r="9777">
      <c r="R9777" s="100"/>
      <c r="V9777" s="100"/>
      <c r="Y9777" s="100"/>
    </row>
    <row r="9778">
      <c r="R9778" s="100"/>
      <c r="V9778" s="100"/>
      <c r="Y9778" s="100"/>
    </row>
    <row r="9779">
      <c r="R9779" s="100"/>
      <c r="V9779" s="100"/>
      <c r="Y9779" s="100"/>
    </row>
    <row r="9780">
      <c r="R9780" s="100"/>
      <c r="V9780" s="100"/>
      <c r="Y9780" s="100"/>
    </row>
    <row r="9781">
      <c r="R9781" s="100"/>
      <c r="V9781" s="100"/>
      <c r="Y9781" s="100"/>
    </row>
    <row r="9782">
      <c r="R9782" s="100"/>
      <c r="V9782" s="100"/>
      <c r="Y9782" s="100"/>
    </row>
    <row r="9783">
      <c r="R9783" s="100"/>
      <c r="V9783" s="100"/>
      <c r="Y9783" s="100"/>
    </row>
    <row r="9784">
      <c r="R9784" s="100"/>
      <c r="V9784" s="100"/>
      <c r="Y9784" s="100"/>
    </row>
    <row r="9785">
      <c r="R9785" s="100"/>
      <c r="V9785" s="100"/>
      <c r="Y9785" s="100"/>
    </row>
    <row r="9786">
      <c r="R9786" s="100"/>
      <c r="V9786" s="100"/>
      <c r="Y9786" s="100"/>
    </row>
    <row r="9787">
      <c r="R9787" s="100"/>
      <c r="V9787" s="100"/>
      <c r="Y9787" s="100"/>
    </row>
    <row r="9788">
      <c r="R9788" s="100"/>
      <c r="V9788" s="100"/>
      <c r="Y9788" s="100"/>
    </row>
    <row r="9789">
      <c r="R9789" s="100"/>
      <c r="V9789" s="100"/>
      <c r="Y9789" s="100"/>
    </row>
    <row r="9790">
      <c r="R9790" s="100"/>
      <c r="V9790" s="100"/>
      <c r="Y9790" s="100"/>
    </row>
    <row r="9791">
      <c r="R9791" s="100"/>
      <c r="V9791" s="100"/>
      <c r="Y9791" s="100"/>
    </row>
    <row r="9792">
      <c r="R9792" s="100"/>
      <c r="V9792" s="100"/>
      <c r="Y9792" s="100"/>
    </row>
    <row r="9793">
      <c r="R9793" s="100"/>
      <c r="V9793" s="100"/>
      <c r="Y9793" s="100"/>
    </row>
    <row r="9794">
      <c r="R9794" s="100"/>
      <c r="V9794" s="100"/>
      <c r="Y9794" s="100"/>
    </row>
    <row r="9795">
      <c r="R9795" s="100"/>
      <c r="V9795" s="100"/>
      <c r="Y9795" s="100"/>
    </row>
    <row r="9796">
      <c r="R9796" s="100"/>
      <c r="V9796" s="100"/>
      <c r="Y9796" s="100"/>
    </row>
    <row r="9797">
      <c r="R9797" s="100"/>
      <c r="V9797" s="100"/>
      <c r="Y9797" s="100"/>
    </row>
    <row r="9798">
      <c r="R9798" s="100"/>
      <c r="V9798" s="100"/>
      <c r="Y9798" s="100"/>
    </row>
    <row r="9799">
      <c r="R9799" s="100"/>
      <c r="V9799" s="100"/>
      <c r="Y9799" s="100"/>
    </row>
    <row r="9800">
      <c r="R9800" s="100"/>
      <c r="V9800" s="100"/>
      <c r="Y9800" s="100"/>
    </row>
    <row r="9801">
      <c r="R9801" s="100"/>
      <c r="V9801" s="100"/>
      <c r="Y9801" s="100"/>
    </row>
    <row r="9802">
      <c r="R9802" s="100"/>
      <c r="V9802" s="100"/>
      <c r="Y9802" s="100"/>
    </row>
    <row r="9803">
      <c r="R9803" s="100"/>
      <c r="V9803" s="100"/>
      <c r="Y9803" s="100"/>
    </row>
    <row r="9804">
      <c r="R9804" s="100"/>
      <c r="V9804" s="100"/>
      <c r="Y9804" s="100"/>
    </row>
    <row r="9805">
      <c r="R9805" s="100"/>
      <c r="V9805" s="100"/>
      <c r="Y9805" s="100"/>
    </row>
    <row r="9806">
      <c r="R9806" s="100"/>
      <c r="V9806" s="100"/>
      <c r="Y9806" s="100"/>
    </row>
    <row r="9807">
      <c r="R9807" s="100"/>
      <c r="V9807" s="100"/>
      <c r="Y9807" s="100"/>
    </row>
    <row r="9808">
      <c r="R9808" s="100"/>
      <c r="V9808" s="100"/>
      <c r="Y9808" s="100"/>
    </row>
    <row r="9809">
      <c r="R9809" s="100"/>
      <c r="V9809" s="100"/>
      <c r="Y9809" s="100"/>
    </row>
    <row r="9810">
      <c r="R9810" s="100"/>
      <c r="V9810" s="100"/>
      <c r="Y9810" s="100"/>
    </row>
    <row r="9811">
      <c r="R9811" s="100"/>
      <c r="V9811" s="100"/>
      <c r="Y9811" s="100"/>
    </row>
    <row r="9812">
      <c r="R9812" s="100"/>
      <c r="V9812" s="100"/>
      <c r="Y9812" s="100"/>
    </row>
    <row r="9813">
      <c r="R9813" s="100"/>
      <c r="V9813" s="100"/>
      <c r="Y9813" s="100"/>
    </row>
    <row r="9814">
      <c r="R9814" s="100"/>
      <c r="V9814" s="100"/>
      <c r="Y9814" s="100"/>
    </row>
    <row r="9815">
      <c r="R9815" s="100"/>
      <c r="V9815" s="100"/>
      <c r="Y9815" s="100"/>
    </row>
    <row r="9816">
      <c r="R9816" s="100"/>
      <c r="V9816" s="100"/>
      <c r="Y9816" s="100"/>
    </row>
    <row r="9817">
      <c r="R9817" s="100"/>
      <c r="V9817" s="100"/>
      <c r="Y9817" s="100"/>
    </row>
    <row r="9818">
      <c r="R9818" s="100"/>
      <c r="V9818" s="100"/>
      <c r="Y9818" s="100"/>
    </row>
    <row r="9819">
      <c r="R9819" s="100"/>
      <c r="V9819" s="100"/>
      <c r="Y9819" s="100"/>
    </row>
    <row r="9820">
      <c r="R9820" s="100"/>
      <c r="V9820" s="100"/>
      <c r="Y9820" s="100"/>
    </row>
    <row r="9821">
      <c r="R9821" s="100"/>
      <c r="V9821" s="100"/>
      <c r="Y9821" s="100"/>
    </row>
    <row r="9822">
      <c r="R9822" s="100"/>
      <c r="V9822" s="100"/>
      <c r="Y9822" s="100"/>
    </row>
    <row r="9823">
      <c r="R9823" s="100"/>
      <c r="V9823" s="100"/>
      <c r="Y9823" s="100"/>
    </row>
    <row r="9824">
      <c r="R9824" s="100"/>
      <c r="V9824" s="100"/>
      <c r="Y9824" s="100"/>
    </row>
    <row r="9825">
      <c r="R9825" s="100"/>
      <c r="V9825" s="100"/>
      <c r="Y9825" s="100"/>
    </row>
    <row r="9826">
      <c r="R9826" s="100"/>
      <c r="V9826" s="100"/>
      <c r="Y9826" s="100"/>
    </row>
    <row r="9827">
      <c r="R9827" s="100"/>
      <c r="V9827" s="100"/>
      <c r="Y9827" s="100"/>
    </row>
    <row r="9828">
      <c r="R9828" s="100"/>
      <c r="V9828" s="100"/>
      <c r="Y9828" s="100"/>
    </row>
    <row r="9829">
      <c r="R9829" s="100"/>
      <c r="V9829" s="100"/>
      <c r="Y9829" s="100"/>
    </row>
    <row r="9830">
      <c r="R9830" s="100"/>
      <c r="V9830" s="100"/>
      <c r="Y9830" s="100"/>
    </row>
    <row r="9831">
      <c r="R9831" s="100"/>
      <c r="V9831" s="100"/>
      <c r="Y9831" s="100"/>
    </row>
    <row r="9832">
      <c r="R9832" s="100"/>
      <c r="V9832" s="100"/>
      <c r="Y9832" s="100"/>
    </row>
    <row r="9833">
      <c r="R9833" s="100"/>
      <c r="V9833" s="100"/>
      <c r="Y9833" s="100"/>
    </row>
    <row r="9834">
      <c r="R9834" s="100"/>
      <c r="V9834" s="100"/>
      <c r="Y9834" s="100"/>
    </row>
    <row r="9835">
      <c r="R9835" s="100"/>
      <c r="V9835" s="100"/>
      <c r="Y9835" s="100"/>
    </row>
    <row r="9836">
      <c r="R9836" s="100"/>
      <c r="V9836" s="100"/>
      <c r="Y9836" s="100"/>
    </row>
    <row r="9837">
      <c r="R9837" s="100"/>
      <c r="V9837" s="100"/>
      <c r="Y9837" s="100"/>
    </row>
    <row r="9838">
      <c r="R9838" s="100"/>
      <c r="V9838" s="100"/>
      <c r="Y9838" s="100"/>
    </row>
    <row r="9839">
      <c r="R9839" s="100"/>
      <c r="V9839" s="100"/>
      <c r="Y9839" s="100"/>
    </row>
    <row r="9840">
      <c r="R9840" s="100"/>
      <c r="V9840" s="100"/>
      <c r="Y9840" s="100"/>
    </row>
    <row r="9841">
      <c r="R9841" s="100"/>
      <c r="V9841" s="100"/>
      <c r="Y9841" s="100"/>
    </row>
    <row r="9842">
      <c r="R9842" s="100"/>
      <c r="V9842" s="100"/>
      <c r="Y9842" s="100"/>
    </row>
    <row r="9843">
      <c r="R9843" s="100"/>
      <c r="V9843" s="100"/>
      <c r="Y9843" s="100"/>
    </row>
    <row r="9844">
      <c r="R9844" s="100"/>
      <c r="V9844" s="100"/>
      <c r="Y9844" s="100"/>
    </row>
    <row r="9845">
      <c r="R9845" s="100"/>
      <c r="V9845" s="100"/>
      <c r="Y9845" s="100"/>
    </row>
    <row r="9846">
      <c r="R9846" s="100"/>
      <c r="V9846" s="100"/>
      <c r="Y9846" s="100"/>
    </row>
    <row r="9847">
      <c r="R9847" s="100"/>
      <c r="V9847" s="100"/>
      <c r="Y9847" s="100"/>
    </row>
    <row r="9848">
      <c r="R9848" s="100"/>
      <c r="V9848" s="100"/>
      <c r="Y9848" s="100"/>
    </row>
    <row r="9849">
      <c r="R9849" s="100"/>
      <c r="V9849" s="100"/>
      <c r="Y9849" s="100"/>
    </row>
    <row r="9850">
      <c r="R9850" s="100"/>
      <c r="V9850" s="100"/>
      <c r="Y9850" s="100"/>
    </row>
    <row r="9851">
      <c r="R9851" s="100"/>
      <c r="V9851" s="100"/>
      <c r="Y9851" s="100"/>
    </row>
    <row r="9852">
      <c r="R9852" s="100"/>
      <c r="V9852" s="100"/>
      <c r="Y9852" s="100"/>
    </row>
    <row r="9853">
      <c r="R9853" s="100"/>
      <c r="V9853" s="100"/>
      <c r="Y9853" s="100"/>
    </row>
    <row r="9854">
      <c r="R9854" s="100"/>
      <c r="V9854" s="100"/>
      <c r="Y9854" s="100"/>
    </row>
    <row r="9855">
      <c r="R9855" s="100"/>
      <c r="V9855" s="100"/>
      <c r="Y9855" s="100"/>
    </row>
    <row r="9856">
      <c r="R9856" s="100"/>
      <c r="V9856" s="100"/>
      <c r="Y9856" s="100"/>
    </row>
    <row r="9857">
      <c r="R9857" s="100"/>
      <c r="V9857" s="100"/>
      <c r="Y9857" s="100"/>
    </row>
    <row r="9858">
      <c r="R9858" s="100"/>
      <c r="V9858" s="100"/>
      <c r="Y9858" s="100"/>
    </row>
    <row r="9859">
      <c r="R9859" s="100"/>
      <c r="V9859" s="100"/>
      <c r="Y9859" s="100"/>
    </row>
    <row r="9860">
      <c r="R9860" s="100"/>
      <c r="V9860" s="100"/>
      <c r="Y9860" s="100"/>
    </row>
    <row r="9861">
      <c r="R9861" s="100"/>
      <c r="V9861" s="100"/>
      <c r="Y9861" s="100"/>
    </row>
    <row r="9862">
      <c r="R9862" s="100"/>
      <c r="V9862" s="100"/>
      <c r="Y9862" s="100"/>
    </row>
    <row r="9863">
      <c r="R9863" s="100"/>
      <c r="V9863" s="100"/>
      <c r="Y9863" s="100"/>
    </row>
    <row r="9864">
      <c r="R9864" s="100"/>
      <c r="V9864" s="100"/>
      <c r="Y9864" s="100"/>
    </row>
    <row r="9865">
      <c r="R9865" s="100"/>
      <c r="V9865" s="100"/>
      <c r="Y9865" s="100"/>
    </row>
    <row r="9866">
      <c r="R9866" s="100"/>
      <c r="V9866" s="100"/>
      <c r="Y9866" s="100"/>
    </row>
    <row r="9867">
      <c r="R9867" s="100"/>
      <c r="V9867" s="100"/>
      <c r="Y9867" s="100"/>
    </row>
    <row r="9868">
      <c r="R9868" s="100"/>
      <c r="V9868" s="100"/>
      <c r="Y9868" s="100"/>
    </row>
    <row r="9869">
      <c r="R9869" s="100"/>
      <c r="V9869" s="100"/>
      <c r="Y9869" s="100"/>
    </row>
    <row r="9870">
      <c r="R9870" s="100"/>
      <c r="V9870" s="100"/>
      <c r="Y9870" s="100"/>
    </row>
    <row r="9871">
      <c r="R9871" s="100"/>
      <c r="V9871" s="100"/>
      <c r="Y9871" s="100"/>
    </row>
    <row r="9872">
      <c r="R9872" s="100"/>
      <c r="V9872" s="100"/>
      <c r="Y9872" s="100"/>
    </row>
    <row r="9873">
      <c r="R9873" s="100"/>
      <c r="V9873" s="100"/>
      <c r="Y9873" s="100"/>
    </row>
    <row r="9874">
      <c r="R9874" s="100"/>
      <c r="V9874" s="100"/>
      <c r="Y9874" s="100"/>
    </row>
    <row r="9875">
      <c r="R9875" s="100"/>
      <c r="V9875" s="100"/>
      <c r="Y9875" s="100"/>
    </row>
    <row r="9876">
      <c r="R9876" s="100"/>
      <c r="V9876" s="100"/>
      <c r="Y9876" s="100"/>
    </row>
    <row r="9877">
      <c r="R9877" s="100"/>
      <c r="V9877" s="100"/>
      <c r="Y9877" s="100"/>
    </row>
    <row r="9878">
      <c r="R9878" s="100"/>
      <c r="V9878" s="100"/>
      <c r="Y9878" s="100"/>
    </row>
    <row r="9879">
      <c r="R9879" s="100"/>
      <c r="V9879" s="100"/>
      <c r="Y9879" s="100"/>
    </row>
    <row r="9880">
      <c r="R9880" s="100"/>
      <c r="V9880" s="100"/>
      <c r="Y9880" s="100"/>
    </row>
    <row r="9881">
      <c r="R9881" s="100"/>
      <c r="V9881" s="100"/>
      <c r="Y9881" s="100"/>
    </row>
    <row r="9882">
      <c r="R9882" s="100"/>
      <c r="V9882" s="100"/>
      <c r="Y9882" s="100"/>
    </row>
    <row r="9883">
      <c r="R9883" s="100"/>
      <c r="V9883" s="100"/>
      <c r="Y9883" s="100"/>
    </row>
    <row r="9884">
      <c r="R9884" s="100"/>
      <c r="V9884" s="100"/>
      <c r="Y9884" s="100"/>
    </row>
    <row r="9885">
      <c r="R9885" s="100"/>
      <c r="V9885" s="100"/>
      <c r="Y9885" s="100"/>
    </row>
    <row r="9886">
      <c r="R9886" s="100"/>
      <c r="V9886" s="100"/>
      <c r="Y9886" s="100"/>
    </row>
    <row r="9887">
      <c r="R9887" s="100"/>
      <c r="V9887" s="100"/>
      <c r="Y9887" s="100"/>
    </row>
    <row r="9888">
      <c r="R9888" s="100"/>
      <c r="V9888" s="100"/>
      <c r="Y9888" s="100"/>
    </row>
    <row r="9889">
      <c r="R9889" s="100"/>
      <c r="V9889" s="100"/>
      <c r="Y9889" s="100"/>
    </row>
    <row r="9890">
      <c r="R9890" s="100"/>
      <c r="V9890" s="100"/>
      <c r="Y9890" s="100"/>
    </row>
    <row r="9891">
      <c r="R9891" s="100"/>
      <c r="V9891" s="100"/>
      <c r="Y9891" s="100"/>
    </row>
    <row r="9892">
      <c r="R9892" s="100"/>
      <c r="V9892" s="100"/>
      <c r="Y9892" s="100"/>
    </row>
    <row r="9893">
      <c r="R9893" s="100"/>
      <c r="V9893" s="100"/>
      <c r="Y9893" s="100"/>
    </row>
    <row r="9894">
      <c r="R9894" s="100"/>
      <c r="V9894" s="100"/>
      <c r="Y9894" s="100"/>
    </row>
    <row r="9895">
      <c r="R9895" s="100"/>
      <c r="V9895" s="100"/>
      <c r="Y9895" s="100"/>
    </row>
    <row r="9896">
      <c r="R9896" s="100"/>
      <c r="V9896" s="100"/>
      <c r="Y9896" s="100"/>
    </row>
    <row r="9897">
      <c r="R9897" s="100"/>
      <c r="V9897" s="100"/>
      <c r="Y9897" s="100"/>
    </row>
    <row r="9898">
      <c r="R9898" s="100"/>
      <c r="V9898" s="100"/>
      <c r="Y9898" s="100"/>
    </row>
    <row r="9899">
      <c r="R9899" s="100"/>
      <c r="V9899" s="100"/>
      <c r="Y9899" s="100"/>
    </row>
    <row r="9900">
      <c r="R9900" s="100"/>
      <c r="V9900" s="100"/>
      <c r="Y9900" s="100"/>
    </row>
    <row r="9901">
      <c r="R9901" s="100"/>
      <c r="V9901" s="100"/>
      <c r="Y9901" s="100"/>
    </row>
    <row r="9902">
      <c r="R9902" s="100"/>
      <c r="V9902" s="100"/>
      <c r="Y9902" s="100"/>
    </row>
    <row r="9903">
      <c r="R9903" s="100"/>
      <c r="V9903" s="100"/>
      <c r="Y9903" s="100"/>
    </row>
    <row r="9904">
      <c r="R9904" s="100"/>
      <c r="V9904" s="100"/>
      <c r="Y9904" s="100"/>
    </row>
    <row r="9905">
      <c r="R9905" s="100"/>
      <c r="V9905" s="100"/>
      <c r="Y9905" s="100"/>
    </row>
    <row r="9906">
      <c r="R9906" s="100"/>
      <c r="V9906" s="100"/>
      <c r="Y9906" s="100"/>
    </row>
    <row r="9907">
      <c r="R9907" s="100"/>
      <c r="V9907" s="100"/>
      <c r="Y9907" s="100"/>
    </row>
    <row r="9908">
      <c r="R9908" s="100"/>
      <c r="V9908" s="100"/>
      <c r="Y9908" s="100"/>
    </row>
    <row r="9909">
      <c r="R9909" s="100"/>
      <c r="V9909" s="100"/>
      <c r="Y9909" s="100"/>
    </row>
    <row r="9910">
      <c r="R9910" s="100"/>
      <c r="V9910" s="100"/>
      <c r="Y9910" s="100"/>
    </row>
    <row r="9911">
      <c r="R9911" s="100"/>
      <c r="V9911" s="100"/>
      <c r="Y9911" s="100"/>
    </row>
    <row r="9912">
      <c r="R9912" s="100"/>
      <c r="V9912" s="100"/>
      <c r="Y9912" s="100"/>
    </row>
    <row r="9913">
      <c r="R9913" s="100"/>
      <c r="V9913" s="100"/>
      <c r="Y9913" s="100"/>
    </row>
    <row r="9914">
      <c r="R9914" s="100"/>
      <c r="V9914" s="100"/>
      <c r="Y9914" s="100"/>
    </row>
    <row r="9915">
      <c r="R9915" s="100"/>
      <c r="V9915" s="100"/>
      <c r="Y9915" s="100"/>
    </row>
    <row r="9916">
      <c r="R9916" s="100"/>
      <c r="V9916" s="100"/>
      <c r="Y9916" s="100"/>
    </row>
    <row r="9917">
      <c r="R9917" s="100"/>
      <c r="V9917" s="100"/>
      <c r="Y9917" s="100"/>
    </row>
    <row r="9918">
      <c r="R9918" s="100"/>
      <c r="V9918" s="100"/>
      <c r="Y9918" s="100"/>
    </row>
    <row r="9919">
      <c r="R9919" s="100"/>
      <c r="V9919" s="100"/>
      <c r="Y9919" s="100"/>
    </row>
    <row r="9920">
      <c r="R9920" s="100"/>
      <c r="V9920" s="100"/>
      <c r="Y9920" s="100"/>
    </row>
    <row r="9921">
      <c r="R9921" s="100"/>
      <c r="V9921" s="100"/>
      <c r="Y9921" s="100"/>
    </row>
    <row r="9922">
      <c r="R9922" s="100"/>
      <c r="V9922" s="100"/>
      <c r="Y9922" s="100"/>
    </row>
    <row r="9923">
      <c r="R9923" s="100"/>
      <c r="V9923" s="100"/>
      <c r="Y9923" s="100"/>
    </row>
    <row r="9924">
      <c r="R9924" s="100"/>
      <c r="V9924" s="100"/>
      <c r="Y9924" s="100"/>
    </row>
    <row r="9925">
      <c r="R9925" s="100"/>
      <c r="V9925" s="100"/>
      <c r="Y9925" s="100"/>
    </row>
    <row r="9926">
      <c r="R9926" s="100"/>
      <c r="V9926" s="100"/>
      <c r="Y9926" s="100"/>
    </row>
    <row r="9927">
      <c r="R9927" s="100"/>
      <c r="V9927" s="100"/>
      <c r="Y9927" s="100"/>
    </row>
    <row r="9928">
      <c r="R9928" s="100"/>
      <c r="V9928" s="100"/>
      <c r="Y9928" s="100"/>
    </row>
    <row r="9929">
      <c r="R9929" s="100"/>
      <c r="V9929" s="100"/>
      <c r="Y9929" s="100"/>
    </row>
    <row r="9930">
      <c r="R9930" s="100"/>
      <c r="V9930" s="100"/>
      <c r="Y9930" s="100"/>
    </row>
    <row r="9931">
      <c r="R9931" s="100"/>
      <c r="V9931" s="100"/>
      <c r="Y9931" s="100"/>
    </row>
    <row r="9932">
      <c r="R9932" s="100"/>
      <c r="V9932" s="100"/>
      <c r="Y9932" s="100"/>
    </row>
    <row r="9933">
      <c r="R9933" s="100"/>
      <c r="V9933" s="100"/>
      <c r="Y9933" s="100"/>
    </row>
    <row r="9934">
      <c r="R9934" s="100"/>
      <c r="V9934" s="100"/>
      <c r="Y9934" s="100"/>
    </row>
    <row r="9935">
      <c r="R9935" s="100"/>
      <c r="V9935" s="100"/>
      <c r="Y9935" s="100"/>
    </row>
    <row r="9936">
      <c r="R9936" s="100"/>
      <c r="V9936" s="100"/>
      <c r="Y9936" s="100"/>
    </row>
    <row r="9937">
      <c r="R9937" s="100"/>
      <c r="V9937" s="100"/>
      <c r="Y9937" s="100"/>
    </row>
    <row r="9938">
      <c r="R9938" s="100"/>
      <c r="V9938" s="100"/>
      <c r="Y9938" s="100"/>
    </row>
    <row r="9939">
      <c r="R9939" s="100"/>
      <c r="V9939" s="100"/>
      <c r="Y9939" s="100"/>
    </row>
    <row r="9940">
      <c r="R9940" s="100"/>
      <c r="V9940" s="100"/>
      <c r="Y9940" s="100"/>
    </row>
    <row r="9941">
      <c r="R9941" s="100"/>
      <c r="V9941" s="100"/>
      <c r="Y9941" s="100"/>
    </row>
    <row r="9942">
      <c r="R9942" s="100"/>
      <c r="V9942" s="100"/>
      <c r="Y9942" s="100"/>
    </row>
    <row r="9943">
      <c r="R9943" s="100"/>
      <c r="V9943" s="100"/>
      <c r="Y9943" s="100"/>
    </row>
    <row r="9944">
      <c r="R9944" s="100"/>
      <c r="V9944" s="100"/>
      <c r="Y9944" s="100"/>
    </row>
    <row r="9945">
      <c r="R9945" s="100"/>
      <c r="V9945" s="100"/>
      <c r="Y9945" s="100"/>
    </row>
    <row r="9946">
      <c r="R9946" s="100"/>
      <c r="V9946" s="100"/>
      <c r="Y9946" s="100"/>
    </row>
    <row r="9947">
      <c r="R9947" s="100"/>
      <c r="V9947" s="100"/>
      <c r="Y9947" s="100"/>
    </row>
    <row r="9948">
      <c r="R9948" s="100"/>
      <c r="V9948" s="100"/>
      <c r="Y9948" s="100"/>
    </row>
    <row r="9949">
      <c r="R9949" s="100"/>
      <c r="V9949" s="100"/>
      <c r="Y9949" s="100"/>
    </row>
    <row r="9950">
      <c r="R9950" s="100"/>
      <c r="V9950" s="100"/>
      <c r="Y9950" s="100"/>
    </row>
    <row r="9951">
      <c r="R9951" s="100"/>
      <c r="V9951" s="100"/>
      <c r="Y9951" s="100"/>
    </row>
    <row r="9952">
      <c r="R9952" s="100"/>
      <c r="V9952" s="100"/>
      <c r="Y9952" s="100"/>
    </row>
    <row r="9953">
      <c r="R9953" s="100"/>
      <c r="V9953" s="100"/>
      <c r="Y9953" s="100"/>
    </row>
    <row r="9954">
      <c r="R9954" s="100"/>
      <c r="V9954" s="100"/>
      <c r="Y9954" s="100"/>
    </row>
    <row r="9955">
      <c r="R9955" s="100"/>
      <c r="V9955" s="100"/>
      <c r="Y9955" s="100"/>
    </row>
    <row r="9956">
      <c r="R9956" s="100"/>
      <c r="V9956" s="100"/>
      <c r="Y9956" s="100"/>
    </row>
    <row r="9957">
      <c r="R9957" s="100"/>
      <c r="V9957" s="100"/>
      <c r="Y9957" s="100"/>
    </row>
    <row r="9958">
      <c r="R9958" s="100"/>
      <c r="V9958" s="100"/>
      <c r="Y9958" s="100"/>
    </row>
    <row r="9959">
      <c r="R9959" s="100"/>
      <c r="V9959" s="100"/>
      <c r="Y9959" s="100"/>
    </row>
    <row r="9960">
      <c r="R9960" s="100"/>
      <c r="V9960" s="100"/>
      <c r="Y9960" s="100"/>
    </row>
    <row r="9961">
      <c r="R9961" s="100"/>
      <c r="V9961" s="100"/>
      <c r="Y9961" s="100"/>
    </row>
    <row r="9962">
      <c r="R9962" s="100"/>
      <c r="V9962" s="100"/>
      <c r="Y9962" s="100"/>
    </row>
    <row r="9963">
      <c r="R9963" s="100"/>
      <c r="V9963" s="100"/>
      <c r="Y9963" s="100"/>
    </row>
    <row r="9964">
      <c r="R9964" s="100"/>
      <c r="V9964" s="100"/>
      <c r="Y9964" s="100"/>
    </row>
    <row r="9965">
      <c r="R9965" s="100"/>
      <c r="V9965" s="100"/>
      <c r="Y9965" s="100"/>
    </row>
    <row r="9966">
      <c r="R9966" s="100"/>
      <c r="V9966" s="100"/>
      <c r="Y9966" s="100"/>
    </row>
    <row r="9967">
      <c r="R9967" s="100"/>
      <c r="V9967" s="100"/>
      <c r="Y9967" s="100"/>
    </row>
    <row r="9968">
      <c r="R9968" s="100"/>
      <c r="V9968" s="100"/>
      <c r="Y9968" s="100"/>
    </row>
    <row r="9969">
      <c r="R9969" s="100"/>
      <c r="V9969" s="100"/>
      <c r="Y9969" s="100"/>
    </row>
    <row r="9970">
      <c r="R9970" s="100"/>
      <c r="V9970" s="100"/>
      <c r="Y9970" s="100"/>
    </row>
    <row r="9971">
      <c r="R9971" s="100"/>
      <c r="V9971" s="100"/>
      <c r="Y9971" s="100"/>
    </row>
    <row r="9972">
      <c r="R9972" s="100"/>
      <c r="V9972" s="100"/>
      <c r="Y9972" s="100"/>
    </row>
    <row r="9973">
      <c r="R9973" s="100"/>
      <c r="V9973" s="100"/>
      <c r="Y9973" s="100"/>
    </row>
    <row r="9974">
      <c r="R9974" s="100"/>
      <c r="V9974" s="100"/>
      <c r="Y9974" s="100"/>
    </row>
    <row r="9975">
      <c r="R9975" s="100"/>
      <c r="V9975" s="100"/>
      <c r="Y9975" s="100"/>
    </row>
    <row r="9976">
      <c r="R9976" s="100"/>
      <c r="V9976" s="100"/>
      <c r="Y9976" s="100"/>
    </row>
    <row r="9977">
      <c r="R9977" s="100"/>
      <c r="V9977" s="100"/>
      <c r="Y9977" s="100"/>
    </row>
    <row r="9978">
      <c r="R9978" s="100"/>
      <c r="V9978" s="100"/>
      <c r="Y9978" s="100"/>
    </row>
    <row r="9979">
      <c r="R9979" s="100"/>
      <c r="V9979" s="100"/>
      <c r="Y9979" s="100"/>
    </row>
    <row r="9980">
      <c r="R9980" s="100"/>
      <c r="V9980" s="100"/>
      <c r="Y9980" s="100"/>
    </row>
    <row r="9981">
      <c r="R9981" s="100"/>
      <c r="V9981" s="100"/>
      <c r="Y9981" s="100"/>
    </row>
    <row r="9982">
      <c r="R9982" s="100"/>
      <c r="V9982" s="100"/>
      <c r="Y9982" s="100"/>
    </row>
    <row r="9983">
      <c r="R9983" s="100"/>
      <c r="V9983" s="100"/>
      <c r="Y9983" s="100"/>
    </row>
    <row r="9984">
      <c r="R9984" s="100"/>
      <c r="V9984" s="100"/>
      <c r="Y9984" s="100"/>
    </row>
    <row r="9985">
      <c r="R9985" s="100"/>
      <c r="V9985" s="100"/>
      <c r="Y9985" s="100"/>
    </row>
    <row r="9986">
      <c r="R9986" s="100"/>
      <c r="V9986" s="100"/>
      <c r="Y9986" s="100"/>
    </row>
    <row r="9987">
      <c r="R9987" s="100"/>
      <c r="V9987" s="100"/>
      <c r="Y9987" s="100"/>
    </row>
    <row r="9988">
      <c r="R9988" s="100"/>
      <c r="V9988" s="100"/>
      <c r="Y9988" s="100"/>
    </row>
    <row r="9989">
      <c r="R9989" s="100"/>
      <c r="V9989" s="100"/>
      <c r="Y9989" s="100"/>
    </row>
    <row r="9990">
      <c r="R9990" s="100"/>
      <c r="V9990" s="100"/>
      <c r="Y9990" s="100"/>
    </row>
    <row r="9991">
      <c r="R9991" s="100"/>
      <c r="V9991" s="100"/>
      <c r="Y9991" s="100"/>
    </row>
    <row r="9992">
      <c r="R9992" s="100"/>
      <c r="V9992" s="100"/>
      <c r="Y9992" s="100"/>
    </row>
    <row r="9993">
      <c r="R9993" s="100"/>
      <c r="V9993" s="100"/>
      <c r="Y9993" s="100"/>
    </row>
    <row r="9994">
      <c r="R9994" s="100"/>
      <c r="V9994" s="100"/>
      <c r="Y9994" s="100"/>
    </row>
    <row r="9995">
      <c r="R9995" s="100"/>
      <c r="V9995" s="100"/>
      <c r="Y9995" s="100"/>
    </row>
    <row r="9996">
      <c r="R9996" s="100"/>
      <c r="V9996" s="100"/>
      <c r="Y9996" s="100"/>
    </row>
    <row r="9997">
      <c r="R9997" s="100"/>
      <c r="V9997" s="100"/>
      <c r="Y9997" s="100"/>
    </row>
    <row r="9998">
      <c r="R9998" s="100"/>
      <c r="V9998" s="100"/>
      <c r="Y9998" s="100"/>
    </row>
    <row r="9999">
      <c r="R9999" s="100"/>
      <c r="V9999" s="100"/>
      <c r="Y9999" s="100"/>
    </row>
    <row r="10000">
      <c r="R10000" s="100"/>
      <c r="V10000" s="100"/>
      <c r="Y10000" s="100"/>
    </row>
    <row r="10001">
      <c r="R10001" s="100"/>
      <c r="V10001" s="100"/>
      <c r="Y10001" s="100"/>
    </row>
    <row r="10002">
      <c r="R10002" s="100"/>
      <c r="V10002" s="100"/>
      <c r="Y10002" s="100"/>
    </row>
    <row r="10003">
      <c r="R10003" s="100"/>
      <c r="V10003" s="100"/>
      <c r="Y10003" s="100"/>
    </row>
    <row r="10004">
      <c r="R10004" s="100"/>
      <c r="V10004" s="100"/>
      <c r="Y10004" s="100"/>
    </row>
    <row r="10005">
      <c r="R10005" s="100"/>
      <c r="V10005" s="100"/>
      <c r="Y10005" s="100"/>
    </row>
    <row r="10006">
      <c r="R10006" s="100"/>
      <c r="V10006" s="100"/>
      <c r="Y10006" s="100"/>
    </row>
    <row r="10007">
      <c r="R10007" s="100"/>
      <c r="V10007" s="100"/>
      <c r="Y10007" s="100"/>
    </row>
    <row r="10008">
      <c r="R10008" s="100"/>
      <c r="V10008" s="100"/>
      <c r="Y10008" s="100"/>
    </row>
    <row r="10009">
      <c r="R10009" s="100"/>
      <c r="V10009" s="100"/>
      <c r="Y10009" s="100"/>
    </row>
    <row r="10010">
      <c r="R10010" s="100"/>
      <c r="V10010" s="100"/>
      <c r="Y10010" s="100"/>
    </row>
    <row r="10011">
      <c r="R10011" s="100"/>
      <c r="V10011" s="100"/>
      <c r="Y10011" s="100"/>
    </row>
    <row r="10012">
      <c r="R10012" s="100"/>
      <c r="V10012" s="100"/>
      <c r="Y10012" s="100"/>
    </row>
    <row r="10013">
      <c r="R10013" s="100"/>
      <c r="V10013" s="100"/>
      <c r="Y10013" s="100"/>
    </row>
    <row r="10014">
      <c r="R10014" s="100"/>
      <c r="V10014" s="100"/>
      <c r="Y10014" s="100"/>
    </row>
    <row r="10015">
      <c r="R10015" s="100"/>
      <c r="V10015" s="100"/>
      <c r="Y10015" s="100"/>
    </row>
    <row r="10016">
      <c r="R10016" s="100"/>
      <c r="V10016" s="100"/>
      <c r="Y10016" s="100"/>
    </row>
    <row r="10017">
      <c r="R10017" s="100"/>
      <c r="V10017" s="100"/>
      <c r="Y10017" s="100"/>
    </row>
    <row r="10018">
      <c r="R10018" s="100"/>
      <c r="V10018" s="100"/>
      <c r="Y10018" s="100"/>
    </row>
    <row r="10019">
      <c r="R10019" s="100"/>
      <c r="V10019" s="100"/>
      <c r="Y10019" s="100"/>
    </row>
    <row r="10020">
      <c r="R10020" s="100"/>
      <c r="V10020" s="100"/>
      <c r="Y10020" s="100"/>
    </row>
    <row r="10021">
      <c r="R10021" s="100"/>
      <c r="V10021" s="100"/>
      <c r="Y10021" s="100"/>
    </row>
    <row r="10022">
      <c r="R10022" s="100"/>
      <c r="V10022" s="100"/>
      <c r="Y10022" s="100"/>
    </row>
    <row r="10023">
      <c r="R10023" s="100"/>
      <c r="V10023" s="100"/>
      <c r="Y10023" s="100"/>
    </row>
    <row r="10024">
      <c r="R10024" s="100"/>
      <c r="V10024" s="100"/>
      <c r="Y10024" s="100"/>
    </row>
    <row r="10025">
      <c r="R10025" s="100"/>
      <c r="V10025" s="100"/>
      <c r="Y10025" s="100"/>
    </row>
    <row r="10026">
      <c r="R10026" s="100"/>
      <c r="V10026" s="100"/>
      <c r="Y10026" s="100"/>
    </row>
    <row r="10027">
      <c r="R10027" s="100"/>
      <c r="V10027" s="100"/>
      <c r="Y10027" s="100"/>
    </row>
    <row r="10028">
      <c r="R10028" s="100"/>
      <c r="V10028" s="100"/>
      <c r="Y10028" s="100"/>
    </row>
    <row r="10029">
      <c r="R10029" s="100"/>
      <c r="V10029" s="100"/>
      <c r="Y10029" s="100"/>
    </row>
    <row r="10030">
      <c r="R10030" s="100"/>
      <c r="V10030" s="100"/>
      <c r="Y10030" s="100"/>
    </row>
    <row r="10031">
      <c r="R10031" s="100"/>
      <c r="V10031" s="100"/>
      <c r="Y10031" s="100"/>
    </row>
    <row r="10032">
      <c r="R10032" s="100"/>
      <c r="V10032" s="100"/>
      <c r="Y10032" s="100"/>
    </row>
    <row r="10033">
      <c r="R10033" s="100"/>
      <c r="V10033" s="100"/>
      <c r="Y10033" s="100"/>
    </row>
    <row r="10034">
      <c r="R10034" s="100"/>
      <c r="V10034" s="100"/>
      <c r="Y10034" s="100"/>
    </row>
    <row r="10035">
      <c r="R10035" s="100"/>
      <c r="V10035" s="100"/>
      <c r="Y10035" s="100"/>
    </row>
    <row r="10036">
      <c r="R10036" s="100"/>
      <c r="V10036" s="100"/>
      <c r="Y10036" s="100"/>
    </row>
    <row r="10037">
      <c r="R10037" s="100"/>
      <c r="V10037" s="100"/>
      <c r="Y10037" s="100"/>
    </row>
    <row r="10038">
      <c r="R10038" s="100"/>
      <c r="V10038" s="100"/>
      <c r="Y10038" s="100"/>
    </row>
    <row r="10039">
      <c r="R10039" s="100"/>
      <c r="V10039" s="100"/>
      <c r="Y10039" s="100"/>
    </row>
    <row r="10040">
      <c r="R10040" s="100"/>
      <c r="V10040" s="100"/>
      <c r="Y10040" s="100"/>
    </row>
    <row r="10041">
      <c r="R10041" s="100"/>
      <c r="V10041" s="100"/>
      <c r="Y10041" s="100"/>
    </row>
    <row r="10042">
      <c r="R10042" s="100"/>
      <c r="V10042" s="100"/>
      <c r="Y10042" s="100"/>
    </row>
    <row r="10043">
      <c r="R10043" s="100"/>
      <c r="V10043" s="100"/>
      <c r="Y10043" s="100"/>
    </row>
    <row r="10044">
      <c r="R10044" s="100"/>
      <c r="V10044" s="100"/>
      <c r="Y10044" s="100"/>
    </row>
    <row r="10045">
      <c r="R10045" s="100"/>
      <c r="V10045" s="100"/>
      <c r="Y10045" s="100"/>
    </row>
    <row r="10046">
      <c r="R10046" s="100"/>
      <c r="V10046" s="100"/>
      <c r="Y10046" s="100"/>
    </row>
    <row r="10047">
      <c r="R10047" s="100"/>
      <c r="V10047" s="100"/>
      <c r="Y10047" s="100"/>
    </row>
    <row r="10048">
      <c r="R10048" s="100"/>
      <c r="V10048" s="100"/>
      <c r="Y10048" s="100"/>
    </row>
    <row r="10049">
      <c r="R10049" s="100"/>
      <c r="V10049" s="100"/>
      <c r="Y10049" s="100"/>
    </row>
    <row r="10050">
      <c r="R10050" s="100"/>
      <c r="V10050" s="100"/>
      <c r="Y10050" s="100"/>
    </row>
    <row r="10051">
      <c r="R10051" s="100"/>
      <c r="V10051" s="100"/>
      <c r="Y10051" s="100"/>
    </row>
    <row r="10052">
      <c r="R10052" s="100"/>
      <c r="V10052" s="100"/>
      <c r="Y10052" s="100"/>
    </row>
    <row r="10053">
      <c r="R10053" s="100"/>
      <c r="V10053" s="100"/>
      <c r="Y10053" s="100"/>
    </row>
    <row r="10054">
      <c r="R10054" s="100"/>
      <c r="V10054" s="100"/>
      <c r="Y10054" s="100"/>
    </row>
    <row r="10055">
      <c r="R10055" s="100"/>
      <c r="V10055" s="100"/>
      <c r="Y10055" s="100"/>
    </row>
    <row r="10056">
      <c r="R10056" s="100"/>
      <c r="V10056" s="100"/>
      <c r="Y10056" s="100"/>
    </row>
    <row r="10057">
      <c r="R10057" s="100"/>
      <c r="V10057" s="100"/>
      <c r="Y10057" s="100"/>
    </row>
    <row r="10058">
      <c r="R10058" s="100"/>
      <c r="V10058" s="100"/>
      <c r="Y10058" s="100"/>
    </row>
    <row r="10059">
      <c r="R10059" s="100"/>
      <c r="V10059" s="100"/>
      <c r="Y10059" s="100"/>
    </row>
    <row r="10060">
      <c r="R10060" s="100"/>
      <c r="V10060" s="100"/>
      <c r="Y10060" s="100"/>
    </row>
    <row r="10061">
      <c r="R10061" s="100"/>
      <c r="V10061" s="100"/>
      <c r="Y10061" s="100"/>
    </row>
    <row r="10062">
      <c r="R10062" s="100"/>
      <c r="V10062" s="100"/>
      <c r="Y10062" s="100"/>
    </row>
    <row r="10063">
      <c r="R10063" s="100"/>
      <c r="V10063" s="100"/>
      <c r="Y10063" s="100"/>
    </row>
    <row r="10064">
      <c r="R10064" s="100"/>
      <c r="V10064" s="100"/>
      <c r="Y10064" s="100"/>
    </row>
    <row r="10065">
      <c r="R10065" s="100"/>
      <c r="V10065" s="100"/>
      <c r="Y10065" s="100"/>
    </row>
    <row r="10066">
      <c r="R10066" s="100"/>
      <c r="V10066" s="100"/>
      <c r="Y10066" s="100"/>
    </row>
    <row r="10067">
      <c r="R10067" s="100"/>
      <c r="V10067" s="100"/>
      <c r="Y10067" s="100"/>
    </row>
    <row r="10068">
      <c r="R10068" s="100"/>
      <c r="V10068" s="100"/>
      <c r="Y10068" s="100"/>
    </row>
    <row r="10069">
      <c r="R10069" s="100"/>
      <c r="V10069" s="100"/>
      <c r="Y10069" s="100"/>
    </row>
    <row r="10070">
      <c r="R10070" s="100"/>
      <c r="V10070" s="100"/>
      <c r="Y10070" s="100"/>
    </row>
    <row r="10071">
      <c r="R10071" s="100"/>
      <c r="V10071" s="100"/>
      <c r="Y10071" s="100"/>
    </row>
    <row r="10072">
      <c r="R10072" s="100"/>
      <c r="V10072" s="100"/>
      <c r="Y10072" s="100"/>
    </row>
    <row r="10073">
      <c r="R10073" s="100"/>
      <c r="V10073" s="100"/>
      <c r="Y10073" s="100"/>
    </row>
    <row r="10074">
      <c r="R10074" s="100"/>
      <c r="V10074" s="100"/>
      <c r="Y10074" s="100"/>
    </row>
    <row r="10075">
      <c r="R10075" s="100"/>
      <c r="V10075" s="100"/>
      <c r="Y10075" s="100"/>
    </row>
    <row r="10076">
      <c r="R10076" s="100"/>
      <c r="V10076" s="100"/>
      <c r="Y10076" s="100"/>
    </row>
    <row r="10077">
      <c r="R10077" s="100"/>
      <c r="V10077" s="100"/>
      <c r="Y10077" s="100"/>
    </row>
    <row r="10078">
      <c r="R10078" s="100"/>
      <c r="V10078" s="100"/>
      <c r="Y10078" s="100"/>
    </row>
    <row r="10079">
      <c r="R10079" s="100"/>
      <c r="V10079" s="100"/>
      <c r="Y10079" s="100"/>
    </row>
    <row r="10080">
      <c r="R10080" s="100"/>
      <c r="V10080" s="100"/>
      <c r="Y10080" s="100"/>
    </row>
    <row r="10081">
      <c r="R10081" s="100"/>
      <c r="V10081" s="100"/>
      <c r="Y10081" s="100"/>
    </row>
    <row r="10082">
      <c r="R10082" s="100"/>
      <c r="V10082" s="100"/>
      <c r="Y10082" s="100"/>
    </row>
    <row r="10083">
      <c r="R10083" s="100"/>
      <c r="V10083" s="100"/>
      <c r="Y10083" s="100"/>
    </row>
    <row r="10084">
      <c r="R10084" s="100"/>
      <c r="V10084" s="100"/>
      <c r="Y10084" s="100"/>
    </row>
    <row r="10085">
      <c r="R10085" s="100"/>
      <c r="V10085" s="100"/>
      <c r="Y10085" s="100"/>
    </row>
    <row r="10086">
      <c r="R10086" s="100"/>
      <c r="V10086" s="100"/>
      <c r="Y10086" s="100"/>
    </row>
    <row r="10087">
      <c r="R10087" s="100"/>
      <c r="V10087" s="100"/>
      <c r="Y10087" s="100"/>
    </row>
    <row r="10088">
      <c r="R10088" s="100"/>
      <c r="V10088" s="100"/>
      <c r="Y10088" s="100"/>
    </row>
    <row r="10089">
      <c r="R10089" s="100"/>
      <c r="V10089" s="100"/>
      <c r="Y10089" s="100"/>
    </row>
    <row r="10090">
      <c r="R10090" s="100"/>
      <c r="V10090" s="100"/>
      <c r="Y10090" s="100"/>
    </row>
    <row r="10091">
      <c r="R10091" s="100"/>
      <c r="V10091" s="100"/>
      <c r="Y10091" s="100"/>
    </row>
    <row r="10092">
      <c r="R10092" s="100"/>
      <c r="V10092" s="100"/>
      <c r="Y10092" s="100"/>
    </row>
    <row r="10093">
      <c r="R10093" s="100"/>
      <c r="V10093" s="100"/>
      <c r="Y10093" s="100"/>
    </row>
    <row r="10094">
      <c r="R10094" s="100"/>
      <c r="V10094" s="100"/>
      <c r="Y10094" s="100"/>
    </row>
    <row r="10095">
      <c r="R10095" s="100"/>
      <c r="V10095" s="100"/>
      <c r="Y10095" s="100"/>
    </row>
    <row r="10096">
      <c r="R10096" s="100"/>
      <c r="V10096" s="100"/>
      <c r="Y10096" s="100"/>
    </row>
    <row r="10097">
      <c r="R10097" s="100"/>
      <c r="V10097" s="100"/>
      <c r="Y10097" s="100"/>
    </row>
    <row r="10098">
      <c r="R10098" s="100"/>
      <c r="V10098" s="100"/>
      <c r="Y10098" s="100"/>
    </row>
    <row r="10099">
      <c r="R10099" s="100"/>
      <c r="V10099" s="100"/>
      <c r="Y10099" s="100"/>
    </row>
    <row r="10100">
      <c r="R10100" s="100"/>
      <c r="V10100" s="100"/>
      <c r="Y10100" s="100"/>
    </row>
    <row r="10101">
      <c r="R10101" s="100"/>
      <c r="V10101" s="100"/>
      <c r="Y10101" s="100"/>
    </row>
    <row r="10102">
      <c r="R10102" s="100"/>
      <c r="V10102" s="100"/>
      <c r="Y10102" s="100"/>
    </row>
    <row r="10103">
      <c r="R10103" s="100"/>
      <c r="V10103" s="100"/>
      <c r="Y10103" s="100"/>
    </row>
    <row r="10104">
      <c r="R10104" s="100"/>
      <c r="V10104" s="100"/>
      <c r="Y10104" s="100"/>
    </row>
    <row r="10105">
      <c r="R10105" s="100"/>
      <c r="V10105" s="100"/>
      <c r="Y10105" s="100"/>
    </row>
    <row r="10106">
      <c r="R10106" s="100"/>
      <c r="V10106" s="100"/>
      <c r="Y10106" s="100"/>
    </row>
    <row r="10107">
      <c r="R10107" s="100"/>
      <c r="V10107" s="100"/>
      <c r="Y10107" s="100"/>
    </row>
    <row r="10108">
      <c r="R10108" s="100"/>
      <c r="V10108" s="100"/>
      <c r="Y10108" s="100"/>
    </row>
    <row r="10109">
      <c r="R10109" s="100"/>
      <c r="V10109" s="100"/>
      <c r="Y10109" s="100"/>
    </row>
    <row r="10110">
      <c r="R10110" s="100"/>
      <c r="V10110" s="100"/>
      <c r="Y10110" s="100"/>
    </row>
    <row r="10111">
      <c r="R10111" s="100"/>
      <c r="V10111" s="100"/>
      <c r="Y10111" s="100"/>
    </row>
    <row r="10112">
      <c r="R10112" s="100"/>
      <c r="V10112" s="100"/>
      <c r="Y10112" s="100"/>
    </row>
    <row r="10113">
      <c r="R10113" s="100"/>
      <c r="V10113" s="100"/>
      <c r="Y10113" s="100"/>
    </row>
    <row r="10114">
      <c r="R10114" s="100"/>
      <c r="V10114" s="100"/>
      <c r="Y10114" s="100"/>
    </row>
    <row r="10115">
      <c r="R10115" s="100"/>
      <c r="V10115" s="100"/>
      <c r="Y10115" s="100"/>
    </row>
    <row r="10116">
      <c r="R10116" s="100"/>
      <c r="V10116" s="100"/>
      <c r="Y10116" s="100"/>
    </row>
    <row r="10117">
      <c r="R10117" s="100"/>
      <c r="V10117" s="100"/>
      <c r="Y10117" s="100"/>
    </row>
    <row r="10118">
      <c r="R10118" s="100"/>
      <c r="V10118" s="100"/>
      <c r="Y10118" s="100"/>
    </row>
    <row r="10119">
      <c r="R10119" s="100"/>
      <c r="V10119" s="100"/>
      <c r="Y10119" s="100"/>
    </row>
    <row r="10120">
      <c r="R10120" s="100"/>
      <c r="V10120" s="100"/>
      <c r="Y10120" s="100"/>
    </row>
    <row r="10121">
      <c r="R10121" s="100"/>
      <c r="V10121" s="100"/>
      <c r="Y10121" s="100"/>
    </row>
    <row r="10122">
      <c r="R10122" s="100"/>
      <c r="V10122" s="100"/>
      <c r="Y10122" s="100"/>
    </row>
    <row r="10123">
      <c r="R10123" s="100"/>
      <c r="V10123" s="100"/>
      <c r="Y10123" s="100"/>
    </row>
    <row r="10124">
      <c r="R10124" s="100"/>
      <c r="V10124" s="100"/>
      <c r="Y10124" s="100"/>
    </row>
    <row r="10125">
      <c r="R10125" s="100"/>
      <c r="V10125" s="100"/>
      <c r="Y10125" s="100"/>
    </row>
    <row r="10126">
      <c r="R10126" s="100"/>
      <c r="V10126" s="100"/>
      <c r="Y10126" s="100"/>
    </row>
    <row r="10127">
      <c r="R10127" s="100"/>
      <c r="V10127" s="100"/>
      <c r="Y10127" s="100"/>
    </row>
    <row r="10128">
      <c r="R10128" s="100"/>
      <c r="V10128" s="100"/>
      <c r="Y10128" s="100"/>
    </row>
    <row r="10129">
      <c r="R10129" s="100"/>
      <c r="V10129" s="100"/>
      <c r="Y10129" s="100"/>
    </row>
    <row r="10130">
      <c r="R10130" s="100"/>
      <c r="V10130" s="100"/>
      <c r="Y10130" s="100"/>
    </row>
    <row r="10131">
      <c r="R10131" s="100"/>
      <c r="V10131" s="100"/>
      <c r="Y10131" s="100"/>
    </row>
    <row r="10132">
      <c r="R10132" s="100"/>
      <c r="V10132" s="100"/>
      <c r="Y10132" s="100"/>
    </row>
    <row r="10133">
      <c r="R10133" s="100"/>
      <c r="V10133" s="100"/>
      <c r="Y10133" s="100"/>
    </row>
    <row r="10134">
      <c r="R10134" s="100"/>
      <c r="V10134" s="100"/>
      <c r="Y10134" s="100"/>
    </row>
    <row r="10135">
      <c r="R10135" s="100"/>
      <c r="V10135" s="100"/>
      <c r="Y10135" s="100"/>
    </row>
    <row r="10136">
      <c r="R10136" s="100"/>
      <c r="V10136" s="100"/>
      <c r="Y10136" s="100"/>
    </row>
    <row r="10137">
      <c r="R10137" s="100"/>
      <c r="V10137" s="100"/>
      <c r="Y10137" s="100"/>
    </row>
    <row r="10138">
      <c r="R10138" s="100"/>
      <c r="V10138" s="100"/>
      <c r="Y10138" s="100"/>
    </row>
    <row r="10139">
      <c r="R10139" s="100"/>
      <c r="V10139" s="100"/>
      <c r="Y10139" s="100"/>
    </row>
    <row r="10140">
      <c r="R10140" s="100"/>
      <c r="V10140" s="100"/>
      <c r="Y10140" s="100"/>
    </row>
    <row r="10141">
      <c r="R10141" s="100"/>
      <c r="V10141" s="100"/>
      <c r="Y10141" s="100"/>
    </row>
    <row r="10142">
      <c r="R10142" s="100"/>
      <c r="V10142" s="100"/>
      <c r="Y10142" s="100"/>
    </row>
    <row r="10143">
      <c r="R10143" s="100"/>
      <c r="V10143" s="100"/>
      <c r="Y10143" s="100"/>
    </row>
    <row r="10144">
      <c r="R10144" s="100"/>
      <c r="V10144" s="100"/>
      <c r="Y10144" s="100"/>
    </row>
    <row r="10145">
      <c r="R10145" s="100"/>
      <c r="V10145" s="100"/>
      <c r="Y10145" s="100"/>
    </row>
    <row r="10146">
      <c r="R10146" s="100"/>
      <c r="V10146" s="100"/>
      <c r="Y10146" s="100"/>
    </row>
    <row r="10147">
      <c r="R10147" s="100"/>
      <c r="V10147" s="100"/>
      <c r="Y10147" s="100"/>
    </row>
    <row r="10148">
      <c r="R10148" s="100"/>
      <c r="V10148" s="100"/>
      <c r="Y10148" s="100"/>
    </row>
    <row r="10149">
      <c r="R10149" s="100"/>
      <c r="V10149" s="100"/>
      <c r="Y10149" s="100"/>
    </row>
    <row r="10150">
      <c r="R10150" s="100"/>
      <c r="V10150" s="100"/>
      <c r="Y10150" s="100"/>
    </row>
    <row r="10151">
      <c r="R10151" s="100"/>
      <c r="V10151" s="100"/>
      <c r="Y10151" s="100"/>
    </row>
    <row r="10152">
      <c r="R10152" s="100"/>
      <c r="V10152" s="100"/>
      <c r="Y10152" s="100"/>
    </row>
    <row r="10153">
      <c r="R10153" s="100"/>
      <c r="V10153" s="100"/>
      <c r="Y10153" s="100"/>
    </row>
    <row r="10154">
      <c r="R10154" s="100"/>
      <c r="V10154" s="100"/>
      <c r="Y10154" s="100"/>
    </row>
    <row r="10155">
      <c r="R10155" s="100"/>
      <c r="V10155" s="100"/>
      <c r="Y10155" s="100"/>
    </row>
    <row r="10156">
      <c r="R10156" s="100"/>
      <c r="V10156" s="100"/>
      <c r="Y10156" s="100"/>
    </row>
    <row r="10157">
      <c r="R10157" s="100"/>
      <c r="V10157" s="100"/>
      <c r="Y10157" s="100"/>
    </row>
    <row r="10158">
      <c r="R10158" s="100"/>
      <c r="V10158" s="100"/>
      <c r="Y10158" s="100"/>
    </row>
    <row r="10159">
      <c r="R10159" s="100"/>
      <c r="V10159" s="100"/>
      <c r="Y10159" s="100"/>
    </row>
    <row r="10160">
      <c r="R10160" s="100"/>
      <c r="V10160" s="100"/>
      <c r="Y10160" s="100"/>
    </row>
    <row r="10161">
      <c r="R10161" s="100"/>
      <c r="V10161" s="100"/>
      <c r="Y10161" s="100"/>
    </row>
    <row r="10162">
      <c r="R10162" s="100"/>
      <c r="V10162" s="100"/>
      <c r="Y10162" s="100"/>
    </row>
    <row r="10163">
      <c r="R10163" s="100"/>
      <c r="V10163" s="100"/>
      <c r="Y10163" s="100"/>
    </row>
    <row r="10164">
      <c r="R10164" s="100"/>
      <c r="V10164" s="100"/>
      <c r="Y10164" s="100"/>
    </row>
    <row r="10165">
      <c r="R10165" s="100"/>
      <c r="V10165" s="100"/>
      <c r="Y10165" s="100"/>
    </row>
    <row r="10166">
      <c r="R10166" s="100"/>
      <c r="V10166" s="100"/>
      <c r="Y10166" s="100"/>
    </row>
    <row r="10167">
      <c r="R10167" s="100"/>
      <c r="V10167" s="100"/>
      <c r="Y10167" s="100"/>
    </row>
    <row r="10168">
      <c r="R10168" s="100"/>
      <c r="V10168" s="100"/>
      <c r="Y10168" s="100"/>
    </row>
    <row r="10169">
      <c r="R10169" s="100"/>
      <c r="V10169" s="100"/>
      <c r="Y10169" s="100"/>
    </row>
    <row r="10170">
      <c r="R10170" s="100"/>
      <c r="V10170" s="100"/>
      <c r="Y10170" s="100"/>
    </row>
    <row r="10171">
      <c r="R10171" s="100"/>
      <c r="V10171" s="100"/>
      <c r="Y10171" s="100"/>
    </row>
    <row r="10172">
      <c r="R10172" s="100"/>
      <c r="V10172" s="100"/>
      <c r="Y10172" s="100"/>
    </row>
    <row r="10173">
      <c r="R10173" s="100"/>
      <c r="V10173" s="100"/>
      <c r="Y10173" s="100"/>
    </row>
    <row r="10174">
      <c r="R10174" s="100"/>
      <c r="V10174" s="100"/>
      <c r="Y10174" s="100"/>
    </row>
    <row r="10175">
      <c r="R10175" s="100"/>
      <c r="V10175" s="100"/>
      <c r="Y10175" s="100"/>
    </row>
    <row r="10176">
      <c r="R10176" s="100"/>
      <c r="V10176" s="100"/>
      <c r="Y10176" s="100"/>
    </row>
    <row r="10177">
      <c r="R10177" s="100"/>
      <c r="V10177" s="100"/>
      <c r="Y10177" s="100"/>
    </row>
    <row r="10178">
      <c r="R10178" s="100"/>
      <c r="V10178" s="100"/>
      <c r="Y10178" s="100"/>
    </row>
    <row r="10179">
      <c r="R10179" s="100"/>
      <c r="V10179" s="100"/>
      <c r="Y10179" s="100"/>
    </row>
    <row r="10180">
      <c r="R10180" s="100"/>
      <c r="V10180" s="100"/>
      <c r="Y10180" s="100"/>
    </row>
    <row r="10181">
      <c r="R10181" s="100"/>
      <c r="V10181" s="100"/>
      <c r="Y10181" s="100"/>
    </row>
    <row r="10182">
      <c r="R10182" s="100"/>
      <c r="V10182" s="100"/>
      <c r="Y10182" s="100"/>
    </row>
    <row r="10183">
      <c r="R10183" s="100"/>
      <c r="V10183" s="100"/>
      <c r="Y10183" s="100"/>
    </row>
    <row r="10184">
      <c r="R10184" s="100"/>
      <c r="V10184" s="100"/>
      <c r="Y10184" s="100"/>
    </row>
    <row r="10185">
      <c r="R10185" s="100"/>
      <c r="V10185" s="100"/>
      <c r="Y10185" s="100"/>
    </row>
    <row r="10186">
      <c r="R10186" s="100"/>
      <c r="V10186" s="100"/>
      <c r="Y10186" s="100"/>
    </row>
    <row r="10187">
      <c r="R10187" s="100"/>
      <c r="V10187" s="100"/>
      <c r="Y10187" s="100"/>
    </row>
    <row r="10188">
      <c r="R10188" s="100"/>
      <c r="V10188" s="100"/>
      <c r="Y10188" s="100"/>
    </row>
    <row r="10189">
      <c r="R10189" s="100"/>
      <c r="V10189" s="100"/>
      <c r="Y10189" s="100"/>
    </row>
    <row r="10190">
      <c r="R10190" s="100"/>
      <c r="V10190" s="100"/>
      <c r="Y10190" s="100"/>
    </row>
    <row r="10191">
      <c r="R10191" s="100"/>
      <c r="V10191" s="100"/>
      <c r="Y10191" s="100"/>
    </row>
    <row r="10192">
      <c r="R10192" s="100"/>
      <c r="V10192" s="100"/>
      <c r="Y10192" s="100"/>
    </row>
    <row r="10193">
      <c r="R10193" s="100"/>
      <c r="V10193" s="100"/>
      <c r="Y10193" s="100"/>
    </row>
    <row r="10194">
      <c r="R10194" s="100"/>
      <c r="V10194" s="100"/>
      <c r="Y10194" s="100"/>
    </row>
    <row r="10195">
      <c r="R10195" s="100"/>
      <c r="V10195" s="100"/>
      <c r="Y10195" s="100"/>
    </row>
    <row r="10196">
      <c r="R10196" s="100"/>
      <c r="V10196" s="100"/>
      <c r="Y10196" s="100"/>
    </row>
    <row r="10197">
      <c r="R10197" s="100"/>
      <c r="V10197" s="100"/>
      <c r="Y10197" s="100"/>
    </row>
    <row r="10198">
      <c r="R10198" s="100"/>
      <c r="V10198" s="100"/>
      <c r="Y10198" s="100"/>
    </row>
    <row r="10199">
      <c r="R10199" s="100"/>
      <c r="V10199" s="100"/>
      <c r="Y10199" s="100"/>
    </row>
    <row r="10200">
      <c r="R10200" s="100"/>
      <c r="V10200" s="100"/>
      <c r="Y10200" s="100"/>
    </row>
    <row r="10201">
      <c r="R10201" s="100"/>
      <c r="V10201" s="100"/>
      <c r="Y10201" s="100"/>
    </row>
    <row r="10202">
      <c r="R10202" s="100"/>
      <c r="V10202" s="100"/>
      <c r="Y10202" s="100"/>
    </row>
    <row r="10203">
      <c r="R10203" s="100"/>
      <c r="V10203" s="100"/>
      <c r="Y10203" s="100"/>
    </row>
    <row r="10204">
      <c r="R10204" s="100"/>
      <c r="V10204" s="100"/>
      <c r="Y10204" s="100"/>
    </row>
    <row r="10205">
      <c r="R10205" s="100"/>
      <c r="V10205" s="100"/>
      <c r="Y10205" s="100"/>
    </row>
    <row r="10206">
      <c r="R10206" s="100"/>
      <c r="V10206" s="100"/>
      <c r="Y10206" s="100"/>
    </row>
    <row r="10207">
      <c r="R10207" s="100"/>
      <c r="V10207" s="100"/>
      <c r="Y10207" s="100"/>
    </row>
    <row r="10208">
      <c r="R10208" s="100"/>
      <c r="V10208" s="100"/>
      <c r="Y10208" s="100"/>
    </row>
    <row r="10209">
      <c r="R10209" s="100"/>
      <c r="V10209" s="100"/>
      <c r="Y10209" s="100"/>
    </row>
    <row r="10210">
      <c r="R10210" s="100"/>
      <c r="V10210" s="100"/>
      <c r="Y10210" s="100"/>
    </row>
    <row r="10211">
      <c r="R10211" s="100"/>
      <c r="V10211" s="100"/>
      <c r="Y10211" s="100"/>
    </row>
    <row r="10212">
      <c r="R10212" s="100"/>
      <c r="V10212" s="100"/>
      <c r="Y10212" s="100"/>
    </row>
    <row r="10213">
      <c r="R10213" s="100"/>
      <c r="V10213" s="100"/>
      <c r="Y10213" s="100"/>
    </row>
    <row r="10214">
      <c r="R10214" s="100"/>
      <c r="V10214" s="100"/>
      <c r="Y10214" s="100"/>
    </row>
    <row r="10215">
      <c r="R10215" s="100"/>
      <c r="V10215" s="100"/>
      <c r="Y10215" s="100"/>
    </row>
    <row r="10216">
      <c r="R10216" s="100"/>
      <c r="V10216" s="100"/>
      <c r="Y10216" s="100"/>
    </row>
    <row r="10217">
      <c r="R10217" s="100"/>
      <c r="V10217" s="100"/>
      <c r="Y10217" s="100"/>
    </row>
    <row r="10218">
      <c r="R10218" s="100"/>
      <c r="V10218" s="100"/>
      <c r="Y10218" s="100"/>
    </row>
    <row r="10219">
      <c r="R10219" s="100"/>
      <c r="V10219" s="100"/>
      <c r="Y10219" s="100"/>
    </row>
    <row r="10220">
      <c r="R10220" s="100"/>
      <c r="V10220" s="100"/>
      <c r="Y10220" s="100"/>
    </row>
    <row r="10221">
      <c r="R10221" s="100"/>
      <c r="V10221" s="100"/>
      <c r="Y10221" s="100"/>
    </row>
    <row r="10222">
      <c r="R10222" s="100"/>
      <c r="V10222" s="100"/>
      <c r="Y10222" s="100"/>
    </row>
    <row r="10223">
      <c r="R10223" s="100"/>
      <c r="V10223" s="100"/>
      <c r="Y10223" s="100"/>
    </row>
    <row r="10224">
      <c r="R10224" s="100"/>
      <c r="V10224" s="100"/>
      <c r="Y10224" s="100"/>
    </row>
    <row r="10225">
      <c r="R10225" s="100"/>
      <c r="V10225" s="100"/>
      <c r="Y10225" s="100"/>
    </row>
    <row r="10226">
      <c r="R10226" s="100"/>
      <c r="V10226" s="100"/>
      <c r="Y10226" s="100"/>
    </row>
    <row r="10227">
      <c r="R10227" s="100"/>
      <c r="V10227" s="100"/>
      <c r="Y10227" s="100"/>
    </row>
    <row r="10228">
      <c r="R10228" s="100"/>
      <c r="V10228" s="100"/>
      <c r="Y10228" s="100"/>
    </row>
    <row r="10229">
      <c r="R10229" s="100"/>
      <c r="V10229" s="100"/>
      <c r="Y10229" s="100"/>
    </row>
    <row r="10230">
      <c r="R10230" s="100"/>
      <c r="V10230" s="100"/>
      <c r="Y10230" s="100"/>
    </row>
    <row r="10231">
      <c r="R10231" s="100"/>
      <c r="V10231" s="100"/>
      <c r="Y10231" s="100"/>
    </row>
    <row r="10232">
      <c r="R10232" s="100"/>
      <c r="V10232" s="100"/>
      <c r="Y10232" s="100"/>
    </row>
    <row r="10233">
      <c r="R10233" s="100"/>
      <c r="V10233" s="100"/>
      <c r="Y10233" s="100"/>
    </row>
    <row r="10234">
      <c r="R10234" s="100"/>
      <c r="V10234" s="100"/>
      <c r="Y10234" s="100"/>
    </row>
    <row r="10235">
      <c r="R10235" s="100"/>
      <c r="V10235" s="100"/>
      <c r="Y10235" s="100"/>
    </row>
    <row r="10236">
      <c r="R10236" s="100"/>
      <c r="V10236" s="100"/>
      <c r="Y10236" s="100"/>
    </row>
    <row r="10237">
      <c r="R10237" s="100"/>
      <c r="V10237" s="100"/>
      <c r="Y10237" s="100"/>
    </row>
    <row r="10238">
      <c r="R10238" s="100"/>
      <c r="V10238" s="100"/>
      <c r="Y10238" s="100"/>
    </row>
    <row r="10239">
      <c r="R10239" s="100"/>
      <c r="V10239" s="100"/>
      <c r="Y10239" s="100"/>
    </row>
    <row r="10240">
      <c r="R10240" s="100"/>
      <c r="V10240" s="100"/>
      <c r="Y10240" s="100"/>
    </row>
    <row r="10241">
      <c r="R10241" s="100"/>
      <c r="V10241" s="100"/>
      <c r="Y10241" s="100"/>
    </row>
    <row r="10242">
      <c r="R10242" s="100"/>
      <c r="V10242" s="100"/>
      <c r="Y10242" s="100"/>
    </row>
    <row r="10243">
      <c r="R10243" s="100"/>
      <c r="V10243" s="100"/>
      <c r="Y10243" s="100"/>
    </row>
    <row r="10244">
      <c r="R10244" s="100"/>
      <c r="V10244" s="100"/>
      <c r="Y10244" s="100"/>
    </row>
    <row r="10245">
      <c r="R10245" s="100"/>
      <c r="V10245" s="100"/>
      <c r="Y10245" s="100"/>
    </row>
    <row r="10246">
      <c r="R10246" s="100"/>
      <c r="V10246" s="100"/>
      <c r="Y10246" s="100"/>
    </row>
    <row r="10247">
      <c r="R10247" s="100"/>
      <c r="V10247" s="100"/>
      <c r="Y10247" s="100"/>
    </row>
    <row r="10248">
      <c r="R10248" s="100"/>
      <c r="V10248" s="100"/>
      <c r="Y10248" s="100"/>
    </row>
    <row r="10249">
      <c r="R10249" s="100"/>
      <c r="V10249" s="100"/>
      <c r="Y10249" s="100"/>
    </row>
    <row r="10250">
      <c r="R10250" s="100"/>
      <c r="V10250" s="100"/>
      <c r="Y10250" s="100"/>
    </row>
    <row r="10251">
      <c r="R10251" s="100"/>
      <c r="V10251" s="100"/>
      <c r="Y10251" s="100"/>
    </row>
    <row r="10252">
      <c r="R10252" s="100"/>
      <c r="V10252" s="100"/>
      <c r="Y10252" s="100"/>
    </row>
    <row r="10253">
      <c r="R10253" s="100"/>
      <c r="V10253" s="100"/>
      <c r="Y10253" s="100"/>
    </row>
    <row r="10254">
      <c r="R10254" s="100"/>
      <c r="V10254" s="100"/>
      <c r="Y10254" s="100"/>
    </row>
    <row r="10255">
      <c r="R10255" s="100"/>
      <c r="V10255" s="100"/>
      <c r="Y10255" s="100"/>
    </row>
    <row r="10256">
      <c r="R10256" s="100"/>
      <c r="V10256" s="100"/>
      <c r="Y10256" s="100"/>
    </row>
    <row r="10257">
      <c r="R10257" s="100"/>
      <c r="V10257" s="100"/>
      <c r="Y10257" s="100"/>
    </row>
    <row r="10258">
      <c r="R10258" s="100"/>
      <c r="V10258" s="100"/>
      <c r="Y10258" s="100"/>
    </row>
    <row r="10259">
      <c r="R10259" s="100"/>
      <c r="V10259" s="100"/>
      <c r="Y10259" s="100"/>
    </row>
    <row r="10260">
      <c r="R10260" s="100"/>
      <c r="V10260" s="100"/>
      <c r="Y10260" s="100"/>
    </row>
    <row r="10261">
      <c r="R10261" s="100"/>
      <c r="V10261" s="100"/>
      <c r="Y10261" s="100"/>
    </row>
    <row r="10262">
      <c r="R10262" s="100"/>
      <c r="V10262" s="100"/>
      <c r="Y10262" s="100"/>
    </row>
    <row r="10263">
      <c r="R10263" s="100"/>
      <c r="V10263" s="100"/>
      <c r="Y10263" s="100"/>
    </row>
    <row r="10264">
      <c r="R10264" s="100"/>
      <c r="V10264" s="100"/>
      <c r="Y10264" s="100"/>
    </row>
    <row r="10265">
      <c r="R10265" s="100"/>
      <c r="V10265" s="100"/>
      <c r="Y10265" s="100"/>
    </row>
    <row r="10266">
      <c r="R10266" s="100"/>
      <c r="V10266" s="100"/>
      <c r="Y10266" s="100"/>
    </row>
    <row r="10267">
      <c r="R10267" s="100"/>
      <c r="V10267" s="100"/>
      <c r="Y10267" s="100"/>
    </row>
    <row r="10268">
      <c r="R10268" s="100"/>
      <c r="V10268" s="100"/>
      <c r="Y10268" s="100"/>
    </row>
    <row r="10269">
      <c r="R10269" s="100"/>
      <c r="V10269" s="100"/>
      <c r="Y10269" s="100"/>
    </row>
    <row r="10270">
      <c r="R10270" s="100"/>
      <c r="V10270" s="100"/>
      <c r="Y10270" s="100"/>
    </row>
    <row r="10271">
      <c r="R10271" s="100"/>
      <c r="V10271" s="100"/>
      <c r="Y10271" s="100"/>
    </row>
    <row r="10272">
      <c r="R10272" s="100"/>
      <c r="V10272" s="100"/>
      <c r="Y10272" s="100"/>
    </row>
    <row r="10273">
      <c r="R10273" s="100"/>
      <c r="V10273" s="100"/>
      <c r="Y10273" s="100"/>
    </row>
    <row r="10274">
      <c r="R10274" s="100"/>
      <c r="V10274" s="100"/>
      <c r="Y10274" s="100"/>
    </row>
    <row r="10275">
      <c r="R10275" s="100"/>
      <c r="V10275" s="100"/>
      <c r="Y10275" s="100"/>
    </row>
    <row r="10276">
      <c r="R10276" s="100"/>
      <c r="V10276" s="100"/>
      <c r="Y10276" s="100"/>
    </row>
    <row r="10277">
      <c r="R10277" s="100"/>
      <c r="V10277" s="100"/>
      <c r="Y10277" s="100"/>
    </row>
    <row r="10278">
      <c r="R10278" s="100"/>
      <c r="V10278" s="100"/>
      <c r="Y10278" s="100"/>
    </row>
    <row r="10279">
      <c r="R10279" s="100"/>
      <c r="V10279" s="100"/>
      <c r="Y10279" s="100"/>
    </row>
    <row r="10280">
      <c r="R10280" s="100"/>
      <c r="V10280" s="100"/>
      <c r="Y10280" s="100"/>
    </row>
    <row r="10281">
      <c r="R10281" s="100"/>
      <c r="V10281" s="100"/>
      <c r="Y10281" s="100"/>
    </row>
    <row r="10282">
      <c r="R10282" s="100"/>
      <c r="V10282" s="100"/>
      <c r="Y10282" s="100"/>
    </row>
    <row r="10283">
      <c r="R10283" s="100"/>
      <c r="V10283" s="100"/>
      <c r="Y10283" s="100"/>
    </row>
    <row r="10284">
      <c r="R10284" s="100"/>
      <c r="V10284" s="100"/>
      <c r="Y10284" s="100"/>
    </row>
    <row r="10285">
      <c r="R10285" s="100"/>
      <c r="V10285" s="100"/>
      <c r="Y10285" s="100"/>
    </row>
    <row r="10286">
      <c r="R10286" s="100"/>
      <c r="V10286" s="100"/>
      <c r="Y10286" s="100"/>
    </row>
    <row r="10287">
      <c r="R10287" s="100"/>
      <c r="V10287" s="100"/>
      <c r="Y10287" s="100"/>
    </row>
    <row r="10288">
      <c r="R10288" s="100"/>
      <c r="V10288" s="100"/>
      <c r="Y10288" s="100"/>
    </row>
    <row r="10289">
      <c r="R10289" s="100"/>
      <c r="V10289" s="100"/>
      <c r="Y10289" s="100"/>
    </row>
    <row r="10290">
      <c r="R10290" s="100"/>
      <c r="V10290" s="100"/>
      <c r="Y10290" s="100"/>
    </row>
    <row r="10291">
      <c r="R10291" s="100"/>
      <c r="V10291" s="100"/>
      <c r="Y10291" s="100"/>
    </row>
    <row r="10292">
      <c r="R10292" s="100"/>
      <c r="V10292" s="100"/>
      <c r="Y10292" s="100"/>
    </row>
    <row r="10293">
      <c r="R10293" s="100"/>
      <c r="V10293" s="100"/>
      <c r="Y10293" s="100"/>
    </row>
    <row r="10294">
      <c r="R10294" s="100"/>
      <c r="V10294" s="100"/>
      <c r="Y10294" s="100"/>
    </row>
    <row r="10295">
      <c r="R10295" s="100"/>
      <c r="V10295" s="100"/>
      <c r="Y10295" s="100"/>
    </row>
    <row r="10296">
      <c r="R10296" s="100"/>
      <c r="V10296" s="100"/>
      <c r="Y10296" s="100"/>
    </row>
    <row r="10297">
      <c r="R10297" s="100"/>
      <c r="V10297" s="100"/>
      <c r="Y10297" s="100"/>
    </row>
    <row r="10298">
      <c r="R10298" s="100"/>
      <c r="V10298" s="100"/>
      <c r="Y10298" s="100"/>
    </row>
    <row r="10299">
      <c r="R10299" s="100"/>
      <c r="V10299" s="100"/>
      <c r="Y10299" s="100"/>
    </row>
    <row r="10300">
      <c r="R10300" s="100"/>
      <c r="V10300" s="100"/>
      <c r="Y10300" s="100"/>
    </row>
    <row r="10301">
      <c r="R10301" s="100"/>
      <c r="V10301" s="100"/>
      <c r="Y10301" s="100"/>
    </row>
    <row r="10302">
      <c r="R10302" s="100"/>
      <c r="V10302" s="100"/>
      <c r="Y10302" s="100"/>
    </row>
    <row r="10303">
      <c r="R10303" s="100"/>
      <c r="V10303" s="100"/>
      <c r="Y10303" s="100"/>
    </row>
    <row r="10304">
      <c r="R10304" s="100"/>
      <c r="V10304" s="100"/>
      <c r="Y10304" s="100"/>
    </row>
    <row r="10305">
      <c r="R10305" s="100"/>
      <c r="V10305" s="100"/>
      <c r="Y10305" s="100"/>
    </row>
    <row r="10306">
      <c r="R10306" s="100"/>
      <c r="V10306" s="100"/>
      <c r="Y10306" s="100"/>
    </row>
    <row r="10307">
      <c r="R10307" s="100"/>
      <c r="V10307" s="100"/>
      <c r="Y10307" s="100"/>
    </row>
    <row r="10308">
      <c r="R10308" s="100"/>
      <c r="V10308" s="100"/>
      <c r="Y10308" s="100"/>
    </row>
    <row r="10309">
      <c r="R10309" s="100"/>
      <c r="V10309" s="100"/>
      <c r="Y10309" s="100"/>
    </row>
    <row r="10310">
      <c r="R10310" s="100"/>
      <c r="V10310" s="100"/>
      <c r="Y10310" s="100"/>
    </row>
    <row r="10311">
      <c r="R10311" s="100"/>
      <c r="V10311" s="100"/>
      <c r="Y10311" s="100"/>
    </row>
    <row r="10312">
      <c r="R10312" s="100"/>
      <c r="V10312" s="100"/>
      <c r="Y10312" s="100"/>
    </row>
    <row r="10313">
      <c r="R10313" s="100"/>
      <c r="V10313" s="100"/>
      <c r="Y10313" s="100"/>
    </row>
    <row r="10314">
      <c r="R10314" s="100"/>
      <c r="V10314" s="100"/>
      <c r="Y10314" s="100"/>
    </row>
    <row r="10315">
      <c r="R10315" s="100"/>
      <c r="V10315" s="100"/>
      <c r="Y10315" s="100"/>
    </row>
    <row r="10316">
      <c r="R10316" s="100"/>
      <c r="V10316" s="100"/>
      <c r="Y10316" s="100"/>
    </row>
    <row r="10317">
      <c r="R10317" s="100"/>
      <c r="V10317" s="100"/>
      <c r="Y10317" s="100"/>
    </row>
    <row r="10318">
      <c r="R10318" s="100"/>
      <c r="V10318" s="100"/>
      <c r="Y10318" s="100"/>
    </row>
    <row r="10319">
      <c r="R10319" s="100"/>
      <c r="V10319" s="100"/>
      <c r="Y10319" s="100"/>
    </row>
    <row r="10320">
      <c r="R10320" s="100"/>
      <c r="V10320" s="100"/>
      <c r="Y10320" s="100"/>
    </row>
    <row r="10321">
      <c r="R10321" s="100"/>
      <c r="V10321" s="100"/>
      <c r="Y10321" s="100"/>
    </row>
    <row r="10322">
      <c r="R10322" s="100"/>
      <c r="V10322" s="100"/>
      <c r="Y10322" s="100"/>
    </row>
    <row r="10323">
      <c r="R10323" s="100"/>
      <c r="V10323" s="100"/>
      <c r="Y10323" s="100"/>
    </row>
    <row r="10324">
      <c r="R10324" s="100"/>
      <c r="V10324" s="100"/>
      <c r="Y10324" s="100"/>
    </row>
    <row r="10325">
      <c r="R10325" s="100"/>
      <c r="V10325" s="100"/>
      <c r="Y10325" s="100"/>
    </row>
    <row r="10326">
      <c r="R10326" s="100"/>
      <c r="V10326" s="100"/>
      <c r="Y10326" s="100"/>
    </row>
    <row r="10327">
      <c r="R10327" s="100"/>
      <c r="V10327" s="100"/>
      <c r="Y10327" s="100"/>
    </row>
    <row r="10328">
      <c r="R10328" s="100"/>
      <c r="V10328" s="100"/>
      <c r="Y10328" s="100"/>
    </row>
    <row r="10329">
      <c r="R10329" s="100"/>
      <c r="V10329" s="100"/>
      <c r="Y10329" s="100"/>
    </row>
    <row r="10330">
      <c r="R10330" s="100"/>
      <c r="V10330" s="100"/>
      <c r="Y10330" s="100"/>
    </row>
    <row r="10331">
      <c r="R10331" s="100"/>
      <c r="V10331" s="100"/>
      <c r="Y10331" s="100"/>
    </row>
    <row r="10332">
      <c r="R10332" s="100"/>
      <c r="V10332" s="100"/>
      <c r="Y10332" s="100"/>
    </row>
    <row r="10333">
      <c r="R10333" s="100"/>
      <c r="V10333" s="100"/>
      <c r="Y10333" s="100"/>
    </row>
    <row r="10334">
      <c r="R10334" s="100"/>
      <c r="V10334" s="100"/>
      <c r="Y10334" s="100"/>
    </row>
    <row r="10335">
      <c r="R10335" s="100"/>
      <c r="V10335" s="100"/>
      <c r="Y10335" s="100"/>
    </row>
    <row r="10336">
      <c r="R10336" s="100"/>
      <c r="V10336" s="100"/>
      <c r="Y10336" s="100"/>
    </row>
    <row r="10337">
      <c r="R10337" s="100"/>
      <c r="V10337" s="100"/>
      <c r="Y10337" s="100"/>
    </row>
    <row r="10338">
      <c r="R10338" s="100"/>
      <c r="V10338" s="100"/>
      <c r="Y10338" s="100"/>
    </row>
    <row r="10339">
      <c r="R10339" s="100"/>
      <c r="V10339" s="100"/>
      <c r="Y10339" s="100"/>
    </row>
    <row r="10340">
      <c r="R10340" s="100"/>
      <c r="V10340" s="100"/>
      <c r="Y10340" s="100"/>
    </row>
    <row r="10341">
      <c r="R10341" s="100"/>
      <c r="V10341" s="100"/>
      <c r="Y10341" s="100"/>
    </row>
    <row r="10342">
      <c r="R10342" s="100"/>
      <c r="V10342" s="100"/>
      <c r="Y10342" s="100"/>
    </row>
    <row r="10343">
      <c r="R10343" s="100"/>
      <c r="V10343" s="100"/>
      <c r="Y10343" s="100"/>
    </row>
    <row r="10344">
      <c r="R10344" s="100"/>
      <c r="V10344" s="100"/>
      <c r="Y10344" s="100"/>
    </row>
    <row r="10345">
      <c r="R10345" s="100"/>
      <c r="V10345" s="100"/>
      <c r="Y10345" s="100"/>
    </row>
    <row r="10346">
      <c r="R10346" s="100"/>
      <c r="V10346" s="100"/>
      <c r="Y10346" s="100"/>
    </row>
    <row r="10347">
      <c r="R10347" s="100"/>
      <c r="V10347" s="100"/>
      <c r="Y10347" s="100"/>
    </row>
    <row r="10348">
      <c r="R10348" s="100"/>
      <c r="V10348" s="100"/>
      <c r="Y10348" s="100"/>
    </row>
    <row r="10349">
      <c r="R10349" s="100"/>
      <c r="V10349" s="100"/>
      <c r="Y10349" s="100"/>
    </row>
    <row r="10350">
      <c r="R10350" s="100"/>
      <c r="V10350" s="100"/>
      <c r="Y10350" s="100"/>
    </row>
    <row r="10351">
      <c r="R10351" s="100"/>
      <c r="V10351" s="100"/>
      <c r="Y10351" s="100"/>
    </row>
    <row r="10352">
      <c r="R10352" s="100"/>
      <c r="V10352" s="100"/>
      <c r="Y10352" s="100"/>
    </row>
    <row r="10353">
      <c r="R10353" s="100"/>
      <c r="V10353" s="100"/>
      <c r="Y10353" s="100"/>
    </row>
    <row r="10354">
      <c r="R10354" s="100"/>
      <c r="V10354" s="100"/>
      <c r="Y10354" s="100"/>
    </row>
    <row r="10355">
      <c r="R10355" s="100"/>
      <c r="V10355" s="100"/>
      <c r="Y10355" s="100"/>
    </row>
    <row r="10356">
      <c r="R10356" s="100"/>
      <c r="V10356" s="100"/>
      <c r="Y10356" s="100"/>
    </row>
    <row r="10357">
      <c r="R10357" s="100"/>
      <c r="V10357" s="100"/>
      <c r="Y10357" s="100"/>
    </row>
    <row r="10358">
      <c r="R10358" s="100"/>
      <c r="V10358" s="100"/>
      <c r="Y10358" s="100"/>
    </row>
    <row r="10359">
      <c r="R10359" s="100"/>
      <c r="V10359" s="100"/>
      <c r="Y10359" s="100"/>
    </row>
    <row r="10360">
      <c r="R10360" s="100"/>
      <c r="V10360" s="100"/>
      <c r="Y10360" s="100"/>
    </row>
    <row r="10361">
      <c r="R10361" s="100"/>
      <c r="V10361" s="100"/>
      <c r="Y10361" s="100"/>
    </row>
    <row r="10362">
      <c r="R10362" s="100"/>
      <c r="V10362" s="100"/>
      <c r="Y10362" s="100"/>
    </row>
    <row r="10363">
      <c r="R10363" s="100"/>
      <c r="V10363" s="100"/>
      <c r="Y10363" s="100"/>
    </row>
    <row r="10364">
      <c r="R10364" s="100"/>
      <c r="V10364" s="100"/>
      <c r="Y10364" s="100"/>
    </row>
    <row r="10365">
      <c r="R10365" s="100"/>
      <c r="V10365" s="100"/>
      <c r="Y10365" s="100"/>
    </row>
    <row r="10366">
      <c r="R10366" s="100"/>
      <c r="V10366" s="100"/>
      <c r="Y10366" s="100"/>
    </row>
    <row r="10367">
      <c r="R10367" s="100"/>
      <c r="V10367" s="100"/>
      <c r="Y10367" s="100"/>
    </row>
    <row r="10368">
      <c r="R10368" s="100"/>
      <c r="V10368" s="100"/>
      <c r="Y10368" s="100"/>
    </row>
    <row r="10369">
      <c r="R10369" s="100"/>
      <c r="V10369" s="100"/>
      <c r="Y10369" s="100"/>
    </row>
    <row r="10370">
      <c r="R10370" s="100"/>
      <c r="V10370" s="100"/>
      <c r="Y10370" s="100"/>
    </row>
    <row r="10371">
      <c r="R10371" s="100"/>
      <c r="V10371" s="100"/>
      <c r="Y10371" s="100"/>
    </row>
    <row r="10372">
      <c r="R10372" s="100"/>
      <c r="V10372" s="100"/>
      <c r="Y10372" s="100"/>
    </row>
    <row r="10373">
      <c r="R10373" s="100"/>
      <c r="V10373" s="100"/>
      <c r="Y10373" s="100"/>
    </row>
    <row r="10374">
      <c r="R10374" s="100"/>
      <c r="V10374" s="100"/>
      <c r="Y10374" s="100"/>
    </row>
    <row r="10375">
      <c r="R10375" s="100"/>
      <c r="V10375" s="100"/>
      <c r="Y10375" s="100"/>
    </row>
    <row r="10376">
      <c r="R10376" s="100"/>
      <c r="V10376" s="100"/>
      <c r="Y10376" s="100"/>
    </row>
    <row r="10377">
      <c r="R10377" s="100"/>
      <c r="V10377" s="100"/>
      <c r="Y10377" s="100"/>
    </row>
    <row r="10378">
      <c r="R10378" s="100"/>
      <c r="V10378" s="100"/>
      <c r="Y10378" s="100"/>
    </row>
    <row r="10379">
      <c r="R10379" s="100"/>
      <c r="V10379" s="100"/>
      <c r="Y10379" s="100"/>
    </row>
    <row r="10380">
      <c r="R10380" s="100"/>
      <c r="V10380" s="100"/>
      <c r="Y10380" s="100"/>
    </row>
    <row r="10381">
      <c r="R10381" s="100"/>
      <c r="V10381" s="100"/>
      <c r="Y10381" s="100"/>
    </row>
    <row r="10382">
      <c r="R10382" s="100"/>
      <c r="V10382" s="100"/>
      <c r="Y10382" s="100"/>
    </row>
    <row r="10383">
      <c r="R10383" s="100"/>
      <c r="V10383" s="100"/>
      <c r="Y10383" s="100"/>
    </row>
    <row r="10384">
      <c r="R10384" s="100"/>
      <c r="V10384" s="100"/>
      <c r="Y10384" s="100"/>
    </row>
    <row r="10385">
      <c r="R10385" s="100"/>
      <c r="V10385" s="100"/>
      <c r="Y10385" s="100"/>
    </row>
    <row r="10386">
      <c r="R10386" s="100"/>
      <c r="V10386" s="100"/>
      <c r="Y10386" s="100"/>
    </row>
    <row r="10387">
      <c r="R10387" s="100"/>
      <c r="V10387" s="100"/>
      <c r="Y10387" s="100"/>
    </row>
    <row r="10388">
      <c r="R10388" s="100"/>
      <c r="V10388" s="100"/>
      <c r="Y10388" s="100"/>
    </row>
    <row r="10389">
      <c r="R10389" s="100"/>
      <c r="V10389" s="100"/>
      <c r="Y10389" s="100"/>
    </row>
    <row r="10390">
      <c r="R10390" s="100"/>
      <c r="V10390" s="100"/>
      <c r="Y10390" s="100"/>
    </row>
    <row r="10391">
      <c r="R10391" s="100"/>
      <c r="V10391" s="100"/>
      <c r="Y10391" s="100"/>
    </row>
    <row r="10392">
      <c r="R10392" s="100"/>
      <c r="V10392" s="100"/>
      <c r="Y10392" s="100"/>
    </row>
    <row r="10393">
      <c r="R10393" s="100"/>
      <c r="V10393" s="100"/>
      <c r="Y10393" s="100"/>
    </row>
    <row r="10394">
      <c r="R10394" s="100"/>
      <c r="V10394" s="100"/>
      <c r="Y10394" s="100"/>
    </row>
    <row r="10395">
      <c r="R10395" s="100"/>
      <c r="V10395" s="100"/>
      <c r="Y10395" s="100"/>
    </row>
    <row r="10396">
      <c r="R10396" s="100"/>
      <c r="V10396" s="100"/>
      <c r="Y10396" s="100"/>
    </row>
    <row r="10397">
      <c r="R10397" s="100"/>
      <c r="V10397" s="100"/>
      <c r="Y10397" s="100"/>
    </row>
    <row r="10398">
      <c r="R10398" s="100"/>
      <c r="V10398" s="100"/>
      <c r="Y10398" s="100"/>
    </row>
    <row r="10399">
      <c r="R10399" s="100"/>
      <c r="V10399" s="100"/>
      <c r="Y10399" s="100"/>
    </row>
    <row r="10400">
      <c r="R10400" s="100"/>
      <c r="V10400" s="100"/>
      <c r="Y10400" s="100"/>
    </row>
    <row r="10401">
      <c r="R10401" s="100"/>
      <c r="V10401" s="100"/>
      <c r="Y10401" s="100"/>
    </row>
    <row r="10402">
      <c r="R10402" s="100"/>
      <c r="V10402" s="100"/>
      <c r="Y10402" s="100"/>
    </row>
    <row r="10403">
      <c r="R10403" s="100"/>
      <c r="V10403" s="100"/>
      <c r="Y10403" s="100"/>
    </row>
    <row r="10404">
      <c r="R10404" s="100"/>
      <c r="V10404" s="100"/>
      <c r="Y10404" s="100"/>
    </row>
    <row r="10405">
      <c r="R10405" s="100"/>
      <c r="V10405" s="100"/>
      <c r="Y10405" s="100"/>
    </row>
    <row r="10406">
      <c r="R10406" s="100"/>
      <c r="V10406" s="100"/>
      <c r="Y10406" s="100"/>
    </row>
    <row r="10407">
      <c r="R10407" s="100"/>
      <c r="V10407" s="100"/>
      <c r="Y10407" s="100"/>
    </row>
    <row r="10408">
      <c r="R10408" s="100"/>
      <c r="V10408" s="100"/>
      <c r="Y10408" s="100"/>
    </row>
    <row r="10409">
      <c r="R10409" s="100"/>
      <c r="V10409" s="100"/>
      <c r="Y10409" s="100"/>
    </row>
    <row r="10410">
      <c r="R10410" s="100"/>
      <c r="V10410" s="100"/>
      <c r="Y10410" s="100"/>
    </row>
    <row r="10411">
      <c r="R10411" s="100"/>
      <c r="V10411" s="100"/>
      <c r="Y10411" s="100"/>
    </row>
    <row r="10412">
      <c r="R10412" s="100"/>
      <c r="V10412" s="100"/>
      <c r="Y10412" s="100"/>
    </row>
    <row r="10413">
      <c r="R10413" s="100"/>
      <c r="V10413" s="100"/>
      <c r="Y10413" s="100"/>
    </row>
    <row r="10414">
      <c r="R10414" s="100"/>
      <c r="V10414" s="100"/>
      <c r="Y10414" s="100"/>
    </row>
    <row r="10415">
      <c r="R10415" s="100"/>
      <c r="V10415" s="100"/>
      <c r="Y10415" s="100"/>
    </row>
    <row r="10416">
      <c r="R10416" s="100"/>
      <c r="V10416" s="100"/>
      <c r="Y10416" s="100"/>
    </row>
    <row r="10417">
      <c r="R10417" s="100"/>
      <c r="V10417" s="100"/>
      <c r="Y10417" s="100"/>
    </row>
    <row r="10418">
      <c r="R10418" s="100"/>
      <c r="V10418" s="100"/>
      <c r="Y10418" s="100"/>
    </row>
    <row r="10419">
      <c r="R10419" s="100"/>
      <c r="V10419" s="100"/>
      <c r="Y10419" s="100"/>
    </row>
    <row r="10420">
      <c r="R10420" s="100"/>
      <c r="V10420" s="100"/>
      <c r="Y10420" s="100"/>
    </row>
    <row r="10421">
      <c r="R10421" s="100"/>
      <c r="V10421" s="100"/>
      <c r="Y10421" s="100"/>
    </row>
    <row r="10422">
      <c r="R10422" s="100"/>
      <c r="V10422" s="100"/>
      <c r="Y10422" s="100"/>
    </row>
    <row r="10423">
      <c r="R10423" s="100"/>
      <c r="V10423" s="100"/>
      <c r="Y10423" s="100"/>
    </row>
    <row r="10424">
      <c r="R10424" s="100"/>
      <c r="V10424" s="100"/>
      <c r="Y10424" s="100"/>
    </row>
    <row r="10425">
      <c r="R10425" s="100"/>
      <c r="V10425" s="100"/>
      <c r="Y10425" s="100"/>
    </row>
    <row r="10426">
      <c r="R10426" s="100"/>
      <c r="V10426" s="100"/>
      <c r="Y10426" s="100"/>
    </row>
    <row r="10427">
      <c r="R10427" s="100"/>
      <c r="V10427" s="100"/>
      <c r="Y10427" s="100"/>
    </row>
    <row r="10428">
      <c r="R10428" s="100"/>
      <c r="V10428" s="100"/>
      <c r="Y10428" s="100"/>
    </row>
    <row r="10429">
      <c r="R10429" s="100"/>
      <c r="V10429" s="100"/>
      <c r="Y10429" s="100"/>
    </row>
    <row r="10430">
      <c r="R10430" s="100"/>
      <c r="V10430" s="100"/>
      <c r="Y10430" s="100"/>
    </row>
    <row r="10431">
      <c r="R10431" s="100"/>
      <c r="V10431" s="100"/>
      <c r="Y10431" s="100"/>
    </row>
    <row r="10432">
      <c r="R10432" s="100"/>
      <c r="V10432" s="100"/>
      <c r="Y10432" s="100"/>
    </row>
    <row r="10433">
      <c r="R10433" s="100"/>
      <c r="V10433" s="100"/>
      <c r="Y10433" s="100"/>
    </row>
    <row r="10434">
      <c r="R10434" s="100"/>
      <c r="V10434" s="100"/>
      <c r="Y10434" s="100"/>
    </row>
    <row r="10435">
      <c r="R10435" s="100"/>
      <c r="V10435" s="100"/>
      <c r="Y10435" s="100"/>
    </row>
    <row r="10436">
      <c r="R10436" s="100"/>
      <c r="V10436" s="100"/>
      <c r="Y10436" s="100"/>
    </row>
    <row r="10437">
      <c r="R10437" s="100"/>
      <c r="V10437" s="100"/>
      <c r="Y10437" s="100"/>
    </row>
    <row r="10438">
      <c r="R10438" s="100"/>
      <c r="V10438" s="100"/>
      <c r="Y10438" s="100"/>
    </row>
    <row r="10439">
      <c r="R10439" s="100"/>
      <c r="V10439" s="100"/>
      <c r="Y10439" s="100"/>
    </row>
    <row r="10440">
      <c r="R10440" s="100"/>
      <c r="V10440" s="100"/>
      <c r="Y10440" s="100"/>
    </row>
    <row r="10441">
      <c r="R10441" s="100"/>
      <c r="V10441" s="100"/>
      <c r="Y10441" s="100"/>
    </row>
    <row r="10442">
      <c r="R10442" s="100"/>
      <c r="V10442" s="100"/>
      <c r="Y10442" s="100"/>
    </row>
    <row r="10443">
      <c r="R10443" s="100"/>
      <c r="V10443" s="100"/>
      <c r="Y10443" s="100"/>
    </row>
    <row r="10444">
      <c r="R10444" s="100"/>
      <c r="V10444" s="100"/>
      <c r="Y10444" s="100"/>
    </row>
    <row r="10445">
      <c r="R10445" s="100"/>
      <c r="V10445" s="100"/>
      <c r="Y10445" s="100"/>
    </row>
    <row r="10446">
      <c r="R10446" s="100"/>
      <c r="V10446" s="100"/>
      <c r="Y10446" s="100"/>
    </row>
    <row r="10447">
      <c r="R10447" s="100"/>
      <c r="V10447" s="100"/>
      <c r="Y10447" s="100"/>
    </row>
    <row r="10448">
      <c r="R10448" s="100"/>
      <c r="V10448" s="100"/>
      <c r="Y10448" s="100"/>
    </row>
    <row r="10449">
      <c r="R10449" s="100"/>
      <c r="V10449" s="100"/>
      <c r="Y10449" s="100"/>
    </row>
    <row r="10450">
      <c r="R10450" s="100"/>
      <c r="V10450" s="100"/>
      <c r="Y10450" s="100"/>
    </row>
    <row r="10451">
      <c r="R10451" s="100"/>
      <c r="V10451" s="100"/>
      <c r="Y10451" s="100"/>
    </row>
    <row r="10452">
      <c r="R10452" s="100"/>
      <c r="V10452" s="100"/>
      <c r="Y10452" s="100"/>
    </row>
    <row r="10453">
      <c r="R10453" s="100"/>
      <c r="V10453" s="100"/>
      <c r="Y10453" s="100"/>
    </row>
    <row r="10454">
      <c r="R10454" s="100"/>
      <c r="V10454" s="100"/>
      <c r="Y10454" s="100"/>
    </row>
    <row r="10455">
      <c r="R10455" s="100"/>
      <c r="V10455" s="100"/>
      <c r="Y10455" s="100"/>
    </row>
    <row r="10456">
      <c r="R10456" s="100"/>
      <c r="V10456" s="100"/>
      <c r="Y10456" s="100"/>
    </row>
    <row r="10457">
      <c r="R10457" s="100"/>
      <c r="V10457" s="100"/>
      <c r="Y10457" s="100"/>
    </row>
    <row r="10458">
      <c r="R10458" s="100"/>
      <c r="V10458" s="100"/>
      <c r="Y10458" s="100"/>
    </row>
    <row r="10459">
      <c r="R10459" s="100"/>
      <c r="V10459" s="100"/>
      <c r="Y10459" s="100"/>
    </row>
    <row r="10460">
      <c r="R10460" s="100"/>
      <c r="V10460" s="100"/>
      <c r="Y10460" s="100"/>
    </row>
    <row r="10461">
      <c r="R10461" s="100"/>
      <c r="V10461" s="100"/>
      <c r="Y10461" s="100"/>
    </row>
    <row r="10462">
      <c r="R10462" s="100"/>
      <c r="V10462" s="100"/>
      <c r="Y10462" s="100"/>
    </row>
    <row r="10463">
      <c r="R10463" s="100"/>
      <c r="V10463" s="100"/>
      <c r="Y10463" s="100"/>
    </row>
    <row r="10464">
      <c r="R10464" s="100"/>
      <c r="V10464" s="100"/>
      <c r="Y10464" s="100"/>
    </row>
    <row r="10465">
      <c r="R10465" s="100"/>
      <c r="V10465" s="100"/>
      <c r="Y10465" s="100"/>
    </row>
    <row r="10466">
      <c r="R10466" s="100"/>
      <c r="V10466" s="100"/>
      <c r="Y10466" s="100"/>
    </row>
    <row r="10467">
      <c r="R10467" s="100"/>
      <c r="V10467" s="100"/>
      <c r="Y10467" s="100"/>
    </row>
    <row r="10468">
      <c r="R10468" s="100"/>
      <c r="V10468" s="100"/>
      <c r="Y10468" s="100"/>
    </row>
    <row r="10469">
      <c r="R10469" s="100"/>
      <c r="V10469" s="100"/>
      <c r="Y10469" s="100"/>
    </row>
    <row r="10470">
      <c r="R10470" s="100"/>
      <c r="V10470" s="100"/>
      <c r="Y10470" s="100"/>
    </row>
    <row r="10471">
      <c r="R10471" s="100"/>
      <c r="V10471" s="100"/>
      <c r="Y10471" s="100"/>
    </row>
    <row r="10472">
      <c r="R10472" s="100"/>
      <c r="V10472" s="100"/>
      <c r="Y10472" s="100"/>
    </row>
    <row r="10473">
      <c r="R10473" s="100"/>
      <c r="V10473" s="100"/>
      <c r="Y10473" s="100"/>
    </row>
    <row r="10474">
      <c r="R10474" s="100"/>
      <c r="V10474" s="100"/>
      <c r="Y10474" s="100"/>
    </row>
    <row r="10475">
      <c r="R10475" s="100"/>
      <c r="V10475" s="100"/>
      <c r="Y10475" s="100"/>
    </row>
    <row r="10476">
      <c r="R10476" s="100"/>
      <c r="V10476" s="100"/>
      <c r="Y10476" s="100"/>
    </row>
    <row r="10477">
      <c r="R10477" s="100"/>
      <c r="V10477" s="100"/>
      <c r="Y10477" s="100"/>
    </row>
    <row r="10478">
      <c r="R10478" s="100"/>
      <c r="V10478" s="100"/>
      <c r="Y10478" s="100"/>
    </row>
    <row r="10479">
      <c r="R10479" s="100"/>
      <c r="V10479" s="100"/>
      <c r="Y10479" s="100"/>
    </row>
    <row r="10480">
      <c r="R10480" s="100"/>
      <c r="V10480" s="100"/>
      <c r="Y10480" s="100"/>
    </row>
    <row r="10481">
      <c r="R10481" s="100"/>
      <c r="V10481" s="100"/>
      <c r="Y10481" s="100"/>
    </row>
    <row r="10482">
      <c r="R10482" s="100"/>
      <c r="V10482" s="100"/>
      <c r="Y10482" s="100"/>
    </row>
    <row r="10483">
      <c r="R10483" s="100"/>
      <c r="V10483" s="100"/>
      <c r="Y10483" s="100"/>
    </row>
    <row r="10484">
      <c r="R10484" s="100"/>
      <c r="V10484" s="100"/>
      <c r="Y10484" s="100"/>
    </row>
    <row r="10485">
      <c r="R10485" s="100"/>
      <c r="V10485" s="100"/>
      <c r="Y10485" s="100"/>
    </row>
    <row r="10486">
      <c r="R10486" s="100"/>
      <c r="V10486" s="100"/>
      <c r="Y10486" s="100"/>
    </row>
    <row r="10487">
      <c r="R10487" s="100"/>
      <c r="V10487" s="100"/>
      <c r="Y10487" s="100"/>
    </row>
    <row r="10488">
      <c r="R10488" s="100"/>
      <c r="V10488" s="100"/>
      <c r="Y10488" s="100"/>
    </row>
    <row r="10489">
      <c r="R10489" s="100"/>
      <c r="V10489" s="100"/>
      <c r="Y10489" s="100"/>
    </row>
    <row r="10490">
      <c r="R10490" s="100"/>
      <c r="V10490" s="100"/>
      <c r="Y10490" s="100"/>
    </row>
    <row r="10491">
      <c r="R10491" s="100"/>
      <c r="V10491" s="100"/>
      <c r="Y10491" s="100"/>
    </row>
    <row r="10492">
      <c r="R10492" s="100"/>
      <c r="V10492" s="100"/>
      <c r="Y10492" s="100"/>
    </row>
    <row r="10493">
      <c r="R10493" s="100"/>
      <c r="V10493" s="100"/>
      <c r="Y10493" s="100"/>
    </row>
    <row r="10494">
      <c r="R10494" s="100"/>
      <c r="V10494" s="100"/>
      <c r="Y10494" s="100"/>
    </row>
    <row r="10495">
      <c r="R10495" s="100"/>
      <c r="V10495" s="100"/>
      <c r="Y10495" s="100"/>
    </row>
    <row r="10496">
      <c r="R10496" s="100"/>
      <c r="V10496" s="100"/>
      <c r="Y10496" s="100"/>
    </row>
    <row r="10497">
      <c r="R10497" s="100"/>
      <c r="V10497" s="100"/>
      <c r="Y10497" s="100"/>
    </row>
    <row r="10498">
      <c r="R10498" s="100"/>
      <c r="V10498" s="100"/>
      <c r="Y10498" s="100"/>
    </row>
    <row r="10499">
      <c r="R10499" s="100"/>
      <c r="V10499" s="100"/>
      <c r="Y10499" s="100"/>
    </row>
    <row r="10500">
      <c r="R10500" s="100"/>
      <c r="V10500" s="100"/>
      <c r="Y10500" s="100"/>
    </row>
    <row r="10501">
      <c r="R10501" s="100"/>
      <c r="V10501" s="100"/>
      <c r="Y10501" s="100"/>
    </row>
    <row r="10502">
      <c r="R10502" s="100"/>
      <c r="V10502" s="100"/>
      <c r="Y10502" s="100"/>
    </row>
    <row r="10503">
      <c r="R10503" s="100"/>
      <c r="V10503" s="100"/>
      <c r="Y10503" s="100"/>
    </row>
    <row r="10504">
      <c r="R10504" s="100"/>
      <c r="V10504" s="100"/>
      <c r="Y10504" s="100"/>
    </row>
    <row r="10505">
      <c r="R10505" s="100"/>
      <c r="V10505" s="100"/>
      <c r="Y10505" s="100"/>
    </row>
    <row r="10506">
      <c r="R10506" s="100"/>
      <c r="V10506" s="100"/>
      <c r="Y10506" s="100"/>
    </row>
    <row r="10507">
      <c r="R10507" s="100"/>
      <c r="V10507" s="100"/>
      <c r="Y10507" s="100"/>
    </row>
    <row r="10508">
      <c r="R10508" s="100"/>
      <c r="V10508" s="100"/>
      <c r="Y10508" s="100"/>
    </row>
    <row r="10509">
      <c r="R10509" s="100"/>
      <c r="V10509" s="100"/>
      <c r="Y10509" s="100"/>
    </row>
    <row r="10510">
      <c r="R10510" s="100"/>
      <c r="V10510" s="100"/>
      <c r="Y10510" s="100"/>
    </row>
    <row r="10511">
      <c r="R10511" s="100"/>
      <c r="V10511" s="100"/>
      <c r="Y10511" s="100"/>
    </row>
    <row r="10512">
      <c r="R10512" s="100"/>
      <c r="V10512" s="100"/>
      <c r="Y10512" s="100"/>
    </row>
    <row r="10513">
      <c r="R10513" s="100"/>
      <c r="V10513" s="100"/>
      <c r="Y10513" s="100"/>
    </row>
    <row r="10514">
      <c r="R10514" s="100"/>
      <c r="V10514" s="100"/>
      <c r="Y10514" s="100"/>
    </row>
    <row r="10515">
      <c r="R10515" s="100"/>
      <c r="V10515" s="100"/>
      <c r="Y10515" s="100"/>
    </row>
    <row r="10516">
      <c r="R10516" s="100"/>
      <c r="V10516" s="100"/>
      <c r="Y10516" s="100"/>
    </row>
    <row r="10517">
      <c r="R10517" s="100"/>
      <c r="V10517" s="100"/>
      <c r="Y10517" s="100"/>
    </row>
    <row r="10518">
      <c r="R10518" s="100"/>
      <c r="V10518" s="100"/>
      <c r="Y10518" s="100"/>
    </row>
    <row r="10519">
      <c r="R10519" s="100"/>
      <c r="V10519" s="100"/>
      <c r="Y10519" s="100"/>
    </row>
    <row r="10520">
      <c r="R10520" s="100"/>
      <c r="V10520" s="100"/>
      <c r="Y10520" s="100"/>
    </row>
    <row r="10521">
      <c r="R10521" s="100"/>
      <c r="V10521" s="100"/>
      <c r="Y10521" s="100"/>
    </row>
    <row r="10522">
      <c r="R10522" s="100"/>
      <c r="V10522" s="100"/>
      <c r="Y10522" s="100"/>
    </row>
    <row r="10523">
      <c r="R10523" s="100"/>
      <c r="V10523" s="100"/>
      <c r="Y10523" s="100"/>
    </row>
    <row r="10524">
      <c r="R10524" s="100"/>
      <c r="V10524" s="100"/>
      <c r="Y10524" s="100"/>
    </row>
    <row r="10525">
      <c r="R10525" s="100"/>
      <c r="V10525" s="100"/>
      <c r="Y10525" s="100"/>
    </row>
    <row r="10526">
      <c r="R10526" s="100"/>
      <c r="V10526" s="100"/>
      <c r="Y10526" s="100"/>
    </row>
    <row r="10527">
      <c r="R10527" s="100"/>
      <c r="V10527" s="100"/>
      <c r="Y10527" s="100"/>
    </row>
    <row r="10528">
      <c r="R10528" s="100"/>
      <c r="V10528" s="100"/>
      <c r="Y10528" s="100"/>
    </row>
    <row r="10529">
      <c r="R10529" s="100"/>
      <c r="V10529" s="100"/>
      <c r="Y10529" s="100"/>
    </row>
    <row r="10530">
      <c r="R10530" s="100"/>
      <c r="V10530" s="100"/>
      <c r="Y10530" s="100"/>
    </row>
    <row r="10531">
      <c r="R10531" s="100"/>
      <c r="V10531" s="100"/>
      <c r="Y10531" s="100"/>
    </row>
    <row r="10532">
      <c r="R10532" s="100"/>
      <c r="V10532" s="100"/>
      <c r="Y10532" s="100"/>
    </row>
    <row r="10533">
      <c r="R10533" s="100"/>
      <c r="V10533" s="100"/>
      <c r="Y10533" s="100"/>
    </row>
    <row r="10534">
      <c r="R10534" s="100"/>
      <c r="V10534" s="100"/>
      <c r="Y10534" s="100"/>
    </row>
    <row r="10535">
      <c r="R10535" s="100"/>
      <c r="V10535" s="100"/>
      <c r="Y10535" s="100"/>
    </row>
    <row r="10536">
      <c r="R10536" s="100"/>
      <c r="V10536" s="100"/>
      <c r="Y10536" s="100"/>
    </row>
    <row r="10537">
      <c r="R10537" s="100"/>
      <c r="V10537" s="100"/>
      <c r="Y10537" s="100"/>
    </row>
    <row r="10538">
      <c r="R10538" s="100"/>
      <c r="V10538" s="100"/>
      <c r="Y10538" s="100"/>
    </row>
    <row r="10539">
      <c r="R10539" s="100"/>
      <c r="V10539" s="100"/>
      <c r="Y10539" s="100"/>
    </row>
    <row r="10540">
      <c r="R10540" s="100"/>
      <c r="V10540" s="100"/>
      <c r="Y10540" s="100"/>
    </row>
    <row r="10541">
      <c r="R10541" s="100"/>
      <c r="V10541" s="100"/>
      <c r="Y10541" s="100"/>
    </row>
    <row r="10542">
      <c r="R10542" s="100"/>
      <c r="V10542" s="100"/>
      <c r="Y10542" s="100"/>
    </row>
    <row r="10543">
      <c r="R10543" s="100"/>
      <c r="V10543" s="100"/>
      <c r="Y10543" s="100"/>
    </row>
    <row r="10544">
      <c r="R10544" s="100"/>
      <c r="V10544" s="100"/>
      <c r="Y10544" s="100"/>
    </row>
    <row r="10545">
      <c r="R10545" s="100"/>
      <c r="V10545" s="100"/>
      <c r="Y10545" s="100"/>
    </row>
    <row r="10546">
      <c r="R10546" s="100"/>
      <c r="V10546" s="100"/>
      <c r="Y10546" s="100"/>
    </row>
    <row r="10547">
      <c r="R10547" s="100"/>
      <c r="V10547" s="100"/>
      <c r="Y10547" s="100"/>
    </row>
    <row r="10548">
      <c r="R10548" s="100"/>
      <c r="V10548" s="100"/>
      <c r="Y10548" s="100"/>
    </row>
    <row r="10549">
      <c r="R10549" s="100"/>
      <c r="V10549" s="100"/>
      <c r="Y10549" s="100"/>
    </row>
    <row r="10550">
      <c r="R10550" s="100"/>
      <c r="V10550" s="100"/>
      <c r="Y10550" s="100"/>
    </row>
    <row r="10551">
      <c r="R10551" s="100"/>
      <c r="V10551" s="100"/>
      <c r="Y10551" s="100"/>
    </row>
    <row r="10552">
      <c r="R10552" s="100"/>
      <c r="V10552" s="100"/>
      <c r="Y10552" s="100"/>
    </row>
    <row r="10553">
      <c r="R10553" s="100"/>
      <c r="V10553" s="100"/>
      <c r="Y10553" s="100"/>
    </row>
    <row r="10554">
      <c r="R10554" s="100"/>
      <c r="V10554" s="100"/>
      <c r="Y10554" s="100"/>
    </row>
    <row r="10555">
      <c r="R10555" s="100"/>
      <c r="V10555" s="100"/>
      <c r="Y10555" s="100"/>
    </row>
    <row r="10556">
      <c r="R10556" s="100"/>
      <c r="V10556" s="100"/>
      <c r="Y10556" s="100"/>
    </row>
    <row r="10557">
      <c r="R10557" s="100"/>
      <c r="V10557" s="100"/>
      <c r="Y10557" s="100"/>
    </row>
    <row r="10558">
      <c r="R10558" s="100"/>
      <c r="V10558" s="100"/>
      <c r="Y10558" s="100"/>
    </row>
    <row r="10559">
      <c r="R10559" s="100"/>
      <c r="V10559" s="100"/>
      <c r="Y10559" s="100"/>
    </row>
    <row r="10560">
      <c r="R10560" s="100"/>
      <c r="V10560" s="100"/>
      <c r="Y10560" s="100"/>
    </row>
    <row r="10561">
      <c r="R10561" s="100"/>
      <c r="V10561" s="100"/>
      <c r="Y10561" s="100"/>
    </row>
    <row r="10562">
      <c r="R10562" s="100"/>
      <c r="V10562" s="100"/>
      <c r="Y10562" s="100"/>
    </row>
    <row r="10563">
      <c r="R10563" s="100"/>
      <c r="V10563" s="100"/>
      <c r="Y10563" s="100"/>
    </row>
    <row r="10564">
      <c r="R10564" s="100"/>
      <c r="V10564" s="100"/>
      <c r="Y10564" s="100"/>
    </row>
    <row r="10565">
      <c r="R10565" s="100"/>
      <c r="V10565" s="100"/>
      <c r="Y10565" s="100"/>
    </row>
    <row r="10566">
      <c r="R10566" s="100"/>
      <c r="V10566" s="100"/>
      <c r="Y10566" s="100"/>
    </row>
    <row r="10567">
      <c r="R10567" s="100"/>
      <c r="V10567" s="100"/>
      <c r="Y10567" s="100"/>
    </row>
    <row r="10568">
      <c r="R10568" s="100"/>
      <c r="V10568" s="100"/>
      <c r="Y10568" s="100"/>
    </row>
    <row r="10569">
      <c r="R10569" s="100"/>
      <c r="V10569" s="100"/>
      <c r="Y10569" s="100"/>
    </row>
    <row r="10570">
      <c r="R10570" s="100"/>
      <c r="V10570" s="100"/>
      <c r="Y10570" s="100"/>
    </row>
    <row r="10571">
      <c r="R10571" s="100"/>
      <c r="V10571" s="100"/>
      <c r="Y10571" s="100"/>
    </row>
    <row r="10572">
      <c r="R10572" s="100"/>
      <c r="V10572" s="100"/>
      <c r="Y10572" s="100"/>
    </row>
    <row r="10573">
      <c r="R10573" s="100"/>
      <c r="V10573" s="100"/>
      <c r="Y10573" s="100"/>
    </row>
    <row r="10574">
      <c r="R10574" s="100"/>
      <c r="V10574" s="100"/>
      <c r="Y10574" s="100"/>
    </row>
    <row r="10575">
      <c r="R10575" s="100"/>
      <c r="V10575" s="100"/>
      <c r="Y10575" s="100"/>
    </row>
    <row r="10576">
      <c r="R10576" s="100"/>
      <c r="V10576" s="100"/>
      <c r="Y10576" s="100"/>
    </row>
    <row r="10577">
      <c r="R10577" s="100"/>
      <c r="V10577" s="100"/>
      <c r="Y10577" s="100"/>
    </row>
    <row r="10578">
      <c r="R10578" s="100"/>
      <c r="V10578" s="100"/>
      <c r="Y10578" s="100"/>
    </row>
    <row r="10579">
      <c r="R10579" s="100"/>
      <c r="V10579" s="100"/>
      <c r="Y10579" s="100"/>
    </row>
    <row r="10580">
      <c r="R10580" s="100"/>
      <c r="V10580" s="100"/>
      <c r="Y10580" s="100"/>
    </row>
    <row r="10581">
      <c r="R10581" s="100"/>
      <c r="V10581" s="100"/>
      <c r="Y10581" s="100"/>
    </row>
    <row r="10582">
      <c r="R10582" s="100"/>
      <c r="V10582" s="100"/>
      <c r="Y10582" s="100"/>
    </row>
    <row r="10583">
      <c r="R10583" s="100"/>
      <c r="V10583" s="100"/>
      <c r="Y10583" s="100"/>
    </row>
    <row r="10584">
      <c r="R10584" s="100"/>
      <c r="V10584" s="100"/>
      <c r="Y10584" s="100"/>
    </row>
    <row r="10585">
      <c r="R10585" s="100"/>
      <c r="V10585" s="100"/>
      <c r="Y10585" s="100"/>
    </row>
    <row r="10586">
      <c r="R10586" s="100"/>
      <c r="V10586" s="100"/>
      <c r="Y10586" s="100"/>
    </row>
    <row r="10587">
      <c r="R10587" s="100"/>
      <c r="V10587" s="100"/>
      <c r="Y10587" s="100"/>
    </row>
    <row r="10588">
      <c r="R10588" s="100"/>
      <c r="V10588" s="100"/>
      <c r="Y10588" s="100"/>
    </row>
    <row r="10589">
      <c r="R10589" s="100"/>
      <c r="V10589" s="100"/>
      <c r="Y10589" s="100"/>
    </row>
    <row r="10590">
      <c r="R10590" s="100"/>
      <c r="V10590" s="100"/>
      <c r="Y10590" s="100"/>
    </row>
    <row r="10591">
      <c r="R10591" s="100"/>
      <c r="V10591" s="100"/>
      <c r="Y10591" s="100"/>
    </row>
    <row r="10592">
      <c r="R10592" s="100"/>
      <c r="V10592" s="100"/>
      <c r="Y10592" s="100"/>
    </row>
    <row r="10593">
      <c r="R10593" s="100"/>
      <c r="V10593" s="100"/>
      <c r="Y10593" s="100"/>
    </row>
    <row r="10594">
      <c r="R10594" s="100"/>
      <c r="V10594" s="100"/>
      <c r="Y10594" s="100"/>
    </row>
    <row r="10595">
      <c r="R10595" s="100"/>
      <c r="V10595" s="100"/>
      <c r="Y10595" s="100"/>
    </row>
    <row r="10596">
      <c r="R10596" s="100"/>
      <c r="V10596" s="100"/>
      <c r="Y10596" s="100"/>
    </row>
    <row r="10597">
      <c r="R10597" s="100"/>
      <c r="V10597" s="100"/>
      <c r="Y10597" s="100"/>
    </row>
    <row r="10598">
      <c r="R10598" s="100"/>
      <c r="V10598" s="100"/>
      <c r="Y10598" s="100"/>
    </row>
    <row r="10599">
      <c r="R10599" s="100"/>
      <c r="V10599" s="100"/>
      <c r="Y10599" s="100"/>
    </row>
    <row r="10600">
      <c r="R10600" s="100"/>
      <c r="V10600" s="100"/>
      <c r="Y10600" s="100"/>
    </row>
    <row r="10601">
      <c r="R10601" s="100"/>
      <c r="V10601" s="100"/>
      <c r="Y10601" s="100"/>
    </row>
    <row r="10602">
      <c r="R10602" s="100"/>
      <c r="V10602" s="100"/>
      <c r="Y10602" s="100"/>
    </row>
    <row r="10603">
      <c r="R10603" s="100"/>
      <c r="V10603" s="100"/>
      <c r="Y10603" s="100"/>
    </row>
    <row r="10604">
      <c r="R10604" s="100"/>
      <c r="V10604" s="100"/>
      <c r="Y10604" s="100"/>
    </row>
    <row r="10605">
      <c r="R10605" s="100"/>
      <c r="V10605" s="100"/>
      <c r="Y10605" s="100"/>
    </row>
    <row r="10606">
      <c r="R10606" s="100"/>
      <c r="V10606" s="100"/>
      <c r="Y10606" s="100"/>
    </row>
    <row r="10607">
      <c r="R10607" s="100"/>
      <c r="V10607" s="100"/>
      <c r="Y10607" s="100"/>
    </row>
    <row r="10608">
      <c r="R10608" s="100"/>
      <c r="V10608" s="100"/>
      <c r="Y10608" s="100"/>
    </row>
    <row r="10609">
      <c r="R10609" s="100"/>
      <c r="V10609" s="100"/>
      <c r="Y10609" s="100"/>
    </row>
    <row r="10610">
      <c r="R10610" s="100"/>
      <c r="V10610" s="100"/>
      <c r="Y10610" s="100"/>
    </row>
    <row r="10611">
      <c r="R10611" s="100"/>
      <c r="V10611" s="100"/>
      <c r="Y10611" s="100"/>
    </row>
    <row r="10612">
      <c r="R10612" s="100"/>
      <c r="V10612" s="100"/>
      <c r="Y10612" s="100"/>
    </row>
    <row r="10613">
      <c r="R10613" s="100"/>
      <c r="V10613" s="100"/>
      <c r="Y10613" s="100"/>
    </row>
    <row r="10614">
      <c r="R10614" s="100"/>
      <c r="V10614" s="100"/>
      <c r="Y10614" s="100"/>
    </row>
    <row r="10615">
      <c r="R10615" s="100"/>
      <c r="V10615" s="100"/>
      <c r="Y10615" s="100"/>
    </row>
    <row r="10616">
      <c r="R10616" s="100"/>
      <c r="V10616" s="100"/>
      <c r="Y10616" s="100"/>
    </row>
    <row r="10617">
      <c r="R10617" s="100"/>
      <c r="V10617" s="100"/>
      <c r="Y10617" s="100"/>
    </row>
    <row r="10618">
      <c r="R10618" s="100"/>
      <c r="V10618" s="100"/>
      <c r="Y10618" s="100"/>
    </row>
    <row r="10619">
      <c r="R10619" s="100"/>
      <c r="V10619" s="100"/>
      <c r="Y10619" s="100"/>
    </row>
    <row r="10620">
      <c r="R10620" s="100"/>
      <c r="V10620" s="100"/>
      <c r="Y10620" s="100"/>
    </row>
    <row r="10621">
      <c r="R10621" s="100"/>
      <c r="V10621" s="100"/>
      <c r="Y10621" s="100"/>
    </row>
    <row r="10622">
      <c r="R10622" s="100"/>
      <c r="V10622" s="100"/>
      <c r="Y10622" s="100"/>
    </row>
    <row r="10623">
      <c r="R10623" s="100"/>
      <c r="V10623" s="100"/>
      <c r="Y10623" s="100"/>
    </row>
    <row r="10624">
      <c r="R10624" s="100"/>
      <c r="V10624" s="100"/>
      <c r="Y10624" s="100"/>
    </row>
    <row r="10625">
      <c r="R10625" s="100"/>
      <c r="V10625" s="100"/>
      <c r="Y10625" s="100"/>
    </row>
    <row r="10626">
      <c r="R10626" s="100"/>
      <c r="V10626" s="100"/>
      <c r="Y10626" s="100"/>
    </row>
    <row r="10627">
      <c r="R10627" s="100"/>
      <c r="V10627" s="100"/>
      <c r="Y10627" s="100"/>
    </row>
    <row r="10628">
      <c r="R10628" s="100"/>
      <c r="V10628" s="100"/>
      <c r="Y10628" s="100"/>
    </row>
    <row r="10629">
      <c r="R10629" s="100"/>
      <c r="V10629" s="100"/>
      <c r="Y10629" s="100"/>
    </row>
    <row r="10630">
      <c r="R10630" s="100"/>
      <c r="V10630" s="100"/>
      <c r="Y10630" s="100"/>
    </row>
    <row r="10631">
      <c r="R10631" s="100"/>
      <c r="V10631" s="100"/>
      <c r="Y10631" s="100"/>
    </row>
    <row r="10632">
      <c r="R10632" s="100"/>
      <c r="V10632" s="100"/>
      <c r="Y10632" s="100"/>
    </row>
    <row r="10633">
      <c r="R10633" s="100"/>
      <c r="V10633" s="100"/>
      <c r="Y10633" s="100"/>
    </row>
    <row r="10634">
      <c r="R10634" s="100"/>
      <c r="V10634" s="100"/>
      <c r="Y10634" s="100"/>
    </row>
    <row r="10635">
      <c r="R10635" s="100"/>
      <c r="V10635" s="100"/>
      <c r="Y10635" s="100"/>
    </row>
    <row r="10636">
      <c r="R10636" s="100"/>
      <c r="V10636" s="100"/>
      <c r="Y10636" s="100"/>
    </row>
    <row r="10637">
      <c r="R10637" s="100"/>
      <c r="V10637" s="100"/>
      <c r="Y10637" s="100"/>
    </row>
    <row r="10638">
      <c r="R10638" s="100"/>
      <c r="V10638" s="100"/>
      <c r="Y10638" s="100"/>
    </row>
    <row r="10639">
      <c r="R10639" s="100"/>
      <c r="V10639" s="100"/>
      <c r="Y10639" s="100"/>
    </row>
    <row r="10640">
      <c r="R10640" s="100"/>
      <c r="V10640" s="100"/>
      <c r="Y10640" s="100"/>
    </row>
    <row r="10641">
      <c r="R10641" s="100"/>
      <c r="V10641" s="100"/>
      <c r="Y10641" s="100"/>
    </row>
    <row r="10642">
      <c r="R10642" s="100"/>
      <c r="V10642" s="100"/>
      <c r="Y10642" s="100"/>
    </row>
    <row r="10643">
      <c r="R10643" s="100"/>
      <c r="V10643" s="100"/>
      <c r="Y10643" s="100"/>
    </row>
    <row r="10644">
      <c r="R10644" s="100"/>
      <c r="V10644" s="100"/>
      <c r="Y10644" s="100"/>
    </row>
    <row r="10645">
      <c r="R10645" s="100"/>
      <c r="V10645" s="100"/>
      <c r="Y10645" s="100"/>
    </row>
    <row r="10646">
      <c r="R10646" s="100"/>
      <c r="V10646" s="100"/>
      <c r="Y10646" s="100"/>
    </row>
    <row r="10647">
      <c r="R10647" s="100"/>
      <c r="V10647" s="100"/>
      <c r="Y10647" s="100"/>
    </row>
    <row r="10648">
      <c r="R10648" s="100"/>
      <c r="V10648" s="100"/>
      <c r="Y10648" s="100"/>
    </row>
    <row r="10649">
      <c r="R10649" s="100"/>
      <c r="V10649" s="100"/>
      <c r="Y10649" s="100"/>
    </row>
    <row r="10650">
      <c r="R10650" s="100"/>
      <c r="V10650" s="100"/>
      <c r="Y10650" s="100"/>
    </row>
    <row r="10651">
      <c r="R10651" s="100"/>
      <c r="V10651" s="100"/>
      <c r="Y10651" s="100"/>
    </row>
    <row r="10652">
      <c r="R10652" s="100"/>
      <c r="V10652" s="100"/>
      <c r="Y10652" s="100"/>
    </row>
    <row r="10653">
      <c r="R10653" s="100"/>
      <c r="V10653" s="100"/>
      <c r="Y10653" s="100"/>
    </row>
    <row r="10654">
      <c r="R10654" s="100"/>
      <c r="V10654" s="100"/>
      <c r="Y10654" s="100"/>
    </row>
    <row r="10655">
      <c r="R10655" s="100"/>
      <c r="V10655" s="100"/>
      <c r="Y10655" s="100"/>
    </row>
    <row r="10656">
      <c r="R10656" s="100"/>
      <c r="V10656" s="100"/>
      <c r="Y10656" s="100"/>
    </row>
    <row r="10657">
      <c r="R10657" s="100"/>
      <c r="V10657" s="100"/>
      <c r="Y10657" s="100"/>
    </row>
    <row r="10658">
      <c r="R10658" s="100"/>
      <c r="V10658" s="100"/>
      <c r="Y10658" s="100"/>
    </row>
    <row r="10659">
      <c r="R10659" s="100"/>
      <c r="V10659" s="100"/>
      <c r="Y10659" s="100"/>
    </row>
    <row r="10660">
      <c r="R10660" s="100"/>
      <c r="V10660" s="100"/>
      <c r="Y10660" s="100"/>
    </row>
    <row r="10661">
      <c r="R10661" s="100"/>
      <c r="V10661" s="100"/>
      <c r="Y10661" s="100"/>
    </row>
    <row r="10662">
      <c r="R10662" s="100"/>
      <c r="V10662" s="100"/>
      <c r="Y10662" s="100"/>
    </row>
    <row r="10663">
      <c r="R10663" s="100"/>
      <c r="V10663" s="100"/>
      <c r="Y10663" s="100"/>
    </row>
    <row r="10664">
      <c r="R10664" s="100"/>
      <c r="V10664" s="100"/>
      <c r="Y10664" s="100"/>
    </row>
    <row r="10665">
      <c r="R10665" s="100"/>
      <c r="V10665" s="100"/>
      <c r="Y10665" s="100"/>
    </row>
    <row r="10666">
      <c r="R10666" s="100"/>
      <c r="V10666" s="100"/>
      <c r="Y10666" s="100"/>
    </row>
    <row r="10667">
      <c r="R10667" s="100"/>
      <c r="V10667" s="100"/>
      <c r="Y10667" s="100"/>
    </row>
    <row r="10668">
      <c r="R10668" s="100"/>
      <c r="V10668" s="100"/>
      <c r="Y10668" s="100"/>
    </row>
    <row r="10669">
      <c r="R10669" s="100"/>
      <c r="V10669" s="100"/>
      <c r="Y10669" s="100"/>
    </row>
    <row r="10670">
      <c r="R10670" s="100"/>
      <c r="V10670" s="100"/>
      <c r="Y10670" s="100"/>
    </row>
    <row r="10671">
      <c r="R10671" s="100"/>
      <c r="V10671" s="100"/>
      <c r="Y10671" s="100"/>
    </row>
    <row r="10672">
      <c r="R10672" s="100"/>
      <c r="V10672" s="100"/>
      <c r="Y10672" s="100"/>
    </row>
    <row r="10673">
      <c r="R10673" s="100"/>
      <c r="V10673" s="100"/>
      <c r="Y10673" s="100"/>
    </row>
    <row r="10674">
      <c r="R10674" s="100"/>
      <c r="V10674" s="100"/>
      <c r="Y10674" s="100"/>
    </row>
    <row r="10675">
      <c r="R10675" s="100"/>
      <c r="V10675" s="100"/>
      <c r="Y10675" s="100"/>
    </row>
    <row r="10676">
      <c r="R10676" s="100"/>
      <c r="V10676" s="100"/>
      <c r="Y10676" s="100"/>
    </row>
    <row r="10677">
      <c r="R10677" s="100"/>
      <c r="V10677" s="100"/>
      <c r="Y10677" s="100"/>
    </row>
    <row r="10678">
      <c r="R10678" s="100"/>
      <c r="V10678" s="100"/>
      <c r="Y10678" s="100"/>
    </row>
    <row r="10679">
      <c r="R10679" s="100"/>
      <c r="V10679" s="100"/>
      <c r="Y10679" s="100"/>
    </row>
    <row r="10680">
      <c r="R10680" s="100"/>
      <c r="V10680" s="100"/>
      <c r="Y10680" s="100"/>
    </row>
    <row r="10681">
      <c r="R10681" s="100"/>
      <c r="V10681" s="100"/>
      <c r="Y10681" s="100"/>
    </row>
    <row r="10682">
      <c r="R10682" s="100"/>
      <c r="V10682" s="100"/>
      <c r="Y10682" s="100"/>
    </row>
    <row r="10683">
      <c r="R10683" s="100"/>
      <c r="V10683" s="100"/>
      <c r="Y10683" s="100"/>
    </row>
    <row r="10684">
      <c r="R10684" s="100"/>
      <c r="V10684" s="100"/>
      <c r="Y10684" s="100"/>
    </row>
    <row r="10685">
      <c r="R10685" s="100"/>
      <c r="V10685" s="100"/>
      <c r="Y10685" s="100"/>
    </row>
    <row r="10686">
      <c r="R10686" s="100"/>
      <c r="V10686" s="100"/>
      <c r="Y10686" s="100"/>
    </row>
    <row r="10687">
      <c r="R10687" s="100"/>
      <c r="V10687" s="100"/>
      <c r="Y10687" s="100"/>
    </row>
    <row r="10688">
      <c r="R10688" s="100"/>
      <c r="V10688" s="100"/>
      <c r="Y10688" s="100"/>
    </row>
    <row r="10689">
      <c r="R10689" s="100"/>
      <c r="V10689" s="100"/>
      <c r="Y10689" s="100"/>
    </row>
    <row r="10690">
      <c r="R10690" s="100"/>
      <c r="V10690" s="100"/>
      <c r="Y10690" s="100"/>
    </row>
    <row r="10691">
      <c r="R10691" s="100"/>
      <c r="V10691" s="100"/>
      <c r="Y10691" s="100"/>
    </row>
    <row r="10692">
      <c r="R10692" s="100"/>
      <c r="V10692" s="100"/>
      <c r="Y10692" s="100"/>
    </row>
    <row r="10693">
      <c r="R10693" s="100"/>
      <c r="V10693" s="100"/>
      <c r="Y10693" s="100"/>
    </row>
    <row r="10694">
      <c r="R10694" s="100"/>
      <c r="V10694" s="100"/>
      <c r="Y10694" s="100"/>
    </row>
    <row r="10695">
      <c r="R10695" s="100"/>
      <c r="V10695" s="100"/>
      <c r="Y10695" s="100"/>
    </row>
    <row r="10696">
      <c r="R10696" s="100"/>
      <c r="V10696" s="100"/>
      <c r="Y10696" s="100"/>
    </row>
    <row r="10697">
      <c r="R10697" s="100"/>
      <c r="V10697" s="100"/>
      <c r="Y10697" s="100"/>
    </row>
    <row r="10698">
      <c r="R10698" s="100"/>
      <c r="V10698" s="100"/>
      <c r="Y10698" s="100"/>
    </row>
    <row r="10699">
      <c r="R10699" s="100"/>
      <c r="V10699" s="100"/>
      <c r="Y10699" s="100"/>
    </row>
    <row r="10700">
      <c r="R10700" s="100"/>
      <c r="V10700" s="100"/>
      <c r="Y10700" s="100"/>
    </row>
    <row r="10701">
      <c r="R10701" s="100"/>
      <c r="V10701" s="100"/>
      <c r="Y10701" s="100"/>
    </row>
    <row r="10702">
      <c r="R10702" s="100"/>
      <c r="V10702" s="100"/>
      <c r="Y10702" s="100"/>
    </row>
    <row r="10703">
      <c r="R10703" s="100"/>
      <c r="V10703" s="100"/>
      <c r="Y10703" s="100"/>
    </row>
    <row r="10704">
      <c r="R10704" s="100"/>
      <c r="V10704" s="100"/>
      <c r="Y10704" s="100"/>
    </row>
    <row r="10705">
      <c r="R10705" s="100"/>
      <c r="V10705" s="100"/>
      <c r="Y10705" s="100"/>
    </row>
    <row r="10706">
      <c r="R10706" s="100"/>
      <c r="V10706" s="100"/>
      <c r="Y10706" s="100"/>
    </row>
    <row r="10707">
      <c r="R10707" s="100"/>
      <c r="V10707" s="100"/>
      <c r="Y10707" s="100"/>
    </row>
    <row r="10708">
      <c r="R10708" s="100"/>
      <c r="V10708" s="100"/>
      <c r="Y10708" s="100"/>
    </row>
    <row r="10709">
      <c r="R10709" s="100"/>
      <c r="V10709" s="100"/>
      <c r="Y10709" s="100"/>
    </row>
    <row r="10710">
      <c r="R10710" s="100"/>
      <c r="V10710" s="100"/>
      <c r="Y10710" s="100"/>
    </row>
    <row r="10711">
      <c r="R10711" s="100"/>
      <c r="V10711" s="100"/>
      <c r="Y10711" s="100"/>
    </row>
    <row r="10712">
      <c r="R10712" s="100"/>
      <c r="V10712" s="100"/>
      <c r="Y10712" s="100"/>
    </row>
    <row r="10713">
      <c r="R10713" s="100"/>
      <c r="V10713" s="100"/>
      <c r="Y10713" s="100"/>
    </row>
    <row r="10714">
      <c r="R10714" s="100"/>
      <c r="V10714" s="100"/>
      <c r="Y10714" s="100"/>
    </row>
    <row r="10715">
      <c r="R10715" s="100"/>
      <c r="V10715" s="100"/>
      <c r="Y10715" s="100"/>
    </row>
    <row r="10716">
      <c r="R10716" s="100"/>
      <c r="V10716" s="100"/>
      <c r="Y10716" s="100"/>
    </row>
    <row r="10717">
      <c r="R10717" s="100"/>
      <c r="V10717" s="100"/>
      <c r="Y10717" s="100"/>
    </row>
    <row r="10718">
      <c r="R10718" s="100"/>
      <c r="V10718" s="100"/>
      <c r="Y10718" s="100"/>
    </row>
    <row r="10719">
      <c r="R10719" s="100"/>
      <c r="V10719" s="100"/>
      <c r="Y10719" s="100"/>
    </row>
    <row r="10720">
      <c r="R10720" s="100"/>
      <c r="V10720" s="100"/>
      <c r="Y10720" s="100"/>
    </row>
    <row r="10721">
      <c r="R10721" s="100"/>
      <c r="V10721" s="100"/>
      <c r="Y10721" s="100"/>
    </row>
    <row r="10722">
      <c r="R10722" s="100"/>
      <c r="V10722" s="100"/>
      <c r="Y10722" s="100"/>
    </row>
    <row r="10723">
      <c r="R10723" s="100"/>
      <c r="V10723" s="100"/>
      <c r="Y10723" s="100"/>
    </row>
    <row r="10724">
      <c r="R10724" s="100"/>
      <c r="V10724" s="100"/>
      <c r="Y10724" s="100"/>
    </row>
    <row r="10725">
      <c r="R10725" s="100"/>
      <c r="V10725" s="100"/>
      <c r="Y10725" s="100"/>
    </row>
    <row r="10726">
      <c r="R10726" s="100"/>
      <c r="V10726" s="100"/>
      <c r="Y10726" s="100"/>
    </row>
    <row r="10727">
      <c r="R10727" s="100"/>
      <c r="V10727" s="100"/>
      <c r="Y10727" s="100"/>
    </row>
    <row r="10728">
      <c r="R10728" s="100"/>
      <c r="V10728" s="100"/>
      <c r="Y10728" s="100"/>
    </row>
    <row r="10729">
      <c r="R10729" s="100"/>
      <c r="V10729" s="100"/>
      <c r="Y10729" s="100"/>
    </row>
    <row r="10730">
      <c r="R10730" s="100"/>
      <c r="V10730" s="100"/>
      <c r="Y10730" s="100"/>
    </row>
    <row r="10731">
      <c r="R10731" s="100"/>
      <c r="V10731" s="100"/>
      <c r="Y10731" s="100"/>
    </row>
    <row r="10732">
      <c r="R10732" s="100"/>
      <c r="V10732" s="100"/>
      <c r="Y10732" s="100"/>
    </row>
    <row r="10733">
      <c r="R10733" s="100"/>
      <c r="V10733" s="100"/>
      <c r="Y10733" s="100"/>
    </row>
    <row r="10734">
      <c r="R10734" s="100"/>
      <c r="V10734" s="100"/>
      <c r="Y10734" s="100"/>
    </row>
    <row r="10735">
      <c r="R10735" s="100"/>
      <c r="V10735" s="100"/>
      <c r="Y10735" s="100"/>
    </row>
    <row r="10736">
      <c r="R10736" s="100"/>
      <c r="V10736" s="100"/>
      <c r="Y10736" s="100"/>
    </row>
    <row r="10737">
      <c r="R10737" s="100"/>
      <c r="V10737" s="100"/>
      <c r="Y10737" s="100"/>
    </row>
    <row r="10738">
      <c r="R10738" s="100"/>
      <c r="V10738" s="100"/>
      <c r="Y10738" s="100"/>
    </row>
    <row r="10739">
      <c r="R10739" s="100"/>
      <c r="V10739" s="100"/>
      <c r="Y10739" s="100"/>
    </row>
    <row r="10740">
      <c r="R10740" s="100"/>
      <c r="V10740" s="100"/>
      <c r="Y10740" s="100"/>
    </row>
    <row r="10741">
      <c r="R10741" s="100"/>
      <c r="V10741" s="100"/>
      <c r="Y10741" s="100"/>
    </row>
    <row r="10742">
      <c r="R10742" s="100"/>
      <c r="V10742" s="100"/>
      <c r="Y10742" s="100"/>
    </row>
    <row r="10743">
      <c r="R10743" s="100"/>
      <c r="V10743" s="100"/>
      <c r="Y10743" s="100"/>
    </row>
    <row r="10744">
      <c r="R10744" s="100"/>
      <c r="V10744" s="100"/>
      <c r="Y10744" s="100"/>
    </row>
    <row r="10745">
      <c r="R10745" s="100"/>
      <c r="V10745" s="100"/>
      <c r="Y10745" s="100"/>
    </row>
    <row r="10746">
      <c r="R10746" s="100"/>
      <c r="V10746" s="100"/>
      <c r="Y10746" s="100"/>
    </row>
    <row r="10747">
      <c r="R10747" s="100"/>
      <c r="V10747" s="100"/>
      <c r="Y10747" s="100"/>
    </row>
    <row r="10748">
      <c r="R10748" s="100"/>
      <c r="V10748" s="100"/>
      <c r="Y10748" s="100"/>
    </row>
    <row r="10749">
      <c r="R10749" s="100"/>
      <c r="V10749" s="100"/>
      <c r="Y10749" s="100"/>
    </row>
    <row r="10750">
      <c r="R10750" s="100"/>
      <c r="V10750" s="100"/>
      <c r="Y10750" s="100"/>
    </row>
    <row r="10751">
      <c r="R10751" s="100"/>
      <c r="V10751" s="100"/>
      <c r="Y10751" s="100"/>
    </row>
    <row r="10752">
      <c r="R10752" s="100"/>
      <c r="V10752" s="100"/>
      <c r="Y10752" s="100"/>
    </row>
    <row r="10753">
      <c r="R10753" s="100"/>
      <c r="V10753" s="100"/>
      <c r="Y10753" s="100"/>
    </row>
    <row r="10754">
      <c r="R10754" s="100"/>
      <c r="V10754" s="100"/>
      <c r="Y10754" s="100"/>
    </row>
    <row r="10755">
      <c r="R10755" s="100"/>
      <c r="V10755" s="100"/>
      <c r="Y10755" s="100"/>
    </row>
    <row r="10756">
      <c r="R10756" s="100"/>
      <c r="V10756" s="100"/>
      <c r="Y10756" s="100"/>
    </row>
    <row r="10757">
      <c r="R10757" s="100"/>
      <c r="V10757" s="100"/>
      <c r="Y10757" s="100"/>
    </row>
    <row r="10758">
      <c r="R10758" s="100"/>
      <c r="V10758" s="100"/>
      <c r="Y10758" s="100"/>
    </row>
    <row r="10759">
      <c r="R10759" s="100"/>
      <c r="V10759" s="100"/>
      <c r="Y10759" s="100"/>
    </row>
    <row r="10760">
      <c r="R10760" s="100"/>
      <c r="V10760" s="100"/>
      <c r="Y10760" s="100"/>
    </row>
    <row r="10761">
      <c r="R10761" s="100"/>
      <c r="V10761" s="100"/>
      <c r="Y10761" s="100"/>
    </row>
    <row r="10762">
      <c r="R10762" s="100"/>
      <c r="V10762" s="100"/>
      <c r="Y10762" s="100"/>
    </row>
    <row r="10763">
      <c r="R10763" s="100"/>
      <c r="V10763" s="100"/>
      <c r="Y10763" s="100"/>
    </row>
    <row r="10764">
      <c r="R10764" s="100"/>
      <c r="V10764" s="100"/>
      <c r="Y10764" s="100"/>
    </row>
    <row r="10765">
      <c r="R10765" s="100"/>
      <c r="V10765" s="100"/>
      <c r="Y10765" s="100"/>
    </row>
    <row r="10766">
      <c r="R10766" s="100"/>
      <c r="V10766" s="100"/>
      <c r="Y10766" s="100"/>
    </row>
    <row r="10767">
      <c r="R10767" s="100"/>
      <c r="V10767" s="100"/>
      <c r="Y10767" s="100"/>
    </row>
    <row r="10768">
      <c r="R10768" s="100"/>
      <c r="V10768" s="100"/>
      <c r="Y10768" s="100"/>
    </row>
    <row r="10769">
      <c r="R10769" s="100"/>
      <c r="V10769" s="100"/>
      <c r="Y10769" s="100"/>
    </row>
    <row r="10770">
      <c r="R10770" s="100"/>
      <c r="V10770" s="100"/>
      <c r="Y10770" s="100"/>
    </row>
    <row r="10771">
      <c r="R10771" s="100"/>
      <c r="V10771" s="100"/>
      <c r="Y10771" s="100"/>
    </row>
    <row r="10772">
      <c r="R10772" s="100"/>
      <c r="V10772" s="100"/>
      <c r="Y10772" s="100"/>
    </row>
    <row r="10773">
      <c r="R10773" s="100"/>
      <c r="V10773" s="100"/>
      <c r="Y10773" s="100"/>
    </row>
    <row r="10774">
      <c r="R10774" s="100"/>
      <c r="V10774" s="100"/>
      <c r="Y10774" s="100"/>
    </row>
    <row r="10775">
      <c r="R10775" s="100"/>
      <c r="V10775" s="100"/>
      <c r="Y10775" s="100"/>
    </row>
    <row r="10776">
      <c r="R10776" s="100"/>
      <c r="V10776" s="100"/>
      <c r="Y10776" s="100"/>
    </row>
    <row r="10777">
      <c r="R10777" s="100"/>
      <c r="V10777" s="100"/>
      <c r="Y10777" s="100"/>
    </row>
    <row r="10778">
      <c r="R10778" s="100"/>
      <c r="V10778" s="100"/>
      <c r="Y10778" s="100"/>
    </row>
    <row r="10779">
      <c r="R10779" s="100"/>
      <c r="V10779" s="100"/>
      <c r="Y10779" s="100"/>
    </row>
    <row r="10780">
      <c r="R10780" s="100"/>
      <c r="V10780" s="100"/>
      <c r="Y10780" s="100"/>
    </row>
    <row r="10781">
      <c r="R10781" s="100"/>
      <c r="V10781" s="100"/>
      <c r="Y10781" s="100"/>
    </row>
    <row r="10782">
      <c r="R10782" s="100"/>
      <c r="V10782" s="100"/>
      <c r="Y10782" s="100"/>
    </row>
    <row r="10783">
      <c r="R10783" s="100"/>
      <c r="V10783" s="100"/>
      <c r="Y10783" s="100"/>
    </row>
    <row r="10784">
      <c r="R10784" s="100"/>
      <c r="V10784" s="100"/>
      <c r="Y10784" s="100"/>
    </row>
    <row r="10785">
      <c r="R10785" s="100"/>
      <c r="V10785" s="100"/>
      <c r="Y10785" s="100"/>
    </row>
    <row r="10786">
      <c r="R10786" s="100"/>
      <c r="V10786" s="100"/>
      <c r="Y10786" s="100"/>
    </row>
    <row r="10787">
      <c r="R10787" s="100"/>
      <c r="V10787" s="100"/>
      <c r="Y10787" s="100"/>
    </row>
    <row r="10788">
      <c r="R10788" s="100"/>
      <c r="V10788" s="100"/>
      <c r="Y10788" s="100"/>
    </row>
    <row r="10789">
      <c r="R10789" s="100"/>
      <c r="V10789" s="100"/>
      <c r="Y10789" s="100"/>
    </row>
    <row r="10790">
      <c r="R10790" s="100"/>
      <c r="V10790" s="100"/>
      <c r="Y10790" s="100"/>
    </row>
    <row r="10791">
      <c r="R10791" s="100"/>
      <c r="V10791" s="100"/>
      <c r="Y10791" s="100"/>
    </row>
    <row r="10792">
      <c r="R10792" s="100"/>
      <c r="V10792" s="100"/>
      <c r="Y10792" s="100"/>
    </row>
    <row r="10793">
      <c r="R10793" s="100"/>
      <c r="V10793" s="100"/>
      <c r="Y10793" s="100"/>
    </row>
    <row r="10794">
      <c r="R10794" s="100"/>
      <c r="V10794" s="100"/>
      <c r="Y10794" s="100"/>
    </row>
    <row r="10795">
      <c r="R10795" s="100"/>
      <c r="V10795" s="100"/>
      <c r="Y10795" s="100"/>
    </row>
    <row r="10796">
      <c r="R10796" s="100"/>
      <c r="V10796" s="100"/>
      <c r="Y10796" s="100"/>
    </row>
    <row r="10797">
      <c r="R10797" s="100"/>
      <c r="V10797" s="100"/>
      <c r="Y10797" s="100"/>
    </row>
    <row r="10798">
      <c r="R10798" s="100"/>
      <c r="V10798" s="100"/>
      <c r="Y10798" s="100"/>
    </row>
    <row r="10799">
      <c r="R10799" s="100"/>
      <c r="V10799" s="100"/>
      <c r="Y10799" s="100"/>
    </row>
    <row r="10800">
      <c r="R10800" s="100"/>
      <c r="V10800" s="100"/>
      <c r="Y10800" s="100"/>
    </row>
    <row r="10801">
      <c r="R10801" s="100"/>
      <c r="V10801" s="100"/>
      <c r="Y10801" s="100"/>
    </row>
    <row r="10802">
      <c r="R10802" s="100"/>
      <c r="V10802" s="100"/>
      <c r="Y10802" s="100"/>
    </row>
    <row r="10803">
      <c r="R10803" s="100"/>
      <c r="V10803" s="100"/>
      <c r="Y10803" s="100"/>
    </row>
    <row r="10804">
      <c r="R10804" s="100"/>
      <c r="V10804" s="100"/>
      <c r="Y10804" s="100"/>
    </row>
    <row r="10805">
      <c r="R10805" s="100"/>
      <c r="V10805" s="100"/>
      <c r="Y10805" s="100"/>
    </row>
    <row r="10806">
      <c r="R10806" s="100"/>
      <c r="V10806" s="100"/>
      <c r="Y10806" s="100"/>
    </row>
    <row r="10807">
      <c r="R10807" s="100"/>
      <c r="V10807" s="100"/>
      <c r="Y10807" s="100"/>
    </row>
    <row r="10808">
      <c r="R10808" s="100"/>
      <c r="V10808" s="100"/>
      <c r="Y10808" s="100"/>
    </row>
    <row r="10809">
      <c r="R10809" s="100"/>
      <c r="V10809" s="100"/>
      <c r="Y10809" s="100"/>
    </row>
    <row r="10810">
      <c r="R10810" s="100"/>
      <c r="V10810" s="100"/>
      <c r="Y10810" s="100"/>
    </row>
    <row r="10811">
      <c r="R10811" s="100"/>
      <c r="V10811" s="100"/>
      <c r="Y10811" s="100"/>
    </row>
    <row r="10812">
      <c r="R10812" s="100"/>
      <c r="V10812" s="100"/>
      <c r="Y10812" s="100"/>
    </row>
    <row r="10813">
      <c r="R10813" s="100"/>
      <c r="V10813" s="100"/>
      <c r="Y10813" s="100"/>
    </row>
    <row r="10814">
      <c r="R10814" s="100"/>
      <c r="V10814" s="100"/>
      <c r="Y10814" s="100"/>
    </row>
    <row r="10815">
      <c r="R10815" s="100"/>
      <c r="V10815" s="100"/>
      <c r="Y10815" s="100"/>
    </row>
    <row r="10816">
      <c r="R10816" s="100"/>
      <c r="V10816" s="100"/>
      <c r="Y10816" s="100"/>
    </row>
    <row r="10817">
      <c r="R10817" s="100"/>
      <c r="V10817" s="100"/>
      <c r="Y10817" s="100"/>
    </row>
    <row r="10818">
      <c r="R10818" s="100"/>
      <c r="V10818" s="100"/>
      <c r="Y10818" s="100"/>
    </row>
    <row r="10819">
      <c r="R10819" s="100"/>
      <c r="V10819" s="100"/>
      <c r="Y10819" s="100"/>
    </row>
    <row r="10820">
      <c r="R10820" s="100"/>
      <c r="V10820" s="100"/>
      <c r="Y10820" s="100"/>
    </row>
    <row r="10821">
      <c r="R10821" s="100"/>
      <c r="V10821" s="100"/>
      <c r="Y10821" s="100"/>
    </row>
    <row r="10822">
      <c r="R10822" s="100"/>
      <c r="V10822" s="100"/>
      <c r="Y10822" s="100"/>
    </row>
    <row r="10823">
      <c r="R10823" s="100"/>
      <c r="V10823" s="100"/>
      <c r="Y10823" s="100"/>
    </row>
    <row r="10824">
      <c r="R10824" s="100"/>
      <c r="V10824" s="100"/>
      <c r="Y10824" s="100"/>
    </row>
    <row r="10825">
      <c r="R10825" s="100"/>
      <c r="V10825" s="100"/>
      <c r="Y10825" s="100"/>
    </row>
    <row r="10826">
      <c r="R10826" s="100"/>
      <c r="V10826" s="100"/>
      <c r="Y10826" s="100"/>
    </row>
    <row r="10827">
      <c r="R10827" s="100"/>
      <c r="V10827" s="100"/>
      <c r="Y10827" s="100"/>
    </row>
    <row r="10828">
      <c r="R10828" s="100"/>
      <c r="V10828" s="100"/>
      <c r="Y10828" s="100"/>
    </row>
    <row r="10829">
      <c r="R10829" s="100"/>
      <c r="V10829" s="100"/>
      <c r="Y10829" s="100"/>
    </row>
    <row r="10830">
      <c r="R10830" s="100"/>
      <c r="V10830" s="100"/>
      <c r="Y10830" s="100"/>
    </row>
    <row r="10831">
      <c r="R10831" s="100"/>
      <c r="V10831" s="100"/>
      <c r="Y10831" s="100"/>
    </row>
    <row r="10832">
      <c r="R10832" s="100"/>
      <c r="V10832" s="100"/>
      <c r="Y10832" s="100"/>
    </row>
    <row r="10833">
      <c r="R10833" s="100"/>
      <c r="V10833" s="100"/>
      <c r="Y10833" s="100"/>
    </row>
    <row r="10834">
      <c r="R10834" s="100"/>
      <c r="V10834" s="100"/>
      <c r="Y10834" s="100"/>
    </row>
    <row r="10835">
      <c r="R10835" s="100"/>
      <c r="V10835" s="100"/>
      <c r="Y10835" s="100"/>
    </row>
    <row r="10836">
      <c r="R10836" s="100"/>
      <c r="V10836" s="100"/>
      <c r="Y10836" s="100"/>
    </row>
    <row r="10837">
      <c r="R10837" s="100"/>
      <c r="V10837" s="100"/>
      <c r="Y10837" s="100"/>
    </row>
    <row r="10838">
      <c r="R10838" s="100"/>
      <c r="V10838" s="100"/>
      <c r="Y10838" s="100"/>
    </row>
    <row r="10839">
      <c r="R10839" s="100"/>
      <c r="V10839" s="100"/>
      <c r="Y10839" s="100"/>
    </row>
    <row r="10840">
      <c r="R10840" s="100"/>
      <c r="V10840" s="100"/>
      <c r="Y10840" s="100"/>
    </row>
    <row r="10841">
      <c r="R10841" s="100"/>
      <c r="V10841" s="100"/>
      <c r="Y10841" s="100"/>
    </row>
    <row r="10842">
      <c r="R10842" s="100"/>
      <c r="V10842" s="100"/>
      <c r="Y10842" s="100"/>
    </row>
    <row r="10843">
      <c r="R10843" s="100"/>
      <c r="V10843" s="100"/>
      <c r="Y10843" s="100"/>
    </row>
    <row r="10844">
      <c r="R10844" s="100"/>
      <c r="V10844" s="100"/>
      <c r="Y10844" s="100"/>
    </row>
    <row r="10845">
      <c r="R10845" s="100"/>
      <c r="V10845" s="100"/>
      <c r="Y10845" s="100"/>
    </row>
    <row r="10846">
      <c r="R10846" s="100"/>
      <c r="V10846" s="100"/>
      <c r="Y10846" s="100"/>
    </row>
    <row r="10847">
      <c r="R10847" s="100"/>
      <c r="V10847" s="100"/>
      <c r="Y10847" s="100"/>
    </row>
    <row r="10848">
      <c r="R10848" s="100"/>
      <c r="V10848" s="100"/>
      <c r="Y10848" s="100"/>
    </row>
    <row r="10849">
      <c r="R10849" s="100"/>
      <c r="V10849" s="100"/>
      <c r="Y10849" s="100"/>
    </row>
    <row r="10850">
      <c r="R10850" s="100"/>
      <c r="V10850" s="100"/>
      <c r="Y10850" s="100"/>
    </row>
    <row r="10851">
      <c r="R10851" s="100"/>
      <c r="V10851" s="100"/>
      <c r="Y10851" s="100"/>
    </row>
    <row r="10852">
      <c r="R10852" s="100"/>
      <c r="V10852" s="100"/>
      <c r="Y10852" s="100"/>
    </row>
    <row r="10853">
      <c r="R10853" s="100"/>
      <c r="V10853" s="100"/>
      <c r="Y10853" s="100"/>
    </row>
    <row r="10854">
      <c r="R10854" s="100"/>
      <c r="V10854" s="100"/>
      <c r="Y10854" s="100"/>
    </row>
    <row r="10855">
      <c r="R10855" s="100"/>
      <c r="V10855" s="100"/>
      <c r="Y10855" s="100"/>
    </row>
    <row r="10856">
      <c r="R10856" s="100"/>
      <c r="V10856" s="100"/>
      <c r="Y10856" s="100"/>
    </row>
    <row r="10857">
      <c r="R10857" s="100"/>
      <c r="V10857" s="100"/>
      <c r="Y10857" s="100"/>
    </row>
    <row r="10858">
      <c r="R10858" s="100"/>
      <c r="V10858" s="100"/>
      <c r="Y10858" s="100"/>
    </row>
    <row r="10859">
      <c r="R10859" s="100"/>
      <c r="V10859" s="100"/>
      <c r="Y10859" s="100"/>
    </row>
    <row r="10860">
      <c r="R10860" s="100"/>
      <c r="V10860" s="100"/>
      <c r="Y10860" s="100"/>
    </row>
    <row r="10861">
      <c r="R10861" s="100"/>
      <c r="V10861" s="100"/>
      <c r="Y10861" s="100"/>
    </row>
    <row r="10862">
      <c r="R10862" s="100"/>
      <c r="V10862" s="100"/>
      <c r="Y10862" s="100"/>
    </row>
    <row r="10863">
      <c r="R10863" s="100"/>
      <c r="V10863" s="100"/>
      <c r="Y10863" s="100"/>
    </row>
    <row r="10864">
      <c r="R10864" s="100"/>
      <c r="V10864" s="100"/>
      <c r="Y10864" s="100"/>
    </row>
    <row r="10865">
      <c r="R10865" s="100"/>
      <c r="V10865" s="100"/>
      <c r="Y10865" s="100"/>
    </row>
    <row r="10866">
      <c r="R10866" s="100"/>
      <c r="V10866" s="100"/>
      <c r="Y10866" s="100"/>
    </row>
    <row r="10867">
      <c r="R10867" s="100"/>
      <c r="V10867" s="100"/>
      <c r="Y10867" s="100"/>
    </row>
    <row r="10868">
      <c r="R10868" s="100"/>
      <c r="V10868" s="100"/>
      <c r="Y10868" s="100"/>
    </row>
    <row r="10869">
      <c r="R10869" s="100"/>
      <c r="V10869" s="100"/>
      <c r="Y10869" s="100"/>
    </row>
    <row r="10870">
      <c r="R10870" s="100"/>
      <c r="V10870" s="100"/>
      <c r="Y10870" s="100"/>
    </row>
    <row r="10871">
      <c r="R10871" s="100"/>
      <c r="V10871" s="100"/>
      <c r="Y10871" s="100"/>
    </row>
    <row r="10872">
      <c r="R10872" s="100"/>
      <c r="V10872" s="100"/>
      <c r="Y10872" s="100"/>
    </row>
    <row r="10873">
      <c r="R10873" s="100"/>
      <c r="V10873" s="100"/>
      <c r="Y10873" s="100"/>
    </row>
    <row r="10874">
      <c r="R10874" s="100"/>
      <c r="V10874" s="100"/>
      <c r="Y10874" s="100"/>
    </row>
    <row r="10875">
      <c r="R10875" s="100"/>
      <c r="V10875" s="100"/>
      <c r="Y10875" s="100"/>
    </row>
    <row r="10876">
      <c r="R10876" s="100"/>
      <c r="V10876" s="100"/>
      <c r="Y10876" s="100"/>
    </row>
    <row r="10877">
      <c r="R10877" s="100"/>
      <c r="V10877" s="100"/>
      <c r="Y10877" s="100"/>
    </row>
    <row r="10878">
      <c r="R10878" s="100"/>
      <c r="V10878" s="100"/>
      <c r="Y10878" s="100"/>
    </row>
    <row r="10879">
      <c r="R10879" s="100"/>
      <c r="V10879" s="100"/>
      <c r="Y10879" s="100"/>
    </row>
    <row r="10880">
      <c r="R10880" s="100"/>
      <c r="V10880" s="100"/>
      <c r="Y10880" s="100"/>
    </row>
    <row r="10881">
      <c r="R10881" s="100"/>
      <c r="V10881" s="100"/>
      <c r="Y10881" s="100"/>
    </row>
    <row r="10882">
      <c r="R10882" s="100"/>
      <c r="V10882" s="100"/>
      <c r="Y10882" s="100"/>
    </row>
    <row r="10883">
      <c r="R10883" s="100"/>
      <c r="V10883" s="100"/>
      <c r="Y10883" s="100"/>
    </row>
    <row r="10884">
      <c r="R10884" s="100"/>
      <c r="V10884" s="100"/>
      <c r="Y10884" s="100"/>
    </row>
    <row r="10885">
      <c r="R10885" s="100"/>
      <c r="V10885" s="100"/>
      <c r="Y10885" s="100"/>
    </row>
    <row r="10886">
      <c r="R10886" s="100"/>
      <c r="V10886" s="100"/>
      <c r="Y10886" s="100"/>
    </row>
    <row r="10887">
      <c r="R10887" s="100"/>
      <c r="V10887" s="100"/>
      <c r="Y10887" s="100"/>
    </row>
    <row r="10888">
      <c r="R10888" s="100"/>
      <c r="V10888" s="100"/>
      <c r="Y10888" s="100"/>
    </row>
    <row r="10889">
      <c r="R10889" s="100"/>
      <c r="V10889" s="100"/>
      <c r="Y10889" s="100"/>
    </row>
    <row r="10890">
      <c r="R10890" s="100"/>
      <c r="V10890" s="100"/>
      <c r="Y10890" s="100"/>
    </row>
    <row r="10891">
      <c r="R10891" s="100"/>
      <c r="V10891" s="100"/>
      <c r="Y10891" s="100"/>
    </row>
    <row r="10892">
      <c r="R10892" s="100"/>
      <c r="V10892" s="100"/>
      <c r="Y10892" s="100"/>
    </row>
    <row r="10893">
      <c r="R10893" s="100"/>
      <c r="V10893" s="100"/>
      <c r="Y10893" s="100"/>
    </row>
    <row r="10894">
      <c r="R10894" s="100"/>
      <c r="V10894" s="100"/>
      <c r="Y10894" s="100"/>
    </row>
    <row r="10895">
      <c r="R10895" s="100"/>
      <c r="V10895" s="100"/>
      <c r="Y10895" s="100"/>
    </row>
    <row r="10896">
      <c r="R10896" s="100"/>
      <c r="V10896" s="100"/>
      <c r="Y10896" s="100"/>
    </row>
    <row r="10897">
      <c r="R10897" s="100"/>
      <c r="V10897" s="100"/>
      <c r="Y10897" s="100"/>
    </row>
    <row r="10898">
      <c r="R10898" s="100"/>
      <c r="V10898" s="100"/>
      <c r="Y10898" s="100"/>
    </row>
    <row r="10899">
      <c r="R10899" s="100"/>
      <c r="V10899" s="100"/>
      <c r="Y10899" s="100"/>
    </row>
    <row r="10900">
      <c r="R10900" s="100"/>
      <c r="V10900" s="100"/>
      <c r="Y10900" s="100"/>
    </row>
    <row r="10901">
      <c r="R10901" s="100"/>
      <c r="V10901" s="100"/>
      <c r="Y10901" s="100"/>
    </row>
    <row r="10902">
      <c r="R10902" s="100"/>
      <c r="V10902" s="100"/>
      <c r="Y10902" s="100"/>
    </row>
    <row r="10903">
      <c r="R10903" s="100"/>
      <c r="V10903" s="100"/>
      <c r="Y10903" s="100"/>
    </row>
    <row r="10904">
      <c r="R10904" s="100"/>
      <c r="V10904" s="100"/>
      <c r="Y10904" s="100"/>
    </row>
    <row r="10905">
      <c r="R10905" s="100"/>
      <c r="V10905" s="100"/>
      <c r="Y10905" s="100"/>
    </row>
    <row r="10906">
      <c r="R10906" s="100"/>
      <c r="V10906" s="100"/>
      <c r="Y10906" s="100"/>
    </row>
    <row r="10907">
      <c r="R10907" s="100"/>
      <c r="V10907" s="100"/>
      <c r="Y10907" s="100"/>
    </row>
    <row r="10908">
      <c r="R10908" s="100"/>
      <c r="V10908" s="100"/>
      <c r="Y10908" s="100"/>
    </row>
    <row r="10909">
      <c r="R10909" s="100"/>
      <c r="V10909" s="100"/>
      <c r="Y10909" s="100"/>
    </row>
    <row r="10910">
      <c r="R10910" s="100"/>
      <c r="V10910" s="100"/>
      <c r="Y10910" s="100"/>
    </row>
    <row r="10911">
      <c r="R10911" s="100"/>
      <c r="V10911" s="100"/>
      <c r="Y10911" s="100"/>
    </row>
    <row r="10912">
      <c r="R10912" s="100"/>
      <c r="V10912" s="100"/>
      <c r="Y10912" s="100"/>
    </row>
    <row r="10913">
      <c r="R10913" s="100"/>
      <c r="V10913" s="100"/>
      <c r="Y10913" s="100"/>
    </row>
    <row r="10914">
      <c r="R10914" s="100"/>
      <c r="V10914" s="100"/>
      <c r="Y10914" s="100"/>
    </row>
    <row r="10915">
      <c r="R10915" s="100"/>
      <c r="V10915" s="100"/>
      <c r="Y10915" s="100"/>
    </row>
    <row r="10916">
      <c r="R10916" s="100"/>
      <c r="V10916" s="100"/>
      <c r="Y10916" s="100"/>
    </row>
    <row r="10917">
      <c r="R10917" s="100"/>
      <c r="V10917" s="100"/>
      <c r="Y10917" s="100"/>
    </row>
    <row r="10918">
      <c r="R10918" s="100"/>
      <c r="V10918" s="100"/>
      <c r="Y10918" s="100"/>
    </row>
    <row r="10919">
      <c r="R10919" s="100"/>
      <c r="V10919" s="100"/>
      <c r="Y10919" s="100"/>
    </row>
    <row r="10920">
      <c r="R10920" s="100"/>
      <c r="V10920" s="100"/>
      <c r="Y10920" s="100"/>
    </row>
    <row r="10921">
      <c r="R10921" s="100"/>
      <c r="V10921" s="100"/>
      <c r="Y10921" s="100"/>
    </row>
    <row r="10922">
      <c r="R10922" s="100"/>
      <c r="V10922" s="100"/>
      <c r="Y10922" s="100"/>
    </row>
    <row r="10923">
      <c r="R10923" s="100"/>
      <c r="V10923" s="100"/>
      <c r="Y10923" s="100"/>
    </row>
    <row r="10924">
      <c r="R10924" s="100"/>
      <c r="V10924" s="100"/>
      <c r="Y10924" s="100"/>
    </row>
    <row r="10925">
      <c r="R10925" s="100"/>
      <c r="V10925" s="100"/>
      <c r="Y10925" s="100"/>
    </row>
    <row r="10926">
      <c r="R10926" s="100"/>
      <c r="V10926" s="100"/>
      <c r="Y10926" s="100"/>
    </row>
    <row r="10927">
      <c r="R10927" s="100"/>
      <c r="V10927" s="100"/>
      <c r="Y10927" s="100"/>
    </row>
    <row r="10928">
      <c r="R10928" s="100"/>
      <c r="V10928" s="100"/>
      <c r="Y10928" s="100"/>
    </row>
    <row r="10929">
      <c r="R10929" s="100"/>
      <c r="V10929" s="100"/>
      <c r="Y10929" s="100"/>
    </row>
    <row r="10930">
      <c r="R10930" s="100"/>
      <c r="V10930" s="100"/>
      <c r="Y10930" s="100"/>
    </row>
    <row r="10931">
      <c r="R10931" s="100"/>
      <c r="V10931" s="100"/>
      <c r="Y10931" s="100"/>
    </row>
    <row r="10932">
      <c r="R10932" s="100"/>
      <c r="V10932" s="100"/>
      <c r="Y10932" s="100"/>
    </row>
    <row r="10933">
      <c r="R10933" s="100"/>
      <c r="V10933" s="100"/>
      <c r="Y10933" s="100"/>
    </row>
    <row r="10934">
      <c r="R10934" s="100"/>
      <c r="V10934" s="100"/>
      <c r="Y10934" s="100"/>
    </row>
    <row r="10935">
      <c r="R10935" s="100"/>
      <c r="V10935" s="100"/>
      <c r="Y10935" s="100"/>
    </row>
    <row r="10936">
      <c r="R10936" s="100"/>
      <c r="V10936" s="100"/>
      <c r="Y10936" s="100"/>
    </row>
    <row r="10937">
      <c r="R10937" s="100"/>
      <c r="V10937" s="100"/>
      <c r="Y10937" s="100"/>
    </row>
    <row r="10938">
      <c r="R10938" s="100"/>
      <c r="V10938" s="100"/>
      <c r="Y10938" s="100"/>
    </row>
    <row r="10939">
      <c r="R10939" s="100"/>
      <c r="V10939" s="100"/>
      <c r="Y10939" s="100"/>
    </row>
    <row r="10940">
      <c r="R10940" s="100"/>
      <c r="V10940" s="100"/>
      <c r="Y10940" s="100"/>
    </row>
    <row r="10941">
      <c r="R10941" s="100"/>
      <c r="V10941" s="100"/>
      <c r="Y10941" s="100"/>
    </row>
    <row r="10942">
      <c r="R10942" s="100"/>
      <c r="V10942" s="100"/>
      <c r="Y10942" s="100"/>
    </row>
    <row r="10943">
      <c r="R10943" s="100"/>
      <c r="V10943" s="100"/>
      <c r="Y10943" s="100"/>
    </row>
    <row r="10944">
      <c r="R10944" s="100"/>
      <c r="V10944" s="100"/>
      <c r="Y10944" s="100"/>
    </row>
    <row r="10945">
      <c r="R10945" s="100"/>
      <c r="V10945" s="100"/>
      <c r="Y10945" s="100"/>
    </row>
    <row r="10946">
      <c r="R10946" s="100"/>
      <c r="V10946" s="100"/>
      <c r="Y10946" s="100"/>
    </row>
    <row r="10947">
      <c r="R10947" s="100"/>
      <c r="V10947" s="100"/>
      <c r="Y10947" s="100"/>
    </row>
    <row r="10948">
      <c r="R10948" s="100"/>
      <c r="V10948" s="100"/>
      <c r="Y10948" s="100"/>
    </row>
    <row r="10949">
      <c r="R10949" s="100"/>
      <c r="V10949" s="100"/>
      <c r="Y10949" s="100"/>
    </row>
    <row r="10950">
      <c r="R10950" s="100"/>
      <c r="V10950" s="100"/>
      <c r="Y10950" s="100"/>
    </row>
    <row r="10951">
      <c r="R10951" s="100"/>
      <c r="V10951" s="100"/>
      <c r="Y10951" s="100"/>
    </row>
    <row r="10952">
      <c r="R10952" s="100"/>
      <c r="V10952" s="100"/>
      <c r="Y10952" s="100"/>
    </row>
    <row r="10953">
      <c r="R10953" s="100"/>
      <c r="V10953" s="100"/>
      <c r="Y10953" s="100"/>
    </row>
    <row r="10954">
      <c r="R10954" s="100"/>
      <c r="V10954" s="100"/>
      <c r="Y10954" s="100"/>
    </row>
    <row r="10955">
      <c r="R10955" s="100"/>
      <c r="V10955" s="100"/>
      <c r="Y10955" s="100"/>
    </row>
    <row r="10956">
      <c r="R10956" s="100"/>
      <c r="V10956" s="100"/>
      <c r="Y10956" s="100"/>
    </row>
    <row r="10957">
      <c r="R10957" s="100"/>
      <c r="V10957" s="100"/>
      <c r="Y10957" s="100"/>
    </row>
    <row r="10958">
      <c r="R10958" s="100"/>
      <c r="V10958" s="100"/>
      <c r="Y10958" s="100"/>
    </row>
    <row r="10959">
      <c r="R10959" s="100"/>
      <c r="V10959" s="100"/>
      <c r="Y10959" s="100"/>
    </row>
    <row r="10960">
      <c r="R10960" s="100"/>
      <c r="V10960" s="100"/>
      <c r="Y10960" s="100"/>
    </row>
    <row r="10961">
      <c r="R10961" s="100"/>
      <c r="V10961" s="100"/>
      <c r="Y10961" s="100"/>
    </row>
    <row r="10962">
      <c r="R10962" s="100"/>
      <c r="V10962" s="100"/>
      <c r="Y10962" s="100"/>
    </row>
    <row r="10963">
      <c r="R10963" s="100"/>
      <c r="V10963" s="100"/>
      <c r="Y10963" s="100"/>
    </row>
    <row r="10964">
      <c r="R10964" s="100"/>
      <c r="V10964" s="100"/>
      <c r="Y10964" s="100"/>
    </row>
    <row r="10965">
      <c r="R10965" s="100"/>
      <c r="V10965" s="100"/>
      <c r="Y10965" s="100"/>
    </row>
    <row r="10966">
      <c r="R10966" s="100"/>
      <c r="V10966" s="100"/>
      <c r="Y10966" s="100"/>
    </row>
    <row r="10967">
      <c r="R10967" s="100"/>
      <c r="V10967" s="100"/>
      <c r="Y10967" s="100"/>
    </row>
    <row r="10968">
      <c r="R10968" s="100"/>
      <c r="V10968" s="100"/>
      <c r="Y10968" s="100"/>
    </row>
    <row r="10969">
      <c r="R10969" s="100"/>
      <c r="V10969" s="100"/>
      <c r="Y10969" s="100"/>
    </row>
    <row r="10970">
      <c r="R10970" s="100"/>
      <c r="V10970" s="100"/>
      <c r="Y10970" s="100"/>
    </row>
    <row r="10971">
      <c r="R10971" s="100"/>
      <c r="V10971" s="100"/>
      <c r="Y10971" s="100"/>
    </row>
    <row r="10972">
      <c r="R10972" s="100"/>
      <c r="V10972" s="100"/>
      <c r="Y10972" s="100"/>
    </row>
    <row r="10973">
      <c r="R10973" s="100"/>
      <c r="V10973" s="100"/>
      <c r="Y10973" s="100"/>
    </row>
    <row r="10974">
      <c r="R10974" s="100"/>
      <c r="V10974" s="100"/>
      <c r="Y10974" s="100"/>
    </row>
    <row r="10975">
      <c r="R10975" s="100"/>
      <c r="V10975" s="100"/>
      <c r="Y10975" s="100"/>
    </row>
    <row r="10976">
      <c r="R10976" s="100"/>
      <c r="V10976" s="100"/>
      <c r="Y10976" s="100"/>
    </row>
    <row r="10977">
      <c r="R10977" s="100"/>
      <c r="V10977" s="100"/>
      <c r="Y10977" s="100"/>
    </row>
    <row r="10978">
      <c r="R10978" s="100"/>
      <c r="V10978" s="100"/>
      <c r="Y10978" s="100"/>
    </row>
    <row r="10979">
      <c r="R10979" s="100"/>
      <c r="V10979" s="100"/>
      <c r="Y10979" s="100"/>
    </row>
    <row r="10980">
      <c r="R10980" s="100"/>
      <c r="V10980" s="100"/>
      <c r="Y10980" s="100"/>
    </row>
    <row r="10981">
      <c r="R10981" s="100"/>
      <c r="V10981" s="100"/>
      <c r="Y10981" s="100"/>
    </row>
    <row r="10982">
      <c r="R10982" s="100"/>
      <c r="V10982" s="100"/>
      <c r="Y10982" s="100"/>
    </row>
    <row r="10983">
      <c r="R10983" s="100"/>
      <c r="V10983" s="100"/>
      <c r="Y10983" s="100"/>
    </row>
    <row r="10984">
      <c r="R10984" s="100"/>
      <c r="V10984" s="100"/>
      <c r="Y10984" s="100"/>
    </row>
    <row r="10985">
      <c r="R10985" s="100"/>
      <c r="V10985" s="100"/>
      <c r="Y10985" s="100"/>
    </row>
    <row r="10986">
      <c r="R10986" s="100"/>
      <c r="V10986" s="100"/>
      <c r="Y10986" s="100"/>
    </row>
    <row r="10987">
      <c r="R10987" s="100"/>
      <c r="V10987" s="100"/>
      <c r="Y10987" s="100"/>
    </row>
    <row r="10988">
      <c r="R10988" s="100"/>
      <c r="V10988" s="100"/>
      <c r="Y10988" s="100"/>
    </row>
    <row r="10989">
      <c r="R10989" s="100"/>
      <c r="V10989" s="100"/>
      <c r="Y10989" s="100"/>
    </row>
    <row r="10990">
      <c r="R10990" s="100"/>
      <c r="V10990" s="100"/>
      <c r="Y10990" s="100"/>
    </row>
    <row r="10991">
      <c r="R10991" s="100"/>
      <c r="V10991" s="100"/>
      <c r="Y10991" s="100"/>
    </row>
    <row r="10992">
      <c r="R10992" s="100"/>
      <c r="V10992" s="100"/>
      <c r="Y10992" s="100"/>
    </row>
    <row r="10993">
      <c r="R10993" s="100"/>
      <c r="V10993" s="100"/>
      <c r="Y10993" s="100"/>
    </row>
    <row r="10994">
      <c r="R10994" s="100"/>
      <c r="V10994" s="100"/>
      <c r="Y10994" s="100"/>
    </row>
    <row r="10995">
      <c r="R10995" s="100"/>
      <c r="V10995" s="100"/>
      <c r="Y10995" s="100"/>
    </row>
    <row r="10996">
      <c r="R10996" s="100"/>
      <c r="V10996" s="100"/>
      <c r="Y10996" s="100"/>
    </row>
    <row r="10997">
      <c r="R10997" s="100"/>
      <c r="V10997" s="100"/>
      <c r="Y10997" s="100"/>
    </row>
    <row r="10998">
      <c r="R10998" s="100"/>
      <c r="V10998" s="100"/>
      <c r="Y10998" s="100"/>
    </row>
    <row r="10999">
      <c r="R10999" s="100"/>
      <c r="V10999" s="100"/>
      <c r="Y10999" s="100"/>
    </row>
    <row r="11000">
      <c r="R11000" s="100"/>
      <c r="V11000" s="100"/>
      <c r="Y11000" s="100"/>
    </row>
    <row r="11001">
      <c r="R11001" s="100"/>
      <c r="V11001" s="100"/>
      <c r="Y11001" s="100"/>
    </row>
    <row r="11002">
      <c r="R11002" s="100"/>
      <c r="V11002" s="100"/>
      <c r="Y11002" s="100"/>
    </row>
    <row r="11003">
      <c r="R11003" s="100"/>
      <c r="V11003" s="100"/>
      <c r="Y11003" s="100"/>
    </row>
    <row r="11004">
      <c r="R11004" s="100"/>
      <c r="V11004" s="100"/>
      <c r="Y11004" s="100"/>
    </row>
    <row r="11005">
      <c r="R11005" s="100"/>
      <c r="V11005" s="100"/>
      <c r="Y11005" s="100"/>
    </row>
    <row r="11006">
      <c r="R11006" s="100"/>
      <c r="V11006" s="100"/>
      <c r="Y11006" s="100"/>
    </row>
    <row r="11007">
      <c r="R11007" s="100"/>
      <c r="V11007" s="100"/>
      <c r="Y11007" s="100"/>
    </row>
    <row r="11008">
      <c r="R11008" s="100"/>
      <c r="V11008" s="100"/>
      <c r="Y11008" s="100"/>
    </row>
    <row r="11009">
      <c r="R11009" s="100"/>
      <c r="V11009" s="100"/>
      <c r="Y11009" s="100"/>
    </row>
    <row r="11010">
      <c r="R11010" s="100"/>
      <c r="V11010" s="100"/>
      <c r="Y11010" s="100"/>
    </row>
    <row r="11011">
      <c r="R11011" s="100"/>
      <c r="V11011" s="100"/>
      <c r="Y11011" s="100"/>
    </row>
    <row r="11012">
      <c r="R11012" s="100"/>
      <c r="V11012" s="100"/>
      <c r="Y11012" s="100"/>
    </row>
    <row r="11013">
      <c r="R11013" s="100"/>
      <c r="V11013" s="100"/>
      <c r="Y11013" s="100"/>
    </row>
    <row r="11014">
      <c r="R11014" s="100"/>
      <c r="V11014" s="100"/>
      <c r="Y11014" s="100"/>
    </row>
    <row r="11015">
      <c r="R11015" s="100"/>
      <c r="V11015" s="100"/>
      <c r="Y11015" s="100"/>
    </row>
    <row r="11016">
      <c r="R11016" s="100"/>
      <c r="V11016" s="100"/>
      <c r="Y11016" s="100"/>
    </row>
    <row r="11017">
      <c r="R11017" s="100"/>
      <c r="V11017" s="100"/>
      <c r="Y11017" s="100"/>
    </row>
    <row r="11018">
      <c r="R11018" s="100"/>
      <c r="V11018" s="100"/>
      <c r="Y11018" s="100"/>
    </row>
    <row r="11019">
      <c r="R11019" s="100"/>
      <c r="V11019" s="100"/>
      <c r="Y11019" s="100"/>
    </row>
    <row r="11020">
      <c r="R11020" s="100"/>
      <c r="V11020" s="100"/>
      <c r="Y11020" s="100"/>
    </row>
    <row r="11021">
      <c r="R11021" s="100"/>
      <c r="V11021" s="100"/>
      <c r="Y11021" s="100"/>
    </row>
    <row r="11022">
      <c r="R11022" s="100"/>
      <c r="V11022" s="100"/>
      <c r="Y11022" s="100"/>
    </row>
    <row r="11023">
      <c r="R11023" s="100"/>
      <c r="V11023" s="100"/>
      <c r="Y11023" s="100"/>
    </row>
    <row r="11024">
      <c r="R11024" s="100"/>
      <c r="V11024" s="100"/>
      <c r="Y11024" s="100"/>
    </row>
    <row r="11025">
      <c r="R11025" s="100"/>
      <c r="V11025" s="100"/>
      <c r="Y11025" s="100"/>
    </row>
    <row r="11026">
      <c r="R11026" s="100"/>
      <c r="V11026" s="100"/>
      <c r="Y11026" s="100"/>
    </row>
    <row r="11027">
      <c r="R11027" s="100"/>
      <c r="V11027" s="100"/>
      <c r="Y11027" s="100"/>
    </row>
    <row r="11028">
      <c r="R11028" s="100"/>
      <c r="V11028" s="100"/>
      <c r="Y11028" s="100"/>
    </row>
    <row r="11029">
      <c r="R11029" s="100"/>
      <c r="V11029" s="100"/>
      <c r="Y11029" s="100"/>
    </row>
    <row r="11030">
      <c r="R11030" s="100"/>
      <c r="V11030" s="100"/>
      <c r="Y11030" s="100"/>
    </row>
    <row r="11031">
      <c r="R11031" s="100"/>
      <c r="V11031" s="100"/>
      <c r="Y11031" s="100"/>
    </row>
    <row r="11032">
      <c r="R11032" s="100"/>
      <c r="V11032" s="100"/>
      <c r="Y11032" s="100"/>
    </row>
    <row r="11033">
      <c r="R11033" s="100"/>
      <c r="V11033" s="100"/>
      <c r="Y11033" s="100"/>
    </row>
    <row r="11034">
      <c r="R11034" s="100"/>
      <c r="V11034" s="100"/>
      <c r="Y11034" s="100"/>
    </row>
    <row r="11035">
      <c r="R11035" s="100"/>
      <c r="V11035" s="100"/>
      <c r="Y11035" s="100"/>
    </row>
    <row r="11036">
      <c r="R11036" s="100"/>
      <c r="V11036" s="100"/>
      <c r="Y11036" s="100"/>
    </row>
    <row r="11037">
      <c r="R11037" s="100"/>
      <c r="V11037" s="100"/>
      <c r="Y11037" s="100"/>
    </row>
    <row r="11038">
      <c r="R11038" s="100"/>
      <c r="V11038" s="100"/>
      <c r="Y11038" s="100"/>
    </row>
    <row r="11039">
      <c r="R11039" s="100"/>
      <c r="V11039" s="100"/>
      <c r="Y11039" s="100"/>
    </row>
    <row r="11040">
      <c r="R11040" s="100"/>
      <c r="V11040" s="100"/>
      <c r="Y11040" s="100"/>
    </row>
    <row r="11041">
      <c r="R11041" s="100"/>
      <c r="V11041" s="100"/>
      <c r="Y11041" s="100"/>
    </row>
    <row r="11042">
      <c r="R11042" s="100"/>
      <c r="V11042" s="100"/>
      <c r="Y11042" s="100"/>
    </row>
    <row r="11043">
      <c r="R11043" s="100"/>
      <c r="V11043" s="100"/>
      <c r="Y11043" s="100"/>
    </row>
    <row r="11044">
      <c r="R11044" s="100"/>
      <c r="V11044" s="100"/>
      <c r="Y11044" s="100"/>
    </row>
    <row r="11045">
      <c r="R11045" s="100"/>
      <c r="V11045" s="100"/>
      <c r="Y11045" s="100"/>
    </row>
    <row r="11046">
      <c r="R11046" s="100"/>
      <c r="V11046" s="100"/>
      <c r="Y11046" s="100"/>
    </row>
    <row r="11047">
      <c r="R11047" s="100"/>
      <c r="V11047" s="100"/>
      <c r="Y11047" s="100"/>
    </row>
    <row r="11048">
      <c r="R11048" s="100"/>
      <c r="V11048" s="100"/>
      <c r="Y11048" s="100"/>
    </row>
    <row r="11049">
      <c r="R11049" s="100"/>
      <c r="V11049" s="100"/>
      <c r="Y11049" s="100"/>
    </row>
    <row r="11050">
      <c r="R11050" s="100"/>
      <c r="V11050" s="100"/>
      <c r="Y11050" s="100"/>
    </row>
    <row r="11051">
      <c r="R11051" s="100"/>
      <c r="V11051" s="100"/>
      <c r="Y11051" s="100"/>
    </row>
    <row r="11052">
      <c r="R11052" s="100"/>
      <c r="V11052" s="100"/>
      <c r="Y11052" s="100"/>
    </row>
    <row r="11053">
      <c r="R11053" s="100"/>
      <c r="V11053" s="100"/>
      <c r="Y11053" s="100"/>
    </row>
    <row r="11054">
      <c r="R11054" s="100"/>
      <c r="V11054" s="100"/>
      <c r="Y11054" s="100"/>
    </row>
    <row r="11055">
      <c r="R11055" s="100"/>
      <c r="V11055" s="100"/>
      <c r="Y11055" s="100"/>
    </row>
    <row r="11056">
      <c r="R11056" s="100"/>
      <c r="V11056" s="100"/>
      <c r="Y11056" s="100"/>
    </row>
    <row r="11057">
      <c r="R11057" s="100"/>
      <c r="V11057" s="100"/>
      <c r="Y11057" s="100"/>
    </row>
    <row r="11058">
      <c r="R11058" s="100"/>
      <c r="V11058" s="100"/>
      <c r="Y11058" s="100"/>
    </row>
    <row r="11059">
      <c r="R11059" s="100"/>
      <c r="V11059" s="100"/>
      <c r="Y11059" s="100"/>
    </row>
    <row r="11060">
      <c r="R11060" s="100"/>
      <c r="V11060" s="100"/>
      <c r="Y11060" s="100"/>
    </row>
    <row r="11061">
      <c r="R11061" s="100"/>
      <c r="V11061" s="100"/>
      <c r="Y11061" s="100"/>
    </row>
    <row r="11062">
      <c r="R11062" s="100"/>
      <c r="V11062" s="100"/>
      <c r="Y11062" s="100"/>
    </row>
    <row r="11063">
      <c r="R11063" s="100"/>
      <c r="V11063" s="100"/>
      <c r="Y11063" s="100"/>
    </row>
    <row r="11064">
      <c r="R11064" s="100"/>
      <c r="V11064" s="100"/>
      <c r="Y11064" s="100"/>
    </row>
    <row r="11065">
      <c r="R11065" s="100"/>
      <c r="V11065" s="100"/>
      <c r="Y11065" s="100"/>
    </row>
    <row r="11066">
      <c r="R11066" s="100"/>
      <c r="V11066" s="100"/>
      <c r="Y11066" s="100"/>
    </row>
    <row r="11067">
      <c r="R11067" s="100"/>
      <c r="V11067" s="100"/>
      <c r="Y11067" s="100"/>
    </row>
    <row r="11068">
      <c r="R11068" s="100"/>
      <c r="V11068" s="100"/>
      <c r="Y11068" s="100"/>
    </row>
    <row r="11069">
      <c r="R11069" s="100"/>
      <c r="V11069" s="100"/>
      <c r="Y11069" s="100"/>
    </row>
    <row r="11070">
      <c r="R11070" s="100"/>
      <c r="V11070" s="100"/>
      <c r="Y11070" s="100"/>
    </row>
    <row r="11071">
      <c r="R11071" s="100"/>
      <c r="V11071" s="100"/>
      <c r="Y11071" s="100"/>
    </row>
    <row r="11072">
      <c r="R11072" s="100"/>
      <c r="V11072" s="100"/>
      <c r="Y11072" s="100"/>
    </row>
    <row r="11073">
      <c r="R11073" s="100"/>
      <c r="V11073" s="100"/>
      <c r="Y11073" s="100"/>
    </row>
    <row r="11074">
      <c r="R11074" s="100"/>
      <c r="V11074" s="100"/>
      <c r="Y11074" s="100"/>
    </row>
    <row r="11075">
      <c r="R11075" s="100"/>
      <c r="V11075" s="100"/>
      <c r="Y11075" s="100"/>
    </row>
    <row r="11076">
      <c r="R11076" s="100"/>
      <c r="V11076" s="100"/>
      <c r="Y11076" s="100"/>
    </row>
    <row r="11077">
      <c r="R11077" s="100"/>
      <c r="V11077" s="100"/>
      <c r="Y11077" s="100"/>
    </row>
    <row r="11078">
      <c r="R11078" s="100"/>
      <c r="V11078" s="100"/>
      <c r="Y11078" s="100"/>
    </row>
    <row r="11079">
      <c r="R11079" s="100"/>
      <c r="V11079" s="100"/>
      <c r="Y11079" s="100"/>
    </row>
    <row r="11080">
      <c r="R11080" s="100"/>
      <c r="V11080" s="100"/>
      <c r="Y11080" s="100"/>
    </row>
    <row r="11081">
      <c r="R11081" s="100"/>
      <c r="V11081" s="100"/>
      <c r="Y11081" s="100"/>
    </row>
    <row r="11082">
      <c r="R11082" s="100"/>
      <c r="V11082" s="100"/>
      <c r="Y11082" s="100"/>
    </row>
    <row r="11083">
      <c r="R11083" s="100"/>
      <c r="V11083" s="100"/>
      <c r="Y11083" s="100"/>
    </row>
    <row r="11084">
      <c r="R11084" s="100"/>
      <c r="V11084" s="100"/>
      <c r="Y11084" s="100"/>
    </row>
    <row r="11085">
      <c r="R11085" s="100"/>
      <c r="V11085" s="100"/>
      <c r="Y11085" s="100"/>
    </row>
    <row r="11086">
      <c r="R11086" s="100"/>
      <c r="V11086" s="100"/>
      <c r="Y11086" s="100"/>
    </row>
    <row r="11087">
      <c r="R11087" s="100"/>
      <c r="V11087" s="100"/>
      <c r="Y11087" s="100"/>
    </row>
    <row r="11088">
      <c r="R11088" s="100"/>
      <c r="V11088" s="100"/>
      <c r="Y11088" s="100"/>
    </row>
    <row r="11089">
      <c r="R11089" s="100"/>
      <c r="V11089" s="100"/>
      <c r="Y11089" s="100"/>
    </row>
    <row r="11090">
      <c r="R11090" s="100"/>
      <c r="V11090" s="100"/>
      <c r="Y11090" s="100"/>
    </row>
    <row r="11091">
      <c r="R11091" s="100"/>
      <c r="V11091" s="100"/>
      <c r="Y11091" s="100"/>
    </row>
    <row r="11092">
      <c r="R11092" s="100"/>
      <c r="V11092" s="100"/>
      <c r="Y11092" s="100"/>
    </row>
    <row r="11093">
      <c r="R11093" s="100"/>
      <c r="V11093" s="100"/>
      <c r="Y11093" s="100"/>
    </row>
    <row r="11094">
      <c r="R11094" s="100"/>
      <c r="V11094" s="100"/>
      <c r="Y11094" s="100"/>
    </row>
    <row r="11095">
      <c r="R11095" s="100"/>
      <c r="V11095" s="100"/>
      <c r="Y11095" s="100"/>
    </row>
    <row r="11096">
      <c r="R11096" s="100"/>
      <c r="V11096" s="100"/>
      <c r="Y11096" s="100"/>
    </row>
    <row r="11097">
      <c r="R11097" s="100"/>
      <c r="V11097" s="100"/>
      <c r="Y11097" s="100"/>
    </row>
    <row r="11098">
      <c r="R11098" s="100"/>
      <c r="V11098" s="100"/>
      <c r="Y11098" s="100"/>
    </row>
    <row r="11099">
      <c r="R11099" s="100"/>
      <c r="V11099" s="100"/>
      <c r="Y11099" s="100"/>
    </row>
    <row r="11100">
      <c r="R11100" s="100"/>
      <c r="V11100" s="100"/>
      <c r="Y11100" s="100"/>
    </row>
    <row r="11101">
      <c r="R11101" s="100"/>
      <c r="V11101" s="100"/>
      <c r="Y11101" s="100"/>
    </row>
    <row r="11102">
      <c r="R11102" s="100"/>
      <c r="V11102" s="100"/>
      <c r="Y11102" s="100"/>
    </row>
    <row r="11103">
      <c r="R11103" s="100"/>
      <c r="V11103" s="100"/>
      <c r="Y11103" s="100"/>
    </row>
    <row r="11104">
      <c r="R11104" s="100"/>
      <c r="V11104" s="100"/>
      <c r="Y11104" s="100"/>
    </row>
    <row r="11105">
      <c r="R11105" s="100"/>
      <c r="V11105" s="100"/>
      <c r="Y11105" s="100"/>
    </row>
    <row r="11106">
      <c r="R11106" s="100"/>
      <c r="V11106" s="100"/>
      <c r="Y11106" s="100"/>
    </row>
    <row r="11107">
      <c r="R11107" s="100"/>
      <c r="V11107" s="100"/>
      <c r="Y11107" s="100"/>
    </row>
    <row r="11108">
      <c r="R11108" s="100"/>
      <c r="V11108" s="100"/>
      <c r="Y11108" s="100"/>
    </row>
    <row r="11109">
      <c r="R11109" s="100"/>
      <c r="V11109" s="100"/>
      <c r="Y11109" s="100"/>
    </row>
    <row r="11110">
      <c r="R11110" s="100"/>
      <c r="V11110" s="100"/>
      <c r="Y11110" s="100"/>
    </row>
    <row r="11111">
      <c r="R11111" s="100"/>
      <c r="V11111" s="100"/>
      <c r="Y11111" s="100"/>
    </row>
    <row r="11112">
      <c r="R11112" s="100"/>
      <c r="V11112" s="100"/>
      <c r="Y11112" s="100"/>
    </row>
    <row r="11113">
      <c r="R11113" s="100"/>
      <c r="V11113" s="100"/>
      <c r="Y11113" s="100"/>
    </row>
    <row r="11114">
      <c r="R11114" s="100"/>
      <c r="V11114" s="100"/>
      <c r="Y11114" s="100"/>
    </row>
    <row r="11115">
      <c r="R11115" s="100"/>
      <c r="V11115" s="100"/>
      <c r="Y11115" s="100"/>
    </row>
    <row r="11116">
      <c r="R11116" s="100"/>
      <c r="V11116" s="100"/>
      <c r="Y11116" s="100"/>
    </row>
    <row r="11117">
      <c r="R11117" s="100"/>
      <c r="V11117" s="100"/>
      <c r="Y11117" s="100"/>
    </row>
    <row r="11118">
      <c r="R11118" s="100"/>
      <c r="V11118" s="100"/>
      <c r="Y11118" s="100"/>
    </row>
    <row r="11119">
      <c r="R11119" s="100"/>
      <c r="V11119" s="100"/>
      <c r="Y11119" s="100"/>
    </row>
    <row r="11120">
      <c r="R11120" s="100"/>
      <c r="V11120" s="100"/>
      <c r="Y11120" s="100"/>
    </row>
    <row r="11121">
      <c r="R11121" s="100"/>
      <c r="V11121" s="100"/>
      <c r="Y11121" s="100"/>
    </row>
    <row r="11122">
      <c r="R11122" s="100"/>
      <c r="V11122" s="100"/>
      <c r="Y11122" s="100"/>
    </row>
    <row r="11123">
      <c r="R11123" s="100"/>
      <c r="V11123" s="100"/>
      <c r="Y11123" s="100"/>
    </row>
    <row r="11124">
      <c r="R11124" s="100"/>
      <c r="V11124" s="100"/>
      <c r="Y11124" s="100"/>
    </row>
    <row r="11125">
      <c r="R11125" s="100"/>
      <c r="V11125" s="100"/>
      <c r="Y11125" s="100"/>
    </row>
    <row r="11126">
      <c r="R11126" s="100"/>
      <c r="V11126" s="100"/>
      <c r="Y11126" s="100"/>
    </row>
    <row r="11127">
      <c r="R11127" s="100"/>
      <c r="V11127" s="100"/>
      <c r="Y11127" s="100"/>
    </row>
    <row r="11128">
      <c r="R11128" s="100"/>
      <c r="V11128" s="100"/>
      <c r="Y11128" s="100"/>
    </row>
    <row r="11129">
      <c r="R11129" s="100"/>
      <c r="V11129" s="100"/>
      <c r="Y11129" s="100"/>
    </row>
    <row r="11130">
      <c r="R11130" s="100"/>
      <c r="V11130" s="100"/>
      <c r="Y11130" s="100"/>
    </row>
    <row r="11131">
      <c r="R11131" s="100"/>
      <c r="V11131" s="100"/>
      <c r="Y11131" s="100"/>
    </row>
    <row r="11132">
      <c r="R11132" s="100"/>
      <c r="V11132" s="100"/>
      <c r="Y11132" s="100"/>
    </row>
    <row r="11133">
      <c r="R11133" s="100"/>
      <c r="V11133" s="100"/>
      <c r="Y11133" s="100"/>
    </row>
    <row r="11134">
      <c r="R11134" s="100"/>
      <c r="V11134" s="100"/>
      <c r="Y11134" s="100"/>
    </row>
    <row r="11135">
      <c r="R11135" s="100"/>
      <c r="V11135" s="100"/>
      <c r="Y11135" s="100"/>
    </row>
    <row r="11136">
      <c r="R11136" s="100"/>
      <c r="V11136" s="100"/>
      <c r="Y11136" s="100"/>
    </row>
    <row r="11137">
      <c r="R11137" s="100"/>
      <c r="V11137" s="100"/>
      <c r="Y11137" s="100"/>
    </row>
    <row r="11138">
      <c r="R11138" s="100"/>
      <c r="V11138" s="100"/>
      <c r="Y11138" s="100"/>
    </row>
    <row r="11139">
      <c r="R11139" s="100"/>
      <c r="V11139" s="100"/>
      <c r="Y11139" s="100"/>
    </row>
    <row r="11140">
      <c r="R11140" s="100"/>
      <c r="V11140" s="100"/>
      <c r="Y11140" s="100"/>
    </row>
    <row r="11141">
      <c r="R11141" s="100"/>
      <c r="V11141" s="100"/>
      <c r="Y11141" s="100"/>
    </row>
    <row r="11142">
      <c r="R11142" s="100"/>
      <c r="V11142" s="100"/>
      <c r="Y11142" s="100"/>
    </row>
    <row r="11143">
      <c r="R11143" s="100"/>
      <c r="V11143" s="100"/>
      <c r="Y11143" s="100"/>
    </row>
    <row r="11144">
      <c r="R11144" s="100"/>
      <c r="V11144" s="100"/>
      <c r="Y11144" s="100"/>
    </row>
    <row r="11145">
      <c r="R11145" s="100"/>
      <c r="V11145" s="100"/>
      <c r="Y11145" s="100"/>
    </row>
    <row r="11146">
      <c r="R11146" s="100"/>
      <c r="V11146" s="100"/>
      <c r="Y11146" s="100"/>
    </row>
    <row r="11147">
      <c r="R11147" s="100"/>
      <c r="V11147" s="100"/>
      <c r="Y11147" s="100"/>
    </row>
    <row r="11148">
      <c r="R11148" s="100"/>
      <c r="V11148" s="100"/>
      <c r="Y11148" s="100"/>
    </row>
    <row r="11149">
      <c r="R11149" s="100"/>
      <c r="V11149" s="100"/>
      <c r="Y11149" s="100"/>
    </row>
    <row r="11150">
      <c r="R11150" s="100"/>
      <c r="V11150" s="100"/>
      <c r="Y11150" s="100"/>
    </row>
    <row r="11151">
      <c r="R11151" s="100"/>
      <c r="V11151" s="100"/>
      <c r="Y11151" s="100"/>
    </row>
    <row r="11152">
      <c r="R11152" s="100"/>
      <c r="V11152" s="100"/>
      <c r="Y11152" s="100"/>
    </row>
    <row r="11153">
      <c r="R11153" s="100"/>
      <c r="V11153" s="100"/>
      <c r="Y11153" s="100"/>
    </row>
    <row r="11154">
      <c r="R11154" s="100"/>
      <c r="V11154" s="100"/>
      <c r="Y11154" s="100"/>
    </row>
    <row r="11155">
      <c r="R11155" s="100"/>
      <c r="V11155" s="100"/>
      <c r="Y11155" s="100"/>
    </row>
    <row r="11156">
      <c r="R11156" s="100"/>
      <c r="V11156" s="100"/>
      <c r="Y11156" s="100"/>
    </row>
    <row r="11157">
      <c r="R11157" s="100"/>
      <c r="V11157" s="100"/>
      <c r="Y11157" s="100"/>
    </row>
    <row r="11158">
      <c r="R11158" s="100"/>
      <c r="V11158" s="100"/>
      <c r="Y11158" s="100"/>
    </row>
    <row r="11159">
      <c r="R11159" s="100"/>
      <c r="V11159" s="100"/>
      <c r="Y11159" s="100"/>
    </row>
    <row r="11160">
      <c r="R11160" s="100"/>
      <c r="V11160" s="100"/>
      <c r="Y11160" s="100"/>
    </row>
    <row r="11161">
      <c r="R11161" s="100"/>
      <c r="V11161" s="100"/>
      <c r="Y11161" s="100"/>
    </row>
    <row r="11162">
      <c r="R11162" s="100"/>
      <c r="V11162" s="100"/>
      <c r="Y11162" s="100"/>
    </row>
    <row r="11163">
      <c r="R11163" s="100"/>
      <c r="V11163" s="100"/>
      <c r="Y11163" s="100"/>
    </row>
    <row r="11164">
      <c r="R11164" s="100"/>
      <c r="V11164" s="100"/>
      <c r="Y11164" s="100"/>
    </row>
    <row r="11165">
      <c r="R11165" s="100"/>
      <c r="V11165" s="100"/>
      <c r="Y11165" s="100"/>
    </row>
    <row r="11166">
      <c r="R11166" s="100"/>
      <c r="V11166" s="100"/>
      <c r="Y11166" s="100"/>
    </row>
    <row r="11167">
      <c r="R11167" s="100"/>
      <c r="V11167" s="100"/>
      <c r="Y11167" s="100"/>
    </row>
    <row r="11168">
      <c r="R11168" s="100"/>
      <c r="V11168" s="100"/>
      <c r="Y11168" s="100"/>
    </row>
    <row r="11169">
      <c r="R11169" s="100"/>
      <c r="V11169" s="100"/>
      <c r="Y11169" s="100"/>
    </row>
    <row r="11170">
      <c r="R11170" s="100"/>
      <c r="V11170" s="100"/>
      <c r="Y11170" s="100"/>
    </row>
    <row r="11171">
      <c r="R11171" s="100"/>
      <c r="V11171" s="100"/>
      <c r="Y11171" s="100"/>
    </row>
    <row r="11172">
      <c r="R11172" s="100"/>
      <c r="V11172" s="100"/>
      <c r="Y11172" s="100"/>
    </row>
    <row r="11173">
      <c r="R11173" s="100"/>
      <c r="V11173" s="100"/>
      <c r="Y11173" s="100"/>
    </row>
    <row r="11174">
      <c r="R11174" s="100"/>
      <c r="V11174" s="100"/>
      <c r="Y11174" s="100"/>
    </row>
    <row r="11175">
      <c r="R11175" s="100"/>
      <c r="V11175" s="100"/>
      <c r="Y11175" s="100"/>
    </row>
    <row r="11176">
      <c r="R11176" s="100"/>
      <c r="V11176" s="100"/>
      <c r="Y11176" s="100"/>
    </row>
    <row r="11177">
      <c r="R11177" s="100"/>
      <c r="V11177" s="100"/>
      <c r="Y11177" s="100"/>
    </row>
    <row r="11178">
      <c r="R11178" s="100"/>
      <c r="V11178" s="100"/>
      <c r="Y11178" s="100"/>
    </row>
    <row r="11179">
      <c r="R11179" s="100"/>
      <c r="V11179" s="100"/>
      <c r="Y11179" s="100"/>
    </row>
    <row r="11180">
      <c r="R11180" s="100"/>
      <c r="V11180" s="100"/>
      <c r="Y11180" s="100"/>
    </row>
    <row r="11181">
      <c r="R11181" s="100"/>
      <c r="V11181" s="100"/>
      <c r="Y11181" s="100"/>
    </row>
    <row r="11182">
      <c r="R11182" s="100"/>
      <c r="V11182" s="100"/>
      <c r="Y11182" s="100"/>
    </row>
    <row r="11183">
      <c r="R11183" s="100"/>
      <c r="V11183" s="100"/>
      <c r="Y11183" s="100"/>
    </row>
    <row r="11184">
      <c r="R11184" s="100"/>
      <c r="V11184" s="100"/>
      <c r="Y11184" s="100"/>
    </row>
    <row r="11185">
      <c r="R11185" s="100"/>
      <c r="V11185" s="100"/>
      <c r="Y11185" s="100"/>
    </row>
    <row r="11186">
      <c r="R11186" s="100"/>
      <c r="V11186" s="100"/>
      <c r="Y11186" s="100"/>
    </row>
    <row r="11187">
      <c r="R11187" s="100"/>
      <c r="V11187" s="100"/>
      <c r="Y11187" s="100"/>
    </row>
    <row r="11188">
      <c r="R11188" s="100"/>
      <c r="V11188" s="100"/>
      <c r="Y11188" s="100"/>
    </row>
    <row r="11189">
      <c r="R11189" s="100"/>
      <c r="V11189" s="100"/>
      <c r="Y11189" s="100"/>
    </row>
    <row r="11190">
      <c r="R11190" s="100"/>
      <c r="V11190" s="100"/>
      <c r="Y11190" s="100"/>
    </row>
    <row r="11191">
      <c r="R11191" s="100"/>
      <c r="V11191" s="100"/>
      <c r="Y11191" s="100"/>
    </row>
    <row r="11192">
      <c r="R11192" s="100"/>
      <c r="V11192" s="100"/>
      <c r="Y11192" s="100"/>
    </row>
    <row r="11193">
      <c r="R11193" s="100"/>
      <c r="V11193" s="100"/>
      <c r="Y11193" s="100"/>
    </row>
    <row r="11194">
      <c r="R11194" s="100"/>
      <c r="V11194" s="100"/>
      <c r="Y11194" s="100"/>
    </row>
    <row r="11195">
      <c r="R11195" s="100"/>
      <c r="V11195" s="100"/>
      <c r="Y11195" s="100"/>
    </row>
    <row r="11196">
      <c r="R11196" s="100"/>
      <c r="V11196" s="100"/>
      <c r="Y11196" s="100"/>
    </row>
    <row r="11197">
      <c r="R11197" s="100"/>
      <c r="V11197" s="100"/>
      <c r="Y11197" s="100"/>
    </row>
    <row r="11198">
      <c r="R11198" s="100"/>
      <c r="V11198" s="100"/>
      <c r="Y11198" s="100"/>
    </row>
    <row r="11199">
      <c r="R11199" s="100"/>
      <c r="V11199" s="100"/>
      <c r="Y11199" s="100"/>
    </row>
    <row r="11200">
      <c r="R11200" s="100"/>
      <c r="V11200" s="100"/>
      <c r="Y11200" s="100"/>
    </row>
    <row r="11201">
      <c r="R11201" s="100"/>
      <c r="V11201" s="100"/>
      <c r="Y11201" s="100"/>
    </row>
    <row r="11202">
      <c r="R11202" s="100"/>
      <c r="V11202" s="100"/>
      <c r="Y11202" s="100"/>
    </row>
    <row r="11203">
      <c r="R11203" s="100"/>
      <c r="V11203" s="100"/>
      <c r="Y11203" s="100"/>
    </row>
    <row r="11204">
      <c r="R11204" s="100"/>
      <c r="V11204" s="100"/>
      <c r="Y11204" s="100"/>
    </row>
    <row r="11205">
      <c r="R11205" s="100"/>
      <c r="V11205" s="100"/>
      <c r="Y11205" s="100"/>
    </row>
    <row r="11206">
      <c r="R11206" s="100"/>
      <c r="V11206" s="100"/>
      <c r="Y11206" s="100"/>
    </row>
    <row r="11207">
      <c r="R11207" s="100"/>
      <c r="V11207" s="100"/>
      <c r="Y11207" s="100"/>
    </row>
    <row r="11208">
      <c r="R11208" s="100"/>
      <c r="V11208" s="100"/>
      <c r="Y11208" s="100"/>
    </row>
    <row r="11209">
      <c r="R11209" s="100"/>
      <c r="V11209" s="100"/>
      <c r="Y11209" s="100"/>
    </row>
    <row r="11210">
      <c r="R11210" s="100"/>
      <c r="V11210" s="100"/>
      <c r="Y11210" s="100"/>
    </row>
    <row r="11211">
      <c r="R11211" s="100"/>
      <c r="V11211" s="100"/>
      <c r="Y11211" s="100"/>
    </row>
    <row r="11212">
      <c r="R11212" s="100"/>
      <c r="V11212" s="100"/>
      <c r="Y11212" s="100"/>
    </row>
    <row r="11213">
      <c r="R11213" s="100"/>
      <c r="V11213" s="100"/>
      <c r="Y11213" s="100"/>
    </row>
    <row r="11214">
      <c r="R11214" s="100"/>
      <c r="V11214" s="100"/>
      <c r="Y11214" s="100"/>
    </row>
    <row r="11215">
      <c r="R11215" s="100"/>
      <c r="V11215" s="100"/>
      <c r="Y11215" s="100"/>
    </row>
    <row r="11216">
      <c r="R11216" s="100"/>
      <c r="V11216" s="100"/>
      <c r="Y11216" s="100"/>
    </row>
    <row r="11217">
      <c r="R11217" s="100"/>
      <c r="V11217" s="100"/>
      <c r="Y11217" s="100"/>
    </row>
    <row r="11218">
      <c r="R11218" s="100"/>
      <c r="V11218" s="100"/>
      <c r="Y11218" s="100"/>
    </row>
    <row r="11219">
      <c r="R11219" s="100"/>
      <c r="V11219" s="100"/>
      <c r="Y11219" s="100"/>
    </row>
    <row r="11220">
      <c r="R11220" s="100"/>
      <c r="V11220" s="100"/>
      <c r="Y11220" s="100"/>
    </row>
    <row r="11221">
      <c r="R11221" s="100"/>
      <c r="V11221" s="100"/>
      <c r="Y11221" s="100"/>
    </row>
    <row r="11222">
      <c r="R11222" s="100"/>
      <c r="V11222" s="100"/>
      <c r="Y11222" s="100"/>
    </row>
    <row r="11223">
      <c r="R11223" s="100"/>
      <c r="V11223" s="100"/>
      <c r="Y11223" s="100"/>
    </row>
    <row r="11224">
      <c r="R11224" s="100"/>
      <c r="V11224" s="100"/>
      <c r="Y11224" s="100"/>
    </row>
    <row r="11225">
      <c r="R11225" s="100"/>
      <c r="V11225" s="100"/>
      <c r="Y11225" s="100"/>
    </row>
    <row r="11226">
      <c r="R11226" s="100"/>
      <c r="V11226" s="100"/>
      <c r="Y11226" s="100"/>
    </row>
    <row r="11227">
      <c r="R11227" s="100"/>
      <c r="V11227" s="100"/>
      <c r="Y11227" s="100"/>
    </row>
    <row r="11228">
      <c r="R11228" s="100"/>
      <c r="V11228" s="100"/>
      <c r="Y11228" s="100"/>
    </row>
    <row r="11229">
      <c r="R11229" s="100"/>
      <c r="V11229" s="100"/>
      <c r="Y11229" s="100"/>
    </row>
    <row r="11230">
      <c r="R11230" s="100"/>
      <c r="V11230" s="100"/>
      <c r="Y11230" s="100"/>
    </row>
    <row r="11231">
      <c r="R11231" s="100"/>
      <c r="V11231" s="100"/>
      <c r="Y11231" s="100"/>
    </row>
    <row r="11232">
      <c r="R11232" s="100"/>
      <c r="V11232" s="100"/>
      <c r="Y11232" s="100"/>
    </row>
    <row r="11233">
      <c r="R11233" s="100"/>
      <c r="V11233" s="100"/>
      <c r="Y11233" s="100"/>
    </row>
    <row r="11234">
      <c r="R11234" s="100"/>
      <c r="V11234" s="100"/>
      <c r="Y11234" s="100"/>
    </row>
    <row r="11235">
      <c r="R11235" s="100"/>
      <c r="V11235" s="100"/>
      <c r="Y11235" s="100"/>
    </row>
    <row r="11236">
      <c r="R11236" s="100"/>
      <c r="V11236" s="100"/>
      <c r="Y11236" s="100"/>
    </row>
    <row r="11237">
      <c r="R11237" s="100"/>
      <c r="V11237" s="100"/>
      <c r="Y11237" s="100"/>
    </row>
    <row r="11238">
      <c r="R11238" s="100"/>
      <c r="V11238" s="100"/>
      <c r="Y11238" s="100"/>
    </row>
    <row r="11239">
      <c r="R11239" s="100"/>
      <c r="V11239" s="100"/>
      <c r="Y11239" s="100"/>
    </row>
    <row r="11240">
      <c r="R11240" s="100"/>
      <c r="V11240" s="100"/>
      <c r="Y11240" s="100"/>
    </row>
    <row r="11241">
      <c r="R11241" s="100"/>
      <c r="V11241" s="100"/>
      <c r="Y11241" s="100"/>
    </row>
    <row r="11242">
      <c r="R11242" s="100"/>
      <c r="V11242" s="100"/>
      <c r="Y11242" s="100"/>
    </row>
    <row r="11243">
      <c r="R11243" s="100"/>
      <c r="V11243" s="100"/>
      <c r="Y11243" s="100"/>
    </row>
    <row r="11244">
      <c r="R11244" s="100"/>
      <c r="V11244" s="100"/>
      <c r="Y11244" s="100"/>
    </row>
    <row r="11245">
      <c r="R11245" s="100"/>
      <c r="V11245" s="100"/>
      <c r="Y11245" s="100"/>
    </row>
    <row r="11246">
      <c r="R11246" s="100"/>
      <c r="V11246" s="100"/>
      <c r="Y11246" s="100"/>
    </row>
    <row r="11247">
      <c r="R11247" s="100"/>
      <c r="V11247" s="100"/>
      <c r="Y11247" s="100"/>
    </row>
    <row r="11248">
      <c r="R11248" s="100"/>
      <c r="V11248" s="100"/>
      <c r="Y11248" s="100"/>
    </row>
    <row r="11249">
      <c r="R11249" s="100"/>
      <c r="V11249" s="100"/>
      <c r="Y11249" s="100"/>
    </row>
    <row r="11250">
      <c r="R11250" s="100"/>
      <c r="V11250" s="100"/>
      <c r="Y11250" s="100"/>
    </row>
    <row r="11251">
      <c r="R11251" s="100"/>
      <c r="V11251" s="100"/>
      <c r="Y11251" s="100"/>
    </row>
    <row r="11252">
      <c r="R11252" s="100"/>
      <c r="V11252" s="100"/>
      <c r="Y11252" s="100"/>
    </row>
    <row r="11253">
      <c r="R11253" s="100"/>
      <c r="V11253" s="100"/>
      <c r="Y11253" s="100"/>
    </row>
    <row r="11254">
      <c r="R11254" s="100"/>
      <c r="V11254" s="100"/>
      <c r="Y11254" s="100"/>
    </row>
    <row r="11255">
      <c r="R11255" s="100"/>
      <c r="V11255" s="100"/>
      <c r="Y11255" s="100"/>
    </row>
    <row r="11256">
      <c r="R11256" s="100"/>
      <c r="V11256" s="100"/>
      <c r="Y11256" s="100"/>
    </row>
    <row r="11257">
      <c r="R11257" s="100"/>
      <c r="V11257" s="100"/>
      <c r="Y11257" s="100"/>
    </row>
    <row r="11258">
      <c r="R11258" s="100"/>
      <c r="V11258" s="100"/>
      <c r="Y11258" s="100"/>
    </row>
    <row r="11259">
      <c r="R11259" s="100"/>
      <c r="V11259" s="100"/>
      <c r="Y11259" s="100"/>
    </row>
    <row r="11260">
      <c r="R11260" s="100"/>
      <c r="V11260" s="100"/>
      <c r="Y11260" s="100"/>
    </row>
    <row r="11261">
      <c r="R11261" s="100"/>
      <c r="V11261" s="100"/>
      <c r="Y11261" s="100"/>
    </row>
    <row r="11262">
      <c r="R11262" s="100"/>
      <c r="V11262" s="100"/>
      <c r="Y11262" s="100"/>
    </row>
    <row r="11263">
      <c r="R11263" s="100"/>
      <c r="V11263" s="100"/>
      <c r="Y11263" s="100"/>
    </row>
    <row r="11264">
      <c r="R11264" s="100"/>
      <c r="V11264" s="100"/>
      <c r="Y11264" s="100"/>
    </row>
    <row r="11265">
      <c r="R11265" s="100"/>
      <c r="V11265" s="100"/>
      <c r="Y11265" s="100"/>
    </row>
    <row r="11266">
      <c r="R11266" s="100"/>
      <c r="V11266" s="100"/>
      <c r="Y11266" s="100"/>
    </row>
    <row r="11267">
      <c r="R11267" s="100"/>
      <c r="V11267" s="100"/>
      <c r="Y11267" s="100"/>
    </row>
    <row r="11268">
      <c r="R11268" s="100"/>
      <c r="V11268" s="100"/>
      <c r="Y11268" s="100"/>
    </row>
    <row r="11269">
      <c r="R11269" s="100"/>
      <c r="V11269" s="100"/>
      <c r="Y11269" s="100"/>
    </row>
    <row r="11270">
      <c r="R11270" s="100"/>
      <c r="V11270" s="100"/>
      <c r="Y11270" s="100"/>
    </row>
    <row r="11271">
      <c r="R11271" s="100"/>
      <c r="V11271" s="100"/>
      <c r="Y11271" s="100"/>
    </row>
    <row r="11272">
      <c r="R11272" s="100"/>
      <c r="V11272" s="100"/>
      <c r="Y11272" s="100"/>
    </row>
    <row r="11273">
      <c r="R11273" s="100"/>
      <c r="V11273" s="100"/>
      <c r="Y11273" s="100"/>
    </row>
    <row r="11274">
      <c r="R11274" s="100"/>
      <c r="V11274" s="100"/>
      <c r="Y11274" s="100"/>
    </row>
    <row r="11275">
      <c r="R11275" s="100"/>
      <c r="V11275" s="100"/>
      <c r="Y11275" s="100"/>
    </row>
    <row r="11276">
      <c r="R11276" s="100"/>
      <c r="V11276" s="100"/>
      <c r="Y11276" s="100"/>
    </row>
    <row r="11277">
      <c r="R11277" s="100"/>
      <c r="V11277" s="100"/>
      <c r="Y11277" s="100"/>
    </row>
    <row r="11278">
      <c r="R11278" s="100"/>
      <c r="V11278" s="100"/>
      <c r="Y11278" s="100"/>
    </row>
    <row r="11279">
      <c r="R11279" s="100"/>
      <c r="V11279" s="100"/>
      <c r="Y11279" s="100"/>
    </row>
    <row r="11280">
      <c r="R11280" s="100"/>
      <c r="V11280" s="100"/>
      <c r="Y11280" s="100"/>
    </row>
    <row r="11281">
      <c r="R11281" s="100"/>
      <c r="V11281" s="100"/>
      <c r="Y11281" s="100"/>
    </row>
    <row r="11282">
      <c r="R11282" s="100"/>
      <c r="V11282" s="100"/>
      <c r="Y11282" s="100"/>
    </row>
    <row r="11283">
      <c r="R11283" s="100"/>
      <c r="V11283" s="100"/>
      <c r="Y11283" s="100"/>
    </row>
    <row r="11284">
      <c r="R11284" s="100"/>
      <c r="V11284" s="100"/>
      <c r="Y11284" s="100"/>
    </row>
    <row r="11285">
      <c r="R11285" s="100"/>
      <c r="V11285" s="100"/>
      <c r="Y11285" s="100"/>
    </row>
    <row r="11286">
      <c r="R11286" s="100"/>
      <c r="V11286" s="100"/>
      <c r="Y11286" s="100"/>
    </row>
    <row r="11287">
      <c r="R11287" s="100"/>
      <c r="V11287" s="100"/>
      <c r="Y11287" s="100"/>
    </row>
    <row r="11288">
      <c r="R11288" s="100"/>
      <c r="V11288" s="100"/>
      <c r="Y11288" s="100"/>
    </row>
    <row r="11289">
      <c r="R11289" s="100"/>
      <c r="V11289" s="100"/>
      <c r="Y11289" s="100"/>
    </row>
    <row r="11290">
      <c r="R11290" s="100"/>
      <c r="V11290" s="100"/>
      <c r="Y11290" s="100"/>
    </row>
    <row r="11291">
      <c r="R11291" s="100"/>
      <c r="V11291" s="100"/>
      <c r="Y11291" s="100"/>
    </row>
    <row r="11292">
      <c r="R11292" s="100"/>
      <c r="V11292" s="100"/>
      <c r="Y11292" s="100"/>
    </row>
    <row r="11293">
      <c r="R11293" s="100"/>
      <c r="V11293" s="100"/>
      <c r="Y11293" s="100"/>
    </row>
    <row r="11294">
      <c r="R11294" s="100"/>
      <c r="V11294" s="100"/>
      <c r="Y11294" s="100"/>
    </row>
    <row r="11295">
      <c r="R11295" s="100"/>
      <c r="V11295" s="100"/>
      <c r="Y11295" s="100"/>
    </row>
    <row r="11296">
      <c r="R11296" s="100"/>
      <c r="V11296" s="100"/>
      <c r="Y11296" s="100"/>
    </row>
    <row r="11297">
      <c r="R11297" s="100"/>
      <c r="V11297" s="100"/>
      <c r="Y11297" s="100"/>
    </row>
    <row r="11298">
      <c r="R11298" s="100"/>
      <c r="V11298" s="100"/>
      <c r="Y11298" s="100"/>
    </row>
    <row r="11299">
      <c r="R11299" s="100"/>
      <c r="V11299" s="100"/>
      <c r="Y11299" s="100"/>
    </row>
    <row r="11300">
      <c r="R11300" s="100"/>
      <c r="V11300" s="100"/>
      <c r="Y11300" s="100"/>
    </row>
    <row r="11301">
      <c r="R11301" s="100"/>
      <c r="V11301" s="100"/>
      <c r="Y11301" s="100"/>
    </row>
    <row r="11302">
      <c r="R11302" s="100"/>
      <c r="V11302" s="100"/>
      <c r="Y11302" s="100"/>
    </row>
    <row r="11303">
      <c r="R11303" s="100"/>
      <c r="V11303" s="100"/>
      <c r="Y11303" s="100"/>
    </row>
    <row r="11304">
      <c r="R11304" s="100"/>
      <c r="V11304" s="100"/>
      <c r="Y11304" s="100"/>
    </row>
    <row r="11305">
      <c r="R11305" s="100"/>
      <c r="V11305" s="100"/>
      <c r="Y11305" s="100"/>
    </row>
    <row r="11306">
      <c r="R11306" s="100"/>
      <c r="V11306" s="100"/>
      <c r="Y11306" s="100"/>
    </row>
    <row r="11307">
      <c r="R11307" s="100"/>
      <c r="V11307" s="100"/>
      <c r="Y11307" s="100"/>
    </row>
    <row r="11308">
      <c r="R11308" s="100"/>
      <c r="V11308" s="100"/>
      <c r="Y11308" s="100"/>
    </row>
    <row r="11309">
      <c r="R11309" s="100"/>
      <c r="V11309" s="100"/>
      <c r="Y11309" s="100"/>
    </row>
    <row r="11310">
      <c r="R11310" s="100"/>
      <c r="V11310" s="100"/>
      <c r="Y11310" s="100"/>
    </row>
    <row r="11311">
      <c r="R11311" s="100"/>
      <c r="V11311" s="100"/>
      <c r="Y11311" s="100"/>
    </row>
    <row r="11312">
      <c r="R11312" s="100"/>
      <c r="V11312" s="100"/>
      <c r="Y11312" s="100"/>
    </row>
    <row r="11313">
      <c r="R11313" s="100"/>
      <c r="V11313" s="100"/>
      <c r="Y11313" s="100"/>
    </row>
    <row r="11314">
      <c r="R11314" s="100"/>
      <c r="V11314" s="100"/>
      <c r="Y11314" s="100"/>
    </row>
    <row r="11315">
      <c r="R11315" s="100"/>
      <c r="V11315" s="100"/>
      <c r="Y11315" s="100"/>
    </row>
    <row r="11316">
      <c r="R11316" s="100"/>
      <c r="V11316" s="100"/>
      <c r="Y11316" s="100"/>
    </row>
    <row r="11317">
      <c r="R11317" s="100"/>
      <c r="V11317" s="100"/>
      <c r="Y11317" s="100"/>
    </row>
    <row r="11318">
      <c r="R11318" s="100"/>
      <c r="V11318" s="100"/>
      <c r="Y11318" s="100"/>
    </row>
    <row r="11319">
      <c r="R11319" s="100"/>
      <c r="V11319" s="100"/>
      <c r="Y11319" s="100"/>
    </row>
    <row r="11320">
      <c r="R11320" s="100"/>
      <c r="V11320" s="100"/>
      <c r="Y11320" s="100"/>
    </row>
    <row r="11321">
      <c r="R11321" s="100"/>
      <c r="V11321" s="100"/>
      <c r="Y11321" s="100"/>
    </row>
    <row r="11322">
      <c r="R11322" s="100"/>
      <c r="V11322" s="100"/>
      <c r="Y11322" s="100"/>
    </row>
    <row r="11323">
      <c r="R11323" s="100"/>
      <c r="V11323" s="100"/>
      <c r="Y11323" s="100"/>
    </row>
    <row r="11324">
      <c r="R11324" s="100"/>
      <c r="V11324" s="100"/>
      <c r="Y11324" s="100"/>
    </row>
    <row r="11325">
      <c r="R11325" s="100"/>
      <c r="V11325" s="100"/>
      <c r="Y11325" s="100"/>
    </row>
    <row r="11326">
      <c r="R11326" s="100"/>
      <c r="V11326" s="100"/>
      <c r="Y11326" s="100"/>
    </row>
    <row r="11327">
      <c r="R11327" s="100"/>
      <c r="V11327" s="100"/>
      <c r="Y11327" s="100"/>
    </row>
    <row r="11328">
      <c r="R11328" s="100"/>
      <c r="V11328" s="100"/>
      <c r="Y11328" s="100"/>
    </row>
    <row r="11329">
      <c r="R11329" s="100"/>
      <c r="V11329" s="100"/>
      <c r="Y11329" s="100"/>
    </row>
    <row r="11330">
      <c r="R11330" s="100"/>
      <c r="V11330" s="100"/>
      <c r="Y11330" s="100"/>
    </row>
    <row r="11331">
      <c r="R11331" s="100"/>
      <c r="V11331" s="100"/>
      <c r="Y11331" s="100"/>
    </row>
    <row r="11332">
      <c r="R11332" s="100"/>
      <c r="V11332" s="100"/>
      <c r="Y11332" s="100"/>
    </row>
    <row r="11333">
      <c r="R11333" s="100"/>
      <c r="V11333" s="100"/>
      <c r="Y11333" s="100"/>
    </row>
    <row r="11334">
      <c r="R11334" s="100"/>
      <c r="V11334" s="100"/>
      <c r="Y11334" s="100"/>
    </row>
    <row r="11335">
      <c r="R11335" s="100"/>
      <c r="V11335" s="100"/>
      <c r="Y11335" s="100"/>
    </row>
    <row r="11336">
      <c r="R11336" s="100"/>
      <c r="V11336" s="100"/>
      <c r="Y11336" s="100"/>
    </row>
    <row r="11337">
      <c r="R11337" s="100"/>
      <c r="V11337" s="100"/>
      <c r="Y11337" s="100"/>
    </row>
    <row r="11338">
      <c r="R11338" s="100"/>
      <c r="V11338" s="100"/>
      <c r="Y11338" s="100"/>
    </row>
    <row r="11339">
      <c r="R11339" s="100"/>
      <c r="V11339" s="100"/>
      <c r="Y11339" s="100"/>
    </row>
    <row r="11340">
      <c r="R11340" s="100"/>
      <c r="V11340" s="100"/>
      <c r="Y11340" s="100"/>
    </row>
    <row r="11341">
      <c r="R11341" s="100"/>
      <c r="V11341" s="100"/>
      <c r="Y11341" s="100"/>
    </row>
    <row r="11342">
      <c r="R11342" s="100"/>
      <c r="V11342" s="100"/>
      <c r="Y11342" s="100"/>
    </row>
    <row r="11343">
      <c r="R11343" s="100"/>
      <c r="V11343" s="100"/>
      <c r="Y11343" s="100"/>
    </row>
    <row r="11344">
      <c r="R11344" s="100"/>
      <c r="V11344" s="100"/>
      <c r="Y11344" s="100"/>
    </row>
    <row r="11345">
      <c r="R11345" s="100"/>
      <c r="V11345" s="100"/>
      <c r="Y11345" s="100"/>
    </row>
    <row r="11346">
      <c r="R11346" s="100"/>
      <c r="V11346" s="100"/>
      <c r="Y11346" s="100"/>
    </row>
    <row r="11347">
      <c r="R11347" s="100"/>
      <c r="V11347" s="100"/>
      <c r="Y11347" s="100"/>
    </row>
    <row r="11348">
      <c r="R11348" s="100"/>
      <c r="V11348" s="100"/>
      <c r="Y11348" s="100"/>
    </row>
    <row r="11349">
      <c r="R11349" s="100"/>
      <c r="V11349" s="100"/>
      <c r="Y11349" s="100"/>
    </row>
    <row r="11350">
      <c r="R11350" s="100"/>
      <c r="V11350" s="100"/>
      <c r="Y11350" s="100"/>
    </row>
    <row r="11351">
      <c r="R11351" s="100"/>
      <c r="V11351" s="100"/>
      <c r="Y11351" s="100"/>
    </row>
    <row r="11352">
      <c r="R11352" s="100"/>
      <c r="V11352" s="100"/>
      <c r="Y11352" s="100"/>
    </row>
    <row r="11353">
      <c r="R11353" s="100"/>
      <c r="V11353" s="100"/>
      <c r="Y11353" s="100"/>
    </row>
    <row r="11354">
      <c r="R11354" s="100"/>
      <c r="V11354" s="100"/>
      <c r="Y11354" s="100"/>
    </row>
    <row r="11355">
      <c r="R11355" s="100"/>
      <c r="V11355" s="100"/>
      <c r="Y11355" s="100"/>
    </row>
    <row r="11356">
      <c r="R11356" s="100"/>
      <c r="V11356" s="100"/>
      <c r="Y11356" s="100"/>
    </row>
    <row r="11357">
      <c r="R11357" s="100"/>
      <c r="V11357" s="100"/>
      <c r="Y11357" s="100"/>
    </row>
    <row r="11358">
      <c r="R11358" s="100"/>
      <c r="V11358" s="100"/>
      <c r="Y11358" s="100"/>
    </row>
    <row r="11359">
      <c r="R11359" s="100"/>
      <c r="V11359" s="100"/>
      <c r="Y11359" s="100"/>
    </row>
    <row r="11360">
      <c r="R11360" s="100"/>
      <c r="V11360" s="100"/>
      <c r="Y11360" s="100"/>
    </row>
    <row r="11361">
      <c r="R11361" s="100"/>
      <c r="V11361" s="100"/>
      <c r="Y11361" s="100"/>
    </row>
    <row r="11362">
      <c r="R11362" s="100"/>
      <c r="V11362" s="100"/>
      <c r="Y11362" s="100"/>
    </row>
    <row r="11363">
      <c r="R11363" s="100"/>
      <c r="V11363" s="100"/>
      <c r="Y11363" s="100"/>
    </row>
    <row r="11364">
      <c r="R11364" s="100"/>
      <c r="V11364" s="100"/>
      <c r="Y11364" s="100"/>
    </row>
    <row r="11365">
      <c r="R11365" s="100"/>
      <c r="V11365" s="100"/>
      <c r="Y11365" s="100"/>
    </row>
    <row r="11366">
      <c r="R11366" s="100"/>
      <c r="V11366" s="100"/>
      <c r="Y11366" s="100"/>
    </row>
    <row r="11367">
      <c r="R11367" s="100"/>
      <c r="V11367" s="100"/>
      <c r="Y11367" s="100"/>
    </row>
    <row r="11368">
      <c r="R11368" s="100"/>
      <c r="V11368" s="100"/>
      <c r="Y11368" s="100"/>
    </row>
    <row r="11369">
      <c r="R11369" s="100"/>
      <c r="V11369" s="100"/>
      <c r="Y11369" s="100"/>
    </row>
    <row r="11370">
      <c r="R11370" s="100"/>
      <c r="V11370" s="100"/>
      <c r="Y11370" s="100"/>
    </row>
    <row r="11371">
      <c r="R11371" s="100"/>
      <c r="V11371" s="100"/>
      <c r="Y11371" s="100"/>
    </row>
    <row r="11372">
      <c r="R11372" s="100"/>
      <c r="V11372" s="100"/>
      <c r="Y11372" s="100"/>
    </row>
    <row r="11373">
      <c r="R11373" s="100"/>
      <c r="V11373" s="100"/>
      <c r="Y11373" s="100"/>
    </row>
    <row r="11374">
      <c r="R11374" s="100"/>
      <c r="V11374" s="100"/>
      <c r="Y11374" s="100"/>
    </row>
    <row r="11375">
      <c r="R11375" s="100"/>
      <c r="V11375" s="100"/>
      <c r="Y11375" s="100"/>
    </row>
    <row r="11376">
      <c r="R11376" s="100"/>
      <c r="V11376" s="100"/>
      <c r="Y11376" s="100"/>
    </row>
    <row r="11377">
      <c r="R11377" s="100"/>
      <c r="V11377" s="100"/>
      <c r="Y11377" s="100"/>
    </row>
    <row r="11378">
      <c r="R11378" s="100"/>
      <c r="V11378" s="100"/>
      <c r="Y11378" s="100"/>
    </row>
    <row r="11379">
      <c r="R11379" s="100"/>
      <c r="V11379" s="100"/>
      <c r="Y11379" s="100"/>
    </row>
    <row r="11380">
      <c r="R11380" s="100"/>
      <c r="V11380" s="100"/>
      <c r="Y11380" s="100"/>
    </row>
    <row r="11381">
      <c r="R11381" s="100"/>
      <c r="V11381" s="100"/>
      <c r="Y11381" s="100"/>
    </row>
    <row r="11382">
      <c r="R11382" s="100"/>
      <c r="V11382" s="100"/>
      <c r="Y11382" s="100"/>
    </row>
    <row r="11383">
      <c r="R11383" s="100"/>
      <c r="V11383" s="100"/>
      <c r="Y11383" s="100"/>
    </row>
    <row r="11384">
      <c r="R11384" s="100"/>
      <c r="V11384" s="100"/>
      <c r="Y11384" s="100"/>
    </row>
    <row r="11385">
      <c r="R11385" s="100"/>
      <c r="V11385" s="100"/>
      <c r="Y11385" s="100"/>
    </row>
    <row r="11386">
      <c r="R11386" s="100"/>
      <c r="V11386" s="100"/>
      <c r="Y11386" s="100"/>
    </row>
    <row r="11387">
      <c r="R11387" s="100"/>
      <c r="V11387" s="100"/>
      <c r="Y11387" s="100"/>
    </row>
    <row r="11388">
      <c r="R11388" s="100"/>
      <c r="V11388" s="100"/>
      <c r="Y11388" s="100"/>
    </row>
    <row r="11389">
      <c r="R11389" s="100"/>
      <c r="V11389" s="100"/>
      <c r="Y11389" s="100"/>
    </row>
    <row r="11390">
      <c r="R11390" s="100"/>
      <c r="V11390" s="100"/>
      <c r="Y11390" s="100"/>
    </row>
    <row r="11391">
      <c r="R11391" s="100"/>
      <c r="V11391" s="100"/>
      <c r="Y11391" s="100"/>
    </row>
    <row r="11392">
      <c r="R11392" s="100"/>
      <c r="V11392" s="100"/>
      <c r="Y11392" s="100"/>
    </row>
    <row r="11393">
      <c r="R11393" s="100"/>
      <c r="V11393" s="100"/>
      <c r="Y11393" s="100"/>
    </row>
    <row r="11394">
      <c r="R11394" s="100"/>
      <c r="V11394" s="100"/>
      <c r="Y11394" s="100"/>
    </row>
    <row r="11395">
      <c r="R11395" s="100"/>
      <c r="V11395" s="100"/>
      <c r="Y11395" s="100"/>
    </row>
    <row r="11396">
      <c r="R11396" s="100"/>
      <c r="V11396" s="100"/>
      <c r="Y11396" s="100"/>
    </row>
    <row r="11397">
      <c r="R11397" s="100"/>
      <c r="V11397" s="100"/>
      <c r="Y11397" s="100"/>
    </row>
    <row r="11398">
      <c r="R11398" s="100"/>
      <c r="V11398" s="100"/>
      <c r="Y11398" s="100"/>
    </row>
    <row r="11399">
      <c r="R11399" s="100"/>
      <c r="V11399" s="100"/>
      <c r="Y11399" s="100"/>
    </row>
    <row r="11400">
      <c r="R11400" s="100"/>
      <c r="V11400" s="100"/>
      <c r="Y11400" s="100"/>
    </row>
    <row r="11401">
      <c r="R11401" s="100"/>
      <c r="V11401" s="100"/>
      <c r="Y11401" s="100"/>
    </row>
    <row r="11402">
      <c r="R11402" s="100"/>
      <c r="V11402" s="100"/>
      <c r="Y11402" s="100"/>
    </row>
    <row r="11403">
      <c r="R11403" s="100"/>
      <c r="V11403" s="100"/>
      <c r="Y11403" s="100"/>
    </row>
    <row r="11404">
      <c r="R11404" s="100"/>
      <c r="V11404" s="100"/>
      <c r="Y11404" s="100"/>
    </row>
    <row r="11405">
      <c r="R11405" s="100"/>
      <c r="V11405" s="100"/>
      <c r="Y11405" s="100"/>
    </row>
    <row r="11406">
      <c r="R11406" s="100"/>
      <c r="V11406" s="100"/>
      <c r="Y11406" s="100"/>
    </row>
    <row r="11407">
      <c r="R11407" s="100"/>
      <c r="V11407" s="100"/>
      <c r="Y11407" s="100"/>
    </row>
    <row r="11408">
      <c r="R11408" s="100"/>
      <c r="V11408" s="100"/>
      <c r="Y11408" s="100"/>
    </row>
    <row r="11409">
      <c r="R11409" s="100"/>
      <c r="V11409" s="100"/>
      <c r="Y11409" s="100"/>
    </row>
    <row r="11410">
      <c r="R11410" s="100"/>
      <c r="V11410" s="100"/>
      <c r="Y11410" s="100"/>
    </row>
    <row r="11411">
      <c r="R11411" s="100"/>
      <c r="V11411" s="100"/>
      <c r="Y11411" s="100"/>
    </row>
    <row r="11412">
      <c r="R11412" s="100"/>
      <c r="V11412" s="100"/>
      <c r="Y11412" s="100"/>
    </row>
    <row r="11413">
      <c r="R11413" s="100"/>
      <c r="V11413" s="100"/>
      <c r="Y11413" s="100"/>
    </row>
    <row r="11414">
      <c r="R11414" s="100"/>
      <c r="V11414" s="100"/>
      <c r="Y11414" s="100"/>
    </row>
    <row r="11415">
      <c r="R11415" s="100"/>
      <c r="V11415" s="100"/>
      <c r="Y11415" s="100"/>
    </row>
    <row r="11416">
      <c r="R11416" s="100"/>
      <c r="V11416" s="100"/>
      <c r="Y11416" s="100"/>
    </row>
    <row r="11417">
      <c r="R11417" s="100"/>
      <c r="V11417" s="100"/>
      <c r="Y11417" s="100"/>
    </row>
    <row r="11418">
      <c r="R11418" s="100"/>
      <c r="V11418" s="100"/>
      <c r="Y11418" s="100"/>
    </row>
    <row r="11419">
      <c r="R11419" s="100"/>
      <c r="V11419" s="100"/>
      <c r="Y11419" s="100"/>
    </row>
    <row r="11420">
      <c r="R11420" s="100"/>
      <c r="V11420" s="100"/>
      <c r="Y11420" s="100"/>
    </row>
    <row r="11421">
      <c r="R11421" s="100"/>
      <c r="V11421" s="100"/>
      <c r="Y11421" s="100"/>
    </row>
    <row r="11422">
      <c r="R11422" s="100"/>
      <c r="V11422" s="100"/>
      <c r="Y11422" s="100"/>
    </row>
    <row r="11423">
      <c r="R11423" s="100"/>
      <c r="V11423" s="100"/>
      <c r="Y11423" s="100"/>
    </row>
    <row r="11424">
      <c r="R11424" s="100"/>
      <c r="V11424" s="100"/>
      <c r="Y11424" s="100"/>
    </row>
    <row r="11425">
      <c r="R11425" s="100"/>
      <c r="V11425" s="100"/>
      <c r="Y11425" s="100"/>
    </row>
    <row r="11426">
      <c r="R11426" s="100"/>
      <c r="V11426" s="100"/>
      <c r="Y11426" s="100"/>
    </row>
    <row r="11427">
      <c r="R11427" s="100"/>
      <c r="V11427" s="100"/>
      <c r="Y11427" s="100"/>
    </row>
    <row r="11428">
      <c r="R11428" s="100"/>
      <c r="V11428" s="100"/>
      <c r="Y11428" s="100"/>
    </row>
    <row r="11429">
      <c r="R11429" s="100"/>
      <c r="V11429" s="100"/>
      <c r="Y11429" s="100"/>
    </row>
    <row r="11430">
      <c r="R11430" s="100"/>
      <c r="V11430" s="100"/>
      <c r="Y11430" s="100"/>
    </row>
    <row r="11431">
      <c r="R11431" s="100"/>
      <c r="V11431" s="100"/>
      <c r="Y11431" s="100"/>
    </row>
    <row r="11432">
      <c r="R11432" s="100"/>
      <c r="V11432" s="100"/>
      <c r="Y11432" s="100"/>
    </row>
    <row r="11433">
      <c r="R11433" s="100"/>
      <c r="V11433" s="100"/>
      <c r="Y11433" s="100"/>
    </row>
    <row r="11434">
      <c r="R11434" s="100"/>
      <c r="V11434" s="100"/>
      <c r="Y11434" s="100"/>
    </row>
    <row r="11435">
      <c r="R11435" s="100"/>
      <c r="V11435" s="100"/>
      <c r="Y11435" s="100"/>
    </row>
    <row r="11436">
      <c r="R11436" s="100"/>
      <c r="V11436" s="100"/>
      <c r="Y11436" s="100"/>
    </row>
    <row r="11437">
      <c r="R11437" s="100"/>
      <c r="V11437" s="100"/>
      <c r="Y11437" s="100"/>
    </row>
    <row r="11438">
      <c r="R11438" s="100"/>
      <c r="V11438" s="100"/>
      <c r="Y11438" s="100"/>
    </row>
    <row r="11439">
      <c r="R11439" s="100"/>
      <c r="V11439" s="100"/>
      <c r="Y11439" s="100"/>
    </row>
    <row r="11440">
      <c r="R11440" s="100"/>
      <c r="V11440" s="100"/>
      <c r="Y11440" s="100"/>
    </row>
    <row r="11441">
      <c r="R11441" s="100"/>
      <c r="V11441" s="100"/>
      <c r="Y11441" s="100"/>
    </row>
    <row r="11442">
      <c r="R11442" s="100"/>
      <c r="V11442" s="100"/>
      <c r="Y11442" s="100"/>
    </row>
    <row r="11443">
      <c r="R11443" s="100"/>
      <c r="V11443" s="100"/>
      <c r="Y11443" s="100"/>
    </row>
    <row r="11444">
      <c r="R11444" s="100"/>
      <c r="V11444" s="100"/>
      <c r="Y11444" s="100"/>
    </row>
    <row r="11445">
      <c r="R11445" s="100"/>
      <c r="V11445" s="100"/>
      <c r="Y11445" s="100"/>
    </row>
    <row r="11446">
      <c r="R11446" s="100"/>
      <c r="V11446" s="100"/>
      <c r="Y11446" s="100"/>
    </row>
    <row r="11447">
      <c r="R11447" s="100"/>
      <c r="V11447" s="100"/>
      <c r="Y11447" s="100"/>
    </row>
    <row r="11448">
      <c r="R11448" s="100"/>
      <c r="V11448" s="100"/>
      <c r="Y11448" s="100"/>
    </row>
    <row r="11449">
      <c r="R11449" s="100"/>
      <c r="V11449" s="100"/>
      <c r="Y11449" s="100"/>
    </row>
    <row r="11450">
      <c r="R11450" s="100"/>
      <c r="V11450" s="100"/>
      <c r="Y11450" s="100"/>
    </row>
    <row r="11451">
      <c r="R11451" s="100"/>
      <c r="V11451" s="100"/>
      <c r="Y11451" s="100"/>
    </row>
    <row r="11452">
      <c r="R11452" s="100"/>
      <c r="V11452" s="100"/>
      <c r="Y11452" s="100"/>
    </row>
    <row r="11453">
      <c r="R11453" s="100"/>
      <c r="V11453" s="100"/>
      <c r="Y11453" s="100"/>
    </row>
    <row r="11454">
      <c r="R11454" s="100"/>
      <c r="V11454" s="100"/>
      <c r="Y11454" s="100"/>
    </row>
    <row r="11455">
      <c r="R11455" s="100"/>
      <c r="V11455" s="100"/>
      <c r="Y11455" s="100"/>
    </row>
    <row r="11456">
      <c r="R11456" s="100"/>
      <c r="V11456" s="100"/>
      <c r="Y11456" s="100"/>
    </row>
    <row r="11457">
      <c r="R11457" s="100"/>
      <c r="V11457" s="100"/>
      <c r="Y11457" s="100"/>
    </row>
    <row r="11458">
      <c r="R11458" s="100"/>
      <c r="V11458" s="100"/>
      <c r="Y11458" s="100"/>
    </row>
    <row r="11459">
      <c r="R11459" s="100"/>
      <c r="V11459" s="100"/>
      <c r="Y11459" s="100"/>
    </row>
    <row r="11460">
      <c r="R11460" s="100"/>
      <c r="V11460" s="100"/>
      <c r="Y11460" s="100"/>
    </row>
    <row r="11461">
      <c r="R11461" s="100"/>
      <c r="V11461" s="100"/>
      <c r="Y11461" s="100"/>
    </row>
    <row r="11462">
      <c r="R11462" s="100"/>
      <c r="V11462" s="100"/>
      <c r="Y11462" s="100"/>
    </row>
    <row r="11463">
      <c r="R11463" s="100"/>
      <c r="V11463" s="100"/>
      <c r="Y11463" s="100"/>
    </row>
    <row r="11464">
      <c r="R11464" s="100"/>
      <c r="V11464" s="100"/>
      <c r="Y11464" s="100"/>
    </row>
    <row r="11465">
      <c r="R11465" s="100"/>
      <c r="V11465" s="100"/>
      <c r="Y11465" s="100"/>
    </row>
    <row r="11466">
      <c r="R11466" s="100"/>
      <c r="V11466" s="100"/>
      <c r="Y11466" s="100"/>
    </row>
    <row r="11467">
      <c r="R11467" s="100"/>
      <c r="V11467" s="100"/>
      <c r="Y11467" s="100"/>
    </row>
    <row r="11468">
      <c r="R11468" s="100"/>
      <c r="V11468" s="100"/>
      <c r="Y11468" s="100"/>
    </row>
    <row r="11469">
      <c r="R11469" s="100"/>
      <c r="V11469" s="100"/>
      <c r="Y11469" s="100"/>
    </row>
    <row r="11470">
      <c r="R11470" s="100"/>
      <c r="V11470" s="100"/>
      <c r="Y11470" s="100"/>
    </row>
    <row r="11471">
      <c r="R11471" s="100"/>
      <c r="V11471" s="100"/>
      <c r="Y11471" s="100"/>
    </row>
    <row r="11472">
      <c r="R11472" s="100"/>
      <c r="V11472" s="100"/>
      <c r="Y11472" s="100"/>
    </row>
    <row r="11473">
      <c r="R11473" s="100"/>
      <c r="V11473" s="100"/>
      <c r="Y11473" s="100"/>
    </row>
    <row r="11474">
      <c r="R11474" s="100"/>
      <c r="V11474" s="100"/>
      <c r="Y11474" s="100"/>
    </row>
    <row r="11475">
      <c r="R11475" s="100"/>
      <c r="V11475" s="100"/>
      <c r="Y11475" s="100"/>
    </row>
    <row r="11476">
      <c r="R11476" s="100"/>
      <c r="V11476" s="100"/>
      <c r="Y11476" s="100"/>
    </row>
    <row r="11477">
      <c r="R11477" s="100"/>
      <c r="V11477" s="100"/>
      <c r="Y11477" s="100"/>
    </row>
    <row r="11478">
      <c r="R11478" s="100"/>
      <c r="V11478" s="100"/>
      <c r="Y11478" s="100"/>
    </row>
    <row r="11479">
      <c r="R11479" s="100"/>
      <c r="V11479" s="100"/>
      <c r="Y11479" s="100"/>
    </row>
    <row r="11480">
      <c r="R11480" s="100"/>
      <c r="V11480" s="100"/>
      <c r="Y11480" s="100"/>
    </row>
    <row r="11481">
      <c r="R11481" s="100"/>
      <c r="V11481" s="100"/>
      <c r="Y11481" s="100"/>
    </row>
    <row r="11482">
      <c r="R11482" s="100"/>
      <c r="V11482" s="100"/>
      <c r="Y11482" s="100"/>
    </row>
    <row r="11483">
      <c r="R11483" s="100"/>
      <c r="V11483" s="100"/>
      <c r="Y11483" s="100"/>
    </row>
    <row r="11484">
      <c r="R11484" s="100"/>
      <c r="V11484" s="100"/>
      <c r="Y11484" s="100"/>
    </row>
    <row r="11485">
      <c r="R11485" s="100"/>
      <c r="V11485" s="100"/>
      <c r="Y11485" s="100"/>
    </row>
    <row r="11486">
      <c r="R11486" s="100"/>
      <c r="V11486" s="100"/>
      <c r="Y11486" s="100"/>
    </row>
    <row r="11487">
      <c r="R11487" s="100"/>
      <c r="V11487" s="100"/>
      <c r="Y11487" s="100"/>
    </row>
    <row r="11488">
      <c r="R11488" s="100"/>
      <c r="V11488" s="100"/>
      <c r="Y11488" s="100"/>
    </row>
    <row r="11489">
      <c r="R11489" s="100"/>
      <c r="V11489" s="100"/>
      <c r="Y11489" s="100"/>
    </row>
    <row r="11490">
      <c r="R11490" s="100"/>
      <c r="V11490" s="100"/>
      <c r="Y11490" s="100"/>
    </row>
    <row r="11491">
      <c r="R11491" s="100"/>
      <c r="V11491" s="100"/>
      <c r="Y11491" s="100"/>
    </row>
    <row r="11492">
      <c r="R11492" s="100"/>
      <c r="V11492" s="100"/>
      <c r="Y11492" s="100"/>
    </row>
    <row r="11493">
      <c r="R11493" s="100"/>
      <c r="V11493" s="100"/>
      <c r="Y11493" s="100"/>
    </row>
    <row r="11494">
      <c r="R11494" s="100"/>
      <c r="V11494" s="100"/>
      <c r="Y11494" s="100"/>
    </row>
    <row r="11495">
      <c r="R11495" s="100"/>
      <c r="V11495" s="100"/>
      <c r="Y11495" s="100"/>
    </row>
    <row r="11496">
      <c r="R11496" s="100"/>
      <c r="V11496" s="100"/>
      <c r="Y11496" s="100"/>
    </row>
    <row r="11497">
      <c r="R11497" s="100"/>
      <c r="V11497" s="100"/>
      <c r="Y11497" s="100"/>
    </row>
    <row r="11498">
      <c r="R11498" s="100"/>
      <c r="V11498" s="100"/>
      <c r="Y11498" s="100"/>
    </row>
    <row r="11499">
      <c r="R11499" s="100"/>
      <c r="V11499" s="100"/>
      <c r="Y11499" s="100"/>
    </row>
    <row r="11500">
      <c r="R11500" s="100"/>
      <c r="V11500" s="100"/>
      <c r="Y11500" s="100"/>
    </row>
    <row r="11501">
      <c r="R11501" s="100"/>
      <c r="V11501" s="100"/>
      <c r="Y11501" s="100"/>
    </row>
    <row r="11502">
      <c r="R11502" s="100"/>
      <c r="V11502" s="100"/>
      <c r="Y11502" s="100"/>
    </row>
    <row r="11503">
      <c r="R11503" s="100"/>
      <c r="V11503" s="100"/>
      <c r="Y11503" s="100"/>
    </row>
    <row r="11504">
      <c r="R11504" s="100"/>
      <c r="V11504" s="100"/>
      <c r="Y11504" s="100"/>
    </row>
    <row r="11505">
      <c r="R11505" s="100"/>
      <c r="V11505" s="100"/>
      <c r="Y11505" s="100"/>
    </row>
    <row r="11506">
      <c r="R11506" s="100"/>
      <c r="V11506" s="100"/>
      <c r="Y11506" s="100"/>
    </row>
    <row r="11507">
      <c r="R11507" s="100"/>
      <c r="V11507" s="100"/>
      <c r="Y11507" s="100"/>
    </row>
    <row r="11508">
      <c r="R11508" s="100"/>
      <c r="V11508" s="100"/>
      <c r="Y11508" s="100"/>
    </row>
    <row r="11509">
      <c r="R11509" s="100"/>
      <c r="V11509" s="100"/>
      <c r="Y11509" s="100"/>
    </row>
    <row r="11510">
      <c r="R11510" s="100"/>
      <c r="V11510" s="100"/>
      <c r="Y11510" s="100"/>
    </row>
    <row r="11511">
      <c r="R11511" s="100"/>
      <c r="V11511" s="100"/>
      <c r="Y11511" s="100"/>
    </row>
    <row r="11512">
      <c r="R11512" s="100"/>
      <c r="V11512" s="100"/>
      <c r="Y11512" s="100"/>
    </row>
    <row r="11513">
      <c r="R11513" s="100"/>
      <c r="V11513" s="100"/>
      <c r="Y11513" s="100"/>
    </row>
    <row r="11514">
      <c r="R11514" s="100"/>
      <c r="V11514" s="100"/>
      <c r="Y11514" s="100"/>
    </row>
    <row r="11515">
      <c r="R11515" s="100"/>
      <c r="V11515" s="100"/>
      <c r="Y11515" s="100"/>
    </row>
    <row r="11516">
      <c r="R11516" s="100"/>
      <c r="V11516" s="100"/>
      <c r="Y11516" s="100"/>
    </row>
    <row r="11517">
      <c r="R11517" s="100"/>
      <c r="V11517" s="100"/>
      <c r="Y11517" s="100"/>
    </row>
    <row r="11518">
      <c r="R11518" s="100"/>
      <c r="V11518" s="100"/>
      <c r="Y11518" s="100"/>
    </row>
    <row r="11519">
      <c r="R11519" s="100"/>
      <c r="V11519" s="100"/>
      <c r="Y11519" s="100"/>
    </row>
    <row r="11520">
      <c r="R11520" s="100"/>
      <c r="V11520" s="100"/>
      <c r="Y11520" s="100"/>
    </row>
    <row r="11521">
      <c r="R11521" s="100"/>
      <c r="V11521" s="100"/>
      <c r="Y11521" s="100"/>
    </row>
    <row r="11522">
      <c r="R11522" s="100"/>
      <c r="V11522" s="100"/>
      <c r="Y11522" s="100"/>
    </row>
    <row r="11523">
      <c r="R11523" s="100"/>
      <c r="V11523" s="100"/>
      <c r="Y11523" s="100"/>
    </row>
    <row r="11524">
      <c r="R11524" s="100"/>
      <c r="V11524" s="100"/>
      <c r="Y11524" s="100"/>
    </row>
    <row r="11525">
      <c r="R11525" s="100"/>
      <c r="V11525" s="100"/>
      <c r="Y11525" s="100"/>
    </row>
    <row r="11526">
      <c r="R11526" s="100"/>
      <c r="V11526" s="100"/>
      <c r="Y11526" s="100"/>
    </row>
    <row r="11527">
      <c r="R11527" s="100"/>
      <c r="V11527" s="100"/>
      <c r="Y11527" s="100"/>
    </row>
    <row r="11528">
      <c r="R11528" s="100"/>
      <c r="V11528" s="100"/>
      <c r="Y11528" s="100"/>
    </row>
    <row r="11529">
      <c r="R11529" s="100"/>
      <c r="V11529" s="100"/>
      <c r="Y11529" s="100"/>
    </row>
    <row r="11530">
      <c r="R11530" s="100"/>
      <c r="V11530" s="100"/>
      <c r="Y11530" s="100"/>
    </row>
    <row r="11531">
      <c r="R11531" s="100"/>
      <c r="V11531" s="100"/>
      <c r="Y11531" s="100"/>
    </row>
    <row r="11532">
      <c r="R11532" s="100"/>
      <c r="V11532" s="100"/>
      <c r="Y11532" s="100"/>
    </row>
    <row r="11533">
      <c r="R11533" s="100"/>
      <c r="V11533" s="100"/>
      <c r="Y11533" s="100"/>
    </row>
    <row r="11534">
      <c r="R11534" s="100"/>
      <c r="V11534" s="100"/>
      <c r="Y11534" s="100"/>
    </row>
    <row r="11535">
      <c r="R11535" s="100"/>
      <c r="V11535" s="100"/>
      <c r="Y11535" s="100"/>
    </row>
    <row r="11536">
      <c r="R11536" s="100"/>
      <c r="V11536" s="100"/>
      <c r="Y11536" s="100"/>
    </row>
    <row r="11537">
      <c r="R11537" s="100"/>
      <c r="V11537" s="100"/>
      <c r="Y11537" s="100"/>
    </row>
    <row r="11538">
      <c r="R11538" s="100"/>
      <c r="V11538" s="100"/>
      <c r="Y11538" s="100"/>
    </row>
    <row r="11539">
      <c r="R11539" s="100"/>
      <c r="V11539" s="100"/>
      <c r="Y11539" s="100"/>
    </row>
    <row r="11540">
      <c r="R11540" s="100"/>
      <c r="V11540" s="100"/>
      <c r="Y11540" s="100"/>
    </row>
    <row r="11541">
      <c r="R11541" s="100"/>
      <c r="V11541" s="100"/>
      <c r="Y11541" s="100"/>
    </row>
    <row r="11542">
      <c r="R11542" s="100"/>
      <c r="V11542" s="100"/>
      <c r="Y11542" s="100"/>
    </row>
    <row r="11543">
      <c r="R11543" s="100"/>
      <c r="V11543" s="100"/>
      <c r="Y11543" s="100"/>
    </row>
    <row r="11544">
      <c r="R11544" s="100"/>
      <c r="V11544" s="100"/>
      <c r="Y11544" s="100"/>
    </row>
    <row r="11545">
      <c r="R11545" s="100"/>
      <c r="V11545" s="100"/>
      <c r="Y11545" s="100"/>
    </row>
    <row r="11546">
      <c r="R11546" s="100"/>
      <c r="V11546" s="100"/>
      <c r="Y11546" s="100"/>
    </row>
    <row r="11547">
      <c r="R11547" s="100"/>
      <c r="V11547" s="100"/>
      <c r="Y11547" s="100"/>
    </row>
    <row r="11548">
      <c r="R11548" s="100"/>
      <c r="V11548" s="100"/>
      <c r="Y11548" s="100"/>
    </row>
    <row r="11549">
      <c r="R11549" s="100"/>
      <c r="V11549" s="100"/>
      <c r="Y11549" s="100"/>
    </row>
    <row r="11550">
      <c r="R11550" s="100"/>
      <c r="V11550" s="100"/>
      <c r="Y11550" s="100"/>
    </row>
    <row r="11551">
      <c r="R11551" s="100"/>
      <c r="V11551" s="100"/>
      <c r="Y11551" s="100"/>
    </row>
    <row r="11552">
      <c r="R11552" s="100"/>
      <c r="V11552" s="100"/>
      <c r="Y11552" s="100"/>
    </row>
    <row r="11553">
      <c r="R11553" s="100"/>
      <c r="V11553" s="100"/>
      <c r="Y11553" s="100"/>
    </row>
    <row r="11554">
      <c r="R11554" s="100"/>
      <c r="V11554" s="100"/>
      <c r="Y11554" s="100"/>
    </row>
    <row r="11555">
      <c r="R11555" s="100"/>
      <c r="V11555" s="100"/>
      <c r="Y11555" s="100"/>
    </row>
    <row r="11556">
      <c r="R11556" s="100"/>
      <c r="V11556" s="100"/>
      <c r="Y11556" s="100"/>
    </row>
    <row r="11557">
      <c r="R11557" s="100"/>
      <c r="V11557" s="100"/>
      <c r="Y11557" s="100"/>
    </row>
    <row r="11558">
      <c r="R11558" s="100"/>
      <c r="V11558" s="100"/>
      <c r="Y11558" s="100"/>
    </row>
    <row r="11559">
      <c r="R11559" s="100"/>
      <c r="V11559" s="100"/>
      <c r="Y11559" s="100"/>
    </row>
    <row r="11560">
      <c r="R11560" s="100"/>
      <c r="V11560" s="100"/>
      <c r="Y11560" s="100"/>
    </row>
    <row r="11561">
      <c r="R11561" s="100"/>
      <c r="V11561" s="100"/>
      <c r="Y11561" s="100"/>
    </row>
    <row r="11562">
      <c r="R11562" s="100"/>
      <c r="V11562" s="100"/>
      <c r="Y11562" s="100"/>
    </row>
    <row r="11563">
      <c r="R11563" s="100"/>
      <c r="V11563" s="100"/>
      <c r="Y11563" s="100"/>
    </row>
    <row r="11564">
      <c r="R11564" s="100"/>
      <c r="V11564" s="100"/>
      <c r="Y11564" s="100"/>
    </row>
    <row r="11565">
      <c r="R11565" s="100"/>
      <c r="V11565" s="100"/>
      <c r="Y11565" s="100"/>
    </row>
    <row r="11566">
      <c r="R11566" s="100"/>
      <c r="V11566" s="100"/>
      <c r="Y11566" s="100"/>
    </row>
    <row r="11567">
      <c r="R11567" s="100"/>
      <c r="V11567" s="100"/>
      <c r="Y11567" s="100"/>
    </row>
    <row r="11568">
      <c r="R11568" s="100"/>
      <c r="V11568" s="100"/>
      <c r="Y11568" s="100"/>
    </row>
    <row r="11569">
      <c r="R11569" s="100"/>
      <c r="V11569" s="100"/>
      <c r="Y11569" s="100"/>
    </row>
    <row r="11570">
      <c r="R11570" s="100"/>
      <c r="V11570" s="100"/>
      <c r="Y11570" s="100"/>
    </row>
    <row r="11571">
      <c r="R11571" s="100"/>
      <c r="V11571" s="100"/>
      <c r="Y11571" s="100"/>
    </row>
    <row r="11572">
      <c r="R11572" s="100"/>
      <c r="V11572" s="100"/>
      <c r="Y11572" s="100"/>
    </row>
    <row r="11573">
      <c r="R11573" s="100"/>
      <c r="V11573" s="100"/>
      <c r="Y11573" s="100"/>
    </row>
    <row r="11574">
      <c r="R11574" s="100"/>
      <c r="V11574" s="100"/>
      <c r="Y11574" s="100"/>
    </row>
    <row r="11575">
      <c r="R11575" s="100"/>
      <c r="V11575" s="100"/>
      <c r="Y11575" s="100"/>
    </row>
    <row r="11576">
      <c r="R11576" s="100"/>
      <c r="V11576" s="100"/>
      <c r="Y11576" s="100"/>
    </row>
    <row r="11577">
      <c r="R11577" s="100"/>
      <c r="V11577" s="100"/>
      <c r="Y11577" s="100"/>
    </row>
    <row r="11578">
      <c r="R11578" s="100"/>
      <c r="V11578" s="100"/>
      <c r="Y11578" s="100"/>
    </row>
    <row r="11579">
      <c r="R11579" s="100"/>
      <c r="V11579" s="100"/>
      <c r="Y11579" s="100"/>
    </row>
    <row r="11580">
      <c r="R11580" s="100"/>
      <c r="V11580" s="100"/>
      <c r="Y11580" s="100"/>
    </row>
    <row r="11581">
      <c r="R11581" s="100"/>
      <c r="V11581" s="100"/>
      <c r="Y11581" s="100"/>
    </row>
    <row r="11582">
      <c r="R11582" s="100"/>
      <c r="V11582" s="100"/>
      <c r="Y11582" s="100"/>
    </row>
    <row r="11583">
      <c r="R11583" s="100"/>
      <c r="V11583" s="100"/>
      <c r="Y11583" s="100"/>
    </row>
    <row r="11584">
      <c r="R11584" s="100"/>
      <c r="V11584" s="100"/>
      <c r="Y11584" s="100"/>
    </row>
    <row r="11585">
      <c r="R11585" s="100"/>
      <c r="V11585" s="100"/>
      <c r="Y11585" s="100"/>
    </row>
    <row r="11586">
      <c r="R11586" s="100"/>
      <c r="V11586" s="100"/>
      <c r="Y11586" s="100"/>
    </row>
    <row r="11587">
      <c r="R11587" s="100"/>
      <c r="V11587" s="100"/>
      <c r="Y11587" s="100"/>
    </row>
    <row r="11588">
      <c r="R11588" s="100"/>
      <c r="V11588" s="100"/>
      <c r="Y11588" s="100"/>
    </row>
    <row r="11589">
      <c r="R11589" s="100"/>
      <c r="V11589" s="100"/>
      <c r="Y11589" s="100"/>
    </row>
    <row r="11590">
      <c r="R11590" s="100"/>
      <c r="V11590" s="100"/>
      <c r="Y11590" s="100"/>
    </row>
    <row r="11591">
      <c r="R11591" s="100"/>
      <c r="V11591" s="100"/>
      <c r="Y11591" s="100"/>
    </row>
    <row r="11592">
      <c r="R11592" s="100"/>
      <c r="V11592" s="100"/>
      <c r="Y11592" s="100"/>
    </row>
    <row r="11593">
      <c r="R11593" s="100"/>
      <c r="V11593" s="100"/>
      <c r="Y11593" s="100"/>
    </row>
    <row r="11594">
      <c r="R11594" s="100"/>
      <c r="V11594" s="100"/>
      <c r="Y11594" s="100"/>
    </row>
    <row r="11595">
      <c r="R11595" s="100"/>
      <c r="V11595" s="100"/>
      <c r="Y11595" s="100"/>
    </row>
    <row r="11596">
      <c r="R11596" s="100"/>
      <c r="V11596" s="100"/>
      <c r="Y11596" s="100"/>
    </row>
    <row r="11597">
      <c r="R11597" s="100"/>
      <c r="V11597" s="100"/>
      <c r="Y11597" s="100"/>
    </row>
    <row r="11598">
      <c r="R11598" s="100"/>
      <c r="V11598" s="100"/>
      <c r="Y11598" s="100"/>
    </row>
    <row r="11599">
      <c r="R11599" s="100"/>
      <c r="V11599" s="100"/>
      <c r="Y11599" s="100"/>
    </row>
    <row r="11600">
      <c r="R11600" s="100"/>
      <c r="V11600" s="100"/>
      <c r="Y11600" s="100"/>
    </row>
    <row r="11601">
      <c r="R11601" s="100"/>
      <c r="V11601" s="100"/>
      <c r="Y11601" s="100"/>
    </row>
    <row r="11602">
      <c r="R11602" s="100"/>
      <c r="V11602" s="100"/>
      <c r="Y11602" s="100"/>
    </row>
    <row r="11603">
      <c r="R11603" s="100"/>
      <c r="V11603" s="100"/>
      <c r="Y11603" s="100"/>
    </row>
    <row r="11604">
      <c r="R11604" s="100"/>
      <c r="V11604" s="100"/>
      <c r="Y11604" s="100"/>
    </row>
    <row r="11605">
      <c r="R11605" s="100"/>
      <c r="V11605" s="100"/>
      <c r="Y11605" s="100"/>
    </row>
    <row r="11606">
      <c r="R11606" s="100"/>
      <c r="V11606" s="100"/>
      <c r="Y11606" s="100"/>
    </row>
    <row r="11607">
      <c r="R11607" s="100"/>
      <c r="V11607" s="100"/>
      <c r="Y11607" s="100"/>
    </row>
    <row r="11608">
      <c r="R11608" s="100"/>
      <c r="V11608" s="100"/>
      <c r="Y11608" s="100"/>
    </row>
    <row r="11609">
      <c r="R11609" s="100"/>
      <c r="V11609" s="100"/>
      <c r="Y11609" s="100"/>
    </row>
    <row r="11610">
      <c r="R11610" s="100"/>
      <c r="V11610" s="100"/>
      <c r="Y11610" s="100"/>
    </row>
    <row r="11611">
      <c r="R11611" s="100"/>
      <c r="V11611" s="100"/>
      <c r="Y11611" s="100"/>
    </row>
    <row r="11612">
      <c r="R11612" s="100"/>
      <c r="V11612" s="100"/>
      <c r="Y11612" s="100"/>
    </row>
    <row r="11613">
      <c r="R11613" s="100"/>
      <c r="V11613" s="100"/>
      <c r="Y11613" s="100"/>
    </row>
    <row r="11614">
      <c r="R11614" s="100"/>
      <c r="V11614" s="100"/>
      <c r="Y11614" s="100"/>
    </row>
    <row r="11615">
      <c r="R11615" s="100"/>
      <c r="V11615" s="100"/>
      <c r="Y11615" s="100"/>
    </row>
    <row r="11616">
      <c r="R11616" s="100"/>
      <c r="V11616" s="100"/>
      <c r="Y11616" s="100"/>
    </row>
    <row r="11617">
      <c r="R11617" s="100"/>
      <c r="V11617" s="100"/>
      <c r="Y11617" s="100"/>
    </row>
    <row r="11618">
      <c r="R11618" s="100"/>
      <c r="V11618" s="100"/>
      <c r="Y11618" s="100"/>
    </row>
    <row r="11619">
      <c r="R11619" s="100"/>
      <c r="V11619" s="100"/>
      <c r="Y11619" s="100"/>
    </row>
    <row r="11620">
      <c r="R11620" s="100"/>
      <c r="V11620" s="100"/>
      <c r="Y11620" s="100"/>
    </row>
    <row r="11621">
      <c r="R11621" s="100"/>
      <c r="V11621" s="100"/>
      <c r="Y11621" s="100"/>
    </row>
    <row r="11622">
      <c r="R11622" s="100"/>
      <c r="V11622" s="100"/>
      <c r="Y11622" s="100"/>
    </row>
    <row r="11623">
      <c r="R11623" s="100"/>
      <c r="V11623" s="100"/>
      <c r="Y11623" s="100"/>
    </row>
    <row r="11624">
      <c r="R11624" s="100"/>
      <c r="V11624" s="100"/>
      <c r="Y11624" s="100"/>
    </row>
    <row r="11625">
      <c r="R11625" s="100"/>
      <c r="V11625" s="100"/>
      <c r="Y11625" s="100"/>
    </row>
    <row r="11626">
      <c r="R11626" s="100"/>
      <c r="V11626" s="100"/>
      <c r="Y11626" s="100"/>
    </row>
    <row r="11627">
      <c r="R11627" s="100"/>
      <c r="V11627" s="100"/>
      <c r="Y11627" s="100"/>
    </row>
    <row r="11628">
      <c r="R11628" s="100"/>
      <c r="V11628" s="100"/>
      <c r="Y11628" s="100"/>
    </row>
    <row r="11629">
      <c r="R11629" s="100"/>
      <c r="V11629" s="100"/>
      <c r="Y11629" s="100"/>
    </row>
    <row r="11630">
      <c r="R11630" s="100"/>
      <c r="V11630" s="100"/>
      <c r="Y11630" s="100"/>
    </row>
    <row r="11631">
      <c r="R11631" s="100"/>
      <c r="V11631" s="100"/>
      <c r="Y11631" s="100"/>
    </row>
    <row r="11632">
      <c r="R11632" s="100"/>
      <c r="V11632" s="100"/>
      <c r="Y11632" s="100"/>
    </row>
    <row r="11633">
      <c r="R11633" s="100"/>
      <c r="V11633" s="100"/>
      <c r="Y11633" s="100"/>
    </row>
    <row r="11634">
      <c r="R11634" s="100"/>
      <c r="V11634" s="100"/>
      <c r="Y11634" s="100"/>
    </row>
    <row r="11635">
      <c r="R11635" s="100"/>
      <c r="V11635" s="100"/>
      <c r="Y11635" s="100"/>
    </row>
    <row r="11636">
      <c r="R11636" s="100"/>
      <c r="V11636" s="100"/>
      <c r="Y11636" s="100"/>
    </row>
    <row r="11637">
      <c r="R11637" s="100"/>
      <c r="V11637" s="100"/>
      <c r="Y11637" s="100"/>
    </row>
    <row r="11638">
      <c r="R11638" s="100"/>
      <c r="V11638" s="100"/>
      <c r="Y11638" s="100"/>
    </row>
    <row r="11639">
      <c r="R11639" s="100"/>
      <c r="V11639" s="100"/>
      <c r="Y11639" s="100"/>
    </row>
    <row r="11640">
      <c r="R11640" s="100"/>
      <c r="V11640" s="100"/>
      <c r="Y11640" s="100"/>
    </row>
    <row r="11641">
      <c r="R11641" s="100"/>
      <c r="V11641" s="100"/>
      <c r="Y11641" s="100"/>
    </row>
    <row r="11642">
      <c r="R11642" s="100"/>
      <c r="V11642" s="100"/>
      <c r="Y11642" s="100"/>
    </row>
    <row r="11643">
      <c r="R11643" s="100"/>
      <c r="V11643" s="100"/>
      <c r="Y11643" s="100"/>
    </row>
    <row r="11644">
      <c r="R11644" s="100"/>
      <c r="V11644" s="100"/>
      <c r="Y11644" s="100"/>
    </row>
    <row r="11645">
      <c r="R11645" s="100"/>
      <c r="V11645" s="100"/>
      <c r="Y11645" s="100"/>
    </row>
    <row r="11646">
      <c r="R11646" s="100"/>
      <c r="V11646" s="100"/>
      <c r="Y11646" s="100"/>
    </row>
    <row r="11647">
      <c r="R11647" s="100"/>
      <c r="V11647" s="100"/>
      <c r="Y11647" s="100"/>
    </row>
    <row r="11648">
      <c r="R11648" s="100"/>
      <c r="V11648" s="100"/>
      <c r="Y11648" s="100"/>
    </row>
    <row r="11649">
      <c r="R11649" s="100"/>
      <c r="V11649" s="100"/>
      <c r="Y11649" s="100"/>
    </row>
    <row r="11650">
      <c r="R11650" s="100"/>
      <c r="V11650" s="100"/>
      <c r="Y11650" s="100"/>
    </row>
    <row r="11651">
      <c r="R11651" s="100"/>
      <c r="V11651" s="100"/>
      <c r="Y11651" s="100"/>
    </row>
    <row r="11652">
      <c r="R11652" s="100"/>
      <c r="V11652" s="100"/>
      <c r="Y11652" s="100"/>
    </row>
    <row r="11653">
      <c r="R11653" s="100"/>
      <c r="V11653" s="100"/>
      <c r="Y11653" s="100"/>
    </row>
    <row r="11654">
      <c r="R11654" s="100"/>
      <c r="V11654" s="100"/>
      <c r="Y11654" s="100"/>
    </row>
    <row r="11655">
      <c r="R11655" s="100"/>
      <c r="V11655" s="100"/>
      <c r="Y11655" s="100"/>
    </row>
    <row r="11656">
      <c r="R11656" s="100"/>
      <c r="V11656" s="100"/>
      <c r="Y11656" s="100"/>
    </row>
    <row r="11657">
      <c r="R11657" s="100"/>
      <c r="V11657" s="100"/>
      <c r="Y11657" s="100"/>
    </row>
    <row r="11658">
      <c r="R11658" s="100"/>
      <c r="V11658" s="100"/>
      <c r="Y11658" s="100"/>
    </row>
    <row r="11659">
      <c r="R11659" s="100"/>
      <c r="V11659" s="100"/>
      <c r="Y11659" s="100"/>
    </row>
    <row r="11660">
      <c r="R11660" s="100"/>
      <c r="V11660" s="100"/>
      <c r="Y11660" s="100"/>
    </row>
    <row r="11661">
      <c r="R11661" s="100"/>
      <c r="V11661" s="100"/>
      <c r="Y11661" s="100"/>
    </row>
    <row r="11662">
      <c r="R11662" s="100"/>
      <c r="V11662" s="100"/>
      <c r="Y11662" s="100"/>
    </row>
    <row r="11663">
      <c r="R11663" s="100"/>
      <c r="V11663" s="100"/>
      <c r="Y11663" s="100"/>
    </row>
    <row r="11664">
      <c r="R11664" s="100"/>
      <c r="V11664" s="100"/>
      <c r="Y11664" s="100"/>
    </row>
    <row r="11665">
      <c r="R11665" s="100"/>
      <c r="V11665" s="100"/>
      <c r="Y11665" s="100"/>
    </row>
    <row r="11666">
      <c r="R11666" s="100"/>
      <c r="V11666" s="100"/>
      <c r="Y11666" s="100"/>
    </row>
    <row r="11667">
      <c r="R11667" s="100"/>
      <c r="V11667" s="100"/>
      <c r="Y11667" s="100"/>
    </row>
    <row r="11668">
      <c r="R11668" s="100"/>
      <c r="V11668" s="100"/>
      <c r="Y11668" s="100"/>
    </row>
    <row r="11669">
      <c r="R11669" s="100"/>
      <c r="V11669" s="100"/>
      <c r="Y11669" s="100"/>
    </row>
    <row r="11670">
      <c r="R11670" s="100"/>
      <c r="V11670" s="100"/>
      <c r="Y11670" s="100"/>
    </row>
    <row r="11671">
      <c r="R11671" s="100"/>
      <c r="V11671" s="100"/>
      <c r="Y11671" s="100"/>
    </row>
    <row r="11672">
      <c r="R11672" s="100"/>
      <c r="V11672" s="100"/>
      <c r="Y11672" s="100"/>
    </row>
    <row r="11673">
      <c r="R11673" s="100"/>
      <c r="V11673" s="100"/>
      <c r="Y11673" s="100"/>
    </row>
    <row r="11674">
      <c r="R11674" s="100"/>
      <c r="V11674" s="100"/>
      <c r="Y11674" s="100"/>
    </row>
    <row r="11675">
      <c r="R11675" s="100"/>
      <c r="V11675" s="100"/>
      <c r="Y11675" s="100"/>
    </row>
    <row r="11676">
      <c r="R11676" s="100"/>
      <c r="V11676" s="100"/>
      <c r="Y11676" s="100"/>
    </row>
    <row r="11677">
      <c r="R11677" s="100"/>
      <c r="V11677" s="100"/>
      <c r="Y11677" s="100"/>
    </row>
    <row r="11678">
      <c r="R11678" s="100"/>
      <c r="V11678" s="100"/>
      <c r="Y11678" s="100"/>
    </row>
    <row r="11679">
      <c r="R11679" s="100"/>
      <c r="V11679" s="100"/>
      <c r="Y11679" s="100"/>
    </row>
    <row r="11680">
      <c r="R11680" s="100"/>
      <c r="V11680" s="100"/>
      <c r="Y11680" s="100"/>
    </row>
    <row r="11681">
      <c r="R11681" s="100"/>
      <c r="V11681" s="100"/>
      <c r="Y11681" s="100"/>
    </row>
    <row r="11682">
      <c r="R11682" s="100"/>
      <c r="V11682" s="100"/>
      <c r="Y11682" s="100"/>
    </row>
    <row r="11683">
      <c r="R11683" s="100"/>
      <c r="V11683" s="100"/>
      <c r="Y11683" s="100"/>
    </row>
    <row r="11684">
      <c r="R11684" s="100"/>
      <c r="V11684" s="100"/>
      <c r="Y11684" s="100"/>
    </row>
    <row r="11685">
      <c r="R11685" s="100"/>
      <c r="V11685" s="100"/>
      <c r="Y11685" s="100"/>
    </row>
    <row r="11686">
      <c r="R11686" s="100"/>
      <c r="V11686" s="100"/>
      <c r="Y11686" s="100"/>
    </row>
    <row r="11687">
      <c r="R11687" s="100"/>
      <c r="V11687" s="100"/>
      <c r="Y11687" s="100"/>
    </row>
    <row r="11688">
      <c r="R11688" s="100"/>
      <c r="V11688" s="100"/>
      <c r="Y11688" s="100"/>
    </row>
    <row r="11689">
      <c r="R11689" s="100"/>
      <c r="V11689" s="100"/>
      <c r="Y11689" s="100"/>
    </row>
    <row r="11690">
      <c r="R11690" s="100"/>
      <c r="V11690" s="100"/>
      <c r="Y11690" s="100"/>
    </row>
    <row r="11691">
      <c r="R11691" s="100"/>
      <c r="V11691" s="100"/>
      <c r="Y11691" s="100"/>
    </row>
    <row r="11692">
      <c r="R11692" s="100"/>
      <c r="V11692" s="100"/>
      <c r="Y11692" s="100"/>
    </row>
    <row r="11693">
      <c r="R11693" s="100"/>
      <c r="V11693" s="100"/>
      <c r="Y11693" s="100"/>
    </row>
    <row r="11694">
      <c r="R11694" s="100"/>
      <c r="V11694" s="100"/>
      <c r="Y11694" s="100"/>
    </row>
    <row r="11695">
      <c r="R11695" s="100"/>
      <c r="V11695" s="100"/>
      <c r="Y11695" s="100"/>
    </row>
    <row r="11696">
      <c r="R11696" s="100"/>
      <c r="V11696" s="100"/>
      <c r="Y11696" s="100"/>
    </row>
    <row r="11697">
      <c r="R11697" s="100"/>
      <c r="V11697" s="100"/>
      <c r="Y11697" s="100"/>
    </row>
    <row r="11698">
      <c r="R11698" s="100"/>
      <c r="V11698" s="100"/>
      <c r="Y11698" s="100"/>
    </row>
    <row r="11699">
      <c r="R11699" s="100"/>
      <c r="V11699" s="100"/>
      <c r="Y11699" s="100"/>
    </row>
    <row r="11700">
      <c r="R11700" s="100"/>
      <c r="V11700" s="100"/>
      <c r="Y11700" s="100"/>
    </row>
    <row r="11701">
      <c r="R11701" s="100"/>
      <c r="V11701" s="100"/>
      <c r="Y11701" s="100"/>
    </row>
    <row r="11702">
      <c r="R11702" s="100"/>
      <c r="V11702" s="100"/>
      <c r="Y11702" s="100"/>
    </row>
    <row r="11703">
      <c r="R11703" s="100"/>
      <c r="V11703" s="100"/>
      <c r="Y11703" s="100"/>
    </row>
    <row r="11704">
      <c r="R11704" s="100"/>
      <c r="V11704" s="100"/>
      <c r="Y11704" s="100"/>
    </row>
    <row r="11705">
      <c r="R11705" s="100"/>
      <c r="V11705" s="100"/>
      <c r="Y11705" s="100"/>
    </row>
    <row r="11706">
      <c r="R11706" s="100"/>
      <c r="V11706" s="100"/>
      <c r="Y11706" s="100"/>
    </row>
    <row r="11707">
      <c r="R11707" s="100"/>
      <c r="V11707" s="100"/>
      <c r="Y11707" s="100"/>
    </row>
    <row r="11708">
      <c r="R11708" s="100"/>
      <c r="V11708" s="100"/>
      <c r="Y11708" s="100"/>
    </row>
    <row r="11709">
      <c r="R11709" s="100"/>
      <c r="V11709" s="100"/>
      <c r="Y11709" s="100"/>
    </row>
    <row r="11710">
      <c r="R11710" s="100"/>
      <c r="V11710" s="100"/>
      <c r="Y11710" s="100"/>
    </row>
    <row r="11711">
      <c r="R11711" s="100"/>
      <c r="V11711" s="100"/>
      <c r="Y11711" s="100"/>
    </row>
    <row r="11712">
      <c r="R11712" s="100"/>
      <c r="V11712" s="100"/>
      <c r="Y11712" s="100"/>
    </row>
    <row r="11713">
      <c r="R11713" s="100"/>
      <c r="V11713" s="100"/>
      <c r="Y11713" s="100"/>
    </row>
    <row r="11714">
      <c r="R11714" s="100"/>
      <c r="V11714" s="100"/>
      <c r="Y11714" s="100"/>
    </row>
    <row r="11715">
      <c r="R11715" s="100"/>
      <c r="V11715" s="100"/>
      <c r="Y11715" s="100"/>
    </row>
    <row r="11716">
      <c r="R11716" s="100"/>
      <c r="V11716" s="100"/>
      <c r="Y11716" s="100"/>
    </row>
    <row r="11717">
      <c r="R11717" s="100"/>
      <c r="V11717" s="100"/>
      <c r="Y11717" s="100"/>
    </row>
    <row r="11718">
      <c r="R11718" s="100"/>
      <c r="V11718" s="100"/>
      <c r="Y11718" s="100"/>
    </row>
    <row r="11719">
      <c r="R11719" s="100"/>
      <c r="V11719" s="100"/>
      <c r="Y11719" s="100"/>
    </row>
    <row r="11720">
      <c r="R11720" s="100"/>
      <c r="V11720" s="100"/>
      <c r="Y11720" s="100"/>
    </row>
    <row r="11721">
      <c r="R11721" s="100"/>
      <c r="V11721" s="100"/>
      <c r="Y11721" s="100"/>
    </row>
    <row r="11722">
      <c r="R11722" s="100"/>
      <c r="V11722" s="100"/>
      <c r="Y11722" s="100"/>
    </row>
    <row r="11723">
      <c r="R11723" s="100"/>
      <c r="V11723" s="100"/>
      <c r="Y11723" s="100"/>
    </row>
    <row r="11724">
      <c r="R11724" s="100"/>
      <c r="V11724" s="100"/>
      <c r="Y11724" s="100"/>
    </row>
    <row r="11725">
      <c r="R11725" s="100"/>
      <c r="V11725" s="100"/>
      <c r="Y11725" s="100"/>
    </row>
    <row r="11726">
      <c r="R11726" s="100"/>
      <c r="V11726" s="100"/>
      <c r="Y11726" s="100"/>
    </row>
    <row r="11727">
      <c r="R11727" s="100"/>
      <c r="V11727" s="100"/>
      <c r="Y11727" s="100"/>
    </row>
    <row r="11728">
      <c r="R11728" s="100"/>
      <c r="V11728" s="100"/>
      <c r="Y11728" s="100"/>
    </row>
    <row r="11729">
      <c r="R11729" s="100"/>
      <c r="V11729" s="100"/>
      <c r="Y11729" s="100"/>
    </row>
    <row r="11730">
      <c r="R11730" s="100"/>
      <c r="V11730" s="100"/>
      <c r="Y11730" s="100"/>
    </row>
    <row r="11731">
      <c r="R11731" s="100"/>
      <c r="V11731" s="100"/>
      <c r="Y11731" s="100"/>
    </row>
    <row r="11732">
      <c r="R11732" s="100"/>
      <c r="V11732" s="100"/>
      <c r="Y11732" s="100"/>
    </row>
    <row r="11733">
      <c r="R11733" s="100"/>
      <c r="V11733" s="100"/>
      <c r="Y11733" s="100"/>
    </row>
    <row r="11734">
      <c r="R11734" s="100"/>
      <c r="V11734" s="100"/>
      <c r="Y11734" s="100"/>
    </row>
    <row r="11735">
      <c r="R11735" s="100"/>
      <c r="V11735" s="100"/>
      <c r="Y11735" s="100"/>
    </row>
    <row r="11736">
      <c r="R11736" s="100"/>
      <c r="V11736" s="100"/>
      <c r="Y11736" s="100"/>
    </row>
    <row r="11737">
      <c r="R11737" s="100"/>
      <c r="V11737" s="100"/>
      <c r="Y11737" s="100"/>
    </row>
    <row r="11738">
      <c r="R11738" s="100"/>
      <c r="V11738" s="100"/>
      <c r="Y11738" s="100"/>
    </row>
    <row r="11739">
      <c r="R11739" s="100"/>
      <c r="V11739" s="100"/>
      <c r="Y11739" s="100"/>
    </row>
    <row r="11740">
      <c r="R11740" s="100"/>
      <c r="V11740" s="100"/>
      <c r="Y11740" s="100"/>
    </row>
    <row r="11741">
      <c r="R11741" s="100"/>
      <c r="V11741" s="100"/>
      <c r="Y11741" s="100"/>
    </row>
    <row r="11742">
      <c r="R11742" s="100"/>
      <c r="V11742" s="100"/>
      <c r="Y11742" s="100"/>
    </row>
    <row r="11743">
      <c r="R11743" s="100"/>
      <c r="V11743" s="100"/>
      <c r="Y11743" s="100"/>
    </row>
    <row r="11744">
      <c r="R11744" s="100"/>
      <c r="V11744" s="100"/>
      <c r="Y11744" s="100"/>
    </row>
    <row r="11745">
      <c r="R11745" s="100"/>
      <c r="V11745" s="100"/>
      <c r="Y11745" s="100"/>
    </row>
    <row r="11746">
      <c r="R11746" s="100"/>
      <c r="V11746" s="100"/>
      <c r="Y11746" s="100"/>
    </row>
    <row r="11747">
      <c r="R11747" s="100"/>
      <c r="V11747" s="100"/>
      <c r="Y11747" s="100"/>
    </row>
    <row r="11748">
      <c r="R11748" s="100"/>
      <c r="V11748" s="100"/>
      <c r="Y11748" s="100"/>
    </row>
    <row r="11749">
      <c r="R11749" s="100"/>
      <c r="V11749" s="100"/>
      <c r="Y11749" s="100"/>
    </row>
    <row r="11750">
      <c r="R11750" s="100"/>
      <c r="V11750" s="100"/>
      <c r="Y11750" s="100"/>
    </row>
    <row r="11751">
      <c r="R11751" s="100"/>
      <c r="V11751" s="100"/>
      <c r="Y11751" s="100"/>
    </row>
    <row r="11752">
      <c r="R11752" s="100"/>
      <c r="V11752" s="100"/>
      <c r="Y11752" s="100"/>
    </row>
    <row r="11753">
      <c r="R11753" s="100"/>
      <c r="V11753" s="100"/>
      <c r="Y11753" s="100"/>
    </row>
    <row r="11754">
      <c r="R11754" s="100"/>
      <c r="V11754" s="100"/>
      <c r="Y11754" s="100"/>
    </row>
    <row r="11755">
      <c r="R11755" s="100"/>
      <c r="V11755" s="100"/>
      <c r="Y11755" s="100"/>
    </row>
    <row r="11756">
      <c r="R11756" s="100"/>
      <c r="V11756" s="100"/>
      <c r="Y11756" s="100"/>
    </row>
    <row r="11757">
      <c r="R11757" s="100"/>
      <c r="V11757" s="100"/>
      <c r="Y11757" s="100"/>
    </row>
    <row r="11758">
      <c r="R11758" s="100"/>
      <c r="V11758" s="100"/>
      <c r="Y11758" s="100"/>
    </row>
    <row r="11759">
      <c r="R11759" s="100"/>
      <c r="V11759" s="100"/>
      <c r="Y11759" s="100"/>
    </row>
    <row r="11760">
      <c r="R11760" s="100"/>
      <c r="V11760" s="100"/>
      <c r="Y11760" s="100"/>
    </row>
    <row r="11761">
      <c r="R11761" s="100"/>
      <c r="V11761" s="100"/>
      <c r="Y11761" s="100"/>
    </row>
    <row r="11762">
      <c r="R11762" s="100"/>
      <c r="V11762" s="100"/>
      <c r="Y11762" s="100"/>
    </row>
    <row r="11763">
      <c r="R11763" s="100"/>
      <c r="V11763" s="100"/>
      <c r="Y11763" s="100"/>
    </row>
    <row r="11764">
      <c r="R11764" s="100"/>
      <c r="V11764" s="100"/>
      <c r="Y11764" s="100"/>
    </row>
    <row r="11765">
      <c r="R11765" s="100"/>
      <c r="V11765" s="100"/>
      <c r="Y11765" s="100"/>
    </row>
    <row r="11766">
      <c r="R11766" s="100"/>
      <c r="V11766" s="100"/>
      <c r="Y11766" s="100"/>
    </row>
    <row r="11767">
      <c r="R11767" s="100"/>
      <c r="V11767" s="100"/>
      <c r="Y11767" s="100"/>
    </row>
    <row r="11768">
      <c r="R11768" s="100"/>
      <c r="V11768" s="100"/>
      <c r="Y11768" s="100"/>
    </row>
    <row r="11769">
      <c r="R11769" s="100"/>
      <c r="V11769" s="100"/>
      <c r="Y11769" s="100"/>
    </row>
    <row r="11770">
      <c r="R11770" s="100"/>
      <c r="V11770" s="100"/>
      <c r="Y11770" s="100"/>
    </row>
    <row r="11771">
      <c r="R11771" s="100"/>
      <c r="V11771" s="100"/>
      <c r="Y11771" s="100"/>
    </row>
    <row r="11772">
      <c r="R11772" s="100"/>
      <c r="V11772" s="100"/>
      <c r="Y11772" s="100"/>
    </row>
    <row r="11773">
      <c r="R11773" s="100"/>
      <c r="V11773" s="100"/>
      <c r="Y11773" s="100"/>
    </row>
    <row r="11774">
      <c r="R11774" s="100"/>
      <c r="V11774" s="100"/>
      <c r="Y11774" s="100"/>
    </row>
    <row r="11775">
      <c r="R11775" s="100"/>
      <c r="V11775" s="100"/>
      <c r="Y11775" s="100"/>
    </row>
    <row r="11776">
      <c r="R11776" s="100"/>
      <c r="V11776" s="100"/>
      <c r="Y11776" s="100"/>
    </row>
    <row r="11777">
      <c r="R11777" s="100"/>
      <c r="V11777" s="100"/>
      <c r="Y11777" s="100"/>
    </row>
    <row r="11778">
      <c r="R11778" s="100"/>
      <c r="V11778" s="100"/>
      <c r="Y11778" s="100"/>
    </row>
    <row r="11779">
      <c r="R11779" s="100"/>
      <c r="V11779" s="100"/>
      <c r="Y11779" s="100"/>
    </row>
    <row r="11780">
      <c r="R11780" s="100"/>
      <c r="V11780" s="100"/>
      <c r="Y11780" s="100"/>
    </row>
    <row r="11781">
      <c r="R11781" s="100"/>
      <c r="V11781" s="100"/>
      <c r="Y11781" s="100"/>
    </row>
    <row r="11782">
      <c r="R11782" s="100"/>
      <c r="V11782" s="100"/>
      <c r="Y11782" s="100"/>
    </row>
    <row r="11783">
      <c r="R11783" s="100"/>
      <c r="V11783" s="100"/>
      <c r="Y11783" s="100"/>
    </row>
    <row r="11784">
      <c r="R11784" s="100"/>
      <c r="V11784" s="100"/>
      <c r="Y11784" s="100"/>
    </row>
    <row r="11785">
      <c r="R11785" s="100"/>
      <c r="V11785" s="100"/>
      <c r="Y11785" s="100"/>
    </row>
    <row r="11786">
      <c r="R11786" s="100"/>
      <c r="V11786" s="100"/>
      <c r="Y11786" s="100"/>
    </row>
    <row r="11787">
      <c r="R11787" s="100"/>
      <c r="V11787" s="100"/>
      <c r="Y11787" s="100"/>
    </row>
    <row r="11788">
      <c r="R11788" s="100"/>
      <c r="V11788" s="100"/>
      <c r="Y11788" s="100"/>
    </row>
    <row r="11789">
      <c r="R11789" s="100"/>
      <c r="V11789" s="100"/>
      <c r="Y11789" s="100"/>
    </row>
    <row r="11790">
      <c r="R11790" s="100"/>
      <c r="V11790" s="100"/>
      <c r="Y11790" s="100"/>
    </row>
    <row r="11791">
      <c r="R11791" s="100"/>
      <c r="V11791" s="100"/>
      <c r="Y11791" s="100"/>
    </row>
    <row r="11792">
      <c r="R11792" s="100"/>
      <c r="V11792" s="100"/>
      <c r="Y11792" s="100"/>
    </row>
    <row r="11793">
      <c r="R11793" s="100"/>
      <c r="V11793" s="100"/>
      <c r="Y11793" s="100"/>
    </row>
    <row r="11794">
      <c r="R11794" s="100"/>
      <c r="V11794" s="100"/>
      <c r="Y11794" s="100"/>
    </row>
    <row r="11795">
      <c r="R11795" s="100"/>
      <c r="V11795" s="100"/>
      <c r="Y11795" s="100"/>
    </row>
    <row r="11796">
      <c r="R11796" s="100"/>
      <c r="V11796" s="100"/>
      <c r="Y11796" s="100"/>
    </row>
    <row r="11797">
      <c r="R11797" s="100"/>
      <c r="V11797" s="100"/>
      <c r="Y11797" s="100"/>
    </row>
    <row r="11798">
      <c r="R11798" s="100"/>
      <c r="V11798" s="100"/>
      <c r="Y11798" s="100"/>
    </row>
    <row r="11799">
      <c r="R11799" s="100"/>
      <c r="V11799" s="100"/>
      <c r="Y11799" s="100"/>
    </row>
    <row r="11800">
      <c r="R11800" s="100"/>
      <c r="V11800" s="100"/>
      <c r="Y11800" s="100"/>
    </row>
    <row r="11801">
      <c r="R11801" s="100"/>
      <c r="V11801" s="100"/>
      <c r="Y11801" s="100"/>
    </row>
    <row r="11802">
      <c r="R11802" s="100"/>
      <c r="V11802" s="100"/>
      <c r="Y11802" s="100"/>
    </row>
    <row r="11803">
      <c r="R11803" s="100"/>
      <c r="V11803" s="100"/>
      <c r="Y11803" s="100"/>
    </row>
    <row r="11804">
      <c r="R11804" s="100"/>
      <c r="V11804" s="100"/>
      <c r="Y11804" s="100"/>
    </row>
    <row r="11805">
      <c r="R11805" s="100"/>
      <c r="V11805" s="100"/>
      <c r="Y11805" s="100"/>
    </row>
    <row r="11806">
      <c r="R11806" s="100"/>
      <c r="V11806" s="100"/>
      <c r="Y11806" s="100"/>
    </row>
    <row r="11807">
      <c r="R11807" s="100"/>
      <c r="V11807" s="100"/>
      <c r="Y11807" s="100"/>
    </row>
    <row r="11808">
      <c r="R11808" s="100"/>
      <c r="V11808" s="100"/>
      <c r="Y11808" s="100"/>
    </row>
    <row r="11809">
      <c r="R11809" s="100"/>
      <c r="V11809" s="100"/>
      <c r="Y11809" s="100"/>
    </row>
    <row r="11810">
      <c r="R11810" s="100"/>
      <c r="V11810" s="100"/>
      <c r="Y11810" s="100"/>
    </row>
    <row r="11811">
      <c r="R11811" s="100"/>
      <c r="V11811" s="100"/>
      <c r="Y11811" s="100"/>
    </row>
    <row r="11812">
      <c r="R11812" s="100"/>
      <c r="V11812" s="100"/>
      <c r="Y11812" s="100"/>
    </row>
    <row r="11813">
      <c r="R11813" s="100"/>
      <c r="V11813" s="100"/>
      <c r="Y11813" s="100"/>
    </row>
    <row r="11814">
      <c r="R11814" s="100"/>
      <c r="V11814" s="100"/>
      <c r="Y11814" s="100"/>
    </row>
    <row r="11815">
      <c r="R11815" s="100"/>
      <c r="V11815" s="100"/>
      <c r="Y11815" s="100"/>
    </row>
    <row r="11816">
      <c r="R11816" s="100"/>
      <c r="V11816" s="100"/>
      <c r="Y11816" s="100"/>
    </row>
    <row r="11817">
      <c r="R11817" s="100"/>
      <c r="V11817" s="100"/>
      <c r="Y11817" s="100"/>
    </row>
    <row r="11818">
      <c r="R11818" s="100"/>
      <c r="V11818" s="100"/>
      <c r="Y11818" s="100"/>
    </row>
    <row r="11819">
      <c r="R11819" s="100"/>
      <c r="V11819" s="100"/>
      <c r="Y11819" s="100"/>
    </row>
    <row r="11820">
      <c r="R11820" s="100"/>
      <c r="V11820" s="100"/>
      <c r="Y11820" s="100"/>
    </row>
    <row r="11821">
      <c r="R11821" s="100"/>
      <c r="V11821" s="100"/>
      <c r="Y11821" s="100"/>
    </row>
    <row r="11822">
      <c r="R11822" s="100"/>
      <c r="V11822" s="100"/>
      <c r="Y11822" s="100"/>
    </row>
    <row r="11823">
      <c r="R11823" s="100"/>
      <c r="V11823" s="100"/>
      <c r="Y11823" s="100"/>
    </row>
    <row r="11824">
      <c r="R11824" s="100"/>
      <c r="V11824" s="100"/>
      <c r="Y11824" s="100"/>
    </row>
    <row r="11825">
      <c r="R11825" s="100"/>
      <c r="V11825" s="100"/>
      <c r="Y11825" s="100"/>
    </row>
    <row r="11826">
      <c r="R11826" s="100"/>
      <c r="V11826" s="100"/>
      <c r="Y11826" s="100"/>
    </row>
    <row r="11827">
      <c r="R11827" s="100"/>
      <c r="V11827" s="100"/>
      <c r="Y11827" s="100"/>
    </row>
    <row r="11828">
      <c r="R11828" s="100"/>
      <c r="V11828" s="100"/>
      <c r="Y11828" s="100"/>
    </row>
    <row r="11829">
      <c r="R11829" s="100"/>
      <c r="V11829" s="100"/>
      <c r="Y11829" s="100"/>
    </row>
    <row r="11830">
      <c r="R11830" s="100"/>
      <c r="V11830" s="100"/>
      <c r="Y11830" s="100"/>
    </row>
    <row r="11831">
      <c r="R11831" s="100"/>
      <c r="V11831" s="100"/>
      <c r="Y11831" s="100"/>
    </row>
    <row r="11832">
      <c r="R11832" s="100"/>
      <c r="V11832" s="100"/>
      <c r="Y11832" s="100"/>
    </row>
    <row r="11833">
      <c r="R11833" s="100"/>
      <c r="V11833" s="100"/>
      <c r="Y11833" s="100"/>
    </row>
    <row r="11834">
      <c r="R11834" s="100"/>
      <c r="V11834" s="100"/>
      <c r="Y11834" s="100"/>
    </row>
    <row r="11835">
      <c r="R11835" s="100"/>
      <c r="V11835" s="100"/>
      <c r="Y11835" s="100"/>
    </row>
    <row r="11836">
      <c r="R11836" s="100"/>
      <c r="V11836" s="100"/>
      <c r="Y11836" s="100"/>
    </row>
    <row r="11837">
      <c r="R11837" s="100"/>
      <c r="V11837" s="100"/>
      <c r="Y11837" s="100"/>
    </row>
    <row r="11838">
      <c r="R11838" s="100"/>
      <c r="V11838" s="100"/>
      <c r="Y11838" s="100"/>
    </row>
    <row r="11839">
      <c r="R11839" s="100"/>
      <c r="V11839" s="100"/>
      <c r="Y11839" s="100"/>
    </row>
    <row r="11840">
      <c r="R11840" s="100"/>
      <c r="V11840" s="100"/>
      <c r="Y11840" s="100"/>
    </row>
    <row r="11841">
      <c r="R11841" s="100"/>
      <c r="V11841" s="100"/>
      <c r="Y11841" s="100"/>
    </row>
    <row r="11842">
      <c r="R11842" s="100"/>
      <c r="V11842" s="100"/>
      <c r="Y11842" s="100"/>
    </row>
    <row r="11843">
      <c r="R11843" s="100"/>
      <c r="V11843" s="100"/>
      <c r="Y11843" s="100"/>
    </row>
    <row r="11844">
      <c r="R11844" s="100"/>
      <c r="V11844" s="100"/>
      <c r="Y11844" s="100"/>
    </row>
    <row r="11845">
      <c r="R11845" s="100"/>
      <c r="V11845" s="100"/>
      <c r="Y11845" s="100"/>
    </row>
    <row r="11846">
      <c r="R11846" s="100"/>
      <c r="V11846" s="100"/>
      <c r="Y11846" s="100"/>
    </row>
    <row r="11847">
      <c r="R11847" s="100"/>
      <c r="V11847" s="100"/>
      <c r="Y11847" s="100"/>
    </row>
    <row r="11848">
      <c r="R11848" s="100"/>
      <c r="V11848" s="100"/>
      <c r="Y11848" s="100"/>
    </row>
    <row r="11849">
      <c r="R11849" s="100"/>
      <c r="V11849" s="100"/>
      <c r="Y11849" s="100"/>
    </row>
    <row r="11850">
      <c r="R11850" s="100"/>
      <c r="V11850" s="100"/>
      <c r="Y11850" s="100"/>
    </row>
    <row r="11851">
      <c r="R11851" s="100"/>
      <c r="V11851" s="100"/>
      <c r="Y11851" s="100"/>
    </row>
    <row r="11852">
      <c r="R11852" s="100"/>
      <c r="V11852" s="100"/>
      <c r="Y11852" s="100"/>
    </row>
    <row r="11853">
      <c r="R11853" s="100"/>
      <c r="V11853" s="100"/>
      <c r="Y11853" s="100"/>
    </row>
    <row r="11854">
      <c r="R11854" s="100"/>
      <c r="V11854" s="100"/>
      <c r="Y11854" s="100"/>
    </row>
    <row r="11855">
      <c r="R11855" s="100"/>
      <c r="V11855" s="100"/>
      <c r="Y11855" s="100"/>
    </row>
    <row r="11856">
      <c r="R11856" s="100"/>
      <c r="V11856" s="100"/>
      <c r="Y11856" s="100"/>
    </row>
    <row r="11857">
      <c r="R11857" s="100"/>
      <c r="V11857" s="100"/>
      <c r="Y11857" s="100"/>
    </row>
    <row r="11858">
      <c r="R11858" s="100"/>
      <c r="V11858" s="100"/>
      <c r="Y11858" s="100"/>
    </row>
    <row r="11859">
      <c r="R11859" s="100"/>
      <c r="V11859" s="100"/>
      <c r="Y11859" s="100"/>
    </row>
    <row r="11860">
      <c r="R11860" s="100"/>
      <c r="V11860" s="100"/>
      <c r="Y11860" s="100"/>
    </row>
    <row r="11861">
      <c r="R11861" s="100"/>
      <c r="V11861" s="100"/>
      <c r="Y11861" s="100"/>
    </row>
    <row r="11862">
      <c r="R11862" s="100"/>
      <c r="V11862" s="100"/>
      <c r="Y11862" s="100"/>
    </row>
    <row r="11863">
      <c r="R11863" s="100"/>
      <c r="V11863" s="100"/>
      <c r="Y11863" s="100"/>
    </row>
    <row r="11864">
      <c r="R11864" s="100"/>
      <c r="V11864" s="100"/>
      <c r="Y11864" s="100"/>
    </row>
    <row r="11865">
      <c r="R11865" s="100"/>
      <c r="V11865" s="100"/>
      <c r="Y11865" s="100"/>
    </row>
    <row r="11866">
      <c r="R11866" s="100"/>
      <c r="V11866" s="100"/>
      <c r="Y11866" s="100"/>
    </row>
    <row r="11867">
      <c r="R11867" s="100"/>
      <c r="V11867" s="100"/>
      <c r="Y11867" s="100"/>
    </row>
    <row r="11868">
      <c r="R11868" s="100"/>
      <c r="V11868" s="100"/>
      <c r="Y11868" s="100"/>
    </row>
    <row r="11869">
      <c r="R11869" s="100"/>
      <c r="V11869" s="100"/>
      <c r="Y11869" s="100"/>
    </row>
    <row r="11870">
      <c r="R11870" s="100"/>
      <c r="V11870" s="100"/>
      <c r="Y11870" s="100"/>
    </row>
    <row r="11871">
      <c r="R11871" s="100"/>
      <c r="V11871" s="100"/>
      <c r="Y11871" s="100"/>
    </row>
    <row r="11872">
      <c r="R11872" s="100"/>
      <c r="V11872" s="100"/>
      <c r="Y11872" s="100"/>
    </row>
    <row r="11873">
      <c r="R11873" s="100"/>
      <c r="V11873" s="100"/>
      <c r="Y11873" s="100"/>
    </row>
    <row r="11874">
      <c r="R11874" s="100"/>
      <c r="V11874" s="100"/>
      <c r="Y11874" s="100"/>
    </row>
    <row r="11875">
      <c r="R11875" s="100"/>
      <c r="V11875" s="100"/>
      <c r="Y11875" s="100"/>
    </row>
    <row r="11876">
      <c r="R11876" s="100"/>
      <c r="V11876" s="100"/>
      <c r="Y11876" s="100"/>
    </row>
    <row r="11877">
      <c r="R11877" s="100"/>
      <c r="V11877" s="100"/>
      <c r="Y11877" s="100"/>
    </row>
    <row r="11878">
      <c r="R11878" s="100"/>
      <c r="V11878" s="100"/>
      <c r="Y11878" s="100"/>
    </row>
    <row r="11879">
      <c r="R11879" s="100"/>
      <c r="V11879" s="100"/>
      <c r="Y11879" s="100"/>
    </row>
    <row r="11880">
      <c r="R11880" s="100"/>
      <c r="V11880" s="100"/>
      <c r="Y11880" s="100"/>
    </row>
    <row r="11881">
      <c r="R11881" s="100"/>
      <c r="V11881" s="100"/>
      <c r="Y11881" s="100"/>
    </row>
    <row r="11882">
      <c r="R11882" s="100"/>
      <c r="V11882" s="100"/>
      <c r="Y11882" s="100"/>
    </row>
    <row r="11883">
      <c r="R11883" s="100"/>
      <c r="V11883" s="100"/>
      <c r="Y11883" s="100"/>
    </row>
    <row r="11884">
      <c r="R11884" s="100"/>
      <c r="V11884" s="100"/>
      <c r="Y11884" s="100"/>
    </row>
    <row r="11885">
      <c r="R11885" s="100"/>
      <c r="V11885" s="100"/>
      <c r="Y11885" s="100"/>
    </row>
    <row r="11886">
      <c r="R11886" s="100"/>
      <c r="V11886" s="100"/>
      <c r="Y11886" s="100"/>
    </row>
    <row r="11887">
      <c r="R11887" s="100"/>
      <c r="V11887" s="100"/>
      <c r="Y11887" s="100"/>
    </row>
    <row r="11888">
      <c r="R11888" s="100"/>
      <c r="V11888" s="100"/>
      <c r="Y11888" s="100"/>
    </row>
    <row r="11889">
      <c r="R11889" s="100"/>
      <c r="V11889" s="100"/>
      <c r="Y11889" s="100"/>
    </row>
    <row r="11890">
      <c r="R11890" s="100"/>
      <c r="V11890" s="100"/>
      <c r="Y11890" s="100"/>
    </row>
    <row r="11891">
      <c r="R11891" s="100"/>
      <c r="V11891" s="100"/>
      <c r="Y11891" s="100"/>
    </row>
    <row r="11892">
      <c r="R11892" s="100"/>
      <c r="V11892" s="100"/>
      <c r="Y11892" s="100"/>
    </row>
    <row r="11893">
      <c r="R11893" s="100"/>
      <c r="V11893" s="100"/>
      <c r="Y11893" s="100"/>
    </row>
    <row r="11894">
      <c r="R11894" s="100"/>
      <c r="V11894" s="100"/>
      <c r="Y11894" s="100"/>
    </row>
    <row r="11895">
      <c r="R11895" s="100"/>
      <c r="V11895" s="100"/>
      <c r="Y11895" s="100"/>
    </row>
    <row r="11896">
      <c r="R11896" s="100"/>
      <c r="V11896" s="100"/>
      <c r="Y11896" s="100"/>
    </row>
    <row r="11897">
      <c r="R11897" s="100"/>
      <c r="V11897" s="100"/>
      <c r="Y11897" s="100"/>
    </row>
    <row r="11898">
      <c r="R11898" s="100"/>
      <c r="V11898" s="100"/>
      <c r="Y11898" s="100"/>
    </row>
    <row r="11899">
      <c r="R11899" s="100"/>
      <c r="V11899" s="100"/>
      <c r="Y11899" s="100"/>
    </row>
    <row r="11900">
      <c r="R11900" s="100"/>
      <c r="V11900" s="100"/>
      <c r="Y11900" s="100"/>
    </row>
    <row r="11901">
      <c r="R11901" s="100"/>
      <c r="V11901" s="100"/>
      <c r="Y11901" s="100"/>
    </row>
    <row r="11902">
      <c r="R11902" s="100"/>
      <c r="V11902" s="100"/>
      <c r="Y11902" s="100"/>
    </row>
    <row r="11903">
      <c r="R11903" s="100"/>
      <c r="V11903" s="100"/>
      <c r="Y11903" s="100"/>
    </row>
    <row r="11904">
      <c r="R11904" s="100"/>
      <c r="V11904" s="100"/>
      <c r="Y11904" s="100"/>
    </row>
    <row r="11905">
      <c r="R11905" s="100"/>
      <c r="V11905" s="100"/>
      <c r="Y11905" s="100"/>
    </row>
    <row r="11906">
      <c r="R11906" s="100"/>
      <c r="V11906" s="100"/>
      <c r="Y11906" s="100"/>
    </row>
    <row r="11907">
      <c r="R11907" s="100"/>
      <c r="V11907" s="100"/>
      <c r="Y11907" s="100"/>
    </row>
    <row r="11908">
      <c r="R11908" s="100"/>
      <c r="V11908" s="100"/>
      <c r="Y11908" s="100"/>
    </row>
    <row r="11909">
      <c r="R11909" s="100"/>
      <c r="V11909" s="100"/>
      <c r="Y11909" s="100"/>
    </row>
    <row r="11910">
      <c r="R11910" s="100"/>
      <c r="V11910" s="100"/>
      <c r="Y11910" s="100"/>
    </row>
    <row r="11911">
      <c r="R11911" s="100"/>
      <c r="V11911" s="100"/>
      <c r="Y11911" s="100"/>
    </row>
    <row r="11912">
      <c r="R11912" s="100"/>
      <c r="V11912" s="100"/>
      <c r="Y11912" s="100"/>
    </row>
    <row r="11913">
      <c r="R11913" s="100"/>
      <c r="V11913" s="100"/>
      <c r="Y11913" s="100"/>
    </row>
    <row r="11914">
      <c r="R11914" s="100"/>
      <c r="V11914" s="100"/>
      <c r="Y11914" s="100"/>
    </row>
    <row r="11915">
      <c r="R11915" s="100"/>
      <c r="V11915" s="100"/>
      <c r="Y11915" s="100"/>
    </row>
    <row r="11916">
      <c r="R11916" s="100"/>
      <c r="V11916" s="100"/>
      <c r="Y11916" s="100"/>
    </row>
    <row r="11917">
      <c r="R11917" s="100"/>
      <c r="V11917" s="100"/>
      <c r="Y11917" s="100"/>
    </row>
    <row r="11918">
      <c r="R11918" s="100"/>
      <c r="V11918" s="100"/>
      <c r="Y11918" s="100"/>
    </row>
    <row r="11919">
      <c r="R11919" s="100"/>
      <c r="V11919" s="100"/>
      <c r="Y11919" s="100"/>
    </row>
    <row r="11920">
      <c r="R11920" s="100"/>
      <c r="V11920" s="100"/>
      <c r="Y11920" s="100"/>
    </row>
    <row r="11921">
      <c r="R11921" s="100"/>
      <c r="V11921" s="100"/>
      <c r="Y11921" s="100"/>
    </row>
    <row r="11922">
      <c r="R11922" s="100"/>
      <c r="V11922" s="100"/>
      <c r="Y11922" s="100"/>
    </row>
    <row r="11923">
      <c r="R11923" s="100"/>
      <c r="V11923" s="100"/>
      <c r="Y11923" s="100"/>
    </row>
    <row r="11924">
      <c r="R11924" s="100"/>
      <c r="V11924" s="100"/>
      <c r="Y11924" s="100"/>
    </row>
    <row r="11925">
      <c r="R11925" s="100"/>
      <c r="V11925" s="100"/>
      <c r="Y11925" s="100"/>
    </row>
    <row r="11926">
      <c r="R11926" s="100"/>
      <c r="V11926" s="100"/>
      <c r="Y11926" s="100"/>
    </row>
    <row r="11927">
      <c r="R11927" s="100"/>
      <c r="V11927" s="100"/>
      <c r="Y11927" s="100"/>
    </row>
    <row r="11928">
      <c r="R11928" s="100"/>
      <c r="V11928" s="100"/>
      <c r="Y11928" s="100"/>
    </row>
    <row r="11929">
      <c r="R11929" s="100"/>
      <c r="V11929" s="100"/>
      <c r="Y11929" s="100"/>
    </row>
    <row r="11930">
      <c r="R11930" s="100"/>
      <c r="V11930" s="100"/>
      <c r="Y11930" s="100"/>
    </row>
    <row r="11931">
      <c r="R11931" s="100"/>
      <c r="V11931" s="100"/>
      <c r="Y11931" s="100"/>
    </row>
    <row r="11932">
      <c r="R11932" s="100"/>
      <c r="V11932" s="100"/>
      <c r="Y11932" s="100"/>
    </row>
    <row r="11933">
      <c r="R11933" s="100"/>
      <c r="V11933" s="100"/>
      <c r="Y11933" s="100"/>
    </row>
    <row r="11934">
      <c r="R11934" s="100"/>
      <c r="V11934" s="100"/>
      <c r="Y11934" s="100"/>
    </row>
    <row r="11935">
      <c r="R11935" s="100"/>
      <c r="V11935" s="100"/>
      <c r="Y11935" s="100"/>
    </row>
    <row r="11936">
      <c r="R11936" s="100"/>
      <c r="V11936" s="100"/>
      <c r="Y11936" s="100"/>
    </row>
    <row r="11937">
      <c r="R11937" s="100"/>
      <c r="V11937" s="100"/>
      <c r="Y11937" s="100"/>
    </row>
    <row r="11938">
      <c r="R11938" s="100"/>
      <c r="V11938" s="100"/>
      <c r="Y11938" s="100"/>
    </row>
    <row r="11939">
      <c r="R11939" s="100"/>
      <c r="V11939" s="100"/>
      <c r="Y11939" s="100"/>
    </row>
    <row r="11940">
      <c r="R11940" s="100"/>
      <c r="V11940" s="100"/>
      <c r="Y11940" s="100"/>
    </row>
    <row r="11941">
      <c r="R11941" s="100"/>
      <c r="V11941" s="100"/>
      <c r="Y11941" s="100"/>
    </row>
    <row r="11942">
      <c r="R11942" s="100"/>
      <c r="V11942" s="100"/>
      <c r="Y11942" s="100"/>
    </row>
    <row r="11943">
      <c r="R11943" s="100"/>
      <c r="V11943" s="100"/>
      <c r="Y11943" s="100"/>
    </row>
    <row r="11944">
      <c r="R11944" s="100"/>
      <c r="V11944" s="100"/>
      <c r="Y11944" s="100"/>
    </row>
    <row r="11945">
      <c r="R11945" s="100"/>
      <c r="V11945" s="100"/>
      <c r="Y11945" s="100"/>
    </row>
    <row r="11946">
      <c r="R11946" s="100"/>
      <c r="V11946" s="100"/>
      <c r="Y11946" s="100"/>
    </row>
    <row r="11947">
      <c r="R11947" s="100"/>
      <c r="V11947" s="100"/>
      <c r="Y11947" s="100"/>
    </row>
    <row r="11948">
      <c r="R11948" s="100"/>
      <c r="V11948" s="100"/>
      <c r="Y11948" s="100"/>
    </row>
    <row r="11949">
      <c r="R11949" s="100"/>
      <c r="V11949" s="100"/>
      <c r="Y11949" s="100"/>
    </row>
    <row r="11950">
      <c r="R11950" s="100"/>
      <c r="V11950" s="100"/>
      <c r="Y11950" s="100"/>
    </row>
    <row r="11951">
      <c r="R11951" s="100"/>
      <c r="V11951" s="100"/>
      <c r="Y11951" s="100"/>
    </row>
    <row r="11952">
      <c r="R11952" s="100"/>
      <c r="V11952" s="100"/>
      <c r="Y11952" s="100"/>
    </row>
    <row r="11953">
      <c r="R11953" s="100"/>
      <c r="V11953" s="100"/>
      <c r="Y11953" s="100"/>
    </row>
    <row r="11954">
      <c r="R11954" s="100"/>
      <c r="V11954" s="100"/>
      <c r="Y11954" s="100"/>
    </row>
    <row r="11955">
      <c r="R11955" s="100"/>
      <c r="V11955" s="100"/>
      <c r="Y11955" s="100"/>
    </row>
    <row r="11956">
      <c r="R11956" s="100"/>
      <c r="V11956" s="100"/>
      <c r="Y11956" s="100"/>
    </row>
    <row r="11957">
      <c r="R11957" s="100"/>
      <c r="V11957" s="100"/>
      <c r="Y11957" s="100"/>
    </row>
    <row r="11958">
      <c r="R11958" s="100"/>
      <c r="V11958" s="100"/>
      <c r="Y11958" s="100"/>
    </row>
    <row r="11959">
      <c r="R11959" s="100"/>
      <c r="V11959" s="100"/>
      <c r="Y11959" s="100"/>
    </row>
    <row r="11960">
      <c r="R11960" s="100"/>
      <c r="V11960" s="100"/>
      <c r="Y11960" s="100"/>
    </row>
    <row r="11961">
      <c r="R11961" s="100"/>
      <c r="V11961" s="100"/>
      <c r="Y11961" s="100"/>
    </row>
    <row r="11962">
      <c r="R11962" s="100"/>
      <c r="V11962" s="100"/>
      <c r="Y11962" s="100"/>
    </row>
    <row r="11963">
      <c r="R11963" s="100"/>
      <c r="V11963" s="100"/>
      <c r="Y11963" s="100"/>
    </row>
    <row r="11964">
      <c r="R11964" s="100"/>
      <c r="V11964" s="100"/>
      <c r="Y11964" s="100"/>
    </row>
    <row r="11965">
      <c r="R11965" s="100"/>
      <c r="V11965" s="100"/>
      <c r="Y11965" s="100"/>
    </row>
    <row r="11966">
      <c r="R11966" s="100"/>
      <c r="V11966" s="100"/>
      <c r="Y11966" s="100"/>
    </row>
    <row r="11967">
      <c r="R11967" s="100"/>
      <c r="V11967" s="100"/>
      <c r="Y11967" s="100"/>
    </row>
    <row r="11968">
      <c r="R11968" s="100"/>
      <c r="V11968" s="100"/>
      <c r="Y11968" s="100"/>
    </row>
    <row r="11969">
      <c r="R11969" s="100"/>
      <c r="V11969" s="100"/>
      <c r="Y11969" s="100"/>
    </row>
    <row r="11970">
      <c r="R11970" s="100"/>
      <c r="V11970" s="100"/>
      <c r="Y11970" s="100"/>
    </row>
    <row r="11971">
      <c r="R11971" s="100"/>
      <c r="V11971" s="100"/>
      <c r="Y11971" s="100"/>
    </row>
    <row r="11972">
      <c r="R11972" s="100"/>
      <c r="V11972" s="100"/>
      <c r="Y11972" s="100"/>
    </row>
    <row r="11973">
      <c r="R11973" s="100"/>
      <c r="V11973" s="100"/>
      <c r="Y11973" s="100"/>
    </row>
    <row r="11974">
      <c r="R11974" s="100"/>
      <c r="V11974" s="100"/>
      <c r="Y11974" s="100"/>
    </row>
    <row r="11975">
      <c r="R11975" s="100"/>
      <c r="V11975" s="100"/>
      <c r="Y11975" s="100"/>
    </row>
    <row r="11976">
      <c r="R11976" s="100"/>
      <c r="V11976" s="100"/>
      <c r="Y11976" s="100"/>
    </row>
    <row r="11977">
      <c r="R11977" s="100"/>
      <c r="V11977" s="100"/>
      <c r="Y11977" s="100"/>
    </row>
    <row r="11978">
      <c r="R11978" s="100"/>
      <c r="V11978" s="100"/>
      <c r="Y11978" s="100"/>
    </row>
    <row r="11979">
      <c r="R11979" s="100"/>
      <c r="V11979" s="100"/>
      <c r="Y11979" s="100"/>
    </row>
    <row r="11980">
      <c r="R11980" s="100"/>
      <c r="V11980" s="100"/>
      <c r="Y11980" s="100"/>
    </row>
    <row r="11981">
      <c r="R11981" s="100"/>
      <c r="V11981" s="100"/>
      <c r="Y11981" s="100"/>
    </row>
    <row r="11982">
      <c r="R11982" s="100"/>
      <c r="V11982" s="100"/>
      <c r="Y11982" s="100"/>
    </row>
    <row r="11983">
      <c r="R11983" s="100"/>
      <c r="V11983" s="100"/>
      <c r="Y11983" s="100"/>
    </row>
    <row r="11984">
      <c r="R11984" s="100"/>
      <c r="V11984" s="100"/>
      <c r="Y11984" s="100"/>
    </row>
    <row r="11985">
      <c r="R11985" s="100"/>
      <c r="V11985" s="100"/>
      <c r="Y11985" s="100"/>
    </row>
    <row r="11986">
      <c r="R11986" s="100"/>
      <c r="V11986" s="100"/>
      <c r="Y11986" s="100"/>
    </row>
    <row r="11987">
      <c r="R11987" s="100"/>
      <c r="V11987" s="100"/>
      <c r="Y11987" s="100"/>
    </row>
    <row r="11988">
      <c r="R11988" s="100"/>
      <c r="V11988" s="100"/>
      <c r="Y11988" s="100"/>
    </row>
    <row r="11989">
      <c r="R11989" s="100"/>
      <c r="V11989" s="100"/>
      <c r="Y11989" s="100"/>
    </row>
    <row r="11990">
      <c r="R11990" s="100"/>
      <c r="V11990" s="100"/>
      <c r="Y11990" s="100"/>
    </row>
    <row r="11991">
      <c r="R11991" s="100"/>
      <c r="V11991" s="100"/>
      <c r="Y11991" s="100"/>
    </row>
    <row r="11992">
      <c r="R11992" s="100"/>
      <c r="V11992" s="100"/>
      <c r="Y11992" s="100"/>
    </row>
    <row r="11993">
      <c r="R11993" s="100"/>
      <c r="V11993" s="100"/>
      <c r="Y11993" s="100"/>
    </row>
    <row r="11994">
      <c r="R11994" s="100"/>
      <c r="V11994" s="100"/>
      <c r="Y11994" s="100"/>
    </row>
    <row r="11995">
      <c r="R11995" s="100"/>
      <c r="V11995" s="100"/>
      <c r="Y11995" s="100"/>
    </row>
    <row r="11996">
      <c r="R11996" s="100"/>
      <c r="V11996" s="100"/>
      <c r="Y11996" s="100"/>
    </row>
    <row r="11997">
      <c r="R11997" s="100"/>
      <c r="V11997" s="100"/>
      <c r="Y11997" s="100"/>
    </row>
    <row r="11998">
      <c r="R11998" s="100"/>
      <c r="V11998" s="100"/>
      <c r="Y11998" s="100"/>
    </row>
    <row r="11999">
      <c r="R11999" s="100"/>
      <c r="V11999" s="100"/>
      <c r="Y11999" s="100"/>
    </row>
    <row r="12000">
      <c r="R12000" s="100"/>
      <c r="V12000" s="100"/>
      <c r="Y12000" s="100"/>
    </row>
    <row r="12001">
      <c r="R12001" s="100"/>
      <c r="V12001" s="100"/>
      <c r="Y12001" s="100"/>
    </row>
    <row r="12002">
      <c r="R12002" s="100"/>
      <c r="V12002" s="100"/>
      <c r="Y12002" s="100"/>
    </row>
    <row r="12003">
      <c r="R12003" s="100"/>
      <c r="V12003" s="100"/>
      <c r="Y12003" s="100"/>
    </row>
    <row r="12004">
      <c r="R12004" s="100"/>
      <c r="V12004" s="100"/>
      <c r="Y12004" s="100"/>
    </row>
    <row r="12005">
      <c r="R12005" s="100"/>
      <c r="V12005" s="100"/>
      <c r="Y12005" s="100"/>
    </row>
    <row r="12006">
      <c r="R12006" s="100"/>
      <c r="V12006" s="100"/>
      <c r="Y12006" s="100"/>
    </row>
    <row r="12007">
      <c r="R12007" s="100"/>
      <c r="V12007" s="100"/>
      <c r="Y12007" s="100"/>
    </row>
    <row r="12008">
      <c r="R12008" s="100"/>
      <c r="V12008" s="100"/>
      <c r="Y12008" s="100"/>
    </row>
    <row r="12009">
      <c r="R12009" s="100"/>
      <c r="V12009" s="100"/>
      <c r="Y12009" s="100"/>
    </row>
    <row r="12010">
      <c r="R12010" s="100"/>
      <c r="V12010" s="100"/>
      <c r="Y12010" s="100"/>
    </row>
    <row r="12011">
      <c r="R12011" s="100"/>
      <c r="V12011" s="100"/>
      <c r="Y12011" s="100"/>
    </row>
    <row r="12012">
      <c r="R12012" s="100"/>
      <c r="V12012" s="100"/>
      <c r="Y12012" s="100"/>
    </row>
    <row r="12013">
      <c r="R12013" s="100"/>
      <c r="V12013" s="100"/>
      <c r="Y12013" s="100"/>
    </row>
    <row r="12014">
      <c r="R12014" s="100"/>
      <c r="V12014" s="100"/>
      <c r="Y12014" s="100"/>
    </row>
    <row r="12015">
      <c r="R12015" s="100"/>
      <c r="V12015" s="100"/>
      <c r="Y12015" s="100"/>
    </row>
    <row r="12016">
      <c r="R12016" s="100"/>
      <c r="V12016" s="100"/>
      <c r="Y12016" s="100"/>
    </row>
    <row r="12017">
      <c r="R12017" s="100"/>
      <c r="V12017" s="100"/>
      <c r="Y12017" s="100"/>
    </row>
    <row r="12018">
      <c r="R12018" s="100"/>
      <c r="V12018" s="100"/>
      <c r="Y12018" s="100"/>
    </row>
    <row r="12019">
      <c r="R12019" s="100"/>
      <c r="V12019" s="100"/>
      <c r="Y12019" s="100"/>
    </row>
    <row r="12020">
      <c r="R12020" s="100"/>
      <c r="V12020" s="100"/>
      <c r="Y12020" s="100"/>
    </row>
    <row r="12021">
      <c r="R12021" s="100"/>
      <c r="V12021" s="100"/>
      <c r="Y12021" s="100"/>
    </row>
    <row r="12022">
      <c r="R12022" s="100"/>
      <c r="V12022" s="100"/>
      <c r="Y12022" s="100"/>
    </row>
    <row r="12023">
      <c r="R12023" s="100"/>
      <c r="V12023" s="100"/>
      <c r="Y12023" s="100"/>
    </row>
    <row r="12024">
      <c r="R12024" s="100"/>
      <c r="V12024" s="100"/>
      <c r="Y12024" s="100"/>
    </row>
    <row r="12025">
      <c r="R12025" s="100"/>
      <c r="V12025" s="100"/>
      <c r="Y12025" s="100"/>
    </row>
    <row r="12026">
      <c r="R12026" s="100"/>
      <c r="V12026" s="100"/>
      <c r="Y12026" s="100"/>
    </row>
    <row r="12027">
      <c r="R12027" s="100"/>
      <c r="V12027" s="100"/>
      <c r="Y12027" s="100"/>
    </row>
    <row r="12028">
      <c r="R12028" s="100"/>
      <c r="V12028" s="100"/>
      <c r="Y12028" s="100"/>
    </row>
    <row r="12029">
      <c r="R12029" s="100"/>
      <c r="V12029" s="100"/>
      <c r="Y12029" s="100"/>
    </row>
    <row r="12030">
      <c r="R12030" s="100"/>
      <c r="V12030" s="100"/>
      <c r="Y12030" s="100"/>
    </row>
    <row r="12031">
      <c r="R12031" s="100"/>
      <c r="V12031" s="100"/>
      <c r="Y12031" s="100"/>
    </row>
    <row r="12032">
      <c r="R12032" s="100"/>
      <c r="V12032" s="100"/>
      <c r="Y12032" s="100"/>
    </row>
    <row r="12033">
      <c r="R12033" s="100"/>
      <c r="V12033" s="100"/>
      <c r="Y12033" s="100"/>
    </row>
    <row r="12034">
      <c r="R12034" s="100"/>
      <c r="V12034" s="100"/>
      <c r="Y12034" s="100"/>
    </row>
    <row r="12035">
      <c r="R12035" s="100"/>
      <c r="V12035" s="100"/>
      <c r="Y12035" s="100"/>
    </row>
    <row r="12036">
      <c r="R12036" s="100"/>
      <c r="V12036" s="100"/>
      <c r="Y12036" s="100"/>
    </row>
    <row r="12037">
      <c r="R12037" s="100"/>
      <c r="V12037" s="100"/>
      <c r="Y12037" s="100"/>
    </row>
    <row r="12038">
      <c r="R12038" s="100"/>
      <c r="V12038" s="100"/>
      <c r="Y12038" s="100"/>
    </row>
    <row r="12039">
      <c r="R12039" s="100"/>
      <c r="V12039" s="100"/>
      <c r="Y12039" s="100"/>
    </row>
    <row r="12040">
      <c r="R12040" s="100"/>
      <c r="V12040" s="100"/>
      <c r="Y12040" s="100"/>
    </row>
    <row r="12041">
      <c r="R12041" s="100"/>
      <c r="V12041" s="100"/>
      <c r="Y12041" s="100"/>
    </row>
    <row r="12042">
      <c r="R12042" s="100"/>
      <c r="V12042" s="100"/>
      <c r="Y12042" s="100"/>
    </row>
    <row r="12043">
      <c r="R12043" s="100"/>
      <c r="V12043" s="100"/>
      <c r="Y12043" s="100"/>
    </row>
    <row r="12044">
      <c r="R12044" s="100"/>
      <c r="V12044" s="100"/>
      <c r="Y12044" s="100"/>
    </row>
    <row r="12045">
      <c r="R12045" s="100"/>
      <c r="V12045" s="100"/>
      <c r="Y12045" s="100"/>
    </row>
    <row r="12046">
      <c r="R12046" s="100"/>
      <c r="V12046" s="100"/>
      <c r="Y12046" s="100"/>
    </row>
    <row r="12047">
      <c r="R12047" s="100"/>
      <c r="V12047" s="100"/>
      <c r="Y12047" s="100"/>
    </row>
    <row r="12048">
      <c r="R12048" s="100"/>
      <c r="V12048" s="100"/>
      <c r="Y12048" s="100"/>
    </row>
    <row r="12049">
      <c r="R12049" s="100"/>
      <c r="V12049" s="100"/>
      <c r="Y12049" s="100"/>
    </row>
    <row r="12050">
      <c r="R12050" s="100"/>
      <c r="V12050" s="100"/>
      <c r="Y12050" s="100"/>
    </row>
    <row r="12051">
      <c r="R12051" s="100"/>
      <c r="V12051" s="100"/>
      <c r="Y12051" s="100"/>
    </row>
    <row r="12052">
      <c r="R12052" s="100"/>
      <c r="V12052" s="100"/>
      <c r="Y12052" s="100"/>
    </row>
    <row r="12053">
      <c r="R12053" s="100"/>
      <c r="V12053" s="100"/>
      <c r="Y12053" s="100"/>
    </row>
    <row r="12054">
      <c r="R12054" s="100"/>
      <c r="V12054" s="100"/>
      <c r="Y12054" s="100"/>
    </row>
    <row r="12055">
      <c r="R12055" s="100"/>
      <c r="V12055" s="100"/>
      <c r="Y12055" s="100"/>
    </row>
    <row r="12056">
      <c r="R12056" s="100"/>
      <c r="V12056" s="100"/>
      <c r="Y12056" s="100"/>
    </row>
    <row r="12057">
      <c r="R12057" s="100"/>
      <c r="V12057" s="100"/>
      <c r="Y12057" s="100"/>
    </row>
    <row r="12058">
      <c r="R12058" s="100"/>
      <c r="V12058" s="100"/>
      <c r="Y12058" s="100"/>
    </row>
    <row r="12059">
      <c r="R12059" s="100"/>
      <c r="V12059" s="100"/>
      <c r="Y12059" s="100"/>
    </row>
    <row r="12060">
      <c r="R12060" s="100"/>
      <c r="V12060" s="100"/>
      <c r="Y12060" s="100"/>
    </row>
    <row r="12061">
      <c r="R12061" s="100"/>
      <c r="V12061" s="100"/>
      <c r="Y12061" s="100"/>
    </row>
    <row r="12062">
      <c r="R12062" s="100"/>
      <c r="V12062" s="100"/>
      <c r="Y12062" s="100"/>
    </row>
    <row r="12063">
      <c r="R12063" s="100"/>
      <c r="V12063" s="100"/>
      <c r="Y12063" s="100"/>
    </row>
    <row r="12064">
      <c r="R12064" s="100"/>
      <c r="V12064" s="100"/>
      <c r="Y12064" s="100"/>
    </row>
    <row r="12065">
      <c r="R12065" s="100"/>
      <c r="V12065" s="100"/>
      <c r="Y12065" s="100"/>
    </row>
    <row r="12066">
      <c r="R12066" s="100"/>
      <c r="V12066" s="100"/>
      <c r="Y12066" s="100"/>
    </row>
    <row r="12067">
      <c r="R12067" s="100"/>
      <c r="V12067" s="100"/>
      <c r="Y12067" s="100"/>
    </row>
    <row r="12068">
      <c r="R12068" s="100"/>
      <c r="V12068" s="100"/>
      <c r="Y12068" s="100"/>
    </row>
    <row r="12069">
      <c r="R12069" s="100"/>
      <c r="V12069" s="100"/>
      <c r="Y12069" s="100"/>
    </row>
    <row r="12070">
      <c r="R12070" s="100"/>
      <c r="V12070" s="100"/>
      <c r="Y12070" s="100"/>
    </row>
    <row r="12071">
      <c r="R12071" s="100"/>
      <c r="V12071" s="100"/>
      <c r="Y12071" s="100"/>
    </row>
    <row r="12072">
      <c r="R12072" s="100"/>
      <c r="V12072" s="100"/>
      <c r="Y12072" s="100"/>
    </row>
    <row r="12073">
      <c r="R12073" s="100"/>
      <c r="V12073" s="100"/>
      <c r="Y12073" s="100"/>
    </row>
    <row r="12074">
      <c r="R12074" s="100"/>
      <c r="V12074" s="100"/>
      <c r="Y12074" s="100"/>
    </row>
    <row r="12075">
      <c r="R12075" s="100"/>
      <c r="V12075" s="100"/>
      <c r="Y12075" s="100"/>
    </row>
    <row r="12076">
      <c r="R12076" s="100"/>
      <c r="V12076" s="100"/>
      <c r="Y12076" s="100"/>
    </row>
    <row r="12077">
      <c r="R12077" s="100"/>
      <c r="V12077" s="100"/>
      <c r="Y12077" s="100"/>
    </row>
    <row r="12078">
      <c r="R12078" s="100"/>
      <c r="V12078" s="100"/>
      <c r="Y12078" s="100"/>
    </row>
    <row r="12079">
      <c r="R12079" s="100"/>
      <c r="V12079" s="100"/>
      <c r="Y12079" s="100"/>
    </row>
    <row r="12080">
      <c r="R12080" s="100"/>
      <c r="V12080" s="100"/>
      <c r="Y12080" s="100"/>
    </row>
    <row r="12081">
      <c r="R12081" s="100"/>
      <c r="V12081" s="100"/>
      <c r="Y12081" s="100"/>
    </row>
    <row r="12082">
      <c r="R12082" s="100"/>
      <c r="V12082" s="100"/>
      <c r="Y12082" s="100"/>
    </row>
    <row r="12083">
      <c r="R12083" s="100"/>
      <c r="V12083" s="100"/>
      <c r="Y12083" s="100"/>
    </row>
    <row r="12084">
      <c r="R12084" s="100"/>
      <c r="V12084" s="100"/>
      <c r="Y12084" s="100"/>
    </row>
    <row r="12085">
      <c r="R12085" s="100"/>
      <c r="V12085" s="100"/>
      <c r="Y12085" s="100"/>
    </row>
    <row r="12086">
      <c r="R12086" s="100"/>
      <c r="V12086" s="100"/>
      <c r="Y12086" s="100"/>
    </row>
    <row r="12087">
      <c r="R12087" s="100"/>
      <c r="V12087" s="100"/>
      <c r="Y12087" s="100"/>
    </row>
    <row r="12088">
      <c r="R12088" s="100"/>
      <c r="V12088" s="100"/>
      <c r="Y12088" s="100"/>
    </row>
    <row r="12089">
      <c r="R12089" s="100"/>
      <c r="V12089" s="100"/>
      <c r="Y12089" s="100"/>
    </row>
    <row r="12090">
      <c r="R12090" s="100"/>
      <c r="V12090" s="100"/>
      <c r="Y12090" s="100"/>
    </row>
    <row r="12091">
      <c r="R12091" s="100"/>
      <c r="V12091" s="100"/>
      <c r="Y12091" s="100"/>
    </row>
    <row r="12092">
      <c r="R12092" s="100"/>
      <c r="V12092" s="100"/>
      <c r="Y12092" s="100"/>
    </row>
    <row r="12093">
      <c r="R12093" s="100"/>
      <c r="V12093" s="100"/>
      <c r="Y12093" s="100"/>
    </row>
    <row r="12094">
      <c r="R12094" s="100"/>
      <c r="V12094" s="100"/>
      <c r="Y12094" s="100"/>
    </row>
    <row r="12095">
      <c r="R12095" s="100"/>
      <c r="V12095" s="100"/>
      <c r="Y12095" s="100"/>
    </row>
    <row r="12096">
      <c r="R12096" s="100"/>
      <c r="V12096" s="100"/>
      <c r="Y12096" s="100"/>
    </row>
    <row r="12097">
      <c r="R12097" s="100"/>
      <c r="V12097" s="100"/>
      <c r="Y12097" s="100"/>
    </row>
    <row r="12098">
      <c r="R12098" s="100"/>
      <c r="V12098" s="100"/>
      <c r="Y12098" s="100"/>
    </row>
    <row r="12099">
      <c r="R12099" s="100"/>
      <c r="V12099" s="100"/>
      <c r="Y12099" s="100"/>
    </row>
    <row r="12100">
      <c r="R12100" s="100"/>
      <c r="V12100" s="100"/>
      <c r="Y12100" s="100"/>
    </row>
    <row r="12101">
      <c r="R12101" s="100"/>
      <c r="V12101" s="100"/>
      <c r="Y12101" s="100"/>
    </row>
    <row r="12102">
      <c r="R12102" s="100"/>
      <c r="V12102" s="100"/>
      <c r="Y12102" s="100"/>
    </row>
    <row r="12103">
      <c r="R12103" s="100"/>
      <c r="V12103" s="100"/>
      <c r="Y12103" s="100"/>
    </row>
    <row r="12104">
      <c r="R12104" s="100"/>
      <c r="V12104" s="100"/>
      <c r="Y12104" s="100"/>
    </row>
    <row r="12105">
      <c r="R12105" s="100"/>
      <c r="V12105" s="100"/>
      <c r="Y12105" s="100"/>
    </row>
    <row r="12106">
      <c r="R12106" s="100"/>
      <c r="V12106" s="100"/>
      <c r="Y12106" s="100"/>
    </row>
    <row r="12107">
      <c r="R12107" s="100"/>
      <c r="V12107" s="100"/>
      <c r="Y12107" s="100"/>
    </row>
    <row r="12108">
      <c r="R12108" s="100"/>
      <c r="V12108" s="100"/>
      <c r="Y12108" s="100"/>
    </row>
    <row r="12109">
      <c r="R12109" s="100"/>
      <c r="V12109" s="100"/>
      <c r="Y12109" s="100"/>
    </row>
    <row r="12110">
      <c r="R12110" s="100"/>
      <c r="V12110" s="100"/>
      <c r="Y12110" s="100"/>
    </row>
    <row r="12111">
      <c r="R12111" s="100"/>
      <c r="V12111" s="100"/>
      <c r="Y12111" s="100"/>
    </row>
    <row r="12112">
      <c r="R12112" s="100"/>
      <c r="V12112" s="100"/>
      <c r="Y12112" s="100"/>
    </row>
    <row r="12113">
      <c r="R12113" s="100"/>
      <c r="V12113" s="100"/>
      <c r="Y12113" s="100"/>
    </row>
    <row r="12114">
      <c r="R12114" s="100"/>
      <c r="V12114" s="100"/>
      <c r="Y12114" s="100"/>
    </row>
    <row r="12115">
      <c r="R12115" s="100"/>
      <c r="V12115" s="100"/>
      <c r="Y12115" s="100"/>
    </row>
    <row r="12116">
      <c r="R12116" s="100"/>
      <c r="V12116" s="100"/>
      <c r="Y12116" s="100"/>
    </row>
    <row r="12117">
      <c r="R12117" s="100"/>
      <c r="V12117" s="100"/>
      <c r="Y12117" s="100"/>
    </row>
    <row r="12118">
      <c r="R12118" s="100"/>
      <c r="V12118" s="100"/>
      <c r="Y12118" s="100"/>
    </row>
    <row r="12119">
      <c r="R12119" s="100"/>
      <c r="V12119" s="100"/>
      <c r="Y12119" s="100"/>
    </row>
    <row r="12120">
      <c r="R12120" s="100"/>
      <c r="V12120" s="100"/>
      <c r="Y12120" s="100"/>
    </row>
    <row r="12121">
      <c r="R12121" s="100"/>
      <c r="V12121" s="100"/>
      <c r="Y12121" s="100"/>
    </row>
    <row r="12122">
      <c r="R12122" s="100"/>
      <c r="V12122" s="100"/>
      <c r="Y12122" s="100"/>
    </row>
    <row r="12123">
      <c r="R12123" s="100"/>
      <c r="V12123" s="100"/>
      <c r="Y12123" s="100"/>
    </row>
    <row r="12124">
      <c r="R12124" s="100"/>
      <c r="V12124" s="100"/>
      <c r="Y12124" s="100"/>
    </row>
    <row r="12125">
      <c r="R12125" s="100"/>
      <c r="V12125" s="100"/>
      <c r="Y12125" s="100"/>
    </row>
    <row r="12126">
      <c r="R12126" s="100"/>
      <c r="V12126" s="100"/>
      <c r="Y12126" s="100"/>
    </row>
    <row r="12127">
      <c r="R12127" s="100"/>
      <c r="V12127" s="100"/>
      <c r="Y12127" s="100"/>
    </row>
    <row r="12128">
      <c r="R12128" s="100"/>
      <c r="V12128" s="100"/>
      <c r="Y12128" s="100"/>
    </row>
    <row r="12129">
      <c r="R12129" s="100"/>
      <c r="V12129" s="100"/>
      <c r="Y12129" s="100"/>
    </row>
    <row r="12130">
      <c r="R12130" s="100"/>
      <c r="V12130" s="100"/>
      <c r="Y12130" s="100"/>
    </row>
    <row r="12131">
      <c r="R12131" s="100"/>
      <c r="V12131" s="100"/>
      <c r="Y12131" s="100"/>
    </row>
    <row r="12132">
      <c r="R12132" s="100"/>
      <c r="V12132" s="100"/>
      <c r="Y12132" s="100"/>
    </row>
    <row r="12133">
      <c r="R12133" s="100"/>
      <c r="V12133" s="100"/>
      <c r="Y12133" s="100"/>
    </row>
    <row r="12134">
      <c r="R12134" s="100"/>
      <c r="V12134" s="100"/>
      <c r="Y12134" s="100"/>
    </row>
    <row r="12135">
      <c r="R12135" s="100"/>
      <c r="V12135" s="100"/>
      <c r="Y12135" s="100"/>
    </row>
    <row r="12136">
      <c r="R12136" s="100"/>
      <c r="V12136" s="100"/>
      <c r="Y12136" s="100"/>
    </row>
    <row r="12137">
      <c r="R12137" s="100"/>
      <c r="V12137" s="100"/>
      <c r="Y12137" s="100"/>
    </row>
    <row r="12138">
      <c r="R12138" s="100"/>
      <c r="V12138" s="100"/>
      <c r="Y12138" s="100"/>
    </row>
    <row r="12139">
      <c r="R12139" s="100"/>
      <c r="V12139" s="100"/>
      <c r="Y12139" s="100"/>
    </row>
    <row r="12140">
      <c r="R12140" s="100"/>
      <c r="V12140" s="100"/>
      <c r="Y12140" s="100"/>
    </row>
    <row r="12141">
      <c r="R12141" s="100"/>
      <c r="V12141" s="100"/>
      <c r="Y12141" s="100"/>
    </row>
    <row r="12142">
      <c r="R12142" s="100"/>
      <c r="V12142" s="100"/>
      <c r="Y12142" s="100"/>
    </row>
    <row r="12143">
      <c r="R12143" s="100"/>
      <c r="V12143" s="100"/>
      <c r="Y12143" s="100"/>
    </row>
    <row r="12144">
      <c r="R12144" s="100"/>
      <c r="V12144" s="100"/>
      <c r="Y12144" s="100"/>
    </row>
    <row r="12145">
      <c r="R12145" s="100"/>
      <c r="V12145" s="100"/>
      <c r="Y12145" s="100"/>
    </row>
    <row r="12146">
      <c r="R12146" s="100"/>
      <c r="V12146" s="100"/>
      <c r="Y12146" s="100"/>
    </row>
    <row r="12147">
      <c r="R12147" s="100"/>
      <c r="V12147" s="100"/>
      <c r="Y12147" s="100"/>
    </row>
    <row r="12148">
      <c r="R12148" s="100"/>
      <c r="V12148" s="100"/>
      <c r="Y12148" s="100"/>
    </row>
    <row r="12149">
      <c r="R12149" s="100"/>
      <c r="V12149" s="100"/>
      <c r="Y12149" s="100"/>
    </row>
    <row r="12150">
      <c r="R12150" s="100"/>
      <c r="V12150" s="100"/>
      <c r="Y12150" s="100"/>
    </row>
    <row r="12151">
      <c r="R12151" s="100"/>
      <c r="V12151" s="100"/>
      <c r="Y12151" s="100"/>
    </row>
    <row r="12152">
      <c r="R12152" s="100"/>
      <c r="V12152" s="100"/>
      <c r="Y12152" s="100"/>
    </row>
    <row r="12153">
      <c r="R12153" s="100"/>
      <c r="V12153" s="100"/>
      <c r="Y12153" s="100"/>
    </row>
    <row r="12154">
      <c r="R12154" s="100"/>
      <c r="V12154" s="100"/>
      <c r="Y12154" s="100"/>
    </row>
    <row r="12155">
      <c r="R12155" s="100"/>
      <c r="V12155" s="100"/>
      <c r="Y12155" s="100"/>
    </row>
    <row r="12156">
      <c r="R12156" s="100"/>
      <c r="V12156" s="100"/>
      <c r="Y12156" s="100"/>
    </row>
    <row r="12157">
      <c r="R12157" s="100"/>
      <c r="V12157" s="100"/>
      <c r="Y12157" s="100"/>
    </row>
    <row r="12158">
      <c r="R12158" s="100"/>
      <c r="V12158" s="100"/>
      <c r="Y12158" s="100"/>
    </row>
    <row r="12159">
      <c r="R12159" s="100"/>
      <c r="V12159" s="100"/>
      <c r="Y12159" s="100"/>
    </row>
    <row r="12160">
      <c r="R12160" s="100"/>
      <c r="V12160" s="100"/>
      <c r="Y12160" s="100"/>
    </row>
    <row r="12161">
      <c r="R12161" s="100"/>
      <c r="V12161" s="100"/>
      <c r="Y12161" s="100"/>
    </row>
    <row r="12162">
      <c r="R12162" s="100"/>
      <c r="V12162" s="100"/>
      <c r="Y12162" s="100"/>
    </row>
    <row r="12163">
      <c r="R12163" s="100"/>
      <c r="V12163" s="100"/>
      <c r="Y12163" s="100"/>
    </row>
    <row r="12164">
      <c r="R12164" s="100"/>
      <c r="V12164" s="100"/>
      <c r="Y12164" s="100"/>
    </row>
    <row r="12165">
      <c r="R12165" s="100"/>
      <c r="V12165" s="100"/>
      <c r="Y12165" s="100"/>
    </row>
    <row r="12166">
      <c r="R12166" s="100"/>
      <c r="V12166" s="100"/>
      <c r="Y12166" s="100"/>
    </row>
    <row r="12167">
      <c r="R12167" s="100"/>
      <c r="V12167" s="100"/>
      <c r="Y12167" s="100"/>
    </row>
    <row r="12168">
      <c r="R12168" s="100"/>
      <c r="V12168" s="100"/>
      <c r="Y12168" s="100"/>
    </row>
    <row r="12169">
      <c r="R12169" s="100"/>
      <c r="V12169" s="100"/>
      <c r="Y12169" s="100"/>
    </row>
    <row r="12170">
      <c r="R12170" s="100"/>
      <c r="V12170" s="100"/>
      <c r="Y12170" s="100"/>
    </row>
    <row r="12171">
      <c r="R12171" s="100"/>
      <c r="V12171" s="100"/>
      <c r="Y12171" s="100"/>
    </row>
    <row r="12172">
      <c r="R12172" s="100"/>
      <c r="V12172" s="100"/>
      <c r="Y12172" s="100"/>
    </row>
    <row r="12173">
      <c r="R12173" s="100"/>
      <c r="V12173" s="100"/>
      <c r="Y12173" s="100"/>
    </row>
    <row r="12174">
      <c r="R12174" s="100"/>
      <c r="V12174" s="100"/>
      <c r="Y12174" s="100"/>
    </row>
    <row r="12175">
      <c r="R12175" s="100"/>
      <c r="V12175" s="100"/>
      <c r="Y12175" s="100"/>
    </row>
    <row r="12176">
      <c r="R12176" s="100"/>
      <c r="V12176" s="100"/>
      <c r="Y12176" s="100"/>
    </row>
    <row r="12177">
      <c r="R12177" s="100"/>
      <c r="V12177" s="100"/>
      <c r="Y12177" s="100"/>
    </row>
    <row r="12178">
      <c r="R12178" s="100"/>
      <c r="V12178" s="100"/>
      <c r="Y12178" s="100"/>
    </row>
    <row r="12179">
      <c r="R12179" s="100"/>
      <c r="V12179" s="100"/>
      <c r="Y12179" s="100"/>
    </row>
    <row r="12180">
      <c r="R12180" s="100"/>
      <c r="V12180" s="100"/>
      <c r="Y12180" s="100"/>
    </row>
    <row r="12181">
      <c r="R12181" s="100"/>
      <c r="V12181" s="100"/>
      <c r="Y12181" s="100"/>
    </row>
    <row r="12182">
      <c r="R12182" s="100"/>
      <c r="V12182" s="100"/>
      <c r="Y12182" s="100"/>
    </row>
    <row r="12183">
      <c r="R12183" s="100"/>
      <c r="V12183" s="100"/>
      <c r="Y12183" s="100"/>
    </row>
    <row r="12184">
      <c r="R12184" s="100"/>
      <c r="V12184" s="100"/>
      <c r="Y12184" s="100"/>
    </row>
    <row r="12185">
      <c r="R12185" s="100"/>
      <c r="V12185" s="100"/>
      <c r="Y12185" s="100"/>
    </row>
    <row r="12186">
      <c r="R12186" s="100"/>
      <c r="V12186" s="100"/>
      <c r="Y12186" s="100"/>
    </row>
    <row r="12187">
      <c r="R12187" s="100"/>
      <c r="V12187" s="100"/>
      <c r="Y12187" s="100"/>
    </row>
    <row r="12188">
      <c r="R12188" s="100"/>
      <c r="V12188" s="100"/>
      <c r="Y12188" s="100"/>
    </row>
    <row r="12189">
      <c r="R12189" s="100"/>
      <c r="V12189" s="100"/>
      <c r="Y12189" s="100"/>
    </row>
    <row r="12190">
      <c r="R12190" s="100"/>
      <c r="V12190" s="100"/>
      <c r="Y12190" s="100"/>
    </row>
    <row r="12191">
      <c r="R12191" s="100"/>
      <c r="V12191" s="100"/>
      <c r="Y12191" s="100"/>
    </row>
    <row r="12192">
      <c r="R12192" s="100"/>
      <c r="V12192" s="100"/>
      <c r="Y12192" s="100"/>
    </row>
    <row r="12193">
      <c r="R12193" s="100"/>
      <c r="V12193" s="100"/>
      <c r="Y12193" s="100"/>
    </row>
    <row r="12194">
      <c r="R12194" s="100"/>
      <c r="V12194" s="100"/>
      <c r="Y12194" s="100"/>
    </row>
    <row r="12195">
      <c r="R12195" s="100"/>
      <c r="V12195" s="100"/>
      <c r="Y12195" s="100"/>
    </row>
    <row r="12196">
      <c r="R12196" s="100"/>
      <c r="V12196" s="100"/>
      <c r="Y12196" s="100"/>
    </row>
    <row r="12197">
      <c r="R12197" s="100"/>
      <c r="V12197" s="100"/>
      <c r="Y12197" s="100"/>
    </row>
    <row r="12198">
      <c r="R12198" s="100"/>
      <c r="V12198" s="100"/>
      <c r="Y12198" s="100"/>
    </row>
    <row r="12199">
      <c r="R12199" s="100"/>
      <c r="V12199" s="100"/>
      <c r="Y12199" s="100"/>
    </row>
    <row r="12200">
      <c r="R12200" s="100"/>
      <c r="V12200" s="100"/>
      <c r="Y12200" s="100"/>
    </row>
    <row r="12201">
      <c r="R12201" s="100"/>
      <c r="V12201" s="100"/>
      <c r="Y12201" s="100"/>
    </row>
    <row r="12202">
      <c r="R12202" s="100"/>
      <c r="V12202" s="100"/>
      <c r="Y12202" s="100"/>
    </row>
    <row r="12203">
      <c r="R12203" s="100"/>
      <c r="V12203" s="100"/>
      <c r="Y12203" s="100"/>
    </row>
    <row r="12204">
      <c r="R12204" s="100"/>
      <c r="V12204" s="100"/>
      <c r="Y12204" s="100"/>
    </row>
    <row r="12205">
      <c r="R12205" s="100"/>
      <c r="V12205" s="100"/>
      <c r="Y12205" s="100"/>
    </row>
    <row r="12206">
      <c r="R12206" s="100"/>
      <c r="V12206" s="100"/>
      <c r="Y12206" s="100"/>
    </row>
    <row r="12207">
      <c r="R12207" s="100"/>
      <c r="V12207" s="100"/>
      <c r="Y12207" s="100"/>
    </row>
    <row r="12208">
      <c r="R12208" s="100"/>
      <c r="V12208" s="100"/>
      <c r="Y12208" s="100"/>
    </row>
    <row r="12209">
      <c r="R12209" s="100"/>
      <c r="V12209" s="100"/>
      <c r="Y12209" s="100"/>
    </row>
    <row r="12210">
      <c r="R12210" s="100"/>
      <c r="V12210" s="100"/>
      <c r="Y12210" s="100"/>
    </row>
    <row r="12211">
      <c r="R12211" s="100"/>
      <c r="V12211" s="100"/>
      <c r="Y12211" s="100"/>
    </row>
    <row r="12212">
      <c r="R12212" s="100"/>
      <c r="V12212" s="100"/>
      <c r="Y12212" s="100"/>
    </row>
    <row r="12213">
      <c r="R12213" s="100"/>
      <c r="V12213" s="100"/>
      <c r="Y12213" s="100"/>
    </row>
    <row r="12214">
      <c r="R12214" s="100"/>
      <c r="V12214" s="100"/>
      <c r="Y12214" s="100"/>
    </row>
    <row r="12215">
      <c r="R12215" s="100"/>
      <c r="V12215" s="100"/>
      <c r="Y12215" s="100"/>
    </row>
    <row r="12216">
      <c r="R12216" s="100"/>
      <c r="V12216" s="100"/>
      <c r="Y12216" s="100"/>
    </row>
    <row r="12217">
      <c r="R12217" s="100"/>
      <c r="V12217" s="100"/>
      <c r="Y12217" s="100"/>
    </row>
    <row r="12218">
      <c r="R12218" s="100"/>
      <c r="V12218" s="100"/>
      <c r="Y12218" s="100"/>
    </row>
    <row r="12219">
      <c r="R12219" s="100"/>
      <c r="V12219" s="100"/>
      <c r="Y12219" s="100"/>
    </row>
    <row r="12220">
      <c r="R12220" s="100"/>
      <c r="V12220" s="100"/>
      <c r="Y12220" s="100"/>
    </row>
    <row r="12221">
      <c r="R12221" s="100"/>
      <c r="V12221" s="100"/>
      <c r="Y12221" s="100"/>
    </row>
    <row r="12222">
      <c r="R12222" s="100"/>
      <c r="V12222" s="100"/>
      <c r="Y12222" s="100"/>
    </row>
    <row r="12223">
      <c r="R12223" s="100"/>
      <c r="V12223" s="100"/>
      <c r="Y12223" s="100"/>
    </row>
    <row r="12224">
      <c r="R12224" s="100"/>
      <c r="V12224" s="100"/>
      <c r="Y12224" s="100"/>
    </row>
    <row r="12225">
      <c r="R12225" s="100"/>
      <c r="V12225" s="100"/>
      <c r="Y12225" s="100"/>
    </row>
    <row r="12226">
      <c r="R12226" s="100"/>
      <c r="V12226" s="100"/>
      <c r="Y12226" s="100"/>
    </row>
    <row r="12227">
      <c r="R12227" s="100"/>
      <c r="V12227" s="100"/>
      <c r="Y12227" s="100"/>
    </row>
    <row r="12228">
      <c r="R12228" s="100"/>
      <c r="V12228" s="100"/>
      <c r="Y12228" s="100"/>
    </row>
    <row r="12229">
      <c r="R12229" s="100"/>
      <c r="V12229" s="100"/>
      <c r="Y12229" s="100"/>
    </row>
    <row r="12230">
      <c r="R12230" s="100"/>
      <c r="V12230" s="100"/>
      <c r="Y12230" s="100"/>
    </row>
    <row r="12231">
      <c r="R12231" s="100"/>
      <c r="V12231" s="100"/>
      <c r="Y12231" s="100"/>
    </row>
    <row r="12232">
      <c r="R12232" s="100"/>
      <c r="V12232" s="100"/>
      <c r="Y12232" s="100"/>
    </row>
    <row r="12233">
      <c r="R12233" s="100"/>
      <c r="V12233" s="100"/>
      <c r="Y12233" s="100"/>
    </row>
    <row r="12234">
      <c r="R12234" s="100"/>
      <c r="V12234" s="100"/>
      <c r="Y12234" s="100"/>
    </row>
    <row r="12235">
      <c r="R12235" s="100"/>
      <c r="V12235" s="100"/>
      <c r="Y12235" s="100"/>
    </row>
    <row r="12236">
      <c r="R12236" s="100"/>
      <c r="V12236" s="100"/>
      <c r="Y12236" s="100"/>
    </row>
    <row r="12237">
      <c r="R12237" s="100"/>
      <c r="V12237" s="100"/>
      <c r="Y12237" s="100"/>
    </row>
    <row r="12238">
      <c r="R12238" s="100"/>
      <c r="V12238" s="100"/>
      <c r="Y12238" s="100"/>
    </row>
    <row r="12239">
      <c r="R12239" s="100"/>
      <c r="V12239" s="100"/>
      <c r="Y12239" s="100"/>
    </row>
    <row r="12240">
      <c r="R12240" s="100"/>
      <c r="V12240" s="100"/>
      <c r="Y12240" s="100"/>
    </row>
    <row r="12241">
      <c r="R12241" s="100"/>
      <c r="V12241" s="100"/>
      <c r="Y12241" s="100"/>
    </row>
    <row r="12242">
      <c r="R12242" s="100"/>
      <c r="V12242" s="100"/>
      <c r="Y12242" s="100"/>
    </row>
    <row r="12243">
      <c r="R12243" s="100"/>
      <c r="V12243" s="100"/>
      <c r="Y12243" s="100"/>
    </row>
    <row r="12244">
      <c r="R12244" s="100"/>
      <c r="V12244" s="100"/>
      <c r="Y12244" s="100"/>
    </row>
    <row r="12245">
      <c r="R12245" s="100"/>
      <c r="V12245" s="100"/>
      <c r="Y12245" s="100"/>
    </row>
    <row r="12246">
      <c r="R12246" s="100"/>
      <c r="V12246" s="100"/>
      <c r="Y12246" s="100"/>
    </row>
    <row r="12247">
      <c r="R12247" s="100"/>
      <c r="V12247" s="100"/>
      <c r="Y12247" s="100"/>
    </row>
    <row r="12248">
      <c r="R12248" s="100"/>
      <c r="V12248" s="100"/>
      <c r="Y12248" s="100"/>
    </row>
    <row r="12249">
      <c r="R12249" s="100"/>
      <c r="V12249" s="100"/>
      <c r="Y12249" s="100"/>
    </row>
    <row r="12250">
      <c r="R12250" s="100"/>
      <c r="V12250" s="100"/>
      <c r="Y12250" s="100"/>
    </row>
    <row r="12251">
      <c r="R12251" s="100"/>
      <c r="V12251" s="100"/>
      <c r="Y12251" s="100"/>
    </row>
    <row r="12252">
      <c r="R12252" s="100"/>
      <c r="V12252" s="100"/>
      <c r="Y12252" s="100"/>
    </row>
    <row r="12253">
      <c r="R12253" s="100"/>
      <c r="V12253" s="100"/>
      <c r="Y12253" s="100"/>
    </row>
    <row r="12254">
      <c r="R12254" s="100"/>
      <c r="V12254" s="100"/>
      <c r="Y12254" s="100"/>
    </row>
    <row r="12255">
      <c r="R12255" s="100"/>
      <c r="V12255" s="100"/>
      <c r="Y12255" s="100"/>
    </row>
    <row r="12256">
      <c r="R12256" s="100"/>
      <c r="V12256" s="100"/>
      <c r="Y12256" s="100"/>
    </row>
    <row r="12257">
      <c r="R12257" s="100"/>
      <c r="V12257" s="100"/>
      <c r="Y12257" s="100"/>
    </row>
    <row r="12258">
      <c r="R12258" s="100"/>
      <c r="V12258" s="100"/>
      <c r="Y12258" s="100"/>
    </row>
    <row r="12259">
      <c r="R12259" s="100"/>
      <c r="V12259" s="100"/>
      <c r="Y12259" s="100"/>
    </row>
    <row r="12260">
      <c r="R12260" s="100"/>
      <c r="V12260" s="100"/>
      <c r="Y12260" s="100"/>
    </row>
    <row r="12261">
      <c r="R12261" s="100"/>
      <c r="V12261" s="100"/>
      <c r="Y12261" s="100"/>
    </row>
    <row r="12262">
      <c r="R12262" s="100"/>
      <c r="V12262" s="100"/>
      <c r="Y12262" s="100"/>
    </row>
    <row r="12263">
      <c r="R12263" s="100"/>
      <c r="V12263" s="100"/>
      <c r="Y12263" s="100"/>
    </row>
    <row r="12264">
      <c r="R12264" s="100"/>
      <c r="V12264" s="100"/>
      <c r="Y12264" s="100"/>
    </row>
    <row r="12265">
      <c r="R12265" s="100"/>
      <c r="V12265" s="100"/>
      <c r="Y12265" s="100"/>
    </row>
    <row r="12266">
      <c r="R12266" s="100"/>
      <c r="V12266" s="100"/>
      <c r="Y12266" s="100"/>
    </row>
    <row r="12267">
      <c r="R12267" s="100"/>
      <c r="V12267" s="100"/>
      <c r="Y12267" s="100"/>
    </row>
    <row r="12268">
      <c r="R12268" s="100"/>
      <c r="V12268" s="100"/>
      <c r="Y12268" s="100"/>
    </row>
    <row r="12269">
      <c r="R12269" s="100"/>
      <c r="V12269" s="100"/>
      <c r="Y12269" s="100"/>
    </row>
    <row r="12270">
      <c r="R12270" s="100"/>
      <c r="V12270" s="100"/>
      <c r="Y12270" s="100"/>
    </row>
    <row r="12271">
      <c r="R12271" s="100"/>
      <c r="V12271" s="100"/>
      <c r="Y12271" s="100"/>
    </row>
    <row r="12272">
      <c r="R12272" s="100"/>
      <c r="V12272" s="100"/>
      <c r="Y12272" s="100"/>
    </row>
    <row r="12273">
      <c r="R12273" s="100"/>
      <c r="V12273" s="100"/>
      <c r="Y12273" s="100"/>
    </row>
    <row r="12274">
      <c r="R12274" s="100"/>
      <c r="V12274" s="100"/>
      <c r="Y12274" s="100"/>
    </row>
    <row r="12275">
      <c r="R12275" s="100"/>
      <c r="V12275" s="100"/>
      <c r="Y12275" s="100"/>
    </row>
    <row r="12276">
      <c r="R12276" s="100"/>
      <c r="V12276" s="100"/>
      <c r="Y12276" s="100"/>
    </row>
    <row r="12277">
      <c r="R12277" s="100"/>
      <c r="V12277" s="100"/>
      <c r="Y12277" s="100"/>
    </row>
    <row r="12278">
      <c r="R12278" s="100"/>
      <c r="V12278" s="100"/>
      <c r="Y12278" s="100"/>
    </row>
    <row r="12279">
      <c r="R12279" s="100"/>
      <c r="V12279" s="100"/>
      <c r="Y12279" s="100"/>
    </row>
    <row r="12280">
      <c r="R12280" s="100"/>
      <c r="V12280" s="100"/>
      <c r="Y12280" s="100"/>
    </row>
    <row r="12281">
      <c r="R12281" s="100"/>
      <c r="V12281" s="100"/>
      <c r="Y12281" s="100"/>
    </row>
    <row r="12282">
      <c r="R12282" s="100"/>
      <c r="V12282" s="100"/>
      <c r="Y12282" s="100"/>
    </row>
    <row r="12283">
      <c r="R12283" s="100"/>
      <c r="V12283" s="100"/>
      <c r="Y12283" s="100"/>
    </row>
    <row r="12284">
      <c r="R12284" s="100"/>
      <c r="V12284" s="100"/>
      <c r="Y12284" s="100"/>
    </row>
    <row r="12285">
      <c r="R12285" s="100"/>
      <c r="V12285" s="100"/>
      <c r="Y12285" s="100"/>
    </row>
    <row r="12286">
      <c r="R12286" s="100"/>
      <c r="V12286" s="100"/>
      <c r="Y12286" s="100"/>
    </row>
    <row r="12287">
      <c r="R12287" s="100"/>
      <c r="V12287" s="100"/>
      <c r="Y12287" s="100"/>
    </row>
    <row r="12288">
      <c r="R12288" s="100"/>
      <c r="V12288" s="100"/>
      <c r="Y12288" s="100"/>
    </row>
    <row r="12289">
      <c r="R12289" s="100"/>
      <c r="V12289" s="100"/>
      <c r="Y12289" s="100"/>
    </row>
    <row r="12290">
      <c r="R12290" s="100"/>
      <c r="V12290" s="100"/>
      <c r="Y12290" s="100"/>
    </row>
    <row r="12291">
      <c r="R12291" s="100"/>
      <c r="V12291" s="100"/>
      <c r="Y12291" s="100"/>
    </row>
    <row r="12292">
      <c r="R12292" s="100"/>
      <c r="V12292" s="100"/>
      <c r="Y12292" s="100"/>
    </row>
    <row r="12293">
      <c r="R12293" s="100"/>
      <c r="V12293" s="100"/>
      <c r="Y12293" s="100"/>
    </row>
    <row r="12294">
      <c r="R12294" s="100"/>
      <c r="V12294" s="100"/>
      <c r="Y12294" s="100"/>
    </row>
    <row r="12295">
      <c r="R12295" s="100"/>
      <c r="V12295" s="100"/>
      <c r="Y12295" s="100"/>
    </row>
    <row r="12296">
      <c r="R12296" s="100"/>
      <c r="V12296" s="100"/>
      <c r="Y12296" s="100"/>
    </row>
    <row r="12297">
      <c r="R12297" s="100"/>
      <c r="V12297" s="100"/>
      <c r="Y12297" s="100"/>
    </row>
    <row r="12298">
      <c r="R12298" s="100"/>
      <c r="V12298" s="100"/>
      <c r="Y12298" s="100"/>
    </row>
    <row r="12299">
      <c r="R12299" s="100"/>
      <c r="V12299" s="100"/>
      <c r="Y12299" s="100"/>
    </row>
    <row r="12300">
      <c r="R12300" s="100"/>
      <c r="V12300" s="100"/>
      <c r="Y12300" s="100"/>
    </row>
    <row r="12301">
      <c r="R12301" s="100"/>
      <c r="V12301" s="100"/>
      <c r="Y12301" s="100"/>
    </row>
    <row r="12302">
      <c r="R12302" s="100"/>
      <c r="V12302" s="100"/>
      <c r="Y12302" s="100"/>
    </row>
    <row r="12303">
      <c r="R12303" s="100"/>
      <c r="V12303" s="100"/>
      <c r="Y12303" s="100"/>
    </row>
    <row r="12304">
      <c r="R12304" s="100"/>
      <c r="V12304" s="100"/>
      <c r="Y12304" s="100"/>
    </row>
    <row r="12305">
      <c r="R12305" s="100"/>
      <c r="V12305" s="100"/>
      <c r="Y12305" s="100"/>
    </row>
    <row r="12306">
      <c r="R12306" s="100"/>
      <c r="V12306" s="100"/>
      <c r="Y12306" s="100"/>
    </row>
    <row r="12307">
      <c r="R12307" s="100"/>
      <c r="V12307" s="100"/>
      <c r="Y12307" s="100"/>
    </row>
    <row r="12308">
      <c r="R12308" s="100"/>
      <c r="V12308" s="100"/>
      <c r="Y12308" s="100"/>
    </row>
    <row r="12309">
      <c r="R12309" s="100"/>
      <c r="V12309" s="100"/>
      <c r="Y12309" s="100"/>
    </row>
    <row r="12310">
      <c r="R12310" s="100"/>
      <c r="V12310" s="100"/>
      <c r="Y12310" s="100"/>
    </row>
    <row r="12311">
      <c r="R12311" s="100"/>
      <c r="V12311" s="100"/>
      <c r="Y12311" s="100"/>
    </row>
    <row r="12312">
      <c r="R12312" s="100"/>
      <c r="V12312" s="100"/>
      <c r="Y12312" s="100"/>
    </row>
    <row r="12313">
      <c r="R12313" s="100"/>
      <c r="V12313" s="100"/>
      <c r="Y12313" s="100"/>
    </row>
    <row r="12314">
      <c r="R12314" s="100"/>
      <c r="V12314" s="100"/>
      <c r="Y12314" s="100"/>
    </row>
    <row r="12315">
      <c r="R12315" s="100"/>
      <c r="V12315" s="100"/>
      <c r="Y12315" s="100"/>
    </row>
    <row r="12316">
      <c r="R12316" s="100"/>
      <c r="V12316" s="100"/>
      <c r="Y12316" s="100"/>
    </row>
    <row r="12317">
      <c r="R12317" s="100"/>
      <c r="V12317" s="100"/>
      <c r="Y12317" s="100"/>
    </row>
    <row r="12318">
      <c r="R12318" s="100"/>
      <c r="V12318" s="100"/>
      <c r="Y12318" s="100"/>
    </row>
    <row r="12319">
      <c r="R12319" s="100"/>
      <c r="V12319" s="100"/>
      <c r="Y12319" s="100"/>
    </row>
    <row r="12320">
      <c r="R12320" s="100"/>
      <c r="V12320" s="100"/>
      <c r="Y12320" s="100"/>
    </row>
    <row r="12321">
      <c r="R12321" s="100"/>
      <c r="V12321" s="100"/>
      <c r="Y12321" s="100"/>
    </row>
    <row r="12322">
      <c r="R12322" s="100"/>
      <c r="V12322" s="100"/>
      <c r="Y12322" s="100"/>
    </row>
    <row r="12323">
      <c r="R12323" s="100"/>
      <c r="V12323" s="100"/>
      <c r="Y12323" s="100"/>
    </row>
    <row r="12324">
      <c r="R12324" s="100"/>
      <c r="V12324" s="100"/>
      <c r="Y12324" s="100"/>
    </row>
    <row r="12325">
      <c r="R12325" s="100"/>
      <c r="V12325" s="100"/>
      <c r="Y12325" s="100"/>
    </row>
    <row r="12326">
      <c r="R12326" s="100"/>
      <c r="V12326" s="100"/>
      <c r="Y12326" s="100"/>
    </row>
    <row r="12327">
      <c r="R12327" s="100"/>
      <c r="V12327" s="100"/>
      <c r="Y12327" s="100"/>
    </row>
    <row r="12328">
      <c r="R12328" s="100"/>
      <c r="V12328" s="100"/>
      <c r="Y12328" s="100"/>
    </row>
    <row r="12329">
      <c r="R12329" s="100"/>
      <c r="V12329" s="100"/>
      <c r="Y12329" s="100"/>
    </row>
    <row r="12330">
      <c r="R12330" s="100"/>
      <c r="V12330" s="100"/>
      <c r="Y12330" s="100"/>
    </row>
    <row r="12331">
      <c r="R12331" s="100"/>
      <c r="V12331" s="100"/>
      <c r="Y12331" s="100"/>
    </row>
    <row r="12332">
      <c r="R12332" s="100"/>
      <c r="V12332" s="100"/>
      <c r="Y12332" s="100"/>
    </row>
    <row r="12333">
      <c r="R12333" s="100"/>
      <c r="V12333" s="100"/>
      <c r="Y12333" s="100"/>
    </row>
    <row r="12334">
      <c r="R12334" s="100"/>
      <c r="V12334" s="100"/>
      <c r="Y12334" s="100"/>
    </row>
    <row r="12335">
      <c r="R12335" s="100"/>
      <c r="V12335" s="100"/>
      <c r="Y12335" s="100"/>
    </row>
    <row r="12336">
      <c r="R12336" s="100"/>
      <c r="V12336" s="100"/>
      <c r="Y12336" s="100"/>
    </row>
    <row r="12337">
      <c r="R12337" s="100"/>
      <c r="V12337" s="100"/>
      <c r="Y12337" s="100"/>
    </row>
    <row r="12338">
      <c r="R12338" s="100"/>
      <c r="V12338" s="100"/>
      <c r="Y12338" s="100"/>
    </row>
    <row r="12339">
      <c r="R12339" s="100"/>
      <c r="V12339" s="100"/>
      <c r="Y12339" s="100"/>
    </row>
    <row r="12340">
      <c r="R12340" s="100"/>
      <c r="V12340" s="100"/>
      <c r="Y12340" s="100"/>
    </row>
    <row r="12341">
      <c r="R12341" s="100"/>
      <c r="V12341" s="100"/>
      <c r="Y12341" s="100"/>
    </row>
    <row r="12342">
      <c r="R12342" s="100"/>
      <c r="V12342" s="100"/>
      <c r="Y12342" s="100"/>
    </row>
    <row r="12343">
      <c r="R12343" s="100"/>
      <c r="V12343" s="100"/>
      <c r="Y12343" s="100"/>
    </row>
    <row r="12344">
      <c r="R12344" s="100"/>
      <c r="V12344" s="100"/>
      <c r="Y12344" s="100"/>
    </row>
    <row r="12345">
      <c r="R12345" s="100"/>
      <c r="V12345" s="100"/>
      <c r="Y12345" s="100"/>
    </row>
    <row r="12346">
      <c r="R12346" s="100"/>
      <c r="V12346" s="100"/>
      <c r="Y12346" s="100"/>
    </row>
    <row r="12347">
      <c r="R12347" s="100"/>
      <c r="V12347" s="100"/>
      <c r="Y12347" s="100"/>
    </row>
    <row r="12348">
      <c r="R12348" s="100"/>
      <c r="V12348" s="100"/>
      <c r="Y12348" s="100"/>
    </row>
    <row r="12349">
      <c r="R12349" s="100"/>
      <c r="V12349" s="100"/>
      <c r="Y12349" s="100"/>
    </row>
    <row r="12350">
      <c r="R12350" s="100"/>
      <c r="V12350" s="100"/>
      <c r="Y12350" s="100"/>
    </row>
    <row r="12351">
      <c r="R12351" s="100"/>
      <c r="V12351" s="100"/>
      <c r="Y12351" s="100"/>
    </row>
    <row r="12352">
      <c r="R12352" s="100"/>
      <c r="V12352" s="100"/>
      <c r="Y12352" s="100"/>
    </row>
    <row r="12353">
      <c r="R12353" s="100"/>
      <c r="V12353" s="100"/>
      <c r="Y12353" s="100"/>
    </row>
    <row r="12354">
      <c r="R12354" s="100"/>
      <c r="V12354" s="100"/>
      <c r="Y12354" s="100"/>
    </row>
    <row r="12355">
      <c r="R12355" s="100"/>
      <c r="V12355" s="100"/>
      <c r="Y12355" s="100"/>
    </row>
    <row r="12356">
      <c r="R12356" s="100"/>
      <c r="V12356" s="100"/>
      <c r="Y12356" s="100"/>
    </row>
    <row r="12357">
      <c r="R12357" s="100"/>
      <c r="V12357" s="100"/>
      <c r="Y12357" s="100"/>
    </row>
    <row r="12358">
      <c r="R12358" s="100"/>
      <c r="V12358" s="100"/>
      <c r="Y12358" s="100"/>
    </row>
    <row r="12359">
      <c r="R12359" s="100"/>
      <c r="V12359" s="100"/>
      <c r="Y12359" s="100"/>
    </row>
    <row r="12360">
      <c r="R12360" s="100"/>
      <c r="V12360" s="100"/>
      <c r="Y12360" s="100"/>
    </row>
    <row r="12361">
      <c r="R12361" s="100"/>
      <c r="V12361" s="100"/>
      <c r="Y12361" s="100"/>
    </row>
    <row r="12362">
      <c r="R12362" s="100"/>
      <c r="V12362" s="100"/>
      <c r="Y12362" s="100"/>
    </row>
    <row r="12363">
      <c r="R12363" s="100"/>
      <c r="V12363" s="100"/>
      <c r="Y12363" s="100"/>
    </row>
    <row r="12364">
      <c r="R12364" s="100"/>
      <c r="V12364" s="100"/>
      <c r="Y12364" s="100"/>
    </row>
    <row r="12365">
      <c r="R12365" s="100"/>
      <c r="V12365" s="100"/>
      <c r="Y12365" s="100"/>
    </row>
    <row r="12366">
      <c r="R12366" s="100"/>
      <c r="V12366" s="100"/>
      <c r="Y12366" s="100"/>
    </row>
    <row r="12367">
      <c r="R12367" s="100"/>
      <c r="V12367" s="100"/>
      <c r="Y12367" s="100"/>
    </row>
    <row r="12368">
      <c r="R12368" s="100"/>
      <c r="V12368" s="100"/>
      <c r="Y12368" s="100"/>
    </row>
    <row r="12369">
      <c r="R12369" s="100"/>
      <c r="V12369" s="100"/>
      <c r="Y12369" s="100"/>
    </row>
    <row r="12370">
      <c r="R12370" s="100"/>
      <c r="V12370" s="100"/>
      <c r="Y12370" s="100"/>
    </row>
    <row r="12371">
      <c r="R12371" s="100"/>
      <c r="V12371" s="100"/>
      <c r="Y12371" s="100"/>
    </row>
    <row r="12372">
      <c r="R12372" s="100"/>
      <c r="V12372" s="100"/>
      <c r="Y12372" s="100"/>
    </row>
    <row r="12373">
      <c r="R12373" s="100"/>
      <c r="V12373" s="100"/>
      <c r="Y12373" s="100"/>
    </row>
    <row r="12374">
      <c r="R12374" s="100"/>
      <c r="V12374" s="100"/>
      <c r="Y12374" s="100"/>
    </row>
    <row r="12375">
      <c r="R12375" s="100"/>
      <c r="V12375" s="100"/>
      <c r="Y12375" s="100"/>
    </row>
    <row r="12376">
      <c r="R12376" s="100"/>
      <c r="V12376" s="100"/>
      <c r="Y12376" s="100"/>
    </row>
    <row r="12377">
      <c r="R12377" s="100"/>
      <c r="V12377" s="100"/>
      <c r="Y12377" s="100"/>
    </row>
    <row r="12378">
      <c r="R12378" s="100"/>
      <c r="V12378" s="100"/>
      <c r="Y12378" s="100"/>
    </row>
    <row r="12379">
      <c r="R12379" s="100"/>
      <c r="V12379" s="100"/>
      <c r="Y12379" s="100"/>
    </row>
    <row r="12380">
      <c r="R12380" s="100"/>
      <c r="V12380" s="100"/>
      <c r="Y12380" s="100"/>
    </row>
    <row r="12381">
      <c r="R12381" s="100"/>
      <c r="V12381" s="100"/>
      <c r="Y12381" s="100"/>
    </row>
    <row r="12382">
      <c r="R12382" s="100"/>
      <c r="V12382" s="100"/>
      <c r="Y12382" s="100"/>
    </row>
    <row r="12383">
      <c r="R12383" s="100"/>
      <c r="V12383" s="100"/>
      <c r="Y12383" s="100"/>
    </row>
    <row r="12384">
      <c r="R12384" s="100"/>
      <c r="V12384" s="100"/>
      <c r="Y12384" s="100"/>
    </row>
    <row r="12385">
      <c r="R12385" s="100"/>
      <c r="V12385" s="100"/>
      <c r="Y12385" s="100"/>
    </row>
    <row r="12386">
      <c r="R12386" s="100"/>
      <c r="V12386" s="100"/>
      <c r="Y12386" s="100"/>
    </row>
    <row r="12387">
      <c r="R12387" s="100"/>
      <c r="V12387" s="100"/>
      <c r="Y12387" s="100"/>
    </row>
    <row r="12388">
      <c r="R12388" s="100"/>
      <c r="V12388" s="100"/>
      <c r="Y12388" s="100"/>
    </row>
    <row r="12389">
      <c r="R12389" s="100"/>
      <c r="V12389" s="100"/>
      <c r="Y12389" s="100"/>
    </row>
    <row r="12390">
      <c r="R12390" s="100"/>
      <c r="V12390" s="100"/>
      <c r="Y12390" s="100"/>
    </row>
    <row r="12391">
      <c r="R12391" s="100"/>
      <c r="V12391" s="100"/>
      <c r="Y12391" s="100"/>
    </row>
    <row r="12392">
      <c r="R12392" s="100"/>
      <c r="V12392" s="100"/>
      <c r="Y12392" s="100"/>
    </row>
    <row r="12393">
      <c r="R12393" s="100"/>
      <c r="V12393" s="100"/>
      <c r="Y12393" s="100"/>
    </row>
    <row r="12394">
      <c r="R12394" s="100"/>
      <c r="V12394" s="100"/>
      <c r="Y12394" s="100"/>
    </row>
    <row r="12395">
      <c r="R12395" s="100"/>
      <c r="V12395" s="100"/>
      <c r="Y12395" s="100"/>
    </row>
    <row r="12396">
      <c r="R12396" s="100"/>
      <c r="V12396" s="100"/>
      <c r="Y12396" s="100"/>
    </row>
    <row r="12397">
      <c r="R12397" s="100"/>
      <c r="V12397" s="100"/>
      <c r="Y12397" s="100"/>
    </row>
    <row r="12398">
      <c r="R12398" s="100"/>
      <c r="V12398" s="100"/>
      <c r="Y12398" s="100"/>
    </row>
    <row r="12399">
      <c r="R12399" s="100"/>
      <c r="V12399" s="100"/>
      <c r="Y12399" s="100"/>
    </row>
    <row r="12400">
      <c r="R12400" s="100"/>
      <c r="V12400" s="100"/>
      <c r="Y12400" s="100"/>
    </row>
    <row r="12401">
      <c r="R12401" s="100"/>
      <c r="V12401" s="100"/>
      <c r="Y12401" s="100"/>
    </row>
    <row r="12402">
      <c r="R12402" s="100"/>
      <c r="V12402" s="100"/>
      <c r="Y12402" s="100"/>
    </row>
    <row r="12403">
      <c r="R12403" s="100"/>
      <c r="V12403" s="100"/>
      <c r="Y12403" s="100"/>
    </row>
    <row r="12404">
      <c r="R12404" s="100"/>
      <c r="V12404" s="100"/>
      <c r="Y12404" s="100"/>
    </row>
    <row r="12405">
      <c r="R12405" s="100"/>
      <c r="V12405" s="100"/>
      <c r="Y12405" s="100"/>
    </row>
    <row r="12406">
      <c r="R12406" s="100"/>
      <c r="V12406" s="100"/>
      <c r="Y12406" s="100"/>
    </row>
    <row r="12407">
      <c r="R12407" s="100"/>
      <c r="V12407" s="100"/>
      <c r="Y12407" s="100"/>
    </row>
    <row r="12408">
      <c r="R12408" s="100"/>
      <c r="V12408" s="100"/>
      <c r="Y12408" s="100"/>
    </row>
    <row r="12409">
      <c r="R12409" s="100"/>
      <c r="V12409" s="100"/>
      <c r="Y12409" s="100"/>
    </row>
    <row r="12410">
      <c r="R12410" s="100"/>
      <c r="V12410" s="100"/>
      <c r="Y12410" s="100"/>
    </row>
    <row r="12411">
      <c r="R12411" s="100"/>
      <c r="V12411" s="100"/>
      <c r="Y12411" s="100"/>
    </row>
    <row r="12412">
      <c r="R12412" s="100"/>
      <c r="V12412" s="100"/>
      <c r="Y12412" s="100"/>
    </row>
    <row r="12413">
      <c r="R12413" s="100"/>
      <c r="V12413" s="100"/>
      <c r="Y12413" s="100"/>
    </row>
    <row r="12414">
      <c r="R12414" s="100"/>
      <c r="V12414" s="100"/>
      <c r="Y12414" s="100"/>
    </row>
    <row r="12415">
      <c r="R12415" s="100"/>
      <c r="V12415" s="100"/>
      <c r="Y12415" s="100"/>
    </row>
    <row r="12416">
      <c r="R12416" s="100"/>
      <c r="V12416" s="100"/>
      <c r="Y12416" s="100"/>
    </row>
    <row r="12417">
      <c r="R12417" s="100"/>
      <c r="V12417" s="100"/>
      <c r="Y12417" s="100"/>
    </row>
    <row r="12418">
      <c r="R12418" s="100"/>
      <c r="V12418" s="100"/>
      <c r="Y12418" s="100"/>
    </row>
    <row r="12419">
      <c r="R12419" s="100"/>
      <c r="V12419" s="100"/>
      <c r="Y12419" s="100"/>
    </row>
    <row r="12420">
      <c r="R12420" s="100"/>
      <c r="V12420" s="100"/>
      <c r="Y12420" s="100"/>
    </row>
    <row r="12421">
      <c r="R12421" s="100"/>
      <c r="V12421" s="100"/>
      <c r="Y12421" s="100"/>
    </row>
    <row r="12422">
      <c r="R12422" s="100"/>
      <c r="V12422" s="100"/>
      <c r="Y12422" s="100"/>
    </row>
    <row r="12423">
      <c r="R12423" s="100"/>
      <c r="V12423" s="100"/>
      <c r="Y12423" s="100"/>
    </row>
    <row r="12424">
      <c r="R12424" s="100"/>
      <c r="V12424" s="100"/>
      <c r="Y12424" s="100"/>
    </row>
    <row r="12425">
      <c r="R12425" s="100"/>
      <c r="V12425" s="100"/>
      <c r="Y12425" s="100"/>
    </row>
    <row r="12426">
      <c r="R12426" s="100"/>
      <c r="V12426" s="100"/>
      <c r="Y12426" s="100"/>
    </row>
    <row r="12427">
      <c r="R12427" s="100"/>
      <c r="V12427" s="100"/>
      <c r="Y12427" s="100"/>
    </row>
    <row r="12428">
      <c r="R12428" s="100"/>
      <c r="V12428" s="100"/>
      <c r="Y12428" s="100"/>
    </row>
    <row r="12429">
      <c r="R12429" s="100"/>
      <c r="V12429" s="100"/>
      <c r="Y12429" s="100"/>
    </row>
    <row r="12430">
      <c r="R12430" s="100"/>
      <c r="V12430" s="100"/>
      <c r="Y12430" s="100"/>
    </row>
    <row r="12431">
      <c r="R12431" s="100"/>
      <c r="V12431" s="100"/>
      <c r="Y12431" s="100"/>
    </row>
    <row r="12432">
      <c r="R12432" s="100"/>
      <c r="V12432" s="100"/>
      <c r="Y12432" s="100"/>
    </row>
    <row r="12433">
      <c r="R12433" s="100"/>
      <c r="V12433" s="100"/>
      <c r="Y12433" s="100"/>
    </row>
    <row r="12434">
      <c r="R12434" s="100"/>
      <c r="V12434" s="100"/>
      <c r="Y12434" s="100"/>
    </row>
    <row r="12435">
      <c r="R12435" s="100"/>
      <c r="V12435" s="100"/>
      <c r="Y12435" s="100"/>
    </row>
    <row r="12436">
      <c r="R12436" s="100"/>
      <c r="V12436" s="100"/>
      <c r="Y12436" s="100"/>
    </row>
    <row r="12437">
      <c r="R12437" s="100"/>
      <c r="V12437" s="100"/>
      <c r="Y12437" s="100"/>
    </row>
    <row r="12438">
      <c r="R12438" s="100"/>
      <c r="V12438" s="100"/>
      <c r="Y12438" s="100"/>
    </row>
    <row r="12439">
      <c r="R12439" s="100"/>
      <c r="V12439" s="100"/>
      <c r="Y12439" s="100"/>
    </row>
    <row r="12440">
      <c r="R12440" s="100"/>
      <c r="V12440" s="100"/>
      <c r="Y12440" s="100"/>
    </row>
    <row r="12441">
      <c r="R12441" s="100"/>
      <c r="V12441" s="100"/>
      <c r="Y12441" s="100"/>
    </row>
    <row r="12442">
      <c r="R12442" s="100"/>
      <c r="V12442" s="100"/>
      <c r="Y12442" s="100"/>
    </row>
    <row r="12443">
      <c r="R12443" s="100"/>
      <c r="V12443" s="100"/>
      <c r="Y12443" s="100"/>
    </row>
    <row r="12444">
      <c r="R12444" s="100"/>
      <c r="V12444" s="100"/>
      <c r="Y12444" s="100"/>
    </row>
    <row r="12445">
      <c r="R12445" s="100"/>
      <c r="V12445" s="100"/>
      <c r="Y12445" s="100"/>
    </row>
    <row r="12446">
      <c r="R12446" s="100"/>
      <c r="V12446" s="100"/>
      <c r="Y12446" s="100"/>
    </row>
    <row r="12447">
      <c r="R12447" s="100"/>
      <c r="V12447" s="100"/>
      <c r="Y12447" s="100"/>
    </row>
    <row r="12448">
      <c r="R12448" s="100"/>
      <c r="V12448" s="100"/>
      <c r="Y12448" s="100"/>
    </row>
    <row r="12449">
      <c r="R12449" s="100"/>
      <c r="V12449" s="100"/>
      <c r="Y12449" s="100"/>
    </row>
    <row r="12450">
      <c r="R12450" s="100"/>
      <c r="V12450" s="100"/>
      <c r="Y12450" s="100"/>
    </row>
    <row r="12451">
      <c r="R12451" s="100"/>
      <c r="V12451" s="100"/>
      <c r="Y12451" s="100"/>
    </row>
    <row r="12452">
      <c r="R12452" s="100"/>
      <c r="V12452" s="100"/>
      <c r="Y12452" s="100"/>
    </row>
    <row r="12453">
      <c r="R12453" s="100"/>
      <c r="V12453" s="100"/>
      <c r="Y12453" s="100"/>
    </row>
    <row r="12454">
      <c r="R12454" s="100"/>
      <c r="V12454" s="100"/>
      <c r="Y12454" s="100"/>
    </row>
    <row r="12455">
      <c r="R12455" s="100"/>
      <c r="V12455" s="100"/>
      <c r="Y12455" s="100"/>
    </row>
    <row r="12456">
      <c r="R12456" s="100"/>
      <c r="V12456" s="100"/>
      <c r="Y12456" s="100"/>
    </row>
    <row r="12457">
      <c r="R12457" s="100"/>
      <c r="V12457" s="100"/>
      <c r="Y12457" s="100"/>
    </row>
    <row r="12458">
      <c r="R12458" s="100"/>
      <c r="V12458" s="100"/>
      <c r="Y12458" s="100"/>
    </row>
    <row r="12459">
      <c r="R12459" s="100"/>
      <c r="V12459" s="100"/>
      <c r="Y12459" s="100"/>
    </row>
    <row r="12460">
      <c r="R12460" s="100"/>
      <c r="V12460" s="100"/>
      <c r="Y12460" s="100"/>
    </row>
    <row r="12461">
      <c r="R12461" s="100"/>
      <c r="V12461" s="100"/>
      <c r="Y12461" s="100"/>
    </row>
    <row r="12462">
      <c r="R12462" s="100"/>
      <c r="V12462" s="100"/>
      <c r="Y12462" s="100"/>
    </row>
    <row r="12463">
      <c r="R12463" s="100"/>
      <c r="V12463" s="100"/>
      <c r="Y12463" s="100"/>
    </row>
    <row r="12464">
      <c r="R12464" s="100"/>
      <c r="V12464" s="100"/>
      <c r="Y12464" s="100"/>
    </row>
    <row r="12465">
      <c r="R12465" s="100"/>
      <c r="V12465" s="100"/>
      <c r="Y12465" s="100"/>
    </row>
    <row r="12466">
      <c r="R12466" s="100"/>
      <c r="V12466" s="100"/>
      <c r="Y12466" s="100"/>
    </row>
    <row r="12467">
      <c r="R12467" s="100"/>
      <c r="V12467" s="100"/>
      <c r="Y12467" s="100"/>
    </row>
    <row r="12468">
      <c r="R12468" s="100"/>
      <c r="V12468" s="100"/>
      <c r="Y12468" s="100"/>
    </row>
    <row r="12469">
      <c r="R12469" s="100"/>
      <c r="V12469" s="100"/>
      <c r="Y12469" s="100"/>
    </row>
    <row r="12470">
      <c r="R12470" s="100"/>
      <c r="V12470" s="100"/>
      <c r="Y12470" s="100"/>
    </row>
    <row r="12471">
      <c r="R12471" s="100"/>
      <c r="V12471" s="100"/>
      <c r="Y12471" s="100"/>
    </row>
    <row r="12472">
      <c r="R12472" s="100"/>
      <c r="V12472" s="100"/>
      <c r="Y12472" s="100"/>
    </row>
    <row r="12473">
      <c r="R12473" s="100"/>
      <c r="V12473" s="100"/>
      <c r="Y12473" s="100"/>
    </row>
    <row r="12474">
      <c r="R12474" s="100"/>
      <c r="V12474" s="100"/>
      <c r="Y12474" s="100"/>
    </row>
    <row r="12475">
      <c r="R12475" s="100"/>
      <c r="V12475" s="100"/>
      <c r="Y12475" s="100"/>
    </row>
    <row r="12476">
      <c r="R12476" s="100"/>
      <c r="V12476" s="100"/>
      <c r="Y12476" s="100"/>
    </row>
    <row r="12477">
      <c r="R12477" s="100"/>
      <c r="V12477" s="100"/>
      <c r="Y12477" s="100"/>
    </row>
    <row r="12478">
      <c r="R12478" s="100"/>
      <c r="V12478" s="100"/>
      <c r="Y12478" s="100"/>
    </row>
    <row r="12479">
      <c r="R12479" s="100"/>
      <c r="V12479" s="100"/>
      <c r="Y12479" s="100"/>
    </row>
    <row r="12480">
      <c r="R12480" s="100"/>
      <c r="V12480" s="100"/>
      <c r="Y12480" s="100"/>
    </row>
    <row r="12481">
      <c r="R12481" s="100"/>
      <c r="V12481" s="100"/>
      <c r="Y12481" s="100"/>
    </row>
    <row r="12482">
      <c r="R12482" s="100"/>
      <c r="V12482" s="100"/>
      <c r="Y12482" s="100"/>
    </row>
    <row r="12483">
      <c r="R12483" s="100"/>
      <c r="V12483" s="100"/>
      <c r="Y12483" s="100"/>
    </row>
    <row r="12484">
      <c r="R12484" s="100"/>
      <c r="V12484" s="100"/>
      <c r="Y12484" s="100"/>
    </row>
    <row r="12485">
      <c r="R12485" s="100"/>
      <c r="V12485" s="100"/>
      <c r="Y12485" s="100"/>
    </row>
    <row r="12486">
      <c r="R12486" s="100"/>
      <c r="V12486" s="100"/>
      <c r="Y12486" s="100"/>
    </row>
    <row r="12487">
      <c r="R12487" s="100"/>
      <c r="V12487" s="100"/>
      <c r="Y12487" s="100"/>
    </row>
    <row r="12488">
      <c r="R12488" s="100"/>
      <c r="V12488" s="100"/>
      <c r="Y12488" s="100"/>
    </row>
    <row r="12489">
      <c r="R12489" s="100"/>
      <c r="V12489" s="100"/>
      <c r="Y12489" s="100"/>
    </row>
    <row r="12490">
      <c r="R12490" s="100"/>
      <c r="V12490" s="100"/>
      <c r="Y12490" s="100"/>
    </row>
    <row r="12491">
      <c r="R12491" s="100"/>
      <c r="V12491" s="100"/>
      <c r="Y12491" s="100"/>
    </row>
    <row r="12492">
      <c r="R12492" s="100"/>
      <c r="V12492" s="100"/>
      <c r="Y12492" s="100"/>
    </row>
    <row r="12493">
      <c r="R12493" s="100"/>
      <c r="V12493" s="100"/>
      <c r="Y12493" s="100"/>
    </row>
    <row r="12494">
      <c r="R12494" s="100"/>
      <c r="V12494" s="100"/>
      <c r="Y12494" s="100"/>
    </row>
    <row r="12495">
      <c r="R12495" s="100"/>
      <c r="V12495" s="100"/>
      <c r="Y12495" s="100"/>
    </row>
    <row r="12496">
      <c r="R12496" s="100"/>
      <c r="V12496" s="100"/>
      <c r="Y12496" s="100"/>
    </row>
    <row r="12497">
      <c r="R12497" s="100"/>
      <c r="V12497" s="100"/>
      <c r="Y12497" s="100"/>
    </row>
    <row r="12498">
      <c r="R12498" s="100"/>
      <c r="V12498" s="100"/>
      <c r="Y12498" s="100"/>
    </row>
    <row r="12499">
      <c r="R12499" s="100"/>
      <c r="V12499" s="100"/>
      <c r="Y12499" s="100"/>
    </row>
    <row r="12500">
      <c r="R12500" s="100"/>
      <c r="V12500" s="100"/>
      <c r="Y12500" s="100"/>
    </row>
    <row r="12501">
      <c r="R12501" s="100"/>
      <c r="V12501" s="100"/>
      <c r="Y12501" s="100"/>
    </row>
    <row r="12502">
      <c r="R12502" s="100"/>
      <c r="V12502" s="100"/>
      <c r="Y12502" s="100"/>
    </row>
    <row r="12503">
      <c r="R12503" s="100"/>
      <c r="V12503" s="100"/>
      <c r="Y12503" s="100"/>
    </row>
    <row r="12504">
      <c r="R12504" s="100"/>
      <c r="V12504" s="100"/>
      <c r="Y12504" s="100"/>
    </row>
    <row r="12505">
      <c r="R12505" s="100"/>
      <c r="V12505" s="100"/>
      <c r="Y12505" s="100"/>
    </row>
    <row r="12506">
      <c r="R12506" s="100"/>
      <c r="V12506" s="100"/>
      <c r="Y12506" s="100"/>
    </row>
    <row r="12507">
      <c r="R12507" s="100"/>
      <c r="V12507" s="100"/>
      <c r="Y12507" s="100"/>
    </row>
    <row r="12508">
      <c r="R12508" s="100"/>
      <c r="V12508" s="100"/>
      <c r="Y12508" s="100"/>
    </row>
    <row r="12509">
      <c r="R12509" s="100"/>
      <c r="V12509" s="100"/>
      <c r="Y12509" s="100"/>
    </row>
    <row r="12510">
      <c r="R12510" s="100"/>
      <c r="V12510" s="100"/>
      <c r="Y12510" s="100"/>
    </row>
    <row r="12511">
      <c r="R12511" s="100"/>
      <c r="V12511" s="100"/>
      <c r="Y12511" s="100"/>
    </row>
    <row r="12512">
      <c r="R12512" s="100"/>
      <c r="V12512" s="100"/>
      <c r="Y12512" s="100"/>
    </row>
    <row r="12513">
      <c r="R12513" s="100"/>
      <c r="V12513" s="100"/>
      <c r="Y12513" s="100"/>
    </row>
    <row r="12514">
      <c r="R12514" s="100"/>
      <c r="V12514" s="100"/>
      <c r="Y12514" s="100"/>
    </row>
    <row r="12515">
      <c r="R12515" s="100"/>
      <c r="V12515" s="100"/>
      <c r="Y12515" s="100"/>
    </row>
    <row r="12516">
      <c r="R12516" s="100"/>
      <c r="V12516" s="100"/>
      <c r="Y12516" s="100"/>
    </row>
    <row r="12517">
      <c r="R12517" s="100"/>
      <c r="V12517" s="100"/>
      <c r="Y12517" s="100"/>
    </row>
    <row r="12518">
      <c r="R12518" s="100"/>
      <c r="V12518" s="100"/>
      <c r="Y12518" s="100"/>
    </row>
    <row r="12519">
      <c r="R12519" s="100"/>
      <c r="V12519" s="100"/>
      <c r="Y12519" s="100"/>
    </row>
    <row r="12520">
      <c r="R12520" s="100"/>
      <c r="V12520" s="100"/>
      <c r="Y12520" s="100"/>
    </row>
    <row r="12521">
      <c r="R12521" s="100"/>
      <c r="V12521" s="100"/>
      <c r="Y12521" s="100"/>
    </row>
    <row r="12522">
      <c r="R12522" s="100"/>
      <c r="V12522" s="100"/>
      <c r="Y12522" s="100"/>
    </row>
    <row r="12523">
      <c r="R12523" s="100"/>
      <c r="V12523" s="100"/>
      <c r="Y12523" s="100"/>
    </row>
    <row r="12524">
      <c r="R12524" s="100"/>
      <c r="V12524" s="100"/>
      <c r="Y12524" s="100"/>
    </row>
    <row r="12525">
      <c r="R12525" s="100"/>
      <c r="V12525" s="100"/>
      <c r="Y12525" s="100"/>
    </row>
    <row r="12526">
      <c r="R12526" s="100"/>
      <c r="V12526" s="100"/>
      <c r="Y12526" s="100"/>
    </row>
    <row r="12527">
      <c r="R12527" s="100"/>
      <c r="V12527" s="100"/>
      <c r="Y12527" s="100"/>
    </row>
    <row r="12528">
      <c r="R12528" s="100"/>
      <c r="V12528" s="100"/>
      <c r="Y12528" s="100"/>
    </row>
    <row r="12529">
      <c r="R12529" s="100"/>
      <c r="V12529" s="100"/>
      <c r="Y12529" s="100"/>
    </row>
    <row r="12530">
      <c r="R12530" s="100"/>
      <c r="V12530" s="100"/>
      <c r="Y12530" s="100"/>
    </row>
    <row r="12531">
      <c r="R12531" s="100"/>
      <c r="V12531" s="100"/>
      <c r="Y12531" s="100"/>
    </row>
    <row r="12532">
      <c r="R12532" s="100"/>
      <c r="V12532" s="100"/>
      <c r="Y12532" s="100"/>
    </row>
    <row r="12533">
      <c r="R12533" s="100"/>
      <c r="V12533" s="100"/>
      <c r="Y12533" s="100"/>
    </row>
    <row r="12534">
      <c r="R12534" s="100"/>
      <c r="V12534" s="100"/>
      <c r="Y12534" s="100"/>
    </row>
    <row r="12535">
      <c r="R12535" s="100"/>
      <c r="V12535" s="100"/>
      <c r="Y12535" s="100"/>
    </row>
    <row r="12536">
      <c r="R12536" s="100"/>
      <c r="V12536" s="100"/>
      <c r="Y12536" s="100"/>
    </row>
    <row r="12537">
      <c r="R12537" s="100"/>
      <c r="V12537" s="100"/>
      <c r="Y12537" s="100"/>
    </row>
    <row r="12538">
      <c r="R12538" s="100"/>
      <c r="V12538" s="100"/>
      <c r="Y12538" s="100"/>
    </row>
    <row r="12539">
      <c r="R12539" s="100"/>
      <c r="V12539" s="100"/>
      <c r="Y12539" s="100"/>
    </row>
    <row r="12540">
      <c r="R12540" s="100"/>
      <c r="V12540" s="100"/>
      <c r="Y12540" s="100"/>
    </row>
    <row r="12541">
      <c r="R12541" s="100"/>
      <c r="V12541" s="100"/>
      <c r="Y12541" s="100"/>
    </row>
    <row r="12542">
      <c r="R12542" s="100"/>
      <c r="V12542" s="100"/>
      <c r="Y12542" s="100"/>
    </row>
    <row r="12543">
      <c r="R12543" s="100"/>
      <c r="V12543" s="100"/>
      <c r="Y12543" s="100"/>
    </row>
    <row r="12544">
      <c r="R12544" s="100"/>
      <c r="V12544" s="100"/>
      <c r="Y12544" s="100"/>
    </row>
    <row r="12545">
      <c r="R12545" s="100"/>
      <c r="V12545" s="100"/>
      <c r="Y12545" s="100"/>
    </row>
    <row r="12546">
      <c r="R12546" s="100"/>
      <c r="V12546" s="100"/>
      <c r="Y12546" s="100"/>
    </row>
    <row r="12547">
      <c r="R12547" s="100"/>
      <c r="V12547" s="100"/>
      <c r="Y12547" s="100"/>
    </row>
    <row r="12548">
      <c r="R12548" s="100"/>
      <c r="V12548" s="100"/>
      <c r="Y12548" s="100"/>
    </row>
    <row r="12549">
      <c r="R12549" s="100"/>
      <c r="V12549" s="100"/>
      <c r="Y12549" s="100"/>
    </row>
    <row r="12550">
      <c r="R12550" s="100"/>
      <c r="V12550" s="100"/>
      <c r="Y12550" s="100"/>
    </row>
    <row r="12551">
      <c r="R12551" s="100"/>
      <c r="V12551" s="100"/>
      <c r="Y12551" s="100"/>
    </row>
    <row r="12552">
      <c r="R12552" s="100"/>
      <c r="V12552" s="100"/>
      <c r="Y12552" s="100"/>
    </row>
    <row r="12553">
      <c r="R12553" s="100"/>
      <c r="V12553" s="100"/>
      <c r="Y12553" s="100"/>
    </row>
    <row r="12554">
      <c r="R12554" s="100"/>
      <c r="V12554" s="100"/>
      <c r="Y12554" s="100"/>
    </row>
    <row r="12555">
      <c r="R12555" s="100"/>
      <c r="V12555" s="100"/>
      <c r="Y12555" s="100"/>
    </row>
    <row r="12556">
      <c r="R12556" s="100"/>
      <c r="V12556" s="100"/>
      <c r="Y12556" s="100"/>
    </row>
    <row r="12557">
      <c r="R12557" s="100"/>
      <c r="V12557" s="100"/>
      <c r="Y12557" s="100"/>
    </row>
    <row r="12558">
      <c r="R12558" s="100"/>
      <c r="V12558" s="100"/>
      <c r="Y12558" s="100"/>
    </row>
    <row r="12559">
      <c r="R12559" s="100"/>
      <c r="V12559" s="100"/>
      <c r="Y12559" s="100"/>
    </row>
    <row r="12560">
      <c r="R12560" s="100"/>
      <c r="V12560" s="100"/>
      <c r="Y12560" s="100"/>
    </row>
    <row r="12561">
      <c r="R12561" s="100"/>
      <c r="V12561" s="100"/>
      <c r="Y12561" s="100"/>
    </row>
    <row r="12562">
      <c r="R12562" s="100"/>
      <c r="V12562" s="100"/>
      <c r="Y12562" s="100"/>
    </row>
    <row r="12563">
      <c r="R12563" s="100"/>
      <c r="V12563" s="100"/>
      <c r="Y12563" s="100"/>
    </row>
    <row r="12564">
      <c r="R12564" s="100"/>
      <c r="V12564" s="100"/>
      <c r="Y12564" s="100"/>
    </row>
    <row r="12565">
      <c r="R12565" s="100"/>
      <c r="V12565" s="100"/>
      <c r="Y12565" s="100"/>
    </row>
    <row r="12566">
      <c r="R12566" s="100"/>
      <c r="V12566" s="100"/>
      <c r="Y12566" s="100"/>
    </row>
    <row r="12567">
      <c r="R12567" s="100"/>
      <c r="V12567" s="100"/>
      <c r="Y12567" s="100"/>
    </row>
    <row r="12568">
      <c r="R12568" s="100"/>
      <c r="V12568" s="100"/>
      <c r="Y12568" s="100"/>
    </row>
    <row r="12569">
      <c r="R12569" s="100"/>
      <c r="V12569" s="100"/>
      <c r="Y12569" s="100"/>
    </row>
    <row r="12570">
      <c r="R12570" s="100"/>
      <c r="V12570" s="100"/>
      <c r="Y12570" s="100"/>
    </row>
    <row r="12571">
      <c r="R12571" s="100"/>
      <c r="V12571" s="100"/>
      <c r="Y12571" s="100"/>
    </row>
    <row r="12572">
      <c r="R12572" s="100"/>
      <c r="V12572" s="100"/>
      <c r="Y12572" s="100"/>
    </row>
    <row r="12573">
      <c r="R12573" s="100"/>
      <c r="V12573" s="100"/>
      <c r="Y12573" s="100"/>
    </row>
    <row r="12574">
      <c r="R12574" s="100"/>
      <c r="V12574" s="100"/>
      <c r="Y12574" s="100"/>
    </row>
    <row r="12575">
      <c r="R12575" s="100"/>
      <c r="V12575" s="100"/>
      <c r="Y12575" s="100"/>
    </row>
    <row r="12576">
      <c r="R12576" s="100"/>
      <c r="V12576" s="100"/>
      <c r="Y12576" s="100"/>
    </row>
    <row r="12577">
      <c r="R12577" s="100"/>
      <c r="V12577" s="100"/>
      <c r="Y12577" s="100"/>
    </row>
    <row r="12578">
      <c r="R12578" s="100"/>
      <c r="V12578" s="100"/>
      <c r="Y12578" s="100"/>
    </row>
    <row r="12579">
      <c r="R12579" s="100"/>
      <c r="V12579" s="100"/>
      <c r="Y12579" s="100"/>
    </row>
    <row r="12580">
      <c r="R12580" s="100"/>
      <c r="V12580" s="100"/>
      <c r="Y12580" s="100"/>
    </row>
    <row r="12581">
      <c r="R12581" s="100"/>
      <c r="V12581" s="100"/>
      <c r="Y12581" s="100"/>
    </row>
    <row r="12582">
      <c r="R12582" s="100"/>
      <c r="V12582" s="100"/>
      <c r="Y12582" s="100"/>
    </row>
    <row r="12583">
      <c r="R12583" s="100"/>
      <c r="V12583" s="100"/>
      <c r="Y12583" s="100"/>
    </row>
    <row r="12584">
      <c r="R12584" s="100"/>
      <c r="V12584" s="100"/>
      <c r="Y12584" s="100"/>
    </row>
    <row r="12585">
      <c r="R12585" s="100"/>
      <c r="V12585" s="100"/>
      <c r="Y12585" s="100"/>
    </row>
    <row r="12586">
      <c r="R12586" s="100"/>
      <c r="V12586" s="100"/>
      <c r="Y12586" s="100"/>
    </row>
    <row r="12587">
      <c r="R12587" s="100"/>
      <c r="V12587" s="100"/>
      <c r="Y12587" s="100"/>
    </row>
    <row r="12588">
      <c r="R12588" s="100"/>
      <c r="V12588" s="100"/>
      <c r="Y12588" s="100"/>
    </row>
    <row r="12589">
      <c r="R12589" s="100"/>
      <c r="V12589" s="100"/>
      <c r="Y12589" s="100"/>
    </row>
    <row r="12590">
      <c r="R12590" s="100"/>
      <c r="V12590" s="100"/>
      <c r="Y12590" s="100"/>
    </row>
    <row r="12591">
      <c r="R12591" s="100"/>
      <c r="V12591" s="100"/>
      <c r="Y12591" s="100"/>
    </row>
    <row r="12592">
      <c r="R12592" s="100"/>
      <c r="V12592" s="100"/>
      <c r="Y12592" s="100"/>
    </row>
    <row r="12593">
      <c r="R12593" s="100"/>
      <c r="V12593" s="100"/>
      <c r="Y12593" s="100"/>
    </row>
    <row r="12594">
      <c r="R12594" s="100"/>
      <c r="V12594" s="100"/>
      <c r="Y12594" s="100"/>
    </row>
    <row r="12595">
      <c r="R12595" s="100"/>
      <c r="V12595" s="100"/>
      <c r="Y12595" s="100"/>
    </row>
    <row r="12596">
      <c r="R12596" s="100"/>
      <c r="V12596" s="100"/>
      <c r="Y12596" s="100"/>
    </row>
    <row r="12597">
      <c r="R12597" s="100"/>
      <c r="V12597" s="100"/>
      <c r="Y12597" s="100"/>
    </row>
    <row r="12598">
      <c r="R12598" s="100"/>
      <c r="V12598" s="100"/>
      <c r="Y12598" s="100"/>
    </row>
    <row r="12599">
      <c r="R12599" s="100"/>
      <c r="V12599" s="100"/>
      <c r="Y12599" s="100"/>
    </row>
    <row r="12600">
      <c r="R12600" s="100"/>
      <c r="V12600" s="100"/>
      <c r="Y12600" s="100"/>
    </row>
    <row r="12601">
      <c r="R12601" s="100"/>
      <c r="V12601" s="100"/>
      <c r="Y12601" s="100"/>
    </row>
    <row r="12602">
      <c r="R12602" s="100"/>
      <c r="V12602" s="100"/>
      <c r="Y12602" s="100"/>
    </row>
    <row r="12603">
      <c r="R12603" s="100"/>
      <c r="V12603" s="100"/>
      <c r="Y12603" s="100"/>
    </row>
    <row r="12604">
      <c r="R12604" s="100"/>
      <c r="V12604" s="100"/>
      <c r="Y12604" s="100"/>
    </row>
    <row r="12605">
      <c r="R12605" s="100"/>
      <c r="V12605" s="100"/>
      <c r="Y12605" s="100"/>
    </row>
    <row r="12606">
      <c r="R12606" s="100"/>
      <c r="V12606" s="100"/>
      <c r="Y12606" s="100"/>
    </row>
    <row r="12607">
      <c r="R12607" s="100"/>
      <c r="V12607" s="100"/>
      <c r="Y12607" s="100"/>
    </row>
    <row r="12608">
      <c r="R12608" s="100"/>
      <c r="V12608" s="100"/>
      <c r="Y12608" s="100"/>
    </row>
    <row r="12609">
      <c r="R12609" s="100"/>
      <c r="V12609" s="100"/>
      <c r="Y12609" s="100"/>
    </row>
    <row r="12610">
      <c r="R12610" s="100"/>
      <c r="V12610" s="100"/>
      <c r="Y12610" s="100"/>
    </row>
    <row r="12611">
      <c r="R12611" s="100"/>
      <c r="V12611" s="100"/>
      <c r="Y12611" s="100"/>
    </row>
    <row r="12612">
      <c r="R12612" s="100"/>
      <c r="V12612" s="100"/>
      <c r="Y12612" s="100"/>
    </row>
    <row r="12613">
      <c r="R12613" s="100"/>
      <c r="V12613" s="100"/>
      <c r="Y12613" s="100"/>
    </row>
    <row r="12614">
      <c r="R12614" s="100"/>
      <c r="V12614" s="100"/>
      <c r="Y12614" s="100"/>
    </row>
    <row r="12615">
      <c r="R12615" s="100"/>
      <c r="V12615" s="100"/>
      <c r="Y12615" s="100"/>
    </row>
    <row r="12616">
      <c r="R12616" s="100"/>
      <c r="V12616" s="100"/>
      <c r="Y12616" s="100"/>
    </row>
    <row r="12617">
      <c r="R12617" s="100"/>
      <c r="V12617" s="100"/>
      <c r="Y12617" s="100"/>
    </row>
    <row r="12618">
      <c r="R12618" s="100"/>
      <c r="V12618" s="100"/>
      <c r="Y12618" s="100"/>
    </row>
    <row r="12619">
      <c r="R12619" s="100"/>
      <c r="V12619" s="100"/>
      <c r="Y12619" s="100"/>
    </row>
    <row r="12620">
      <c r="R12620" s="100"/>
      <c r="V12620" s="100"/>
      <c r="Y12620" s="100"/>
    </row>
    <row r="12621">
      <c r="R12621" s="100"/>
      <c r="V12621" s="100"/>
      <c r="Y12621" s="100"/>
    </row>
    <row r="12622">
      <c r="R12622" s="100"/>
      <c r="V12622" s="100"/>
      <c r="Y12622" s="100"/>
    </row>
    <row r="12623">
      <c r="R12623" s="100"/>
      <c r="V12623" s="100"/>
      <c r="Y12623" s="100"/>
    </row>
    <row r="12624">
      <c r="R12624" s="100"/>
      <c r="V12624" s="100"/>
      <c r="Y12624" s="100"/>
    </row>
    <row r="12625">
      <c r="R12625" s="100"/>
      <c r="V12625" s="100"/>
      <c r="Y12625" s="100"/>
    </row>
    <row r="12626">
      <c r="R12626" s="100"/>
      <c r="V12626" s="100"/>
      <c r="Y12626" s="100"/>
    </row>
    <row r="12627">
      <c r="R12627" s="100"/>
      <c r="V12627" s="100"/>
      <c r="Y12627" s="100"/>
    </row>
    <row r="12628">
      <c r="R12628" s="100"/>
      <c r="V12628" s="100"/>
      <c r="Y12628" s="100"/>
    </row>
    <row r="12629">
      <c r="R12629" s="100"/>
      <c r="V12629" s="100"/>
      <c r="Y12629" s="100"/>
    </row>
    <row r="12630">
      <c r="R12630" s="100"/>
      <c r="V12630" s="100"/>
      <c r="Y12630" s="100"/>
    </row>
    <row r="12631">
      <c r="R12631" s="100"/>
      <c r="V12631" s="100"/>
      <c r="Y12631" s="100"/>
    </row>
    <row r="12632">
      <c r="R12632" s="100"/>
      <c r="V12632" s="100"/>
      <c r="Y12632" s="100"/>
    </row>
    <row r="12633">
      <c r="R12633" s="100"/>
      <c r="V12633" s="100"/>
      <c r="Y12633" s="100"/>
    </row>
    <row r="12634">
      <c r="R12634" s="100"/>
      <c r="V12634" s="100"/>
      <c r="Y12634" s="100"/>
    </row>
    <row r="12635">
      <c r="R12635" s="100"/>
      <c r="V12635" s="100"/>
      <c r="Y12635" s="100"/>
    </row>
    <row r="12636">
      <c r="R12636" s="100"/>
      <c r="V12636" s="100"/>
      <c r="Y12636" s="100"/>
    </row>
    <row r="12637">
      <c r="R12637" s="100"/>
      <c r="V12637" s="100"/>
      <c r="Y12637" s="100"/>
    </row>
    <row r="12638">
      <c r="R12638" s="100"/>
      <c r="V12638" s="100"/>
      <c r="Y12638" s="100"/>
    </row>
    <row r="12639">
      <c r="R12639" s="100"/>
      <c r="V12639" s="100"/>
      <c r="Y12639" s="100"/>
    </row>
    <row r="12640">
      <c r="R12640" s="100"/>
      <c r="V12640" s="100"/>
      <c r="Y12640" s="100"/>
    </row>
    <row r="12641">
      <c r="R12641" s="100"/>
      <c r="V12641" s="100"/>
      <c r="Y12641" s="100"/>
    </row>
    <row r="12642">
      <c r="R12642" s="100"/>
      <c r="V12642" s="100"/>
      <c r="Y12642" s="100"/>
    </row>
    <row r="12643">
      <c r="R12643" s="100"/>
      <c r="V12643" s="100"/>
      <c r="Y12643" s="100"/>
    </row>
    <row r="12644">
      <c r="R12644" s="100"/>
      <c r="V12644" s="100"/>
      <c r="Y12644" s="100"/>
    </row>
    <row r="12645">
      <c r="R12645" s="100"/>
      <c r="V12645" s="100"/>
      <c r="Y12645" s="100"/>
    </row>
    <row r="12646">
      <c r="R12646" s="100"/>
      <c r="V12646" s="100"/>
      <c r="Y12646" s="100"/>
    </row>
    <row r="12647">
      <c r="R12647" s="100"/>
      <c r="V12647" s="100"/>
      <c r="Y12647" s="100"/>
    </row>
    <row r="12648">
      <c r="R12648" s="100"/>
      <c r="V12648" s="100"/>
      <c r="Y12648" s="100"/>
    </row>
    <row r="12649">
      <c r="R12649" s="100"/>
      <c r="V12649" s="100"/>
      <c r="Y12649" s="100"/>
    </row>
    <row r="12650">
      <c r="R12650" s="100"/>
      <c r="V12650" s="100"/>
      <c r="Y12650" s="100"/>
    </row>
    <row r="12651">
      <c r="R12651" s="100"/>
      <c r="V12651" s="100"/>
      <c r="Y12651" s="100"/>
    </row>
    <row r="12652">
      <c r="R12652" s="100"/>
      <c r="V12652" s="100"/>
      <c r="Y12652" s="100"/>
    </row>
    <row r="12653">
      <c r="R12653" s="100"/>
      <c r="V12653" s="100"/>
      <c r="Y12653" s="100"/>
    </row>
    <row r="12654">
      <c r="R12654" s="100"/>
      <c r="V12654" s="100"/>
      <c r="Y12654" s="100"/>
    </row>
    <row r="12655">
      <c r="R12655" s="100"/>
      <c r="V12655" s="100"/>
      <c r="Y12655" s="100"/>
    </row>
    <row r="12656">
      <c r="R12656" s="100"/>
      <c r="V12656" s="100"/>
      <c r="Y12656" s="100"/>
    </row>
    <row r="12657">
      <c r="R12657" s="100"/>
      <c r="V12657" s="100"/>
      <c r="Y12657" s="100"/>
    </row>
    <row r="12658">
      <c r="R12658" s="100"/>
      <c r="V12658" s="100"/>
      <c r="Y12658" s="100"/>
    </row>
    <row r="12659">
      <c r="R12659" s="100"/>
      <c r="V12659" s="100"/>
      <c r="Y12659" s="100"/>
    </row>
    <row r="12660">
      <c r="R12660" s="100"/>
      <c r="V12660" s="100"/>
      <c r="Y12660" s="100"/>
    </row>
    <row r="12661">
      <c r="R12661" s="100"/>
      <c r="V12661" s="100"/>
      <c r="Y12661" s="100"/>
    </row>
    <row r="12662">
      <c r="R12662" s="100"/>
      <c r="V12662" s="100"/>
      <c r="Y12662" s="100"/>
    </row>
    <row r="12663">
      <c r="R12663" s="100"/>
      <c r="V12663" s="100"/>
      <c r="Y12663" s="100"/>
    </row>
    <row r="12664">
      <c r="R12664" s="100"/>
      <c r="V12664" s="100"/>
      <c r="Y12664" s="100"/>
    </row>
    <row r="12665">
      <c r="R12665" s="100"/>
      <c r="V12665" s="100"/>
      <c r="Y12665" s="100"/>
    </row>
    <row r="12666">
      <c r="R12666" s="100"/>
      <c r="V12666" s="100"/>
      <c r="Y12666" s="100"/>
    </row>
    <row r="12667">
      <c r="R12667" s="100"/>
      <c r="V12667" s="100"/>
      <c r="Y12667" s="100"/>
    </row>
    <row r="12668">
      <c r="R12668" s="100"/>
      <c r="V12668" s="100"/>
      <c r="Y12668" s="100"/>
    </row>
    <row r="12669">
      <c r="R12669" s="100"/>
      <c r="V12669" s="100"/>
      <c r="Y12669" s="100"/>
    </row>
    <row r="12670">
      <c r="R12670" s="100"/>
      <c r="V12670" s="100"/>
      <c r="Y12670" s="100"/>
    </row>
    <row r="12671">
      <c r="R12671" s="100"/>
      <c r="V12671" s="100"/>
      <c r="Y12671" s="100"/>
    </row>
    <row r="12672">
      <c r="R12672" s="100"/>
      <c r="V12672" s="100"/>
      <c r="Y12672" s="100"/>
    </row>
    <row r="12673">
      <c r="R12673" s="100"/>
      <c r="V12673" s="100"/>
      <c r="Y12673" s="100"/>
    </row>
    <row r="12674">
      <c r="R12674" s="100"/>
      <c r="V12674" s="100"/>
      <c r="Y12674" s="100"/>
    </row>
    <row r="12675">
      <c r="R12675" s="100"/>
      <c r="V12675" s="100"/>
      <c r="Y12675" s="100"/>
    </row>
    <row r="12676">
      <c r="R12676" s="100"/>
      <c r="V12676" s="100"/>
      <c r="Y12676" s="100"/>
    </row>
    <row r="12677">
      <c r="R12677" s="100"/>
      <c r="V12677" s="100"/>
      <c r="Y12677" s="100"/>
    </row>
    <row r="12678">
      <c r="R12678" s="100"/>
      <c r="V12678" s="100"/>
      <c r="Y12678" s="100"/>
    </row>
    <row r="12679">
      <c r="R12679" s="100"/>
      <c r="V12679" s="100"/>
      <c r="Y12679" s="100"/>
    </row>
    <row r="12680">
      <c r="R12680" s="100"/>
      <c r="V12680" s="100"/>
      <c r="Y12680" s="100"/>
    </row>
    <row r="12681">
      <c r="R12681" s="100"/>
      <c r="V12681" s="100"/>
      <c r="Y12681" s="100"/>
    </row>
    <row r="12682">
      <c r="R12682" s="100"/>
      <c r="V12682" s="100"/>
      <c r="Y12682" s="100"/>
    </row>
    <row r="12683">
      <c r="R12683" s="100"/>
      <c r="V12683" s="100"/>
      <c r="Y12683" s="100"/>
    </row>
    <row r="12684">
      <c r="R12684" s="100"/>
      <c r="V12684" s="100"/>
      <c r="Y12684" s="100"/>
    </row>
    <row r="12685">
      <c r="R12685" s="100"/>
      <c r="V12685" s="100"/>
      <c r="Y12685" s="100"/>
    </row>
    <row r="12686">
      <c r="R12686" s="100"/>
      <c r="V12686" s="100"/>
      <c r="Y12686" s="100"/>
    </row>
    <row r="12687">
      <c r="R12687" s="100"/>
      <c r="V12687" s="100"/>
      <c r="Y12687" s="100"/>
    </row>
    <row r="12688">
      <c r="R12688" s="100"/>
      <c r="V12688" s="100"/>
      <c r="Y12688" s="100"/>
    </row>
    <row r="12689">
      <c r="R12689" s="100"/>
      <c r="V12689" s="100"/>
      <c r="Y12689" s="100"/>
    </row>
    <row r="12690">
      <c r="R12690" s="100"/>
      <c r="V12690" s="100"/>
      <c r="Y12690" s="100"/>
    </row>
    <row r="12691">
      <c r="R12691" s="100"/>
      <c r="V12691" s="100"/>
      <c r="Y12691" s="100"/>
    </row>
    <row r="12692">
      <c r="R12692" s="100"/>
      <c r="V12692" s="100"/>
      <c r="Y12692" s="100"/>
    </row>
    <row r="12693">
      <c r="R12693" s="100"/>
      <c r="V12693" s="100"/>
      <c r="Y12693" s="100"/>
    </row>
    <row r="12694">
      <c r="R12694" s="100"/>
      <c r="V12694" s="100"/>
      <c r="Y12694" s="100"/>
    </row>
    <row r="12695">
      <c r="R12695" s="100"/>
      <c r="V12695" s="100"/>
      <c r="Y12695" s="100"/>
    </row>
    <row r="12696">
      <c r="R12696" s="100"/>
      <c r="V12696" s="100"/>
      <c r="Y12696" s="100"/>
    </row>
    <row r="12697">
      <c r="R12697" s="100"/>
      <c r="V12697" s="100"/>
      <c r="Y12697" s="100"/>
    </row>
    <row r="12698">
      <c r="R12698" s="100"/>
      <c r="V12698" s="100"/>
      <c r="Y12698" s="100"/>
    </row>
    <row r="12699">
      <c r="R12699" s="100"/>
      <c r="V12699" s="100"/>
      <c r="Y12699" s="100"/>
    </row>
    <row r="12700">
      <c r="R12700" s="100"/>
      <c r="V12700" s="100"/>
      <c r="Y12700" s="100"/>
    </row>
    <row r="12701">
      <c r="R12701" s="100"/>
      <c r="V12701" s="100"/>
      <c r="Y12701" s="100"/>
    </row>
    <row r="12702">
      <c r="R12702" s="100"/>
      <c r="V12702" s="100"/>
      <c r="Y12702" s="100"/>
    </row>
    <row r="12703">
      <c r="R12703" s="100"/>
      <c r="V12703" s="100"/>
      <c r="Y12703" s="100"/>
    </row>
    <row r="12704">
      <c r="R12704" s="100"/>
      <c r="V12704" s="100"/>
      <c r="Y12704" s="100"/>
    </row>
    <row r="12705">
      <c r="R12705" s="100"/>
      <c r="V12705" s="100"/>
      <c r="Y12705" s="100"/>
    </row>
    <row r="12706">
      <c r="R12706" s="100"/>
      <c r="V12706" s="100"/>
      <c r="Y12706" s="100"/>
    </row>
    <row r="12707">
      <c r="R12707" s="100"/>
      <c r="V12707" s="100"/>
      <c r="Y12707" s="100"/>
    </row>
    <row r="12708">
      <c r="R12708" s="100"/>
      <c r="V12708" s="100"/>
      <c r="Y12708" s="100"/>
    </row>
    <row r="12709">
      <c r="R12709" s="100"/>
      <c r="V12709" s="100"/>
      <c r="Y12709" s="100"/>
    </row>
    <row r="12710">
      <c r="R12710" s="100"/>
      <c r="V12710" s="100"/>
      <c r="Y12710" s="100"/>
    </row>
    <row r="12711">
      <c r="R12711" s="100"/>
      <c r="V12711" s="100"/>
      <c r="Y12711" s="100"/>
    </row>
    <row r="12712">
      <c r="R12712" s="100"/>
      <c r="V12712" s="100"/>
      <c r="Y12712" s="100"/>
    </row>
    <row r="12713">
      <c r="R12713" s="100"/>
      <c r="V12713" s="100"/>
      <c r="Y12713" s="100"/>
    </row>
    <row r="12714">
      <c r="R12714" s="100"/>
      <c r="V12714" s="100"/>
      <c r="Y12714" s="100"/>
    </row>
    <row r="12715">
      <c r="R12715" s="100"/>
      <c r="V12715" s="100"/>
      <c r="Y12715" s="100"/>
    </row>
    <row r="12716">
      <c r="R12716" s="100"/>
      <c r="V12716" s="100"/>
      <c r="Y12716" s="100"/>
    </row>
    <row r="12717">
      <c r="R12717" s="100"/>
      <c r="V12717" s="100"/>
      <c r="Y12717" s="100"/>
    </row>
    <row r="12718">
      <c r="R12718" s="100"/>
      <c r="V12718" s="100"/>
      <c r="Y12718" s="100"/>
    </row>
    <row r="12719">
      <c r="R12719" s="100"/>
      <c r="V12719" s="100"/>
      <c r="Y12719" s="100"/>
    </row>
    <row r="12720">
      <c r="R12720" s="100"/>
      <c r="V12720" s="100"/>
      <c r="Y12720" s="100"/>
    </row>
    <row r="12721">
      <c r="R12721" s="100"/>
      <c r="V12721" s="100"/>
      <c r="Y12721" s="100"/>
    </row>
    <row r="12722">
      <c r="R12722" s="100"/>
      <c r="V12722" s="100"/>
      <c r="Y12722" s="100"/>
    </row>
    <row r="12723">
      <c r="R12723" s="100"/>
      <c r="V12723" s="100"/>
      <c r="Y12723" s="100"/>
    </row>
    <row r="12724">
      <c r="R12724" s="100"/>
      <c r="V12724" s="100"/>
      <c r="Y12724" s="100"/>
    </row>
    <row r="12725">
      <c r="R12725" s="100"/>
      <c r="V12725" s="100"/>
      <c r="Y12725" s="100"/>
    </row>
    <row r="12726">
      <c r="R12726" s="100"/>
      <c r="V12726" s="100"/>
      <c r="Y12726" s="100"/>
    </row>
    <row r="12727">
      <c r="R12727" s="100"/>
      <c r="V12727" s="100"/>
      <c r="Y12727" s="100"/>
    </row>
    <row r="12728">
      <c r="R12728" s="100"/>
      <c r="V12728" s="100"/>
      <c r="Y12728" s="100"/>
    </row>
    <row r="12729">
      <c r="R12729" s="100"/>
      <c r="V12729" s="100"/>
      <c r="Y12729" s="100"/>
    </row>
    <row r="12730">
      <c r="R12730" s="100"/>
      <c r="V12730" s="100"/>
      <c r="Y12730" s="100"/>
    </row>
    <row r="12731">
      <c r="R12731" s="100"/>
      <c r="V12731" s="100"/>
      <c r="Y12731" s="100"/>
    </row>
    <row r="12732">
      <c r="R12732" s="100"/>
      <c r="V12732" s="100"/>
      <c r="Y12732" s="100"/>
    </row>
    <row r="12733">
      <c r="R12733" s="100"/>
      <c r="V12733" s="100"/>
      <c r="Y12733" s="100"/>
    </row>
    <row r="12734">
      <c r="R12734" s="100"/>
      <c r="V12734" s="100"/>
      <c r="Y12734" s="100"/>
    </row>
    <row r="12735">
      <c r="R12735" s="100"/>
      <c r="V12735" s="100"/>
      <c r="Y12735" s="100"/>
    </row>
    <row r="12736">
      <c r="R12736" s="100"/>
      <c r="V12736" s="100"/>
      <c r="Y12736" s="100"/>
    </row>
    <row r="12737">
      <c r="R12737" s="100"/>
      <c r="V12737" s="100"/>
      <c r="Y12737" s="100"/>
    </row>
    <row r="12738">
      <c r="R12738" s="100"/>
      <c r="V12738" s="100"/>
      <c r="Y12738" s="100"/>
    </row>
    <row r="12739">
      <c r="R12739" s="100"/>
      <c r="V12739" s="100"/>
      <c r="Y12739" s="100"/>
    </row>
    <row r="12740">
      <c r="R12740" s="100"/>
      <c r="V12740" s="100"/>
      <c r="Y12740" s="100"/>
    </row>
    <row r="12741">
      <c r="R12741" s="100"/>
      <c r="V12741" s="100"/>
      <c r="Y12741" s="100"/>
    </row>
    <row r="12742">
      <c r="R12742" s="100"/>
      <c r="V12742" s="100"/>
      <c r="Y12742" s="100"/>
    </row>
    <row r="12743">
      <c r="R12743" s="100"/>
      <c r="V12743" s="100"/>
      <c r="Y12743" s="100"/>
    </row>
    <row r="12744">
      <c r="R12744" s="100"/>
      <c r="V12744" s="100"/>
      <c r="Y12744" s="100"/>
    </row>
    <row r="12745">
      <c r="R12745" s="100"/>
      <c r="V12745" s="100"/>
      <c r="Y12745" s="100"/>
    </row>
    <row r="12746">
      <c r="R12746" s="100"/>
      <c r="V12746" s="100"/>
      <c r="Y12746" s="100"/>
    </row>
    <row r="12747">
      <c r="R12747" s="100"/>
      <c r="V12747" s="100"/>
      <c r="Y12747" s="100"/>
    </row>
    <row r="12748">
      <c r="R12748" s="100"/>
      <c r="V12748" s="100"/>
      <c r="Y12748" s="100"/>
    </row>
    <row r="12749">
      <c r="R12749" s="100"/>
      <c r="V12749" s="100"/>
      <c r="Y12749" s="100"/>
    </row>
    <row r="12750">
      <c r="R12750" s="100"/>
      <c r="V12750" s="100"/>
      <c r="Y12750" s="100"/>
    </row>
    <row r="12751">
      <c r="R12751" s="100"/>
      <c r="V12751" s="100"/>
      <c r="Y12751" s="100"/>
    </row>
    <row r="12752">
      <c r="R12752" s="100"/>
      <c r="V12752" s="100"/>
      <c r="Y12752" s="100"/>
    </row>
    <row r="12753">
      <c r="R12753" s="100"/>
      <c r="V12753" s="100"/>
      <c r="Y12753" s="100"/>
    </row>
    <row r="12754">
      <c r="R12754" s="100"/>
      <c r="V12754" s="100"/>
      <c r="Y12754" s="100"/>
    </row>
    <row r="12755">
      <c r="R12755" s="100"/>
      <c r="V12755" s="100"/>
      <c r="Y12755" s="100"/>
    </row>
    <row r="12756">
      <c r="R12756" s="100"/>
      <c r="V12756" s="100"/>
      <c r="Y12756" s="100"/>
    </row>
    <row r="12757">
      <c r="R12757" s="100"/>
      <c r="V12757" s="100"/>
      <c r="Y12757" s="100"/>
    </row>
    <row r="12758">
      <c r="R12758" s="100"/>
      <c r="V12758" s="100"/>
      <c r="Y12758" s="100"/>
    </row>
    <row r="12759">
      <c r="R12759" s="100"/>
      <c r="V12759" s="100"/>
      <c r="Y12759" s="100"/>
    </row>
    <row r="12760">
      <c r="R12760" s="100"/>
      <c r="V12760" s="100"/>
      <c r="Y12760" s="100"/>
    </row>
    <row r="12761">
      <c r="R12761" s="100"/>
      <c r="V12761" s="100"/>
      <c r="Y12761" s="100"/>
    </row>
    <row r="12762">
      <c r="R12762" s="100"/>
      <c r="V12762" s="100"/>
      <c r="Y12762" s="100"/>
    </row>
    <row r="12763">
      <c r="R12763" s="100"/>
      <c r="V12763" s="100"/>
      <c r="Y12763" s="100"/>
    </row>
    <row r="12764">
      <c r="R12764" s="100"/>
      <c r="V12764" s="100"/>
      <c r="Y12764" s="100"/>
    </row>
    <row r="12765">
      <c r="R12765" s="100"/>
      <c r="V12765" s="100"/>
      <c r="Y12765" s="100"/>
    </row>
    <row r="12766">
      <c r="R12766" s="100"/>
      <c r="V12766" s="100"/>
      <c r="Y12766" s="100"/>
    </row>
    <row r="12767">
      <c r="R12767" s="100"/>
      <c r="V12767" s="100"/>
      <c r="Y12767" s="100"/>
    </row>
    <row r="12768">
      <c r="R12768" s="100"/>
      <c r="V12768" s="100"/>
      <c r="Y12768" s="100"/>
    </row>
    <row r="12769">
      <c r="R12769" s="100"/>
      <c r="V12769" s="100"/>
      <c r="Y12769" s="100"/>
    </row>
    <row r="12770">
      <c r="R12770" s="100"/>
      <c r="V12770" s="100"/>
      <c r="Y12770" s="100"/>
    </row>
    <row r="12771">
      <c r="R12771" s="100"/>
      <c r="V12771" s="100"/>
      <c r="Y12771" s="100"/>
    </row>
    <row r="12772">
      <c r="R12772" s="100"/>
      <c r="V12772" s="100"/>
      <c r="Y12772" s="100"/>
    </row>
    <row r="12773">
      <c r="R12773" s="100"/>
      <c r="V12773" s="100"/>
      <c r="Y12773" s="100"/>
    </row>
    <row r="12774">
      <c r="R12774" s="100"/>
      <c r="V12774" s="100"/>
      <c r="Y12774" s="100"/>
    </row>
    <row r="12775">
      <c r="R12775" s="100"/>
      <c r="V12775" s="100"/>
      <c r="Y12775" s="100"/>
    </row>
    <row r="12776">
      <c r="R12776" s="100"/>
      <c r="V12776" s="100"/>
      <c r="Y12776" s="100"/>
    </row>
    <row r="12777">
      <c r="R12777" s="100"/>
      <c r="V12777" s="100"/>
      <c r="Y12777" s="100"/>
    </row>
    <row r="12778">
      <c r="R12778" s="100"/>
      <c r="V12778" s="100"/>
      <c r="Y12778" s="100"/>
    </row>
    <row r="12779">
      <c r="R12779" s="100"/>
      <c r="V12779" s="100"/>
      <c r="Y12779" s="100"/>
    </row>
    <row r="12780">
      <c r="R12780" s="100"/>
      <c r="V12780" s="100"/>
      <c r="Y12780" s="100"/>
    </row>
    <row r="12781">
      <c r="R12781" s="100"/>
      <c r="V12781" s="100"/>
      <c r="Y12781" s="100"/>
    </row>
    <row r="12782">
      <c r="R12782" s="100"/>
      <c r="V12782" s="100"/>
      <c r="Y12782" s="100"/>
    </row>
    <row r="12783">
      <c r="R12783" s="100"/>
      <c r="V12783" s="100"/>
      <c r="Y12783" s="100"/>
    </row>
    <row r="12784">
      <c r="R12784" s="100"/>
      <c r="V12784" s="100"/>
      <c r="Y12784" s="100"/>
    </row>
    <row r="12785">
      <c r="R12785" s="100"/>
      <c r="V12785" s="100"/>
      <c r="Y12785" s="100"/>
    </row>
    <row r="12786">
      <c r="R12786" s="100"/>
      <c r="V12786" s="100"/>
      <c r="Y12786" s="100"/>
    </row>
    <row r="12787">
      <c r="R12787" s="100"/>
      <c r="V12787" s="100"/>
      <c r="Y12787" s="100"/>
    </row>
    <row r="12788">
      <c r="R12788" s="100"/>
      <c r="V12788" s="100"/>
      <c r="Y12788" s="100"/>
    </row>
    <row r="12789">
      <c r="R12789" s="100"/>
      <c r="V12789" s="100"/>
      <c r="Y12789" s="100"/>
    </row>
    <row r="12790">
      <c r="R12790" s="100"/>
      <c r="V12790" s="100"/>
      <c r="Y12790" s="100"/>
    </row>
    <row r="12791">
      <c r="R12791" s="100"/>
      <c r="V12791" s="100"/>
      <c r="Y12791" s="100"/>
    </row>
    <row r="12792">
      <c r="R12792" s="100"/>
      <c r="V12792" s="100"/>
      <c r="Y12792" s="100"/>
    </row>
    <row r="12793">
      <c r="R12793" s="100"/>
      <c r="V12793" s="100"/>
      <c r="Y12793" s="100"/>
    </row>
    <row r="12794">
      <c r="R12794" s="100"/>
      <c r="V12794" s="100"/>
      <c r="Y12794" s="100"/>
    </row>
    <row r="12795">
      <c r="R12795" s="100"/>
      <c r="V12795" s="100"/>
      <c r="Y12795" s="100"/>
    </row>
    <row r="12796">
      <c r="R12796" s="100"/>
      <c r="V12796" s="100"/>
      <c r="Y12796" s="100"/>
    </row>
    <row r="12797">
      <c r="R12797" s="100"/>
      <c r="V12797" s="100"/>
      <c r="Y12797" s="100"/>
    </row>
    <row r="12798">
      <c r="R12798" s="100"/>
      <c r="V12798" s="100"/>
      <c r="Y12798" s="100"/>
    </row>
    <row r="12799">
      <c r="R12799" s="100"/>
      <c r="V12799" s="100"/>
      <c r="Y12799" s="100"/>
    </row>
    <row r="12800">
      <c r="R12800" s="100"/>
      <c r="V12800" s="100"/>
      <c r="Y12800" s="100"/>
    </row>
    <row r="12801">
      <c r="R12801" s="100"/>
      <c r="V12801" s="100"/>
      <c r="Y12801" s="100"/>
    </row>
    <row r="12802">
      <c r="R12802" s="100"/>
      <c r="V12802" s="100"/>
      <c r="Y12802" s="100"/>
    </row>
    <row r="12803">
      <c r="R12803" s="100"/>
      <c r="V12803" s="100"/>
      <c r="Y12803" s="100"/>
    </row>
    <row r="12804">
      <c r="R12804" s="100"/>
      <c r="V12804" s="100"/>
      <c r="Y12804" s="100"/>
    </row>
    <row r="12805">
      <c r="R12805" s="100"/>
      <c r="V12805" s="100"/>
      <c r="Y12805" s="100"/>
    </row>
    <row r="12806">
      <c r="R12806" s="100"/>
      <c r="V12806" s="100"/>
      <c r="Y12806" s="100"/>
    </row>
    <row r="12807">
      <c r="R12807" s="100"/>
      <c r="V12807" s="100"/>
      <c r="Y12807" s="100"/>
    </row>
    <row r="12808">
      <c r="R12808" s="100"/>
      <c r="V12808" s="100"/>
      <c r="Y12808" s="100"/>
    </row>
    <row r="12809">
      <c r="R12809" s="100"/>
      <c r="V12809" s="100"/>
      <c r="Y12809" s="100"/>
    </row>
    <row r="12810">
      <c r="R12810" s="100"/>
      <c r="V12810" s="100"/>
      <c r="Y12810" s="100"/>
    </row>
    <row r="12811">
      <c r="R12811" s="100"/>
      <c r="V12811" s="100"/>
      <c r="Y12811" s="100"/>
    </row>
    <row r="12812">
      <c r="R12812" s="100"/>
      <c r="V12812" s="100"/>
      <c r="Y12812" s="100"/>
    </row>
    <row r="12813">
      <c r="R12813" s="100"/>
      <c r="V12813" s="100"/>
      <c r="Y12813" s="100"/>
    </row>
    <row r="12814">
      <c r="R12814" s="100"/>
      <c r="V12814" s="100"/>
      <c r="Y12814" s="100"/>
    </row>
    <row r="12815">
      <c r="R12815" s="100"/>
      <c r="V12815" s="100"/>
      <c r="Y12815" s="100"/>
    </row>
    <row r="12816">
      <c r="R12816" s="100"/>
      <c r="V12816" s="100"/>
      <c r="Y12816" s="100"/>
    </row>
    <row r="12817">
      <c r="R12817" s="100"/>
      <c r="V12817" s="100"/>
      <c r="Y12817" s="100"/>
    </row>
    <row r="12818">
      <c r="R12818" s="100"/>
      <c r="V12818" s="100"/>
      <c r="Y12818" s="100"/>
    </row>
    <row r="12819">
      <c r="R12819" s="100"/>
      <c r="V12819" s="100"/>
      <c r="Y12819" s="100"/>
    </row>
    <row r="12820">
      <c r="R12820" s="100"/>
      <c r="V12820" s="100"/>
      <c r="Y12820" s="100"/>
    </row>
    <row r="12821">
      <c r="R12821" s="100"/>
      <c r="V12821" s="100"/>
      <c r="Y12821" s="100"/>
    </row>
    <row r="12822">
      <c r="R12822" s="100"/>
      <c r="V12822" s="100"/>
      <c r="Y12822" s="100"/>
    </row>
    <row r="12823">
      <c r="R12823" s="100"/>
      <c r="V12823" s="100"/>
      <c r="Y12823" s="100"/>
    </row>
    <row r="12824">
      <c r="R12824" s="100"/>
      <c r="V12824" s="100"/>
      <c r="Y12824" s="100"/>
    </row>
    <row r="12825">
      <c r="R12825" s="100"/>
      <c r="V12825" s="100"/>
      <c r="Y12825" s="100"/>
    </row>
    <row r="12826">
      <c r="R12826" s="100"/>
      <c r="V12826" s="100"/>
      <c r="Y12826" s="100"/>
    </row>
    <row r="12827">
      <c r="R12827" s="100"/>
      <c r="V12827" s="100"/>
      <c r="Y12827" s="100"/>
    </row>
    <row r="12828">
      <c r="R12828" s="100"/>
      <c r="V12828" s="100"/>
      <c r="Y12828" s="100"/>
    </row>
    <row r="12829">
      <c r="R12829" s="100"/>
      <c r="V12829" s="100"/>
      <c r="Y12829" s="100"/>
    </row>
    <row r="12830">
      <c r="R12830" s="100"/>
      <c r="V12830" s="100"/>
      <c r="Y12830" s="100"/>
    </row>
    <row r="12831">
      <c r="R12831" s="100"/>
      <c r="V12831" s="100"/>
      <c r="Y12831" s="100"/>
    </row>
    <row r="12832">
      <c r="R12832" s="100"/>
      <c r="V12832" s="100"/>
      <c r="Y12832" s="100"/>
    </row>
    <row r="12833">
      <c r="R12833" s="100"/>
      <c r="V12833" s="100"/>
      <c r="Y12833" s="100"/>
    </row>
    <row r="12834">
      <c r="R12834" s="100"/>
      <c r="V12834" s="100"/>
      <c r="Y12834" s="100"/>
    </row>
    <row r="12835">
      <c r="R12835" s="100"/>
      <c r="V12835" s="100"/>
      <c r="Y12835" s="100"/>
    </row>
    <row r="12836">
      <c r="R12836" s="100"/>
      <c r="V12836" s="100"/>
      <c r="Y12836" s="100"/>
    </row>
    <row r="12837">
      <c r="R12837" s="100"/>
      <c r="V12837" s="100"/>
      <c r="Y12837" s="100"/>
    </row>
    <row r="12838">
      <c r="R12838" s="100"/>
      <c r="V12838" s="100"/>
      <c r="Y12838" s="100"/>
    </row>
    <row r="12839">
      <c r="R12839" s="100"/>
      <c r="V12839" s="100"/>
      <c r="Y12839" s="100"/>
    </row>
    <row r="12840">
      <c r="R12840" s="100"/>
      <c r="V12840" s="100"/>
      <c r="Y12840" s="100"/>
    </row>
    <row r="12841">
      <c r="R12841" s="100"/>
      <c r="V12841" s="100"/>
      <c r="Y12841" s="100"/>
    </row>
    <row r="12842">
      <c r="R12842" s="100"/>
      <c r="V12842" s="100"/>
      <c r="Y12842" s="100"/>
    </row>
    <row r="12843">
      <c r="R12843" s="100"/>
      <c r="V12843" s="100"/>
      <c r="Y12843" s="100"/>
    </row>
    <row r="12844">
      <c r="R12844" s="100"/>
      <c r="V12844" s="100"/>
      <c r="Y12844" s="100"/>
    </row>
    <row r="12845">
      <c r="R12845" s="100"/>
      <c r="V12845" s="100"/>
      <c r="Y12845" s="100"/>
    </row>
    <row r="12846">
      <c r="R12846" s="100"/>
      <c r="V12846" s="100"/>
      <c r="Y12846" s="100"/>
    </row>
    <row r="12847">
      <c r="R12847" s="100"/>
      <c r="V12847" s="100"/>
      <c r="Y12847" s="100"/>
    </row>
    <row r="12848">
      <c r="R12848" s="100"/>
      <c r="V12848" s="100"/>
      <c r="Y12848" s="100"/>
    </row>
    <row r="12849">
      <c r="R12849" s="100"/>
      <c r="V12849" s="100"/>
      <c r="Y12849" s="100"/>
    </row>
    <row r="12850">
      <c r="R12850" s="100"/>
      <c r="V12850" s="100"/>
      <c r="Y12850" s="100"/>
    </row>
    <row r="12851">
      <c r="R12851" s="100"/>
      <c r="V12851" s="100"/>
      <c r="Y12851" s="100"/>
    </row>
    <row r="12852">
      <c r="R12852" s="100"/>
      <c r="V12852" s="100"/>
      <c r="Y12852" s="100"/>
    </row>
    <row r="12853">
      <c r="R12853" s="100"/>
      <c r="V12853" s="100"/>
      <c r="Y12853" s="100"/>
    </row>
    <row r="12854">
      <c r="R12854" s="100"/>
      <c r="V12854" s="100"/>
      <c r="Y12854" s="100"/>
    </row>
    <row r="12855">
      <c r="R12855" s="100"/>
      <c r="V12855" s="100"/>
      <c r="Y12855" s="100"/>
    </row>
    <row r="12856">
      <c r="R12856" s="100"/>
      <c r="V12856" s="100"/>
      <c r="Y12856" s="100"/>
    </row>
    <row r="12857">
      <c r="R12857" s="100"/>
      <c r="V12857" s="100"/>
      <c r="Y12857" s="100"/>
    </row>
    <row r="12858">
      <c r="R12858" s="100"/>
      <c r="V12858" s="100"/>
      <c r="Y12858" s="100"/>
    </row>
    <row r="12859">
      <c r="R12859" s="100"/>
      <c r="V12859" s="100"/>
      <c r="Y12859" s="100"/>
    </row>
    <row r="12860">
      <c r="R12860" s="100"/>
      <c r="V12860" s="100"/>
      <c r="Y12860" s="100"/>
    </row>
    <row r="12861">
      <c r="R12861" s="100"/>
      <c r="V12861" s="100"/>
      <c r="Y12861" s="100"/>
    </row>
    <row r="12862">
      <c r="R12862" s="100"/>
      <c r="V12862" s="100"/>
      <c r="Y12862" s="100"/>
    </row>
    <row r="12863">
      <c r="R12863" s="100"/>
      <c r="V12863" s="100"/>
      <c r="Y12863" s="100"/>
    </row>
    <row r="12864">
      <c r="R12864" s="100"/>
      <c r="V12864" s="100"/>
      <c r="Y12864" s="100"/>
    </row>
    <row r="12865">
      <c r="R12865" s="100"/>
      <c r="V12865" s="100"/>
      <c r="Y12865" s="100"/>
    </row>
    <row r="12866">
      <c r="R12866" s="100"/>
      <c r="V12866" s="100"/>
      <c r="Y12866" s="100"/>
    </row>
    <row r="12867">
      <c r="R12867" s="100"/>
      <c r="V12867" s="100"/>
      <c r="Y12867" s="100"/>
    </row>
    <row r="12868">
      <c r="R12868" s="100"/>
      <c r="V12868" s="100"/>
      <c r="Y12868" s="100"/>
    </row>
    <row r="12869">
      <c r="R12869" s="100"/>
      <c r="V12869" s="100"/>
      <c r="Y12869" s="100"/>
    </row>
    <row r="12870">
      <c r="R12870" s="100"/>
      <c r="V12870" s="100"/>
      <c r="Y12870" s="100"/>
    </row>
    <row r="12871">
      <c r="R12871" s="100"/>
      <c r="V12871" s="100"/>
      <c r="Y12871" s="100"/>
    </row>
    <row r="12872">
      <c r="R12872" s="100"/>
      <c r="V12872" s="100"/>
      <c r="Y12872" s="100"/>
    </row>
    <row r="12873">
      <c r="R12873" s="100"/>
      <c r="V12873" s="100"/>
      <c r="Y12873" s="100"/>
    </row>
    <row r="12874">
      <c r="R12874" s="100"/>
      <c r="V12874" s="100"/>
      <c r="Y12874" s="100"/>
    </row>
    <row r="12875">
      <c r="R12875" s="100"/>
      <c r="V12875" s="100"/>
      <c r="Y12875" s="100"/>
    </row>
    <row r="12876">
      <c r="R12876" s="100"/>
      <c r="V12876" s="100"/>
      <c r="Y12876" s="100"/>
    </row>
    <row r="12877">
      <c r="R12877" s="100"/>
      <c r="V12877" s="100"/>
      <c r="Y12877" s="100"/>
    </row>
    <row r="12878">
      <c r="R12878" s="100"/>
      <c r="V12878" s="100"/>
      <c r="Y12878" s="100"/>
    </row>
    <row r="12879">
      <c r="R12879" s="100"/>
      <c r="V12879" s="100"/>
      <c r="Y12879" s="100"/>
    </row>
    <row r="12880">
      <c r="R12880" s="100"/>
      <c r="V12880" s="100"/>
      <c r="Y12880" s="100"/>
    </row>
    <row r="12881">
      <c r="R12881" s="100"/>
      <c r="V12881" s="100"/>
      <c r="Y12881" s="100"/>
    </row>
    <row r="12882">
      <c r="R12882" s="100"/>
      <c r="V12882" s="100"/>
      <c r="Y12882" s="100"/>
    </row>
    <row r="12883">
      <c r="R12883" s="100"/>
      <c r="V12883" s="100"/>
      <c r="Y12883" s="100"/>
    </row>
    <row r="12884">
      <c r="R12884" s="100"/>
      <c r="V12884" s="100"/>
      <c r="Y12884" s="100"/>
    </row>
    <row r="12885">
      <c r="R12885" s="100"/>
      <c r="V12885" s="100"/>
      <c r="Y12885" s="100"/>
    </row>
    <row r="12886">
      <c r="R12886" s="100"/>
      <c r="V12886" s="100"/>
      <c r="Y12886" s="100"/>
    </row>
    <row r="12887">
      <c r="R12887" s="100"/>
      <c r="V12887" s="100"/>
      <c r="Y12887" s="100"/>
    </row>
    <row r="12888">
      <c r="R12888" s="100"/>
      <c r="V12888" s="100"/>
      <c r="Y12888" s="100"/>
    </row>
    <row r="12889">
      <c r="R12889" s="100"/>
      <c r="V12889" s="100"/>
      <c r="Y12889" s="100"/>
    </row>
    <row r="12890">
      <c r="R12890" s="100"/>
      <c r="V12890" s="100"/>
      <c r="Y12890" s="100"/>
    </row>
    <row r="12891">
      <c r="R12891" s="100"/>
      <c r="V12891" s="100"/>
      <c r="Y12891" s="100"/>
    </row>
    <row r="12892">
      <c r="R12892" s="100"/>
      <c r="V12892" s="100"/>
      <c r="Y12892" s="100"/>
    </row>
    <row r="12893">
      <c r="R12893" s="100"/>
      <c r="V12893" s="100"/>
      <c r="Y12893" s="100"/>
    </row>
    <row r="12894">
      <c r="R12894" s="100"/>
      <c r="V12894" s="100"/>
      <c r="Y12894" s="100"/>
    </row>
    <row r="12895">
      <c r="R12895" s="100"/>
      <c r="V12895" s="100"/>
      <c r="Y12895" s="100"/>
    </row>
    <row r="12896">
      <c r="R12896" s="100"/>
      <c r="V12896" s="100"/>
      <c r="Y12896" s="100"/>
    </row>
    <row r="12897">
      <c r="R12897" s="100"/>
      <c r="V12897" s="100"/>
      <c r="Y12897" s="100"/>
    </row>
    <row r="12898">
      <c r="R12898" s="100"/>
      <c r="V12898" s="100"/>
      <c r="Y12898" s="100"/>
    </row>
    <row r="12899">
      <c r="R12899" s="100"/>
      <c r="V12899" s="100"/>
      <c r="Y12899" s="100"/>
    </row>
    <row r="12900">
      <c r="R12900" s="100"/>
      <c r="V12900" s="100"/>
      <c r="Y12900" s="100"/>
    </row>
    <row r="12901">
      <c r="R12901" s="100"/>
      <c r="V12901" s="100"/>
      <c r="Y12901" s="100"/>
    </row>
    <row r="12902">
      <c r="R12902" s="100"/>
      <c r="V12902" s="100"/>
      <c r="Y12902" s="100"/>
    </row>
    <row r="12903">
      <c r="R12903" s="100"/>
      <c r="V12903" s="100"/>
      <c r="Y12903" s="100"/>
    </row>
    <row r="12904">
      <c r="R12904" s="100"/>
      <c r="V12904" s="100"/>
      <c r="Y12904" s="100"/>
    </row>
    <row r="12905">
      <c r="R12905" s="100"/>
      <c r="V12905" s="100"/>
      <c r="Y12905" s="100"/>
    </row>
    <row r="12906">
      <c r="R12906" s="100"/>
      <c r="V12906" s="100"/>
      <c r="Y12906" s="100"/>
    </row>
    <row r="12907">
      <c r="R12907" s="100"/>
      <c r="V12907" s="100"/>
      <c r="Y12907" s="100"/>
    </row>
    <row r="12908">
      <c r="R12908" s="100"/>
      <c r="V12908" s="100"/>
      <c r="Y12908" s="100"/>
    </row>
    <row r="12909">
      <c r="R12909" s="100"/>
      <c r="V12909" s="100"/>
      <c r="Y12909" s="100"/>
    </row>
    <row r="12910">
      <c r="R12910" s="100"/>
      <c r="V12910" s="100"/>
      <c r="Y12910" s="100"/>
    </row>
    <row r="12911">
      <c r="R12911" s="100"/>
      <c r="V12911" s="100"/>
      <c r="Y12911" s="100"/>
    </row>
    <row r="12912">
      <c r="R12912" s="100"/>
      <c r="V12912" s="100"/>
      <c r="Y12912" s="100"/>
    </row>
    <row r="12913">
      <c r="R12913" s="100"/>
      <c r="V12913" s="100"/>
      <c r="Y12913" s="100"/>
    </row>
    <row r="12914">
      <c r="R12914" s="100"/>
      <c r="V12914" s="100"/>
      <c r="Y12914" s="100"/>
    </row>
    <row r="12915">
      <c r="R12915" s="100"/>
      <c r="V12915" s="100"/>
      <c r="Y12915" s="100"/>
    </row>
    <row r="12916">
      <c r="R12916" s="100"/>
      <c r="V12916" s="100"/>
      <c r="Y12916" s="100"/>
    </row>
    <row r="12917">
      <c r="R12917" s="100"/>
      <c r="V12917" s="100"/>
      <c r="Y12917" s="100"/>
    </row>
    <row r="12918">
      <c r="R12918" s="100"/>
      <c r="V12918" s="100"/>
      <c r="Y12918" s="100"/>
    </row>
    <row r="12919">
      <c r="R12919" s="100"/>
      <c r="V12919" s="100"/>
      <c r="Y12919" s="100"/>
    </row>
    <row r="12920">
      <c r="R12920" s="100"/>
      <c r="V12920" s="100"/>
      <c r="Y12920" s="100"/>
    </row>
    <row r="12921">
      <c r="R12921" s="100"/>
      <c r="V12921" s="100"/>
      <c r="Y12921" s="100"/>
    </row>
    <row r="12922">
      <c r="R12922" s="100"/>
      <c r="V12922" s="100"/>
      <c r="Y12922" s="100"/>
    </row>
    <row r="12923">
      <c r="R12923" s="100"/>
      <c r="V12923" s="100"/>
      <c r="Y12923" s="100"/>
    </row>
    <row r="12924">
      <c r="R12924" s="100"/>
      <c r="V12924" s="100"/>
      <c r="Y12924" s="100"/>
    </row>
    <row r="12925">
      <c r="R12925" s="100"/>
      <c r="V12925" s="100"/>
      <c r="Y12925" s="100"/>
    </row>
    <row r="12926">
      <c r="R12926" s="100"/>
      <c r="V12926" s="100"/>
      <c r="Y12926" s="100"/>
    </row>
    <row r="12927">
      <c r="R12927" s="100"/>
      <c r="V12927" s="100"/>
      <c r="Y12927" s="100"/>
    </row>
    <row r="12928">
      <c r="R12928" s="100"/>
      <c r="V12928" s="100"/>
      <c r="Y12928" s="100"/>
    </row>
    <row r="12929">
      <c r="R12929" s="100"/>
      <c r="V12929" s="100"/>
      <c r="Y12929" s="100"/>
    </row>
    <row r="12930">
      <c r="R12930" s="100"/>
      <c r="V12930" s="100"/>
      <c r="Y12930" s="100"/>
    </row>
    <row r="12931">
      <c r="R12931" s="100"/>
      <c r="V12931" s="100"/>
      <c r="Y12931" s="100"/>
    </row>
    <row r="12932">
      <c r="R12932" s="100"/>
      <c r="V12932" s="100"/>
      <c r="Y12932" s="100"/>
    </row>
    <row r="12933">
      <c r="R12933" s="100"/>
      <c r="V12933" s="100"/>
      <c r="Y12933" s="100"/>
    </row>
    <row r="12934">
      <c r="R12934" s="100"/>
      <c r="V12934" s="100"/>
      <c r="Y12934" s="100"/>
    </row>
    <row r="12935">
      <c r="R12935" s="100"/>
      <c r="V12935" s="100"/>
      <c r="Y12935" s="100"/>
    </row>
    <row r="12936">
      <c r="R12936" s="100"/>
      <c r="V12936" s="100"/>
      <c r="Y12936" s="100"/>
    </row>
    <row r="12937">
      <c r="R12937" s="100"/>
      <c r="V12937" s="100"/>
      <c r="Y12937" s="100"/>
    </row>
    <row r="12938">
      <c r="R12938" s="100"/>
      <c r="V12938" s="100"/>
      <c r="Y12938" s="100"/>
    </row>
    <row r="12939">
      <c r="R12939" s="100"/>
      <c r="V12939" s="100"/>
      <c r="Y12939" s="100"/>
    </row>
    <row r="12940">
      <c r="R12940" s="100"/>
      <c r="V12940" s="100"/>
      <c r="Y12940" s="100"/>
    </row>
    <row r="12941">
      <c r="R12941" s="100"/>
      <c r="V12941" s="100"/>
      <c r="Y12941" s="100"/>
    </row>
    <row r="12942">
      <c r="R12942" s="100"/>
      <c r="V12942" s="100"/>
      <c r="Y12942" s="100"/>
    </row>
    <row r="12943">
      <c r="R12943" s="100"/>
      <c r="V12943" s="100"/>
      <c r="Y12943" s="100"/>
    </row>
    <row r="12944">
      <c r="R12944" s="100"/>
      <c r="V12944" s="100"/>
      <c r="Y12944" s="100"/>
    </row>
    <row r="12945">
      <c r="R12945" s="100"/>
      <c r="V12945" s="100"/>
      <c r="Y12945" s="100"/>
    </row>
    <row r="12946">
      <c r="R12946" s="100"/>
      <c r="V12946" s="100"/>
      <c r="Y12946" s="100"/>
    </row>
    <row r="12947">
      <c r="R12947" s="100"/>
      <c r="V12947" s="100"/>
      <c r="Y12947" s="100"/>
    </row>
    <row r="12948">
      <c r="R12948" s="100"/>
      <c r="V12948" s="100"/>
      <c r="Y12948" s="100"/>
    </row>
    <row r="12949">
      <c r="R12949" s="100"/>
      <c r="V12949" s="100"/>
      <c r="Y12949" s="100"/>
    </row>
    <row r="12950">
      <c r="R12950" s="100"/>
      <c r="V12950" s="100"/>
      <c r="Y12950" s="100"/>
    </row>
    <row r="12951">
      <c r="R12951" s="100"/>
      <c r="V12951" s="100"/>
      <c r="Y12951" s="100"/>
    </row>
    <row r="12952">
      <c r="R12952" s="100"/>
      <c r="V12952" s="100"/>
      <c r="Y12952" s="100"/>
    </row>
    <row r="12953">
      <c r="R12953" s="100"/>
      <c r="V12953" s="100"/>
      <c r="Y12953" s="100"/>
    </row>
    <row r="12954">
      <c r="R12954" s="100"/>
      <c r="V12954" s="100"/>
      <c r="Y12954" s="100"/>
    </row>
    <row r="12955">
      <c r="R12955" s="100"/>
      <c r="V12955" s="100"/>
      <c r="Y12955" s="100"/>
    </row>
    <row r="12956">
      <c r="R12956" s="100"/>
      <c r="V12956" s="100"/>
      <c r="Y12956" s="100"/>
    </row>
    <row r="12957">
      <c r="R12957" s="100"/>
      <c r="V12957" s="100"/>
      <c r="Y12957" s="100"/>
    </row>
    <row r="12958">
      <c r="R12958" s="100"/>
      <c r="V12958" s="100"/>
      <c r="Y12958" s="100"/>
    </row>
    <row r="12959">
      <c r="R12959" s="100"/>
      <c r="V12959" s="100"/>
      <c r="Y12959" s="100"/>
    </row>
    <row r="12960">
      <c r="R12960" s="100"/>
      <c r="V12960" s="100"/>
      <c r="Y12960" s="100"/>
    </row>
    <row r="12961">
      <c r="R12961" s="100"/>
      <c r="V12961" s="100"/>
      <c r="Y12961" s="100"/>
    </row>
    <row r="12962">
      <c r="R12962" s="100"/>
      <c r="V12962" s="100"/>
      <c r="Y12962" s="100"/>
    </row>
    <row r="12963">
      <c r="R12963" s="100"/>
      <c r="V12963" s="100"/>
      <c r="Y12963" s="100"/>
    </row>
    <row r="12964">
      <c r="R12964" s="100"/>
      <c r="V12964" s="100"/>
      <c r="Y12964" s="100"/>
    </row>
    <row r="12965">
      <c r="R12965" s="100"/>
      <c r="V12965" s="100"/>
      <c r="Y12965" s="100"/>
    </row>
    <row r="12966">
      <c r="R12966" s="100"/>
      <c r="V12966" s="100"/>
      <c r="Y12966" s="100"/>
    </row>
    <row r="12967">
      <c r="R12967" s="100"/>
      <c r="V12967" s="100"/>
      <c r="Y12967" s="100"/>
    </row>
    <row r="12968">
      <c r="R12968" s="100"/>
      <c r="V12968" s="100"/>
      <c r="Y12968" s="100"/>
    </row>
    <row r="12969">
      <c r="R12969" s="100"/>
      <c r="V12969" s="100"/>
      <c r="Y12969" s="100"/>
    </row>
    <row r="12970">
      <c r="R12970" s="100"/>
      <c r="V12970" s="100"/>
      <c r="Y12970" s="100"/>
    </row>
    <row r="12971">
      <c r="R12971" s="100"/>
      <c r="V12971" s="100"/>
      <c r="Y12971" s="100"/>
    </row>
    <row r="12972">
      <c r="R12972" s="100"/>
      <c r="V12972" s="100"/>
      <c r="Y12972" s="100"/>
    </row>
    <row r="12973">
      <c r="R12973" s="100"/>
      <c r="V12973" s="100"/>
      <c r="Y12973" s="100"/>
    </row>
    <row r="12974">
      <c r="R12974" s="100"/>
      <c r="V12974" s="100"/>
      <c r="Y12974" s="100"/>
    </row>
    <row r="12975">
      <c r="R12975" s="100"/>
      <c r="V12975" s="100"/>
      <c r="Y12975" s="100"/>
    </row>
    <row r="12976">
      <c r="R12976" s="100"/>
      <c r="V12976" s="100"/>
      <c r="Y12976" s="100"/>
    </row>
    <row r="12977">
      <c r="R12977" s="100"/>
      <c r="V12977" s="100"/>
      <c r="Y12977" s="100"/>
    </row>
    <row r="12978">
      <c r="R12978" s="100"/>
      <c r="V12978" s="100"/>
      <c r="Y12978" s="100"/>
    </row>
    <row r="12979">
      <c r="R12979" s="100"/>
      <c r="V12979" s="100"/>
      <c r="Y12979" s="100"/>
    </row>
    <row r="12980">
      <c r="R12980" s="100"/>
      <c r="V12980" s="100"/>
      <c r="Y12980" s="100"/>
    </row>
    <row r="12981">
      <c r="R12981" s="100"/>
      <c r="V12981" s="100"/>
      <c r="Y12981" s="100"/>
    </row>
    <row r="12982">
      <c r="R12982" s="100"/>
      <c r="V12982" s="100"/>
      <c r="Y12982" s="100"/>
    </row>
    <row r="12983">
      <c r="R12983" s="100"/>
      <c r="V12983" s="100"/>
      <c r="Y12983" s="100"/>
    </row>
    <row r="12984">
      <c r="R12984" s="100"/>
      <c r="V12984" s="100"/>
      <c r="Y12984" s="100"/>
    </row>
    <row r="12985">
      <c r="R12985" s="100"/>
      <c r="V12985" s="100"/>
      <c r="Y12985" s="100"/>
    </row>
    <row r="12986">
      <c r="R12986" s="100"/>
      <c r="V12986" s="100"/>
      <c r="Y12986" s="100"/>
    </row>
    <row r="12987">
      <c r="R12987" s="100"/>
      <c r="V12987" s="100"/>
      <c r="Y12987" s="100"/>
    </row>
    <row r="12988">
      <c r="R12988" s="100"/>
      <c r="V12988" s="100"/>
      <c r="Y12988" s="100"/>
    </row>
    <row r="12989">
      <c r="R12989" s="100"/>
      <c r="V12989" s="100"/>
      <c r="Y12989" s="100"/>
    </row>
    <row r="12990">
      <c r="R12990" s="100"/>
      <c r="V12990" s="100"/>
      <c r="Y12990" s="100"/>
    </row>
    <row r="12991">
      <c r="R12991" s="100"/>
      <c r="V12991" s="100"/>
      <c r="Y12991" s="100"/>
    </row>
    <row r="12992">
      <c r="R12992" s="100"/>
      <c r="V12992" s="100"/>
      <c r="Y12992" s="100"/>
    </row>
    <row r="12993">
      <c r="R12993" s="100"/>
      <c r="V12993" s="100"/>
      <c r="Y12993" s="100"/>
    </row>
    <row r="12994">
      <c r="R12994" s="100"/>
      <c r="V12994" s="100"/>
      <c r="Y12994" s="100"/>
    </row>
    <row r="12995">
      <c r="R12995" s="100"/>
      <c r="V12995" s="100"/>
      <c r="Y12995" s="100"/>
    </row>
    <row r="12996">
      <c r="R12996" s="100"/>
      <c r="V12996" s="100"/>
      <c r="Y12996" s="100"/>
    </row>
    <row r="12997">
      <c r="R12997" s="100"/>
      <c r="V12997" s="100"/>
      <c r="Y12997" s="100"/>
    </row>
    <row r="12998">
      <c r="R12998" s="100"/>
      <c r="V12998" s="100"/>
      <c r="Y12998" s="100"/>
    </row>
    <row r="12999">
      <c r="R12999" s="100"/>
      <c r="V12999" s="100"/>
      <c r="Y12999" s="100"/>
    </row>
    <row r="13000">
      <c r="R13000" s="100"/>
      <c r="V13000" s="100"/>
      <c r="Y13000" s="100"/>
    </row>
    <row r="13001">
      <c r="R13001" s="100"/>
      <c r="V13001" s="100"/>
      <c r="Y13001" s="100"/>
    </row>
    <row r="13002">
      <c r="R13002" s="100"/>
      <c r="V13002" s="100"/>
      <c r="Y13002" s="100"/>
    </row>
    <row r="13003">
      <c r="R13003" s="100"/>
      <c r="V13003" s="100"/>
      <c r="Y13003" s="100"/>
    </row>
    <row r="13004">
      <c r="R13004" s="100"/>
      <c r="V13004" s="100"/>
      <c r="Y13004" s="100"/>
    </row>
    <row r="13005">
      <c r="R13005" s="100"/>
      <c r="V13005" s="100"/>
      <c r="Y13005" s="100"/>
    </row>
    <row r="13006">
      <c r="R13006" s="100"/>
      <c r="V13006" s="100"/>
      <c r="Y13006" s="100"/>
    </row>
    <row r="13007">
      <c r="R13007" s="100"/>
      <c r="V13007" s="100"/>
      <c r="Y13007" s="100"/>
    </row>
    <row r="13008">
      <c r="R13008" s="100"/>
      <c r="V13008" s="100"/>
      <c r="Y13008" s="100"/>
    </row>
    <row r="13009">
      <c r="R13009" s="100"/>
      <c r="V13009" s="100"/>
      <c r="Y13009" s="100"/>
    </row>
    <row r="13010">
      <c r="R13010" s="100"/>
      <c r="V13010" s="100"/>
      <c r="Y13010" s="100"/>
    </row>
    <row r="13011">
      <c r="R13011" s="100"/>
      <c r="V13011" s="100"/>
      <c r="Y13011" s="100"/>
    </row>
    <row r="13012">
      <c r="R13012" s="100"/>
      <c r="V13012" s="100"/>
      <c r="Y13012" s="100"/>
    </row>
    <row r="13013">
      <c r="R13013" s="100"/>
      <c r="V13013" s="100"/>
      <c r="Y13013" s="100"/>
    </row>
    <row r="13014">
      <c r="R13014" s="100"/>
      <c r="V13014" s="100"/>
      <c r="Y13014" s="100"/>
    </row>
    <row r="13015">
      <c r="R13015" s="100"/>
      <c r="V13015" s="100"/>
      <c r="Y13015" s="100"/>
    </row>
    <row r="13016">
      <c r="R13016" s="100"/>
      <c r="V13016" s="100"/>
      <c r="Y13016" s="100"/>
    </row>
    <row r="13017">
      <c r="R13017" s="100"/>
      <c r="V13017" s="100"/>
      <c r="Y13017" s="100"/>
    </row>
    <row r="13018">
      <c r="R13018" s="100"/>
      <c r="V13018" s="100"/>
      <c r="Y13018" s="100"/>
    </row>
    <row r="13019">
      <c r="R13019" s="100"/>
      <c r="V13019" s="100"/>
      <c r="Y13019" s="100"/>
    </row>
    <row r="13020">
      <c r="R13020" s="100"/>
      <c r="V13020" s="100"/>
      <c r="Y13020" s="100"/>
    </row>
    <row r="13021">
      <c r="R13021" s="100"/>
      <c r="V13021" s="100"/>
      <c r="Y13021" s="100"/>
    </row>
    <row r="13022">
      <c r="R13022" s="100"/>
      <c r="V13022" s="100"/>
      <c r="Y13022" s="100"/>
    </row>
    <row r="13023">
      <c r="R13023" s="100"/>
      <c r="V13023" s="100"/>
      <c r="Y13023" s="100"/>
    </row>
    <row r="13024">
      <c r="R13024" s="100"/>
      <c r="V13024" s="100"/>
      <c r="Y13024" s="100"/>
    </row>
    <row r="13025">
      <c r="R13025" s="100"/>
      <c r="V13025" s="100"/>
      <c r="Y13025" s="100"/>
    </row>
    <row r="13026">
      <c r="R13026" s="100"/>
      <c r="V13026" s="100"/>
      <c r="Y13026" s="100"/>
    </row>
    <row r="13027">
      <c r="R13027" s="100"/>
      <c r="V13027" s="100"/>
      <c r="Y13027" s="100"/>
    </row>
    <row r="13028">
      <c r="R13028" s="100"/>
      <c r="V13028" s="100"/>
      <c r="Y13028" s="100"/>
    </row>
    <row r="13029">
      <c r="R13029" s="100"/>
      <c r="V13029" s="100"/>
      <c r="Y13029" s="100"/>
    </row>
    <row r="13030">
      <c r="R13030" s="100"/>
      <c r="V13030" s="100"/>
      <c r="Y13030" s="100"/>
    </row>
    <row r="13031">
      <c r="R13031" s="100"/>
      <c r="V13031" s="100"/>
      <c r="Y13031" s="100"/>
    </row>
    <row r="13032">
      <c r="R13032" s="100"/>
      <c r="V13032" s="100"/>
      <c r="Y13032" s="100"/>
    </row>
    <row r="13033">
      <c r="R13033" s="100"/>
      <c r="V13033" s="100"/>
      <c r="Y13033" s="100"/>
    </row>
    <row r="13034">
      <c r="R13034" s="100"/>
      <c r="V13034" s="100"/>
      <c r="Y13034" s="100"/>
    </row>
    <row r="13035">
      <c r="R13035" s="100"/>
      <c r="V13035" s="100"/>
      <c r="Y13035" s="100"/>
    </row>
    <row r="13036">
      <c r="R13036" s="100"/>
      <c r="V13036" s="100"/>
      <c r="Y13036" s="100"/>
    </row>
    <row r="13037">
      <c r="R13037" s="100"/>
      <c r="V13037" s="100"/>
      <c r="Y13037" s="100"/>
    </row>
    <row r="13038">
      <c r="R13038" s="100"/>
      <c r="V13038" s="100"/>
      <c r="Y13038" s="100"/>
    </row>
    <row r="13039">
      <c r="R13039" s="100"/>
      <c r="V13039" s="100"/>
      <c r="Y13039" s="100"/>
    </row>
    <row r="13040">
      <c r="R13040" s="100"/>
      <c r="V13040" s="100"/>
      <c r="Y13040" s="100"/>
    </row>
    <row r="13041">
      <c r="R13041" s="100"/>
      <c r="V13041" s="100"/>
      <c r="Y13041" s="100"/>
    </row>
    <row r="13042">
      <c r="R13042" s="100"/>
      <c r="V13042" s="100"/>
      <c r="Y13042" s="100"/>
    </row>
    <row r="13043">
      <c r="R13043" s="100"/>
      <c r="V13043" s="100"/>
      <c r="Y13043" s="100"/>
    </row>
    <row r="13044">
      <c r="R13044" s="100"/>
      <c r="V13044" s="100"/>
      <c r="Y13044" s="100"/>
    </row>
    <row r="13045">
      <c r="R13045" s="100"/>
      <c r="V13045" s="100"/>
      <c r="Y13045" s="100"/>
    </row>
    <row r="13046">
      <c r="R13046" s="100"/>
      <c r="V13046" s="100"/>
      <c r="Y13046" s="100"/>
    </row>
    <row r="13047">
      <c r="R13047" s="100"/>
      <c r="V13047" s="100"/>
      <c r="Y13047" s="100"/>
    </row>
    <row r="13048">
      <c r="R13048" s="100"/>
      <c r="V13048" s="100"/>
      <c r="Y13048" s="100"/>
    </row>
    <row r="13049">
      <c r="R13049" s="100"/>
      <c r="V13049" s="100"/>
      <c r="Y13049" s="100"/>
    </row>
    <row r="13050">
      <c r="R13050" s="100"/>
      <c r="V13050" s="100"/>
      <c r="Y13050" s="100"/>
    </row>
    <row r="13051">
      <c r="R13051" s="100"/>
      <c r="V13051" s="100"/>
      <c r="Y13051" s="100"/>
    </row>
    <row r="13052">
      <c r="R13052" s="100"/>
      <c r="V13052" s="100"/>
      <c r="Y13052" s="100"/>
    </row>
    <row r="13053">
      <c r="R13053" s="100"/>
      <c r="V13053" s="100"/>
      <c r="Y13053" s="100"/>
    </row>
    <row r="13054">
      <c r="R13054" s="100"/>
      <c r="V13054" s="100"/>
      <c r="Y13054" s="100"/>
    </row>
    <row r="13055">
      <c r="R13055" s="100"/>
      <c r="V13055" s="100"/>
      <c r="Y13055" s="100"/>
    </row>
    <row r="13056">
      <c r="R13056" s="100"/>
      <c r="V13056" s="100"/>
      <c r="Y13056" s="100"/>
    </row>
    <row r="13057">
      <c r="R13057" s="100"/>
      <c r="V13057" s="100"/>
      <c r="Y13057" s="100"/>
    </row>
    <row r="13058">
      <c r="R13058" s="100"/>
      <c r="V13058" s="100"/>
      <c r="Y13058" s="100"/>
    </row>
    <row r="13059">
      <c r="R13059" s="100"/>
      <c r="V13059" s="100"/>
      <c r="Y13059" s="100"/>
    </row>
    <row r="13060">
      <c r="R13060" s="100"/>
      <c r="V13060" s="100"/>
      <c r="Y13060" s="100"/>
    </row>
    <row r="13061">
      <c r="R13061" s="100"/>
      <c r="V13061" s="100"/>
      <c r="Y13061" s="100"/>
    </row>
    <row r="13062">
      <c r="R13062" s="100"/>
      <c r="V13062" s="100"/>
      <c r="Y13062" s="100"/>
    </row>
    <row r="13063">
      <c r="R13063" s="100"/>
      <c r="V13063" s="100"/>
      <c r="Y13063" s="100"/>
    </row>
    <row r="13064">
      <c r="R13064" s="100"/>
      <c r="V13064" s="100"/>
      <c r="Y13064" s="100"/>
    </row>
    <row r="13065">
      <c r="R13065" s="100"/>
      <c r="V13065" s="100"/>
      <c r="Y13065" s="100"/>
    </row>
    <row r="13066">
      <c r="R13066" s="100"/>
      <c r="V13066" s="100"/>
      <c r="Y13066" s="100"/>
    </row>
    <row r="13067">
      <c r="R13067" s="100"/>
      <c r="V13067" s="100"/>
      <c r="Y13067" s="100"/>
    </row>
    <row r="13068">
      <c r="R13068" s="100"/>
      <c r="V13068" s="100"/>
      <c r="Y13068" s="100"/>
    </row>
    <row r="13069">
      <c r="R13069" s="100"/>
      <c r="V13069" s="100"/>
      <c r="Y13069" s="100"/>
    </row>
    <row r="13070">
      <c r="R13070" s="100"/>
      <c r="V13070" s="100"/>
      <c r="Y13070" s="100"/>
    </row>
    <row r="13071">
      <c r="R13071" s="100"/>
      <c r="V13071" s="100"/>
      <c r="Y13071" s="100"/>
    </row>
    <row r="13072">
      <c r="R13072" s="100"/>
      <c r="V13072" s="100"/>
      <c r="Y13072" s="100"/>
    </row>
    <row r="13073">
      <c r="R13073" s="100"/>
      <c r="V13073" s="100"/>
      <c r="Y13073" s="100"/>
    </row>
    <row r="13074">
      <c r="R13074" s="100"/>
      <c r="V13074" s="100"/>
      <c r="Y13074" s="100"/>
    </row>
    <row r="13075">
      <c r="R13075" s="100"/>
      <c r="V13075" s="100"/>
      <c r="Y13075" s="100"/>
    </row>
    <row r="13076">
      <c r="R13076" s="100"/>
      <c r="V13076" s="100"/>
      <c r="Y13076" s="100"/>
    </row>
    <row r="13077">
      <c r="R13077" s="100"/>
      <c r="V13077" s="100"/>
      <c r="Y13077" s="100"/>
    </row>
    <row r="13078">
      <c r="R13078" s="100"/>
      <c r="V13078" s="100"/>
      <c r="Y13078" s="100"/>
    </row>
    <row r="13079">
      <c r="R13079" s="100"/>
      <c r="V13079" s="100"/>
      <c r="Y13079" s="100"/>
    </row>
    <row r="13080">
      <c r="R13080" s="100"/>
      <c r="V13080" s="100"/>
      <c r="Y13080" s="100"/>
    </row>
    <row r="13081">
      <c r="R13081" s="100"/>
      <c r="V13081" s="100"/>
      <c r="Y13081" s="100"/>
    </row>
    <row r="13082">
      <c r="R13082" s="100"/>
      <c r="V13082" s="100"/>
      <c r="Y13082" s="100"/>
    </row>
    <row r="13083">
      <c r="R13083" s="100"/>
      <c r="V13083" s="100"/>
      <c r="Y13083" s="100"/>
    </row>
    <row r="13084">
      <c r="R13084" s="100"/>
      <c r="V13084" s="100"/>
      <c r="Y13084" s="100"/>
    </row>
    <row r="13085">
      <c r="R13085" s="100"/>
      <c r="V13085" s="100"/>
      <c r="Y13085" s="100"/>
    </row>
    <row r="13086">
      <c r="R13086" s="100"/>
      <c r="V13086" s="100"/>
      <c r="Y13086" s="100"/>
    </row>
    <row r="13087">
      <c r="R13087" s="100"/>
      <c r="V13087" s="100"/>
      <c r="Y13087" s="100"/>
    </row>
    <row r="13088">
      <c r="R13088" s="100"/>
      <c r="V13088" s="100"/>
      <c r="Y13088" s="100"/>
    </row>
    <row r="13089">
      <c r="R13089" s="100"/>
      <c r="V13089" s="100"/>
      <c r="Y13089" s="100"/>
    </row>
    <row r="13090">
      <c r="R13090" s="100"/>
      <c r="V13090" s="100"/>
      <c r="Y13090" s="100"/>
    </row>
    <row r="13091">
      <c r="R13091" s="100"/>
      <c r="V13091" s="100"/>
      <c r="Y13091" s="100"/>
    </row>
    <row r="13092">
      <c r="R13092" s="100"/>
      <c r="V13092" s="100"/>
      <c r="Y13092" s="100"/>
    </row>
    <row r="13093">
      <c r="R13093" s="100"/>
      <c r="V13093" s="100"/>
      <c r="Y13093" s="100"/>
    </row>
    <row r="13094">
      <c r="R13094" s="100"/>
      <c r="V13094" s="100"/>
      <c r="Y13094" s="100"/>
    </row>
    <row r="13095">
      <c r="R13095" s="100"/>
      <c r="V13095" s="100"/>
      <c r="Y13095" s="100"/>
    </row>
    <row r="13096">
      <c r="R13096" s="100"/>
      <c r="V13096" s="100"/>
      <c r="Y13096" s="100"/>
    </row>
    <row r="13097">
      <c r="R13097" s="100"/>
      <c r="V13097" s="100"/>
      <c r="Y13097" s="100"/>
    </row>
    <row r="13098">
      <c r="R13098" s="100"/>
      <c r="V13098" s="100"/>
      <c r="Y13098" s="100"/>
    </row>
    <row r="13099">
      <c r="R13099" s="100"/>
      <c r="V13099" s="100"/>
      <c r="Y13099" s="100"/>
    </row>
    <row r="13100">
      <c r="R13100" s="100"/>
      <c r="V13100" s="100"/>
      <c r="Y13100" s="100"/>
    </row>
    <row r="13101">
      <c r="R13101" s="100"/>
      <c r="V13101" s="100"/>
      <c r="Y13101" s="100"/>
    </row>
    <row r="13102">
      <c r="R13102" s="100"/>
      <c r="V13102" s="100"/>
      <c r="Y13102" s="100"/>
    </row>
    <row r="13103">
      <c r="R13103" s="100"/>
      <c r="V13103" s="100"/>
      <c r="Y13103" s="100"/>
    </row>
    <row r="13104">
      <c r="R13104" s="100"/>
      <c r="V13104" s="100"/>
      <c r="Y13104" s="100"/>
    </row>
    <row r="13105">
      <c r="R13105" s="100"/>
      <c r="V13105" s="100"/>
      <c r="Y13105" s="100"/>
    </row>
    <row r="13106">
      <c r="R13106" s="100"/>
      <c r="V13106" s="100"/>
      <c r="Y13106" s="100"/>
    </row>
    <row r="13107">
      <c r="R13107" s="100"/>
      <c r="V13107" s="100"/>
      <c r="Y13107" s="100"/>
    </row>
    <row r="13108">
      <c r="R13108" s="100"/>
      <c r="V13108" s="100"/>
      <c r="Y13108" s="100"/>
    </row>
    <row r="13109">
      <c r="R13109" s="100"/>
      <c r="V13109" s="100"/>
      <c r="Y13109" s="100"/>
    </row>
    <row r="13110">
      <c r="R13110" s="100"/>
      <c r="V13110" s="100"/>
      <c r="Y13110" s="100"/>
    </row>
    <row r="13111">
      <c r="R13111" s="100"/>
      <c r="V13111" s="100"/>
      <c r="Y13111" s="100"/>
    </row>
    <row r="13112">
      <c r="R13112" s="100"/>
      <c r="V13112" s="100"/>
      <c r="Y13112" s="100"/>
    </row>
    <row r="13113">
      <c r="R13113" s="100"/>
      <c r="V13113" s="100"/>
      <c r="Y13113" s="100"/>
    </row>
    <row r="13114">
      <c r="R13114" s="100"/>
      <c r="V13114" s="100"/>
      <c r="Y13114" s="100"/>
    </row>
    <row r="13115">
      <c r="R13115" s="100"/>
      <c r="V13115" s="100"/>
      <c r="Y13115" s="100"/>
    </row>
    <row r="13116">
      <c r="R13116" s="100"/>
      <c r="V13116" s="100"/>
      <c r="Y13116" s="100"/>
    </row>
    <row r="13117">
      <c r="R13117" s="100"/>
      <c r="V13117" s="100"/>
      <c r="Y13117" s="100"/>
    </row>
    <row r="13118">
      <c r="R13118" s="100"/>
      <c r="V13118" s="100"/>
      <c r="Y13118" s="100"/>
    </row>
    <row r="13119">
      <c r="R13119" s="100"/>
      <c r="V13119" s="100"/>
      <c r="Y13119" s="100"/>
    </row>
    <row r="13120">
      <c r="R13120" s="100"/>
      <c r="V13120" s="100"/>
      <c r="Y13120" s="100"/>
    </row>
    <row r="13121">
      <c r="R13121" s="100"/>
      <c r="V13121" s="100"/>
      <c r="Y13121" s="100"/>
    </row>
    <row r="13122">
      <c r="R13122" s="100"/>
      <c r="V13122" s="100"/>
      <c r="Y13122" s="100"/>
    </row>
    <row r="13123">
      <c r="R13123" s="100"/>
      <c r="V13123" s="100"/>
      <c r="Y13123" s="100"/>
    </row>
    <row r="13124">
      <c r="R13124" s="100"/>
      <c r="V13124" s="100"/>
      <c r="Y13124" s="100"/>
    </row>
    <row r="13125">
      <c r="R13125" s="100"/>
      <c r="V13125" s="100"/>
      <c r="Y13125" s="100"/>
    </row>
    <row r="13126">
      <c r="R13126" s="100"/>
      <c r="V13126" s="100"/>
      <c r="Y13126" s="100"/>
    </row>
    <row r="13127">
      <c r="R13127" s="100"/>
      <c r="V13127" s="100"/>
      <c r="Y13127" s="100"/>
    </row>
    <row r="13128">
      <c r="R13128" s="100"/>
      <c r="V13128" s="100"/>
      <c r="Y13128" s="100"/>
    </row>
    <row r="13129">
      <c r="R13129" s="100"/>
      <c r="V13129" s="100"/>
      <c r="Y13129" s="100"/>
    </row>
    <row r="13130">
      <c r="R13130" s="100"/>
      <c r="V13130" s="100"/>
      <c r="Y13130" s="100"/>
    </row>
    <row r="13131">
      <c r="R13131" s="100"/>
      <c r="V13131" s="100"/>
      <c r="Y13131" s="100"/>
    </row>
    <row r="13132">
      <c r="R13132" s="100"/>
      <c r="V13132" s="100"/>
      <c r="Y13132" s="100"/>
    </row>
    <row r="13133">
      <c r="R13133" s="100"/>
      <c r="V13133" s="100"/>
      <c r="Y13133" s="100"/>
    </row>
    <row r="13134">
      <c r="R13134" s="100"/>
      <c r="V13134" s="100"/>
      <c r="Y13134" s="100"/>
    </row>
    <row r="13135">
      <c r="R13135" s="100"/>
      <c r="V13135" s="100"/>
      <c r="Y13135" s="100"/>
    </row>
    <row r="13136">
      <c r="R13136" s="100"/>
      <c r="V13136" s="100"/>
      <c r="Y13136" s="100"/>
    </row>
    <row r="13137">
      <c r="R13137" s="100"/>
      <c r="V13137" s="100"/>
      <c r="Y13137" s="100"/>
    </row>
    <row r="13138">
      <c r="R13138" s="100"/>
      <c r="V13138" s="100"/>
      <c r="Y13138" s="100"/>
    </row>
    <row r="13139">
      <c r="R13139" s="100"/>
      <c r="V13139" s="100"/>
      <c r="Y13139" s="100"/>
    </row>
    <row r="13140">
      <c r="R13140" s="100"/>
      <c r="V13140" s="100"/>
      <c r="Y13140" s="100"/>
    </row>
    <row r="13141">
      <c r="R13141" s="100"/>
      <c r="V13141" s="100"/>
      <c r="Y13141" s="100"/>
    </row>
    <row r="13142">
      <c r="R13142" s="100"/>
      <c r="V13142" s="100"/>
      <c r="Y13142" s="100"/>
    </row>
    <row r="13143">
      <c r="R13143" s="100"/>
      <c r="V13143" s="100"/>
      <c r="Y13143" s="100"/>
    </row>
    <row r="13144">
      <c r="R13144" s="100"/>
      <c r="V13144" s="100"/>
      <c r="Y13144" s="100"/>
    </row>
    <row r="13145">
      <c r="R13145" s="100"/>
      <c r="V13145" s="100"/>
      <c r="Y13145" s="100"/>
    </row>
    <row r="13146">
      <c r="R13146" s="100"/>
      <c r="V13146" s="100"/>
      <c r="Y13146" s="100"/>
    </row>
    <row r="13147">
      <c r="R13147" s="100"/>
      <c r="V13147" s="100"/>
      <c r="Y13147" s="100"/>
    </row>
    <row r="13148">
      <c r="R13148" s="100"/>
      <c r="V13148" s="100"/>
      <c r="Y13148" s="100"/>
    </row>
    <row r="13149">
      <c r="R13149" s="100"/>
      <c r="V13149" s="100"/>
      <c r="Y13149" s="100"/>
    </row>
    <row r="13150">
      <c r="R13150" s="100"/>
      <c r="V13150" s="100"/>
      <c r="Y13150" s="100"/>
    </row>
    <row r="13151">
      <c r="R13151" s="100"/>
      <c r="V13151" s="100"/>
      <c r="Y13151" s="100"/>
    </row>
    <row r="13152">
      <c r="R13152" s="100"/>
      <c r="V13152" s="100"/>
      <c r="Y13152" s="100"/>
    </row>
    <row r="13153">
      <c r="R13153" s="100"/>
      <c r="V13153" s="100"/>
      <c r="Y13153" s="100"/>
    </row>
    <row r="13154">
      <c r="R13154" s="100"/>
      <c r="V13154" s="100"/>
      <c r="Y13154" s="100"/>
    </row>
    <row r="13155">
      <c r="R13155" s="100"/>
      <c r="V13155" s="100"/>
      <c r="Y13155" s="100"/>
    </row>
    <row r="13156">
      <c r="R13156" s="100"/>
      <c r="V13156" s="100"/>
      <c r="Y13156" s="100"/>
    </row>
    <row r="13157">
      <c r="R13157" s="100"/>
      <c r="V13157" s="100"/>
      <c r="Y13157" s="100"/>
    </row>
    <row r="13158">
      <c r="R13158" s="100"/>
      <c r="V13158" s="100"/>
      <c r="Y13158" s="100"/>
    </row>
    <row r="13159">
      <c r="R13159" s="100"/>
      <c r="V13159" s="100"/>
      <c r="Y13159" s="100"/>
    </row>
    <row r="13160">
      <c r="R13160" s="100"/>
      <c r="V13160" s="100"/>
      <c r="Y13160" s="100"/>
    </row>
    <row r="13161">
      <c r="R13161" s="100"/>
      <c r="V13161" s="100"/>
      <c r="Y13161" s="100"/>
    </row>
    <row r="13162">
      <c r="R13162" s="100"/>
      <c r="V13162" s="100"/>
      <c r="Y13162" s="100"/>
    </row>
    <row r="13163">
      <c r="R13163" s="100"/>
      <c r="V13163" s="100"/>
      <c r="Y13163" s="100"/>
    </row>
    <row r="13164">
      <c r="R13164" s="100"/>
      <c r="V13164" s="100"/>
      <c r="Y13164" s="100"/>
    </row>
    <row r="13165">
      <c r="R13165" s="100"/>
      <c r="V13165" s="100"/>
      <c r="Y13165" s="100"/>
    </row>
    <row r="13166">
      <c r="R13166" s="100"/>
      <c r="V13166" s="100"/>
      <c r="Y13166" s="100"/>
    </row>
    <row r="13167">
      <c r="R13167" s="100"/>
      <c r="V13167" s="100"/>
      <c r="Y13167" s="100"/>
    </row>
    <row r="13168">
      <c r="R13168" s="100"/>
      <c r="V13168" s="100"/>
      <c r="Y13168" s="100"/>
    </row>
    <row r="13169">
      <c r="R13169" s="100"/>
      <c r="V13169" s="100"/>
      <c r="Y13169" s="100"/>
    </row>
    <row r="13170">
      <c r="R13170" s="100"/>
      <c r="V13170" s="100"/>
      <c r="Y13170" s="100"/>
    </row>
    <row r="13171">
      <c r="R13171" s="100"/>
      <c r="V13171" s="100"/>
      <c r="Y13171" s="100"/>
    </row>
    <row r="13172">
      <c r="R13172" s="100"/>
      <c r="V13172" s="100"/>
      <c r="Y13172" s="100"/>
    </row>
    <row r="13173">
      <c r="R13173" s="100"/>
      <c r="V13173" s="100"/>
      <c r="Y13173" s="100"/>
    </row>
    <row r="13174">
      <c r="R13174" s="100"/>
      <c r="V13174" s="100"/>
      <c r="Y13174" s="100"/>
    </row>
    <row r="13175">
      <c r="R13175" s="100"/>
      <c r="V13175" s="100"/>
      <c r="Y13175" s="100"/>
    </row>
    <row r="13176">
      <c r="R13176" s="100"/>
      <c r="V13176" s="100"/>
      <c r="Y13176" s="100"/>
    </row>
    <row r="13177">
      <c r="R13177" s="100"/>
      <c r="V13177" s="100"/>
      <c r="Y13177" s="100"/>
    </row>
    <row r="13178">
      <c r="R13178" s="100"/>
      <c r="V13178" s="100"/>
      <c r="Y13178" s="100"/>
    </row>
    <row r="13179">
      <c r="R13179" s="100"/>
      <c r="V13179" s="100"/>
      <c r="Y13179" s="100"/>
    </row>
    <row r="13180">
      <c r="R13180" s="100"/>
      <c r="V13180" s="100"/>
      <c r="Y13180" s="100"/>
    </row>
    <row r="13181">
      <c r="R13181" s="100"/>
      <c r="V13181" s="100"/>
      <c r="Y13181" s="100"/>
    </row>
    <row r="13182">
      <c r="R13182" s="100"/>
      <c r="V13182" s="100"/>
      <c r="Y13182" s="100"/>
    </row>
    <row r="13183">
      <c r="R13183" s="100"/>
      <c r="V13183" s="100"/>
      <c r="Y13183" s="100"/>
    </row>
    <row r="13184">
      <c r="R13184" s="100"/>
      <c r="V13184" s="100"/>
      <c r="Y13184" s="100"/>
    </row>
    <row r="13185">
      <c r="R13185" s="100"/>
      <c r="V13185" s="100"/>
      <c r="Y13185" s="100"/>
    </row>
    <row r="13186">
      <c r="R13186" s="100"/>
      <c r="V13186" s="100"/>
      <c r="Y13186" s="100"/>
    </row>
    <row r="13187">
      <c r="R13187" s="100"/>
      <c r="V13187" s="100"/>
      <c r="Y13187" s="100"/>
    </row>
    <row r="13188">
      <c r="R13188" s="100"/>
      <c r="V13188" s="100"/>
      <c r="Y13188" s="100"/>
    </row>
    <row r="13189">
      <c r="R13189" s="100"/>
      <c r="V13189" s="100"/>
      <c r="Y13189" s="100"/>
    </row>
    <row r="13190">
      <c r="R13190" s="100"/>
      <c r="V13190" s="100"/>
      <c r="Y13190" s="100"/>
    </row>
    <row r="13191">
      <c r="R13191" s="100"/>
      <c r="V13191" s="100"/>
      <c r="Y13191" s="100"/>
    </row>
    <row r="13192">
      <c r="R13192" s="100"/>
      <c r="V13192" s="100"/>
      <c r="Y13192" s="100"/>
    </row>
    <row r="13193">
      <c r="R13193" s="100"/>
      <c r="V13193" s="100"/>
      <c r="Y13193" s="100"/>
    </row>
    <row r="13194">
      <c r="R13194" s="100"/>
      <c r="V13194" s="100"/>
      <c r="Y13194" s="100"/>
    </row>
    <row r="13195">
      <c r="R13195" s="100"/>
      <c r="V13195" s="100"/>
      <c r="Y13195" s="100"/>
    </row>
    <row r="13196">
      <c r="R13196" s="100"/>
      <c r="V13196" s="100"/>
      <c r="Y13196" s="100"/>
    </row>
    <row r="13197">
      <c r="R13197" s="100"/>
      <c r="V13197" s="100"/>
      <c r="Y13197" s="100"/>
    </row>
    <row r="13198">
      <c r="R13198" s="100"/>
      <c r="V13198" s="100"/>
      <c r="Y13198" s="100"/>
    </row>
    <row r="13199">
      <c r="R13199" s="100"/>
      <c r="V13199" s="100"/>
      <c r="Y13199" s="100"/>
    </row>
    <row r="13200">
      <c r="R13200" s="100"/>
      <c r="V13200" s="100"/>
      <c r="Y13200" s="100"/>
    </row>
    <row r="13201">
      <c r="R13201" s="100"/>
      <c r="V13201" s="100"/>
      <c r="Y13201" s="100"/>
    </row>
    <row r="13202">
      <c r="R13202" s="100"/>
      <c r="V13202" s="100"/>
      <c r="Y13202" s="100"/>
    </row>
    <row r="13203">
      <c r="R13203" s="100"/>
      <c r="V13203" s="100"/>
      <c r="Y13203" s="100"/>
    </row>
    <row r="13204">
      <c r="R13204" s="100"/>
      <c r="V13204" s="100"/>
      <c r="Y13204" s="100"/>
    </row>
    <row r="13205">
      <c r="R13205" s="100"/>
      <c r="V13205" s="100"/>
      <c r="Y13205" s="100"/>
    </row>
    <row r="13206">
      <c r="R13206" s="100"/>
      <c r="V13206" s="100"/>
      <c r="Y13206" s="100"/>
    </row>
    <row r="13207">
      <c r="R13207" s="100"/>
      <c r="V13207" s="100"/>
      <c r="Y13207" s="100"/>
    </row>
    <row r="13208">
      <c r="R13208" s="100"/>
      <c r="V13208" s="100"/>
      <c r="Y13208" s="100"/>
    </row>
    <row r="13209">
      <c r="R13209" s="100"/>
      <c r="V13209" s="100"/>
      <c r="Y13209" s="100"/>
    </row>
    <row r="13210">
      <c r="R13210" s="100"/>
      <c r="V13210" s="100"/>
      <c r="Y13210" s="100"/>
    </row>
    <row r="13211">
      <c r="R13211" s="100"/>
      <c r="V13211" s="100"/>
      <c r="Y13211" s="100"/>
    </row>
    <row r="13212">
      <c r="R13212" s="100"/>
      <c r="V13212" s="100"/>
      <c r="Y13212" s="100"/>
    </row>
    <row r="13213">
      <c r="R13213" s="100"/>
      <c r="V13213" s="100"/>
      <c r="Y13213" s="100"/>
    </row>
    <row r="13214">
      <c r="R13214" s="100"/>
      <c r="V13214" s="100"/>
      <c r="Y13214" s="100"/>
    </row>
    <row r="13215">
      <c r="R13215" s="100"/>
      <c r="V13215" s="100"/>
      <c r="Y13215" s="100"/>
    </row>
    <row r="13216">
      <c r="R13216" s="100"/>
      <c r="V13216" s="100"/>
      <c r="Y13216" s="100"/>
    </row>
    <row r="13217">
      <c r="R13217" s="100"/>
      <c r="V13217" s="100"/>
      <c r="Y13217" s="100"/>
    </row>
    <row r="13218">
      <c r="R13218" s="100"/>
      <c r="V13218" s="100"/>
      <c r="Y13218" s="100"/>
    </row>
    <row r="13219">
      <c r="R13219" s="100"/>
      <c r="V13219" s="100"/>
      <c r="Y13219" s="100"/>
    </row>
    <row r="13220">
      <c r="R13220" s="100"/>
      <c r="V13220" s="100"/>
      <c r="Y13220" s="100"/>
    </row>
    <row r="13221">
      <c r="R13221" s="100"/>
      <c r="V13221" s="100"/>
      <c r="Y13221" s="100"/>
    </row>
    <row r="13222">
      <c r="R13222" s="100"/>
      <c r="V13222" s="100"/>
      <c r="Y13222" s="100"/>
    </row>
    <row r="13223">
      <c r="R13223" s="100"/>
      <c r="V13223" s="100"/>
      <c r="Y13223" s="100"/>
    </row>
    <row r="13224">
      <c r="R13224" s="100"/>
      <c r="V13224" s="100"/>
      <c r="Y13224" s="100"/>
    </row>
    <row r="13225">
      <c r="R13225" s="100"/>
      <c r="V13225" s="100"/>
      <c r="Y13225" s="100"/>
    </row>
    <row r="13226">
      <c r="R13226" s="100"/>
      <c r="V13226" s="100"/>
      <c r="Y13226" s="100"/>
    </row>
    <row r="13227">
      <c r="R13227" s="100"/>
      <c r="V13227" s="100"/>
      <c r="Y13227" s="100"/>
    </row>
    <row r="13228">
      <c r="R13228" s="100"/>
      <c r="V13228" s="100"/>
      <c r="Y13228" s="100"/>
    </row>
    <row r="13229">
      <c r="R13229" s="100"/>
      <c r="V13229" s="100"/>
      <c r="Y13229" s="100"/>
    </row>
    <row r="13230">
      <c r="R13230" s="100"/>
      <c r="V13230" s="100"/>
      <c r="Y13230" s="100"/>
    </row>
    <row r="13231">
      <c r="R13231" s="100"/>
      <c r="V13231" s="100"/>
      <c r="Y13231" s="100"/>
    </row>
    <row r="13232">
      <c r="R13232" s="100"/>
      <c r="V13232" s="100"/>
      <c r="Y13232" s="100"/>
    </row>
    <row r="13233">
      <c r="R13233" s="100"/>
      <c r="V13233" s="100"/>
      <c r="Y13233" s="100"/>
    </row>
    <row r="13234">
      <c r="R13234" s="100"/>
      <c r="V13234" s="100"/>
      <c r="Y13234" s="100"/>
    </row>
    <row r="13235">
      <c r="R13235" s="100"/>
      <c r="V13235" s="100"/>
      <c r="Y13235" s="100"/>
    </row>
    <row r="13236">
      <c r="R13236" s="100"/>
      <c r="V13236" s="100"/>
      <c r="Y13236" s="100"/>
    </row>
    <row r="13237">
      <c r="R13237" s="100"/>
      <c r="V13237" s="100"/>
      <c r="Y13237" s="100"/>
    </row>
    <row r="13238">
      <c r="R13238" s="100"/>
      <c r="V13238" s="100"/>
      <c r="Y13238" s="100"/>
    </row>
    <row r="13239">
      <c r="R13239" s="100"/>
      <c r="V13239" s="100"/>
      <c r="Y13239" s="100"/>
    </row>
    <row r="13240">
      <c r="R13240" s="100"/>
      <c r="V13240" s="100"/>
      <c r="Y13240" s="100"/>
    </row>
    <row r="13241">
      <c r="R13241" s="100"/>
      <c r="V13241" s="100"/>
      <c r="Y13241" s="100"/>
    </row>
    <row r="13242">
      <c r="R13242" s="100"/>
      <c r="V13242" s="100"/>
      <c r="Y13242" s="100"/>
    </row>
    <row r="13243">
      <c r="R13243" s="100"/>
      <c r="V13243" s="100"/>
      <c r="Y13243" s="100"/>
    </row>
    <row r="13244">
      <c r="R13244" s="100"/>
      <c r="V13244" s="100"/>
      <c r="Y13244" s="100"/>
    </row>
    <row r="13245">
      <c r="R13245" s="100"/>
      <c r="V13245" s="100"/>
      <c r="Y13245" s="100"/>
    </row>
    <row r="13246">
      <c r="R13246" s="100"/>
      <c r="V13246" s="100"/>
      <c r="Y13246" s="100"/>
    </row>
    <row r="13247">
      <c r="R13247" s="100"/>
      <c r="V13247" s="100"/>
      <c r="Y13247" s="100"/>
    </row>
    <row r="13248">
      <c r="R13248" s="100"/>
      <c r="V13248" s="100"/>
      <c r="Y13248" s="100"/>
    </row>
    <row r="13249">
      <c r="R13249" s="100"/>
      <c r="V13249" s="100"/>
      <c r="Y13249" s="100"/>
    </row>
    <row r="13250">
      <c r="R13250" s="100"/>
      <c r="V13250" s="100"/>
      <c r="Y13250" s="100"/>
    </row>
    <row r="13251">
      <c r="R13251" s="100"/>
      <c r="V13251" s="100"/>
      <c r="Y13251" s="100"/>
    </row>
    <row r="13252">
      <c r="R13252" s="100"/>
      <c r="V13252" s="100"/>
      <c r="Y13252" s="100"/>
    </row>
    <row r="13253">
      <c r="R13253" s="100"/>
      <c r="V13253" s="100"/>
      <c r="Y13253" s="100"/>
    </row>
    <row r="13254">
      <c r="R13254" s="100"/>
      <c r="V13254" s="100"/>
      <c r="Y13254" s="100"/>
    </row>
    <row r="13255">
      <c r="R13255" s="100"/>
      <c r="V13255" s="100"/>
      <c r="Y13255" s="100"/>
    </row>
    <row r="13256">
      <c r="R13256" s="100"/>
      <c r="V13256" s="100"/>
      <c r="Y13256" s="100"/>
    </row>
    <row r="13257">
      <c r="R13257" s="100"/>
      <c r="V13257" s="100"/>
      <c r="Y13257" s="100"/>
    </row>
    <row r="13258">
      <c r="R13258" s="100"/>
      <c r="V13258" s="100"/>
      <c r="Y13258" s="100"/>
    </row>
    <row r="13259">
      <c r="R13259" s="100"/>
      <c r="V13259" s="100"/>
      <c r="Y13259" s="100"/>
    </row>
    <row r="13260">
      <c r="R13260" s="100"/>
      <c r="V13260" s="100"/>
      <c r="Y13260" s="100"/>
    </row>
    <row r="13261">
      <c r="R13261" s="100"/>
      <c r="V13261" s="100"/>
      <c r="Y13261" s="100"/>
    </row>
    <row r="13262">
      <c r="R13262" s="100"/>
      <c r="V13262" s="100"/>
      <c r="Y13262" s="100"/>
    </row>
    <row r="13263">
      <c r="R13263" s="100"/>
      <c r="V13263" s="100"/>
      <c r="Y13263" s="100"/>
    </row>
    <row r="13264">
      <c r="R13264" s="100"/>
      <c r="V13264" s="100"/>
      <c r="Y13264" s="100"/>
    </row>
    <row r="13265">
      <c r="R13265" s="100"/>
      <c r="V13265" s="100"/>
      <c r="Y13265" s="100"/>
    </row>
    <row r="13266">
      <c r="R13266" s="100"/>
      <c r="V13266" s="100"/>
      <c r="Y13266" s="100"/>
    </row>
    <row r="13267">
      <c r="R13267" s="100"/>
      <c r="V13267" s="100"/>
      <c r="Y13267" s="100"/>
    </row>
    <row r="13268">
      <c r="R13268" s="100"/>
      <c r="V13268" s="100"/>
      <c r="Y13268" s="100"/>
    </row>
    <row r="13269">
      <c r="R13269" s="100"/>
      <c r="V13269" s="100"/>
      <c r="Y13269" s="100"/>
    </row>
    <row r="13270">
      <c r="R13270" s="100"/>
      <c r="V13270" s="100"/>
      <c r="Y13270" s="100"/>
    </row>
    <row r="13271">
      <c r="R13271" s="100"/>
      <c r="V13271" s="100"/>
      <c r="Y13271" s="100"/>
    </row>
    <row r="13272">
      <c r="R13272" s="100"/>
      <c r="V13272" s="100"/>
      <c r="Y13272" s="100"/>
    </row>
    <row r="13273">
      <c r="R13273" s="100"/>
      <c r="V13273" s="100"/>
      <c r="Y13273" s="100"/>
    </row>
    <row r="13274">
      <c r="R13274" s="100"/>
      <c r="V13274" s="100"/>
      <c r="Y13274" s="100"/>
    </row>
    <row r="13275">
      <c r="R13275" s="100"/>
      <c r="V13275" s="100"/>
      <c r="Y13275" s="100"/>
    </row>
    <row r="13276">
      <c r="R13276" s="100"/>
      <c r="V13276" s="100"/>
      <c r="Y13276" s="100"/>
    </row>
    <row r="13277">
      <c r="R13277" s="100"/>
      <c r="V13277" s="100"/>
      <c r="Y13277" s="100"/>
    </row>
    <row r="13278">
      <c r="R13278" s="100"/>
      <c r="V13278" s="100"/>
      <c r="Y13278" s="100"/>
    </row>
    <row r="13279">
      <c r="R13279" s="100"/>
      <c r="V13279" s="100"/>
      <c r="Y13279" s="100"/>
    </row>
    <row r="13280">
      <c r="R13280" s="100"/>
      <c r="V13280" s="100"/>
      <c r="Y13280" s="100"/>
    </row>
    <row r="13281">
      <c r="R13281" s="100"/>
      <c r="V13281" s="100"/>
      <c r="Y13281" s="100"/>
    </row>
    <row r="13282">
      <c r="R13282" s="100"/>
      <c r="V13282" s="100"/>
      <c r="Y13282" s="100"/>
    </row>
    <row r="13283">
      <c r="R13283" s="100"/>
      <c r="V13283" s="100"/>
      <c r="Y13283" s="100"/>
    </row>
    <row r="13284">
      <c r="R13284" s="100"/>
      <c r="V13284" s="100"/>
      <c r="Y13284" s="100"/>
    </row>
    <row r="13285">
      <c r="R13285" s="100"/>
      <c r="V13285" s="100"/>
      <c r="Y13285" s="100"/>
    </row>
    <row r="13286">
      <c r="R13286" s="100"/>
      <c r="V13286" s="100"/>
      <c r="Y13286" s="100"/>
    </row>
    <row r="13287">
      <c r="R13287" s="100"/>
      <c r="V13287" s="100"/>
      <c r="Y13287" s="100"/>
    </row>
    <row r="13288">
      <c r="R13288" s="100"/>
      <c r="V13288" s="100"/>
      <c r="Y13288" s="100"/>
    </row>
    <row r="13289">
      <c r="R13289" s="100"/>
      <c r="V13289" s="100"/>
      <c r="Y13289" s="100"/>
    </row>
    <row r="13290">
      <c r="R13290" s="100"/>
      <c r="V13290" s="100"/>
      <c r="Y13290" s="100"/>
    </row>
    <row r="13291">
      <c r="R13291" s="100"/>
      <c r="V13291" s="100"/>
      <c r="Y13291" s="100"/>
    </row>
    <row r="13292">
      <c r="R13292" s="100"/>
      <c r="V13292" s="100"/>
      <c r="Y13292" s="100"/>
    </row>
    <row r="13293">
      <c r="R13293" s="100"/>
      <c r="V13293" s="100"/>
      <c r="Y13293" s="100"/>
    </row>
    <row r="13294">
      <c r="R13294" s="100"/>
      <c r="V13294" s="100"/>
      <c r="Y13294" s="100"/>
    </row>
    <row r="13295">
      <c r="R13295" s="100"/>
      <c r="V13295" s="100"/>
      <c r="Y13295" s="100"/>
    </row>
    <row r="13296">
      <c r="R13296" s="100"/>
      <c r="V13296" s="100"/>
      <c r="Y13296" s="100"/>
    </row>
    <row r="13297">
      <c r="R13297" s="100"/>
      <c r="V13297" s="100"/>
      <c r="Y13297" s="100"/>
    </row>
    <row r="13298">
      <c r="R13298" s="100"/>
      <c r="V13298" s="100"/>
      <c r="Y13298" s="100"/>
    </row>
    <row r="13299">
      <c r="R13299" s="100"/>
      <c r="V13299" s="100"/>
      <c r="Y13299" s="100"/>
    </row>
    <row r="13300">
      <c r="R13300" s="100"/>
      <c r="V13300" s="100"/>
      <c r="Y13300" s="100"/>
    </row>
    <row r="13301">
      <c r="R13301" s="100"/>
      <c r="V13301" s="100"/>
      <c r="Y13301" s="100"/>
    </row>
    <row r="13302">
      <c r="R13302" s="100"/>
      <c r="V13302" s="100"/>
      <c r="Y13302" s="100"/>
    </row>
    <row r="13303">
      <c r="R13303" s="100"/>
      <c r="V13303" s="100"/>
      <c r="Y13303" s="100"/>
    </row>
    <row r="13304">
      <c r="R13304" s="100"/>
      <c r="V13304" s="100"/>
      <c r="Y13304" s="100"/>
    </row>
    <row r="13305">
      <c r="R13305" s="100"/>
      <c r="V13305" s="100"/>
      <c r="Y13305" s="100"/>
    </row>
    <row r="13306">
      <c r="R13306" s="100"/>
      <c r="V13306" s="100"/>
      <c r="Y13306" s="100"/>
    </row>
    <row r="13307">
      <c r="R13307" s="100"/>
      <c r="V13307" s="100"/>
      <c r="Y13307" s="100"/>
    </row>
    <row r="13308">
      <c r="R13308" s="100"/>
      <c r="V13308" s="100"/>
      <c r="Y13308" s="100"/>
    </row>
    <row r="13309">
      <c r="R13309" s="100"/>
      <c r="V13309" s="100"/>
      <c r="Y13309" s="100"/>
    </row>
    <row r="13310">
      <c r="R13310" s="100"/>
      <c r="V13310" s="100"/>
      <c r="Y13310" s="100"/>
    </row>
    <row r="13311">
      <c r="R13311" s="100"/>
      <c r="V13311" s="100"/>
      <c r="Y13311" s="100"/>
    </row>
    <row r="13312">
      <c r="R13312" s="100"/>
      <c r="V13312" s="100"/>
      <c r="Y13312" s="100"/>
    </row>
    <row r="13313">
      <c r="R13313" s="100"/>
      <c r="V13313" s="100"/>
      <c r="Y13313" s="100"/>
    </row>
    <row r="13314">
      <c r="R13314" s="100"/>
      <c r="V13314" s="100"/>
      <c r="Y13314" s="100"/>
    </row>
    <row r="13315">
      <c r="R13315" s="100"/>
      <c r="V13315" s="100"/>
      <c r="Y13315" s="100"/>
    </row>
    <row r="13316">
      <c r="R13316" s="100"/>
      <c r="V13316" s="100"/>
      <c r="Y13316" s="100"/>
    </row>
    <row r="13317">
      <c r="R13317" s="100"/>
      <c r="V13317" s="100"/>
      <c r="Y13317" s="100"/>
    </row>
    <row r="13318">
      <c r="R13318" s="100"/>
      <c r="V13318" s="100"/>
      <c r="Y13318" s="100"/>
    </row>
    <row r="13319">
      <c r="R13319" s="100"/>
      <c r="V13319" s="100"/>
      <c r="Y13319" s="100"/>
    </row>
    <row r="13320">
      <c r="R13320" s="100"/>
      <c r="V13320" s="100"/>
      <c r="Y13320" s="100"/>
    </row>
    <row r="13321">
      <c r="R13321" s="100"/>
      <c r="V13321" s="100"/>
      <c r="Y13321" s="100"/>
    </row>
    <row r="13322">
      <c r="R13322" s="100"/>
      <c r="V13322" s="100"/>
      <c r="Y13322" s="100"/>
    </row>
    <row r="13323">
      <c r="R13323" s="100"/>
      <c r="V13323" s="100"/>
      <c r="Y13323" s="100"/>
    </row>
    <row r="13324">
      <c r="R13324" s="100"/>
      <c r="V13324" s="100"/>
      <c r="Y13324" s="100"/>
    </row>
    <row r="13325">
      <c r="R13325" s="100"/>
      <c r="V13325" s="100"/>
      <c r="Y13325" s="100"/>
    </row>
    <row r="13326">
      <c r="R13326" s="100"/>
      <c r="V13326" s="100"/>
      <c r="Y13326" s="100"/>
    </row>
    <row r="13327">
      <c r="R13327" s="100"/>
      <c r="V13327" s="100"/>
      <c r="Y13327" s="100"/>
    </row>
    <row r="13328">
      <c r="R13328" s="100"/>
      <c r="V13328" s="100"/>
      <c r="Y13328" s="100"/>
    </row>
    <row r="13329">
      <c r="R13329" s="100"/>
      <c r="V13329" s="100"/>
      <c r="Y13329" s="100"/>
    </row>
    <row r="13330">
      <c r="R13330" s="100"/>
      <c r="V13330" s="100"/>
      <c r="Y13330" s="100"/>
    </row>
    <row r="13331">
      <c r="R13331" s="100"/>
      <c r="V13331" s="100"/>
      <c r="Y13331" s="100"/>
    </row>
    <row r="13332">
      <c r="R13332" s="100"/>
      <c r="V13332" s="100"/>
      <c r="Y13332" s="100"/>
    </row>
    <row r="13333">
      <c r="R13333" s="100"/>
      <c r="V13333" s="100"/>
      <c r="Y13333" s="100"/>
    </row>
    <row r="13334">
      <c r="R13334" s="100"/>
      <c r="V13334" s="100"/>
      <c r="Y13334" s="100"/>
    </row>
    <row r="13335">
      <c r="R13335" s="100"/>
      <c r="V13335" s="100"/>
      <c r="Y13335" s="100"/>
    </row>
    <row r="13336">
      <c r="R13336" s="100"/>
      <c r="V13336" s="100"/>
      <c r="Y13336" s="100"/>
    </row>
    <row r="13337">
      <c r="R13337" s="100"/>
      <c r="V13337" s="100"/>
      <c r="Y13337" s="100"/>
    </row>
    <row r="13338">
      <c r="R13338" s="100"/>
      <c r="V13338" s="100"/>
      <c r="Y13338" s="100"/>
    </row>
    <row r="13339">
      <c r="R13339" s="100"/>
      <c r="V13339" s="100"/>
      <c r="Y13339" s="100"/>
    </row>
    <row r="13340">
      <c r="R13340" s="100"/>
      <c r="V13340" s="100"/>
      <c r="Y13340" s="100"/>
    </row>
    <row r="13341">
      <c r="R13341" s="100"/>
      <c r="V13341" s="100"/>
      <c r="Y13341" s="100"/>
    </row>
    <row r="13342">
      <c r="R13342" s="100"/>
      <c r="V13342" s="100"/>
      <c r="Y13342" s="100"/>
    </row>
    <row r="13343">
      <c r="R13343" s="100"/>
      <c r="V13343" s="100"/>
      <c r="Y13343" s="100"/>
    </row>
    <row r="13344">
      <c r="R13344" s="100"/>
      <c r="V13344" s="100"/>
      <c r="Y13344" s="100"/>
    </row>
    <row r="13345">
      <c r="R13345" s="100"/>
      <c r="V13345" s="100"/>
      <c r="Y13345" s="100"/>
    </row>
    <row r="13346">
      <c r="R13346" s="100"/>
      <c r="V13346" s="100"/>
      <c r="Y13346" s="100"/>
    </row>
    <row r="13347">
      <c r="R13347" s="100"/>
      <c r="V13347" s="100"/>
      <c r="Y13347" s="100"/>
    </row>
    <row r="13348">
      <c r="R13348" s="100"/>
      <c r="V13348" s="100"/>
      <c r="Y13348" s="100"/>
    </row>
    <row r="13349">
      <c r="R13349" s="100"/>
      <c r="V13349" s="100"/>
      <c r="Y13349" s="100"/>
    </row>
    <row r="13350">
      <c r="R13350" s="100"/>
      <c r="V13350" s="100"/>
      <c r="Y13350" s="100"/>
    </row>
    <row r="13351">
      <c r="R13351" s="100"/>
      <c r="V13351" s="100"/>
      <c r="Y13351" s="100"/>
    </row>
    <row r="13352">
      <c r="R13352" s="100"/>
      <c r="V13352" s="100"/>
      <c r="Y13352" s="100"/>
    </row>
    <row r="13353">
      <c r="R13353" s="100"/>
      <c r="V13353" s="100"/>
      <c r="Y13353" s="100"/>
    </row>
    <row r="13354">
      <c r="R13354" s="100"/>
      <c r="V13354" s="100"/>
      <c r="Y13354" s="100"/>
    </row>
    <row r="13355">
      <c r="R13355" s="100"/>
      <c r="V13355" s="100"/>
      <c r="Y13355" s="100"/>
    </row>
    <row r="13356">
      <c r="R13356" s="100"/>
      <c r="V13356" s="100"/>
      <c r="Y13356" s="100"/>
    </row>
    <row r="13357">
      <c r="R13357" s="100"/>
      <c r="V13357" s="100"/>
      <c r="Y13357" s="100"/>
    </row>
    <row r="13358">
      <c r="R13358" s="100"/>
      <c r="V13358" s="100"/>
      <c r="Y13358" s="100"/>
    </row>
    <row r="13359">
      <c r="R13359" s="100"/>
      <c r="V13359" s="100"/>
      <c r="Y13359" s="100"/>
    </row>
    <row r="13360">
      <c r="R13360" s="100"/>
      <c r="V13360" s="100"/>
      <c r="Y13360" s="100"/>
    </row>
    <row r="13361">
      <c r="R13361" s="100"/>
      <c r="V13361" s="100"/>
      <c r="Y13361" s="100"/>
    </row>
    <row r="13362">
      <c r="R13362" s="100"/>
      <c r="V13362" s="100"/>
      <c r="Y13362" s="100"/>
    </row>
    <row r="13363">
      <c r="R13363" s="100"/>
      <c r="V13363" s="100"/>
      <c r="Y13363" s="100"/>
    </row>
    <row r="13364">
      <c r="R13364" s="100"/>
      <c r="V13364" s="100"/>
      <c r="Y13364" s="100"/>
    </row>
    <row r="13365">
      <c r="R13365" s="100"/>
      <c r="V13365" s="100"/>
      <c r="Y13365" s="100"/>
    </row>
    <row r="13366">
      <c r="R13366" s="100"/>
      <c r="V13366" s="100"/>
      <c r="Y13366" s="100"/>
    </row>
    <row r="13367">
      <c r="R13367" s="100"/>
      <c r="V13367" s="100"/>
      <c r="Y13367" s="100"/>
    </row>
    <row r="13368">
      <c r="R13368" s="100"/>
      <c r="V13368" s="100"/>
      <c r="Y13368" s="100"/>
    </row>
    <row r="13369">
      <c r="R13369" s="100"/>
      <c r="V13369" s="100"/>
      <c r="Y13369" s="100"/>
    </row>
    <row r="13370">
      <c r="R13370" s="100"/>
      <c r="V13370" s="100"/>
      <c r="Y13370" s="100"/>
    </row>
    <row r="13371">
      <c r="R13371" s="100"/>
      <c r="V13371" s="100"/>
      <c r="Y13371" s="100"/>
    </row>
    <row r="13372">
      <c r="R13372" s="100"/>
      <c r="V13372" s="100"/>
      <c r="Y13372" s="100"/>
    </row>
    <row r="13373">
      <c r="R13373" s="100"/>
      <c r="V13373" s="100"/>
      <c r="Y13373" s="100"/>
    </row>
    <row r="13374">
      <c r="R13374" s="100"/>
      <c r="V13374" s="100"/>
      <c r="Y13374" s="100"/>
    </row>
    <row r="13375">
      <c r="R13375" s="100"/>
      <c r="V13375" s="100"/>
      <c r="Y13375" s="100"/>
    </row>
    <row r="13376">
      <c r="R13376" s="100"/>
      <c r="V13376" s="100"/>
      <c r="Y13376" s="100"/>
    </row>
    <row r="13377">
      <c r="R13377" s="100"/>
      <c r="V13377" s="100"/>
      <c r="Y13377" s="100"/>
    </row>
    <row r="13378">
      <c r="R13378" s="100"/>
      <c r="V13378" s="100"/>
      <c r="Y13378" s="100"/>
    </row>
    <row r="13379">
      <c r="R13379" s="100"/>
      <c r="V13379" s="100"/>
      <c r="Y13379" s="100"/>
    </row>
    <row r="13380">
      <c r="R13380" s="100"/>
      <c r="V13380" s="100"/>
      <c r="Y13380" s="100"/>
    </row>
    <row r="13381">
      <c r="R13381" s="100"/>
      <c r="V13381" s="100"/>
      <c r="Y13381" s="100"/>
    </row>
    <row r="13382">
      <c r="R13382" s="100"/>
      <c r="V13382" s="100"/>
      <c r="Y13382" s="100"/>
    </row>
    <row r="13383">
      <c r="R13383" s="100"/>
      <c r="V13383" s="100"/>
      <c r="Y13383" s="100"/>
    </row>
    <row r="13384">
      <c r="R13384" s="100"/>
      <c r="V13384" s="100"/>
      <c r="Y13384" s="100"/>
    </row>
    <row r="13385">
      <c r="R13385" s="100"/>
      <c r="V13385" s="100"/>
      <c r="Y13385" s="100"/>
    </row>
    <row r="13386">
      <c r="R13386" s="100"/>
      <c r="V13386" s="100"/>
      <c r="Y13386" s="100"/>
    </row>
    <row r="13387">
      <c r="R13387" s="100"/>
      <c r="V13387" s="100"/>
      <c r="Y13387" s="100"/>
    </row>
    <row r="13388">
      <c r="R13388" s="100"/>
      <c r="V13388" s="100"/>
      <c r="Y13388" s="100"/>
    </row>
    <row r="13389">
      <c r="R13389" s="100"/>
      <c r="V13389" s="100"/>
      <c r="Y13389" s="100"/>
    </row>
    <row r="13390">
      <c r="R13390" s="100"/>
      <c r="V13390" s="100"/>
      <c r="Y13390" s="100"/>
    </row>
    <row r="13391">
      <c r="R13391" s="100"/>
      <c r="V13391" s="100"/>
      <c r="Y13391" s="100"/>
    </row>
    <row r="13392">
      <c r="R13392" s="100"/>
      <c r="V13392" s="100"/>
      <c r="Y13392" s="100"/>
    </row>
    <row r="13393">
      <c r="R13393" s="100"/>
      <c r="V13393" s="100"/>
      <c r="Y13393" s="100"/>
    </row>
    <row r="13394">
      <c r="R13394" s="100"/>
      <c r="V13394" s="100"/>
      <c r="Y13394" s="100"/>
    </row>
    <row r="13395">
      <c r="R13395" s="100"/>
      <c r="V13395" s="100"/>
      <c r="Y13395" s="100"/>
    </row>
    <row r="13396">
      <c r="R13396" s="100"/>
      <c r="V13396" s="100"/>
      <c r="Y13396" s="100"/>
    </row>
    <row r="13397">
      <c r="R13397" s="100"/>
      <c r="V13397" s="100"/>
      <c r="Y13397" s="100"/>
    </row>
    <row r="13398">
      <c r="R13398" s="100"/>
      <c r="V13398" s="100"/>
      <c r="Y13398" s="100"/>
    </row>
    <row r="13399">
      <c r="R13399" s="100"/>
      <c r="V13399" s="100"/>
      <c r="Y13399" s="100"/>
    </row>
    <row r="13400">
      <c r="R13400" s="100"/>
      <c r="V13400" s="100"/>
      <c r="Y13400" s="100"/>
    </row>
    <row r="13401">
      <c r="R13401" s="100"/>
      <c r="V13401" s="100"/>
      <c r="Y13401" s="100"/>
    </row>
    <row r="13402">
      <c r="R13402" s="100"/>
      <c r="V13402" s="100"/>
      <c r="Y13402" s="100"/>
    </row>
    <row r="13403">
      <c r="R13403" s="100"/>
      <c r="V13403" s="100"/>
      <c r="Y13403" s="100"/>
    </row>
    <row r="13404">
      <c r="R13404" s="100"/>
      <c r="V13404" s="100"/>
      <c r="Y13404" s="100"/>
    </row>
    <row r="13405">
      <c r="R13405" s="100"/>
      <c r="V13405" s="100"/>
      <c r="Y13405" s="100"/>
    </row>
    <row r="13406">
      <c r="R13406" s="100"/>
      <c r="V13406" s="100"/>
      <c r="Y13406" s="100"/>
    </row>
    <row r="13407">
      <c r="R13407" s="100"/>
      <c r="V13407" s="100"/>
      <c r="Y13407" s="100"/>
    </row>
    <row r="13408">
      <c r="R13408" s="100"/>
      <c r="V13408" s="100"/>
      <c r="Y13408" s="100"/>
    </row>
    <row r="13409">
      <c r="R13409" s="100"/>
      <c r="V13409" s="100"/>
      <c r="Y13409" s="100"/>
    </row>
    <row r="13410">
      <c r="R13410" s="100"/>
      <c r="V13410" s="100"/>
      <c r="Y13410" s="100"/>
    </row>
    <row r="13411">
      <c r="R13411" s="100"/>
      <c r="V13411" s="100"/>
      <c r="Y13411" s="100"/>
    </row>
    <row r="13412">
      <c r="R13412" s="100"/>
      <c r="V13412" s="100"/>
      <c r="Y13412" s="100"/>
    </row>
    <row r="13413">
      <c r="R13413" s="100"/>
      <c r="V13413" s="100"/>
      <c r="Y13413" s="100"/>
    </row>
    <row r="13414">
      <c r="R13414" s="100"/>
      <c r="V13414" s="100"/>
      <c r="Y13414" s="100"/>
    </row>
    <row r="13415">
      <c r="R13415" s="100"/>
      <c r="V13415" s="100"/>
      <c r="Y13415" s="100"/>
    </row>
    <row r="13416">
      <c r="R13416" s="100"/>
      <c r="V13416" s="100"/>
      <c r="Y13416" s="100"/>
    </row>
    <row r="13417">
      <c r="R13417" s="100"/>
      <c r="V13417" s="100"/>
      <c r="Y13417" s="100"/>
    </row>
    <row r="13418">
      <c r="R13418" s="100"/>
      <c r="V13418" s="100"/>
      <c r="Y13418" s="100"/>
    </row>
    <row r="13419">
      <c r="R13419" s="100"/>
      <c r="V13419" s="100"/>
      <c r="Y13419" s="100"/>
    </row>
    <row r="13420">
      <c r="R13420" s="100"/>
      <c r="V13420" s="100"/>
      <c r="Y13420" s="100"/>
    </row>
    <row r="13421">
      <c r="R13421" s="100"/>
      <c r="V13421" s="100"/>
      <c r="Y13421" s="100"/>
    </row>
    <row r="13422">
      <c r="R13422" s="100"/>
      <c r="V13422" s="100"/>
      <c r="Y13422" s="100"/>
    </row>
    <row r="13423">
      <c r="R13423" s="100"/>
      <c r="V13423" s="100"/>
      <c r="Y13423" s="100"/>
    </row>
    <row r="13424">
      <c r="R13424" s="100"/>
      <c r="V13424" s="100"/>
      <c r="Y13424" s="100"/>
    </row>
    <row r="13425">
      <c r="R13425" s="100"/>
      <c r="V13425" s="100"/>
      <c r="Y13425" s="100"/>
    </row>
    <row r="13426">
      <c r="R13426" s="100"/>
      <c r="V13426" s="100"/>
      <c r="Y13426" s="100"/>
    </row>
    <row r="13427">
      <c r="R13427" s="100"/>
      <c r="V13427" s="100"/>
      <c r="Y13427" s="100"/>
    </row>
    <row r="13428">
      <c r="R13428" s="100"/>
      <c r="V13428" s="100"/>
      <c r="Y13428" s="100"/>
    </row>
    <row r="13429">
      <c r="R13429" s="100"/>
      <c r="V13429" s="100"/>
      <c r="Y13429" s="100"/>
    </row>
    <row r="13430">
      <c r="R13430" s="100"/>
      <c r="V13430" s="100"/>
      <c r="Y13430" s="100"/>
    </row>
    <row r="13431">
      <c r="R13431" s="100"/>
      <c r="V13431" s="100"/>
      <c r="Y13431" s="100"/>
    </row>
    <row r="13432">
      <c r="R13432" s="100"/>
      <c r="V13432" s="100"/>
      <c r="Y13432" s="100"/>
    </row>
    <row r="13433">
      <c r="R13433" s="100"/>
      <c r="V13433" s="100"/>
      <c r="Y13433" s="100"/>
    </row>
    <row r="13434">
      <c r="R13434" s="100"/>
      <c r="V13434" s="100"/>
      <c r="Y13434" s="100"/>
    </row>
    <row r="13435">
      <c r="R13435" s="100"/>
      <c r="V13435" s="100"/>
      <c r="Y13435" s="100"/>
    </row>
    <row r="13436">
      <c r="R13436" s="100"/>
      <c r="V13436" s="100"/>
      <c r="Y13436" s="100"/>
    </row>
    <row r="13437">
      <c r="R13437" s="100"/>
      <c r="V13437" s="100"/>
      <c r="Y13437" s="100"/>
    </row>
    <row r="13438">
      <c r="R13438" s="100"/>
      <c r="V13438" s="100"/>
      <c r="Y13438" s="100"/>
    </row>
    <row r="13439">
      <c r="R13439" s="100"/>
      <c r="V13439" s="100"/>
      <c r="Y13439" s="100"/>
    </row>
    <row r="13440">
      <c r="R13440" s="100"/>
      <c r="V13440" s="100"/>
      <c r="Y13440" s="100"/>
    </row>
    <row r="13441">
      <c r="R13441" s="100"/>
      <c r="V13441" s="100"/>
      <c r="Y13441" s="100"/>
    </row>
    <row r="13442">
      <c r="R13442" s="100"/>
      <c r="V13442" s="100"/>
      <c r="Y13442" s="100"/>
    </row>
    <row r="13443">
      <c r="R13443" s="100"/>
      <c r="V13443" s="100"/>
      <c r="Y13443" s="100"/>
    </row>
    <row r="13444">
      <c r="R13444" s="100"/>
      <c r="V13444" s="100"/>
      <c r="Y13444" s="100"/>
    </row>
    <row r="13445">
      <c r="R13445" s="100"/>
      <c r="V13445" s="100"/>
      <c r="Y13445" s="100"/>
    </row>
    <row r="13446">
      <c r="R13446" s="100"/>
      <c r="V13446" s="100"/>
      <c r="Y13446" s="100"/>
    </row>
    <row r="13447">
      <c r="R13447" s="100"/>
      <c r="V13447" s="100"/>
      <c r="Y13447" s="100"/>
    </row>
    <row r="13448">
      <c r="R13448" s="100"/>
      <c r="V13448" s="100"/>
      <c r="Y13448" s="100"/>
    </row>
    <row r="13449">
      <c r="R13449" s="100"/>
      <c r="V13449" s="100"/>
      <c r="Y13449" s="100"/>
    </row>
    <row r="13450">
      <c r="R13450" s="100"/>
      <c r="V13450" s="100"/>
      <c r="Y13450" s="100"/>
    </row>
    <row r="13451">
      <c r="R13451" s="100"/>
      <c r="V13451" s="100"/>
      <c r="Y13451" s="100"/>
    </row>
    <row r="13452">
      <c r="R13452" s="100"/>
      <c r="V13452" s="100"/>
      <c r="Y13452" s="100"/>
    </row>
    <row r="13453">
      <c r="R13453" s="100"/>
      <c r="V13453" s="100"/>
      <c r="Y13453" s="100"/>
    </row>
    <row r="13454">
      <c r="R13454" s="100"/>
      <c r="V13454" s="100"/>
      <c r="Y13454" s="100"/>
    </row>
    <row r="13455">
      <c r="R13455" s="100"/>
      <c r="V13455" s="100"/>
      <c r="Y13455" s="100"/>
    </row>
    <row r="13456">
      <c r="R13456" s="100"/>
      <c r="V13456" s="100"/>
      <c r="Y13456" s="100"/>
    </row>
    <row r="13457">
      <c r="R13457" s="100"/>
      <c r="V13457" s="100"/>
      <c r="Y13457" s="100"/>
    </row>
    <row r="13458">
      <c r="R13458" s="100"/>
      <c r="V13458" s="100"/>
      <c r="Y13458" s="100"/>
    </row>
    <row r="13459">
      <c r="R13459" s="100"/>
      <c r="V13459" s="100"/>
      <c r="Y13459" s="100"/>
    </row>
    <row r="13460">
      <c r="R13460" s="100"/>
      <c r="V13460" s="100"/>
      <c r="Y13460" s="100"/>
    </row>
    <row r="13461">
      <c r="R13461" s="100"/>
      <c r="V13461" s="100"/>
      <c r="Y13461" s="100"/>
    </row>
    <row r="13462">
      <c r="R13462" s="100"/>
      <c r="V13462" s="100"/>
      <c r="Y13462" s="100"/>
    </row>
    <row r="13463">
      <c r="R13463" s="100"/>
      <c r="V13463" s="100"/>
      <c r="Y13463" s="100"/>
    </row>
    <row r="13464">
      <c r="R13464" s="100"/>
      <c r="V13464" s="100"/>
      <c r="Y13464" s="100"/>
    </row>
    <row r="13465">
      <c r="R13465" s="100"/>
      <c r="V13465" s="100"/>
      <c r="Y13465" s="100"/>
    </row>
    <row r="13466">
      <c r="R13466" s="100"/>
      <c r="V13466" s="100"/>
      <c r="Y13466" s="100"/>
    </row>
    <row r="13467">
      <c r="R13467" s="100"/>
      <c r="V13467" s="100"/>
      <c r="Y13467" s="100"/>
    </row>
    <row r="13468">
      <c r="R13468" s="100"/>
      <c r="V13468" s="100"/>
      <c r="Y13468" s="100"/>
    </row>
    <row r="13469">
      <c r="R13469" s="100"/>
      <c r="V13469" s="100"/>
      <c r="Y13469" s="100"/>
    </row>
    <row r="13470">
      <c r="R13470" s="100"/>
      <c r="V13470" s="100"/>
      <c r="Y13470" s="100"/>
    </row>
    <row r="13471">
      <c r="R13471" s="100"/>
      <c r="V13471" s="100"/>
      <c r="Y13471" s="100"/>
    </row>
    <row r="13472">
      <c r="R13472" s="100"/>
      <c r="V13472" s="100"/>
      <c r="Y13472" s="100"/>
    </row>
    <row r="13473">
      <c r="R13473" s="100"/>
      <c r="V13473" s="100"/>
      <c r="Y13473" s="100"/>
    </row>
    <row r="13474">
      <c r="R13474" s="100"/>
      <c r="V13474" s="100"/>
      <c r="Y13474" s="100"/>
    </row>
    <row r="13475">
      <c r="R13475" s="100"/>
      <c r="V13475" s="100"/>
      <c r="Y13475" s="100"/>
    </row>
    <row r="13476">
      <c r="R13476" s="100"/>
      <c r="V13476" s="100"/>
      <c r="Y13476" s="100"/>
    </row>
    <row r="13477">
      <c r="R13477" s="100"/>
      <c r="V13477" s="100"/>
      <c r="Y13477" s="100"/>
    </row>
    <row r="13478">
      <c r="R13478" s="100"/>
      <c r="V13478" s="100"/>
      <c r="Y13478" s="100"/>
    </row>
    <row r="13479">
      <c r="R13479" s="100"/>
      <c r="V13479" s="100"/>
      <c r="Y13479" s="100"/>
    </row>
    <row r="13480">
      <c r="R13480" s="100"/>
      <c r="V13480" s="100"/>
      <c r="Y13480" s="100"/>
    </row>
    <row r="13481">
      <c r="R13481" s="100"/>
      <c r="V13481" s="100"/>
      <c r="Y13481" s="100"/>
    </row>
    <row r="13482">
      <c r="R13482" s="100"/>
      <c r="V13482" s="100"/>
      <c r="Y13482" s="100"/>
    </row>
    <row r="13483">
      <c r="R13483" s="100"/>
      <c r="V13483" s="100"/>
      <c r="Y13483" s="100"/>
    </row>
    <row r="13484">
      <c r="R13484" s="100"/>
      <c r="V13484" s="100"/>
      <c r="Y13484" s="100"/>
    </row>
    <row r="13485">
      <c r="R13485" s="100"/>
      <c r="V13485" s="100"/>
      <c r="Y13485" s="100"/>
    </row>
    <row r="13486">
      <c r="R13486" s="100"/>
      <c r="V13486" s="100"/>
      <c r="Y13486" s="100"/>
    </row>
    <row r="13487">
      <c r="R13487" s="100"/>
      <c r="V13487" s="100"/>
      <c r="Y13487" s="100"/>
    </row>
    <row r="13488">
      <c r="R13488" s="100"/>
      <c r="V13488" s="100"/>
      <c r="Y13488" s="100"/>
    </row>
    <row r="13489">
      <c r="R13489" s="100"/>
      <c r="V13489" s="100"/>
      <c r="Y13489" s="100"/>
    </row>
    <row r="13490">
      <c r="R13490" s="100"/>
      <c r="V13490" s="100"/>
      <c r="Y13490" s="100"/>
    </row>
    <row r="13491">
      <c r="R13491" s="100"/>
      <c r="V13491" s="100"/>
      <c r="Y13491" s="100"/>
    </row>
    <row r="13492">
      <c r="R13492" s="100"/>
      <c r="V13492" s="100"/>
      <c r="Y13492" s="100"/>
    </row>
    <row r="13493">
      <c r="R13493" s="100"/>
      <c r="V13493" s="100"/>
      <c r="Y13493" s="100"/>
    </row>
    <row r="13494">
      <c r="R13494" s="100"/>
      <c r="V13494" s="100"/>
      <c r="Y13494" s="100"/>
    </row>
    <row r="13495">
      <c r="R13495" s="100"/>
      <c r="V13495" s="100"/>
      <c r="Y13495" s="100"/>
    </row>
    <row r="13496">
      <c r="R13496" s="100"/>
      <c r="V13496" s="100"/>
      <c r="Y13496" s="100"/>
    </row>
    <row r="13497">
      <c r="R13497" s="100"/>
      <c r="V13497" s="100"/>
      <c r="Y13497" s="100"/>
    </row>
    <row r="13498">
      <c r="R13498" s="100"/>
      <c r="V13498" s="100"/>
      <c r="Y13498" s="100"/>
    </row>
    <row r="13499">
      <c r="R13499" s="100"/>
      <c r="V13499" s="100"/>
      <c r="Y13499" s="100"/>
    </row>
    <row r="13500">
      <c r="R13500" s="100"/>
      <c r="V13500" s="100"/>
      <c r="Y13500" s="100"/>
    </row>
    <row r="13501">
      <c r="R13501" s="100"/>
      <c r="V13501" s="100"/>
      <c r="Y13501" s="100"/>
    </row>
    <row r="13502">
      <c r="R13502" s="100"/>
      <c r="V13502" s="100"/>
      <c r="Y13502" s="100"/>
    </row>
    <row r="13503">
      <c r="R13503" s="100"/>
      <c r="V13503" s="100"/>
      <c r="Y13503" s="100"/>
    </row>
    <row r="13504">
      <c r="R13504" s="100"/>
      <c r="V13504" s="100"/>
      <c r="Y13504" s="100"/>
    </row>
    <row r="13505">
      <c r="R13505" s="100"/>
      <c r="V13505" s="100"/>
      <c r="Y13505" s="100"/>
    </row>
    <row r="13506">
      <c r="R13506" s="100"/>
      <c r="V13506" s="100"/>
      <c r="Y13506" s="100"/>
    </row>
    <row r="13507">
      <c r="R13507" s="100"/>
      <c r="V13507" s="100"/>
      <c r="Y13507" s="100"/>
    </row>
    <row r="13508">
      <c r="R13508" s="100"/>
      <c r="V13508" s="100"/>
      <c r="Y13508" s="100"/>
    </row>
    <row r="13509">
      <c r="R13509" s="100"/>
      <c r="V13509" s="100"/>
      <c r="Y13509" s="100"/>
    </row>
    <row r="13510">
      <c r="R13510" s="100"/>
      <c r="V13510" s="100"/>
      <c r="Y13510" s="100"/>
    </row>
    <row r="13511">
      <c r="R13511" s="100"/>
      <c r="V13511" s="100"/>
      <c r="Y13511" s="100"/>
    </row>
    <row r="13512">
      <c r="R13512" s="100"/>
      <c r="V13512" s="100"/>
      <c r="Y13512" s="100"/>
    </row>
    <row r="13513">
      <c r="R13513" s="100"/>
      <c r="V13513" s="100"/>
      <c r="Y13513" s="100"/>
    </row>
    <row r="13514">
      <c r="R13514" s="100"/>
      <c r="V13514" s="100"/>
      <c r="Y13514" s="100"/>
    </row>
    <row r="13515">
      <c r="R13515" s="100"/>
      <c r="V13515" s="100"/>
      <c r="Y13515" s="100"/>
    </row>
    <row r="13516">
      <c r="R13516" s="100"/>
      <c r="V13516" s="100"/>
      <c r="Y13516" s="100"/>
    </row>
    <row r="13517">
      <c r="R13517" s="100"/>
      <c r="V13517" s="100"/>
      <c r="Y13517" s="100"/>
    </row>
    <row r="13518">
      <c r="R13518" s="100"/>
      <c r="V13518" s="100"/>
      <c r="Y13518" s="100"/>
    </row>
    <row r="13519">
      <c r="R13519" s="100"/>
      <c r="V13519" s="100"/>
      <c r="Y13519" s="100"/>
    </row>
    <row r="13520">
      <c r="R13520" s="100"/>
      <c r="V13520" s="100"/>
      <c r="Y13520" s="100"/>
    </row>
    <row r="13521">
      <c r="R13521" s="100"/>
      <c r="V13521" s="100"/>
      <c r="Y13521" s="100"/>
    </row>
    <row r="13522">
      <c r="R13522" s="100"/>
      <c r="V13522" s="100"/>
      <c r="Y13522" s="100"/>
    </row>
    <row r="13523">
      <c r="R13523" s="100"/>
      <c r="V13523" s="100"/>
      <c r="Y13523" s="100"/>
    </row>
    <row r="13524">
      <c r="R13524" s="100"/>
      <c r="V13524" s="100"/>
      <c r="Y13524" s="100"/>
    </row>
    <row r="13525">
      <c r="R13525" s="100"/>
      <c r="V13525" s="100"/>
      <c r="Y13525" s="100"/>
    </row>
    <row r="13526">
      <c r="R13526" s="100"/>
      <c r="V13526" s="100"/>
      <c r="Y13526" s="100"/>
    </row>
    <row r="13527">
      <c r="R13527" s="100"/>
      <c r="V13527" s="100"/>
      <c r="Y13527" s="100"/>
    </row>
    <row r="13528">
      <c r="R13528" s="100"/>
      <c r="V13528" s="100"/>
      <c r="Y13528" s="100"/>
    </row>
    <row r="13529">
      <c r="R13529" s="100"/>
      <c r="V13529" s="100"/>
      <c r="Y13529" s="100"/>
    </row>
    <row r="13530">
      <c r="R13530" s="100"/>
      <c r="V13530" s="100"/>
      <c r="Y13530" s="100"/>
    </row>
    <row r="13531">
      <c r="R13531" s="100"/>
      <c r="V13531" s="100"/>
      <c r="Y13531" s="100"/>
    </row>
    <row r="13532">
      <c r="R13532" s="100"/>
      <c r="V13532" s="100"/>
      <c r="Y13532" s="100"/>
    </row>
    <row r="13533">
      <c r="R13533" s="100"/>
      <c r="V13533" s="100"/>
      <c r="Y13533" s="100"/>
    </row>
    <row r="13534">
      <c r="R13534" s="100"/>
      <c r="V13534" s="100"/>
      <c r="Y13534" s="100"/>
    </row>
    <row r="13535">
      <c r="R13535" s="100"/>
      <c r="V13535" s="100"/>
      <c r="Y13535" s="100"/>
    </row>
    <row r="13536">
      <c r="R13536" s="100"/>
      <c r="V13536" s="100"/>
      <c r="Y13536" s="100"/>
    </row>
    <row r="13537">
      <c r="R13537" s="100"/>
      <c r="V13537" s="100"/>
      <c r="Y13537" s="100"/>
    </row>
    <row r="13538">
      <c r="R13538" s="100"/>
      <c r="V13538" s="100"/>
      <c r="Y13538" s="100"/>
    </row>
    <row r="13539">
      <c r="R13539" s="100"/>
      <c r="V13539" s="100"/>
      <c r="Y13539" s="100"/>
    </row>
    <row r="13540">
      <c r="R13540" s="100"/>
      <c r="V13540" s="100"/>
      <c r="Y13540" s="100"/>
    </row>
    <row r="13541">
      <c r="R13541" s="100"/>
      <c r="V13541" s="100"/>
      <c r="Y13541" s="100"/>
    </row>
    <row r="13542">
      <c r="R13542" s="100"/>
      <c r="V13542" s="100"/>
      <c r="Y13542" s="100"/>
    </row>
    <row r="13543">
      <c r="R13543" s="100"/>
      <c r="V13543" s="100"/>
      <c r="Y13543" s="100"/>
    </row>
    <row r="13544">
      <c r="R13544" s="100"/>
      <c r="V13544" s="100"/>
      <c r="Y13544" s="100"/>
    </row>
    <row r="13545">
      <c r="R13545" s="100"/>
      <c r="V13545" s="100"/>
      <c r="Y13545" s="100"/>
    </row>
    <row r="13546">
      <c r="R13546" s="100"/>
      <c r="V13546" s="100"/>
      <c r="Y13546" s="100"/>
    </row>
    <row r="13547">
      <c r="R13547" s="100"/>
      <c r="V13547" s="100"/>
      <c r="Y13547" s="100"/>
    </row>
    <row r="13548">
      <c r="R13548" s="100"/>
      <c r="V13548" s="100"/>
      <c r="Y13548" s="100"/>
    </row>
    <row r="13549">
      <c r="R13549" s="100"/>
      <c r="V13549" s="100"/>
      <c r="Y13549" s="100"/>
    </row>
    <row r="13550">
      <c r="R13550" s="100"/>
      <c r="V13550" s="100"/>
      <c r="Y13550" s="100"/>
    </row>
    <row r="13551">
      <c r="R13551" s="100"/>
      <c r="V13551" s="100"/>
      <c r="Y13551" s="100"/>
    </row>
    <row r="13552">
      <c r="R13552" s="100"/>
      <c r="V13552" s="100"/>
      <c r="Y13552" s="100"/>
    </row>
    <row r="13553">
      <c r="R13553" s="100"/>
      <c r="V13553" s="100"/>
      <c r="Y13553" s="100"/>
    </row>
    <row r="13554">
      <c r="R13554" s="100"/>
      <c r="V13554" s="100"/>
      <c r="Y13554" s="100"/>
    </row>
    <row r="13555">
      <c r="R13555" s="100"/>
      <c r="V13555" s="100"/>
      <c r="Y13555" s="100"/>
    </row>
    <row r="13556">
      <c r="R13556" s="100"/>
      <c r="V13556" s="100"/>
      <c r="Y13556" s="100"/>
    </row>
    <row r="13557">
      <c r="R13557" s="100"/>
      <c r="V13557" s="100"/>
      <c r="Y13557" s="100"/>
    </row>
    <row r="13558">
      <c r="R13558" s="100"/>
      <c r="V13558" s="100"/>
      <c r="Y13558" s="100"/>
    </row>
    <row r="13559">
      <c r="R13559" s="100"/>
      <c r="V13559" s="100"/>
      <c r="Y13559" s="100"/>
    </row>
    <row r="13560">
      <c r="R13560" s="100"/>
      <c r="V13560" s="100"/>
      <c r="Y13560" s="100"/>
    </row>
    <row r="13561">
      <c r="R13561" s="100"/>
      <c r="V13561" s="100"/>
      <c r="Y13561" s="100"/>
    </row>
    <row r="13562">
      <c r="R13562" s="100"/>
      <c r="V13562" s="100"/>
      <c r="Y13562" s="100"/>
    </row>
    <row r="13563">
      <c r="R13563" s="100"/>
      <c r="V13563" s="100"/>
      <c r="Y13563" s="100"/>
    </row>
    <row r="13564">
      <c r="R13564" s="100"/>
      <c r="V13564" s="100"/>
      <c r="Y13564" s="100"/>
    </row>
    <row r="13565">
      <c r="R13565" s="100"/>
      <c r="V13565" s="100"/>
      <c r="Y13565" s="100"/>
    </row>
    <row r="13566">
      <c r="R13566" s="100"/>
      <c r="V13566" s="100"/>
      <c r="Y13566" s="100"/>
    </row>
    <row r="13567">
      <c r="R13567" s="100"/>
      <c r="V13567" s="100"/>
      <c r="Y13567" s="100"/>
    </row>
    <row r="13568">
      <c r="R13568" s="100"/>
      <c r="V13568" s="100"/>
      <c r="Y13568" s="100"/>
    </row>
    <row r="13569">
      <c r="R13569" s="100"/>
      <c r="V13569" s="100"/>
      <c r="Y13569" s="100"/>
    </row>
    <row r="13570">
      <c r="R13570" s="100"/>
      <c r="V13570" s="100"/>
      <c r="Y13570" s="100"/>
    </row>
    <row r="13571">
      <c r="R13571" s="100"/>
      <c r="V13571" s="100"/>
      <c r="Y13571" s="100"/>
    </row>
    <row r="13572">
      <c r="R13572" s="100"/>
      <c r="V13572" s="100"/>
      <c r="Y13572" s="100"/>
    </row>
    <row r="13573">
      <c r="R13573" s="100"/>
      <c r="V13573" s="100"/>
      <c r="Y13573" s="100"/>
    </row>
    <row r="13574">
      <c r="R13574" s="100"/>
      <c r="V13574" s="100"/>
      <c r="Y13574" s="100"/>
    </row>
    <row r="13575">
      <c r="R13575" s="100"/>
      <c r="V13575" s="100"/>
      <c r="Y13575" s="100"/>
    </row>
    <row r="13576">
      <c r="R13576" s="100"/>
      <c r="V13576" s="100"/>
      <c r="Y13576" s="100"/>
    </row>
    <row r="13577">
      <c r="R13577" s="100"/>
      <c r="V13577" s="100"/>
      <c r="Y13577" s="100"/>
    </row>
    <row r="13578">
      <c r="R13578" s="100"/>
      <c r="V13578" s="100"/>
      <c r="Y13578" s="100"/>
    </row>
    <row r="13579">
      <c r="R13579" s="100"/>
      <c r="V13579" s="100"/>
      <c r="Y13579" s="100"/>
    </row>
    <row r="13580">
      <c r="R13580" s="100"/>
      <c r="V13580" s="100"/>
      <c r="Y13580" s="100"/>
    </row>
    <row r="13581">
      <c r="R13581" s="100"/>
      <c r="V13581" s="100"/>
      <c r="Y13581" s="100"/>
    </row>
    <row r="13582">
      <c r="R13582" s="100"/>
      <c r="V13582" s="100"/>
      <c r="Y13582" s="100"/>
    </row>
    <row r="13583">
      <c r="R13583" s="100"/>
      <c r="V13583" s="100"/>
      <c r="Y13583" s="100"/>
    </row>
    <row r="13584">
      <c r="R13584" s="100"/>
      <c r="V13584" s="100"/>
      <c r="Y13584" s="100"/>
    </row>
    <row r="13585">
      <c r="R13585" s="100"/>
      <c r="V13585" s="100"/>
      <c r="Y13585" s="100"/>
    </row>
    <row r="13586">
      <c r="R13586" s="100"/>
      <c r="V13586" s="100"/>
      <c r="Y13586" s="100"/>
    </row>
    <row r="13587">
      <c r="R13587" s="100"/>
      <c r="V13587" s="100"/>
      <c r="Y13587" s="100"/>
    </row>
    <row r="13588">
      <c r="R13588" s="100"/>
      <c r="V13588" s="100"/>
      <c r="Y13588" s="100"/>
    </row>
    <row r="13589">
      <c r="R13589" s="100"/>
      <c r="V13589" s="100"/>
      <c r="Y13589" s="100"/>
    </row>
    <row r="13590">
      <c r="R13590" s="100"/>
      <c r="V13590" s="100"/>
      <c r="Y13590" s="100"/>
    </row>
    <row r="13591">
      <c r="R13591" s="100"/>
      <c r="V13591" s="100"/>
      <c r="Y13591" s="100"/>
    </row>
    <row r="13592">
      <c r="R13592" s="100"/>
      <c r="V13592" s="100"/>
      <c r="Y13592" s="100"/>
    </row>
    <row r="13593">
      <c r="R13593" s="100"/>
      <c r="V13593" s="100"/>
      <c r="Y13593" s="100"/>
    </row>
    <row r="13594">
      <c r="R13594" s="100"/>
      <c r="V13594" s="100"/>
      <c r="Y13594" s="100"/>
    </row>
    <row r="13595">
      <c r="R13595" s="100"/>
      <c r="V13595" s="100"/>
      <c r="Y13595" s="100"/>
    </row>
    <row r="13596">
      <c r="R13596" s="100"/>
      <c r="V13596" s="100"/>
      <c r="Y13596" s="100"/>
    </row>
    <row r="13597">
      <c r="R13597" s="100"/>
      <c r="V13597" s="100"/>
      <c r="Y13597" s="100"/>
    </row>
    <row r="13598">
      <c r="R13598" s="100"/>
      <c r="V13598" s="100"/>
      <c r="Y13598" s="100"/>
    </row>
    <row r="13599">
      <c r="R13599" s="100"/>
      <c r="V13599" s="100"/>
      <c r="Y13599" s="100"/>
    </row>
    <row r="13600">
      <c r="R13600" s="100"/>
      <c r="V13600" s="100"/>
      <c r="Y13600" s="100"/>
    </row>
    <row r="13601">
      <c r="R13601" s="100"/>
      <c r="V13601" s="100"/>
      <c r="Y13601" s="100"/>
    </row>
    <row r="13602">
      <c r="R13602" s="100"/>
      <c r="V13602" s="100"/>
      <c r="Y13602" s="100"/>
    </row>
    <row r="13603">
      <c r="R13603" s="100"/>
      <c r="V13603" s="100"/>
      <c r="Y13603" s="100"/>
    </row>
    <row r="13604">
      <c r="R13604" s="100"/>
      <c r="V13604" s="100"/>
      <c r="Y13604" s="100"/>
    </row>
    <row r="13605">
      <c r="R13605" s="100"/>
      <c r="V13605" s="100"/>
      <c r="Y13605" s="100"/>
    </row>
    <row r="13606">
      <c r="R13606" s="100"/>
      <c r="V13606" s="100"/>
      <c r="Y13606" s="100"/>
    </row>
    <row r="13607">
      <c r="R13607" s="100"/>
      <c r="V13607" s="100"/>
      <c r="Y13607" s="100"/>
    </row>
    <row r="13608">
      <c r="R13608" s="100"/>
      <c r="V13608" s="100"/>
      <c r="Y13608" s="100"/>
    </row>
    <row r="13609">
      <c r="R13609" s="100"/>
      <c r="V13609" s="100"/>
      <c r="Y13609" s="100"/>
    </row>
    <row r="13610">
      <c r="R13610" s="100"/>
      <c r="V13610" s="100"/>
      <c r="Y13610" s="100"/>
    </row>
    <row r="13611">
      <c r="R13611" s="100"/>
      <c r="V13611" s="100"/>
      <c r="Y13611" s="100"/>
    </row>
    <row r="13612">
      <c r="R13612" s="100"/>
      <c r="V13612" s="100"/>
      <c r="Y13612" s="100"/>
    </row>
    <row r="13613">
      <c r="R13613" s="100"/>
      <c r="V13613" s="100"/>
      <c r="Y13613" s="100"/>
    </row>
    <row r="13614">
      <c r="R13614" s="100"/>
      <c r="V13614" s="100"/>
      <c r="Y13614" s="100"/>
    </row>
    <row r="13615">
      <c r="R13615" s="100"/>
      <c r="V13615" s="100"/>
      <c r="Y13615" s="100"/>
    </row>
    <row r="13616">
      <c r="R13616" s="100"/>
      <c r="V13616" s="100"/>
      <c r="Y13616" s="100"/>
    </row>
    <row r="13617">
      <c r="R13617" s="100"/>
      <c r="V13617" s="100"/>
      <c r="Y13617" s="100"/>
    </row>
    <row r="13618">
      <c r="R13618" s="100"/>
      <c r="V13618" s="100"/>
      <c r="Y13618" s="100"/>
    </row>
    <row r="13619">
      <c r="R13619" s="100"/>
      <c r="V13619" s="100"/>
      <c r="Y13619" s="100"/>
    </row>
    <row r="13620">
      <c r="R13620" s="100"/>
      <c r="V13620" s="100"/>
      <c r="Y13620" s="100"/>
    </row>
    <row r="13621">
      <c r="R13621" s="100"/>
      <c r="V13621" s="100"/>
      <c r="Y13621" s="100"/>
    </row>
    <row r="13622">
      <c r="R13622" s="100"/>
      <c r="V13622" s="100"/>
      <c r="Y13622" s="100"/>
    </row>
    <row r="13623">
      <c r="R13623" s="100"/>
      <c r="V13623" s="100"/>
      <c r="Y13623" s="100"/>
    </row>
    <row r="13624">
      <c r="R13624" s="100"/>
      <c r="V13624" s="100"/>
      <c r="Y13624" s="100"/>
    </row>
    <row r="13625">
      <c r="R13625" s="100"/>
      <c r="V13625" s="100"/>
      <c r="Y13625" s="100"/>
    </row>
    <row r="13626">
      <c r="R13626" s="100"/>
      <c r="V13626" s="100"/>
      <c r="Y13626" s="100"/>
    </row>
    <row r="13627">
      <c r="R13627" s="100"/>
      <c r="V13627" s="100"/>
      <c r="Y13627" s="100"/>
    </row>
    <row r="13628">
      <c r="R13628" s="100"/>
      <c r="V13628" s="100"/>
      <c r="Y13628" s="100"/>
    </row>
    <row r="13629">
      <c r="R13629" s="100"/>
      <c r="V13629" s="100"/>
      <c r="Y13629" s="100"/>
    </row>
    <row r="13630">
      <c r="R13630" s="100"/>
      <c r="V13630" s="100"/>
      <c r="Y13630" s="100"/>
    </row>
    <row r="13631">
      <c r="R13631" s="100"/>
      <c r="V13631" s="100"/>
      <c r="Y13631" s="100"/>
    </row>
    <row r="13632">
      <c r="R13632" s="100"/>
      <c r="V13632" s="100"/>
      <c r="Y13632" s="100"/>
    </row>
    <row r="13633">
      <c r="R13633" s="100"/>
      <c r="V13633" s="100"/>
      <c r="Y13633" s="100"/>
    </row>
    <row r="13634">
      <c r="R13634" s="100"/>
      <c r="V13634" s="100"/>
      <c r="Y13634" s="100"/>
    </row>
    <row r="13635">
      <c r="R13635" s="100"/>
      <c r="V13635" s="100"/>
      <c r="Y13635" s="100"/>
    </row>
    <row r="13636">
      <c r="R13636" s="100"/>
      <c r="V13636" s="100"/>
      <c r="Y13636" s="100"/>
    </row>
    <row r="13637">
      <c r="R13637" s="100"/>
      <c r="V13637" s="100"/>
      <c r="Y13637" s="100"/>
    </row>
    <row r="13638">
      <c r="R13638" s="100"/>
      <c r="V13638" s="100"/>
      <c r="Y13638" s="100"/>
    </row>
    <row r="13639">
      <c r="R13639" s="100"/>
      <c r="V13639" s="100"/>
      <c r="Y13639" s="100"/>
    </row>
    <row r="13640">
      <c r="R13640" s="100"/>
      <c r="V13640" s="100"/>
      <c r="Y13640" s="100"/>
    </row>
    <row r="13641">
      <c r="R13641" s="100"/>
      <c r="V13641" s="100"/>
      <c r="Y13641" s="100"/>
    </row>
    <row r="13642">
      <c r="R13642" s="100"/>
      <c r="V13642" s="100"/>
      <c r="Y13642" s="100"/>
    </row>
    <row r="13643">
      <c r="R13643" s="100"/>
      <c r="V13643" s="100"/>
      <c r="Y13643" s="100"/>
    </row>
    <row r="13644">
      <c r="R13644" s="100"/>
      <c r="V13644" s="100"/>
      <c r="Y13644" s="100"/>
    </row>
    <row r="13645">
      <c r="R13645" s="100"/>
      <c r="V13645" s="100"/>
      <c r="Y13645" s="100"/>
    </row>
    <row r="13646">
      <c r="R13646" s="100"/>
      <c r="V13646" s="100"/>
      <c r="Y13646" s="100"/>
    </row>
    <row r="13647">
      <c r="R13647" s="100"/>
      <c r="V13647" s="100"/>
      <c r="Y13647" s="100"/>
    </row>
    <row r="13648">
      <c r="R13648" s="100"/>
      <c r="V13648" s="100"/>
      <c r="Y13648" s="100"/>
    </row>
    <row r="13649">
      <c r="R13649" s="100"/>
      <c r="V13649" s="100"/>
      <c r="Y13649" s="100"/>
    </row>
    <row r="13650">
      <c r="R13650" s="100"/>
      <c r="V13650" s="100"/>
      <c r="Y13650" s="100"/>
    </row>
    <row r="13651">
      <c r="R13651" s="100"/>
      <c r="V13651" s="100"/>
      <c r="Y13651" s="100"/>
    </row>
    <row r="13652">
      <c r="R13652" s="100"/>
      <c r="V13652" s="100"/>
      <c r="Y13652" s="100"/>
    </row>
    <row r="13653">
      <c r="R13653" s="100"/>
      <c r="V13653" s="100"/>
      <c r="Y13653" s="100"/>
    </row>
    <row r="13654">
      <c r="R13654" s="100"/>
      <c r="V13654" s="100"/>
      <c r="Y13654" s="100"/>
    </row>
    <row r="13655">
      <c r="R13655" s="100"/>
      <c r="V13655" s="100"/>
      <c r="Y13655" s="100"/>
    </row>
    <row r="13656">
      <c r="R13656" s="100"/>
      <c r="V13656" s="100"/>
      <c r="Y13656" s="100"/>
    </row>
    <row r="13657">
      <c r="R13657" s="100"/>
      <c r="V13657" s="100"/>
      <c r="Y13657" s="100"/>
    </row>
    <row r="13658">
      <c r="R13658" s="100"/>
      <c r="V13658" s="100"/>
      <c r="Y13658" s="100"/>
    </row>
    <row r="13659">
      <c r="R13659" s="100"/>
      <c r="V13659" s="100"/>
      <c r="Y13659" s="100"/>
    </row>
    <row r="13660">
      <c r="R13660" s="100"/>
      <c r="V13660" s="100"/>
      <c r="Y13660" s="100"/>
    </row>
    <row r="13661">
      <c r="R13661" s="100"/>
      <c r="V13661" s="100"/>
      <c r="Y13661" s="100"/>
    </row>
    <row r="13662">
      <c r="R13662" s="100"/>
      <c r="V13662" s="100"/>
      <c r="Y13662" s="100"/>
    </row>
    <row r="13663">
      <c r="R13663" s="100"/>
      <c r="V13663" s="100"/>
      <c r="Y13663" s="100"/>
    </row>
    <row r="13664">
      <c r="R13664" s="100"/>
      <c r="V13664" s="100"/>
      <c r="Y13664" s="100"/>
    </row>
    <row r="13665">
      <c r="R13665" s="100"/>
      <c r="V13665" s="100"/>
      <c r="Y13665" s="100"/>
    </row>
    <row r="13666">
      <c r="R13666" s="100"/>
      <c r="V13666" s="100"/>
      <c r="Y13666" s="100"/>
    </row>
    <row r="13667">
      <c r="R13667" s="100"/>
      <c r="V13667" s="100"/>
      <c r="Y13667" s="100"/>
    </row>
    <row r="13668">
      <c r="R13668" s="100"/>
      <c r="V13668" s="100"/>
      <c r="Y13668" s="100"/>
    </row>
    <row r="13669">
      <c r="R13669" s="100"/>
      <c r="V13669" s="100"/>
      <c r="Y13669" s="100"/>
    </row>
    <row r="13670">
      <c r="R13670" s="100"/>
      <c r="V13670" s="100"/>
      <c r="Y13670" s="100"/>
    </row>
    <row r="13671">
      <c r="R13671" s="100"/>
      <c r="V13671" s="100"/>
      <c r="Y13671" s="100"/>
    </row>
    <row r="13672">
      <c r="R13672" s="100"/>
      <c r="V13672" s="100"/>
      <c r="Y13672" s="100"/>
    </row>
    <row r="13673">
      <c r="R13673" s="100"/>
      <c r="V13673" s="100"/>
      <c r="Y13673" s="100"/>
    </row>
    <row r="13674">
      <c r="R13674" s="100"/>
      <c r="V13674" s="100"/>
      <c r="Y13674" s="100"/>
    </row>
    <row r="13675">
      <c r="R13675" s="100"/>
      <c r="V13675" s="100"/>
      <c r="Y13675" s="100"/>
    </row>
    <row r="13676">
      <c r="R13676" s="100"/>
      <c r="V13676" s="100"/>
      <c r="Y13676" s="100"/>
    </row>
    <row r="13677">
      <c r="R13677" s="100"/>
      <c r="V13677" s="100"/>
      <c r="Y13677" s="100"/>
    </row>
    <row r="13678">
      <c r="R13678" s="100"/>
      <c r="V13678" s="100"/>
      <c r="Y13678" s="100"/>
    </row>
    <row r="13679">
      <c r="R13679" s="100"/>
      <c r="V13679" s="100"/>
      <c r="Y13679" s="100"/>
    </row>
    <row r="13680">
      <c r="R13680" s="100"/>
      <c r="V13680" s="100"/>
      <c r="Y13680" s="100"/>
    </row>
    <row r="13681">
      <c r="R13681" s="100"/>
      <c r="V13681" s="100"/>
      <c r="Y13681" s="100"/>
    </row>
    <row r="13682">
      <c r="R13682" s="100"/>
      <c r="V13682" s="100"/>
      <c r="Y13682" s="100"/>
    </row>
    <row r="13683">
      <c r="R13683" s="100"/>
      <c r="V13683" s="100"/>
      <c r="Y13683" s="100"/>
    </row>
    <row r="13684">
      <c r="R13684" s="100"/>
      <c r="V13684" s="100"/>
      <c r="Y13684" s="100"/>
    </row>
    <row r="13685">
      <c r="R13685" s="100"/>
      <c r="V13685" s="100"/>
      <c r="Y13685" s="100"/>
    </row>
    <row r="13686">
      <c r="R13686" s="100"/>
      <c r="V13686" s="100"/>
      <c r="Y13686" s="100"/>
    </row>
    <row r="13687">
      <c r="R13687" s="100"/>
      <c r="V13687" s="100"/>
      <c r="Y13687" s="100"/>
    </row>
    <row r="13688">
      <c r="R13688" s="100"/>
      <c r="V13688" s="100"/>
      <c r="Y13688" s="100"/>
    </row>
    <row r="13689">
      <c r="R13689" s="100"/>
      <c r="V13689" s="100"/>
      <c r="Y13689" s="100"/>
    </row>
    <row r="13690">
      <c r="R13690" s="100"/>
      <c r="V13690" s="100"/>
      <c r="Y13690" s="100"/>
    </row>
    <row r="13691">
      <c r="R13691" s="100"/>
      <c r="V13691" s="100"/>
      <c r="Y13691" s="100"/>
    </row>
    <row r="13692">
      <c r="R13692" s="100"/>
      <c r="V13692" s="100"/>
      <c r="Y13692" s="100"/>
    </row>
    <row r="13693">
      <c r="R13693" s="100"/>
      <c r="V13693" s="100"/>
      <c r="Y13693" s="100"/>
    </row>
    <row r="13694">
      <c r="R13694" s="100"/>
      <c r="V13694" s="100"/>
      <c r="Y13694" s="100"/>
    </row>
    <row r="13695">
      <c r="R13695" s="100"/>
      <c r="V13695" s="100"/>
      <c r="Y13695" s="100"/>
    </row>
    <row r="13696">
      <c r="R13696" s="100"/>
      <c r="V13696" s="100"/>
      <c r="Y13696" s="100"/>
    </row>
    <row r="13697">
      <c r="R13697" s="100"/>
      <c r="V13697" s="100"/>
      <c r="Y13697" s="100"/>
    </row>
    <row r="13698">
      <c r="R13698" s="100"/>
      <c r="V13698" s="100"/>
      <c r="Y13698" s="100"/>
    </row>
    <row r="13699">
      <c r="R13699" s="100"/>
      <c r="V13699" s="100"/>
      <c r="Y13699" s="100"/>
    </row>
    <row r="13700">
      <c r="R13700" s="100"/>
      <c r="V13700" s="100"/>
      <c r="Y13700" s="100"/>
    </row>
    <row r="13701">
      <c r="R13701" s="100"/>
      <c r="V13701" s="100"/>
      <c r="Y13701" s="100"/>
    </row>
    <row r="13702">
      <c r="R13702" s="100"/>
      <c r="V13702" s="100"/>
      <c r="Y13702" s="100"/>
    </row>
    <row r="13703">
      <c r="R13703" s="100"/>
      <c r="V13703" s="100"/>
      <c r="Y13703" s="100"/>
    </row>
    <row r="13704">
      <c r="R13704" s="100"/>
      <c r="V13704" s="100"/>
      <c r="Y13704" s="100"/>
    </row>
    <row r="13705">
      <c r="R13705" s="100"/>
      <c r="V13705" s="100"/>
      <c r="Y13705" s="100"/>
    </row>
    <row r="13706">
      <c r="R13706" s="100"/>
      <c r="V13706" s="100"/>
      <c r="Y13706" s="100"/>
    </row>
    <row r="13707">
      <c r="R13707" s="100"/>
      <c r="V13707" s="100"/>
      <c r="Y13707" s="100"/>
    </row>
    <row r="13708">
      <c r="R13708" s="100"/>
      <c r="V13708" s="100"/>
      <c r="Y13708" s="100"/>
    </row>
    <row r="13709">
      <c r="R13709" s="100"/>
      <c r="V13709" s="100"/>
      <c r="Y13709" s="100"/>
    </row>
    <row r="13710">
      <c r="R13710" s="100"/>
      <c r="V13710" s="100"/>
      <c r="Y13710" s="100"/>
    </row>
    <row r="13711">
      <c r="R13711" s="100"/>
      <c r="V13711" s="100"/>
      <c r="Y13711" s="100"/>
    </row>
    <row r="13712">
      <c r="R13712" s="100"/>
      <c r="V13712" s="100"/>
      <c r="Y13712" s="100"/>
    </row>
    <row r="13713">
      <c r="R13713" s="100"/>
      <c r="V13713" s="100"/>
      <c r="Y13713" s="100"/>
    </row>
    <row r="13714">
      <c r="R13714" s="100"/>
      <c r="V13714" s="100"/>
      <c r="Y13714" s="100"/>
    </row>
    <row r="13715">
      <c r="R13715" s="100"/>
      <c r="V13715" s="100"/>
      <c r="Y13715" s="100"/>
    </row>
    <row r="13716">
      <c r="R13716" s="100"/>
      <c r="V13716" s="100"/>
      <c r="Y13716" s="100"/>
    </row>
    <row r="13717">
      <c r="R13717" s="100"/>
      <c r="V13717" s="100"/>
      <c r="Y13717" s="100"/>
    </row>
    <row r="13718">
      <c r="R13718" s="100"/>
      <c r="V13718" s="100"/>
      <c r="Y13718" s="100"/>
    </row>
    <row r="13719">
      <c r="R13719" s="100"/>
      <c r="V13719" s="100"/>
      <c r="Y13719" s="100"/>
    </row>
    <row r="13720">
      <c r="R13720" s="100"/>
      <c r="V13720" s="100"/>
      <c r="Y13720" s="100"/>
    </row>
    <row r="13721">
      <c r="R13721" s="100"/>
      <c r="V13721" s="100"/>
      <c r="Y13721" s="100"/>
    </row>
    <row r="13722">
      <c r="R13722" s="100"/>
      <c r="V13722" s="100"/>
      <c r="Y13722" s="100"/>
    </row>
    <row r="13723">
      <c r="R13723" s="100"/>
      <c r="V13723" s="100"/>
      <c r="Y13723" s="100"/>
    </row>
    <row r="13724">
      <c r="R13724" s="100"/>
      <c r="V13724" s="100"/>
      <c r="Y13724" s="100"/>
    </row>
    <row r="13725">
      <c r="R13725" s="100"/>
      <c r="V13725" s="100"/>
      <c r="Y13725" s="100"/>
    </row>
    <row r="13726">
      <c r="R13726" s="100"/>
      <c r="V13726" s="100"/>
      <c r="Y13726" s="100"/>
    </row>
    <row r="13727">
      <c r="R13727" s="100"/>
      <c r="V13727" s="100"/>
      <c r="Y13727" s="100"/>
    </row>
    <row r="13728">
      <c r="R13728" s="100"/>
      <c r="V13728" s="100"/>
      <c r="Y13728" s="100"/>
    </row>
    <row r="13729">
      <c r="R13729" s="100"/>
      <c r="V13729" s="100"/>
      <c r="Y13729" s="100"/>
    </row>
    <row r="13730">
      <c r="R13730" s="100"/>
      <c r="V13730" s="100"/>
      <c r="Y13730" s="100"/>
    </row>
    <row r="13731">
      <c r="R13731" s="100"/>
      <c r="V13731" s="100"/>
      <c r="Y13731" s="100"/>
    </row>
    <row r="13732">
      <c r="R13732" s="100"/>
      <c r="V13732" s="100"/>
      <c r="Y13732" s="100"/>
    </row>
    <row r="13733">
      <c r="R13733" s="100"/>
      <c r="V13733" s="100"/>
      <c r="Y13733" s="100"/>
    </row>
    <row r="13734">
      <c r="R13734" s="100"/>
      <c r="V13734" s="100"/>
      <c r="Y13734" s="100"/>
    </row>
    <row r="13735">
      <c r="R13735" s="100"/>
      <c r="V13735" s="100"/>
      <c r="Y13735" s="100"/>
    </row>
    <row r="13736">
      <c r="R13736" s="100"/>
      <c r="V13736" s="100"/>
      <c r="Y13736" s="100"/>
    </row>
    <row r="13737">
      <c r="R13737" s="100"/>
      <c r="V13737" s="100"/>
      <c r="Y13737" s="100"/>
    </row>
    <row r="13738">
      <c r="R13738" s="100"/>
      <c r="V13738" s="100"/>
      <c r="Y13738" s="100"/>
    </row>
    <row r="13739">
      <c r="R13739" s="100"/>
      <c r="V13739" s="100"/>
      <c r="Y13739" s="100"/>
    </row>
    <row r="13740">
      <c r="R13740" s="100"/>
      <c r="V13740" s="100"/>
      <c r="Y13740" s="100"/>
    </row>
    <row r="13741">
      <c r="R13741" s="100"/>
      <c r="V13741" s="100"/>
      <c r="Y13741" s="100"/>
    </row>
    <row r="13742">
      <c r="R13742" s="100"/>
      <c r="V13742" s="100"/>
      <c r="Y13742" s="100"/>
    </row>
    <row r="13743">
      <c r="R13743" s="100"/>
      <c r="V13743" s="100"/>
      <c r="Y13743" s="100"/>
    </row>
    <row r="13744">
      <c r="R13744" s="100"/>
      <c r="V13744" s="100"/>
      <c r="Y13744" s="100"/>
    </row>
    <row r="13745">
      <c r="R13745" s="100"/>
      <c r="V13745" s="100"/>
      <c r="Y13745" s="100"/>
    </row>
    <row r="13746">
      <c r="R13746" s="100"/>
      <c r="V13746" s="100"/>
      <c r="Y13746" s="100"/>
    </row>
    <row r="13747">
      <c r="R13747" s="100"/>
      <c r="V13747" s="100"/>
      <c r="Y13747" s="100"/>
    </row>
    <row r="13748">
      <c r="R13748" s="100"/>
      <c r="V13748" s="100"/>
      <c r="Y13748" s="100"/>
    </row>
    <row r="13749">
      <c r="R13749" s="100"/>
      <c r="V13749" s="100"/>
      <c r="Y13749" s="100"/>
    </row>
    <row r="13750">
      <c r="R13750" s="100"/>
      <c r="V13750" s="100"/>
      <c r="Y13750" s="100"/>
    </row>
    <row r="13751">
      <c r="R13751" s="100"/>
      <c r="V13751" s="100"/>
      <c r="Y13751" s="100"/>
    </row>
    <row r="13752">
      <c r="R13752" s="100"/>
      <c r="V13752" s="100"/>
      <c r="Y13752" s="100"/>
    </row>
    <row r="13753">
      <c r="R13753" s="100"/>
      <c r="V13753" s="100"/>
      <c r="Y13753" s="100"/>
    </row>
    <row r="13754">
      <c r="R13754" s="100"/>
      <c r="V13754" s="100"/>
      <c r="Y13754" s="100"/>
    </row>
    <row r="13755">
      <c r="R13755" s="100"/>
      <c r="V13755" s="100"/>
      <c r="Y13755" s="100"/>
    </row>
    <row r="13756">
      <c r="R13756" s="100"/>
      <c r="V13756" s="100"/>
      <c r="Y13756" s="100"/>
    </row>
    <row r="13757">
      <c r="R13757" s="100"/>
      <c r="V13757" s="100"/>
      <c r="Y13757" s="100"/>
    </row>
    <row r="13758">
      <c r="R13758" s="100"/>
      <c r="V13758" s="100"/>
      <c r="Y13758" s="100"/>
    </row>
    <row r="13759">
      <c r="R13759" s="100"/>
      <c r="V13759" s="100"/>
      <c r="Y13759" s="100"/>
    </row>
    <row r="13760">
      <c r="R13760" s="100"/>
      <c r="V13760" s="100"/>
      <c r="Y13760" s="100"/>
    </row>
    <row r="13761">
      <c r="R13761" s="100"/>
      <c r="V13761" s="100"/>
      <c r="Y13761" s="100"/>
    </row>
    <row r="13762">
      <c r="R13762" s="100"/>
      <c r="V13762" s="100"/>
      <c r="Y13762" s="100"/>
    </row>
    <row r="13763">
      <c r="R13763" s="100"/>
      <c r="V13763" s="100"/>
      <c r="Y13763" s="100"/>
    </row>
    <row r="13764">
      <c r="R13764" s="100"/>
      <c r="V13764" s="100"/>
      <c r="Y13764" s="100"/>
    </row>
    <row r="13765">
      <c r="R13765" s="100"/>
      <c r="V13765" s="100"/>
      <c r="Y13765" s="100"/>
    </row>
    <row r="13766">
      <c r="R13766" s="100"/>
      <c r="V13766" s="100"/>
      <c r="Y13766" s="100"/>
    </row>
    <row r="13767">
      <c r="R13767" s="100"/>
      <c r="V13767" s="100"/>
      <c r="Y13767" s="100"/>
    </row>
    <row r="13768">
      <c r="R13768" s="100"/>
      <c r="V13768" s="100"/>
      <c r="Y13768" s="100"/>
    </row>
    <row r="13769">
      <c r="R13769" s="100"/>
      <c r="V13769" s="100"/>
      <c r="Y13769" s="100"/>
    </row>
    <row r="13770">
      <c r="R13770" s="100"/>
      <c r="V13770" s="100"/>
      <c r="Y13770" s="100"/>
    </row>
    <row r="13771">
      <c r="R13771" s="100"/>
      <c r="V13771" s="100"/>
      <c r="Y13771" s="100"/>
    </row>
    <row r="13772">
      <c r="R13772" s="100"/>
      <c r="V13772" s="100"/>
      <c r="Y13772" s="100"/>
    </row>
    <row r="13773">
      <c r="R13773" s="100"/>
      <c r="V13773" s="100"/>
      <c r="Y13773" s="100"/>
    </row>
    <row r="13774">
      <c r="R13774" s="100"/>
      <c r="V13774" s="100"/>
      <c r="Y13774" s="100"/>
    </row>
    <row r="13775">
      <c r="R13775" s="100"/>
      <c r="V13775" s="100"/>
      <c r="Y13775" s="100"/>
    </row>
    <row r="13776">
      <c r="R13776" s="100"/>
      <c r="V13776" s="100"/>
      <c r="Y13776" s="100"/>
    </row>
    <row r="13777">
      <c r="R13777" s="100"/>
      <c r="V13777" s="100"/>
      <c r="Y13777" s="100"/>
    </row>
    <row r="13778">
      <c r="R13778" s="100"/>
      <c r="V13778" s="100"/>
      <c r="Y13778" s="100"/>
    </row>
    <row r="13779">
      <c r="R13779" s="100"/>
      <c r="V13779" s="100"/>
      <c r="Y13779" s="100"/>
    </row>
    <row r="13780">
      <c r="R13780" s="100"/>
      <c r="V13780" s="100"/>
      <c r="Y13780" s="100"/>
    </row>
    <row r="13781">
      <c r="R13781" s="100"/>
      <c r="V13781" s="100"/>
      <c r="Y13781" s="100"/>
    </row>
    <row r="13782">
      <c r="R13782" s="100"/>
      <c r="V13782" s="100"/>
      <c r="Y13782" s="100"/>
    </row>
    <row r="13783">
      <c r="R13783" s="100"/>
      <c r="V13783" s="100"/>
      <c r="Y13783" s="100"/>
    </row>
    <row r="13784">
      <c r="R13784" s="100"/>
      <c r="V13784" s="100"/>
      <c r="Y13784" s="100"/>
    </row>
    <row r="13785">
      <c r="R13785" s="100"/>
      <c r="V13785" s="100"/>
      <c r="Y13785" s="100"/>
    </row>
    <row r="13786">
      <c r="R13786" s="100"/>
      <c r="V13786" s="100"/>
      <c r="Y13786" s="100"/>
    </row>
    <row r="13787">
      <c r="R13787" s="100"/>
      <c r="V13787" s="100"/>
      <c r="Y13787" s="100"/>
    </row>
    <row r="13788">
      <c r="R13788" s="100"/>
      <c r="V13788" s="100"/>
      <c r="Y13788" s="100"/>
    </row>
    <row r="13789">
      <c r="R13789" s="100"/>
      <c r="V13789" s="100"/>
      <c r="Y13789" s="100"/>
    </row>
    <row r="13790">
      <c r="R13790" s="100"/>
      <c r="V13790" s="100"/>
      <c r="Y13790" s="100"/>
    </row>
    <row r="13791">
      <c r="R13791" s="100"/>
      <c r="V13791" s="100"/>
      <c r="Y13791" s="100"/>
    </row>
    <row r="13792">
      <c r="R13792" s="100"/>
      <c r="V13792" s="100"/>
      <c r="Y13792" s="100"/>
    </row>
    <row r="13793">
      <c r="R13793" s="100"/>
      <c r="V13793" s="100"/>
      <c r="Y13793" s="100"/>
    </row>
    <row r="13794">
      <c r="R13794" s="100"/>
      <c r="V13794" s="100"/>
      <c r="Y13794" s="100"/>
    </row>
    <row r="13795">
      <c r="R13795" s="100"/>
      <c r="V13795" s="100"/>
      <c r="Y13795" s="100"/>
    </row>
    <row r="13796">
      <c r="R13796" s="100"/>
      <c r="V13796" s="100"/>
      <c r="Y13796" s="100"/>
    </row>
    <row r="13797">
      <c r="R13797" s="100"/>
      <c r="V13797" s="100"/>
      <c r="Y13797" s="100"/>
    </row>
    <row r="13798">
      <c r="R13798" s="100"/>
      <c r="V13798" s="100"/>
      <c r="Y13798" s="100"/>
    </row>
    <row r="13799">
      <c r="R13799" s="100"/>
      <c r="V13799" s="100"/>
      <c r="Y13799" s="100"/>
    </row>
    <row r="13800">
      <c r="R13800" s="100"/>
      <c r="V13800" s="100"/>
      <c r="Y13800" s="100"/>
    </row>
    <row r="13801">
      <c r="R13801" s="100"/>
      <c r="V13801" s="100"/>
      <c r="Y13801" s="100"/>
    </row>
    <row r="13802">
      <c r="R13802" s="100"/>
      <c r="V13802" s="100"/>
      <c r="Y13802" s="100"/>
    </row>
    <row r="13803">
      <c r="R13803" s="100"/>
      <c r="V13803" s="100"/>
      <c r="Y13803" s="100"/>
    </row>
    <row r="13804">
      <c r="R13804" s="100"/>
      <c r="V13804" s="100"/>
      <c r="Y13804" s="100"/>
    </row>
    <row r="13805">
      <c r="R13805" s="100"/>
      <c r="V13805" s="100"/>
      <c r="Y13805" s="100"/>
    </row>
    <row r="13806">
      <c r="R13806" s="100"/>
      <c r="V13806" s="100"/>
      <c r="Y13806" s="100"/>
    </row>
    <row r="13807">
      <c r="R13807" s="100"/>
      <c r="V13807" s="100"/>
      <c r="Y13807" s="100"/>
    </row>
    <row r="13808">
      <c r="R13808" s="100"/>
      <c r="V13808" s="100"/>
      <c r="Y13808" s="100"/>
    </row>
    <row r="13809">
      <c r="R13809" s="100"/>
      <c r="V13809" s="100"/>
      <c r="Y13809" s="100"/>
    </row>
    <row r="13810">
      <c r="R13810" s="100"/>
      <c r="V13810" s="100"/>
      <c r="Y13810" s="100"/>
    </row>
    <row r="13811">
      <c r="R13811" s="100"/>
      <c r="V13811" s="100"/>
      <c r="Y13811" s="100"/>
    </row>
    <row r="13812">
      <c r="R13812" s="100"/>
      <c r="V13812" s="100"/>
      <c r="Y13812" s="100"/>
    </row>
    <row r="13813">
      <c r="R13813" s="100"/>
      <c r="V13813" s="100"/>
      <c r="Y13813" s="100"/>
    </row>
    <row r="13814">
      <c r="R13814" s="100"/>
      <c r="V13814" s="100"/>
      <c r="Y13814" s="100"/>
    </row>
    <row r="13815">
      <c r="R13815" s="100"/>
      <c r="V13815" s="100"/>
      <c r="Y13815" s="100"/>
    </row>
    <row r="13816">
      <c r="R13816" s="100"/>
      <c r="V13816" s="100"/>
      <c r="Y13816" s="100"/>
    </row>
    <row r="13817">
      <c r="R13817" s="100"/>
      <c r="V13817" s="100"/>
      <c r="Y13817" s="100"/>
    </row>
    <row r="13818">
      <c r="R13818" s="100"/>
      <c r="V13818" s="100"/>
      <c r="Y13818" s="100"/>
    </row>
    <row r="13819">
      <c r="R13819" s="100"/>
      <c r="V13819" s="100"/>
      <c r="Y13819" s="100"/>
    </row>
    <row r="13820">
      <c r="R13820" s="100"/>
      <c r="V13820" s="100"/>
      <c r="Y13820" s="100"/>
    </row>
    <row r="13821">
      <c r="R13821" s="100"/>
      <c r="V13821" s="100"/>
      <c r="Y13821" s="100"/>
    </row>
    <row r="13822">
      <c r="R13822" s="100"/>
      <c r="V13822" s="100"/>
      <c r="Y13822" s="100"/>
    </row>
    <row r="13823">
      <c r="R13823" s="100"/>
      <c r="V13823" s="100"/>
      <c r="Y13823" s="100"/>
    </row>
    <row r="13824">
      <c r="R13824" s="100"/>
      <c r="V13824" s="100"/>
      <c r="Y13824" s="100"/>
    </row>
    <row r="13825">
      <c r="R13825" s="100"/>
      <c r="V13825" s="100"/>
      <c r="Y13825" s="100"/>
    </row>
    <row r="13826">
      <c r="R13826" s="100"/>
      <c r="V13826" s="100"/>
      <c r="Y13826" s="100"/>
    </row>
    <row r="13827">
      <c r="R13827" s="100"/>
      <c r="V13827" s="100"/>
      <c r="Y13827" s="100"/>
    </row>
    <row r="13828">
      <c r="R13828" s="100"/>
      <c r="V13828" s="100"/>
      <c r="Y13828" s="100"/>
    </row>
    <row r="13829">
      <c r="R13829" s="100"/>
      <c r="V13829" s="100"/>
      <c r="Y13829" s="100"/>
    </row>
    <row r="13830">
      <c r="R13830" s="100"/>
      <c r="V13830" s="100"/>
      <c r="Y13830" s="100"/>
    </row>
    <row r="13831">
      <c r="R13831" s="100"/>
      <c r="V13831" s="100"/>
      <c r="Y13831" s="100"/>
    </row>
    <row r="13832">
      <c r="R13832" s="100"/>
      <c r="V13832" s="100"/>
      <c r="Y13832" s="100"/>
    </row>
    <row r="13833">
      <c r="R13833" s="100"/>
      <c r="V13833" s="100"/>
      <c r="Y13833" s="100"/>
    </row>
    <row r="13834">
      <c r="R13834" s="100"/>
      <c r="V13834" s="100"/>
      <c r="Y13834" s="100"/>
    </row>
    <row r="13835">
      <c r="R13835" s="100"/>
      <c r="V13835" s="100"/>
      <c r="Y13835" s="100"/>
    </row>
    <row r="13836">
      <c r="R13836" s="100"/>
      <c r="V13836" s="100"/>
      <c r="Y13836" s="100"/>
    </row>
    <row r="13837">
      <c r="R13837" s="100"/>
      <c r="V13837" s="100"/>
      <c r="Y13837" s="100"/>
    </row>
    <row r="13838">
      <c r="R13838" s="100"/>
      <c r="V13838" s="100"/>
      <c r="Y13838" s="100"/>
    </row>
    <row r="13839">
      <c r="R13839" s="100"/>
      <c r="V13839" s="100"/>
      <c r="Y13839" s="100"/>
    </row>
    <row r="13840">
      <c r="R13840" s="100"/>
      <c r="V13840" s="100"/>
      <c r="Y13840" s="100"/>
    </row>
    <row r="13841">
      <c r="R13841" s="100"/>
      <c r="V13841" s="100"/>
      <c r="Y13841" s="100"/>
    </row>
    <row r="13842">
      <c r="R13842" s="100"/>
      <c r="V13842" s="100"/>
      <c r="Y13842" s="100"/>
    </row>
    <row r="13843">
      <c r="R13843" s="100"/>
      <c r="V13843" s="100"/>
      <c r="Y13843" s="100"/>
    </row>
    <row r="13844">
      <c r="R13844" s="100"/>
      <c r="V13844" s="100"/>
      <c r="Y13844" s="100"/>
    </row>
    <row r="13845">
      <c r="R13845" s="100"/>
      <c r="V13845" s="100"/>
      <c r="Y13845" s="100"/>
    </row>
    <row r="13846">
      <c r="R13846" s="100"/>
      <c r="V13846" s="100"/>
      <c r="Y13846" s="100"/>
    </row>
    <row r="13847">
      <c r="R13847" s="100"/>
      <c r="V13847" s="100"/>
      <c r="Y13847" s="100"/>
    </row>
    <row r="13848">
      <c r="R13848" s="100"/>
      <c r="V13848" s="100"/>
      <c r="Y13848" s="100"/>
    </row>
    <row r="13849">
      <c r="R13849" s="100"/>
      <c r="V13849" s="100"/>
      <c r="Y13849" s="100"/>
    </row>
    <row r="13850">
      <c r="R13850" s="100"/>
      <c r="V13850" s="100"/>
      <c r="Y13850" s="100"/>
    </row>
    <row r="13851">
      <c r="R13851" s="100"/>
      <c r="V13851" s="100"/>
      <c r="Y13851" s="100"/>
    </row>
    <row r="13852">
      <c r="R13852" s="100"/>
      <c r="V13852" s="100"/>
      <c r="Y13852" s="100"/>
    </row>
    <row r="13853">
      <c r="R13853" s="100"/>
      <c r="V13853" s="100"/>
      <c r="Y13853" s="100"/>
    </row>
    <row r="13854">
      <c r="R13854" s="100"/>
      <c r="V13854" s="100"/>
      <c r="Y13854" s="100"/>
    </row>
    <row r="13855">
      <c r="R13855" s="100"/>
      <c r="V13855" s="100"/>
      <c r="Y13855" s="100"/>
    </row>
    <row r="13856">
      <c r="R13856" s="100"/>
      <c r="V13856" s="100"/>
      <c r="Y13856" s="100"/>
    </row>
    <row r="13857">
      <c r="R13857" s="100"/>
      <c r="V13857" s="100"/>
      <c r="Y13857" s="100"/>
    </row>
    <row r="13858">
      <c r="R13858" s="100"/>
      <c r="V13858" s="100"/>
      <c r="Y13858" s="100"/>
    </row>
    <row r="13859">
      <c r="R13859" s="100"/>
      <c r="V13859" s="100"/>
      <c r="Y13859" s="100"/>
    </row>
    <row r="13860">
      <c r="R13860" s="100"/>
      <c r="V13860" s="100"/>
      <c r="Y13860" s="100"/>
    </row>
    <row r="13861">
      <c r="R13861" s="100"/>
      <c r="V13861" s="100"/>
      <c r="Y13861" s="100"/>
    </row>
    <row r="13862">
      <c r="R13862" s="100"/>
      <c r="V13862" s="100"/>
      <c r="Y13862" s="100"/>
    </row>
    <row r="13863">
      <c r="R13863" s="100"/>
      <c r="V13863" s="100"/>
      <c r="Y13863" s="100"/>
    </row>
    <row r="13864">
      <c r="R13864" s="100"/>
      <c r="V13864" s="100"/>
      <c r="Y13864" s="100"/>
    </row>
    <row r="13865">
      <c r="R13865" s="100"/>
      <c r="V13865" s="100"/>
      <c r="Y13865" s="100"/>
    </row>
    <row r="13866">
      <c r="R13866" s="100"/>
      <c r="V13866" s="100"/>
      <c r="Y13866" s="100"/>
    </row>
    <row r="13867">
      <c r="R13867" s="100"/>
      <c r="V13867" s="100"/>
      <c r="Y13867" s="100"/>
    </row>
    <row r="13868">
      <c r="R13868" s="100"/>
      <c r="V13868" s="100"/>
      <c r="Y13868" s="100"/>
    </row>
    <row r="13869">
      <c r="R13869" s="100"/>
      <c r="V13869" s="100"/>
      <c r="Y13869" s="100"/>
    </row>
    <row r="13870">
      <c r="R13870" s="100"/>
      <c r="V13870" s="100"/>
      <c r="Y13870" s="100"/>
    </row>
    <row r="13871">
      <c r="R13871" s="100"/>
      <c r="V13871" s="100"/>
      <c r="Y13871" s="100"/>
    </row>
    <row r="13872">
      <c r="R13872" s="100"/>
      <c r="V13872" s="100"/>
      <c r="Y13872" s="100"/>
    </row>
    <row r="13873">
      <c r="R13873" s="100"/>
      <c r="V13873" s="100"/>
      <c r="Y13873" s="100"/>
    </row>
    <row r="13874">
      <c r="R13874" s="100"/>
      <c r="V13874" s="100"/>
      <c r="Y13874" s="100"/>
    </row>
    <row r="13875">
      <c r="R13875" s="100"/>
      <c r="V13875" s="100"/>
      <c r="Y13875" s="100"/>
    </row>
    <row r="13876">
      <c r="R13876" s="100"/>
      <c r="V13876" s="100"/>
      <c r="Y13876" s="100"/>
    </row>
    <row r="13877">
      <c r="R13877" s="100"/>
      <c r="V13877" s="100"/>
      <c r="Y13877" s="100"/>
    </row>
    <row r="13878">
      <c r="R13878" s="100"/>
      <c r="V13878" s="100"/>
      <c r="Y13878" s="100"/>
    </row>
    <row r="13879">
      <c r="R13879" s="100"/>
      <c r="V13879" s="100"/>
      <c r="Y13879" s="100"/>
    </row>
    <row r="13880">
      <c r="R13880" s="100"/>
      <c r="V13880" s="100"/>
      <c r="Y13880" s="100"/>
    </row>
    <row r="13881">
      <c r="R13881" s="100"/>
      <c r="V13881" s="100"/>
      <c r="Y13881" s="100"/>
    </row>
    <row r="13882">
      <c r="R13882" s="100"/>
      <c r="V13882" s="100"/>
      <c r="Y13882" s="100"/>
    </row>
    <row r="13883">
      <c r="R13883" s="100"/>
      <c r="V13883" s="100"/>
      <c r="Y13883" s="100"/>
    </row>
    <row r="13884">
      <c r="R13884" s="100"/>
      <c r="V13884" s="100"/>
      <c r="Y13884" s="100"/>
    </row>
    <row r="13885">
      <c r="R13885" s="100"/>
      <c r="V13885" s="100"/>
      <c r="Y13885" s="100"/>
    </row>
    <row r="13886">
      <c r="R13886" s="100"/>
      <c r="V13886" s="100"/>
      <c r="Y13886" s="100"/>
    </row>
    <row r="13887">
      <c r="R13887" s="100"/>
      <c r="V13887" s="100"/>
      <c r="Y13887" s="100"/>
    </row>
    <row r="13888">
      <c r="R13888" s="100"/>
      <c r="V13888" s="100"/>
      <c r="Y13888" s="100"/>
    </row>
    <row r="13889">
      <c r="R13889" s="100"/>
      <c r="V13889" s="100"/>
      <c r="Y13889" s="100"/>
    </row>
    <row r="13890">
      <c r="R13890" s="100"/>
      <c r="V13890" s="100"/>
      <c r="Y13890" s="100"/>
    </row>
    <row r="13891">
      <c r="R13891" s="100"/>
      <c r="V13891" s="100"/>
      <c r="Y13891" s="100"/>
    </row>
    <row r="13892">
      <c r="R13892" s="100"/>
      <c r="V13892" s="100"/>
      <c r="Y13892" s="100"/>
    </row>
    <row r="13893">
      <c r="R13893" s="100"/>
      <c r="V13893" s="100"/>
      <c r="Y13893" s="100"/>
    </row>
    <row r="13894">
      <c r="R13894" s="100"/>
      <c r="V13894" s="100"/>
      <c r="Y13894" s="100"/>
    </row>
    <row r="13895">
      <c r="R13895" s="100"/>
      <c r="V13895" s="100"/>
      <c r="Y13895" s="100"/>
    </row>
    <row r="13896">
      <c r="R13896" s="100"/>
      <c r="V13896" s="100"/>
      <c r="Y13896" s="100"/>
    </row>
    <row r="13897">
      <c r="R13897" s="100"/>
      <c r="V13897" s="100"/>
      <c r="Y13897" s="100"/>
    </row>
    <row r="13898">
      <c r="R13898" s="100"/>
      <c r="V13898" s="100"/>
      <c r="Y13898" s="100"/>
    </row>
    <row r="13899">
      <c r="R13899" s="100"/>
      <c r="V13899" s="100"/>
      <c r="Y13899" s="100"/>
    </row>
    <row r="13900">
      <c r="R13900" s="100"/>
      <c r="V13900" s="100"/>
      <c r="Y13900" s="100"/>
    </row>
    <row r="13901">
      <c r="R13901" s="100"/>
      <c r="V13901" s="100"/>
      <c r="Y13901" s="100"/>
    </row>
    <row r="13902">
      <c r="R13902" s="100"/>
      <c r="V13902" s="100"/>
      <c r="Y13902" s="100"/>
    </row>
    <row r="13903">
      <c r="R13903" s="100"/>
      <c r="V13903" s="100"/>
      <c r="Y13903" s="100"/>
    </row>
    <row r="13904">
      <c r="R13904" s="100"/>
      <c r="V13904" s="100"/>
      <c r="Y13904" s="100"/>
    </row>
    <row r="13905">
      <c r="R13905" s="100"/>
      <c r="V13905" s="100"/>
      <c r="Y13905" s="100"/>
    </row>
    <row r="13906">
      <c r="R13906" s="100"/>
      <c r="V13906" s="100"/>
      <c r="Y13906" s="100"/>
    </row>
    <row r="13907">
      <c r="R13907" s="100"/>
      <c r="V13907" s="100"/>
      <c r="Y13907" s="100"/>
    </row>
    <row r="13908">
      <c r="R13908" s="100"/>
      <c r="V13908" s="100"/>
      <c r="Y13908" s="100"/>
    </row>
    <row r="13909">
      <c r="R13909" s="100"/>
      <c r="V13909" s="100"/>
      <c r="Y13909" s="100"/>
    </row>
    <row r="13910">
      <c r="R13910" s="100"/>
      <c r="V13910" s="100"/>
      <c r="Y13910" s="100"/>
    </row>
    <row r="13911">
      <c r="R13911" s="100"/>
      <c r="V13911" s="100"/>
      <c r="Y13911" s="100"/>
    </row>
    <row r="13912">
      <c r="R13912" s="100"/>
      <c r="V13912" s="100"/>
      <c r="Y13912" s="100"/>
    </row>
    <row r="13913">
      <c r="R13913" s="100"/>
      <c r="V13913" s="100"/>
      <c r="Y13913" s="100"/>
    </row>
    <row r="13914">
      <c r="R13914" s="100"/>
      <c r="V13914" s="100"/>
      <c r="Y13914" s="100"/>
    </row>
    <row r="13915">
      <c r="R13915" s="100"/>
      <c r="V13915" s="100"/>
      <c r="Y13915" s="100"/>
    </row>
    <row r="13916">
      <c r="R13916" s="100"/>
      <c r="V13916" s="100"/>
      <c r="Y13916" s="100"/>
    </row>
    <row r="13917">
      <c r="R13917" s="100"/>
      <c r="V13917" s="100"/>
      <c r="Y13917" s="100"/>
    </row>
    <row r="13918">
      <c r="R13918" s="100"/>
      <c r="V13918" s="100"/>
      <c r="Y13918" s="100"/>
    </row>
    <row r="13919">
      <c r="R13919" s="100"/>
      <c r="V13919" s="100"/>
      <c r="Y13919" s="100"/>
    </row>
    <row r="13920">
      <c r="R13920" s="100"/>
      <c r="V13920" s="100"/>
      <c r="Y13920" s="100"/>
    </row>
    <row r="13921">
      <c r="R13921" s="100"/>
      <c r="V13921" s="100"/>
      <c r="Y13921" s="100"/>
    </row>
    <row r="13922">
      <c r="R13922" s="100"/>
      <c r="V13922" s="100"/>
      <c r="Y13922" s="100"/>
    </row>
    <row r="13923">
      <c r="R13923" s="100"/>
      <c r="V13923" s="100"/>
      <c r="Y13923" s="100"/>
    </row>
    <row r="13924">
      <c r="R13924" s="100"/>
      <c r="V13924" s="100"/>
      <c r="Y13924" s="100"/>
    </row>
    <row r="13925">
      <c r="R13925" s="100"/>
      <c r="V13925" s="100"/>
      <c r="Y13925" s="100"/>
    </row>
    <row r="13926">
      <c r="R13926" s="100"/>
      <c r="V13926" s="100"/>
      <c r="Y13926" s="100"/>
    </row>
    <row r="13927">
      <c r="R13927" s="100"/>
      <c r="V13927" s="100"/>
      <c r="Y13927" s="100"/>
    </row>
    <row r="13928">
      <c r="R13928" s="100"/>
      <c r="V13928" s="100"/>
      <c r="Y13928" s="100"/>
    </row>
    <row r="13929">
      <c r="R13929" s="100"/>
      <c r="V13929" s="100"/>
      <c r="Y13929" s="100"/>
    </row>
    <row r="13930">
      <c r="R13930" s="100"/>
      <c r="V13930" s="100"/>
      <c r="Y13930" s="100"/>
    </row>
    <row r="13931">
      <c r="R13931" s="100"/>
      <c r="V13931" s="100"/>
      <c r="Y13931" s="100"/>
    </row>
    <row r="13932">
      <c r="R13932" s="100"/>
      <c r="V13932" s="100"/>
      <c r="Y13932" s="100"/>
    </row>
    <row r="13933">
      <c r="R13933" s="100"/>
      <c r="V13933" s="100"/>
      <c r="Y13933" s="100"/>
    </row>
    <row r="13934">
      <c r="R13934" s="100"/>
      <c r="V13934" s="100"/>
      <c r="Y13934" s="100"/>
    </row>
    <row r="13935">
      <c r="R13935" s="100"/>
      <c r="V13935" s="100"/>
      <c r="Y13935" s="100"/>
    </row>
    <row r="13936">
      <c r="R13936" s="100"/>
      <c r="V13936" s="100"/>
      <c r="Y13936" s="100"/>
    </row>
    <row r="13937">
      <c r="R13937" s="100"/>
      <c r="V13937" s="100"/>
      <c r="Y13937" s="100"/>
    </row>
    <row r="13938">
      <c r="R13938" s="100"/>
      <c r="V13938" s="100"/>
      <c r="Y13938" s="100"/>
    </row>
    <row r="13939">
      <c r="R13939" s="100"/>
      <c r="V13939" s="100"/>
      <c r="Y13939" s="100"/>
    </row>
    <row r="13940">
      <c r="R13940" s="100"/>
      <c r="V13940" s="100"/>
      <c r="Y13940" s="100"/>
    </row>
    <row r="13941">
      <c r="R13941" s="100"/>
      <c r="V13941" s="100"/>
      <c r="Y13941" s="100"/>
    </row>
    <row r="13942">
      <c r="R13942" s="100"/>
      <c r="V13942" s="100"/>
      <c r="Y13942" s="100"/>
    </row>
    <row r="13943">
      <c r="R13943" s="100"/>
      <c r="V13943" s="100"/>
      <c r="Y13943" s="100"/>
    </row>
    <row r="13944">
      <c r="R13944" s="100"/>
      <c r="V13944" s="100"/>
      <c r="Y13944" s="100"/>
    </row>
    <row r="13945">
      <c r="R13945" s="100"/>
      <c r="V13945" s="100"/>
      <c r="Y13945" s="100"/>
    </row>
    <row r="13946">
      <c r="R13946" s="100"/>
      <c r="V13946" s="100"/>
      <c r="Y13946" s="100"/>
    </row>
    <row r="13947">
      <c r="R13947" s="100"/>
      <c r="V13947" s="100"/>
      <c r="Y13947" s="100"/>
    </row>
    <row r="13948">
      <c r="R13948" s="100"/>
      <c r="V13948" s="100"/>
      <c r="Y13948" s="100"/>
    </row>
    <row r="13949">
      <c r="R13949" s="100"/>
      <c r="V13949" s="100"/>
      <c r="Y13949" s="100"/>
    </row>
    <row r="13950">
      <c r="R13950" s="100"/>
      <c r="V13950" s="100"/>
      <c r="Y13950" s="100"/>
    </row>
    <row r="13951">
      <c r="R13951" s="100"/>
      <c r="V13951" s="100"/>
      <c r="Y13951" s="100"/>
    </row>
    <row r="13952">
      <c r="R13952" s="100"/>
      <c r="V13952" s="100"/>
      <c r="Y13952" s="100"/>
    </row>
    <row r="13953">
      <c r="R13953" s="100"/>
      <c r="V13953" s="100"/>
      <c r="Y13953" s="100"/>
    </row>
    <row r="13954">
      <c r="R13954" s="100"/>
      <c r="V13954" s="100"/>
      <c r="Y13954" s="100"/>
    </row>
    <row r="13955">
      <c r="R13955" s="100"/>
      <c r="V13955" s="100"/>
      <c r="Y13955" s="100"/>
    </row>
    <row r="13956">
      <c r="R13956" s="100"/>
      <c r="V13956" s="100"/>
      <c r="Y13956" s="100"/>
    </row>
    <row r="13957">
      <c r="R13957" s="100"/>
      <c r="V13957" s="100"/>
      <c r="Y13957" s="100"/>
    </row>
    <row r="13958">
      <c r="R13958" s="100"/>
      <c r="V13958" s="100"/>
      <c r="Y13958" s="100"/>
    </row>
    <row r="13959">
      <c r="R13959" s="100"/>
      <c r="V13959" s="100"/>
      <c r="Y13959" s="100"/>
    </row>
    <row r="13960">
      <c r="R13960" s="100"/>
      <c r="V13960" s="100"/>
      <c r="Y13960" s="100"/>
    </row>
    <row r="13961">
      <c r="R13961" s="100"/>
      <c r="V13961" s="100"/>
      <c r="Y13961" s="100"/>
    </row>
    <row r="13962">
      <c r="R13962" s="100"/>
      <c r="V13962" s="100"/>
      <c r="Y13962" s="100"/>
    </row>
    <row r="13963">
      <c r="R13963" s="100"/>
      <c r="V13963" s="100"/>
      <c r="Y13963" s="100"/>
    </row>
    <row r="13964">
      <c r="R13964" s="100"/>
      <c r="V13964" s="100"/>
      <c r="Y13964" s="100"/>
    </row>
    <row r="13965">
      <c r="R13965" s="100"/>
      <c r="V13965" s="100"/>
      <c r="Y13965" s="100"/>
    </row>
    <row r="13966">
      <c r="R13966" s="100"/>
      <c r="V13966" s="100"/>
      <c r="Y13966" s="100"/>
    </row>
    <row r="13967">
      <c r="R13967" s="100"/>
      <c r="V13967" s="100"/>
      <c r="Y13967" s="100"/>
    </row>
    <row r="13968">
      <c r="R13968" s="100"/>
      <c r="V13968" s="100"/>
      <c r="Y13968" s="100"/>
    </row>
    <row r="13969">
      <c r="R13969" s="100"/>
      <c r="V13969" s="100"/>
      <c r="Y13969" s="100"/>
    </row>
    <row r="13970">
      <c r="R13970" s="100"/>
      <c r="V13970" s="100"/>
      <c r="Y13970" s="100"/>
    </row>
    <row r="13971">
      <c r="R13971" s="100"/>
      <c r="V13971" s="100"/>
      <c r="Y13971" s="100"/>
    </row>
    <row r="13972">
      <c r="R13972" s="100"/>
      <c r="V13972" s="100"/>
      <c r="Y13972" s="100"/>
    </row>
    <row r="13973">
      <c r="R13973" s="100"/>
      <c r="V13973" s="100"/>
      <c r="Y13973" s="100"/>
    </row>
    <row r="13974">
      <c r="R13974" s="100"/>
      <c r="V13974" s="100"/>
      <c r="Y13974" s="100"/>
    </row>
    <row r="13975">
      <c r="R13975" s="100"/>
      <c r="V13975" s="100"/>
      <c r="Y13975" s="100"/>
    </row>
    <row r="13976">
      <c r="R13976" s="100"/>
      <c r="V13976" s="100"/>
      <c r="Y13976" s="100"/>
    </row>
    <row r="13977">
      <c r="R13977" s="100"/>
      <c r="V13977" s="100"/>
      <c r="Y13977" s="100"/>
    </row>
    <row r="13978">
      <c r="R13978" s="100"/>
      <c r="V13978" s="100"/>
      <c r="Y13978" s="100"/>
    </row>
    <row r="13979">
      <c r="R13979" s="100"/>
      <c r="V13979" s="100"/>
      <c r="Y13979" s="100"/>
    </row>
    <row r="13980">
      <c r="R13980" s="100"/>
      <c r="V13980" s="100"/>
      <c r="Y13980" s="100"/>
    </row>
    <row r="13981">
      <c r="R13981" s="100"/>
      <c r="V13981" s="100"/>
      <c r="Y13981" s="100"/>
    </row>
    <row r="13982">
      <c r="R13982" s="100"/>
      <c r="V13982" s="100"/>
      <c r="Y13982" s="100"/>
    </row>
    <row r="13983">
      <c r="R13983" s="100"/>
      <c r="V13983" s="100"/>
      <c r="Y13983" s="100"/>
    </row>
    <row r="13984">
      <c r="R13984" s="100"/>
      <c r="V13984" s="100"/>
      <c r="Y13984" s="100"/>
    </row>
    <row r="13985">
      <c r="R13985" s="100"/>
      <c r="V13985" s="100"/>
      <c r="Y13985" s="100"/>
    </row>
    <row r="13986">
      <c r="R13986" s="100"/>
      <c r="V13986" s="100"/>
      <c r="Y13986" s="100"/>
    </row>
    <row r="13987">
      <c r="R13987" s="100"/>
      <c r="V13987" s="100"/>
      <c r="Y13987" s="100"/>
    </row>
    <row r="13988">
      <c r="R13988" s="100"/>
      <c r="V13988" s="100"/>
      <c r="Y13988" s="100"/>
    </row>
    <row r="13989">
      <c r="R13989" s="100"/>
      <c r="V13989" s="100"/>
      <c r="Y13989" s="100"/>
    </row>
    <row r="13990">
      <c r="R13990" s="100"/>
      <c r="V13990" s="100"/>
      <c r="Y13990" s="100"/>
    </row>
    <row r="13991">
      <c r="R13991" s="100"/>
      <c r="V13991" s="100"/>
      <c r="Y13991" s="100"/>
    </row>
    <row r="13992">
      <c r="R13992" s="100"/>
      <c r="V13992" s="100"/>
      <c r="Y13992" s="100"/>
    </row>
    <row r="13993">
      <c r="R13993" s="100"/>
      <c r="V13993" s="100"/>
      <c r="Y13993" s="100"/>
    </row>
    <row r="13994">
      <c r="R13994" s="100"/>
      <c r="V13994" s="100"/>
      <c r="Y13994" s="100"/>
    </row>
    <row r="13995">
      <c r="R13995" s="100"/>
      <c r="V13995" s="100"/>
      <c r="Y13995" s="100"/>
    </row>
    <row r="13996">
      <c r="R13996" s="100"/>
      <c r="V13996" s="100"/>
      <c r="Y13996" s="100"/>
    </row>
    <row r="13997">
      <c r="R13997" s="100"/>
      <c r="V13997" s="100"/>
      <c r="Y13997" s="100"/>
    </row>
    <row r="13998">
      <c r="R13998" s="100"/>
      <c r="V13998" s="100"/>
      <c r="Y13998" s="100"/>
    </row>
    <row r="13999">
      <c r="R13999" s="100"/>
      <c r="V13999" s="100"/>
      <c r="Y13999" s="100"/>
    </row>
    <row r="14000">
      <c r="R14000" s="100"/>
      <c r="V14000" s="100"/>
      <c r="Y14000" s="100"/>
    </row>
    <row r="14001">
      <c r="R14001" s="100"/>
      <c r="V14001" s="100"/>
      <c r="Y14001" s="100"/>
    </row>
    <row r="14002">
      <c r="R14002" s="100"/>
      <c r="V14002" s="100"/>
      <c r="Y14002" s="100"/>
    </row>
    <row r="14003">
      <c r="R14003" s="100"/>
      <c r="V14003" s="100"/>
      <c r="Y14003" s="100"/>
    </row>
    <row r="14004">
      <c r="R14004" s="100"/>
      <c r="V14004" s="100"/>
      <c r="Y14004" s="100"/>
    </row>
    <row r="14005">
      <c r="R14005" s="100"/>
      <c r="V14005" s="100"/>
      <c r="Y14005" s="100"/>
    </row>
    <row r="14006">
      <c r="R14006" s="100"/>
      <c r="V14006" s="100"/>
      <c r="Y14006" s="100"/>
    </row>
    <row r="14007">
      <c r="R14007" s="100"/>
      <c r="V14007" s="100"/>
      <c r="Y14007" s="100"/>
    </row>
    <row r="14008">
      <c r="R14008" s="100"/>
      <c r="V14008" s="100"/>
      <c r="Y14008" s="100"/>
    </row>
    <row r="14009">
      <c r="R14009" s="100"/>
      <c r="V14009" s="100"/>
      <c r="Y14009" s="100"/>
    </row>
    <row r="14010">
      <c r="R14010" s="100"/>
      <c r="V14010" s="100"/>
      <c r="Y14010" s="100"/>
    </row>
    <row r="14011">
      <c r="R14011" s="100"/>
      <c r="V14011" s="100"/>
      <c r="Y14011" s="100"/>
    </row>
    <row r="14012">
      <c r="R14012" s="100"/>
      <c r="V14012" s="100"/>
      <c r="Y14012" s="100"/>
    </row>
    <row r="14013">
      <c r="R14013" s="100"/>
      <c r="V14013" s="100"/>
      <c r="Y14013" s="100"/>
    </row>
    <row r="14014">
      <c r="R14014" s="100"/>
      <c r="V14014" s="100"/>
      <c r="Y14014" s="100"/>
    </row>
    <row r="14015">
      <c r="R14015" s="100"/>
      <c r="V14015" s="100"/>
      <c r="Y14015" s="100"/>
    </row>
    <row r="14016">
      <c r="R14016" s="100"/>
      <c r="V14016" s="100"/>
      <c r="Y14016" s="100"/>
    </row>
    <row r="14017">
      <c r="R14017" s="100"/>
      <c r="V14017" s="100"/>
      <c r="Y14017" s="100"/>
    </row>
    <row r="14018">
      <c r="R14018" s="100"/>
      <c r="V14018" s="100"/>
      <c r="Y14018" s="100"/>
    </row>
    <row r="14019">
      <c r="R14019" s="100"/>
      <c r="V14019" s="100"/>
      <c r="Y14019" s="100"/>
    </row>
    <row r="14020">
      <c r="R14020" s="100"/>
      <c r="V14020" s="100"/>
      <c r="Y14020" s="100"/>
    </row>
    <row r="14021">
      <c r="R14021" s="100"/>
      <c r="V14021" s="100"/>
      <c r="Y14021" s="100"/>
    </row>
    <row r="14022">
      <c r="R14022" s="100"/>
      <c r="V14022" s="100"/>
      <c r="Y14022" s="100"/>
    </row>
    <row r="14023">
      <c r="R14023" s="100"/>
      <c r="V14023" s="100"/>
      <c r="Y14023" s="100"/>
    </row>
    <row r="14024">
      <c r="R14024" s="100"/>
      <c r="V14024" s="100"/>
      <c r="Y14024" s="100"/>
    </row>
    <row r="14025">
      <c r="R14025" s="100"/>
      <c r="V14025" s="100"/>
      <c r="Y14025" s="100"/>
    </row>
    <row r="14026">
      <c r="R14026" s="100"/>
      <c r="V14026" s="100"/>
      <c r="Y14026" s="100"/>
    </row>
    <row r="14027">
      <c r="R14027" s="100"/>
      <c r="V14027" s="100"/>
      <c r="Y14027" s="100"/>
    </row>
    <row r="14028">
      <c r="R14028" s="100"/>
      <c r="V14028" s="100"/>
      <c r="Y14028" s="100"/>
    </row>
    <row r="14029">
      <c r="R14029" s="100"/>
      <c r="V14029" s="100"/>
      <c r="Y14029" s="100"/>
    </row>
    <row r="14030">
      <c r="R14030" s="100"/>
      <c r="V14030" s="100"/>
      <c r="Y14030" s="100"/>
    </row>
    <row r="14031">
      <c r="R14031" s="100"/>
      <c r="V14031" s="100"/>
      <c r="Y14031" s="100"/>
    </row>
    <row r="14032">
      <c r="R14032" s="100"/>
      <c r="V14032" s="100"/>
      <c r="Y14032" s="100"/>
    </row>
    <row r="14033">
      <c r="R14033" s="100"/>
      <c r="V14033" s="100"/>
      <c r="Y14033" s="100"/>
    </row>
    <row r="14034">
      <c r="R14034" s="100"/>
      <c r="V14034" s="100"/>
      <c r="Y14034" s="100"/>
    </row>
    <row r="14035">
      <c r="R14035" s="100"/>
      <c r="V14035" s="100"/>
      <c r="Y14035" s="100"/>
    </row>
    <row r="14036">
      <c r="R14036" s="100"/>
      <c r="V14036" s="100"/>
      <c r="Y14036" s="100"/>
    </row>
    <row r="14037">
      <c r="R14037" s="100"/>
      <c r="V14037" s="100"/>
      <c r="Y14037" s="100"/>
    </row>
    <row r="14038">
      <c r="R14038" s="100"/>
      <c r="V14038" s="100"/>
      <c r="Y14038" s="100"/>
    </row>
    <row r="14039">
      <c r="R14039" s="100"/>
      <c r="V14039" s="100"/>
      <c r="Y14039" s="100"/>
    </row>
    <row r="14040">
      <c r="R14040" s="100"/>
      <c r="V14040" s="100"/>
      <c r="Y14040" s="100"/>
    </row>
    <row r="14041">
      <c r="R14041" s="100"/>
      <c r="V14041" s="100"/>
      <c r="Y14041" s="100"/>
    </row>
    <row r="14042">
      <c r="R14042" s="100"/>
      <c r="V14042" s="100"/>
      <c r="Y14042" s="100"/>
    </row>
    <row r="14043">
      <c r="R14043" s="100"/>
      <c r="V14043" s="100"/>
      <c r="Y14043" s="100"/>
    </row>
    <row r="14044">
      <c r="R14044" s="100"/>
      <c r="V14044" s="100"/>
      <c r="Y14044" s="100"/>
    </row>
    <row r="14045">
      <c r="R14045" s="100"/>
      <c r="V14045" s="100"/>
      <c r="Y14045" s="100"/>
    </row>
    <row r="14046">
      <c r="R14046" s="100"/>
      <c r="V14046" s="100"/>
      <c r="Y14046" s="100"/>
    </row>
    <row r="14047">
      <c r="R14047" s="100"/>
      <c r="V14047" s="100"/>
      <c r="Y14047" s="100"/>
    </row>
    <row r="14048">
      <c r="R14048" s="100"/>
      <c r="V14048" s="100"/>
      <c r="Y14048" s="100"/>
    </row>
    <row r="14049">
      <c r="R14049" s="100"/>
      <c r="V14049" s="100"/>
      <c r="Y14049" s="100"/>
    </row>
    <row r="14050">
      <c r="R14050" s="100"/>
      <c r="V14050" s="100"/>
      <c r="Y14050" s="100"/>
    </row>
    <row r="14051">
      <c r="R14051" s="100"/>
      <c r="V14051" s="100"/>
      <c r="Y14051" s="100"/>
    </row>
    <row r="14052">
      <c r="R14052" s="100"/>
      <c r="V14052" s="100"/>
      <c r="Y14052" s="100"/>
    </row>
    <row r="14053">
      <c r="R14053" s="100"/>
      <c r="V14053" s="100"/>
      <c r="Y14053" s="100"/>
    </row>
    <row r="14054">
      <c r="R14054" s="100"/>
      <c r="V14054" s="100"/>
      <c r="Y14054" s="100"/>
    </row>
    <row r="14055">
      <c r="R14055" s="100"/>
      <c r="V14055" s="100"/>
      <c r="Y14055" s="100"/>
    </row>
    <row r="14056">
      <c r="R14056" s="100"/>
      <c r="V14056" s="100"/>
      <c r="Y14056" s="100"/>
    </row>
    <row r="14057">
      <c r="R14057" s="100"/>
      <c r="V14057" s="100"/>
      <c r="Y14057" s="100"/>
    </row>
    <row r="14058">
      <c r="R14058" s="100"/>
      <c r="V14058" s="100"/>
      <c r="Y14058" s="100"/>
    </row>
    <row r="14059">
      <c r="R14059" s="100"/>
      <c r="V14059" s="100"/>
      <c r="Y14059" s="100"/>
    </row>
    <row r="14060">
      <c r="R14060" s="100"/>
      <c r="V14060" s="100"/>
      <c r="Y14060" s="100"/>
    </row>
    <row r="14061">
      <c r="R14061" s="100"/>
      <c r="V14061" s="100"/>
      <c r="Y14061" s="100"/>
    </row>
    <row r="14062">
      <c r="R14062" s="100"/>
      <c r="V14062" s="100"/>
      <c r="Y14062" s="100"/>
    </row>
    <row r="14063">
      <c r="R14063" s="100"/>
      <c r="V14063" s="100"/>
      <c r="Y14063" s="100"/>
    </row>
    <row r="14064">
      <c r="R14064" s="100"/>
      <c r="V14064" s="100"/>
      <c r="Y14064" s="100"/>
    </row>
    <row r="14065">
      <c r="R14065" s="100"/>
      <c r="V14065" s="100"/>
      <c r="Y14065" s="100"/>
    </row>
    <row r="14066">
      <c r="R14066" s="100"/>
      <c r="V14066" s="100"/>
      <c r="Y14066" s="100"/>
    </row>
    <row r="14067">
      <c r="R14067" s="100"/>
      <c r="V14067" s="100"/>
      <c r="Y14067" s="100"/>
    </row>
    <row r="14068">
      <c r="R14068" s="100"/>
      <c r="V14068" s="100"/>
      <c r="Y14068" s="100"/>
    </row>
    <row r="14069">
      <c r="R14069" s="100"/>
      <c r="V14069" s="100"/>
      <c r="Y14069" s="100"/>
    </row>
    <row r="14070">
      <c r="R14070" s="100"/>
      <c r="V14070" s="100"/>
      <c r="Y14070" s="100"/>
    </row>
    <row r="14071">
      <c r="R14071" s="100"/>
      <c r="V14071" s="100"/>
      <c r="Y14071" s="100"/>
    </row>
    <row r="14072">
      <c r="R14072" s="100"/>
      <c r="V14072" s="100"/>
      <c r="Y14072" s="100"/>
    </row>
    <row r="14073">
      <c r="R14073" s="100"/>
      <c r="V14073" s="100"/>
      <c r="Y14073" s="100"/>
    </row>
    <row r="14074">
      <c r="R14074" s="100"/>
      <c r="V14074" s="100"/>
      <c r="Y14074" s="100"/>
    </row>
    <row r="14075">
      <c r="R14075" s="100"/>
      <c r="V14075" s="100"/>
      <c r="Y14075" s="100"/>
    </row>
    <row r="14076">
      <c r="R14076" s="100"/>
      <c r="V14076" s="100"/>
      <c r="Y14076" s="100"/>
    </row>
    <row r="14077">
      <c r="R14077" s="100"/>
      <c r="V14077" s="100"/>
      <c r="Y14077" s="100"/>
    </row>
    <row r="14078">
      <c r="R14078" s="100"/>
      <c r="V14078" s="100"/>
      <c r="Y14078" s="100"/>
    </row>
    <row r="14079">
      <c r="R14079" s="100"/>
      <c r="V14079" s="100"/>
      <c r="Y14079" s="100"/>
    </row>
    <row r="14080">
      <c r="R14080" s="100"/>
      <c r="V14080" s="100"/>
      <c r="Y14080" s="100"/>
    </row>
    <row r="14081">
      <c r="R14081" s="100"/>
      <c r="V14081" s="100"/>
      <c r="Y14081" s="100"/>
    </row>
    <row r="14082">
      <c r="R14082" s="100"/>
      <c r="V14082" s="100"/>
      <c r="Y14082" s="100"/>
    </row>
    <row r="14083">
      <c r="R14083" s="100"/>
      <c r="V14083" s="100"/>
      <c r="Y14083" s="100"/>
    </row>
    <row r="14084">
      <c r="R14084" s="100"/>
      <c r="V14084" s="100"/>
      <c r="Y14084" s="100"/>
    </row>
    <row r="14085">
      <c r="R14085" s="100"/>
      <c r="V14085" s="100"/>
      <c r="Y14085" s="100"/>
    </row>
    <row r="14086">
      <c r="R14086" s="100"/>
      <c r="V14086" s="100"/>
      <c r="Y14086" s="100"/>
    </row>
    <row r="14087">
      <c r="R14087" s="100"/>
      <c r="V14087" s="100"/>
      <c r="Y14087" s="100"/>
    </row>
    <row r="14088">
      <c r="R14088" s="100"/>
      <c r="V14088" s="100"/>
      <c r="Y14088" s="100"/>
    </row>
    <row r="14089">
      <c r="R14089" s="100"/>
      <c r="V14089" s="100"/>
      <c r="Y14089" s="100"/>
    </row>
    <row r="14090">
      <c r="R14090" s="100"/>
      <c r="V14090" s="100"/>
      <c r="Y14090" s="100"/>
    </row>
    <row r="14091">
      <c r="R14091" s="100"/>
      <c r="V14091" s="100"/>
      <c r="Y14091" s="100"/>
    </row>
    <row r="14092">
      <c r="R14092" s="100"/>
      <c r="V14092" s="100"/>
      <c r="Y14092" s="100"/>
    </row>
    <row r="14093">
      <c r="R14093" s="100"/>
      <c r="V14093" s="100"/>
      <c r="Y14093" s="100"/>
    </row>
    <row r="14094">
      <c r="R14094" s="100"/>
      <c r="V14094" s="100"/>
      <c r="Y14094" s="100"/>
    </row>
    <row r="14095">
      <c r="R14095" s="100"/>
      <c r="V14095" s="100"/>
      <c r="Y14095" s="100"/>
    </row>
    <row r="14096">
      <c r="R14096" s="100"/>
      <c r="V14096" s="100"/>
      <c r="Y14096" s="100"/>
    </row>
    <row r="14097">
      <c r="R14097" s="100"/>
      <c r="V14097" s="100"/>
      <c r="Y14097" s="100"/>
    </row>
    <row r="14098">
      <c r="R14098" s="100"/>
      <c r="V14098" s="100"/>
      <c r="Y14098" s="100"/>
    </row>
    <row r="14099">
      <c r="R14099" s="100"/>
      <c r="V14099" s="100"/>
      <c r="Y14099" s="100"/>
    </row>
    <row r="14100">
      <c r="R14100" s="100"/>
      <c r="V14100" s="100"/>
      <c r="Y14100" s="100"/>
    </row>
    <row r="14101">
      <c r="R14101" s="100"/>
      <c r="V14101" s="100"/>
      <c r="Y14101" s="100"/>
    </row>
    <row r="14102">
      <c r="R14102" s="100"/>
      <c r="V14102" s="100"/>
      <c r="Y14102" s="100"/>
    </row>
    <row r="14103">
      <c r="R14103" s="100"/>
      <c r="V14103" s="100"/>
      <c r="Y14103" s="100"/>
    </row>
    <row r="14104">
      <c r="R14104" s="100"/>
      <c r="V14104" s="100"/>
      <c r="Y14104" s="100"/>
    </row>
    <row r="14105">
      <c r="R14105" s="100"/>
      <c r="V14105" s="100"/>
      <c r="Y14105" s="100"/>
    </row>
    <row r="14106">
      <c r="R14106" s="100"/>
      <c r="V14106" s="100"/>
      <c r="Y14106" s="100"/>
    </row>
    <row r="14107">
      <c r="R14107" s="100"/>
      <c r="V14107" s="100"/>
      <c r="Y14107" s="100"/>
    </row>
    <row r="14108">
      <c r="R14108" s="100"/>
      <c r="V14108" s="100"/>
      <c r="Y14108" s="100"/>
    </row>
    <row r="14109">
      <c r="R14109" s="100"/>
      <c r="V14109" s="100"/>
      <c r="Y14109" s="100"/>
    </row>
    <row r="14110">
      <c r="R14110" s="100"/>
      <c r="V14110" s="100"/>
      <c r="Y14110" s="100"/>
    </row>
    <row r="14111">
      <c r="R14111" s="100"/>
      <c r="V14111" s="100"/>
      <c r="Y14111" s="100"/>
    </row>
    <row r="14112">
      <c r="R14112" s="100"/>
      <c r="V14112" s="100"/>
      <c r="Y14112" s="100"/>
    </row>
    <row r="14113">
      <c r="R14113" s="100"/>
      <c r="V14113" s="100"/>
      <c r="Y14113" s="100"/>
    </row>
    <row r="14114">
      <c r="R14114" s="100"/>
      <c r="V14114" s="100"/>
      <c r="Y14114" s="100"/>
    </row>
    <row r="14115">
      <c r="R14115" s="100"/>
      <c r="V14115" s="100"/>
      <c r="Y14115" s="100"/>
    </row>
    <row r="14116">
      <c r="R14116" s="100"/>
      <c r="V14116" s="100"/>
      <c r="Y14116" s="100"/>
    </row>
    <row r="14117">
      <c r="R14117" s="100"/>
      <c r="V14117" s="100"/>
      <c r="Y14117" s="100"/>
    </row>
    <row r="14118">
      <c r="R14118" s="100"/>
      <c r="V14118" s="100"/>
      <c r="Y14118" s="100"/>
    </row>
    <row r="14119">
      <c r="R14119" s="100"/>
      <c r="V14119" s="100"/>
      <c r="Y14119" s="100"/>
    </row>
    <row r="14120">
      <c r="R14120" s="100"/>
      <c r="V14120" s="100"/>
      <c r="Y14120" s="100"/>
    </row>
    <row r="14121">
      <c r="R14121" s="100"/>
      <c r="V14121" s="100"/>
      <c r="Y14121" s="100"/>
    </row>
    <row r="14122">
      <c r="R14122" s="100"/>
      <c r="V14122" s="100"/>
      <c r="Y14122" s="100"/>
    </row>
    <row r="14123">
      <c r="R14123" s="100"/>
      <c r="V14123" s="100"/>
      <c r="Y14123" s="100"/>
    </row>
    <row r="14124">
      <c r="R14124" s="100"/>
      <c r="V14124" s="100"/>
      <c r="Y14124" s="100"/>
    </row>
    <row r="14125">
      <c r="R14125" s="100"/>
      <c r="V14125" s="100"/>
      <c r="Y14125" s="100"/>
    </row>
    <row r="14126">
      <c r="R14126" s="100"/>
      <c r="V14126" s="100"/>
      <c r="Y14126" s="100"/>
    </row>
    <row r="14127">
      <c r="R14127" s="100"/>
      <c r="V14127" s="100"/>
      <c r="Y14127" s="100"/>
    </row>
    <row r="14128">
      <c r="R14128" s="100"/>
      <c r="V14128" s="100"/>
      <c r="Y14128" s="100"/>
    </row>
    <row r="14129">
      <c r="R14129" s="100"/>
      <c r="V14129" s="100"/>
      <c r="Y14129" s="100"/>
    </row>
    <row r="14130">
      <c r="R14130" s="100"/>
      <c r="V14130" s="100"/>
      <c r="Y14130" s="100"/>
    </row>
    <row r="14131">
      <c r="R14131" s="100"/>
      <c r="V14131" s="100"/>
      <c r="Y14131" s="100"/>
    </row>
    <row r="14132">
      <c r="R14132" s="100"/>
      <c r="V14132" s="100"/>
      <c r="Y14132" s="100"/>
    </row>
    <row r="14133">
      <c r="R14133" s="100"/>
      <c r="V14133" s="100"/>
      <c r="Y14133" s="100"/>
    </row>
    <row r="14134">
      <c r="R14134" s="100"/>
      <c r="V14134" s="100"/>
      <c r="Y14134" s="100"/>
    </row>
    <row r="14135">
      <c r="R14135" s="100"/>
      <c r="V14135" s="100"/>
      <c r="Y14135" s="100"/>
    </row>
    <row r="14136">
      <c r="R14136" s="100"/>
      <c r="V14136" s="100"/>
      <c r="Y14136" s="100"/>
    </row>
    <row r="14137">
      <c r="R14137" s="100"/>
      <c r="V14137" s="100"/>
      <c r="Y14137" s="100"/>
    </row>
    <row r="14138">
      <c r="R14138" s="100"/>
      <c r="V14138" s="100"/>
      <c r="Y14138" s="100"/>
    </row>
    <row r="14139">
      <c r="R14139" s="100"/>
      <c r="V14139" s="100"/>
      <c r="Y14139" s="100"/>
    </row>
    <row r="14140">
      <c r="R14140" s="100"/>
      <c r="V14140" s="100"/>
      <c r="Y14140" s="100"/>
    </row>
    <row r="14141">
      <c r="R14141" s="100"/>
      <c r="V14141" s="100"/>
      <c r="Y14141" s="100"/>
    </row>
    <row r="14142">
      <c r="R14142" s="100"/>
      <c r="V14142" s="100"/>
      <c r="Y14142" s="100"/>
    </row>
    <row r="14143">
      <c r="R14143" s="100"/>
      <c r="V14143" s="100"/>
      <c r="Y14143" s="100"/>
    </row>
    <row r="14144">
      <c r="R14144" s="100"/>
      <c r="V14144" s="100"/>
      <c r="Y14144" s="100"/>
    </row>
    <row r="14145">
      <c r="R14145" s="100"/>
      <c r="V14145" s="100"/>
      <c r="Y14145" s="100"/>
    </row>
    <row r="14146">
      <c r="R14146" s="100"/>
      <c r="V14146" s="100"/>
      <c r="Y14146" s="100"/>
    </row>
    <row r="14147">
      <c r="R14147" s="100"/>
      <c r="V14147" s="100"/>
      <c r="Y14147" s="100"/>
    </row>
    <row r="14148">
      <c r="R14148" s="100"/>
      <c r="V14148" s="100"/>
      <c r="Y14148" s="100"/>
    </row>
    <row r="14149">
      <c r="R14149" s="100"/>
      <c r="V14149" s="100"/>
      <c r="Y14149" s="100"/>
    </row>
    <row r="14150">
      <c r="R14150" s="100"/>
      <c r="V14150" s="100"/>
      <c r="Y14150" s="100"/>
    </row>
    <row r="14151">
      <c r="R14151" s="100"/>
      <c r="V14151" s="100"/>
      <c r="Y14151" s="100"/>
    </row>
    <row r="14152">
      <c r="R14152" s="100"/>
      <c r="V14152" s="100"/>
      <c r="Y14152" s="100"/>
    </row>
    <row r="14153">
      <c r="R14153" s="100"/>
      <c r="V14153" s="100"/>
      <c r="Y14153" s="100"/>
    </row>
    <row r="14154">
      <c r="R14154" s="100"/>
      <c r="V14154" s="100"/>
      <c r="Y14154" s="100"/>
    </row>
    <row r="14155">
      <c r="R14155" s="100"/>
      <c r="V14155" s="100"/>
      <c r="Y14155" s="100"/>
    </row>
    <row r="14156">
      <c r="R14156" s="100"/>
      <c r="V14156" s="100"/>
      <c r="Y14156" s="100"/>
    </row>
    <row r="14157">
      <c r="R14157" s="100"/>
      <c r="V14157" s="100"/>
      <c r="Y14157" s="100"/>
    </row>
    <row r="14158">
      <c r="R14158" s="100"/>
      <c r="V14158" s="100"/>
      <c r="Y14158" s="100"/>
    </row>
    <row r="14159">
      <c r="R14159" s="100"/>
      <c r="V14159" s="100"/>
      <c r="Y14159" s="100"/>
    </row>
    <row r="14160">
      <c r="R14160" s="100"/>
      <c r="V14160" s="100"/>
      <c r="Y14160" s="100"/>
    </row>
    <row r="14161">
      <c r="R14161" s="100"/>
      <c r="V14161" s="100"/>
      <c r="Y14161" s="100"/>
    </row>
    <row r="14162">
      <c r="R14162" s="100"/>
      <c r="V14162" s="100"/>
      <c r="Y14162" s="100"/>
    </row>
    <row r="14163">
      <c r="R14163" s="100"/>
      <c r="V14163" s="100"/>
      <c r="Y14163" s="100"/>
    </row>
    <row r="14164">
      <c r="R14164" s="100"/>
      <c r="V14164" s="100"/>
      <c r="Y14164" s="100"/>
    </row>
    <row r="14165">
      <c r="R14165" s="100"/>
      <c r="V14165" s="100"/>
      <c r="Y14165" s="100"/>
    </row>
    <row r="14166">
      <c r="R14166" s="100"/>
      <c r="V14166" s="100"/>
      <c r="Y14166" s="100"/>
    </row>
    <row r="14167">
      <c r="R14167" s="100"/>
      <c r="V14167" s="100"/>
      <c r="Y14167" s="100"/>
    </row>
    <row r="14168">
      <c r="R14168" s="100"/>
      <c r="V14168" s="100"/>
      <c r="Y14168" s="100"/>
    </row>
    <row r="14169">
      <c r="R14169" s="100"/>
      <c r="V14169" s="100"/>
      <c r="Y14169" s="100"/>
    </row>
    <row r="14170">
      <c r="R14170" s="100"/>
      <c r="V14170" s="100"/>
      <c r="Y14170" s="100"/>
    </row>
    <row r="14171">
      <c r="R14171" s="100"/>
      <c r="V14171" s="100"/>
      <c r="Y14171" s="100"/>
    </row>
    <row r="14172">
      <c r="R14172" s="100"/>
      <c r="V14172" s="100"/>
      <c r="Y14172" s="100"/>
    </row>
    <row r="14173">
      <c r="R14173" s="100"/>
      <c r="V14173" s="100"/>
      <c r="Y14173" s="100"/>
    </row>
    <row r="14174">
      <c r="R14174" s="100"/>
      <c r="V14174" s="100"/>
      <c r="Y14174" s="100"/>
    </row>
    <row r="14175">
      <c r="R14175" s="100"/>
      <c r="V14175" s="100"/>
      <c r="Y14175" s="100"/>
    </row>
    <row r="14176">
      <c r="R14176" s="100"/>
      <c r="V14176" s="100"/>
      <c r="Y14176" s="100"/>
    </row>
    <row r="14177">
      <c r="R14177" s="100"/>
      <c r="V14177" s="100"/>
      <c r="Y14177" s="100"/>
    </row>
    <row r="14178">
      <c r="R14178" s="100"/>
      <c r="V14178" s="100"/>
      <c r="Y14178" s="100"/>
    </row>
    <row r="14179">
      <c r="R14179" s="100"/>
      <c r="V14179" s="100"/>
      <c r="Y14179" s="100"/>
    </row>
    <row r="14180">
      <c r="R14180" s="100"/>
      <c r="V14180" s="100"/>
      <c r="Y14180" s="100"/>
    </row>
    <row r="14181">
      <c r="R14181" s="100"/>
      <c r="V14181" s="100"/>
      <c r="Y14181" s="100"/>
    </row>
    <row r="14182">
      <c r="R14182" s="100"/>
      <c r="V14182" s="100"/>
      <c r="Y14182" s="100"/>
    </row>
    <row r="14183">
      <c r="R14183" s="100"/>
      <c r="V14183" s="100"/>
      <c r="Y14183" s="100"/>
    </row>
    <row r="14184">
      <c r="R14184" s="100"/>
      <c r="V14184" s="100"/>
      <c r="Y14184" s="100"/>
    </row>
    <row r="14185">
      <c r="R14185" s="100"/>
      <c r="V14185" s="100"/>
      <c r="Y14185" s="100"/>
    </row>
    <row r="14186">
      <c r="R14186" s="100"/>
      <c r="V14186" s="100"/>
      <c r="Y14186" s="100"/>
    </row>
    <row r="14187">
      <c r="R14187" s="100"/>
      <c r="V14187" s="100"/>
      <c r="Y14187" s="100"/>
    </row>
    <row r="14188">
      <c r="R14188" s="100"/>
      <c r="V14188" s="100"/>
      <c r="Y14188" s="100"/>
    </row>
    <row r="14189">
      <c r="R14189" s="100"/>
      <c r="V14189" s="100"/>
      <c r="Y14189" s="100"/>
    </row>
    <row r="14190">
      <c r="R14190" s="100"/>
      <c r="V14190" s="100"/>
      <c r="Y14190" s="100"/>
    </row>
    <row r="14191">
      <c r="R14191" s="100"/>
      <c r="V14191" s="100"/>
      <c r="Y14191" s="100"/>
    </row>
    <row r="14192">
      <c r="R14192" s="100"/>
      <c r="V14192" s="100"/>
      <c r="Y14192" s="100"/>
    </row>
    <row r="14193">
      <c r="R14193" s="100"/>
      <c r="V14193" s="100"/>
      <c r="Y14193" s="100"/>
    </row>
    <row r="14194">
      <c r="R14194" s="100"/>
      <c r="V14194" s="100"/>
      <c r="Y14194" s="100"/>
    </row>
    <row r="14195">
      <c r="R14195" s="100"/>
      <c r="V14195" s="100"/>
      <c r="Y14195" s="100"/>
    </row>
    <row r="14196">
      <c r="R14196" s="100"/>
      <c r="V14196" s="100"/>
      <c r="Y14196" s="100"/>
    </row>
    <row r="14197">
      <c r="R14197" s="100"/>
      <c r="V14197" s="100"/>
      <c r="Y14197" s="100"/>
    </row>
    <row r="14198">
      <c r="R14198" s="100"/>
      <c r="V14198" s="100"/>
      <c r="Y14198" s="100"/>
    </row>
    <row r="14199">
      <c r="R14199" s="100"/>
      <c r="V14199" s="100"/>
      <c r="Y14199" s="100"/>
    </row>
    <row r="14200">
      <c r="R14200" s="100"/>
      <c r="V14200" s="100"/>
      <c r="Y14200" s="100"/>
    </row>
    <row r="14201">
      <c r="R14201" s="100"/>
      <c r="V14201" s="100"/>
      <c r="Y14201" s="100"/>
    </row>
    <row r="14202">
      <c r="R14202" s="100"/>
      <c r="V14202" s="100"/>
      <c r="Y14202" s="100"/>
    </row>
    <row r="14203">
      <c r="R14203" s="100"/>
      <c r="V14203" s="100"/>
      <c r="Y14203" s="100"/>
    </row>
    <row r="14204">
      <c r="R14204" s="100"/>
      <c r="V14204" s="100"/>
      <c r="Y14204" s="100"/>
    </row>
    <row r="14205">
      <c r="R14205" s="100"/>
      <c r="V14205" s="100"/>
      <c r="Y14205" s="100"/>
    </row>
    <row r="14206">
      <c r="R14206" s="100"/>
      <c r="V14206" s="100"/>
      <c r="Y14206" s="100"/>
    </row>
    <row r="14207">
      <c r="R14207" s="100"/>
      <c r="V14207" s="100"/>
      <c r="Y14207" s="100"/>
    </row>
    <row r="14208">
      <c r="R14208" s="100"/>
      <c r="V14208" s="100"/>
      <c r="Y14208" s="100"/>
    </row>
    <row r="14209">
      <c r="R14209" s="100"/>
      <c r="V14209" s="100"/>
      <c r="Y14209" s="100"/>
    </row>
    <row r="14210">
      <c r="R14210" s="100"/>
      <c r="V14210" s="100"/>
      <c r="Y14210" s="100"/>
    </row>
    <row r="14211">
      <c r="R14211" s="100"/>
      <c r="V14211" s="100"/>
      <c r="Y14211" s="100"/>
    </row>
    <row r="14212">
      <c r="R14212" s="100"/>
      <c r="V14212" s="100"/>
      <c r="Y14212" s="100"/>
    </row>
    <row r="14213">
      <c r="R14213" s="100"/>
      <c r="V14213" s="100"/>
      <c r="Y14213" s="100"/>
    </row>
    <row r="14214">
      <c r="R14214" s="100"/>
      <c r="V14214" s="100"/>
      <c r="Y14214" s="100"/>
    </row>
    <row r="14215">
      <c r="R14215" s="100"/>
      <c r="V14215" s="100"/>
      <c r="Y14215" s="100"/>
    </row>
    <row r="14216">
      <c r="R14216" s="100"/>
      <c r="V14216" s="100"/>
      <c r="Y14216" s="100"/>
    </row>
    <row r="14217">
      <c r="R14217" s="100"/>
      <c r="V14217" s="100"/>
      <c r="Y14217" s="100"/>
    </row>
    <row r="14218">
      <c r="R14218" s="100"/>
      <c r="V14218" s="100"/>
      <c r="Y14218" s="100"/>
    </row>
    <row r="14219">
      <c r="R14219" s="100"/>
      <c r="V14219" s="100"/>
      <c r="Y14219" s="100"/>
    </row>
    <row r="14220">
      <c r="R14220" s="100"/>
      <c r="V14220" s="100"/>
      <c r="Y14220" s="100"/>
    </row>
    <row r="14221">
      <c r="R14221" s="100"/>
      <c r="V14221" s="100"/>
      <c r="Y14221" s="100"/>
    </row>
    <row r="14222">
      <c r="R14222" s="100"/>
      <c r="V14222" s="100"/>
      <c r="Y14222" s="100"/>
    </row>
    <row r="14223">
      <c r="R14223" s="100"/>
      <c r="V14223" s="100"/>
      <c r="Y14223" s="100"/>
    </row>
    <row r="14224">
      <c r="R14224" s="100"/>
      <c r="V14224" s="100"/>
      <c r="Y14224" s="100"/>
    </row>
    <row r="14225">
      <c r="R14225" s="100"/>
      <c r="V14225" s="100"/>
      <c r="Y14225" s="100"/>
    </row>
    <row r="14226">
      <c r="R14226" s="100"/>
      <c r="V14226" s="100"/>
      <c r="Y14226" s="100"/>
    </row>
    <row r="14227">
      <c r="R14227" s="100"/>
      <c r="V14227" s="100"/>
      <c r="Y14227" s="100"/>
    </row>
    <row r="14228">
      <c r="R14228" s="100"/>
      <c r="V14228" s="100"/>
      <c r="Y14228" s="100"/>
    </row>
    <row r="14229">
      <c r="R14229" s="100"/>
      <c r="V14229" s="100"/>
      <c r="Y14229" s="100"/>
    </row>
    <row r="14230">
      <c r="R14230" s="100"/>
      <c r="V14230" s="100"/>
      <c r="Y14230" s="100"/>
    </row>
    <row r="14231">
      <c r="R14231" s="100"/>
      <c r="V14231" s="100"/>
      <c r="Y14231" s="100"/>
    </row>
    <row r="14232">
      <c r="R14232" s="100"/>
      <c r="V14232" s="100"/>
      <c r="Y14232" s="100"/>
    </row>
    <row r="14233">
      <c r="R14233" s="100"/>
      <c r="V14233" s="100"/>
      <c r="Y14233" s="100"/>
    </row>
    <row r="14234">
      <c r="R14234" s="100"/>
      <c r="V14234" s="100"/>
      <c r="Y14234" s="100"/>
    </row>
    <row r="14235">
      <c r="R14235" s="100"/>
      <c r="V14235" s="100"/>
      <c r="Y14235" s="100"/>
    </row>
    <row r="14236">
      <c r="R14236" s="100"/>
      <c r="V14236" s="100"/>
      <c r="Y14236" s="100"/>
    </row>
    <row r="14237">
      <c r="R14237" s="100"/>
      <c r="V14237" s="100"/>
      <c r="Y14237" s="100"/>
    </row>
    <row r="14238">
      <c r="R14238" s="100"/>
      <c r="V14238" s="100"/>
      <c r="Y14238" s="100"/>
    </row>
    <row r="14239">
      <c r="R14239" s="100"/>
      <c r="V14239" s="100"/>
      <c r="Y14239" s="100"/>
    </row>
    <row r="14240">
      <c r="R14240" s="100"/>
      <c r="V14240" s="100"/>
      <c r="Y14240" s="100"/>
    </row>
    <row r="14241">
      <c r="R14241" s="100"/>
      <c r="V14241" s="100"/>
      <c r="Y14241" s="100"/>
    </row>
    <row r="14242">
      <c r="R14242" s="100"/>
      <c r="V14242" s="100"/>
      <c r="Y14242" s="100"/>
    </row>
    <row r="14243">
      <c r="R14243" s="100"/>
      <c r="V14243" s="100"/>
      <c r="Y14243" s="100"/>
    </row>
    <row r="14244">
      <c r="R14244" s="100"/>
      <c r="V14244" s="100"/>
      <c r="Y14244" s="100"/>
    </row>
    <row r="14245">
      <c r="R14245" s="100"/>
      <c r="V14245" s="100"/>
      <c r="Y14245" s="100"/>
    </row>
    <row r="14246">
      <c r="R14246" s="100"/>
      <c r="V14246" s="100"/>
      <c r="Y14246" s="100"/>
    </row>
    <row r="14247">
      <c r="R14247" s="100"/>
      <c r="V14247" s="100"/>
      <c r="Y14247" s="100"/>
    </row>
    <row r="14248">
      <c r="R14248" s="100"/>
      <c r="V14248" s="100"/>
      <c r="Y14248" s="100"/>
    </row>
    <row r="14249">
      <c r="R14249" s="100"/>
      <c r="V14249" s="100"/>
      <c r="Y14249" s="100"/>
    </row>
    <row r="14250">
      <c r="R14250" s="100"/>
      <c r="V14250" s="100"/>
      <c r="Y14250" s="100"/>
    </row>
    <row r="14251">
      <c r="R14251" s="100"/>
      <c r="V14251" s="100"/>
      <c r="Y14251" s="100"/>
    </row>
    <row r="14252">
      <c r="R14252" s="100"/>
      <c r="V14252" s="100"/>
      <c r="Y14252" s="100"/>
    </row>
    <row r="14253">
      <c r="R14253" s="100"/>
      <c r="V14253" s="100"/>
      <c r="Y14253" s="100"/>
    </row>
    <row r="14254">
      <c r="R14254" s="100"/>
      <c r="V14254" s="100"/>
      <c r="Y14254" s="100"/>
    </row>
    <row r="14255">
      <c r="R14255" s="100"/>
      <c r="V14255" s="100"/>
      <c r="Y14255" s="100"/>
    </row>
    <row r="14256">
      <c r="R14256" s="100"/>
      <c r="V14256" s="100"/>
      <c r="Y14256" s="100"/>
    </row>
    <row r="14257">
      <c r="R14257" s="100"/>
      <c r="V14257" s="100"/>
      <c r="Y14257" s="100"/>
    </row>
    <row r="14258">
      <c r="R14258" s="100"/>
      <c r="V14258" s="100"/>
      <c r="Y14258" s="100"/>
    </row>
    <row r="14259">
      <c r="R14259" s="100"/>
      <c r="V14259" s="100"/>
      <c r="Y14259" s="100"/>
    </row>
    <row r="14260">
      <c r="R14260" s="100"/>
      <c r="V14260" s="100"/>
      <c r="Y14260" s="100"/>
    </row>
    <row r="14261">
      <c r="R14261" s="100"/>
      <c r="V14261" s="100"/>
      <c r="Y14261" s="100"/>
    </row>
    <row r="14262">
      <c r="R14262" s="100"/>
      <c r="V14262" s="100"/>
      <c r="Y14262" s="100"/>
    </row>
    <row r="14263">
      <c r="R14263" s="100"/>
      <c r="V14263" s="100"/>
      <c r="Y14263" s="100"/>
    </row>
    <row r="14264">
      <c r="R14264" s="100"/>
      <c r="V14264" s="100"/>
      <c r="Y14264" s="100"/>
    </row>
    <row r="14265">
      <c r="R14265" s="100"/>
      <c r="V14265" s="100"/>
      <c r="Y14265" s="100"/>
    </row>
    <row r="14266">
      <c r="R14266" s="100"/>
      <c r="V14266" s="100"/>
      <c r="Y14266" s="100"/>
    </row>
    <row r="14267">
      <c r="R14267" s="100"/>
      <c r="V14267" s="100"/>
      <c r="Y14267" s="100"/>
    </row>
    <row r="14268">
      <c r="R14268" s="100"/>
      <c r="V14268" s="100"/>
      <c r="Y14268" s="100"/>
    </row>
    <row r="14269">
      <c r="R14269" s="100"/>
      <c r="V14269" s="100"/>
      <c r="Y14269" s="100"/>
    </row>
    <row r="14270">
      <c r="R14270" s="100"/>
      <c r="V14270" s="100"/>
      <c r="Y14270" s="100"/>
    </row>
    <row r="14271">
      <c r="R14271" s="100"/>
      <c r="V14271" s="100"/>
      <c r="Y14271" s="100"/>
    </row>
    <row r="14272">
      <c r="R14272" s="100"/>
      <c r="V14272" s="100"/>
      <c r="Y14272" s="100"/>
    </row>
    <row r="14273">
      <c r="R14273" s="100"/>
      <c r="V14273" s="100"/>
      <c r="Y14273" s="100"/>
    </row>
    <row r="14274">
      <c r="R14274" s="100"/>
      <c r="V14274" s="100"/>
      <c r="Y14274" s="100"/>
    </row>
    <row r="14275">
      <c r="R14275" s="100"/>
      <c r="V14275" s="100"/>
      <c r="Y14275" s="100"/>
    </row>
    <row r="14276">
      <c r="R14276" s="100"/>
      <c r="V14276" s="100"/>
      <c r="Y14276" s="100"/>
    </row>
    <row r="14277">
      <c r="R14277" s="100"/>
      <c r="V14277" s="100"/>
      <c r="Y14277" s="100"/>
    </row>
    <row r="14278">
      <c r="R14278" s="100"/>
      <c r="V14278" s="100"/>
      <c r="Y14278" s="100"/>
    </row>
    <row r="14279">
      <c r="R14279" s="100"/>
      <c r="V14279" s="100"/>
      <c r="Y14279" s="100"/>
    </row>
    <row r="14280">
      <c r="R14280" s="100"/>
      <c r="V14280" s="100"/>
      <c r="Y14280" s="100"/>
    </row>
    <row r="14281">
      <c r="R14281" s="100"/>
      <c r="V14281" s="100"/>
      <c r="Y14281" s="100"/>
    </row>
    <row r="14282">
      <c r="R14282" s="100"/>
      <c r="V14282" s="100"/>
      <c r="Y14282" s="100"/>
    </row>
    <row r="14283">
      <c r="R14283" s="100"/>
      <c r="V14283" s="100"/>
      <c r="Y14283" s="100"/>
    </row>
    <row r="14284">
      <c r="R14284" s="100"/>
      <c r="V14284" s="100"/>
      <c r="Y14284" s="100"/>
    </row>
    <row r="14285">
      <c r="R14285" s="100"/>
      <c r="V14285" s="100"/>
      <c r="Y14285" s="100"/>
    </row>
    <row r="14286">
      <c r="R14286" s="100"/>
      <c r="V14286" s="100"/>
      <c r="Y14286" s="100"/>
    </row>
    <row r="14287">
      <c r="R14287" s="100"/>
      <c r="V14287" s="100"/>
      <c r="Y14287" s="100"/>
    </row>
    <row r="14288">
      <c r="R14288" s="100"/>
      <c r="V14288" s="100"/>
      <c r="Y14288" s="100"/>
    </row>
    <row r="14289">
      <c r="R14289" s="100"/>
      <c r="V14289" s="100"/>
      <c r="Y14289" s="100"/>
    </row>
    <row r="14290">
      <c r="R14290" s="100"/>
      <c r="V14290" s="100"/>
      <c r="Y14290" s="100"/>
    </row>
    <row r="14291">
      <c r="R14291" s="100"/>
      <c r="V14291" s="100"/>
      <c r="Y14291" s="100"/>
    </row>
    <row r="14292">
      <c r="R14292" s="100"/>
      <c r="V14292" s="100"/>
      <c r="Y14292" s="100"/>
    </row>
    <row r="14293">
      <c r="R14293" s="100"/>
      <c r="V14293" s="100"/>
      <c r="Y14293" s="100"/>
    </row>
    <row r="14294">
      <c r="R14294" s="100"/>
      <c r="V14294" s="100"/>
      <c r="Y14294" s="100"/>
    </row>
    <row r="14295">
      <c r="R14295" s="100"/>
      <c r="V14295" s="100"/>
      <c r="Y14295" s="100"/>
    </row>
    <row r="14296">
      <c r="R14296" s="100"/>
      <c r="V14296" s="100"/>
      <c r="Y14296" s="100"/>
    </row>
    <row r="14297">
      <c r="R14297" s="100"/>
      <c r="V14297" s="100"/>
      <c r="Y14297" s="100"/>
    </row>
    <row r="14298">
      <c r="R14298" s="100"/>
      <c r="V14298" s="100"/>
      <c r="Y14298" s="100"/>
    </row>
    <row r="14299">
      <c r="R14299" s="100"/>
      <c r="V14299" s="100"/>
      <c r="Y14299" s="100"/>
    </row>
    <row r="14300">
      <c r="R14300" s="100"/>
      <c r="V14300" s="100"/>
      <c r="Y14300" s="100"/>
    </row>
    <row r="14301">
      <c r="R14301" s="100"/>
      <c r="V14301" s="100"/>
      <c r="Y14301" s="100"/>
    </row>
    <row r="14302">
      <c r="R14302" s="100"/>
      <c r="V14302" s="100"/>
      <c r="Y14302" s="100"/>
    </row>
    <row r="14303">
      <c r="R14303" s="100"/>
      <c r="V14303" s="100"/>
      <c r="Y14303" s="100"/>
    </row>
    <row r="14304">
      <c r="R14304" s="100"/>
      <c r="V14304" s="100"/>
      <c r="Y14304" s="100"/>
    </row>
    <row r="14305">
      <c r="R14305" s="100"/>
      <c r="V14305" s="100"/>
      <c r="Y14305" s="100"/>
    </row>
    <row r="14306">
      <c r="R14306" s="100"/>
      <c r="V14306" s="100"/>
      <c r="Y14306" s="100"/>
    </row>
    <row r="14307">
      <c r="R14307" s="100"/>
      <c r="V14307" s="100"/>
      <c r="Y14307" s="100"/>
    </row>
    <row r="14308">
      <c r="R14308" s="100"/>
      <c r="V14308" s="100"/>
      <c r="Y14308" s="100"/>
    </row>
    <row r="14309">
      <c r="R14309" s="100"/>
      <c r="V14309" s="100"/>
      <c r="Y14309" s="100"/>
    </row>
    <row r="14310">
      <c r="R14310" s="100"/>
      <c r="V14310" s="100"/>
      <c r="Y14310" s="100"/>
    </row>
    <row r="14311">
      <c r="R14311" s="100"/>
      <c r="V14311" s="100"/>
      <c r="Y14311" s="100"/>
    </row>
    <row r="14312">
      <c r="R14312" s="100"/>
      <c r="V14312" s="100"/>
      <c r="Y14312" s="100"/>
    </row>
    <row r="14313">
      <c r="R14313" s="100"/>
      <c r="V14313" s="100"/>
      <c r="Y14313" s="100"/>
    </row>
    <row r="14314">
      <c r="R14314" s="100"/>
      <c r="V14314" s="100"/>
      <c r="Y14314" s="100"/>
    </row>
    <row r="14315">
      <c r="R14315" s="100"/>
      <c r="V14315" s="100"/>
      <c r="Y14315" s="100"/>
    </row>
    <row r="14316">
      <c r="R14316" s="100"/>
      <c r="V14316" s="100"/>
      <c r="Y14316" s="100"/>
    </row>
    <row r="14317">
      <c r="R14317" s="100"/>
      <c r="V14317" s="100"/>
      <c r="Y14317" s="100"/>
    </row>
    <row r="14318">
      <c r="R14318" s="100"/>
      <c r="V14318" s="100"/>
      <c r="Y14318" s="100"/>
    </row>
    <row r="14319">
      <c r="R14319" s="100"/>
      <c r="V14319" s="100"/>
      <c r="Y14319" s="100"/>
    </row>
    <row r="14320">
      <c r="R14320" s="100"/>
      <c r="V14320" s="100"/>
      <c r="Y14320" s="100"/>
    </row>
    <row r="14321">
      <c r="R14321" s="100"/>
      <c r="V14321" s="100"/>
      <c r="Y14321" s="100"/>
    </row>
    <row r="14322">
      <c r="R14322" s="100"/>
      <c r="V14322" s="100"/>
      <c r="Y14322" s="100"/>
    </row>
    <row r="14323">
      <c r="R14323" s="100"/>
      <c r="V14323" s="100"/>
      <c r="Y14323" s="100"/>
    </row>
    <row r="14324">
      <c r="R14324" s="100"/>
      <c r="V14324" s="100"/>
      <c r="Y14324" s="100"/>
    </row>
    <row r="14325">
      <c r="R14325" s="100"/>
      <c r="V14325" s="100"/>
      <c r="Y14325" s="100"/>
    </row>
    <row r="14326">
      <c r="R14326" s="100"/>
      <c r="V14326" s="100"/>
      <c r="Y14326" s="100"/>
    </row>
    <row r="14327">
      <c r="R14327" s="100"/>
      <c r="V14327" s="100"/>
      <c r="Y14327" s="100"/>
    </row>
    <row r="14328">
      <c r="R14328" s="100"/>
      <c r="V14328" s="100"/>
      <c r="Y14328" s="100"/>
    </row>
    <row r="14329">
      <c r="R14329" s="100"/>
      <c r="V14329" s="100"/>
      <c r="Y14329" s="100"/>
    </row>
    <row r="14330">
      <c r="R14330" s="100"/>
      <c r="V14330" s="100"/>
      <c r="Y14330" s="100"/>
    </row>
    <row r="14331">
      <c r="R14331" s="100"/>
      <c r="V14331" s="100"/>
      <c r="Y14331" s="100"/>
    </row>
    <row r="14332">
      <c r="R14332" s="100"/>
      <c r="V14332" s="100"/>
      <c r="Y14332" s="100"/>
    </row>
    <row r="14333">
      <c r="R14333" s="100"/>
      <c r="V14333" s="100"/>
      <c r="Y14333" s="100"/>
    </row>
    <row r="14334">
      <c r="R14334" s="100"/>
      <c r="V14334" s="100"/>
      <c r="Y14334" s="100"/>
    </row>
    <row r="14335">
      <c r="R14335" s="100"/>
      <c r="V14335" s="100"/>
      <c r="Y14335" s="100"/>
    </row>
    <row r="14336">
      <c r="R14336" s="100"/>
      <c r="V14336" s="100"/>
      <c r="Y14336" s="100"/>
    </row>
    <row r="14337">
      <c r="R14337" s="100"/>
      <c r="V14337" s="100"/>
      <c r="Y14337" s="100"/>
    </row>
    <row r="14338">
      <c r="R14338" s="100"/>
      <c r="V14338" s="100"/>
      <c r="Y14338" s="100"/>
    </row>
    <row r="14339">
      <c r="R14339" s="100"/>
      <c r="V14339" s="100"/>
      <c r="Y14339" s="100"/>
    </row>
    <row r="14340">
      <c r="R14340" s="100"/>
      <c r="V14340" s="100"/>
      <c r="Y14340" s="100"/>
    </row>
    <row r="14341">
      <c r="R14341" s="100"/>
      <c r="V14341" s="100"/>
      <c r="Y14341" s="100"/>
    </row>
    <row r="14342">
      <c r="R14342" s="100"/>
      <c r="V14342" s="100"/>
      <c r="Y14342" s="100"/>
    </row>
    <row r="14343">
      <c r="R14343" s="100"/>
      <c r="V14343" s="100"/>
      <c r="Y14343" s="100"/>
    </row>
    <row r="14344">
      <c r="R14344" s="100"/>
      <c r="V14344" s="100"/>
      <c r="Y14344" s="100"/>
    </row>
    <row r="14345">
      <c r="R14345" s="100"/>
      <c r="V14345" s="100"/>
      <c r="Y14345" s="100"/>
    </row>
    <row r="14346">
      <c r="R14346" s="100"/>
      <c r="V14346" s="100"/>
      <c r="Y14346" s="100"/>
    </row>
    <row r="14347">
      <c r="R14347" s="100"/>
      <c r="V14347" s="100"/>
      <c r="Y14347" s="100"/>
    </row>
    <row r="14348">
      <c r="R14348" s="100"/>
      <c r="V14348" s="100"/>
      <c r="Y14348" s="100"/>
    </row>
    <row r="14349">
      <c r="R14349" s="100"/>
      <c r="V14349" s="100"/>
      <c r="Y14349" s="100"/>
    </row>
    <row r="14350">
      <c r="R14350" s="100"/>
      <c r="V14350" s="100"/>
      <c r="Y14350" s="100"/>
    </row>
    <row r="14351">
      <c r="R14351" s="100"/>
      <c r="V14351" s="100"/>
      <c r="Y14351" s="100"/>
    </row>
    <row r="14352">
      <c r="R14352" s="100"/>
      <c r="V14352" s="100"/>
      <c r="Y14352" s="100"/>
    </row>
    <row r="14353">
      <c r="R14353" s="100"/>
      <c r="V14353" s="100"/>
      <c r="Y14353" s="100"/>
    </row>
    <row r="14354">
      <c r="R14354" s="100"/>
      <c r="V14354" s="100"/>
      <c r="Y14354" s="100"/>
    </row>
    <row r="14355">
      <c r="R14355" s="100"/>
      <c r="V14355" s="100"/>
      <c r="Y14355" s="100"/>
    </row>
    <row r="14356">
      <c r="R14356" s="100"/>
      <c r="V14356" s="100"/>
      <c r="Y14356" s="100"/>
    </row>
    <row r="14357">
      <c r="R14357" s="100"/>
      <c r="V14357" s="100"/>
      <c r="Y14357" s="100"/>
    </row>
    <row r="14358">
      <c r="R14358" s="100"/>
      <c r="V14358" s="100"/>
      <c r="Y14358" s="100"/>
    </row>
    <row r="14359">
      <c r="R14359" s="100"/>
      <c r="V14359" s="100"/>
      <c r="Y14359" s="100"/>
    </row>
    <row r="14360">
      <c r="R14360" s="100"/>
      <c r="V14360" s="100"/>
      <c r="Y14360" s="100"/>
    </row>
    <row r="14361">
      <c r="R14361" s="100"/>
      <c r="V14361" s="100"/>
      <c r="Y14361" s="100"/>
    </row>
    <row r="14362">
      <c r="R14362" s="100"/>
      <c r="V14362" s="100"/>
      <c r="Y14362" s="100"/>
    </row>
    <row r="14363">
      <c r="R14363" s="100"/>
      <c r="V14363" s="100"/>
      <c r="Y14363" s="100"/>
    </row>
    <row r="14364">
      <c r="R14364" s="100"/>
      <c r="V14364" s="100"/>
      <c r="Y14364" s="100"/>
    </row>
    <row r="14365">
      <c r="R14365" s="100"/>
      <c r="V14365" s="100"/>
      <c r="Y14365" s="100"/>
    </row>
    <row r="14366">
      <c r="R14366" s="100"/>
      <c r="V14366" s="100"/>
      <c r="Y14366" s="100"/>
    </row>
    <row r="14367">
      <c r="R14367" s="100"/>
      <c r="V14367" s="100"/>
      <c r="Y14367" s="100"/>
    </row>
    <row r="14368">
      <c r="R14368" s="100"/>
      <c r="V14368" s="100"/>
      <c r="Y14368" s="100"/>
    </row>
    <row r="14369">
      <c r="R14369" s="100"/>
      <c r="V14369" s="100"/>
      <c r="Y14369" s="100"/>
    </row>
    <row r="14370">
      <c r="R14370" s="100"/>
      <c r="V14370" s="100"/>
      <c r="Y14370" s="100"/>
    </row>
    <row r="14371">
      <c r="R14371" s="100"/>
      <c r="V14371" s="100"/>
      <c r="Y14371" s="100"/>
    </row>
    <row r="14372">
      <c r="R14372" s="100"/>
      <c r="V14372" s="100"/>
      <c r="Y14372" s="100"/>
    </row>
    <row r="14373">
      <c r="R14373" s="100"/>
      <c r="V14373" s="100"/>
      <c r="Y14373" s="100"/>
    </row>
    <row r="14374">
      <c r="R14374" s="100"/>
      <c r="V14374" s="100"/>
      <c r="Y14374" s="100"/>
    </row>
    <row r="14375">
      <c r="R14375" s="100"/>
      <c r="V14375" s="100"/>
      <c r="Y14375" s="100"/>
    </row>
    <row r="14376">
      <c r="R14376" s="100"/>
      <c r="V14376" s="100"/>
      <c r="Y14376" s="100"/>
    </row>
    <row r="14377">
      <c r="R14377" s="100"/>
      <c r="V14377" s="100"/>
      <c r="Y14377" s="100"/>
    </row>
    <row r="14378">
      <c r="R14378" s="100"/>
      <c r="V14378" s="100"/>
      <c r="Y14378" s="100"/>
    </row>
    <row r="14379">
      <c r="R14379" s="100"/>
      <c r="V14379" s="100"/>
      <c r="Y14379" s="100"/>
    </row>
    <row r="14380">
      <c r="R14380" s="100"/>
      <c r="V14380" s="100"/>
      <c r="Y14380" s="100"/>
    </row>
    <row r="14381">
      <c r="R14381" s="100"/>
      <c r="V14381" s="100"/>
      <c r="Y14381" s="100"/>
    </row>
    <row r="14382">
      <c r="R14382" s="100"/>
      <c r="V14382" s="100"/>
      <c r="Y14382" s="100"/>
    </row>
    <row r="14383">
      <c r="R14383" s="100"/>
      <c r="V14383" s="100"/>
      <c r="Y14383" s="100"/>
    </row>
    <row r="14384">
      <c r="R14384" s="100"/>
      <c r="V14384" s="100"/>
      <c r="Y14384" s="100"/>
    </row>
    <row r="14385">
      <c r="R14385" s="100"/>
      <c r="V14385" s="100"/>
      <c r="Y14385" s="100"/>
    </row>
    <row r="14386">
      <c r="R14386" s="100"/>
      <c r="V14386" s="100"/>
      <c r="Y14386" s="100"/>
    </row>
    <row r="14387">
      <c r="R14387" s="100"/>
      <c r="V14387" s="100"/>
      <c r="Y14387" s="100"/>
    </row>
    <row r="14388">
      <c r="R14388" s="100"/>
      <c r="V14388" s="100"/>
      <c r="Y14388" s="100"/>
    </row>
    <row r="14389">
      <c r="R14389" s="100"/>
      <c r="V14389" s="100"/>
      <c r="Y14389" s="100"/>
    </row>
    <row r="14390">
      <c r="R14390" s="100"/>
      <c r="V14390" s="100"/>
      <c r="Y14390" s="100"/>
    </row>
    <row r="14391">
      <c r="R14391" s="100"/>
      <c r="V14391" s="100"/>
      <c r="Y14391" s="100"/>
    </row>
    <row r="14392">
      <c r="R14392" s="100"/>
      <c r="V14392" s="100"/>
      <c r="Y14392" s="100"/>
    </row>
    <row r="14393">
      <c r="R14393" s="100"/>
      <c r="V14393" s="100"/>
      <c r="Y14393" s="100"/>
    </row>
    <row r="14394">
      <c r="R14394" s="100"/>
      <c r="V14394" s="100"/>
      <c r="Y14394" s="100"/>
    </row>
    <row r="14395">
      <c r="R14395" s="100"/>
      <c r="V14395" s="100"/>
      <c r="Y14395" s="100"/>
    </row>
    <row r="14396">
      <c r="R14396" s="100"/>
      <c r="V14396" s="100"/>
      <c r="Y14396" s="100"/>
    </row>
    <row r="14397">
      <c r="R14397" s="100"/>
      <c r="V14397" s="100"/>
      <c r="Y14397" s="100"/>
    </row>
    <row r="14398">
      <c r="R14398" s="100"/>
      <c r="V14398" s="100"/>
      <c r="Y14398" s="100"/>
    </row>
    <row r="14399">
      <c r="R14399" s="100"/>
      <c r="V14399" s="100"/>
      <c r="Y14399" s="100"/>
    </row>
    <row r="14400">
      <c r="R14400" s="100"/>
      <c r="V14400" s="100"/>
      <c r="Y14400" s="100"/>
    </row>
    <row r="14401">
      <c r="R14401" s="100"/>
      <c r="V14401" s="100"/>
      <c r="Y14401" s="100"/>
    </row>
    <row r="14402">
      <c r="R14402" s="100"/>
      <c r="V14402" s="100"/>
      <c r="Y14402" s="100"/>
    </row>
    <row r="14403">
      <c r="R14403" s="100"/>
      <c r="V14403" s="100"/>
      <c r="Y14403" s="100"/>
    </row>
    <row r="14404">
      <c r="R14404" s="100"/>
      <c r="V14404" s="100"/>
      <c r="Y14404" s="100"/>
    </row>
    <row r="14405">
      <c r="R14405" s="100"/>
      <c r="V14405" s="100"/>
      <c r="Y14405" s="100"/>
    </row>
    <row r="14406">
      <c r="R14406" s="100"/>
      <c r="V14406" s="100"/>
      <c r="Y14406" s="100"/>
    </row>
    <row r="14407">
      <c r="R14407" s="100"/>
      <c r="V14407" s="100"/>
      <c r="Y14407" s="100"/>
    </row>
    <row r="14408">
      <c r="R14408" s="100"/>
      <c r="V14408" s="100"/>
      <c r="Y14408" s="100"/>
    </row>
    <row r="14409">
      <c r="R14409" s="100"/>
      <c r="V14409" s="100"/>
      <c r="Y14409" s="100"/>
    </row>
    <row r="14410">
      <c r="R14410" s="100"/>
      <c r="V14410" s="100"/>
      <c r="Y14410" s="100"/>
    </row>
    <row r="14411">
      <c r="R14411" s="100"/>
      <c r="V14411" s="100"/>
      <c r="Y14411" s="100"/>
    </row>
    <row r="14412">
      <c r="R14412" s="100"/>
      <c r="V14412" s="100"/>
      <c r="Y14412" s="100"/>
    </row>
    <row r="14413">
      <c r="R14413" s="100"/>
      <c r="V14413" s="100"/>
      <c r="Y14413" s="100"/>
    </row>
    <row r="14414">
      <c r="R14414" s="100"/>
      <c r="V14414" s="100"/>
      <c r="Y14414" s="100"/>
    </row>
    <row r="14415">
      <c r="R14415" s="100"/>
      <c r="V14415" s="100"/>
      <c r="Y14415" s="100"/>
    </row>
    <row r="14416">
      <c r="R14416" s="100"/>
      <c r="V14416" s="100"/>
      <c r="Y14416" s="100"/>
    </row>
    <row r="14417">
      <c r="R14417" s="100"/>
      <c r="V14417" s="100"/>
      <c r="Y14417" s="100"/>
    </row>
    <row r="14418">
      <c r="R14418" s="100"/>
      <c r="V14418" s="100"/>
      <c r="Y14418" s="100"/>
    </row>
    <row r="14419">
      <c r="R14419" s="100"/>
      <c r="V14419" s="100"/>
      <c r="Y14419" s="100"/>
    </row>
    <row r="14420">
      <c r="R14420" s="100"/>
      <c r="V14420" s="100"/>
      <c r="Y14420" s="100"/>
    </row>
    <row r="14421">
      <c r="R14421" s="100"/>
      <c r="V14421" s="100"/>
      <c r="Y14421" s="100"/>
    </row>
    <row r="14422">
      <c r="R14422" s="100"/>
      <c r="V14422" s="100"/>
      <c r="Y14422" s="100"/>
    </row>
    <row r="14423">
      <c r="R14423" s="100"/>
      <c r="V14423" s="100"/>
      <c r="Y14423" s="100"/>
    </row>
    <row r="14424">
      <c r="R14424" s="100"/>
      <c r="V14424" s="100"/>
      <c r="Y14424" s="100"/>
    </row>
    <row r="14425">
      <c r="R14425" s="100"/>
      <c r="V14425" s="100"/>
      <c r="Y14425" s="100"/>
    </row>
    <row r="14426">
      <c r="R14426" s="100"/>
      <c r="V14426" s="100"/>
      <c r="Y14426" s="100"/>
    </row>
    <row r="14427">
      <c r="R14427" s="100"/>
      <c r="V14427" s="100"/>
      <c r="Y14427" s="100"/>
    </row>
    <row r="14428">
      <c r="R14428" s="100"/>
      <c r="V14428" s="100"/>
      <c r="Y14428" s="100"/>
    </row>
    <row r="14429">
      <c r="R14429" s="100"/>
      <c r="V14429" s="100"/>
      <c r="Y14429" s="100"/>
    </row>
    <row r="14430">
      <c r="R14430" s="100"/>
      <c r="V14430" s="100"/>
      <c r="Y14430" s="100"/>
    </row>
    <row r="14431">
      <c r="R14431" s="100"/>
      <c r="V14431" s="100"/>
      <c r="Y14431" s="100"/>
    </row>
    <row r="14432">
      <c r="R14432" s="100"/>
      <c r="V14432" s="100"/>
      <c r="Y14432" s="100"/>
    </row>
    <row r="14433">
      <c r="R14433" s="100"/>
      <c r="V14433" s="100"/>
      <c r="Y14433" s="100"/>
    </row>
    <row r="14434">
      <c r="R14434" s="100"/>
      <c r="V14434" s="100"/>
      <c r="Y14434" s="100"/>
    </row>
    <row r="14435">
      <c r="R14435" s="100"/>
      <c r="V14435" s="100"/>
      <c r="Y14435" s="100"/>
    </row>
    <row r="14436">
      <c r="R14436" s="100"/>
      <c r="V14436" s="100"/>
      <c r="Y14436" s="100"/>
    </row>
    <row r="14437">
      <c r="R14437" s="100"/>
      <c r="V14437" s="100"/>
      <c r="Y14437" s="100"/>
    </row>
    <row r="14438">
      <c r="R14438" s="100"/>
      <c r="V14438" s="100"/>
      <c r="Y14438" s="100"/>
    </row>
    <row r="14439">
      <c r="R14439" s="100"/>
      <c r="V14439" s="100"/>
      <c r="Y14439" s="100"/>
    </row>
    <row r="14440">
      <c r="R14440" s="100"/>
      <c r="V14440" s="100"/>
      <c r="Y14440" s="100"/>
    </row>
    <row r="14441">
      <c r="R14441" s="100"/>
      <c r="V14441" s="100"/>
      <c r="Y14441" s="100"/>
    </row>
    <row r="14442">
      <c r="R14442" s="100"/>
      <c r="V14442" s="100"/>
      <c r="Y14442" s="100"/>
    </row>
    <row r="14443">
      <c r="R14443" s="100"/>
      <c r="V14443" s="100"/>
      <c r="Y14443" s="100"/>
    </row>
    <row r="14444">
      <c r="R14444" s="100"/>
      <c r="V14444" s="100"/>
      <c r="Y14444" s="100"/>
    </row>
    <row r="14445">
      <c r="R14445" s="100"/>
      <c r="V14445" s="100"/>
      <c r="Y14445" s="100"/>
    </row>
    <row r="14446">
      <c r="R14446" s="100"/>
      <c r="V14446" s="100"/>
      <c r="Y14446" s="100"/>
    </row>
    <row r="14447">
      <c r="R14447" s="100"/>
      <c r="V14447" s="100"/>
      <c r="Y14447" s="100"/>
    </row>
    <row r="14448">
      <c r="R14448" s="100"/>
      <c r="V14448" s="100"/>
      <c r="Y14448" s="100"/>
    </row>
    <row r="14449">
      <c r="R14449" s="100"/>
      <c r="V14449" s="100"/>
      <c r="Y14449" s="100"/>
    </row>
    <row r="14450">
      <c r="R14450" s="100"/>
      <c r="V14450" s="100"/>
      <c r="Y14450" s="100"/>
    </row>
    <row r="14451">
      <c r="R14451" s="100"/>
      <c r="V14451" s="100"/>
      <c r="Y14451" s="100"/>
    </row>
    <row r="14452">
      <c r="R14452" s="100"/>
      <c r="V14452" s="100"/>
      <c r="Y14452" s="100"/>
    </row>
    <row r="14453">
      <c r="R14453" s="100"/>
      <c r="V14453" s="100"/>
      <c r="Y14453" s="100"/>
    </row>
    <row r="14454">
      <c r="R14454" s="100"/>
      <c r="V14454" s="100"/>
      <c r="Y14454" s="100"/>
    </row>
    <row r="14455">
      <c r="R14455" s="100"/>
      <c r="V14455" s="100"/>
      <c r="Y14455" s="100"/>
    </row>
    <row r="14456">
      <c r="R14456" s="100"/>
      <c r="V14456" s="100"/>
      <c r="Y14456" s="100"/>
    </row>
    <row r="14457">
      <c r="R14457" s="100"/>
      <c r="V14457" s="100"/>
      <c r="Y14457" s="100"/>
    </row>
    <row r="14458">
      <c r="R14458" s="100"/>
      <c r="V14458" s="100"/>
      <c r="Y14458" s="100"/>
    </row>
    <row r="14459">
      <c r="R14459" s="100"/>
      <c r="V14459" s="100"/>
      <c r="Y14459" s="100"/>
    </row>
    <row r="14460">
      <c r="R14460" s="100"/>
      <c r="V14460" s="100"/>
      <c r="Y14460" s="100"/>
    </row>
    <row r="14461">
      <c r="R14461" s="100"/>
      <c r="V14461" s="100"/>
      <c r="Y14461" s="100"/>
    </row>
    <row r="14462">
      <c r="R14462" s="100"/>
      <c r="V14462" s="100"/>
      <c r="Y14462" s="100"/>
    </row>
    <row r="14463">
      <c r="R14463" s="100"/>
      <c r="V14463" s="100"/>
      <c r="Y14463" s="100"/>
    </row>
    <row r="14464">
      <c r="R14464" s="100"/>
      <c r="V14464" s="100"/>
      <c r="Y14464" s="100"/>
    </row>
    <row r="14465">
      <c r="R14465" s="100"/>
      <c r="V14465" s="100"/>
      <c r="Y14465" s="100"/>
    </row>
    <row r="14466">
      <c r="R14466" s="100"/>
      <c r="V14466" s="100"/>
      <c r="Y14466" s="100"/>
    </row>
    <row r="14467">
      <c r="R14467" s="100"/>
      <c r="V14467" s="100"/>
      <c r="Y14467" s="100"/>
    </row>
    <row r="14468">
      <c r="R14468" s="100"/>
      <c r="V14468" s="100"/>
      <c r="Y14468" s="100"/>
    </row>
    <row r="14469">
      <c r="R14469" s="100"/>
      <c r="V14469" s="100"/>
      <c r="Y14469" s="100"/>
    </row>
    <row r="14470">
      <c r="R14470" s="100"/>
      <c r="V14470" s="100"/>
      <c r="Y14470" s="100"/>
    </row>
    <row r="14471">
      <c r="R14471" s="100"/>
      <c r="V14471" s="100"/>
      <c r="Y14471" s="100"/>
    </row>
    <row r="14472">
      <c r="R14472" s="100"/>
      <c r="V14472" s="100"/>
      <c r="Y14472" s="100"/>
    </row>
    <row r="14473">
      <c r="R14473" s="100"/>
      <c r="V14473" s="100"/>
      <c r="Y14473" s="100"/>
    </row>
    <row r="14474">
      <c r="R14474" s="100"/>
      <c r="V14474" s="100"/>
      <c r="Y14474" s="100"/>
    </row>
    <row r="14475">
      <c r="R14475" s="100"/>
      <c r="V14475" s="100"/>
      <c r="Y14475" s="100"/>
    </row>
    <row r="14476">
      <c r="R14476" s="100"/>
      <c r="V14476" s="100"/>
      <c r="Y14476" s="100"/>
    </row>
    <row r="14477">
      <c r="R14477" s="100"/>
      <c r="V14477" s="100"/>
      <c r="Y14477" s="100"/>
    </row>
    <row r="14478">
      <c r="R14478" s="100"/>
      <c r="V14478" s="100"/>
      <c r="Y14478" s="100"/>
    </row>
    <row r="14479">
      <c r="R14479" s="100"/>
      <c r="V14479" s="100"/>
      <c r="Y14479" s="100"/>
    </row>
    <row r="14480">
      <c r="R14480" s="100"/>
      <c r="V14480" s="100"/>
      <c r="Y14480" s="100"/>
    </row>
    <row r="14481">
      <c r="R14481" s="100"/>
      <c r="V14481" s="100"/>
      <c r="Y14481" s="100"/>
    </row>
    <row r="14482">
      <c r="R14482" s="100"/>
      <c r="V14482" s="100"/>
      <c r="Y14482" s="100"/>
    </row>
    <row r="14483">
      <c r="R14483" s="100"/>
      <c r="V14483" s="100"/>
      <c r="Y14483" s="100"/>
    </row>
    <row r="14484">
      <c r="R14484" s="100"/>
      <c r="V14484" s="100"/>
      <c r="Y14484" s="100"/>
    </row>
    <row r="14485">
      <c r="R14485" s="100"/>
      <c r="V14485" s="100"/>
      <c r="Y14485" s="100"/>
    </row>
    <row r="14486">
      <c r="R14486" s="100"/>
      <c r="V14486" s="100"/>
      <c r="Y14486" s="100"/>
    </row>
    <row r="14487">
      <c r="R14487" s="100"/>
      <c r="V14487" s="100"/>
      <c r="Y14487" s="100"/>
    </row>
    <row r="14488">
      <c r="R14488" s="100"/>
      <c r="V14488" s="100"/>
      <c r="Y14488" s="100"/>
    </row>
    <row r="14489">
      <c r="R14489" s="100"/>
      <c r="V14489" s="100"/>
      <c r="Y14489" s="100"/>
    </row>
    <row r="14490">
      <c r="R14490" s="100"/>
      <c r="V14490" s="100"/>
      <c r="Y14490" s="100"/>
    </row>
    <row r="14491">
      <c r="R14491" s="100"/>
      <c r="V14491" s="100"/>
      <c r="Y14491" s="100"/>
    </row>
    <row r="14492">
      <c r="R14492" s="100"/>
      <c r="V14492" s="100"/>
      <c r="Y14492" s="100"/>
    </row>
    <row r="14493">
      <c r="R14493" s="100"/>
      <c r="V14493" s="100"/>
      <c r="Y14493" s="100"/>
    </row>
    <row r="14494">
      <c r="R14494" s="100"/>
      <c r="V14494" s="100"/>
      <c r="Y14494" s="100"/>
    </row>
    <row r="14495">
      <c r="R14495" s="100"/>
      <c r="V14495" s="100"/>
      <c r="Y14495" s="100"/>
    </row>
    <row r="14496">
      <c r="R14496" s="100"/>
      <c r="V14496" s="100"/>
      <c r="Y14496" s="100"/>
    </row>
    <row r="14497">
      <c r="R14497" s="100"/>
      <c r="V14497" s="100"/>
      <c r="Y14497" s="100"/>
    </row>
    <row r="14498">
      <c r="R14498" s="100"/>
      <c r="V14498" s="100"/>
      <c r="Y14498" s="100"/>
    </row>
    <row r="14499">
      <c r="R14499" s="100"/>
      <c r="V14499" s="100"/>
      <c r="Y14499" s="100"/>
    </row>
    <row r="14500">
      <c r="R14500" s="100"/>
      <c r="V14500" s="100"/>
      <c r="Y14500" s="100"/>
    </row>
    <row r="14501">
      <c r="R14501" s="100"/>
      <c r="V14501" s="100"/>
      <c r="Y14501" s="100"/>
    </row>
    <row r="14502">
      <c r="R14502" s="100"/>
      <c r="V14502" s="100"/>
      <c r="Y14502" s="100"/>
    </row>
    <row r="14503">
      <c r="R14503" s="100"/>
      <c r="V14503" s="100"/>
      <c r="Y14503" s="100"/>
    </row>
    <row r="14504">
      <c r="R14504" s="100"/>
      <c r="V14504" s="100"/>
      <c r="Y14504" s="100"/>
    </row>
    <row r="14505">
      <c r="R14505" s="100"/>
      <c r="V14505" s="100"/>
      <c r="Y14505" s="100"/>
    </row>
    <row r="14506">
      <c r="R14506" s="100"/>
      <c r="V14506" s="100"/>
      <c r="Y14506" s="100"/>
    </row>
    <row r="14507">
      <c r="R14507" s="100"/>
      <c r="V14507" s="100"/>
      <c r="Y14507" s="100"/>
    </row>
    <row r="14508">
      <c r="R14508" s="100"/>
      <c r="V14508" s="100"/>
      <c r="Y14508" s="100"/>
    </row>
    <row r="14509">
      <c r="R14509" s="100"/>
      <c r="V14509" s="100"/>
      <c r="Y14509" s="100"/>
    </row>
    <row r="14510">
      <c r="R14510" s="100"/>
      <c r="V14510" s="100"/>
      <c r="Y14510" s="100"/>
    </row>
    <row r="14511">
      <c r="R14511" s="100"/>
      <c r="V14511" s="100"/>
      <c r="Y14511" s="100"/>
    </row>
    <row r="14512">
      <c r="R14512" s="100"/>
      <c r="V14512" s="100"/>
      <c r="Y14512" s="100"/>
    </row>
    <row r="14513">
      <c r="R14513" s="100"/>
      <c r="V14513" s="100"/>
      <c r="Y14513" s="100"/>
    </row>
    <row r="14514">
      <c r="R14514" s="100"/>
      <c r="V14514" s="100"/>
      <c r="Y14514" s="100"/>
    </row>
    <row r="14515">
      <c r="R14515" s="100"/>
      <c r="V14515" s="100"/>
      <c r="Y14515" s="100"/>
    </row>
    <row r="14516">
      <c r="R14516" s="100"/>
      <c r="V14516" s="100"/>
      <c r="Y14516" s="100"/>
    </row>
    <row r="14517">
      <c r="R14517" s="100"/>
      <c r="V14517" s="100"/>
      <c r="Y14517" s="100"/>
    </row>
    <row r="14518">
      <c r="R14518" s="100"/>
      <c r="V14518" s="100"/>
      <c r="Y14518" s="100"/>
    </row>
    <row r="14519">
      <c r="R14519" s="100"/>
      <c r="V14519" s="100"/>
      <c r="Y14519" s="100"/>
    </row>
    <row r="14520">
      <c r="R14520" s="100"/>
      <c r="V14520" s="100"/>
      <c r="Y14520" s="100"/>
    </row>
    <row r="14521">
      <c r="R14521" s="100"/>
      <c r="V14521" s="100"/>
      <c r="Y14521" s="100"/>
    </row>
    <row r="14522">
      <c r="R14522" s="100"/>
      <c r="V14522" s="100"/>
      <c r="Y14522" s="100"/>
    </row>
    <row r="14523">
      <c r="R14523" s="100"/>
      <c r="V14523" s="100"/>
      <c r="Y14523" s="100"/>
    </row>
    <row r="14524">
      <c r="R14524" s="100"/>
      <c r="V14524" s="100"/>
      <c r="Y14524" s="100"/>
    </row>
    <row r="14525">
      <c r="R14525" s="100"/>
      <c r="V14525" s="100"/>
      <c r="Y14525" s="100"/>
    </row>
    <row r="14526">
      <c r="R14526" s="100"/>
      <c r="V14526" s="100"/>
      <c r="Y14526" s="100"/>
    </row>
    <row r="14527">
      <c r="R14527" s="100"/>
      <c r="V14527" s="100"/>
      <c r="Y14527" s="100"/>
    </row>
    <row r="14528">
      <c r="R14528" s="100"/>
      <c r="V14528" s="100"/>
      <c r="Y14528" s="100"/>
    </row>
    <row r="14529">
      <c r="R14529" s="100"/>
      <c r="V14529" s="100"/>
      <c r="Y14529" s="100"/>
    </row>
    <row r="14530">
      <c r="R14530" s="100"/>
      <c r="V14530" s="100"/>
      <c r="Y14530" s="100"/>
    </row>
    <row r="14531">
      <c r="R14531" s="100"/>
      <c r="V14531" s="100"/>
      <c r="Y14531" s="100"/>
    </row>
    <row r="14532">
      <c r="R14532" s="100"/>
      <c r="V14532" s="100"/>
      <c r="Y14532" s="100"/>
    </row>
    <row r="14533">
      <c r="R14533" s="100"/>
      <c r="V14533" s="100"/>
      <c r="Y14533" s="100"/>
    </row>
    <row r="14534">
      <c r="R14534" s="100"/>
      <c r="V14534" s="100"/>
      <c r="Y14534" s="100"/>
    </row>
    <row r="14535">
      <c r="R14535" s="100"/>
      <c r="V14535" s="100"/>
      <c r="Y14535" s="100"/>
    </row>
    <row r="14536">
      <c r="R14536" s="100"/>
      <c r="V14536" s="100"/>
      <c r="Y14536" s="100"/>
    </row>
    <row r="14537">
      <c r="R14537" s="100"/>
      <c r="V14537" s="100"/>
      <c r="Y14537" s="100"/>
    </row>
    <row r="14538">
      <c r="R14538" s="100"/>
      <c r="V14538" s="100"/>
      <c r="Y14538" s="100"/>
    </row>
    <row r="14539">
      <c r="R14539" s="100"/>
      <c r="V14539" s="100"/>
      <c r="Y14539" s="100"/>
    </row>
    <row r="14540">
      <c r="R14540" s="100"/>
      <c r="V14540" s="100"/>
      <c r="Y14540" s="100"/>
    </row>
    <row r="14541">
      <c r="R14541" s="100"/>
      <c r="V14541" s="100"/>
      <c r="Y14541" s="100"/>
    </row>
    <row r="14542">
      <c r="R14542" s="100"/>
      <c r="V14542" s="100"/>
      <c r="Y14542" s="100"/>
    </row>
    <row r="14543">
      <c r="R14543" s="100"/>
      <c r="V14543" s="100"/>
      <c r="Y14543" s="100"/>
    </row>
    <row r="14544">
      <c r="R14544" s="100"/>
      <c r="V14544" s="100"/>
      <c r="Y14544" s="100"/>
    </row>
    <row r="14545">
      <c r="R14545" s="100"/>
      <c r="V14545" s="100"/>
      <c r="Y14545" s="100"/>
    </row>
    <row r="14546">
      <c r="R14546" s="100"/>
      <c r="V14546" s="100"/>
      <c r="Y14546" s="100"/>
    </row>
    <row r="14547">
      <c r="R14547" s="100"/>
      <c r="V14547" s="100"/>
      <c r="Y14547" s="100"/>
    </row>
    <row r="14548">
      <c r="R14548" s="100"/>
      <c r="V14548" s="100"/>
      <c r="Y14548" s="100"/>
    </row>
    <row r="14549">
      <c r="R14549" s="100"/>
      <c r="V14549" s="100"/>
      <c r="Y14549" s="100"/>
    </row>
    <row r="14550">
      <c r="R14550" s="100"/>
      <c r="V14550" s="100"/>
      <c r="Y14550" s="100"/>
    </row>
    <row r="14551">
      <c r="R14551" s="100"/>
      <c r="V14551" s="100"/>
      <c r="Y14551" s="100"/>
    </row>
    <row r="14552">
      <c r="R14552" s="100"/>
      <c r="V14552" s="100"/>
      <c r="Y14552" s="100"/>
    </row>
    <row r="14553">
      <c r="R14553" s="100"/>
      <c r="V14553" s="100"/>
      <c r="Y14553" s="100"/>
    </row>
    <row r="14554">
      <c r="R14554" s="100"/>
      <c r="V14554" s="100"/>
      <c r="Y14554" s="100"/>
    </row>
    <row r="14555">
      <c r="R14555" s="100"/>
      <c r="V14555" s="100"/>
      <c r="Y14555" s="100"/>
    </row>
    <row r="14556">
      <c r="R14556" s="100"/>
      <c r="V14556" s="100"/>
      <c r="Y14556" s="100"/>
    </row>
    <row r="14557">
      <c r="R14557" s="100"/>
      <c r="V14557" s="100"/>
      <c r="Y14557" s="100"/>
    </row>
    <row r="14558">
      <c r="R14558" s="100"/>
      <c r="V14558" s="100"/>
      <c r="Y14558" s="100"/>
    </row>
    <row r="14559">
      <c r="R14559" s="100"/>
      <c r="V14559" s="100"/>
      <c r="Y14559" s="100"/>
    </row>
    <row r="14560">
      <c r="R14560" s="100"/>
      <c r="V14560" s="100"/>
      <c r="Y14560" s="100"/>
    </row>
    <row r="14561">
      <c r="R14561" s="100"/>
      <c r="V14561" s="100"/>
      <c r="Y14561" s="100"/>
    </row>
    <row r="14562">
      <c r="R14562" s="100"/>
      <c r="V14562" s="100"/>
      <c r="Y14562" s="100"/>
    </row>
    <row r="14563">
      <c r="R14563" s="100"/>
      <c r="V14563" s="100"/>
      <c r="Y14563" s="100"/>
    </row>
    <row r="14564">
      <c r="R14564" s="100"/>
      <c r="V14564" s="100"/>
      <c r="Y14564" s="100"/>
    </row>
    <row r="14565">
      <c r="R14565" s="100"/>
      <c r="V14565" s="100"/>
      <c r="Y14565" s="100"/>
    </row>
    <row r="14566">
      <c r="R14566" s="100"/>
      <c r="V14566" s="100"/>
      <c r="Y14566" s="100"/>
    </row>
    <row r="14567">
      <c r="R14567" s="100"/>
      <c r="V14567" s="100"/>
      <c r="Y14567" s="100"/>
    </row>
    <row r="14568">
      <c r="R14568" s="100"/>
      <c r="V14568" s="100"/>
      <c r="Y14568" s="100"/>
    </row>
    <row r="14569">
      <c r="R14569" s="100"/>
      <c r="V14569" s="100"/>
      <c r="Y14569" s="100"/>
    </row>
    <row r="14570">
      <c r="R14570" s="100"/>
      <c r="V14570" s="100"/>
      <c r="Y14570" s="100"/>
    </row>
    <row r="14571">
      <c r="R14571" s="100"/>
      <c r="V14571" s="100"/>
      <c r="Y14571" s="100"/>
    </row>
    <row r="14572">
      <c r="R14572" s="100"/>
      <c r="V14572" s="100"/>
      <c r="Y14572" s="100"/>
    </row>
    <row r="14573">
      <c r="R14573" s="100"/>
      <c r="V14573" s="100"/>
      <c r="Y14573" s="100"/>
    </row>
    <row r="14574">
      <c r="R14574" s="100"/>
      <c r="V14574" s="100"/>
      <c r="Y14574" s="100"/>
    </row>
    <row r="14575">
      <c r="R14575" s="100"/>
      <c r="V14575" s="100"/>
      <c r="Y14575" s="100"/>
    </row>
    <row r="14576">
      <c r="R14576" s="100"/>
      <c r="V14576" s="100"/>
      <c r="Y14576" s="100"/>
    </row>
    <row r="14577">
      <c r="R14577" s="100"/>
      <c r="V14577" s="100"/>
      <c r="Y14577" s="100"/>
    </row>
    <row r="14578">
      <c r="R14578" s="100"/>
      <c r="V14578" s="100"/>
      <c r="Y14578" s="100"/>
    </row>
    <row r="14579">
      <c r="R14579" s="100"/>
      <c r="V14579" s="100"/>
      <c r="Y14579" s="100"/>
    </row>
    <row r="14580">
      <c r="R14580" s="100"/>
      <c r="V14580" s="100"/>
      <c r="Y14580" s="100"/>
    </row>
    <row r="14581">
      <c r="R14581" s="100"/>
      <c r="V14581" s="100"/>
      <c r="Y14581" s="100"/>
    </row>
    <row r="14582">
      <c r="R14582" s="100"/>
      <c r="V14582" s="100"/>
      <c r="Y14582" s="100"/>
    </row>
    <row r="14583">
      <c r="R14583" s="100"/>
      <c r="V14583" s="100"/>
      <c r="Y14583" s="100"/>
    </row>
    <row r="14584">
      <c r="R14584" s="100"/>
      <c r="V14584" s="100"/>
      <c r="Y14584" s="100"/>
    </row>
    <row r="14585">
      <c r="R14585" s="100"/>
      <c r="V14585" s="100"/>
      <c r="Y14585" s="100"/>
    </row>
    <row r="14586">
      <c r="R14586" s="100"/>
      <c r="V14586" s="100"/>
      <c r="Y14586" s="100"/>
    </row>
    <row r="14587">
      <c r="R14587" s="100"/>
      <c r="V14587" s="100"/>
      <c r="Y14587" s="100"/>
    </row>
    <row r="14588">
      <c r="R14588" s="100"/>
      <c r="V14588" s="100"/>
      <c r="Y14588" s="100"/>
    </row>
    <row r="14589">
      <c r="R14589" s="100"/>
      <c r="V14589" s="100"/>
      <c r="Y14589" s="100"/>
    </row>
    <row r="14590">
      <c r="R14590" s="100"/>
      <c r="V14590" s="100"/>
      <c r="Y14590" s="100"/>
    </row>
    <row r="14591">
      <c r="R14591" s="100"/>
      <c r="V14591" s="100"/>
      <c r="Y14591" s="100"/>
    </row>
    <row r="14592">
      <c r="R14592" s="100"/>
      <c r="V14592" s="100"/>
      <c r="Y14592" s="100"/>
    </row>
    <row r="14593">
      <c r="R14593" s="100"/>
      <c r="V14593" s="100"/>
      <c r="Y14593" s="100"/>
    </row>
    <row r="14594">
      <c r="R14594" s="100"/>
      <c r="V14594" s="100"/>
      <c r="Y14594" s="100"/>
    </row>
    <row r="14595">
      <c r="R14595" s="100"/>
      <c r="V14595" s="100"/>
      <c r="Y14595" s="100"/>
    </row>
    <row r="14596">
      <c r="R14596" s="100"/>
      <c r="V14596" s="100"/>
      <c r="Y14596" s="100"/>
    </row>
    <row r="14597">
      <c r="R14597" s="100"/>
      <c r="V14597" s="100"/>
      <c r="Y14597" s="100"/>
    </row>
    <row r="14598">
      <c r="R14598" s="100"/>
      <c r="V14598" s="100"/>
      <c r="Y14598" s="100"/>
    </row>
    <row r="14599">
      <c r="R14599" s="100"/>
      <c r="V14599" s="100"/>
      <c r="Y14599" s="100"/>
    </row>
    <row r="14600">
      <c r="R14600" s="100"/>
      <c r="V14600" s="100"/>
      <c r="Y14600" s="100"/>
    </row>
    <row r="14601">
      <c r="R14601" s="100"/>
      <c r="V14601" s="100"/>
      <c r="Y14601" s="100"/>
    </row>
    <row r="14602">
      <c r="R14602" s="100"/>
      <c r="V14602" s="100"/>
      <c r="Y14602" s="100"/>
    </row>
    <row r="14603">
      <c r="R14603" s="100"/>
      <c r="V14603" s="100"/>
      <c r="Y14603" s="100"/>
    </row>
    <row r="14604">
      <c r="R14604" s="100"/>
      <c r="V14604" s="100"/>
      <c r="Y14604" s="100"/>
    </row>
    <row r="14605">
      <c r="R14605" s="100"/>
      <c r="V14605" s="100"/>
      <c r="Y14605" s="100"/>
    </row>
    <row r="14606">
      <c r="R14606" s="100"/>
      <c r="V14606" s="100"/>
      <c r="Y14606" s="100"/>
    </row>
    <row r="14607">
      <c r="R14607" s="100"/>
      <c r="V14607" s="100"/>
      <c r="Y14607" s="100"/>
    </row>
    <row r="14608">
      <c r="R14608" s="100"/>
      <c r="V14608" s="100"/>
      <c r="Y14608" s="100"/>
    </row>
    <row r="14609">
      <c r="R14609" s="100"/>
      <c r="V14609" s="100"/>
      <c r="Y14609" s="100"/>
    </row>
    <row r="14610">
      <c r="R14610" s="100"/>
      <c r="V14610" s="100"/>
      <c r="Y14610" s="100"/>
    </row>
    <row r="14611">
      <c r="R14611" s="100"/>
      <c r="V14611" s="100"/>
      <c r="Y14611" s="100"/>
    </row>
    <row r="14612">
      <c r="R14612" s="100"/>
      <c r="V14612" s="100"/>
      <c r="Y14612" s="100"/>
    </row>
    <row r="14613">
      <c r="R14613" s="100"/>
      <c r="V14613" s="100"/>
      <c r="Y14613" s="100"/>
    </row>
    <row r="14614">
      <c r="R14614" s="100"/>
      <c r="V14614" s="100"/>
      <c r="Y14614" s="100"/>
    </row>
    <row r="14615">
      <c r="R14615" s="100"/>
      <c r="V14615" s="100"/>
      <c r="Y14615" s="100"/>
    </row>
    <row r="14616">
      <c r="R14616" s="100"/>
      <c r="V14616" s="100"/>
      <c r="Y14616" s="100"/>
    </row>
    <row r="14617">
      <c r="R14617" s="100"/>
      <c r="V14617" s="100"/>
      <c r="Y14617" s="100"/>
    </row>
    <row r="14618">
      <c r="R14618" s="100"/>
      <c r="V14618" s="100"/>
      <c r="Y14618" s="100"/>
    </row>
    <row r="14619">
      <c r="R14619" s="100"/>
      <c r="V14619" s="100"/>
      <c r="Y14619" s="100"/>
    </row>
    <row r="14620">
      <c r="R14620" s="100"/>
      <c r="V14620" s="100"/>
      <c r="Y14620" s="100"/>
    </row>
    <row r="14621">
      <c r="R14621" s="100"/>
      <c r="V14621" s="100"/>
      <c r="Y14621" s="100"/>
    </row>
    <row r="14622">
      <c r="R14622" s="100"/>
      <c r="V14622" s="100"/>
      <c r="Y14622" s="100"/>
    </row>
    <row r="14623">
      <c r="R14623" s="100"/>
      <c r="V14623" s="100"/>
      <c r="Y14623" s="100"/>
    </row>
    <row r="14624">
      <c r="R14624" s="100"/>
      <c r="V14624" s="100"/>
      <c r="Y14624" s="100"/>
    </row>
    <row r="14625">
      <c r="R14625" s="100"/>
      <c r="V14625" s="100"/>
      <c r="Y14625" s="100"/>
    </row>
    <row r="14626">
      <c r="R14626" s="100"/>
      <c r="V14626" s="100"/>
      <c r="Y14626" s="100"/>
    </row>
    <row r="14627">
      <c r="R14627" s="100"/>
      <c r="V14627" s="100"/>
      <c r="Y14627" s="100"/>
    </row>
    <row r="14628">
      <c r="R14628" s="100"/>
      <c r="V14628" s="100"/>
      <c r="Y14628" s="100"/>
    </row>
    <row r="14629">
      <c r="R14629" s="100"/>
      <c r="V14629" s="100"/>
      <c r="Y14629" s="100"/>
    </row>
    <row r="14630">
      <c r="R14630" s="100"/>
      <c r="V14630" s="100"/>
      <c r="Y14630" s="100"/>
    </row>
    <row r="14631">
      <c r="R14631" s="100"/>
      <c r="V14631" s="100"/>
      <c r="Y14631" s="100"/>
    </row>
    <row r="14632">
      <c r="R14632" s="100"/>
      <c r="V14632" s="100"/>
      <c r="Y14632" s="100"/>
    </row>
    <row r="14633">
      <c r="R14633" s="100"/>
      <c r="V14633" s="100"/>
      <c r="Y14633" s="100"/>
    </row>
    <row r="14634">
      <c r="R14634" s="100"/>
      <c r="V14634" s="100"/>
      <c r="Y14634" s="100"/>
    </row>
    <row r="14635">
      <c r="R14635" s="100"/>
      <c r="V14635" s="100"/>
      <c r="Y14635" s="100"/>
    </row>
    <row r="14636">
      <c r="R14636" s="100"/>
      <c r="V14636" s="100"/>
      <c r="Y14636" s="100"/>
    </row>
    <row r="14637">
      <c r="R14637" s="100"/>
      <c r="V14637" s="100"/>
      <c r="Y14637" s="100"/>
    </row>
    <row r="14638">
      <c r="R14638" s="100"/>
      <c r="V14638" s="100"/>
      <c r="Y14638" s="100"/>
    </row>
    <row r="14639">
      <c r="R14639" s="100"/>
      <c r="V14639" s="100"/>
      <c r="Y14639" s="100"/>
    </row>
    <row r="14640">
      <c r="R14640" s="100"/>
      <c r="V14640" s="100"/>
      <c r="Y14640" s="100"/>
    </row>
    <row r="14641">
      <c r="R14641" s="100"/>
      <c r="V14641" s="100"/>
      <c r="Y14641" s="100"/>
    </row>
    <row r="14642">
      <c r="R14642" s="100"/>
      <c r="V14642" s="100"/>
      <c r="Y14642" s="100"/>
    </row>
    <row r="14643">
      <c r="R14643" s="100"/>
      <c r="V14643" s="100"/>
      <c r="Y14643" s="100"/>
    </row>
    <row r="14644">
      <c r="R14644" s="100"/>
      <c r="V14644" s="100"/>
      <c r="Y14644" s="100"/>
    </row>
    <row r="14645">
      <c r="R14645" s="100"/>
      <c r="V14645" s="100"/>
      <c r="Y14645" s="100"/>
    </row>
    <row r="14646">
      <c r="R14646" s="100"/>
      <c r="V14646" s="100"/>
      <c r="Y14646" s="100"/>
    </row>
    <row r="14647">
      <c r="R14647" s="100"/>
      <c r="V14647" s="100"/>
      <c r="Y14647" s="100"/>
    </row>
    <row r="14648">
      <c r="R14648" s="100"/>
      <c r="V14648" s="100"/>
      <c r="Y14648" s="100"/>
    </row>
    <row r="14649">
      <c r="R14649" s="100"/>
      <c r="V14649" s="100"/>
      <c r="Y14649" s="100"/>
    </row>
    <row r="14650">
      <c r="R14650" s="100"/>
      <c r="V14650" s="100"/>
      <c r="Y14650" s="100"/>
    </row>
    <row r="14651">
      <c r="R14651" s="100"/>
      <c r="V14651" s="100"/>
      <c r="Y14651" s="100"/>
    </row>
    <row r="14652">
      <c r="R14652" s="100"/>
      <c r="V14652" s="100"/>
      <c r="Y14652" s="100"/>
    </row>
    <row r="14653">
      <c r="R14653" s="100"/>
      <c r="V14653" s="100"/>
      <c r="Y14653" s="100"/>
    </row>
    <row r="14654">
      <c r="R14654" s="100"/>
      <c r="V14654" s="100"/>
      <c r="Y14654" s="100"/>
    </row>
    <row r="14655">
      <c r="R14655" s="100"/>
      <c r="V14655" s="100"/>
      <c r="Y14655" s="100"/>
    </row>
    <row r="14656">
      <c r="R14656" s="100"/>
      <c r="V14656" s="100"/>
      <c r="Y14656" s="100"/>
    </row>
    <row r="14657">
      <c r="R14657" s="100"/>
      <c r="V14657" s="100"/>
      <c r="Y14657" s="100"/>
    </row>
    <row r="14658">
      <c r="R14658" s="100"/>
      <c r="V14658" s="100"/>
      <c r="Y14658" s="100"/>
    </row>
    <row r="14659">
      <c r="R14659" s="100"/>
      <c r="V14659" s="100"/>
      <c r="Y14659" s="100"/>
    </row>
    <row r="14660">
      <c r="R14660" s="100"/>
      <c r="V14660" s="100"/>
      <c r="Y14660" s="100"/>
    </row>
    <row r="14661">
      <c r="R14661" s="100"/>
      <c r="V14661" s="100"/>
      <c r="Y14661" s="100"/>
    </row>
    <row r="14662">
      <c r="R14662" s="100"/>
      <c r="V14662" s="100"/>
      <c r="Y14662" s="100"/>
    </row>
    <row r="14663">
      <c r="R14663" s="100"/>
      <c r="V14663" s="100"/>
      <c r="Y14663" s="100"/>
    </row>
    <row r="14664">
      <c r="R14664" s="100"/>
      <c r="V14664" s="100"/>
      <c r="Y14664" s="100"/>
    </row>
    <row r="14665">
      <c r="R14665" s="100"/>
      <c r="V14665" s="100"/>
      <c r="Y14665" s="100"/>
    </row>
    <row r="14666">
      <c r="R14666" s="100"/>
      <c r="V14666" s="100"/>
      <c r="Y14666" s="100"/>
    </row>
    <row r="14667">
      <c r="R14667" s="100"/>
      <c r="V14667" s="100"/>
      <c r="Y14667" s="100"/>
    </row>
    <row r="14668">
      <c r="R14668" s="100"/>
      <c r="V14668" s="100"/>
      <c r="Y14668" s="100"/>
    </row>
    <row r="14669">
      <c r="R14669" s="100"/>
      <c r="V14669" s="100"/>
      <c r="Y14669" s="100"/>
    </row>
    <row r="14670">
      <c r="R14670" s="100"/>
      <c r="V14670" s="100"/>
      <c r="Y14670" s="100"/>
    </row>
    <row r="14671">
      <c r="R14671" s="100"/>
      <c r="V14671" s="100"/>
      <c r="Y14671" s="100"/>
    </row>
    <row r="14672">
      <c r="R14672" s="100"/>
      <c r="V14672" s="100"/>
      <c r="Y14672" s="100"/>
    </row>
    <row r="14673">
      <c r="R14673" s="100"/>
      <c r="V14673" s="100"/>
      <c r="Y14673" s="100"/>
    </row>
    <row r="14674">
      <c r="R14674" s="100"/>
      <c r="V14674" s="100"/>
      <c r="Y14674" s="100"/>
    </row>
    <row r="14675">
      <c r="R14675" s="100"/>
      <c r="V14675" s="100"/>
      <c r="Y14675" s="100"/>
    </row>
    <row r="14676">
      <c r="R14676" s="100"/>
      <c r="V14676" s="100"/>
      <c r="Y14676" s="100"/>
    </row>
    <row r="14677">
      <c r="R14677" s="100"/>
      <c r="V14677" s="100"/>
      <c r="Y14677" s="100"/>
    </row>
    <row r="14678">
      <c r="R14678" s="100"/>
      <c r="V14678" s="100"/>
      <c r="Y14678" s="100"/>
    </row>
    <row r="14679">
      <c r="R14679" s="100"/>
      <c r="V14679" s="100"/>
      <c r="Y14679" s="100"/>
    </row>
    <row r="14680">
      <c r="R14680" s="100"/>
      <c r="V14680" s="100"/>
      <c r="Y14680" s="100"/>
    </row>
    <row r="14681">
      <c r="R14681" s="100"/>
      <c r="V14681" s="100"/>
      <c r="Y14681" s="100"/>
    </row>
    <row r="14682">
      <c r="R14682" s="100"/>
      <c r="V14682" s="100"/>
      <c r="Y14682" s="100"/>
    </row>
    <row r="14683">
      <c r="R14683" s="100"/>
      <c r="V14683" s="100"/>
      <c r="Y14683" s="100"/>
    </row>
    <row r="14684">
      <c r="R14684" s="100"/>
      <c r="V14684" s="100"/>
      <c r="Y14684" s="100"/>
    </row>
    <row r="14685">
      <c r="R14685" s="100"/>
      <c r="V14685" s="100"/>
      <c r="Y14685" s="100"/>
    </row>
    <row r="14686">
      <c r="R14686" s="100"/>
      <c r="V14686" s="100"/>
      <c r="Y14686" s="100"/>
    </row>
    <row r="14687">
      <c r="R14687" s="100"/>
      <c r="V14687" s="100"/>
      <c r="Y14687" s="100"/>
    </row>
    <row r="14688">
      <c r="R14688" s="100"/>
      <c r="V14688" s="100"/>
      <c r="Y14688" s="100"/>
    </row>
    <row r="14689">
      <c r="R14689" s="100"/>
      <c r="V14689" s="100"/>
      <c r="Y14689" s="100"/>
    </row>
    <row r="14690">
      <c r="R14690" s="100"/>
      <c r="V14690" s="100"/>
      <c r="Y14690" s="100"/>
    </row>
    <row r="14691">
      <c r="R14691" s="100"/>
      <c r="V14691" s="100"/>
      <c r="Y14691" s="100"/>
    </row>
    <row r="14692">
      <c r="R14692" s="100"/>
      <c r="V14692" s="100"/>
      <c r="Y14692" s="100"/>
    </row>
    <row r="14693">
      <c r="R14693" s="100"/>
      <c r="V14693" s="100"/>
      <c r="Y14693" s="100"/>
    </row>
    <row r="14694">
      <c r="R14694" s="100"/>
      <c r="V14694" s="100"/>
      <c r="Y14694" s="100"/>
    </row>
    <row r="14695">
      <c r="R14695" s="100"/>
      <c r="V14695" s="100"/>
      <c r="Y14695" s="100"/>
    </row>
    <row r="14696">
      <c r="R14696" s="100"/>
      <c r="V14696" s="100"/>
      <c r="Y14696" s="100"/>
    </row>
    <row r="14697">
      <c r="R14697" s="100"/>
      <c r="V14697" s="100"/>
      <c r="Y14697" s="100"/>
    </row>
    <row r="14698">
      <c r="R14698" s="100"/>
      <c r="V14698" s="100"/>
      <c r="Y14698" s="100"/>
    </row>
    <row r="14699">
      <c r="R14699" s="100"/>
      <c r="V14699" s="100"/>
      <c r="Y14699" s="100"/>
    </row>
    <row r="14700">
      <c r="R14700" s="100"/>
      <c r="V14700" s="100"/>
      <c r="Y14700" s="100"/>
    </row>
    <row r="14701">
      <c r="R14701" s="100"/>
      <c r="V14701" s="100"/>
      <c r="Y14701" s="100"/>
    </row>
    <row r="14702">
      <c r="R14702" s="100"/>
      <c r="V14702" s="100"/>
      <c r="Y14702" s="100"/>
    </row>
    <row r="14703">
      <c r="R14703" s="100"/>
      <c r="V14703" s="100"/>
      <c r="Y14703" s="100"/>
    </row>
    <row r="14704">
      <c r="R14704" s="100"/>
      <c r="V14704" s="100"/>
      <c r="Y14704" s="100"/>
    </row>
    <row r="14705">
      <c r="R14705" s="100"/>
      <c r="V14705" s="100"/>
      <c r="Y14705" s="100"/>
    </row>
    <row r="14706">
      <c r="R14706" s="100"/>
      <c r="V14706" s="100"/>
      <c r="Y14706" s="100"/>
    </row>
    <row r="14707">
      <c r="R14707" s="100"/>
      <c r="V14707" s="100"/>
      <c r="Y14707" s="100"/>
    </row>
    <row r="14708">
      <c r="R14708" s="100"/>
      <c r="V14708" s="100"/>
      <c r="Y14708" s="100"/>
    </row>
    <row r="14709">
      <c r="R14709" s="100"/>
      <c r="V14709" s="100"/>
      <c r="Y14709" s="100"/>
    </row>
    <row r="14710">
      <c r="R14710" s="100"/>
      <c r="V14710" s="100"/>
      <c r="Y14710" s="100"/>
    </row>
    <row r="14711">
      <c r="R14711" s="100"/>
      <c r="V14711" s="100"/>
      <c r="Y14711" s="100"/>
    </row>
    <row r="14712">
      <c r="R14712" s="100"/>
      <c r="V14712" s="100"/>
      <c r="Y14712" s="100"/>
    </row>
    <row r="14713">
      <c r="R14713" s="100"/>
      <c r="V14713" s="100"/>
      <c r="Y14713" s="100"/>
    </row>
    <row r="14714">
      <c r="R14714" s="100"/>
      <c r="V14714" s="100"/>
      <c r="Y14714" s="100"/>
    </row>
    <row r="14715">
      <c r="R14715" s="100"/>
      <c r="V14715" s="100"/>
      <c r="Y14715" s="100"/>
    </row>
    <row r="14716">
      <c r="R14716" s="100"/>
      <c r="V14716" s="100"/>
      <c r="Y14716" s="100"/>
    </row>
    <row r="14717">
      <c r="R14717" s="100"/>
      <c r="V14717" s="100"/>
      <c r="Y14717" s="100"/>
    </row>
    <row r="14718">
      <c r="R14718" s="100"/>
      <c r="V14718" s="100"/>
      <c r="Y14718" s="100"/>
    </row>
    <row r="14719">
      <c r="R14719" s="100"/>
      <c r="V14719" s="100"/>
      <c r="Y14719" s="100"/>
    </row>
    <row r="14720">
      <c r="R14720" s="100"/>
      <c r="V14720" s="100"/>
      <c r="Y14720" s="100"/>
    </row>
    <row r="14721">
      <c r="R14721" s="100"/>
      <c r="V14721" s="100"/>
      <c r="Y14721" s="100"/>
    </row>
    <row r="14722">
      <c r="R14722" s="100"/>
      <c r="V14722" s="100"/>
      <c r="Y14722" s="100"/>
    </row>
    <row r="14723">
      <c r="R14723" s="100"/>
      <c r="V14723" s="100"/>
      <c r="Y14723" s="100"/>
    </row>
    <row r="14724">
      <c r="R14724" s="100"/>
      <c r="V14724" s="100"/>
      <c r="Y14724" s="100"/>
    </row>
    <row r="14725">
      <c r="R14725" s="100"/>
      <c r="V14725" s="100"/>
      <c r="Y14725" s="100"/>
    </row>
    <row r="14726">
      <c r="R14726" s="100"/>
      <c r="V14726" s="100"/>
      <c r="Y14726" s="100"/>
    </row>
    <row r="14727">
      <c r="R14727" s="100"/>
      <c r="V14727" s="100"/>
      <c r="Y14727" s="100"/>
    </row>
    <row r="14728">
      <c r="R14728" s="100"/>
      <c r="V14728" s="100"/>
      <c r="Y14728" s="100"/>
    </row>
    <row r="14729">
      <c r="R14729" s="100"/>
      <c r="V14729" s="100"/>
      <c r="Y14729" s="100"/>
    </row>
    <row r="14730">
      <c r="R14730" s="100"/>
      <c r="V14730" s="100"/>
      <c r="Y14730" s="100"/>
    </row>
    <row r="14731">
      <c r="R14731" s="100"/>
      <c r="V14731" s="100"/>
      <c r="Y14731" s="100"/>
    </row>
    <row r="14732">
      <c r="R14732" s="100"/>
      <c r="V14732" s="100"/>
      <c r="Y14732" s="100"/>
    </row>
    <row r="14733">
      <c r="R14733" s="100"/>
      <c r="V14733" s="100"/>
      <c r="Y14733" s="100"/>
    </row>
    <row r="14734">
      <c r="R14734" s="100"/>
      <c r="V14734" s="100"/>
      <c r="Y14734" s="100"/>
    </row>
    <row r="14735">
      <c r="R14735" s="100"/>
      <c r="V14735" s="100"/>
      <c r="Y14735" s="100"/>
    </row>
    <row r="14736">
      <c r="R14736" s="100"/>
      <c r="V14736" s="100"/>
      <c r="Y14736" s="100"/>
    </row>
    <row r="14737">
      <c r="R14737" s="100"/>
      <c r="V14737" s="100"/>
      <c r="Y14737" s="100"/>
    </row>
    <row r="14738">
      <c r="R14738" s="100"/>
      <c r="V14738" s="100"/>
      <c r="Y14738" s="100"/>
    </row>
    <row r="14739">
      <c r="R14739" s="100"/>
      <c r="V14739" s="100"/>
      <c r="Y14739" s="100"/>
    </row>
    <row r="14740">
      <c r="R14740" s="100"/>
      <c r="V14740" s="100"/>
      <c r="Y14740" s="100"/>
    </row>
    <row r="14741">
      <c r="R14741" s="100"/>
      <c r="V14741" s="100"/>
      <c r="Y14741" s="100"/>
    </row>
    <row r="14742">
      <c r="R14742" s="100"/>
      <c r="V14742" s="100"/>
      <c r="Y14742" s="100"/>
    </row>
    <row r="14743">
      <c r="R14743" s="100"/>
      <c r="V14743" s="100"/>
      <c r="Y14743" s="100"/>
    </row>
    <row r="14744">
      <c r="R14744" s="100"/>
      <c r="V14744" s="100"/>
      <c r="Y14744" s="100"/>
    </row>
    <row r="14745">
      <c r="R14745" s="100"/>
      <c r="V14745" s="100"/>
      <c r="Y14745" s="100"/>
    </row>
    <row r="14746">
      <c r="R14746" s="100"/>
      <c r="V14746" s="100"/>
      <c r="Y14746" s="100"/>
    </row>
    <row r="14747">
      <c r="R14747" s="100"/>
      <c r="V14747" s="100"/>
      <c r="Y14747" s="100"/>
    </row>
    <row r="14748">
      <c r="R14748" s="100"/>
      <c r="V14748" s="100"/>
      <c r="Y14748" s="100"/>
    </row>
    <row r="14749">
      <c r="R14749" s="100"/>
      <c r="V14749" s="100"/>
      <c r="Y14749" s="100"/>
    </row>
    <row r="14750">
      <c r="R14750" s="100"/>
      <c r="V14750" s="100"/>
      <c r="Y14750" s="100"/>
    </row>
    <row r="14751">
      <c r="R14751" s="100"/>
      <c r="V14751" s="100"/>
      <c r="Y14751" s="100"/>
    </row>
    <row r="14752">
      <c r="R14752" s="100"/>
      <c r="V14752" s="100"/>
      <c r="Y14752" s="100"/>
    </row>
    <row r="14753">
      <c r="R14753" s="100"/>
      <c r="V14753" s="100"/>
      <c r="Y14753" s="100"/>
    </row>
    <row r="14754">
      <c r="R14754" s="100"/>
      <c r="V14754" s="100"/>
      <c r="Y14754" s="100"/>
    </row>
    <row r="14755">
      <c r="R14755" s="100"/>
      <c r="V14755" s="100"/>
      <c r="Y14755" s="100"/>
    </row>
    <row r="14756">
      <c r="R14756" s="100"/>
      <c r="V14756" s="100"/>
      <c r="Y14756" s="100"/>
    </row>
    <row r="14757">
      <c r="R14757" s="100"/>
      <c r="V14757" s="100"/>
      <c r="Y14757" s="100"/>
    </row>
    <row r="14758">
      <c r="R14758" s="100"/>
      <c r="V14758" s="100"/>
      <c r="Y14758" s="100"/>
    </row>
    <row r="14759">
      <c r="R14759" s="100"/>
      <c r="V14759" s="100"/>
      <c r="Y14759" s="100"/>
    </row>
    <row r="14760">
      <c r="R14760" s="100"/>
      <c r="V14760" s="100"/>
      <c r="Y14760" s="100"/>
    </row>
    <row r="14761">
      <c r="R14761" s="100"/>
      <c r="V14761" s="100"/>
      <c r="Y14761" s="100"/>
    </row>
    <row r="14762">
      <c r="R14762" s="100"/>
      <c r="V14762" s="100"/>
      <c r="Y14762" s="100"/>
    </row>
    <row r="14763">
      <c r="R14763" s="100"/>
      <c r="V14763" s="100"/>
      <c r="Y14763" s="100"/>
    </row>
    <row r="14764">
      <c r="R14764" s="100"/>
      <c r="V14764" s="100"/>
      <c r="Y14764" s="100"/>
    </row>
    <row r="14765">
      <c r="R14765" s="100"/>
      <c r="V14765" s="100"/>
      <c r="Y14765" s="100"/>
    </row>
    <row r="14766">
      <c r="R14766" s="100"/>
      <c r="V14766" s="100"/>
      <c r="Y14766" s="100"/>
    </row>
    <row r="14767">
      <c r="R14767" s="100"/>
      <c r="V14767" s="100"/>
      <c r="Y14767" s="100"/>
    </row>
    <row r="14768">
      <c r="R14768" s="100"/>
      <c r="V14768" s="100"/>
      <c r="Y14768" s="100"/>
    </row>
    <row r="14769">
      <c r="R14769" s="100"/>
      <c r="V14769" s="100"/>
      <c r="Y14769" s="100"/>
    </row>
    <row r="14770">
      <c r="R14770" s="100"/>
      <c r="V14770" s="100"/>
      <c r="Y14770" s="100"/>
    </row>
    <row r="14771">
      <c r="R14771" s="100"/>
      <c r="V14771" s="100"/>
      <c r="Y14771" s="100"/>
    </row>
    <row r="14772">
      <c r="R14772" s="100"/>
      <c r="V14772" s="100"/>
      <c r="Y14772" s="100"/>
    </row>
    <row r="14773">
      <c r="R14773" s="100"/>
      <c r="V14773" s="100"/>
      <c r="Y14773" s="100"/>
    </row>
    <row r="14774">
      <c r="R14774" s="100"/>
      <c r="V14774" s="100"/>
      <c r="Y14774" s="100"/>
    </row>
    <row r="14775">
      <c r="R14775" s="100"/>
      <c r="V14775" s="100"/>
      <c r="Y14775" s="100"/>
    </row>
    <row r="14776">
      <c r="R14776" s="100"/>
      <c r="V14776" s="100"/>
      <c r="Y14776" s="100"/>
    </row>
    <row r="14777">
      <c r="R14777" s="100"/>
      <c r="V14777" s="100"/>
      <c r="Y14777" s="100"/>
    </row>
    <row r="14778">
      <c r="R14778" s="100"/>
      <c r="V14778" s="100"/>
      <c r="Y14778" s="100"/>
    </row>
    <row r="14779">
      <c r="R14779" s="100"/>
      <c r="V14779" s="100"/>
      <c r="Y14779" s="100"/>
    </row>
    <row r="14780">
      <c r="R14780" s="100"/>
      <c r="V14780" s="100"/>
      <c r="Y14780" s="100"/>
    </row>
    <row r="14781">
      <c r="R14781" s="100"/>
      <c r="V14781" s="100"/>
      <c r="Y14781" s="100"/>
    </row>
    <row r="14782">
      <c r="R14782" s="100"/>
      <c r="V14782" s="100"/>
      <c r="Y14782" s="100"/>
    </row>
    <row r="14783">
      <c r="R14783" s="100"/>
      <c r="V14783" s="100"/>
      <c r="Y14783" s="100"/>
    </row>
    <row r="14784">
      <c r="R14784" s="100"/>
      <c r="V14784" s="100"/>
      <c r="Y14784" s="100"/>
    </row>
    <row r="14785">
      <c r="R14785" s="100"/>
      <c r="V14785" s="100"/>
      <c r="Y14785" s="100"/>
    </row>
    <row r="14786">
      <c r="R14786" s="100"/>
      <c r="V14786" s="100"/>
      <c r="Y14786" s="100"/>
    </row>
    <row r="14787">
      <c r="R14787" s="100"/>
      <c r="V14787" s="100"/>
      <c r="Y14787" s="100"/>
    </row>
    <row r="14788">
      <c r="R14788" s="100"/>
      <c r="V14788" s="100"/>
      <c r="Y14788" s="100"/>
    </row>
    <row r="14789">
      <c r="R14789" s="100"/>
      <c r="V14789" s="100"/>
      <c r="Y14789" s="100"/>
    </row>
    <row r="14790">
      <c r="R14790" s="100"/>
      <c r="V14790" s="100"/>
      <c r="Y14790" s="100"/>
    </row>
    <row r="14791">
      <c r="R14791" s="100"/>
      <c r="V14791" s="100"/>
      <c r="Y14791" s="100"/>
    </row>
    <row r="14792">
      <c r="R14792" s="100"/>
      <c r="V14792" s="100"/>
      <c r="Y14792" s="100"/>
    </row>
    <row r="14793">
      <c r="R14793" s="100"/>
      <c r="V14793" s="100"/>
      <c r="Y14793" s="100"/>
    </row>
    <row r="14794">
      <c r="R14794" s="100"/>
      <c r="V14794" s="100"/>
      <c r="Y14794" s="100"/>
    </row>
    <row r="14795">
      <c r="R14795" s="100"/>
      <c r="V14795" s="100"/>
      <c r="Y14795" s="100"/>
    </row>
    <row r="14796">
      <c r="R14796" s="100"/>
      <c r="V14796" s="100"/>
      <c r="Y14796" s="100"/>
    </row>
    <row r="14797">
      <c r="R14797" s="100"/>
      <c r="V14797" s="100"/>
      <c r="Y14797" s="100"/>
    </row>
    <row r="14798">
      <c r="R14798" s="100"/>
      <c r="V14798" s="100"/>
      <c r="Y14798" s="100"/>
    </row>
    <row r="14799">
      <c r="R14799" s="100"/>
      <c r="V14799" s="100"/>
      <c r="Y14799" s="100"/>
    </row>
    <row r="14800">
      <c r="R14800" s="100"/>
      <c r="V14800" s="100"/>
      <c r="Y14800" s="100"/>
    </row>
    <row r="14801">
      <c r="R14801" s="100"/>
      <c r="V14801" s="100"/>
      <c r="Y14801" s="100"/>
    </row>
    <row r="14802">
      <c r="R14802" s="100"/>
      <c r="V14802" s="100"/>
      <c r="Y14802" s="100"/>
    </row>
    <row r="14803">
      <c r="R14803" s="100"/>
      <c r="V14803" s="100"/>
      <c r="Y14803" s="100"/>
    </row>
    <row r="14804">
      <c r="R14804" s="100"/>
      <c r="V14804" s="100"/>
      <c r="Y14804" s="100"/>
    </row>
    <row r="14805">
      <c r="R14805" s="100"/>
      <c r="V14805" s="100"/>
      <c r="Y14805" s="100"/>
    </row>
    <row r="14806">
      <c r="R14806" s="100"/>
      <c r="V14806" s="100"/>
      <c r="Y14806" s="100"/>
    </row>
    <row r="14807">
      <c r="R14807" s="100"/>
      <c r="V14807" s="100"/>
      <c r="Y14807" s="100"/>
    </row>
    <row r="14808">
      <c r="R14808" s="100"/>
      <c r="V14808" s="100"/>
      <c r="Y14808" s="100"/>
    </row>
    <row r="14809">
      <c r="R14809" s="100"/>
      <c r="V14809" s="100"/>
      <c r="Y14809" s="100"/>
    </row>
    <row r="14810">
      <c r="R14810" s="100"/>
      <c r="V14810" s="100"/>
      <c r="Y14810" s="100"/>
    </row>
    <row r="14811">
      <c r="R14811" s="100"/>
      <c r="V14811" s="100"/>
      <c r="Y14811" s="100"/>
    </row>
    <row r="14812">
      <c r="R14812" s="100"/>
      <c r="V14812" s="100"/>
      <c r="Y14812" s="100"/>
    </row>
    <row r="14813">
      <c r="R14813" s="100"/>
      <c r="V14813" s="100"/>
      <c r="Y14813" s="100"/>
    </row>
    <row r="14814">
      <c r="R14814" s="100"/>
      <c r="V14814" s="100"/>
      <c r="Y14814" s="100"/>
    </row>
    <row r="14815">
      <c r="R14815" s="100"/>
      <c r="V14815" s="100"/>
      <c r="Y14815" s="100"/>
    </row>
    <row r="14816">
      <c r="R14816" s="100"/>
      <c r="V14816" s="100"/>
      <c r="Y14816" s="100"/>
    </row>
    <row r="14817">
      <c r="R14817" s="100"/>
      <c r="V14817" s="100"/>
      <c r="Y14817" s="100"/>
    </row>
    <row r="14818">
      <c r="R14818" s="100"/>
      <c r="V14818" s="100"/>
      <c r="Y14818" s="100"/>
    </row>
    <row r="14819">
      <c r="R14819" s="100"/>
      <c r="V14819" s="100"/>
      <c r="Y14819" s="100"/>
    </row>
    <row r="14820">
      <c r="R14820" s="100"/>
      <c r="V14820" s="100"/>
      <c r="Y14820" s="100"/>
    </row>
    <row r="14821">
      <c r="R14821" s="100"/>
      <c r="V14821" s="100"/>
      <c r="Y14821" s="100"/>
    </row>
    <row r="14822">
      <c r="R14822" s="100"/>
      <c r="V14822" s="100"/>
      <c r="Y14822" s="100"/>
    </row>
    <row r="14823">
      <c r="R14823" s="100"/>
      <c r="V14823" s="100"/>
      <c r="Y14823" s="100"/>
    </row>
    <row r="14824">
      <c r="R14824" s="100"/>
      <c r="V14824" s="100"/>
      <c r="Y14824" s="100"/>
    </row>
    <row r="14825">
      <c r="R14825" s="100"/>
      <c r="V14825" s="100"/>
      <c r="Y14825" s="100"/>
    </row>
    <row r="14826">
      <c r="R14826" s="100"/>
      <c r="V14826" s="100"/>
      <c r="Y14826" s="100"/>
    </row>
    <row r="14827">
      <c r="R14827" s="100"/>
      <c r="V14827" s="100"/>
      <c r="Y14827" s="100"/>
    </row>
    <row r="14828">
      <c r="R14828" s="100"/>
      <c r="V14828" s="100"/>
      <c r="Y14828" s="100"/>
    </row>
    <row r="14829">
      <c r="R14829" s="100"/>
      <c r="V14829" s="100"/>
      <c r="Y14829" s="100"/>
    </row>
    <row r="14830">
      <c r="R14830" s="100"/>
      <c r="V14830" s="100"/>
      <c r="Y14830" s="100"/>
    </row>
    <row r="14831">
      <c r="R14831" s="100"/>
      <c r="V14831" s="100"/>
      <c r="Y14831" s="100"/>
    </row>
    <row r="14832">
      <c r="R14832" s="100"/>
      <c r="V14832" s="100"/>
      <c r="Y14832" s="100"/>
    </row>
    <row r="14833">
      <c r="R14833" s="100"/>
      <c r="V14833" s="100"/>
      <c r="Y14833" s="100"/>
    </row>
    <row r="14834">
      <c r="R14834" s="100"/>
      <c r="V14834" s="100"/>
      <c r="Y14834" s="100"/>
    </row>
    <row r="14835">
      <c r="R14835" s="100"/>
      <c r="V14835" s="100"/>
      <c r="Y14835" s="100"/>
    </row>
    <row r="14836">
      <c r="R14836" s="100"/>
      <c r="V14836" s="100"/>
      <c r="Y14836" s="100"/>
    </row>
    <row r="14837">
      <c r="R14837" s="100"/>
      <c r="V14837" s="100"/>
      <c r="Y14837" s="100"/>
    </row>
    <row r="14838">
      <c r="R14838" s="100"/>
      <c r="V14838" s="100"/>
      <c r="Y14838" s="100"/>
    </row>
    <row r="14839">
      <c r="R14839" s="100"/>
      <c r="V14839" s="100"/>
      <c r="Y14839" s="100"/>
    </row>
    <row r="14840">
      <c r="R14840" s="100"/>
      <c r="V14840" s="100"/>
      <c r="Y14840" s="100"/>
    </row>
    <row r="14841">
      <c r="R14841" s="100"/>
      <c r="V14841" s="100"/>
      <c r="Y14841" s="100"/>
    </row>
    <row r="14842">
      <c r="R14842" s="100"/>
      <c r="V14842" s="100"/>
      <c r="Y14842" s="100"/>
    </row>
    <row r="14843">
      <c r="R14843" s="100"/>
      <c r="V14843" s="100"/>
      <c r="Y14843" s="100"/>
    </row>
    <row r="14844">
      <c r="R14844" s="100"/>
      <c r="V14844" s="100"/>
      <c r="Y14844" s="100"/>
    </row>
    <row r="14845">
      <c r="R14845" s="100"/>
      <c r="V14845" s="100"/>
      <c r="Y14845" s="100"/>
    </row>
    <row r="14846">
      <c r="R14846" s="100"/>
      <c r="V14846" s="100"/>
      <c r="Y14846" s="100"/>
    </row>
    <row r="14847">
      <c r="R14847" s="100"/>
      <c r="V14847" s="100"/>
      <c r="Y14847" s="100"/>
    </row>
    <row r="14848">
      <c r="R14848" s="100"/>
      <c r="V14848" s="100"/>
      <c r="Y14848" s="100"/>
    </row>
    <row r="14849">
      <c r="R14849" s="100"/>
      <c r="V14849" s="100"/>
      <c r="Y14849" s="100"/>
    </row>
    <row r="14850">
      <c r="R14850" s="100"/>
      <c r="V14850" s="100"/>
      <c r="Y14850" s="100"/>
    </row>
    <row r="14851">
      <c r="R14851" s="100"/>
      <c r="V14851" s="100"/>
      <c r="Y14851" s="100"/>
    </row>
    <row r="14852">
      <c r="R14852" s="100"/>
      <c r="V14852" s="100"/>
      <c r="Y14852" s="100"/>
    </row>
    <row r="14853">
      <c r="R14853" s="100"/>
      <c r="V14853" s="100"/>
      <c r="Y14853" s="100"/>
    </row>
    <row r="14854">
      <c r="R14854" s="100"/>
      <c r="V14854" s="100"/>
      <c r="Y14854" s="100"/>
    </row>
    <row r="14855">
      <c r="R14855" s="100"/>
      <c r="V14855" s="100"/>
      <c r="Y14855" s="100"/>
    </row>
    <row r="14856">
      <c r="R14856" s="100"/>
      <c r="V14856" s="100"/>
      <c r="Y14856" s="100"/>
    </row>
    <row r="14857">
      <c r="R14857" s="100"/>
      <c r="V14857" s="100"/>
      <c r="Y14857" s="100"/>
    </row>
    <row r="14858">
      <c r="R14858" s="100"/>
      <c r="V14858" s="100"/>
      <c r="Y14858" s="100"/>
    </row>
    <row r="14859">
      <c r="R14859" s="100"/>
      <c r="V14859" s="100"/>
      <c r="Y14859" s="100"/>
    </row>
    <row r="14860">
      <c r="R14860" s="100"/>
      <c r="V14860" s="100"/>
      <c r="Y14860" s="100"/>
    </row>
    <row r="14861">
      <c r="R14861" s="100"/>
      <c r="V14861" s="100"/>
      <c r="Y14861" s="100"/>
    </row>
    <row r="14862">
      <c r="R14862" s="100"/>
      <c r="V14862" s="100"/>
      <c r="Y14862" s="100"/>
    </row>
    <row r="14863">
      <c r="R14863" s="100"/>
      <c r="V14863" s="100"/>
      <c r="Y14863" s="100"/>
    </row>
    <row r="14864">
      <c r="R14864" s="100"/>
      <c r="V14864" s="100"/>
      <c r="Y14864" s="100"/>
    </row>
    <row r="14865">
      <c r="R14865" s="100"/>
      <c r="V14865" s="100"/>
      <c r="Y14865" s="100"/>
    </row>
    <row r="14866">
      <c r="R14866" s="100"/>
      <c r="V14866" s="100"/>
      <c r="Y14866" s="100"/>
    </row>
    <row r="14867">
      <c r="R14867" s="100"/>
      <c r="V14867" s="100"/>
      <c r="Y14867" s="100"/>
    </row>
    <row r="14868">
      <c r="R14868" s="100"/>
      <c r="V14868" s="100"/>
      <c r="Y14868" s="100"/>
    </row>
    <row r="14869">
      <c r="R14869" s="100"/>
      <c r="V14869" s="100"/>
      <c r="Y14869" s="100"/>
    </row>
    <row r="14870">
      <c r="R14870" s="100"/>
      <c r="V14870" s="100"/>
      <c r="Y14870" s="100"/>
    </row>
    <row r="14871">
      <c r="R14871" s="100"/>
      <c r="V14871" s="100"/>
      <c r="Y14871" s="100"/>
    </row>
    <row r="14872">
      <c r="R14872" s="100"/>
      <c r="V14872" s="100"/>
      <c r="Y14872" s="100"/>
    </row>
    <row r="14873">
      <c r="R14873" s="100"/>
      <c r="V14873" s="100"/>
      <c r="Y14873" s="100"/>
    </row>
    <row r="14874">
      <c r="R14874" s="100"/>
      <c r="V14874" s="100"/>
      <c r="Y14874" s="100"/>
    </row>
    <row r="14875">
      <c r="R14875" s="100"/>
      <c r="V14875" s="100"/>
      <c r="Y14875" s="100"/>
    </row>
    <row r="14876">
      <c r="R14876" s="100"/>
      <c r="V14876" s="100"/>
      <c r="Y14876" s="100"/>
    </row>
    <row r="14877">
      <c r="R14877" s="100"/>
      <c r="V14877" s="100"/>
      <c r="Y14877" s="100"/>
    </row>
    <row r="14878">
      <c r="R14878" s="100"/>
      <c r="V14878" s="100"/>
      <c r="Y14878" s="100"/>
    </row>
    <row r="14879">
      <c r="R14879" s="100"/>
      <c r="V14879" s="100"/>
      <c r="Y14879" s="100"/>
    </row>
    <row r="14880">
      <c r="R14880" s="100"/>
      <c r="V14880" s="100"/>
      <c r="Y14880" s="100"/>
    </row>
    <row r="14881">
      <c r="R14881" s="100"/>
      <c r="V14881" s="100"/>
      <c r="Y14881" s="100"/>
    </row>
    <row r="14882">
      <c r="R14882" s="100"/>
      <c r="V14882" s="100"/>
      <c r="Y14882" s="100"/>
    </row>
    <row r="14883">
      <c r="R14883" s="100"/>
      <c r="V14883" s="100"/>
      <c r="Y14883" s="100"/>
    </row>
    <row r="14884">
      <c r="R14884" s="100"/>
      <c r="V14884" s="100"/>
      <c r="Y14884" s="100"/>
    </row>
    <row r="14885">
      <c r="R14885" s="100"/>
      <c r="V14885" s="100"/>
      <c r="Y14885" s="100"/>
    </row>
    <row r="14886">
      <c r="R14886" s="100"/>
      <c r="V14886" s="100"/>
      <c r="Y14886" s="100"/>
    </row>
    <row r="14887">
      <c r="R14887" s="100"/>
      <c r="V14887" s="100"/>
      <c r="Y14887" s="100"/>
    </row>
    <row r="14888">
      <c r="R14888" s="100"/>
      <c r="V14888" s="100"/>
      <c r="Y14888" s="100"/>
    </row>
    <row r="14889">
      <c r="R14889" s="100"/>
      <c r="V14889" s="100"/>
      <c r="Y14889" s="100"/>
    </row>
    <row r="14890">
      <c r="R14890" s="100"/>
      <c r="V14890" s="100"/>
      <c r="Y14890" s="100"/>
    </row>
    <row r="14891">
      <c r="R14891" s="100"/>
      <c r="V14891" s="100"/>
      <c r="Y14891" s="100"/>
    </row>
    <row r="14892">
      <c r="R14892" s="100"/>
      <c r="V14892" s="100"/>
      <c r="Y14892" s="100"/>
    </row>
    <row r="14893">
      <c r="R14893" s="100"/>
      <c r="V14893" s="100"/>
      <c r="Y14893" s="100"/>
    </row>
    <row r="14894">
      <c r="R14894" s="100"/>
      <c r="V14894" s="100"/>
      <c r="Y14894" s="100"/>
    </row>
    <row r="14895">
      <c r="R14895" s="100"/>
      <c r="V14895" s="100"/>
      <c r="Y14895" s="100"/>
    </row>
    <row r="14896">
      <c r="R14896" s="100"/>
      <c r="V14896" s="100"/>
      <c r="Y14896" s="100"/>
    </row>
    <row r="14897">
      <c r="R14897" s="100"/>
      <c r="V14897" s="100"/>
      <c r="Y14897" s="100"/>
    </row>
    <row r="14898">
      <c r="R14898" s="100"/>
      <c r="V14898" s="100"/>
      <c r="Y14898" s="100"/>
    </row>
    <row r="14899">
      <c r="R14899" s="100"/>
      <c r="V14899" s="100"/>
      <c r="Y14899" s="100"/>
    </row>
    <row r="14900">
      <c r="R14900" s="100"/>
      <c r="V14900" s="100"/>
      <c r="Y14900" s="100"/>
    </row>
    <row r="14901">
      <c r="R14901" s="100"/>
      <c r="V14901" s="100"/>
      <c r="Y14901" s="100"/>
    </row>
    <row r="14902">
      <c r="R14902" s="100"/>
      <c r="V14902" s="100"/>
      <c r="Y14902" s="100"/>
    </row>
    <row r="14903">
      <c r="R14903" s="100"/>
      <c r="V14903" s="100"/>
      <c r="Y14903" s="100"/>
    </row>
    <row r="14904">
      <c r="R14904" s="100"/>
      <c r="V14904" s="100"/>
      <c r="Y14904" s="100"/>
    </row>
    <row r="14905">
      <c r="R14905" s="100"/>
      <c r="V14905" s="100"/>
      <c r="Y14905" s="100"/>
    </row>
    <row r="14906">
      <c r="R14906" s="100"/>
      <c r="V14906" s="100"/>
      <c r="Y14906" s="100"/>
    </row>
    <row r="14907">
      <c r="R14907" s="100"/>
      <c r="V14907" s="100"/>
      <c r="Y14907" s="100"/>
    </row>
    <row r="14908">
      <c r="R14908" s="100"/>
      <c r="V14908" s="100"/>
      <c r="Y14908" s="100"/>
    </row>
    <row r="14909">
      <c r="R14909" s="100"/>
      <c r="V14909" s="100"/>
      <c r="Y14909" s="100"/>
    </row>
    <row r="14910">
      <c r="R14910" s="100"/>
      <c r="V14910" s="100"/>
      <c r="Y14910" s="100"/>
    </row>
    <row r="14911">
      <c r="R14911" s="100"/>
      <c r="V14911" s="100"/>
      <c r="Y14911" s="100"/>
    </row>
    <row r="14912">
      <c r="R14912" s="100"/>
      <c r="V14912" s="100"/>
      <c r="Y14912" s="100"/>
    </row>
    <row r="14913">
      <c r="R14913" s="100"/>
      <c r="V14913" s="100"/>
      <c r="Y14913" s="100"/>
    </row>
    <row r="14914">
      <c r="R14914" s="100"/>
      <c r="V14914" s="100"/>
      <c r="Y14914" s="100"/>
    </row>
    <row r="14915">
      <c r="R14915" s="100"/>
      <c r="V14915" s="100"/>
      <c r="Y14915" s="100"/>
    </row>
    <row r="14916">
      <c r="R14916" s="100"/>
      <c r="V14916" s="100"/>
      <c r="Y14916" s="100"/>
    </row>
    <row r="14917">
      <c r="R14917" s="100"/>
      <c r="V14917" s="100"/>
      <c r="Y14917" s="100"/>
    </row>
    <row r="14918">
      <c r="R14918" s="100"/>
      <c r="V14918" s="100"/>
      <c r="Y14918" s="100"/>
    </row>
    <row r="14919">
      <c r="R14919" s="100"/>
      <c r="V14919" s="100"/>
      <c r="Y14919" s="100"/>
    </row>
    <row r="14920">
      <c r="R14920" s="100"/>
      <c r="V14920" s="100"/>
      <c r="Y14920" s="100"/>
    </row>
    <row r="14921">
      <c r="R14921" s="100"/>
      <c r="V14921" s="100"/>
      <c r="Y14921" s="100"/>
    </row>
    <row r="14922">
      <c r="R14922" s="100"/>
      <c r="V14922" s="100"/>
      <c r="Y14922" s="100"/>
    </row>
    <row r="14923">
      <c r="R14923" s="100"/>
      <c r="V14923" s="100"/>
      <c r="Y14923" s="100"/>
    </row>
    <row r="14924">
      <c r="R14924" s="100"/>
      <c r="V14924" s="100"/>
      <c r="Y14924" s="100"/>
    </row>
    <row r="14925">
      <c r="R14925" s="100"/>
      <c r="V14925" s="100"/>
      <c r="Y14925" s="100"/>
    </row>
    <row r="14926">
      <c r="R14926" s="100"/>
      <c r="V14926" s="100"/>
      <c r="Y14926" s="100"/>
    </row>
    <row r="14927">
      <c r="R14927" s="100"/>
      <c r="V14927" s="100"/>
      <c r="Y14927" s="100"/>
    </row>
    <row r="14928">
      <c r="R14928" s="100"/>
      <c r="V14928" s="100"/>
      <c r="Y14928" s="100"/>
    </row>
    <row r="14929">
      <c r="R14929" s="100"/>
      <c r="V14929" s="100"/>
      <c r="Y14929" s="100"/>
    </row>
    <row r="14930">
      <c r="R14930" s="100"/>
      <c r="V14930" s="100"/>
      <c r="Y14930" s="100"/>
    </row>
    <row r="14931">
      <c r="R14931" s="100"/>
      <c r="V14931" s="100"/>
      <c r="Y14931" s="100"/>
    </row>
    <row r="14932">
      <c r="R14932" s="100"/>
      <c r="V14932" s="100"/>
      <c r="Y14932" s="100"/>
    </row>
    <row r="14933">
      <c r="R14933" s="100"/>
      <c r="V14933" s="100"/>
      <c r="Y14933" s="100"/>
    </row>
    <row r="14934">
      <c r="R14934" s="100"/>
      <c r="V14934" s="100"/>
      <c r="Y14934" s="100"/>
    </row>
    <row r="14935">
      <c r="R14935" s="100"/>
      <c r="V14935" s="100"/>
      <c r="Y14935" s="100"/>
    </row>
    <row r="14936">
      <c r="R14936" s="100"/>
      <c r="V14936" s="100"/>
      <c r="Y14936" s="100"/>
    </row>
    <row r="14937">
      <c r="R14937" s="100"/>
      <c r="V14937" s="100"/>
      <c r="Y14937" s="100"/>
    </row>
    <row r="14938">
      <c r="R14938" s="100"/>
      <c r="V14938" s="100"/>
      <c r="Y14938" s="100"/>
    </row>
    <row r="14939">
      <c r="R14939" s="100"/>
      <c r="V14939" s="100"/>
      <c r="Y14939" s="100"/>
    </row>
    <row r="14940">
      <c r="R14940" s="100"/>
      <c r="V14940" s="100"/>
      <c r="Y14940" s="100"/>
    </row>
    <row r="14941">
      <c r="R14941" s="100"/>
      <c r="V14941" s="100"/>
      <c r="Y14941" s="100"/>
    </row>
    <row r="14942">
      <c r="R14942" s="100"/>
      <c r="V14942" s="100"/>
      <c r="Y14942" s="100"/>
    </row>
    <row r="14943">
      <c r="R14943" s="100"/>
      <c r="V14943" s="100"/>
      <c r="Y14943" s="100"/>
    </row>
    <row r="14944">
      <c r="R14944" s="100"/>
      <c r="V14944" s="100"/>
      <c r="Y14944" s="100"/>
    </row>
    <row r="14945">
      <c r="R14945" s="100"/>
      <c r="V14945" s="100"/>
      <c r="Y14945" s="100"/>
    </row>
    <row r="14946">
      <c r="R14946" s="100"/>
      <c r="V14946" s="100"/>
      <c r="Y14946" s="100"/>
    </row>
    <row r="14947">
      <c r="R14947" s="100"/>
      <c r="V14947" s="100"/>
      <c r="Y14947" s="100"/>
    </row>
    <row r="14948">
      <c r="R14948" s="100"/>
      <c r="V14948" s="100"/>
      <c r="Y14948" s="100"/>
    </row>
    <row r="14949">
      <c r="R14949" s="100"/>
      <c r="V14949" s="100"/>
      <c r="Y14949" s="100"/>
    </row>
    <row r="14950">
      <c r="R14950" s="100"/>
      <c r="V14950" s="100"/>
      <c r="Y14950" s="100"/>
    </row>
    <row r="14951">
      <c r="R14951" s="100"/>
      <c r="V14951" s="100"/>
      <c r="Y14951" s="100"/>
    </row>
    <row r="14952">
      <c r="R14952" s="100"/>
      <c r="V14952" s="100"/>
      <c r="Y14952" s="100"/>
    </row>
    <row r="14953">
      <c r="R14953" s="100"/>
      <c r="V14953" s="100"/>
      <c r="Y14953" s="100"/>
    </row>
    <row r="14954">
      <c r="R14954" s="100"/>
      <c r="V14954" s="100"/>
      <c r="Y14954" s="100"/>
    </row>
    <row r="14955">
      <c r="R14955" s="100"/>
      <c r="V14955" s="100"/>
      <c r="Y14955" s="100"/>
    </row>
    <row r="14956">
      <c r="R14956" s="100"/>
      <c r="V14956" s="100"/>
      <c r="Y14956" s="100"/>
    </row>
    <row r="14957">
      <c r="R14957" s="100"/>
      <c r="V14957" s="100"/>
      <c r="Y14957" s="100"/>
    </row>
    <row r="14958">
      <c r="R14958" s="100"/>
      <c r="V14958" s="100"/>
      <c r="Y14958" s="100"/>
    </row>
    <row r="14959">
      <c r="R14959" s="100"/>
      <c r="V14959" s="100"/>
      <c r="Y14959" s="100"/>
    </row>
    <row r="14960">
      <c r="R14960" s="100"/>
      <c r="V14960" s="100"/>
      <c r="Y14960" s="100"/>
    </row>
    <row r="14961">
      <c r="R14961" s="100"/>
      <c r="V14961" s="100"/>
      <c r="Y14961" s="100"/>
    </row>
    <row r="14962">
      <c r="R14962" s="100"/>
      <c r="V14962" s="100"/>
      <c r="Y14962" s="100"/>
    </row>
    <row r="14963">
      <c r="R14963" s="100"/>
      <c r="V14963" s="100"/>
      <c r="Y14963" s="100"/>
    </row>
    <row r="14964">
      <c r="R14964" s="100"/>
      <c r="V14964" s="100"/>
      <c r="Y14964" s="100"/>
    </row>
    <row r="14965">
      <c r="R14965" s="100"/>
      <c r="V14965" s="100"/>
      <c r="Y14965" s="100"/>
    </row>
    <row r="14966">
      <c r="R14966" s="100"/>
      <c r="V14966" s="100"/>
      <c r="Y14966" s="100"/>
    </row>
    <row r="14967">
      <c r="R14967" s="100"/>
      <c r="V14967" s="100"/>
      <c r="Y14967" s="100"/>
    </row>
    <row r="14968">
      <c r="R14968" s="100"/>
      <c r="V14968" s="100"/>
      <c r="Y14968" s="100"/>
    </row>
    <row r="14969">
      <c r="R14969" s="100"/>
      <c r="V14969" s="100"/>
      <c r="Y14969" s="100"/>
    </row>
    <row r="14970">
      <c r="R14970" s="100"/>
      <c r="V14970" s="100"/>
      <c r="Y14970" s="100"/>
    </row>
    <row r="14971">
      <c r="R14971" s="100"/>
      <c r="V14971" s="100"/>
      <c r="Y14971" s="100"/>
    </row>
    <row r="14972">
      <c r="R14972" s="100"/>
      <c r="V14972" s="100"/>
      <c r="Y14972" s="100"/>
    </row>
    <row r="14973">
      <c r="R14973" s="100"/>
      <c r="V14973" s="100"/>
      <c r="Y14973" s="100"/>
    </row>
    <row r="14974">
      <c r="R14974" s="100"/>
      <c r="V14974" s="100"/>
      <c r="Y14974" s="100"/>
    </row>
    <row r="14975">
      <c r="R14975" s="100"/>
      <c r="V14975" s="100"/>
      <c r="Y14975" s="100"/>
    </row>
    <row r="14976">
      <c r="R14976" s="100"/>
      <c r="V14976" s="100"/>
      <c r="Y14976" s="100"/>
    </row>
    <row r="14977">
      <c r="R14977" s="100"/>
      <c r="V14977" s="100"/>
      <c r="Y14977" s="100"/>
    </row>
    <row r="14978">
      <c r="R14978" s="100"/>
      <c r="V14978" s="100"/>
      <c r="Y14978" s="100"/>
    </row>
    <row r="14979">
      <c r="R14979" s="100"/>
      <c r="V14979" s="100"/>
      <c r="Y14979" s="100"/>
    </row>
    <row r="14980">
      <c r="R14980" s="100"/>
      <c r="V14980" s="100"/>
      <c r="Y14980" s="100"/>
    </row>
    <row r="14981">
      <c r="R14981" s="100"/>
      <c r="V14981" s="100"/>
      <c r="Y14981" s="100"/>
    </row>
    <row r="14982">
      <c r="R14982" s="100"/>
      <c r="V14982" s="100"/>
      <c r="Y14982" s="100"/>
    </row>
    <row r="14983">
      <c r="R14983" s="100"/>
      <c r="V14983" s="100"/>
      <c r="Y14983" s="100"/>
    </row>
    <row r="14984">
      <c r="R14984" s="100"/>
      <c r="V14984" s="100"/>
      <c r="Y14984" s="100"/>
    </row>
    <row r="14985">
      <c r="R14985" s="100"/>
      <c r="V14985" s="100"/>
      <c r="Y14985" s="100"/>
    </row>
    <row r="14986">
      <c r="R14986" s="100"/>
      <c r="V14986" s="100"/>
      <c r="Y14986" s="100"/>
    </row>
    <row r="14987">
      <c r="R14987" s="100"/>
      <c r="V14987" s="100"/>
      <c r="Y14987" s="100"/>
    </row>
    <row r="14988">
      <c r="R14988" s="100"/>
      <c r="V14988" s="100"/>
      <c r="Y14988" s="100"/>
    </row>
    <row r="14989">
      <c r="R14989" s="100"/>
      <c r="V14989" s="100"/>
      <c r="Y14989" s="100"/>
    </row>
    <row r="14990">
      <c r="R14990" s="100"/>
      <c r="V14990" s="100"/>
      <c r="Y14990" s="100"/>
    </row>
    <row r="14991">
      <c r="R14991" s="100"/>
      <c r="V14991" s="100"/>
      <c r="Y14991" s="100"/>
    </row>
    <row r="14992">
      <c r="R14992" s="100"/>
      <c r="V14992" s="100"/>
      <c r="Y14992" s="100"/>
    </row>
    <row r="14993">
      <c r="R14993" s="100"/>
      <c r="V14993" s="100"/>
      <c r="Y14993" s="100"/>
    </row>
    <row r="14994">
      <c r="R14994" s="100"/>
      <c r="V14994" s="100"/>
      <c r="Y14994" s="100"/>
    </row>
    <row r="14995">
      <c r="R14995" s="100"/>
      <c r="V14995" s="100"/>
      <c r="Y14995" s="100"/>
    </row>
    <row r="14996">
      <c r="R14996" s="100"/>
      <c r="V14996" s="100"/>
      <c r="Y14996" s="100"/>
    </row>
    <row r="14997">
      <c r="R14997" s="100"/>
      <c r="V14997" s="100"/>
      <c r="Y14997" s="100"/>
    </row>
    <row r="14998">
      <c r="R14998" s="100"/>
      <c r="V14998" s="100"/>
      <c r="Y14998" s="100"/>
    </row>
    <row r="14999">
      <c r="R14999" s="100"/>
      <c r="V14999" s="100"/>
      <c r="Y14999" s="100"/>
    </row>
    <row r="15000">
      <c r="R15000" s="100"/>
      <c r="V15000" s="100"/>
      <c r="Y15000" s="100"/>
    </row>
    <row r="15001">
      <c r="R15001" s="100"/>
      <c r="V15001" s="100"/>
      <c r="Y15001" s="100"/>
    </row>
    <row r="15002">
      <c r="R15002" s="100"/>
      <c r="V15002" s="100"/>
      <c r="Y15002" s="100"/>
    </row>
    <row r="15003">
      <c r="R15003" s="100"/>
      <c r="V15003" s="100"/>
      <c r="Y15003" s="100"/>
    </row>
    <row r="15004">
      <c r="R15004" s="100"/>
      <c r="V15004" s="100"/>
      <c r="Y15004" s="100"/>
    </row>
    <row r="15005">
      <c r="R15005" s="100"/>
      <c r="V15005" s="100"/>
      <c r="Y15005" s="100"/>
    </row>
    <row r="15006">
      <c r="R15006" s="100"/>
      <c r="V15006" s="100"/>
      <c r="Y15006" s="100"/>
    </row>
    <row r="15007">
      <c r="R15007" s="100"/>
      <c r="V15007" s="100"/>
      <c r="Y15007" s="100"/>
    </row>
    <row r="15008">
      <c r="R15008" s="100"/>
      <c r="V15008" s="100"/>
      <c r="Y15008" s="100"/>
    </row>
    <row r="15009">
      <c r="R15009" s="100"/>
      <c r="V15009" s="100"/>
      <c r="Y15009" s="100"/>
    </row>
    <row r="15010">
      <c r="R15010" s="100"/>
      <c r="V15010" s="100"/>
      <c r="Y15010" s="100"/>
    </row>
    <row r="15011">
      <c r="R15011" s="100"/>
      <c r="V15011" s="100"/>
      <c r="Y15011" s="100"/>
    </row>
    <row r="15012">
      <c r="R15012" s="100"/>
      <c r="V15012" s="100"/>
      <c r="Y15012" s="100"/>
    </row>
    <row r="15013">
      <c r="R15013" s="100"/>
      <c r="V15013" s="100"/>
      <c r="Y15013" s="100"/>
    </row>
    <row r="15014">
      <c r="R15014" s="100"/>
      <c r="V15014" s="100"/>
      <c r="Y15014" s="100"/>
    </row>
    <row r="15015">
      <c r="R15015" s="100"/>
      <c r="V15015" s="100"/>
      <c r="Y15015" s="100"/>
    </row>
    <row r="15016">
      <c r="R15016" s="100"/>
      <c r="V15016" s="100"/>
      <c r="Y15016" s="100"/>
    </row>
    <row r="15017">
      <c r="R15017" s="100"/>
      <c r="V15017" s="100"/>
      <c r="Y15017" s="100"/>
    </row>
    <row r="15018">
      <c r="R15018" s="100"/>
      <c r="V15018" s="100"/>
      <c r="Y15018" s="100"/>
    </row>
    <row r="15019">
      <c r="R15019" s="100"/>
      <c r="V15019" s="100"/>
      <c r="Y15019" s="100"/>
    </row>
    <row r="15020">
      <c r="R15020" s="100"/>
      <c r="V15020" s="100"/>
      <c r="Y15020" s="100"/>
    </row>
    <row r="15021">
      <c r="R15021" s="100"/>
      <c r="V15021" s="100"/>
      <c r="Y15021" s="100"/>
    </row>
    <row r="15022">
      <c r="R15022" s="100"/>
      <c r="V15022" s="100"/>
      <c r="Y15022" s="100"/>
    </row>
    <row r="15023">
      <c r="R15023" s="100"/>
      <c r="V15023" s="100"/>
      <c r="Y15023" s="100"/>
    </row>
    <row r="15024">
      <c r="R15024" s="100"/>
      <c r="V15024" s="100"/>
      <c r="Y15024" s="100"/>
    </row>
    <row r="15025">
      <c r="R15025" s="100"/>
      <c r="V15025" s="100"/>
      <c r="Y15025" s="100"/>
    </row>
    <row r="15026">
      <c r="R15026" s="100"/>
      <c r="V15026" s="100"/>
      <c r="Y15026" s="100"/>
    </row>
    <row r="15027">
      <c r="R15027" s="100"/>
      <c r="V15027" s="100"/>
      <c r="Y15027" s="100"/>
    </row>
    <row r="15028">
      <c r="R15028" s="100"/>
      <c r="V15028" s="100"/>
      <c r="Y15028" s="100"/>
    </row>
    <row r="15029">
      <c r="R15029" s="100"/>
      <c r="V15029" s="100"/>
      <c r="Y15029" s="100"/>
    </row>
    <row r="15030">
      <c r="R15030" s="100"/>
      <c r="V15030" s="100"/>
      <c r="Y15030" s="100"/>
    </row>
    <row r="15031">
      <c r="R15031" s="100"/>
      <c r="V15031" s="100"/>
      <c r="Y15031" s="100"/>
    </row>
    <row r="15032">
      <c r="R15032" s="100"/>
      <c r="V15032" s="100"/>
      <c r="Y15032" s="100"/>
    </row>
    <row r="15033">
      <c r="R15033" s="100"/>
      <c r="V15033" s="100"/>
      <c r="Y15033" s="100"/>
    </row>
    <row r="15034">
      <c r="R15034" s="100"/>
      <c r="V15034" s="100"/>
      <c r="Y15034" s="100"/>
    </row>
    <row r="15035">
      <c r="R15035" s="100"/>
      <c r="V15035" s="100"/>
      <c r="Y15035" s="100"/>
    </row>
    <row r="15036">
      <c r="R15036" s="100"/>
      <c r="V15036" s="100"/>
      <c r="Y15036" s="100"/>
    </row>
    <row r="15037">
      <c r="R15037" s="100"/>
      <c r="V15037" s="100"/>
      <c r="Y15037" s="100"/>
    </row>
    <row r="15038">
      <c r="R15038" s="100"/>
      <c r="V15038" s="100"/>
      <c r="Y15038" s="100"/>
    </row>
    <row r="15039">
      <c r="R15039" s="100"/>
      <c r="V15039" s="100"/>
      <c r="Y15039" s="100"/>
    </row>
    <row r="15040">
      <c r="R15040" s="100"/>
      <c r="V15040" s="100"/>
      <c r="Y15040" s="100"/>
    </row>
    <row r="15041">
      <c r="R15041" s="100"/>
      <c r="V15041" s="100"/>
      <c r="Y15041" s="100"/>
    </row>
    <row r="15042">
      <c r="R15042" s="100"/>
      <c r="V15042" s="100"/>
      <c r="Y15042" s="100"/>
    </row>
    <row r="15043">
      <c r="R15043" s="100"/>
      <c r="V15043" s="100"/>
      <c r="Y15043" s="100"/>
    </row>
    <row r="15044">
      <c r="R15044" s="100"/>
      <c r="V15044" s="100"/>
      <c r="Y15044" s="100"/>
    </row>
    <row r="15045">
      <c r="R15045" s="100"/>
      <c r="V15045" s="100"/>
      <c r="Y15045" s="100"/>
    </row>
    <row r="15046">
      <c r="R15046" s="100"/>
      <c r="V15046" s="100"/>
      <c r="Y15046" s="100"/>
    </row>
    <row r="15047">
      <c r="R15047" s="100"/>
      <c r="V15047" s="100"/>
      <c r="Y15047" s="100"/>
    </row>
    <row r="15048">
      <c r="R15048" s="100"/>
      <c r="V15048" s="100"/>
      <c r="Y15048" s="100"/>
    </row>
    <row r="15049">
      <c r="R15049" s="100"/>
      <c r="V15049" s="100"/>
      <c r="Y15049" s="100"/>
    </row>
    <row r="15050">
      <c r="R15050" s="100"/>
      <c r="V15050" s="100"/>
      <c r="Y15050" s="100"/>
    </row>
    <row r="15051">
      <c r="R15051" s="100"/>
      <c r="V15051" s="100"/>
      <c r="Y15051" s="100"/>
    </row>
    <row r="15052">
      <c r="R15052" s="100"/>
      <c r="V15052" s="100"/>
      <c r="Y15052" s="100"/>
    </row>
    <row r="15053">
      <c r="R15053" s="100"/>
      <c r="V15053" s="100"/>
      <c r="Y15053" s="100"/>
    </row>
    <row r="15054">
      <c r="R15054" s="100"/>
      <c r="V15054" s="100"/>
      <c r="Y15054" s="100"/>
    </row>
    <row r="15055">
      <c r="R15055" s="100"/>
      <c r="V15055" s="100"/>
      <c r="Y15055" s="100"/>
    </row>
    <row r="15056">
      <c r="R15056" s="100"/>
      <c r="V15056" s="100"/>
      <c r="Y15056" s="100"/>
    </row>
    <row r="15057">
      <c r="R15057" s="100"/>
      <c r="V15057" s="100"/>
      <c r="Y15057" s="100"/>
    </row>
    <row r="15058">
      <c r="R15058" s="100"/>
      <c r="V15058" s="100"/>
      <c r="Y15058" s="100"/>
    </row>
    <row r="15059">
      <c r="R15059" s="100"/>
      <c r="V15059" s="100"/>
      <c r="Y15059" s="100"/>
    </row>
    <row r="15060">
      <c r="R15060" s="100"/>
      <c r="V15060" s="100"/>
      <c r="Y15060" s="100"/>
    </row>
    <row r="15061">
      <c r="R15061" s="100"/>
      <c r="V15061" s="100"/>
      <c r="Y15061" s="100"/>
    </row>
    <row r="15062">
      <c r="R15062" s="100"/>
      <c r="V15062" s="100"/>
      <c r="Y15062" s="100"/>
    </row>
    <row r="15063">
      <c r="R15063" s="100"/>
      <c r="V15063" s="100"/>
      <c r="Y15063" s="100"/>
    </row>
    <row r="15064">
      <c r="R15064" s="100"/>
      <c r="V15064" s="100"/>
      <c r="Y15064" s="100"/>
    </row>
    <row r="15065">
      <c r="R15065" s="100"/>
      <c r="V15065" s="100"/>
      <c r="Y15065" s="100"/>
    </row>
    <row r="15066">
      <c r="R15066" s="100"/>
      <c r="V15066" s="100"/>
      <c r="Y15066" s="100"/>
    </row>
    <row r="15067">
      <c r="R15067" s="100"/>
      <c r="V15067" s="100"/>
      <c r="Y15067" s="100"/>
    </row>
    <row r="15068">
      <c r="R15068" s="100"/>
      <c r="V15068" s="100"/>
      <c r="Y15068" s="100"/>
    </row>
    <row r="15069">
      <c r="R15069" s="100"/>
      <c r="V15069" s="100"/>
      <c r="Y15069" s="100"/>
    </row>
    <row r="15070">
      <c r="R15070" s="100"/>
      <c r="V15070" s="100"/>
      <c r="Y15070" s="100"/>
    </row>
    <row r="15071">
      <c r="R15071" s="100"/>
      <c r="V15071" s="100"/>
      <c r="Y15071" s="100"/>
    </row>
    <row r="15072">
      <c r="R15072" s="100"/>
      <c r="V15072" s="100"/>
      <c r="Y15072" s="100"/>
    </row>
    <row r="15073">
      <c r="R15073" s="100"/>
      <c r="V15073" s="100"/>
      <c r="Y15073" s="100"/>
    </row>
    <row r="15074">
      <c r="R15074" s="100"/>
      <c r="V15074" s="100"/>
      <c r="Y15074" s="100"/>
    </row>
    <row r="15075">
      <c r="R15075" s="100"/>
      <c r="V15075" s="100"/>
      <c r="Y15075" s="100"/>
    </row>
    <row r="15076">
      <c r="R15076" s="100"/>
      <c r="V15076" s="100"/>
      <c r="Y15076" s="100"/>
    </row>
    <row r="15077">
      <c r="R15077" s="100"/>
      <c r="V15077" s="100"/>
      <c r="Y15077" s="100"/>
    </row>
    <row r="15078">
      <c r="R15078" s="100"/>
      <c r="V15078" s="100"/>
      <c r="Y15078" s="100"/>
    </row>
    <row r="15079">
      <c r="R15079" s="100"/>
      <c r="V15079" s="100"/>
      <c r="Y15079" s="100"/>
    </row>
    <row r="15080">
      <c r="R15080" s="100"/>
      <c r="V15080" s="100"/>
      <c r="Y15080" s="100"/>
    </row>
    <row r="15081">
      <c r="R15081" s="100"/>
      <c r="V15081" s="100"/>
      <c r="Y15081" s="100"/>
    </row>
    <row r="15082">
      <c r="R15082" s="100"/>
      <c r="V15082" s="100"/>
      <c r="Y15082" s="100"/>
    </row>
    <row r="15083">
      <c r="R15083" s="100"/>
      <c r="V15083" s="100"/>
      <c r="Y15083" s="100"/>
    </row>
    <row r="15084">
      <c r="R15084" s="100"/>
      <c r="V15084" s="100"/>
      <c r="Y15084" s="100"/>
    </row>
    <row r="15085">
      <c r="R15085" s="100"/>
      <c r="V15085" s="100"/>
      <c r="Y15085" s="100"/>
    </row>
    <row r="15086">
      <c r="R15086" s="100"/>
      <c r="V15086" s="100"/>
      <c r="Y15086" s="100"/>
    </row>
    <row r="15087">
      <c r="R15087" s="100"/>
      <c r="V15087" s="100"/>
      <c r="Y15087" s="100"/>
    </row>
    <row r="15088">
      <c r="R15088" s="100"/>
      <c r="V15088" s="100"/>
      <c r="Y15088" s="100"/>
    </row>
    <row r="15089">
      <c r="R15089" s="100"/>
      <c r="V15089" s="100"/>
      <c r="Y15089" s="100"/>
    </row>
    <row r="15090">
      <c r="R15090" s="100"/>
      <c r="V15090" s="100"/>
      <c r="Y15090" s="100"/>
    </row>
    <row r="15091">
      <c r="R15091" s="100"/>
      <c r="V15091" s="100"/>
      <c r="Y15091" s="100"/>
    </row>
    <row r="15092">
      <c r="R15092" s="100"/>
      <c r="V15092" s="100"/>
      <c r="Y15092" s="100"/>
    </row>
    <row r="15093">
      <c r="R15093" s="100"/>
      <c r="V15093" s="100"/>
      <c r="Y15093" s="100"/>
    </row>
    <row r="15094">
      <c r="R15094" s="100"/>
      <c r="V15094" s="100"/>
      <c r="Y15094" s="100"/>
    </row>
    <row r="15095">
      <c r="R15095" s="100"/>
      <c r="V15095" s="100"/>
      <c r="Y15095" s="100"/>
    </row>
    <row r="15096">
      <c r="R15096" s="100"/>
      <c r="V15096" s="100"/>
      <c r="Y15096" s="100"/>
    </row>
    <row r="15097">
      <c r="R15097" s="100"/>
      <c r="V15097" s="100"/>
      <c r="Y15097" s="100"/>
    </row>
    <row r="15098">
      <c r="R15098" s="100"/>
      <c r="V15098" s="100"/>
      <c r="Y15098" s="100"/>
    </row>
    <row r="15099">
      <c r="R15099" s="100"/>
      <c r="V15099" s="100"/>
      <c r="Y15099" s="100"/>
    </row>
    <row r="15100">
      <c r="R15100" s="100"/>
      <c r="V15100" s="100"/>
      <c r="Y15100" s="100"/>
    </row>
    <row r="15101">
      <c r="R15101" s="100"/>
      <c r="V15101" s="100"/>
      <c r="Y15101" s="100"/>
    </row>
    <row r="15102">
      <c r="R15102" s="100"/>
      <c r="V15102" s="100"/>
      <c r="Y15102" s="100"/>
    </row>
    <row r="15103">
      <c r="R15103" s="100"/>
      <c r="V15103" s="100"/>
      <c r="Y15103" s="100"/>
    </row>
    <row r="15104">
      <c r="R15104" s="100"/>
      <c r="V15104" s="100"/>
      <c r="Y15104" s="100"/>
    </row>
    <row r="15105">
      <c r="R15105" s="100"/>
      <c r="V15105" s="100"/>
      <c r="Y15105" s="100"/>
    </row>
    <row r="15106">
      <c r="R15106" s="100"/>
      <c r="V15106" s="100"/>
      <c r="Y15106" s="100"/>
    </row>
    <row r="15107">
      <c r="R15107" s="100"/>
      <c r="V15107" s="100"/>
      <c r="Y15107" s="100"/>
    </row>
    <row r="15108">
      <c r="R15108" s="100"/>
      <c r="V15108" s="100"/>
      <c r="Y15108" s="100"/>
    </row>
    <row r="15109">
      <c r="R15109" s="100"/>
      <c r="V15109" s="100"/>
      <c r="Y15109" s="100"/>
    </row>
    <row r="15110">
      <c r="R15110" s="100"/>
      <c r="V15110" s="100"/>
      <c r="Y15110" s="100"/>
    </row>
    <row r="15111">
      <c r="R15111" s="100"/>
      <c r="V15111" s="100"/>
      <c r="Y15111" s="100"/>
    </row>
    <row r="15112">
      <c r="R15112" s="100"/>
      <c r="V15112" s="100"/>
      <c r="Y15112" s="100"/>
    </row>
    <row r="15113">
      <c r="R15113" s="100"/>
      <c r="V15113" s="100"/>
      <c r="Y15113" s="100"/>
    </row>
    <row r="15114">
      <c r="R15114" s="100"/>
      <c r="V15114" s="100"/>
      <c r="Y15114" s="100"/>
    </row>
    <row r="15115">
      <c r="R15115" s="100"/>
      <c r="V15115" s="100"/>
      <c r="Y15115" s="100"/>
    </row>
    <row r="15116">
      <c r="R15116" s="100"/>
      <c r="V15116" s="100"/>
      <c r="Y15116" s="100"/>
    </row>
    <row r="15117">
      <c r="R15117" s="100"/>
      <c r="V15117" s="100"/>
      <c r="Y15117" s="100"/>
    </row>
    <row r="15118">
      <c r="R15118" s="100"/>
      <c r="V15118" s="100"/>
      <c r="Y15118" s="100"/>
    </row>
    <row r="15119">
      <c r="R15119" s="100"/>
      <c r="V15119" s="100"/>
      <c r="Y15119" s="100"/>
    </row>
    <row r="15120">
      <c r="R15120" s="100"/>
      <c r="V15120" s="100"/>
      <c r="Y15120" s="100"/>
    </row>
    <row r="15121">
      <c r="R15121" s="100"/>
      <c r="V15121" s="100"/>
      <c r="Y15121" s="100"/>
    </row>
    <row r="15122">
      <c r="R15122" s="100"/>
      <c r="V15122" s="100"/>
      <c r="Y15122" s="100"/>
    </row>
    <row r="15123">
      <c r="R15123" s="100"/>
      <c r="V15123" s="100"/>
      <c r="Y15123" s="100"/>
    </row>
    <row r="15124">
      <c r="R15124" s="100"/>
      <c r="V15124" s="100"/>
      <c r="Y15124" s="100"/>
    </row>
    <row r="15125">
      <c r="R15125" s="100"/>
      <c r="V15125" s="100"/>
      <c r="Y15125" s="100"/>
    </row>
    <row r="15126">
      <c r="R15126" s="100"/>
      <c r="V15126" s="100"/>
      <c r="Y15126" s="100"/>
    </row>
    <row r="15127">
      <c r="R15127" s="100"/>
      <c r="V15127" s="100"/>
      <c r="Y15127" s="100"/>
    </row>
    <row r="15128">
      <c r="R15128" s="100"/>
      <c r="V15128" s="100"/>
      <c r="Y15128" s="100"/>
    </row>
    <row r="15129">
      <c r="R15129" s="100"/>
      <c r="V15129" s="100"/>
      <c r="Y15129" s="100"/>
    </row>
    <row r="15130">
      <c r="R15130" s="100"/>
      <c r="V15130" s="100"/>
      <c r="Y15130" s="100"/>
    </row>
    <row r="15131">
      <c r="R15131" s="100"/>
      <c r="V15131" s="100"/>
      <c r="Y15131" s="100"/>
    </row>
    <row r="15132">
      <c r="R15132" s="100"/>
      <c r="V15132" s="100"/>
      <c r="Y15132" s="100"/>
    </row>
    <row r="15133">
      <c r="R15133" s="100"/>
      <c r="V15133" s="100"/>
      <c r="Y15133" s="100"/>
    </row>
    <row r="15134">
      <c r="R15134" s="100"/>
      <c r="V15134" s="100"/>
      <c r="Y15134" s="100"/>
    </row>
    <row r="15135">
      <c r="R15135" s="100"/>
      <c r="V15135" s="100"/>
      <c r="Y15135" s="100"/>
    </row>
    <row r="15136">
      <c r="R15136" s="100"/>
      <c r="V15136" s="100"/>
      <c r="Y15136" s="100"/>
    </row>
    <row r="15137">
      <c r="R15137" s="100"/>
      <c r="V15137" s="100"/>
      <c r="Y15137" s="100"/>
    </row>
    <row r="15138">
      <c r="R15138" s="100"/>
      <c r="V15138" s="100"/>
      <c r="Y15138" s="100"/>
    </row>
    <row r="15139">
      <c r="R15139" s="100"/>
      <c r="V15139" s="100"/>
      <c r="Y15139" s="100"/>
    </row>
    <row r="15140">
      <c r="R15140" s="100"/>
      <c r="V15140" s="100"/>
      <c r="Y15140" s="100"/>
    </row>
    <row r="15141">
      <c r="R15141" s="100"/>
      <c r="V15141" s="100"/>
      <c r="Y15141" s="100"/>
    </row>
    <row r="15142">
      <c r="R15142" s="100"/>
      <c r="V15142" s="100"/>
      <c r="Y15142" s="100"/>
    </row>
    <row r="15143">
      <c r="R15143" s="100"/>
      <c r="V15143" s="100"/>
      <c r="Y15143" s="100"/>
    </row>
    <row r="15144">
      <c r="R15144" s="100"/>
      <c r="V15144" s="100"/>
      <c r="Y15144" s="100"/>
    </row>
    <row r="15145">
      <c r="R15145" s="100"/>
      <c r="V15145" s="100"/>
      <c r="Y15145" s="100"/>
    </row>
    <row r="15146">
      <c r="R15146" s="100"/>
      <c r="V15146" s="100"/>
      <c r="Y15146" s="100"/>
    </row>
    <row r="15147">
      <c r="R15147" s="100"/>
      <c r="V15147" s="100"/>
      <c r="Y15147" s="100"/>
    </row>
    <row r="15148">
      <c r="R15148" s="100"/>
      <c r="V15148" s="100"/>
      <c r="Y15148" s="100"/>
    </row>
    <row r="15149">
      <c r="R15149" s="100"/>
      <c r="V15149" s="100"/>
      <c r="Y15149" s="100"/>
    </row>
    <row r="15150">
      <c r="R15150" s="100"/>
      <c r="V15150" s="100"/>
      <c r="Y15150" s="100"/>
    </row>
    <row r="15151">
      <c r="R15151" s="100"/>
      <c r="V15151" s="100"/>
      <c r="Y15151" s="100"/>
    </row>
    <row r="15152">
      <c r="R15152" s="100"/>
      <c r="V15152" s="100"/>
      <c r="Y15152" s="100"/>
    </row>
    <row r="15153">
      <c r="R15153" s="100"/>
      <c r="V15153" s="100"/>
      <c r="Y15153" s="100"/>
    </row>
    <row r="15154">
      <c r="R15154" s="100"/>
      <c r="V15154" s="100"/>
      <c r="Y15154" s="100"/>
    </row>
    <row r="15155">
      <c r="R15155" s="100"/>
      <c r="V15155" s="100"/>
      <c r="Y15155" s="100"/>
    </row>
    <row r="15156">
      <c r="R15156" s="100"/>
      <c r="V15156" s="100"/>
      <c r="Y15156" s="100"/>
    </row>
    <row r="15157">
      <c r="R15157" s="100"/>
      <c r="V15157" s="100"/>
      <c r="Y15157" s="100"/>
    </row>
    <row r="15158">
      <c r="R15158" s="100"/>
      <c r="V15158" s="100"/>
      <c r="Y15158" s="100"/>
    </row>
    <row r="15159">
      <c r="R15159" s="100"/>
      <c r="V15159" s="100"/>
      <c r="Y15159" s="100"/>
    </row>
    <row r="15160">
      <c r="R15160" s="100"/>
      <c r="V15160" s="100"/>
      <c r="Y15160" s="100"/>
    </row>
    <row r="15161">
      <c r="R15161" s="100"/>
      <c r="V15161" s="100"/>
      <c r="Y15161" s="100"/>
    </row>
    <row r="15162">
      <c r="R15162" s="100"/>
      <c r="V15162" s="100"/>
      <c r="Y15162" s="100"/>
    </row>
    <row r="15163">
      <c r="R15163" s="100"/>
      <c r="V15163" s="100"/>
      <c r="Y15163" s="100"/>
    </row>
    <row r="15164">
      <c r="R15164" s="100"/>
      <c r="V15164" s="100"/>
      <c r="Y15164" s="100"/>
    </row>
    <row r="15165">
      <c r="R15165" s="100"/>
      <c r="V15165" s="100"/>
      <c r="Y15165" s="100"/>
    </row>
    <row r="15166">
      <c r="R15166" s="100"/>
      <c r="V15166" s="100"/>
      <c r="Y15166" s="100"/>
    </row>
    <row r="15167">
      <c r="R15167" s="100"/>
      <c r="V15167" s="100"/>
      <c r="Y15167" s="100"/>
    </row>
    <row r="15168">
      <c r="R15168" s="100"/>
      <c r="V15168" s="100"/>
      <c r="Y15168" s="100"/>
    </row>
    <row r="15169">
      <c r="R15169" s="100"/>
      <c r="V15169" s="100"/>
      <c r="Y15169" s="100"/>
    </row>
    <row r="15170">
      <c r="R15170" s="100"/>
      <c r="V15170" s="100"/>
      <c r="Y15170" s="100"/>
    </row>
    <row r="15171">
      <c r="R15171" s="100"/>
      <c r="V15171" s="100"/>
      <c r="Y15171" s="100"/>
    </row>
    <row r="15172">
      <c r="R15172" s="100"/>
      <c r="V15172" s="100"/>
      <c r="Y15172" s="100"/>
    </row>
    <row r="15173">
      <c r="R15173" s="100"/>
      <c r="V15173" s="100"/>
      <c r="Y15173" s="100"/>
    </row>
    <row r="15174">
      <c r="R15174" s="100"/>
      <c r="V15174" s="100"/>
      <c r="Y15174" s="100"/>
    </row>
    <row r="15175">
      <c r="R15175" s="100"/>
      <c r="V15175" s="100"/>
      <c r="Y15175" s="100"/>
    </row>
    <row r="15176">
      <c r="R15176" s="100"/>
      <c r="V15176" s="100"/>
      <c r="Y15176" s="100"/>
    </row>
    <row r="15177">
      <c r="R15177" s="100"/>
      <c r="V15177" s="100"/>
      <c r="Y15177" s="100"/>
    </row>
    <row r="15178">
      <c r="R15178" s="100"/>
      <c r="V15178" s="100"/>
      <c r="Y15178" s="100"/>
    </row>
    <row r="15179">
      <c r="R15179" s="100"/>
      <c r="V15179" s="100"/>
      <c r="Y15179" s="100"/>
    </row>
    <row r="15180">
      <c r="R15180" s="100"/>
      <c r="V15180" s="100"/>
      <c r="Y15180" s="100"/>
    </row>
    <row r="15181">
      <c r="R15181" s="100"/>
      <c r="V15181" s="100"/>
      <c r="Y15181" s="100"/>
    </row>
    <row r="15182">
      <c r="R15182" s="100"/>
      <c r="V15182" s="100"/>
      <c r="Y15182" s="100"/>
    </row>
    <row r="15183">
      <c r="R15183" s="100"/>
      <c r="V15183" s="100"/>
      <c r="Y15183" s="100"/>
    </row>
    <row r="15184">
      <c r="R15184" s="100"/>
      <c r="V15184" s="100"/>
      <c r="Y15184" s="100"/>
    </row>
    <row r="15185">
      <c r="R15185" s="100"/>
      <c r="V15185" s="100"/>
      <c r="Y15185" s="100"/>
    </row>
    <row r="15186">
      <c r="R15186" s="100"/>
      <c r="V15186" s="100"/>
      <c r="Y15186" s="100"/>
    </row>
    <row r="15187">
      <c r="R15187" s="100"/>
      <c r="V15187" s="100"/>
      <c r="Y15187" s="100"/>
    </row>
    <row r="15188">
      <c r="R15188" s="100"/>
      <c r="V15188" s="100"/>
      <c r="Y15188" s="100"/>
    </row>
    <row r="15189">
      <c r="R15189" s="100"/>
      <c r="V15189" s="100"/>
      <c r="Y15189" s="100"/>
    </row>
    <row r="15190">
      <c r="R15190" s="100"/>
      <c r="V15190" s="100"/>
      <c r="Y15190" s="100"/>
    </row>
    <row r="15191">
      <c r="R15191" s="100"/>
      <c r="V15191" s="100"/>
      <c r="Y15191" s="100"/>
    </row>
    <row r="15192">
      <c r="R15192" s="100"/>
      <c r="V15192" s="100"/>
      <c r="Y15192" s="100"/>
    </row>
    <row r="15193">
      <c r="R15193" s="100"/>
      <c r="V15193" s="100"/>
      <c r="Y15193" s="100"/>
    </row>
    <row r="15194">
      <c r="R15194" s="100"/>
      <c r="V15194" s="100"/>
      <c r="Y15194" s="100"/>
    </row>
    <row r="15195">
      <c r="R15195" s="100"/>
      <c r="V15195" s="100"/>
      <c r="Y15195" s="100"/>
    </row>
    <row r="15196">
      <c r="R15196" s="100"/>
      <c r="V15196" s="100"/>
      <c r="Y15196" s="100"/>
    </row>
    <row r="15197">
      <c r="R15197" s="100"/>
      <c r="V15197" s="100"/>
      <c r="Y15197" s="100"/>
    </row>
    <row r="15198">
      <c r="R15198" s="100"/>
      <c r="V15198" s="100"/>
      <c r="Y15198" s="100"/>
    </row>
    <row r="15199">
      <c r="R15199" s="100"/>
      <c r="V15199" s="100"/>
      <c r="Y15199" s="100"/>
    </row>
    <row r="15200">
      <c r="R15200" s="100"/>
      <c r="V15200" s="100"/>
      <c r="Y15200" s="100"/>
    </row>
    <row r="15201">
      <c r="R15201" s="100"/>
      <c r="V15201" s="100"/>
      <c r="Y15201" s="100"/>
    </row>
    <row r="15202">
      <c r="R15202" s="100"/>
      <c r="V15202" s="100"/>
      <c r="Y15202" s="100"/>
    </row>
    <row r="15203">
      <c r="R15203" s="100"/>
      <c r="V15203" s="100"/>
      <c r="Y15203" s="100"/>
    </row>
    <row r="15204">
      <c r="R15204" s="100"/>
      <c r="V15204" s="100"/>
      <c r="Y15204" s="100"/>
    </row>
    <row r="15205">
      <c r="R15205" s="100"/>
      <c r="V15205" s="100"/>
      <c r="Y15205" s="100"/>
    </row>
    <row r="15206">
      <c r="R15206" s="100"/>
      <c r="V15206" s="100"/>
      <c r="Y15206" s="100"/>
    </row>
    <row r="15207">
      <c r="R15207" s="100"/>
      <c r="V15207" s="100"/>
      <c r="Y15207" s="100"/>
    </row>
    <row r="15208">
      <c r="R15208" s="100"/>
      <c r="V15208" s="100"/>
      <c r="Y15208" s="100"/>
    </row>
    <row r="15209">
      <c r="R15209" s="100"/>
      <c r="V15209" s="100"/>
      <c r="Y15209" s="100"/>
    </row>
    <row r="15210">
      <c r="R15210" s="100"/>
      <c r="V15210" s="100"/>
      <c r="Y15210" s="100"/>
    </row>
    <row r="15211">
      <c r="R15211" s="100"/>
      <c r="V15211" s="100"/>
      <c r="Y15211" s="100"/>
    </row>
    <row r="15212">
      <c r="R15212" s="100"/>
      <c r="V15212" s="100"/>
      <c r="Y15212" s="100"/>
    </row>
    <row r="15213">
      <c r="R15213" s="100"/>
      <c r="V15213" s="100"/>
      <c r="Y15213" s="100"/>
    </row>
    <row r="15214">
      <c r="R15214" s="100"/>
      <c r="V15214" s="100"/>
      <c r="Y15214" s="100"/>
    </row>
    <row r="15215">
      <c r="R15215" s="100"/>
      <c r="V15215" s="100"/>
      <c r="Y15215" s="100"/>
    </row>
    <row r="15216">
      <c r="R15216" s="100"/>
      <c r="V15216" s="100"/>
      <c r="Y15216" s="100"/>
    </row>
    <row r="15217">
      <c r="R15217" s="100"/>
      <c r="V15217" s="100"/>
      <c r="Y15217" s="100"/>
    </row>
    <row r="15218">
      <c r="R15218" s="100"/>
      <c r="V15218" s="100"/>
      <c r="Y15218" s="100"/>
    </row>
    <row r="15219">
      <c r="R15219" s="100"/>
      <c r="V15219" s="100"/>
      <c r="Y15219" s="100"/>
    </row>
    <row r="15220">
      <c r="R15220" s="100"/>
      <c r="V15220" s="100"/>
      <c r="Y15220" s="100"/>
    </row>
    <row r="15221">
      <c r="R15221" s="100"/>
      <c r="V15221" s="100"/>
      <c r="Y15221" s="100"/>
    </row>
    <row r="15222">
      <c r="R15222" s="100"/>
      <c r="V15222" s="100"/>
      <c r="Y15222" s="100"/>
    </row>
    <row r="15223">
      <c r="R15223" s="100"/>
      <c r="V15223" s="100"/>
      <c r="Y15223" s="100"/>
    </row>
    <row r="15224">
      <c r="R15224" s="100"/>
      <c r="V15224" s="100"/>
      <c r="Y15224" s="100"/>
    </row>
    <row r="15225">
      <c r="R15225" s="100"/>
      <c r="V15225" s="100"/>
      <c r="Y15225" s="100"/>
    </row>
    <row r="15226">
      <c r="R15226" s="100"/>
      <c r="V15226" s="100"/>
      <c r="Y15226" s="100"/>
    </row>
    <row r="15227">
      <c r="R15227" s="100"/>
      <c r="V15227" s="100"/>
      <c r="Y15227" s="100"/>
    </row>
    <row r="15228">
      <c r="R15228" s="100"/>
      <c r="V15228" s="100"/>
      <c r="Y15228" s="100"/>
    </row>
    <row r="15229">
      <c r="R15229" s="100"/>
      <c r="V15229" s="100"/>
      <c r="Y15229" s="100"/>
    </row>
    <row r="15230">
      <c r="R15230" s="100"/>
      <c r="V15230" s="100"/>
      <c r="Y15230" s="100"/>
    </row>
    <row r="15231">
      <c r="R15231" s="100"/>
      <c r="V15231" s="100"/>
      <c r="Y15231" s="100"/>
    </row>
    <row r="15232">
      <c r="R15232" s="100"/>
      <c r="V15232" s="100"/>
      <c r="Y15232" s="100"/>
    </row>
    <row r="15233">
      <c r="R15233" s="100"/>
      <c r="V15233" s="100"/>
      <c r="Y15233" s="100"/>
    </row>
    <row r="15234">
      <c r="R15234" s="100"/>
      <c r="V15234" s="100"/>
      <c r="Y15234" s="100"/>
    </row>
    <row r="15235">
      <c r="R15235" s="100"/>
      <c r="V15235" s="100"/>
      <c r="Y15235" s="100"/>
    </row>
    <row r="15236">
      <c r="R15236" s="100"/>
      <c r="V15236" s="100"/>
      <c r="Y15236" s="100"/>
    </row>
    <row r="15237">
      <c r="R15237" s="100"/>
      <c r="V15237" s="100"/>
      <c r="Y15237" s="100"/>
    </row>
    <row r="15238">
      <c r="R15238" s="100"/>
      <c r="V15238" s="100"/>
      <c r="Y15238" s="100"/>
    </row>
    <row r="15239">
      <c r="R15239" s="100"/>
      <c r="V15239" s="100"/>
      <c r="Y15239" s="100"/>
    </row>
    <row r="15240">
      <c r="R15240" s="100"/>
      <c r="V15240" s="100"/>
      <c r="Y15240" s="100"/>
    </row>
    <row r="15241">
      <c r="R15241" s="100"/>
      <c r="V15241" s="100"/>
      <c r="Y15241" s="100"/>
    </row>
    <row r="15242">
      <c r="R15242" s="100"/>
      <c r="V15242" s="100"/>
      <c r="Y15242" s="100"/>
    </row>
    <row r="15243">
      <c r="R15243" s="100"/>
      <c r="V15243" s="100"/>
      <c r="Y15243" s="100"/>
    </row>
    <row r="15244">
      <c r="R15244" s="100"/>
      <c r="V15244" s="100"/>
      <c r="Y15244" s="100"/>
    </row>
    <row r="15245">
      <c r="R15245" s="100"/>
      <c r="V15245" s="100"/>
      <c r="Y15245" s="100"/>
    </row>
    <row r="15246">
      <c r="R15246" s="100"/>
      <c r="V15246" s="100"/>
      <c r="Y15246" s="100"/>
    </row>
    <row r="15247">
      <c r="R15247" s="100"/>
      <c r="V15247" s="100"/>
      <c r="Y15247" s="100"/>
    </row>
    <row r="15248">
      <c r="R15248" s="100"/>
      <c r="V15248" s="100"/>
      <c r="Y15248" s="100"/>
    </row>
    <row r="15249">
      <c r="R15249" s="100"/>
      <c r="V15249" s="100"/>
      <c r="Y15249" s="100"/>
    </row>
    <row r="15250">
      <c r="R15250" s="100"/>
      <c r="V15250" s="100"/>
      <c r="Y15250" s="100"/>
    </row>
    <row r="15251">
      <c r="R15251" s="100"/>
      <c r="V15251" s="100"/>
      <c r="Y15251" s="100"/>
    </row>
    <row r="15252">
      <c r="R15252" s="100"/>
      <c r="V15252" s="100"/>
      <c r="Y15252" s="100"/>
    </row>
    <row r="15253">
      <c r="R15253" s="100"/>
      <c r="V15253" s="100"/>
      <c r="Y15253" s="100"/>
    </row>
    <row r="15254">
      <c r="R15254" s="100"/>
      <c r="V15254" s="100"/>
      <c r="Y15254" s="100"/>
    </row>
    <row r="15255">
      <c r="R15255" s="100"/>
      <c r="V15255" s="100"/>
      <c r="Y15255" s="100"/>
    </row>
    <row r="15256">
      <c r="R15256" s="100"/>
      <c r="V15256" s="100"/>
      <c r="Y15256" s="100"/>
    </row>
    <row r="15257">
      <c r="R15257" s="100"/>
      <c r="V15257" s="100"/>
      <c r="Y15257" s="100"/>
    </row>
    <row r="15258">
      <c r="R15258" s="100"/>
      <c r="V15258" s="100"/>
      <c r="Y15258" s="100"/>
    </row>
    <row r="15259">
      <c r="R15259" s="100"/>
      <c r="V15259" s="100"/>
      <c r="Y15259" s="100"/>
    </row>
    <row r="15260">
      <c r="R15260" s="100"/>
      <c r="V15260" s="100"/>
      <c r="Y15260" s="100"/>
    </row>
    <row r="15261">
      <c r="R15261" s="100"/>
      <c r="V15261" s="100"/>
      <c r="Y15261" s="100"/>
    </row>
    <row r="15262">
      <c r="R15262" s="100"/>
      <c r="V15262" s="100"/>
      <c r="Y15262" s="100"/>
    </row>
    <row r="15263">
      <c r="R15263" s="100"/>
      <c r="V15263" s="100"/>
      <c r="Y15263" s="100"/>
    </row>
    <row r="15264">
      <c r="R15264" s="100"/>
      <c r="V15264" s="100"/>
      <c r="Y15264" s="100"/>
    </row>
    <row r="15265">
      <c r="R15265" s="100"/>
      <c r="V15265" s="100"/>
      <c r="Y15265" s="100"/>
    </row>
    <row r="15266">
      <c r="R15266" s="100"/>
      <c r="V15266" s="100"/>
      <c r="Y15266" s="100"/>
    </row>
    <row r="15267">
      <c r="R15267" s="100"/>
      <c r="V15267" s="100"/>
      <c r="Y15267" s="100"/>
    </row>
    <row r="15268">
      <c r="R15268" s="100"/>
      <c r="V15268" s="100"/>
      <c r="Y15268" s="100"/>
    </row>
    <row r="15269">
      <c r="R15269" s="100"/>
      <c r="V15269" s="100"/>
      <c r="Y15269" s="100"/>
    </row>
    <row r="15270">
      <c r="R15270" s="100"/>
      <c r="V15270" s="100"/>
      <c r="Y15270" s="100"/>
    </row>
    <row r="15271">
      <c r="R15271" s="100"/>
      <c r="V15271" s="100"/>
      <c r="Y15271" s="100"/>
    </row>
    <row r="15272">
      <c r="R15272" s="100"/>
      <c r="V15272" s="100"/>
      <c r="Y15272" s="100"/>
    </row>
    <row r="15273">
      <c r="R15273" s="100"/>
      <c r="V15273" s="100"/>
      <c r="Y15273" s="100"/>
    </row>
    <row r="15274">
      <c r="R15274" s="100"/>
      <c r="V15274" s="100"/>
      <c r="Y15274" s="100"/>
    </row>
    <row r="15275">
      <c r="R15275" s="100"/>
      <c r="V15275" s="100"/>
      <c r="Y15275" s="100"/>
    </row>
    <row r="15276">
      <c r="R15276" s="100"/>
      <c r="V15276" s="100"/>
      <c r="Y15276" s="100"/>
    </row>
    <row r="15277">
      <c r="R15277" s="100"/>
      <c r="V15277" s="100"/>
      <c r="Y15277" s="100"/>
    </row>
    <row r="15278">
      <c r="R15278" s="100"/>
      <c r="V15278" s="100"/>
      <c r="Y15278" s="100"/>
    </row>
    <row r="15279">
      <c r="R15279" s="100"/>
      <c r="V15279" s="100"/>
      <c r="Y15279" s="100"/>
    </row>
    <row r="15280">
      <c r="R15280" s="100"/>
      <c r="V15280" s="100"/>
      <c r="Y15280" s="100"/>
    </row>
    <row r="15281">
      <c r="R15281" s="100"/>
      <c r="V15281" s="100"/>
      <c r="Y15281" s="100"/>
    </row>
    <row r="15282">
      <c r="R15282" s="100"/>
      <c r="V15282" s="100"/>
      <c r="Y15282" s="100"/>
    </row>
    <row r="15283">
      <c r="R15283" s="100"/>
      <c r="V15283" s="100"/>
      <c r="Y15283" s="100"/>
    </row>
    <row r="15284">
      <c r="R15284" s="100"/>
      <c r="V15284" s="100"/>
      <c r="Y15284" s="100"/>
    </row>
    <row r="15285">
      <c r="R15285" s="100"/>
      <c r="V15285" s="100"/>
      <c r="Y15285" s="100"/>
    </row>
    <row r="15286">
      <c r="R15286" s="100"/>
      <c r="V15286" s="100"/>
      <c r="Y15286" s="100"/>
    </row>
    <row r="15287">
      <c r="R15287" s="100"/>
      <c r="V15287" s="100"/>
      <c r="Y15287" s="100"/>
    </row>
    <row r="15288">
      <c r="R15288" s="100"/>
      <c r="V15288" s="100"/>
      <c r="Y15288" s="100"/>
    </row>
    <row r="15289">
      <c r="R15289" s="100"/>
      <c r="V15289" s="100"/>
      <c r="Y15289" s="100"/>
    </row>
    <row r="15290">
      <c r="R15290" s="100"/>
      <c r="V15290" s="100"/>
      <c r="Y15290" s="100"/>
    </row>
    <row r="15291">
      <c r="R15291" s="100"/>
      <c r="V15291" s="100"/>
      <c r="Y15291" s="100"/>
    </row>
    <row r="15292">
      <c r="R15292" s="100"/>
      <c r="V15292" s="100"/>
      <c r="Y15292" s="100"/>
    </row>
    <row r="15293">
      <c r="R15293" s="100"/>
      <c r="V15293" s="100"/>
      <c r="Y15293" s="100"/>
    </row>
    <row r="15294">
      <c r="R15294" s="100"/>
      <c r="V15294" s="100"/>
      <c r="Y15294" s="100"/>
    </row>
    <row r="15295">
      <c r="R15295" s="100"/>
      <c r="V15295" s="100"/>
      <c r="Y15295" s="100"/>
    </row>
    <row r="15296">
      <c r="R15296" s="100"/>
      <c r="V15296" s="100"/>
      <c r="Y15296" s="100"/>
    </row>
    <row r="15297">
      <c r="R15297" s="100"/>
      <c r="V15297" s="100"/>
      <c r="Y15297" s="100"/>
    </row>
    <row r="15298">
      <c r="R15298" s="100"/>
      <c r="V15298" s="100"/>
      <c r="Y15298" s="100"/>
    </row>
    <row r="15299">
      <c r="R15299" s="100"/>
      <c r="V15299" s="100"/>
      <c r="Y15299" s="100"/>
    </row>
    <row r="15300">
      <c r="R15300" s="100"/>
      <c r="V15300" s="100"/>
      <c r="Y15300" s="100"/>
    </row>
    <row r="15301">
      <c r="R15301" s="100"/>
      <c r="V15301" s="100"/>
      <c r="Y15301" s="100"/>
    </row>
    <row r="15302">
      <c r="R15302" s="100"/>
      <c r="V15302" s="100"/>
      <c r="Y15302" s="100"/>
    </row>
    <row r="15303">
      <c r="R15303" s="100"/>
      <c r="V15303" s="100"/>
      <c r="Y15303" s="100"/>
    </row>
    <row r="15304">
      <c r="R15304" s="100"/>
      <c r="V15304" s="100"/>
      <c r="Y15304" s="100"/>
    </row>
    <row r="15305">
      <c r="R15305" s="100"/>
      <c r="V15305" s="100"/>
      <c r="Y15305" s="100"/>
    </row>
    <row r="15306">
      <c r="R15306" s="100"/>
      <c r="V15306" s="100"/>
      <c r="Y15306" s="100"/>
    </row>
    <row r="15307">
      <c r="R15307" s="100"/>
      <c r="V15307" s="100"/>
      <c r="Y15307" s="100"/>
    </row>
    <row r="15308">
      <c r="R15308" s="100"/>
      <c r="V15308" s="100"/>
      <c r="Y15308" s="100"/>
    </row>
    <row r="15309">
      <c r="R15309" s="100"/>
      <c r="V15309" s="100"/>
      <c r="Y15309" s="100"/>
    </row>
    <row r="15310">
      <c r="R15310" s="100"/>
      <c r="V15310" s="100"/>
      <c r="Y15310" s="100"/>
    </row>
    <row r="15311">
      <c r="R15311" s="100"/>
      <c r="V15311" s="100"/>
      <c r="Y15311" s="100"/>
    </row>
    <row r="15312">
      <c r="R15312" s="100"/>
      <c r="V15312" s="100"/>
      <c r="Y15312" s="100"/>
    </row>
    <row r="15313">
      <c r="R15313" s="100"/>
      <c r="V15313" s="100"/>
      <c r="Y15313" s="100"/>
    </row>
    <row r="15314">
      <c r="R15314" s="100"/>
      <c r="V15314" s="100"/>
      <c r="Y15314" s="100"/>
    </row>
    <row r="15315">
      <c r="R15315" s="100"/>
      <c r="V15315" s="100"/>
      <c r="Y15315" s="100"/>
    </row>
    <row r="15316">
      <c r="R15316" s="100"/>
      <c r="V15316" s="100"/>
      <c r="Y15316" s="100"/>
    </row>
    <row r="15317">
      <c r="R15317" s="100"/>
      <c r="V15317" s="100"/>
      <c r="Y15317" s="100"/>
    </row>
    <row r="15318">
      <c r="R15318" s="100"/>
      <c r="V15318" s="100"/>
      <c r="Y15318" s="100"/>
    </row>
    <row r="15319">
      <c r="R15319" s="100"/>
      <c r="V15319" s="100"/>
      <c r="Y15319" s="100"/>
    </row>
    <row r="15320">
      <c r="R15320" s="100"/>
      <c r="V15320" s="100"/>
      <c r="Y15320" s="100"/>
    </row>
    <row r="15321">
      <c r="R15321" s="100"/>
      <c r="V15321" s="100"/>
      <c r="Y15321" s="100"/>
    </row>
    <row r="15322">
      <c r="R15322" s="100"/>
      <c r="V15322" s="100"/>
      <c r="Y15322" s="100"/>
    </row>
    <row r="15323">
      <c r="R15323" s="100"/>
      <c r="V15323" s="100"/>
      <c r="Y15323" s="100"/>
    </row>
    <row r="15324">
      <c r="R15324" s="100"/>
      <c r="V15324" s="100"/>
      <c r="Y15324" s="100"/>
    </row>
    <row r="15325">
      <c r="R15325" s="100"/>
      <c r="V15325" s="100"/>
      <c r="Y15325" s="100"/>
    </row>
    <row r="15326">
      <c r="R15326" s="100"/>
      <c r="V15326" s="100"/>
      <c r="Y15326" s="100"/>
    </row>
    <row r="15327">
      <c r="R15327" s="100"/>
      <c r="V15327" s="100"/>
      <c r="Y15327" s="100"/>
    </row>
    <row r="15328">
      <c r="R15328" s="100"/>
      <c r="V15328" s="100"/>
      <c r="Y15328" s="100"/>
    </row>
    <row r="15329">
      <c r="R15329" s="100"/>
      <c r="V15329" s="100"/>
      <c r="Y15329" s="100"/>
    </row>
    <row r="15330">
      <c r="R15330" s="100"/>
      <c r="V15330" s="100"/>
      <c r="Y15330" s="100"/>
    </row>
    <row r="15331">
      <c r="R15331" s="100"/>
      <c r="V15331" s="100"/>
      <c r="Y15331" s="100"/>
    </row>
    <row r="15332">
      <c r="R15332" s="100"/>
      <c r="V15332" s="100"/>
      <c r="Y15332" s="100"/>
    </row>
    <row r="15333">
      <c r="R15333" s="100"/>
      <c r="V15333" s="100"/>
      <c r="Y15333" s="100"/>
    </row>
    <row r="15334">
      <c r="R15334" s="100"/>
      <c r="V15334" s="100"/>
      <c r="Y15334" s="100"/>
    </row>
    <row r="15335">
      <c r="R15335" s="100"/>
      <c r="V15335" s="100"/>
      <c r="Y15335" s="100"/>
    </row>
    <row r="15336">
      <c r="R15336" s="100"/>
      <c r="V15336" s="100"/>
      <c r="Y15336" s="100"/>
    </row>
    <row r="15337">
      <c r="R15337" s="100"/>
      <c r="V15337" s="100"/>
      <c r="Y15337" s="100"/>
    </row>
    <row r="15338">
      <c r="R15338" s="100"/>
      <c r="V15338" s="100"/>
      <c r="Y15338" s="100"/>
    </row>
    <row r="15339">
      <c r="R15339" s="100"/>
      <c r="V15339" s="100"/>
      <c r="Y15339" s="100"/>
    </row>
    <row r="15340">
      <c r="R15340" s="100"/>
      <c r="V15340" s="100"/>
      <c r="Y15340" s="100"/>
    </row>
    <row r="15341">
      <c r="R15341" s="100"/>
      <c r="V15341" s="100"/>
      <c r="Y15341" s="100"/>
    </row>
    <row r="15342">
      <c r="R15342" s="100"/>
      <c r="V15342" s="100"/>
      <c r="Y15342" s="100"/>
    </row>
    <row r="15343">
      <c r="R15343" s="100"/>
      <c r="V15343" s="100"/>
      <c r="Y15343" s="100"/>
    </row>
    <row r="15344">
      <c r="R15344" s="100"/>
      <c r="V15344" s="100"/>
      <c r="Y15344" s="100"/>
    </row>
    <row r="15345">
      <c r="R15345" s="100"/>
      <c r="V15345" s="100"/>
      <c r="Y15345" s="100"/>
    </row>
    <row r="15346">
      <c r="R15346" s="100"/>
      <c r="V15346" s="100"/>
      <c r="Y15346" s="100"/>
    </row>
    <row r="15347">
      <c r="R15347" s="100"/>
      <c r="V15347" s="100"/>
      <c r="Y15347" s="100"/>
    </row>
    <row r="15348">
      <c r="R15348" s="100"/>
      <c r="V15348" s="100"/>
      <c r="Y15348" s="100"/>
    </row>
    <row r="15349">
      <c r="R15349" s="100"/>
      <c r="V15349" s="100"/>
      <c r="Y15349" s="100"/>
    </row>
    <row r="15350">
      <c r="R15350" s="100"/>
      <c r="V15350" s="100"/>
      <c r="Y15350" s="100"/>
    </row>
    <row r="15351">
      <c r="R15351" s="100"/>
      <c r="V15351" s="100"/>
      <c r="Y15351" s="100"/>
    </row>
    <row r="15352">
      <c r="R15352" s="100"/>
      <c r="V15352" s="100"/>
      <c r="Y15352" s="100"/>
    </row>
    <row r="15353">
      <c r="R15353" s="100"/>
      <c r="V15353" s="100"/>
      <c r="Y15353" s="100"/>
    </row>
    <row r="15354">
      <c r="R15354" s="100"/>
      <c r="V15354" s="100"/>
      <c r="Y15354" s="100"/>
    </row>
    <row r="15355">
      <c r="R15355" s="100"/>
      <c r="V15355" s="100"/>
      <c r="Y15355" s="100"/>
    </row>
    <row r="15356">
      <c r="R15356" s="100"/>
      <c r="V15356" s="100"/>
      <c r="Y15356" s="100"/>
    </row>
    <row r="15357">
      <c r="R15357" s="100"/>
      <c r="V15357" s="100"/>
      <c r="Y15357" s="100"/>
    </row>
    <row r="15358">
      <c r="R15358" s="100"/>
      <c r="V15358" s="100"/>
      <c r="Y15358" s="100"/>
    </row>
    <row r="15359">
      <c r="R15359" s="100"/>
      <c r="V15359" s="100"/>
      <c r="Y15359" s="100"/>
    </row>
    <row r="15360">
      <c r="R15360" s="100"/>
      <c r="V15360" s="100"/>
      <c r="Y15360" s="100"/>
    </row>
    <row r="15361">
      <c r="R15361" s="100"/>
      <c r="V15361" s="100"/>
      <c r="Y15361" s="100"/>
    </row>
    <row r="15362">
      <c r="R15362" s="100"/>
      <c r="V15362" s="100"/>
      <c r="Y15362" s="100"/>
    </row>
    <row r="15363">
      <c r="R15363" s="100"/>
      <c r="V15363" s="100"/>
      <c r="Y15363" s="100"/>
    </row>
    <row r="15364">
      <c r="R15364" s="100"/>
      <c r="V15364" s="100"/>
      <c r="Y15364" s="100"/>
    </row>
    <row r="15365">
      <c r="R15365" s="100"/>
      <c r="V15365" s="100"/>
      <c r="Y15365" s="100"/>
    </row>
    <row r="15366">
      <c r="R15366" s="100"/>
      <c r="V15366" s="100"/>
      <c r="Y15366" s="100"/>
    </row>
    <row r="15367">
      <c r="R15367" s="100"/>
      <c r="V15367" s="100"/>
      <c r="Y15367" s="100"/>
    </row>
    <row r="15368">
      <c r="R15368" s="100"/>
      <c r="V15368" s="100"/>
      <c r="Y15368" s="100"/>
    </row>
    <row r="15369">
      <c r="R15369" s="100"/>
      <c r="V15369" s="100"/>
      <c r="Y15369" s="100"/>
    </row>
    <row r="15370">
      <c r="R15370" s="100"/>
      <c r="V15370" s="100"/>
      <c r="Y15370" s="100"/>
    </row>
    <row r="15371">
      <c r="R15371" s="100"/>
      <c r="V15371" s="100"/>
      <c r="Y15371" s="100"/>
    </row>
    <row r="15372">
      <c r="R15372" s="100"/>
      <c r="V15372" s="100"/>
      <c r="Y15372" s="100"/>
    </row>
    <row r="15373">
      <c r="R15373" s="100"/>
      <c r="V15373" s="100"/>
      <c r="Y15373" s="100"/>
    </row>
    <row r="15374">
      <c r="R15374" s="100"/>
      <c r="V15374" s="100"/>
      <c r="Y15374" s="100"/>
    </row>
    <row r="15375">
      <c r="R15375" s="100"/>
      <c r="V15375" s="100"/>
      <c r="Y15375" s="100"/>
    </row>
    <row r="15376">
      <c r="R15376" s="100"/>
      <c r="V15376" s="100"/>
      <c r="Y15376" s="100"/>
    </row>
    <row r="15377">
      <c r="R15377" s="100"/>
      <c r="V15377" s="100"/>
      <c r="Y15377" s="100"/>
    </row>
    <row r="15378">
      <c r="R15378" s="100"/>
      <c r="V15378" s="100"/>
      <c r="Y15378" s="100"/>
    </row>
    <row r="15379">
      <c r="R15379" s="100"/>
      <c r="V15379" s="100"/>
      <c r="Y15379" s="100"/>
    </row>
    <row r="15380">
      <c r="R15380" s="100"/>
      <c r="V15380" s="100"/>
      <c r="Y15380" s="100"/>
    </row>
    <row r="15381">
      <c r="R15381" s="100"/>
      <c r="V15381" s="100"/>
      <c r="Y15381" s="100"/>
    </row>
    <row r="15382">
      <c r="R15382" s="100"/>
      <c r="V15382" s="100"/>
      <c r="Y15382" s="100"/>
    </row>
    <row r="15383">
      <c r="R15383" s="100"/>
      <c r="V15383" s="100"/>
      <c r="Y15383" s="100"/>
    </row>
    <row r="15384">
      <c r="R15384" s="100"/>
      <c r="V15384" s="100"/>
      <c r="Y15384" s="100"/>
    </row>
    <row r="15385">
      <c r="R15385" s="100"/>
      <c r="V15385" s="100"/>
      <c r="Y15385" s="100"/>
    </row>
    <row r="15386">
      <c r="R15386" s="100"/>
      <c r="V15386" s="100"/>
      <c r="Y15386" s="100"/>
    </row>
    <row r="15387">
      <c r="R15387" s="100"/>
      <c r="V15387" s="100"/>
      <c r="Y15387" s="100"/>
    </row>
    <row r="15388">
      <c r="R15388" s="100"/>
      <c r="V15388" s="100"/>
      <c r="Y15388" s="100"/>
    </row>
    <row r="15389">
      <c r="R15389" s="100"/>
      <c r="V15389" s="100"/>
      <c r="Y15389" s="100"/>
    </row>
    <row r="15390">
      <c r="R15390" s="100"/>
      <c r="V15390" s="100"/>
      <c r="Y15390" s="100"/>
    </row>
    <row r="15391">
      <c r="R15391" s="100"/>
      <c r="V15391" s="100"/>
      <c r="Y15391" s="100"/>
    </row>
    <row r="15392">
      <c r="R15392" s="100"/>
      <c r="V15392" s="100"/>
      <c r="Y15392" s="100"/>
    </row>
    <row r="15393">
      <c r="R15393" s="100"/>
      <c r="V15393" s="100"/>
      <c r="Y15393" s="100"/>
    </row>
    <row r="15394">
      <c r="R15394" s="100"/>
      <c r="V15394" s="100"/>
      <c r="Y15394" s="100"/>
    </row>
    <row r="15395">
      <c r="R15395" s="100"/>
      <c r="V15395" s="100"/>
      <c r="Y15395" s="100"/>
    </row>
    <row r="15396">
      <c r="R15396" s="100"/>
      <c r="V15396" s="100"/>
      <c r="Y15396" s="100"/>
    </row>
    <row r="15397">
      <c r="R15397" s="100"/>
      <c r="V15397" s="100"/>
      <c r="Y15397" s="100"/>
    </row>
    <row r="15398">
      <c r="R15398" s="100"/>
      <c r="V15398" s="100"/>
      <c r="Y15398" s="100"/>
    </row>
    <row r="15399">
      <c r="R15399" s="100"/>
      <c r="V15399" s="100"/>
      <c r="Y15399" s="100"/>
    </row>
    <row r="15400">
      <c r="R15400" s="100"/>
      <c r="V15400" s="100"/>
      <c r="Y15400" s="100"/>
    </row>
    <row r="15401">
      <c r="R15401" s="100"/>
      <c r="V15401" s="100"/>
      <c r="Y15401" s="100"/>
    </row>
    <row r="15402">
      <c r="R15402" s="100"/>
      <c r="V15402" s="100"/>
      <c r="Y15402" s="100"/>
    </row>
    <row r="15403">
      <c r="R15403" s="100"/>
      <c r="V15403" s="100"/>
      <c r="Y15403" s="100"/>
    </row>
    <row r="15404">
      <c r="R15404" s="100"/>
      <c r="V15404" s="100"/>
      <c r="Y15404" s="100"/>
    </row>
    <row r="15405">
      <c r="R15405" s="100"/>
      <c r="V15405" s="100"/>
      <c r="Y15405" s="100"/>
    </row>
    <row r="15406">
      <c r="R15406" s="100"/>
      <c r="V15406" s="100"/>
      <c r="Y15406" s="100"/>
    </row>
    <row r="15407">
      <c r="R15407" s="100"/>
      <c r="V15407" s="100"/>
      <c r="Y15407" s="100"/>
    </row>
    <row r="15408">
      <c r="R15408" s="100"/>
      <c r="V15408" s="100"/>
      <c r="Y15408" s="100"/>
    </row>
    <row r="15409">
      <c r="R15409" s="100"/>
      <c r="V15409" s="100"/>
      <c r="Y15409" s="100"/>
    </row>
    <row r="15410">
      <c r="R15410" s="100"/>
      <c r="V15410" s="100"/>
      <c r="Y15410" s="100"/>
    </row>
    <row r="15411">
      <c r="R15411" s="100"/>
      <c r="V15411" s="100"/>
      <c r="Y15411" s="100"/>
    </row>
    <row r="15412">
      <c r="R15412" s="100"/>
      <c r="V15412" s="100"/>
      <c r="Y15412" s="100"/>
    </row>
    <row r="15413">
      <c r="R15413" s="100"/>
      <c r="V15413" s="100"/>
      <c r="Y15413" s="100"/>
    </row>
    <row r="15414">
      <c r="R15414" s="100"/>
      <c r="V15414" s="100"/>
      <c r="Y15414" s="100"/>
    </row>
    <row r="15415">
      <c r="R15415" s="100"/>
      <c r="V15415" s="100"/>
      <c r="Y15415" s="100"/>
    </row>
    <row r="15416">
      <c r="R15416" s="100"/>
      <c r="V15416" s="100"/>
      <c r="Y15416" s="100"/>
    </row>
    <row r="15417">
      <c r="R15417" s="100"/>
      <c r="V15417" s="100"/>
      <c r="Y15417" s="100"/>
    </row>
    <row r="15418">
      <c r="R15418" s="100"/>
      <c r="V15418" s="100"/>
      <c r="Y15418" s="100"/>
    </row>
    <row r="15419">
      <c r="R15419" s="100"/>
      <c r="V15419" s="100"/>
      <c r="Y15419" s="100"/>
    </row>
    <row r="15420">
      <c r="R15420" s="100"/>
      <c r="V15420" s="100"/>
      <c r="Y15420" s="100"/>
    </row>
    <row r="15421">
      <c r="R15421" s="100"/>
      <c r="V15421" s="100"/>
      <c r="Y15421" s="100"/>
    </row>
    <row r="15422">
      <c r="R15422" s="100"/>
      <c r="V15422" s="100"/>
      <c r="Y15422" s="100"/>
    </row>
    <row r="15423">
      <c r="R15423" s="100"/>
      <c r="V15423" s="100"/>
      <c r="Y15423" s="100"/>
    </row>
    <row r="15424">
      <c r="R15424" s="100"/>
      <c r="V15424" s="100"/>
      <c r="Y15424" s="100"/>
    </row>
    <row r="15425">
      <c r="R15425" s="100"/>
      <c r="V15425" s="100"/>
      <c r="Y15425" s="100"/>
    </row>
    <row r="15426">
      <c r="R15426" s="100"/>
      <c r="V15426" s="100"/>
      <c r="Y15426" s="100"/>
    </row>
    <row r="15427">
      <c r="R15427" s="100"/>
      <c r="V15427" s="100"/>
      <c r="Y15427" s="100"/>
    </row>
    <row r="15428">
      <c r="R15428" s="100"/>
      <c r="V15428" s="100"/>
      <c r="Y15428" s="100"/>
    </row>
    <row r="15429">
      <c r="R15429" s="100"/>
      <c r="V15429" s="100"/>
      <c r="Y15429" s="100"/>
    </row>
    <row r="15430">
      <c r="R15430" s="100"/>
      <c r="V15430" s="100"/>
      <c r="Y15430" s="100"/>
    </row>
    <row r="15431">
      <c r="R15431" s="100"/>
      <c r="V15431" s="100"/>
      <c r="Y15431" s="100"/>
    </row>
    <row r="15432">
      <c r="R15432" s="100"/>
      <c r="V15432" s="100"/>
      <c r="Y15432" s="100"/>
    </row>
    <row r="15433">
      <c r="R15433" s="100"/>
      <c r="V15433" s="100"/>
      <c r="Y15433" s="100"/>
    </row>
    <row r="15434">
      <c r="R15434" s="100"/>
      <c r="V15434" s="100"/>
      <c r="Y15434" s="100"/>
    </row>
    <row r="15435">
      <c r="R15435" s="100"/>
      <c r="V15435" s="100"/>
      <c r="Y15435" s="100"/>
    </row>
    <row r="15436">
      <c r="R15436" s="100"/>
      <c r="V15436" s="100"/>
      <c r="Y15436" s="100"/>
    </row>
    <row r="15437">
      <c r="R15437" s="100"/>
      <c r="V15437" s="100"/>
      <c r="Y15437" s="100"/>
    </row>
    <row r="15438">
      <c r="R15438" s="100"/>
      <c r="V15438" s="100"/>
      <c r="Y15438" s="100"/>
    </row>
    <row r="15439">
      <c r="R15439" s="100"/>
      <c r="V15439" s="100"/>
      <c r="Y15439" s="100"/>
    </row>
    <row r="15440">
      <c r="R15440" s="100"/>
      <c r="V15440" s="100"/>
      <c r="Y15440" s="100"/>
    </row>
    <row r="15441">
      <c r="R15441" s="100"/>
      <c r="V15441" s="100"/>
      <c r="Y15441" s="100"/>
    </row>
    <row r="15442">
      <c r="R15442" s="100"/>
      <c r="V15442" s="100"/>
      <c r="Y15442" s="100"/>
    </row>
    <row r="15443">
      <c r="R15443" s="100"/>
      <c r="V15443" s="100"/>
      <c r="Y15443" s="100"/>
    </row>
    <row r="15444">
      <c r="R15444" s="100"/>
      <c r="V15444" s="100"/>
      <c r="Y15444" s="100"/>
    </row>
    <row r="15445">
      <c r="R15445" s="100"/>
      <c r="V15445" s="100"/>
      <c r="Y15445" s="100"/>
    </row>
    <row r="15446">
      <c r="R15446" s="100"/>
      <c r="V15446" s="100"/>
      <c r="Y15446" s="100"/>
    </row>
    <row r="15447">
      <c r="R15447" s="100"/>
      <c r="V15447" s="100"/>
      <c r="Y15447" s="100"/>
    </row>
    <row r="15448">
      <c r="R15448" s="100"/>
      <c r="V15448" s="100"/>
      <c r="Y15448" s="100"/>
    </row>
    <row r="15449">
      <c r="R15449" s="100"/>
      <c r="V15449" s="100"/>
      <c r="Y15449" s="100"/>
    </row>
    <row r="15450">
      <c r="R15450" s="100"/>
      <c r="V15450" s="100"/>
      <c r="Y15450" s="100"/>
    </row>
    <row r="15451">
      <c r="R15451" s="100"/>
      <c r="V15451" s="100"/>
      <c r="Y15451" s="100"/>
    </row>
    <row r="15452">
      <c r="R15452" s="100"/>
      <c r="V15452" s="100"/>
      <c r="Y15452" s="100"/>
    </row>
    <row r="15453">
      <c r="R15453" s="100"/>
      <c r="V15453" s="100"/>
      <c r="Y15453" s="100"/>
    </row>
    <row r="15454">
      <c r="R15454" s="100"/>
      <c r="V15454" s="100"/>
      <c r="Y15454" s="100"/>
    </row>
    <row r="15455">
      <c r="R15455" s="100"/>
      <c r="V15455" s="100"/>
      <c r="Y15455" s="100"/>
    </row>
    <row r="15456">
      <c r="R15456" s="100"/>
      <c r="V15456" s="100"/>
      <c r="Y15456" s="100"/>
    </row>
    <row r="15457">
      <c r="R15457" s="100"/>
      <c r="V15457" s="100"/>
      <c r="Y15457" s="100"/>
    </row>
    <row r="15458">
      <c r="R15458" s="100"/>
      <c r="V15458" s="100"/>
      <c r="Y15458" s="100"/>
    </row>
    <row r="15459">
      <c r="R15459" s="100"/>
      <c r="V15459" s="100"/>
      <c r="Y15459" s="100"/>
    </row>
    <row r="15460">
      <c r="R15460" s="100"/>
      <c r="V15460" s="100"/>
      <c r="Y15460" s="100"/>
    </row>
    <row r="15461">
      <c r="R15461" s="100"/>
      <c r="V15461" s="100"/>
      <c r="Y15461" s="100"/>
    </row>
    <row r="15462">
      <c r="R15462" s="100"/>
      <c r="V15462" s="100"/>
      <c r="Y15462" s="100"/>
    </row>
    <row r="15463">
      <c r="R15463" s="100"/>
      <c r="V15463" s="100"/>
      <c r="Y15463" s="100"/>
    </row>
    <row r="15464">
      <c r="R15464" s="100"/>
      <c r="V15464" s="100"/>
      <c r="Y15464" s="100"/>
    </row>
    <row r="15465">
      <c r="R15465" s="100"/>
      <c r="V15465" s="100"/>
      <c r="Y15465" s="100"/>
    </row>
    <row r="15466">
      <c r="R15466" s="100"/>
      <c r="V15466" s="100"/>
      <c r="Y15466" s="100"/>
    </row>
    <row r="15467">
      <c r="R15467" s="100"/>
      <c r="V15467" s="100"/>
      <c r="Y15467" s="100"/>
    </row>
    <row r="15468">
      <c r="R15468" s="100"/>
      <c r="V15468" s="100"/>
      <c r="Y15468" s="100"/>
    </row>
    <row r="15469">
      <c r="R15469" s="100"/>
      <c r="V15469" s="100"/>
      <c r="Y15469" s="100"/>
    </row>
    <row r="15470">
      <c r="R15470" s="100"/>
      <c r="V15470" s="100"/>
      <c r="Y15470" s="100"/>
    </row>
    <row r="15471">
      <c r="R15471" s="100"/>
      <c r="V15471" s="100"/>
      <c r="Y15471" s="100"/>
    </row>
    <row r="15472">
      <c r="R15472" s="100"/>
      <c r="V15472" s="100"/>
      <c r="Y15472" s="100"/>
    </row>
    <row r="15473">
      <c r="R15473" s="100"/>
      <c r="V15473" s="100"/>
      <c r="Y15473" s="100"/>
    </row>
    <row r="15474">
      <c r="R15474" s="100"/>
      <c r="V15474" s="100"/>
      <c r="Y15474" s="100"/>
    </row>
    <row r="15475">
      <c r="R15475" s="100"/>
      <c r="V15475" s="100"/>
      <c r="Y15475" s="100"/>
    </row>
    <row r="15476">
      <c r="R15476" s="100"/>
      <c r="V15476" s="100"/>
      <c r="Y15476" s="100"/>
    </row>
    <row r="15477">
      <c r="R15477" s="100"/>
      <c r="V15477" s="100"/>
      <c r="Y15477" s="100"/>
    </row>
    <row r="15478">
      <c r="R15478" s="100"/>
      <c r="V15478" s="100"/>
      <c r="Y15478" s="100"/>
    </row>
    <row r="15479">
      <c r="R15479" s="100"/>
      <c r="V15479" s="100"/>
      <c r="Y15479" s="100"/>
    </row>
    <row r="15480">
      <c r="R15480" s="100"/>
      <c r="V15480" s="100"/>
      <c r="Y15480" s="100"/>
    </row>
    <row r="15481">
      <c r="R15481" s="100"/>
      <c r="V15481" s="100"/>
      <c r="Y15481" s="100"/>
    </row>
    <row r="15482">
      <c r="R15482" s="100"/>
      <c r="V15482" s="100"/>
      <c r="Y15482" s="100"/>
    </row>
    <row r="15483">
      <c r="R15483" s="100"/>
      <c r="V15483" s="100"/>
      <c r="Y15483" s="100"/>
    </row>
    <row r="15484">
      <c r="R15484" s="100"/>
      <c r="V15484" s="100"/>
      <c r="Y15484" s="100"/>
    </row>
    <row r="15485">
      <c r="R15485" s="100"/>
      <c r="V15485" s="100"/>
      <c r="Y15485" s="100"/>
    </row>
    <row r="15486">
      <c r="R15486" s="100"/>
      <c r="V15486" s="100"/>
      <c r="Y15486" s="100"/>
    </row>
    <row r="15487">
      <c r="R15487" s="100"/>
      <c r="V15487" s="100"/>
      <c r="Y15487" s="100"/>
    </row>
    <row r="15488">
      <c r="R15488" s="100"/>
      <c r="V15488" s="100"/>
      <c r="Y15488" s="100"/>
    </row>
    <row r="15489">
      <c r="R15489" s="100"/>
      <c r="V15489" s="100"/>
      <c r="Y15489" s="100"/>
    </row>
    <row r="15490">
      <c r="R15490" s="100"/>
      <c r="V15490" s="100"/>
      <c r="Y15490" s="100"/>
    </row>
    <row r="15491">
      <c r="R15491" s="100"/>
      <c r="V15491" s="100"/>
      <c r="Y15491" s="100"/>
    </row>
    <row r="15492">
      <c r="R15492" s="100"/>
      <c r="V15492" s="100"/>
      <c r="Y15492" s="100"/>
    </row>
    <row r="15493">
      <c r="R15493" s="100"/>
      <c r="V15493" s="100"/>
      <c r="Y15493" s="100"/>
    </row>
    <row r="15494">
      <c r="R15494" s="100"/>
      <c r="V15494" s="100"/>
      <c r="Y15494" s="100"/>
    </row>
    <row r="15495">
      <c r="R15495" s="100"/>
      <c r="V15495" s="100"/>
      <c r="Y15495" s="100"/>
    </row>
    <row r="15496">
      <c r="R15496" s="100"/>
      <c r="V15496" s="100"/>
      <c r="Y15496" s="100"/>
    </row>
    <row r="15497">
      <c r="R15497" s="100"/>
      <c r="V15497" s="100"/>
      <c r="Y15497" s="100"/>
    </row>
    <row r="15498">
      <c r="R15498" s="100"/>
      <c r="V15498" s="100"/>
      <c r="Y15498" s="100"/>
    </row>
    <row r="15499">
      <c r="R15499" s="100"/>
      <c r="V15499" s="100"/>
      <c r="Y15499" s="100"/>
    </row>
    <row r="15500">
      <c r="R15500" s="100"/>
      <c r="V15500" s="100"/>
      <c r="Y15500" s="100"/>
    </row>
    <row r="15501">
      <c r="R15501" s="100"/>
      <c r="V15501" s="100"/>
      <c r="Y15501" s="100"/>
    </row>
    <row r="15502">
      <c r="R15502" s="100"/>
      <c r="V15502" s="100"/>
      <c r="Y15502" s="100"/>
    </row>
    <row r="15503">
      <c r="R15503" s="100"/>
      <c r="V15503" s="100"/>
      <c r="Y15503" s="100"/>
    </row>
    <row r="15504">
      <c r="R15504" s="100"/>
      <c r="V15504" s="100"/>
      <c r="Y15504" s="100"/>
    </row>
    <row r="15505">
      <c r="R15505" s="100"/>
      <c r="V15505" s="100"/>
      <c r="Y15505" s="100"/>
    </row>
    <row r="15506">
      <c r="R15506" s="100"/>
      <c r="V15506" s="100"/>
      <c r="Y15506" s="100"/>
    </row>
    <row r="15507">
      <c r="R15507" s="100"/>
      <c r="V15507" s="100"/>
      <c r="Y15507" s="100"/>
    </row>
    <row r="15508">
      <c r="R15508" s="100"/>
      <c r="V15508" s="100"/>
      <c r="Y15508" s="100"/>
    </row>
    <row r="15509">
      <c r="R15509" s="100"/>
      <c r="V15509" s="100"/>
      <c r="Y15509" s="100"/>
    </row>
    <row r="15510">
      <c r="R15510" s="100"/>
      <c r="V15510" s="100"/>
      <c r="Y15510" s="100"/>
    </row>
    <row r="15511">
      <c r="R15511" s="100"/>
      <c r="V15511" s="100"/>
      <c r="Y15511" s="100"/>
    </row>
    <row r="15512">
      <c r="R15512" s="100"/>
      <c r="V15512" s="100"/>
      <c r="Y15512" s="100"/>
    </row>
    <row r="15513">
      <c r="R15513" s="100"/>
      <c r="V15513" s="100"/>
      <c r="Y15513" s="100"/>
    </row>
    <row r="15514">
      <c r="R15514" s="100"/>
      <c r="V15514" s="100"/>
      <c r="Y15514" s="100"/>
    </row>
    <row r="15515">
      <c r="R15515" s="100"/>
      <c r="V15515" s="100"/>
      <c r="Y15515" s="100"/>
    </row>
    <row r="15516">
      <c r="R15516" s="100"/>
      <c r="V15516" s="100"/>
      <c r="Y15516" s="100"/>
    </row>
    <row r="15517">
      <c r="R15517" s="100"/>
      <c r="V15517" s="100"/>
      <c r="Y15517" s="100"/>
    </row>
    <row r="15518">
      <c r="R15518" s="100"/>
      <c r="V15518" s="100"/>
      <c r="Y15518" s="100"/>
    </row>
    <row r="15519">
      <c r="R15519" s="100"/>
      <c r="V15519" s="100"/>
      <c r="Y15519" s="100"/>
    </row>
    <row r="15520">
      <c r="R15520" s="100"/>
      <c r="V15520" s="100"/>
      <c r="Y15520" s="100"/>
    </row>
    <row r="15521">
      <c r="R15521" s="100"/>
      <c r="V15521" s="100"/>
      <c r="Y15521" s="100"/>
    </row>
    <row r="15522">
      <c r="R15522" s="100"/>
      <c r="V15522" s="100"/>
      <c r="Y15522" s="100"/>
    </row>
    <row r="15523">
      <c r="R15523" s="100"/>
      <c r="V15523" s="100"/>
      <c r="Y15523" s="100"/>
    </row>
    <row r="15524">
      <c r="R15524" s="100"/>
      <c r="V15524" s="100"/>
      <c r="Y15524" s="100"/>
    </row>
    <row r="15525">
      <c r="R15525" s="100"/>
      <c r="V15525" s="100"/>
      <c r="Y15525" s="100"/>
    </row>
    <row r="15526">
      <c r="R15526" s="100"/>
      <c r="V15526" s="100"/>
      <c r="Y15526" s="100"/>
    </row>
    <row r="15527">
      <c r="R15527" s="100"/>
      <c r="V15527" s="100"/>
      <c r="Y15527" s="100"/>
    </row>
    <row r="15528">
      <c r="R15528" s="100"/>
      <c r="V15528" s="100"/>
      <c r="Y15528" s="100"/>
    </row>
    <row r="15529">
      <c r="R15529" s="100"/>
      <c r="V15529" s="100"/>
      <c r="Y15529" s="100"/>
    </row>
    <row r="15530">
      <c r="R15530" s="100"/>
      <c r="V15530" s="100"/>
      <c r="Y15530" s="100"/>
    </row>
    <row r="15531">
      <c r="R15531" s="100"/>
      <c r="V15531" s="100"/>
      <c r="Y15531" s="100"/>
    </row>
    <row r="15532">
      <c r="R15532" s="100"/>
      <c r="V15532" s="100"/>
      <c r="Y15532" s="100"/>
    </row>
    <row r="15533">
      <c r="R15533" s="100"/>
      <c r="V15533" s="100"/>
      <c r="Y15533" s="100"/>
    </row>
    <row r="15534">
      <c r="R15534" s="100"/>
      <c r="V15534" s="100"/>
      <c r="Y15534" s="100"/>
    </row>
    <row r="15535">
      <c r="R15535" s="100"/>
      <c r="V15535" s="100"/>
      <c r="Y15535" s="100"/>
    </row>
    <row r="15536">
      <c r="R15536" s="100"/>
      <c r="V15536" s="100"/>
      <c r="Y15536" s="100"/>
    </row>
    <row r="15537">
      <c r="R15537" s="100"/>
      <c r="V15537" s="100"/>
      <c r="Y15537" s="100"/>
    </row>
    <row r="15538">
      <c r="R15538" s="100"/>
      <c r="V15538" s="100"/>
      <c r="Y15538" s="100"/>
    </row>
    <row r="15539">
      <c r="R15539" s="100"/>
      <c r="V15539" s="100"/>
      <c r="Y15539" s="100"/>
    </row>
    <row r="15540">
      <c r="R15540" s="100"/>
      <c r="V15540" s="100"/>
      <c r="Y15540" s="100"/>
    </row>
    <row r="15541">
      <c r="R15541" s="100"/>
      <c r="V15541" s="100"/>
      <c r="Y15541" s="100"/>
    </row>
    <row r="15542">
      <c r="R15542" s="100"/>
      <c r="V15542" s="100"/>
      <c r="Y15542" s="100"/>
    </row>
    <row r="15543">
      <c r="R15543" s="100"/>
      <c r="V15543" s="100"/>
      <c r="Y15543" s="100"/>
    </row>
    <row r="15544">
      <c r="R15544" s="100"/>
      <c r="V15544" s="100"/>
      <c r="Y15544" s="100"/>
    </row>
    <row r="15545">
      <c r="R15545" s="100"/>
      <c r="V15545" s="100"/>
      <c r="Y15545" s="100"/>
    </row>
    <row r="15546">
      <c r="R15546" s="100"/>
      <c r="V15546" s="100"/>
      <c r="Y15546" s="100"/>
    </row>
    <row r="15547">
      <c r="R15547" s="100"/>
      <c r="V15547" s="100"/>
      <c r="Y15547" s="100"/>
    </row>
    <row r="15548">
      <c r="R15548" s="100"/>
      <c r="V15548" s="100"/>
      <c r="Y15548" s="100"/>
    </row>
    <row r="15549">
      <c r="R15549" s="100"/>
      <c r="V15549" s="100"/>
      <c r="Y15549" s="100"/>
    </row>
    <row r="15550">
      <c r="R15550" s="100"/>
      <c r="V15550" s="100"/>
      <c r="Y15550" s="100"/>
    </row>
    <row r="15551">
      <c r="R15551" s="100"/>
      <c r="V15551" s="100"/>
      <c r="Y15551" s="100"/>
    </row>
    <row r="15552">
      <c r="R15552" s="100"/>
      <c r="V15552" s="100"/>
      <c r="Y15552" s="100"/>
    </row>
    <row r="15553">
      <c r="R15553" s="100"/>
      <c r="V15553" s="100"/>
      <c r="Y15553" s="100"/>
    </row>
    <row r="15554">
      <c r="R15554" s="100"/>
      <c r="V15554" s="100"/>
      <c r="Y15554" s="100"/>
    </row>
    <row r="15555">
      <c r="R15555" s="100"/>
      <c r="V15555" s="100"/>
      <c r="Y15555" s="100"/>
    </row>
    <row r="15556">
      <c r="R15556" s="100"/>
      <c r="V15556" s="100"/>
      <c r="Y15556" s="100"/>
    </row>
    <row r="15557">
      <c r="R15557" s="100"/>
      <c r="V15557" s="100"/>
      <c r="Y15557" s="100"/>
    </row>
    <row r="15558">
      <c r="R15558" s="100"/>
      <c r="V15558" s="100"/>
      <c r="Y15558" s="100"/>
    </row>
    <row r="15559">
      <c r="R15559" s="100"/>
      <c r="V15559" s="100"/>
      <c r="Y15559" s="100"/>
    </row>
    <row r="15560">
      <c r="R15560" s="100"/>
      <c r="V15560" s="100"/>
      <c r="Y15560" s="100"/>
    </row>
    <row r="15561">
      <c r="R15561" s="100"/>
      <c r="V15561" s="100"/>
      <c r="Y15561" s="100"/>
    </row>
    <row r="15562">
      <c r="R15562" s="100"/>
      <c r="V15562" s="100"/>
      <c r="Y15562" s="100"/>
    </row>
    <row r="15563">
      <c r="R15563" s="100"/>
      <c r="V15563" s="100"/>
      <c r="Y15563" s="100"/>
    </row>
    <row r="15564">
      <c r="R15564" s="100"/>
      <c r="V15564" s="100"/>
      <c r="Y15564" s="100"/>
    </row>
    <row r="15565">
      <c r="R15565" s="100"/>
      <c r="V15565" s="100"/>
      <c r="Y15565" s="100"/>
    </row>
    <row r="15566">
      <c r="R15566" s="100"/>
      <c r="V15566" s="100"/>
      <c r="Y15566" s="100"/>
    </row>
    <row r="15567">
      <c r="R15567" s="100"/>
      <c r="V15567" s="100"/>
      <c r="Y15567" s="100"/>
    </row>
    <row r="15568">
      <c r="R15568" s="100"/>
      <c r="V15568" s="100"/>
      <c r="Y15568" s="100"/>
    </row>
    <row r="15569">
      <c r="R15569" s="100"/>
      <c r="V15569" s="100"/>
      <c r="Y15569" s="100"/>
    </row>
    <row r="15570">
      <c r="R15570" s="100"/>
      <c r="V15570" s="100"/>
      <c r="Y15570" s="100"/>
    </row>
    <row r="15571">
      <c r="R15571" s="100"/>
      <c r="V15571" s="100"/>
      <c r="Y15571" s="100"/>
    </row>
    <row r="15572">
      <c r="R15572" s="100"/>
      <c r="V15572" s="100"/>
      <c r="Y15572" s="100"/>
    </row>
    <row r="15573">
      <c r="R15573" s="100"/>
      <c r="V15573" s="100"/>
      <c r="Y15573" s="100"/>
    </row>
    <row r="15574">
      <c r="R15574" s="100"/>
      <c r="V15574" s="100"/>
      <c r="Y15574" s="100"/>
    </row>
    <row r="15575">
      <c r="R15575" s="100"/>
      <c r="V15575" s="100"/>
      <c r="Y15575" s="100"/>
    </row>
    <row r="15576">
      <c r="R15576" s="100"/>
      <c r="V15576" s="100"/>
      <c r="Y15576" s="100"/>
    </row>
    <row r="15577">
      <c r="R15577" s="100"/>
      <c r="V15577" s="100"/>
      <c r="Y15577" s="100"/>
    </row>
    <row r="15578">
      <c r="R15578" s="100"/>
      <c r="V15578" s="100"/>
      <c r="Y15578" s="100"/>
    </row>
    <row r="15579">
      <c r="R15579" s="100"/>
      <c r="V15579" s="100"/>
      <c r="Y15579" s="100"/>
    </row>
    <row r="15580">
      <c r="R15580" s="100"/>
      <c r="V15580" s="100"/>
      <c r="Y15580" s="100"/>
    </row>
    <row r="15581">
      <c r="R15581" s="100"/>
      <c r="V15581" s="100"/>
      <c r="Y15581" s="100"/>
    </row>
    <row r="15582">
      <c r="R15582" s="100"/>
      <c r="V15582" s="100"/>
      <c r="Y15582" s="100"/>
    </row>
    <row r="15583">
      <c r="R15583" s="100"/>
      <c r="V15583" s="100"/>
      <c r="Y15583" s="100"/>
    </row>
    <row r="15584">
      <c r="R15584" s="100"/>
      <c r="V15584" s="100"/>
      <c r="Y15584" s="100"/>
    </row>
    <row r="15585">
      <c r="R15585" s="100"/>
      <c r="V15585" s="100"/>
      <c r="Y15585" s="100"/>
    </row>
    <row r="15586">
      <c r="R15586" s="100"/>
      <c r="V15586" s="100"/>
      <c r="Y15586" s="100"/>
    </row>
    <row r="15587">
      <c r="R15587" s="100"/>
      <c r="V15587" s="100"/>
      <c r="Y15587" s="100"/>
    </row>
    <row r="15588">
      <c r="R15588" s="100"/>
      <c r="V15588" s="100"/>
      <c r="Y15588" s="100"/>
    </row>
    <row r="15589">
      <c r="R15589" s="100"/>
      <c r="V15589" s="100"/>
      <c r="Y15589" s="100"/>
    </row>
    <row r="15590">
      <c r="R15590" s="100"/>
      <c r="V15590" s="100"/>
      <c r="Y15590" s="100"/>
    </row>
    <row r="15591">
      <c r="R15591" s="100"/>
      <c r="V15591" s="100"/>
      <c r="Y15591" s="100"/>
    </row>
    <row r="15592">
      <c r="R15592" s="100"/>
      <c r="V15592" s="100"/>
      <c r="Y15592" s="100"/>
    </row>
    <row r="15593">
      <c r="R15593" s="100"/>
      <c r="V15593" s="100"/>
      <c r="Y15593" s="100"/>
    </row>
    <row r="15594">
      <c r="R15594" s="100"/>
      <c r="V15594" s="100"/>
      <c r="Y15594" s="100"/>
    </row>
    <row r="15595">
      <c r="R15595" s="100"/>
      <c r="V15595" s="100"/>
      <c r="Y15595" s="100"/>
    </row>
    <row r="15596">
      <c r="R15596" s="100"/>
      <c r="V15596" s="100"/>
      <c r="Y15596" s="100"/>
    </row>
    <row r="15597">
      <c r="R15597" s="100"/>
      <c r="V15597" s="100"/>
      <c r="Y15597" s="100"/>
    </row>
    <row r="15598">
      <c r="R15598" s="100"/>
      <c r="V15598" s="100"/>
      <c r="Y15598" s="100"/>
    </row>
    <row r="15599">
      <c r="R15599" s="100"/>
      <c r="V15599" s="100"/>
      <c r="Y15599" s="100"/>
    </row>
    <row r="15600">
      <c r="R15600" s="100"/>
      <c r="V15600" s="100"/>
      <c r="Y15600" s="100"/>
    </row>
    <row r="15601">
      <c r="R15601" s="100"/>
      <c r="V15601" s="100"/>
      <c r="Y15601" s="100"/>
    </row>
    <row r="15602">
      <c r="R15602" s="100"/>
      <c r="V15602" s="100"/>
      <c r="Y15602" s="100"/>
    </row>
    <row r="15603">
      <c r="R15603" s="100"/>
      <c r="V15603" s="100"/>
      <c r="Y15603" s="100"/>
    </row>
    <row r="15604">
      <c r="R15604" s="100"/>
      <c r="V15604" s="100"/>
      <c r="Y15604" s="100"/>
    </row>
    <row r="15605">
      <c r="R15605" s="100"/>
      <c r="V15605" s="100"/>
      <c r="Y15605" s="100"/>
    </row>
    <row r="15606">
      <c r="R15606" s="100"/>
      <c r="V15606" s="100"/>
      <c r="Y15606" s="100"/>
    </row>
    <row r="15607">
      <c r="R15607" s="100"/>
      <c r="V15607" s="100"/>
      <c r="Y15607" s="100"/>
    </row>
    <row r="15608">
      <c r="R15608" s="100"/>
      <c r="V15608" s="100"/>
      <c r="Y15608" s="100"/>
    </row>
    <row r="15609">
      <c r="R15609" s="100"/>
      <c r="V15609" s="100"/>
      <c r="Y15609" s="100"/>
    </row>
    <row r="15610">
      <c r="R15610" s="100"/>
      <c r="V15610" s="100"/>
      <c r="Y15610" s="100"/>
    </row>
    <row r="15611">
      <c r="R15611" s="100"/>
      <c r="V15611" s="100"/>
      <c r="Y15611" s="100"/>
    </row>
    <row r="15612">
      <c r="R15612" s="100"/>
      <c r="V15612" s="100"/>
      <c r="Y15612" s="100"/>
    </row>
    <row r="15613">
      <c r="R15613" s="100"/>
      <c r="V15613" s="100"/>
      <c r="Y15613" s="100"/>
    </row>
    <row r="15614">
      <c r="R15614" s="100"/>
      <c r="V15614" s="100"/>
      <c r="Y15614" s="100"/>
    </row>
    <row r="15615">
      <c r="R15615" s="100"/>
      <c r="V15615" s="100"/>
      <c r="Y15615" s="100"/>
    </row>
    <row r="15616">
      <c r="R15616" s="100"/>
      <c r="V15616" s="100"/>
      <c r="Y15616" s="100"/>
    </row>
    <row r="15617">
      <c r="R15617" s="100"/>
      <c r="V15617" s="100"/>
      <c r="Y15617" s="100"/>
    </row>
    <row r="15618">
      <c r="R15618" s="100"/>
      <c r="V15618" s="100"/>
      <c r="Y15618" s="100"/>
    </row>
    <row r="15619">
      <c r="R15619" s="100"/>
      <c r="V15619" s="100"/>
      <c r="Y15619" s="100"/>
    </row>
    <row r="15620">
      <c r="R15620" s="100"/>
      <c r="V15620" s="100"/>
      <c r="Y15620" s="100"/>
    </row>
    <row r="15621">
      <c r="R15621" s="100"/>
      <c r="V15621" s="100"/>
      <c r="Y15621" s="100"/>
    </row>
    <row r="15622">
      <c r="R15622" s="100"/>
      <c r="V15622" s="100"/>
      <c r="Y15622" s="100"/>
    </row>
    <row r="15623">
      <c r="R15623" s="100"/>
      <c r="V15623" s="100"/>
      <c r="Y15623" s="100"/>
    </row>
    <row r="15624">
      <c r="R15624" s="100"/>
      <c r="V15624" s="100"/>
      <c r="Y15624" s="100"/>
    </row>
    <row r="15625">
      <c r="R15625" s="100"/>
      <c r="V15625" s="100"/>
      <c r="Y15625" s="100"/>
    </row>
    <row r="15626">
      <c r="R15626" s="100"/>
      <c r="V15626" s="100"/>
      <c r="Y15626" s="100"/>
    </row>
    <row r="15627">
      <c r="R15627" s="100"/>
      <c r="V15627" s="100"/>
      <c r="Y15627" s="100"/>
    </row>
    <row r="15628">
      <c r="R15628" s="100"/>
      <c r="V15628" s="100"/>
      <c r="Y15628" s="100"/>
    </row>
    <row r="15629">
      <c r="R15629" s="100"/>
      <c r="V15629" s="100"/>
      <c r="Y15629" s="100"/>
    </row>
    <row r="15630">
      <c r="R15630" s="100"/>
      <c r="V15630" s="100"/>
      <c r="Y15630" s="100"/>
    </row>
    <row r="15631">
      <c r="R15631" s="100"/>
      <c r="V15631" s="100"/>
      <c r="Y15631" s="100"/>
    </row>
    <row r="15632">
      <c r="R15632" s="100"/>
      <c r="V15632" s="100"/>
      <c r="Y15632" s="100"/>
    </row>
    <row r="15633">
      <c r="R15633" s="100"/>
      <c r="V15633" s="100"/>
      <c r="Y15633" s="100"/>
    </row>
    <row r="15634">
      <c r="R15634" s="100"/>
      <c r="V15634" s="100"/>
      <c r="Y15634" s="100"/>
    </row>
    <row r="15635">
      <c r="R15635" s="100"/>
      <c r="V15635" s="100"/>
      <c r="Y15635" s="100"/>
    </row>
    <row r="15636">
      <c r="R15636" s="100"/>
      <c r="V15636" s="100"/>
      <c r="Y15636" s="100"/>
    </row>
    <row r="15637">
      <c r="R15637" s="100"/>
      <c r="V15637" s="100"/>
      <c r="Y15637" s="100"/>
    </row>
    <row r="15638">
      <c r="R15638" s="100"/>
      <c r="V15638" s="100"/>
      <c r="Y15638" s="100"/>
    </row>
    <row r="15639">
      <c r="R15639" s="100"/>
      <c r="V15639" s="100"/>
      <c r="Y15639" s="100"/>
    </row>
    <row r="15640">
      <c r="R15640" s="100"/>
      <c r="V15640" s="100"/>
      <c r="Y15640" s="100"/>
    </row>
    <row r="15641">
      <c r="R15641" s="100"/>
      <c r="V15641" s="100"/>
      <c r="Y15641" s="100"/>
    </row>
    <row r="15642">
      <c r="R15642" s="100"/>
      <c r="V15642" s="100"/>
      <c r="Y15642" s="100"/>
    </row>
    <row r="15643">
      <c r="R15643" s="100"/>
      <c r="V15643" s="100"/>
      <c r="Y15643" s="100"/>
    </row>
    <row r="15644">
      <c r="R15644" s="100"/>
      <c r="V15644" s="100"/>
      <c r="Y15644" s="100"/>
    </row>
    <row r="15645">
      <c r="R15645" s="100"/>
      <c r="V15645" s="100"/>
      <c r="Y15645" s="100"/>
    </row>
    <row r="15646">
      <c r="R15646" s="100"/>
      <c r="V15646" s="100"/>
      <c r="Y15646" s="100"/>
    </row>
    <row r="15647">
      <c r="R15647" s="100"/>
      <c r="V15647" s="100"/>
      <c r="Y15647" s="100"/>
    </row>
    <row r="15648">
      <c r="R15648" s="100"/>
      <c r="V15648" s="100"/>
      <c r="Y15648" s="100"/>
    </row>
    <row r="15649">
      <c r="R15649" s="100"/>
      <c r="V15649" s="100"/>
      <c r="Y15649" s="100"/>
    </row>
    <row r="15650">
      <c r="R15650" s="100"/>
      <c r="V15650" s="100"/>
      <c r="Y15650" s="100"/>
    </row>
    <row r="15651">
      <c r="R15651" s="100"/>
      <c r="V15651" s="100"/>
      <c r="Y15651" s="100"/>
    </row>
    <row r="15652">
      <c r="R15652" s="100"/>
      <c r="V15652" s="100"/>
      <c r="Y15652" s="100"/>
    </row>
    <row r="15653">
      <c r="R15653" s="100"/>
      <c r="V15653" s="100"/>
      <c r="Y15653" s="100"/>
    </row>
    <row r="15654">
      <c r="R15654" s="100"/>
      <c r="V15654" s="100"/>
      <c r="Y15654" s="100"/>
    </row>
    <row r="15655">
      <c r="R15655" s="100"/>
      <c r="V15655" s="100"/>
      <c r="Y15655" s="100"/>
    </row>
    <row r="15656">
      <c r="R15656" s="100"/>
      <c r="V15656" s="100"/>
      <c r="Y15656" s="100"/>
    </row>
    <row r="15657">
      <c r="R15657" s="100"/>
      <c r="V15657" s="100"/>
      <c r="Y15657" s="100"/>
    </row>
    <row r="15658">
      <c r="R15658" s="100"/>
      <c r="V15658" s="100"/>
      <c r="Y15658" s="100"/>
    </row>
    <row r="15659">
      <c r="R15659" s="100"/>
      <c r="V15659" s="100"/>
      <c r="Y15659" s="100"/>
    </row>
    <row r="15660">
      <c r="R15660" s="100"/>
      <c r="V15660" s="100"/>
      <c r="Y15660" s="100"/>
    </row>
    <row r="15661">
      <c r="R15661" s="100"/>
      <c r="V15661" s="100"/>
      <c r="Y15661" s="100"/>
    </row>
    <row r="15662">
      <c r="R15662" s="100"/>
      <c r="V15662" s="100"/>
      <c r="Y15662" s="100"/>
    </row>
    <row r="15663">
      <c r="R15663" s="100"/>
      <c r="V15663" s="100"/>
      <c r="Y15663" s="100"/>
    </row>
    <row r="15664">
      <c r="R15664" s="100"/>
      <c r="V15664" s="100"/>
      <c r="Y15664" s="100"/>
    </row>
    <row r="15665">
      <c r="R15665" s="100"/>
      <c r="V15665" s="100"/>
      <c r="Y15665" s="100"/>
    </row>
    <row r="15666">
      <c r="R15666" s="100"/>
      <c r="V15666" s="100"/>
      <c r="Y15666" s="100"/>
    </row>
    <row r="15667">
      <c r="R15667" s="100"/>
      <c r="V15667" s="100"/>
      <c r="Y15667" s="100"/>
    </row>
    <row r="15668">
      <c r="R15668" s="100"/>
      <c r="V15668" s="100"/>
      <c r="Y15668" s="100"/>
    </row>
    <row r="15669">
      <c r="R15669" s="100"/>
      <c r="V15669" s="100"/>
      <c r="Y15669" s="100"/>
    </row>
    <row r="15670">
      <c r="R15670" s="100"/>
      <c r="V15670" s="100"/>
      <c r="Y15670" s="100"/>
    </row>
    <row r="15671">
      <c r="R15671" s="100"/>
      <c r="V15671" s="100"/>
      <c r="Y15671" s="100"/>
    </row>
    <row r="15672">
      <c r="R15672" s="100"/>
      <c r="V15672" s="100"/>
      <c r="Y15672" s="100"/>
    </row>
    <row r="15673">
      <c r="R15673" s="100"/>
      <c r="V15673" s="100"/>
      <c r="Y15673" s="100"/>
    </row>
    <row r="15674">
      <c r="R15674" s="100"/>
      <c r="V15674" s="100"/>
      <c r="Y15674" s="100"/>
    </row>
    <row r="15675">
      <c r="R15675" s="100"/>
      <c r="V15675" s="100"/>
      <c r="Y15675" s="100"/>
    </row>
    <row r="15676">
      <c r="R15676" s="100"/>
      <c r="V15676" s="100"/>
      <c r="Y15676" s="100"/>
    </row>
    <row r="15677">
      <c r="R15677" s="100"/>
      <c r="V15677" s="100"/>
      <c r="Y15677" s="100"/>
    </row>
    <row r="15678">
      <c r="R15678" s="100"/>
      <c r="V15678" s="100"/>
      <c r="Y15678" s="100"/>
    </row>
    <row r="15679">
      <c r="R15679" s="100"/>
      <c r="V15679" s="100"/>
      <c r="Y15679" s="100"/>
    </row>
    <row r="15680">
      <c r="R15680" s="100"/>
      <c r="V15680" s="100"/>
      <c r="Y15680" s="100"/>
    </row>
    <row r="15681">
      <c r="R15681" s="100"/>
      <c r="V15681" s="100"/>
      <c r="Y15681" s="100"/>
    </row>
    <row r="15682">
      <c r="R15682" s="100"/>
      <c r="V15682" s="100"/>
      <c r="Y15682" s="100"/>
    </row>
    <row r="15683">
      <c r="R15683" s="100"/>
      <c r="V15683" s="100"/>
      <c r="Y15683" s="100"/>
    </row>
    <row r="15684">
      <c r="R15684" s="100"/>
      <c r="V15684" s="100"/>
      <c r="Y15684" s="100"/>
    </row>
    <row r="15685">
      <c r="R15685" s="100"/>
      <c r="V15685" s="100"/>
      <c r="Y15685" s="100"/>
    </row>
    <row r="15686">
      <c r="R15686" s="100"/>
      <c r="V15686" s="100"/>
      <c r="Y15686" s="100"/>
    </row>
    <row r="15687">
      <c r="R15687" s="100"/>
      <c r="V15687" s="100"/>
      <c r="Y15687" s="100"/>
    </row>
    <row r="15688">
      <c r="R15688" s="100"/>
      <c r="V15688" s="100"/>
      <c r="Y15688" s="100"/>
    </row>
    <row r="15689">
      <c r="R15689" s="100"/>
      <c r="V15689" s="100"/>
      <c r="Y15689" s="100"/>
    </row>
    <row r="15690">
      <c r="R15690" s="100"/>
      <c r="V15690" s="100"/>
      <c r="Y15690" s="100"/>
    </row>
    <row r="15691">
      <c r="R15691" s="100"/>
      <c r="V15691" s="100"/>
      <c r="Y15691" s="100"/>
    </row>
    <row r="15692">
      <c r="R15692" s="100"/>
      <c r="V15692" s="100"/>
      <c r="Y15692" s="100"/>
    </row>
    <row r="15693">
      <c r="R15693" s="100"/>
      <c r="V15693" s="100"/>
      <c r="Y15693" s="100"/>
    </row>
    <row r="15694">
      <c r="R15694" s="100"/>
      <c r="V15694" s="100"/>
      <c r="Y15694" s="100"/>
    </row>
    <row r="15695">
      <c r="R15695" s="100"/>
      <c r="V15695" s="100"/>
      <c r="Y15695" s="100"/>
    </row>
    <row r="15696">
      <c r="R15696" s="100"/>
      <c r="V15696" s="100"/>
      <c r="Y15696" s="100"/>
    </row>
    <row r="15697">
      <c r="R15697" s="100"/>
      <c r="V15697" s="100"/>
      <c r="Y15697" s="100"/>
    </row>
    <row r="15698">
      <c r="R15698" s="100"/>
      <c r="V15698" s="100"/>
      <c r="Y15698" s="100"/>
    </row>
    <row r="15699">
      <c r="R15699" s="100"/>
      <c r="V15699" s="100"/>
      <c r="Y15699" s="100"/>
    </row>
    <row r="15700">
      <c r="R15700" s="100"/>
      <c r="V15700" s="100"/>
      <c r="Y15700" s="100"/>
    </row>
    <row r="15701">
      <c r="R15701" s="100"/>
      <c r="V15701" s="100"/>
      <c r="Y15701" s="100"/>
    </row>
    <row r="15702">
      <c r="R15702" s="100"/>
      <c r="V15702" s="100"/>
      <c r="Y15702" s="100"/>
    </row>
    <row r="15703">
      <c r="R15703" s="100"/>
      <c r="V15703" s="100"/>
      <c r="Y15703" s="100"/>
    </row>
    <row r="15704">
      <c r="R15704" s="100"/>
      <c r="V15704" s="100"/>
      <c r="Y15704" s="100"/>
    </row>
    <row r="15705">
      <c r="R15705" s="100"/>
      <c r="V15705" s="100"/>
      <c r="Y15705" s="100"/>
    </row>
    <row r="15706">
      <c r="R15706" s="100"/>
      <c r="V15706" s="100"/>
      <c r="Y15706" s="100"/>
    </row>
    <row r="15707">
      <c r="R15707" s="100"/>
      <c r="V15707" s="100"/>
      <c r="Y15707" s="100"/>
    </row>
    <row r="15708">
      <c r="R15708" s="100"/>
      <c r="V15708" s="100"/>
      <c r="Y15708" s="100"/>
    </row>
    <row r="15709">
      <c r="R15709" s="100"/>
      <c r="V15709" s="100"/>
      <c r="Y15709" s="100"/>
    </row>
    <row r="15710">
      <c r="R15710" s="100"/>
      <c r="V15710" s="100"/>
      <c r="Y15710" s="100"/>
    </row>
    <row r="15711">
      <c r="R15711" s="100"/>
      <c r="V15711" s="100"/>
      <c r="Y15711" s="100"/>
    </row>
    <row r="15712">
      <c r="R15712" s="100"/>
      <c r="V15712" s="100"/>
      <c r="Y15712" s="100"/>
    </row>
    <row r="15713">
      <c r="R15713" s="100"/>
      <c r="V15713" s="100"/>
      <c r="Y15713" s="100"/>
    </row>
    <row r="15714">
      <c r="R15714" s="100"/>
      <c r="V15714" s="100"/>
      <c r="Y15714" s="100"/>
    </row>
    <row r="15715">
      <c r="R15715" s="100"/>
      <c r="V15715" s="100"/>
      <c r="Y15715" s="100"/>
    </row>
    <row r="15716">
      <c r="R15716" s="100"/>
      <c r="V15716" s="100"/>
      <c r="Y15716" s="100"/>
    </row>
    <row r="15717">
      <c r="R15717" s="100"/>
      <c r="V15717" s="100"/>
      <c r="Y15717" s="100"/>
    </row>
    <row r="15718">
      <c r="R15718" s="100"/>
      <c r="V15718" s="100"/>
      <c r="Y15718" s="100"/>
    </row>
    <row r="15719">
      <c r="R15719" s="100"/>
      <c r="V15719" s="100"/>
      <c r="Y15719" s="100"/>
    </row>
    <row r="15720">
      <c r="R15720" s="100"/>
      <c r="V15720" s="100"/>
      <c r="Y15720" s="100"/>
    </row>
    <row r="15721">
      <c r="R15721" s="100"/>
      <c r="V15721" s="100"/>
      <c r="Y15721" s="100"/>
    </row>
    <row r="15722">
      <c r="R15722" s="100"/>
      <c r="V15722" s="100"/>
      <c r="Y15722" s="100"/>
    </row>
    <row r="15723">
      <c r="R15723" s="100"/>
      <c r="V15723" s="100"/>
      <c r="Y15723" s="100"/>
    </row>
    <row r="15724">
      <c r="R15724" s="100"/>
      <c r="V15724" s="100"/>
      <c r="Y15724" s="100"/>
    </row>
    <row r="15725">
      <c r="R15725" s="100"/>
      <c r="V15725" s="100"/>
      <c r="Y15725" s="100"/>
    </row>
    <row r="15726">
      <c r="R15726" s="100"/>
      <c r="V15726" s="100"/>
      <c r="Y15726" s="100"/>
    </row>
    <row r="15727">
      <c r="R15727" s="100"/>
      <c r="V15727" s="100"/>
      <c r="Y15727" s="100"/>
    </row>
    <row r="15728">
      <c r="R15728" s="100"/>
      <c r="V15728" s="100"/>
      <c r="Y15728" s="100"/>
    </row>
    <row r="15729">
      <c r="R15729" s="100"/>
      <c r="V15729" s="100"/>
      <c r="Y15729" s="100"/>
    </row>
    <row r="15730">
      <c r="R15730" s="100"/>
      <c r="V15730" s="100"/>
      <c r="Y15730" s="100"/>
    </row>
    <row r="15731">
      <c r="R15731" s="100"/>
      <c r="V15731" s="100"/>
      <c r="Y15731" s="100"/>
    </row>
    <row r="15732">
      <c r="R15732" s="100"/>
      <c r="V15732" s="100"/>
      <c r="Y15732" s="100"/>
    </row>
    <row r="15733">
      <c r="R15733" s="100"/>
      <c r="V15733" s="100"/>
      <c r="Y15733" s="100"/>
    </row>
    <row r="15734">
      <c r="R15734" s="100"/>
      <c r="V15734" s="100"/>
      <c r="Y15734" s="100"/>
    </row>
    <row r="15735">
      <c r="R15735" s="100"/>
      <c r="V15735" s="100"/>
      <c r="Y15735" s="100"/>
    </row>
    <row r="15736">
      <c r="R15736" s="100"/>
      <c r="V15736" s="100"/>
      <c r="Y15736" s="100"/>
    </row>
    <row r="15737">
      <c r="R15737" s="100"/>
      <c r="V15737" s="100"/>
      <c r="Y15737" s="100"/>
    </row>
    <row r="15738">
      <c r="R15738" s="100"/>
      <c r="V15738" s="100"/>
      <c r="Y15738" s="100"/>
    </row>
    <row r="15739">
      <c r="R15739" s="100"/>
      <c r="V15739" s="100"/>
      <c r="Y15739" s="100"/>
    </row>
    <row r="15740">
      <c r="R15740" s="100"/>
      <c r="V15740" s="100"/>
      <c r="Y15740" s="100"/>
    </row>
    <row r="15741">
      <c r="R15741" s="100"/>
      <c r="V15741" s="100"/>
      <c r="Y15741" s="100"/>
    </row>
    <row r="15742">
      <c r="R15742" s="100"/>
      <c r="V15742" s="100"/>
      <c r="Y15742" s="100"/>
    </row>
    <row r="15743">
      <c r="R15743" s="100"/>
      <c r="V15743" s="100"/>
      <c r="Y15743" s="100"/>
    </row>
    <row r="15744">
      <c r="R15744" s="100"/>
      <c r="V15744" s="100"/>
      <c r="Y15744" s="100"/>
    </row>
    <row r="15745">
      <c r="R15745" s="100"/>
      <c r="V15745" s="100"/>
      <c r="Y15745" s="100"/>
    </row>
    <row r="15746">
      <c r="R15746" s="100"/>
      <c r="V15746" s="100"/>
      <c r="Y15746" s="100"/>
    </row>
    <row r="15747">
      <c r="R15747" s="100"/>
      <c r="V15747" s="100"/>
      <c r="Y15747" s="100"/>
    </row>
    <row r="15748">
      <c r="R15748" s="100"/>
      <c r="V15748" s="100"/>
      <c r="Y15748" s="100"/>
    </row>
    <row r="15749">
      <c r="R15749" s="100"/>
      <c r="V15749" s="100"/>
      <c r="Y15749" s="100"/>
    </row>
    <row r="15750">
      <c r="R15750" s="100"/>
      <c r="V15750" s="100"/>
      <c r="Y15750" s="100"/>
    </row>
    <row r="15751">
      <c r="R15751" s="100"/>
      <c r="V15751" s="100"/>
      <c r="Y15751" s="100"/>
    </row>
    <row r="15752">
      <c r="R15752" s="100"/>
      <c r="V15752" s="100"/>
      <c r="Y15752" s="100"/>
    </row>
    <row r="15753">
      <c r="R15753" s="100"/>
      <c r="V15753" s="100"/>
      <c r="Y15753" s="100"/>
    </row>
    <row r="15754">
      <c r="R15754" s="100"/>
      <c r="V15754" s="100"/>
      <c r="Y15754" s="100"/>
    </row>
    <row r="15755">
      <c r="R15755" s="100"/>
      <c r="V15755" s="100"/>
      <c r="Y15755" s="100"/>
    </row>
    <row r="15756">
      <c r="R15756" s="100"/>
      <c r="V15756" s="100"/>
      <c r="Y15756" s="100"/>
    </row>
    <row r="15757">
      <c r="R15757" s="100"/>
      <c r="V15757" s="100"/>
      <c r="Y15757" s="100"/>
    </row>
    <row r="15758">
      <c r="R15758" s="100"/>
      <c r="V15758" s="100"/>
      <c r="Y15758" s="100"/>
    </row>
    <row r="15759">
      <c r="R15759" s="100"/>
      <c r="V15759" s="100"/>
      <c r="Y15759" s="100"/>
    </row>
    <row r="15760">
      <c r="R15760" s="100"/>
      <c r="V15760" s="100"/>
      <c r="Y15760" s="100"/>
    </row>
    <row r="15761">
      <c r="R15761" s="100"/>
      <c r="V15761" s="100"/>
      <c r="Y15761" s="100"/>
    </row>
    <row r="15762">
      <c r="R15762" s="100"/>
      <c r="V15762" s="100"/>
      <c r="Y15762" s="100"/>
    </row>
    <row r="15763">
      <c r="R15763" s="100"/>
      <c r="V15763" s="100"/>
      <c r="Y15763" s="100"/>
    </row>
    <row r="15764">
      <c r="R15764" s="100"/>
      <c r="V15764" s="100"/>
      <c r="Y15764" s="100"/>
    </row>
    <row r="15765">
      <c r="R15765" s="100"/>
      <c r="V15765" s="100"/>
      <c r="Y15765" s="100"/>
    </row>
    <row r="15766">
      <c r="R15766" s="100"/>
      <c r="V15766" s="100"/>
      <c r="Y15766" s="100"/>
    </row>
    <row r="15767">
      <c r="R15767" s="100"/>
      <c r="V15767" s="100"/>
      <c r="Y15767" s="100"/>
    </row>
    <row r="15768">
      <c r="R15768" s="100"/>
      <c r="V15768" s="100"/>
      <c r="Y15768" s="100"/>
    </row>
    <row r="15769">
      <c r="R15769" s="100"/>
      <c r="V15769" s="100"/>
      <c r="Y15769" s="100"/>
    </row>
    <row r="15770">
      <c r="R15770" s="100"/>
      <c r="V15770" s="100"/>
      <c r="Y15770" s="100"/>
    </row>
    <row r="15771">
      <c r="R15771" s="100"/>
      <c r="V15771" s="100"/>
      <c r="Y15771" s="100"/>
    </row>
    <row r="15772">
      <c r="R15772" s="100"/>
      <c r="V15772" s="100"/>
      <c r="Y15772" s="100"/>
    </row>
    <row r="15773">
      <c r="R15773" s="100"/>
      <c r="V15773" s="100"/>
      <c r="Y15773" s="100"/>
    </row>
    <row r="15774">
      <c r="R15774" s="100"/>
      <c r="V15774" s="100"/>
      <c r="Y15774" s="100"/>
    </row>
    <row r="15775">
      <c r="R15775" s="100"/>
      <c r="V15775" s="100"/>
      <c r="Y15775" s="100"/>
    </row>
    <row r="15776">
      <c r="R15776" s="100"/>
      <c r="V15776" s="100"/>
      <c r="Y15776" s="100"/>
    </row>
    <row r="15777">
      <c r="R15777" s="100"/>
      <c r="V15777" s="100"/>
      <c r="Y15777" s="100"/>
    </row>
    <row r="15778">
      <c r="R15778" s="100"/>
      <c r="V15778" s="100"/>
      <c r="Y15778" s="100"/>
    </row>
    <row r="15779">
      <c r="R15779" s="100"/>
      <c r="V15779" s="100"/>
      <c r="Y15779" s="100"/>
    </row>
    <row r="15780">
      <c r="R15780" s="100"/>
      <c r="V15780" s="100"/>
      <c r="Y15780" s="100"/>
    </row>
    <row r="15781">
      <c r="R15781" s="100"/>
      <c r="V15781" s="100"/>
      <c r="Y15781" s="100"/>
    </row>
    <row r="15782">
      <c r="R15782" s="100"/>
      <c r="V15782" s="100"/>
      <c r="Y15782" s="100"/>
    </row>
    <row r="15783">
      <c r="R15783" s="100"/>
      <c r="V15783" s="100"/>
      <c r="Y15783" s="100"/>
    </row>
    <row r="15784">
      <c r="R15784" s="100"/>
      <c r="V15784" s="100"/>
      <c r="Y15784" s="100"/>
    </row>
    <row r="15785">
      <c r="R15785" s="100"/>
      <c r="V15785" s="100"/>
      <c r="Y15785" s="100"/>
    </row>
    <row r="15786">
      <c r="R15786" s="100"/>
      <c r="V15786" s="100"/>
      <c r="Y15786" s="100"/>
    </row>
    <row r="15787">
      <c r="R15787" s="100"/>
      <c r="V15787" s="100"/>
      <c r="Y15787" s="100"/>
    </row>
    <row r="15788">
      <c r="R15788" s="100"/>
      <c r="V15788" s="100"/>
      <c r="Y15788" s="100"/>
    </row>
    <row r="15789">
      <c r="R15789" s="100"/>
      <c r="V15789" s="100"/>
      <c r="Y15789" s="100"/>
    </row>
    <row r="15790">
      <c r="R15790" s="100"/>
      <c r="V15790" s="100"/>
      <c r="Y15790" s="100"/>
    </row>
    <row r="15791">
      <c r="R15791" s="100"/>
      <c r="V15791" s="100"/>
      <c r="Y15791" s="100"/>
    </row>
    <row r="15792">
      <c r="R15792" s="100"/>
      <c r="V15792" s="100"/>
      <c r="Y15792" s="100"/>
    </row>
    <row r="15793">
      <c r="R15793" s="100"/>
      <c r="V15793" s="100"/>
      <c r="Y15793" s="100"/>
    </row>
    <row r="15794">
      <c r="R15794" s="100"/>
      <c r="V15794" s="100"/>
      <c r="Y15794" s="100"/>
    </row>
    <row r="15795">
      <c r="R15795" s="100"/>
      <c r="V15795" s="100"/>
      <c r="Y15795" s="100"/>
    </row>
    <row r="15796">
      <c r="R15796" s="100"/>
      <c r="V15796" s="100"/>
      <c r="Y15796" s="100"/>
    </row>
    <row r="15797">
      <c r="R15797" s="100"/>
      <c r="V15797" s="100"/>
      <c r="Y15797" s="100"/>
    </row>
    <row r="15798">
      <c r="R15798" s="100"/>
      <c r="V15798" s="100"/>
      <c r="Y15798" s="100"/>
    </row>
    <row r="15799">
      <c r="R15799" s="100"/>
      <c r="V15799" s="100"/>
      <c r="Y15799" s="100"/>
    </row>
    <row r="15800">
      <c r="R15800" s="100"/>
      <c r="V15800" s="100"/>
      <c r="Y15800" s="100"/>
    </row>
    <row r="15801">
      <c r="R15801" s="100"/>
      <c r="V15801" s="100"/>
      <c r="Y15801" s="100"/>
    </row>
    <row r="15802">
      <c r="R15802" s="100"/>
      <c r="V15802" s="100"/>
      <c r="Y15802" s="100"/>
    </row>
    <row r="15803">
      <c r="R15803" s="100"/>
      <c r="V15803" s="100"/>
      <c r="Y15803" s="100"/>
    </row>
    <row r="15804">
      <c r="R15804" s="100"/>
      <c r="V15804" s="100"/>
      <c r="Y15804" s="100"/>
    </row>
    <row r="15805">
      <c r="R15805" s="100"/>
      <c r="V15805" s="100"/>
      <c r="Y15805" s="100"/>
    </row>
    <row r="15806">
      <c r="R15806" s="100"/>
      <c r="V15806" s="100"/>
      <c r="Y15806" s="100"/>
    </row>
    <row r="15807">
      <c r="R15807" s="100"/>
      <c r="V15807" s="100"/>
      <c r="Y15807" s="100"/>
    </row>
    <row r="15808">
      <c r="R15808" s="100"/>
      <c r="V15808" s="100"/>
      <c r="Y15808" s="100"/>
    </row>
    <row r="15809">
      <c r="R15809" s="100"/>
      <c r="V15809" s="100"/>
      <c r="Y15809" s="100"/>
    </row>
    <row r="15810">
      <c r="R15810" s="100"/>
      <c r="V15810" s="100"/>
      <c r="Y15810" s="100"/>
    </row>
    <row r="15811">
      <c r="R15811" s="100"/>
      <c r="V15811" s="100"/>
      <c r="Y15811" s="100"/>
    </row>
    <row r="15812">
      <c r="R15812" s="100"/>
      <c r="V15812" s="100"/>
      <c r="Y15812" s="100"/>
    </row>
    <row r="15813">
      <c r="R15813" s="100"/>
      <c r="V15813" s="100"/>
      <c r="Y15813" s="100"/>
    </row>
    <row r="15814">
      <c r="R15814" s="100"/>
      <c r="V15814" s="100"/>
      <c r="Y15814" s="100"/>
    </row>
    <row r="15815">
      <c r="R15815" s="100"/>
      <c r="V15815" s="100"/>
      <c r="Y15815" s="100"/>
    </row>
    <row r="15816">
      <c r="R15816" s="100"/>
      <c r="V15816" s="100"/>
      <c r="Y15816" s="100"/>
    </row>
    <row r="15817">
      <c r="R15817" s="100"/>
      <c r="V15817" s="100"/>
      <c r="Y15817" s="100"/>
    </row>
    <row r="15818">
      <c r="R15818" s="100"/>
      <c r="V15818" s="100"/>
      <c r="Y15818" s="100"/>
    </row>
    <row r="15819">
      <c r="R15819" s="100"/>
      <c r="V15819" s="100"/>
      <c r="Y15819" s="100"/>
    </row>
    <row r="15820">
      <c r="R15820" s="100"/>
      <c r="V15820" s="100"/>
      <c r="Y15820" s="100"/>
    </row>
    <row r="15821">
      <c r="R15821" s="100"/>
      <c r="V15821" s="100"/>
      <c r="Y15821" s="100"/>
    </row>
    <row r="15822">
      <c r="R15822" s="100"/>
      <c r="V15822" s="100"/>
      <c r="Y15822" s="100"/>
    </row>
    <row r="15823">
      <c r="R15823" s="100"/>
      <c r="V15823" s="100"/>
      <c r="Y15823" s="100"/>
    </row>
    <row r="15824">
      <c r="R15824" s="100"/>
      <c r="V15824" s="100"/>
      <c r="Y15824" s="100"/>
    </row>
    <row r="15825">
      <c r="R15825" s="100"/>
      <c r="V15825" s="100"/>
      <c r="Y15825" s="100"/>
    </row>
    <row r="15826">
      <c r="R15826" s="100"/>
      <c r="V15826" s="100"/>
      <c r="Y15826" s="100"/>
    </row>
    <row r="15827">
      <c r="R15827" s="100"/>
      <c r="V15827" s="100"/>
      <c r="Y15827" s="100"/>
    </row>
    <row r="15828">
      <c r="R15828" s="100"/>
      <c r="V15828" s="100"/>
      <c r="Y15828" s="100"/>
    </row>
    <row r="15829">
      <c r="R15829" s="100"/>
      <c r="V15829" s="100"/>
      <c r="Y15829" s="100"/>
    </row>
    <row r="15830">
      <c r="R15830" s="100"/>
      <c r="V15830" s="100"/>
      <c r="Y15830" s="100"/>
    </row>
    <row r="15831">
      <c r="R15831" s="100"/>
      <c r="V15831" s="100"/>
      <c r="Y15831" s="100"/>
    </row>
    <row r="15832">
      <c r="R15832" s="100"/>
      <c r="V15832" s="100"/>
      <c r="Y15832" s="100"/>
    </row>
    <row r="15833">
      <c r="R15833" s="100"/>
      <c r="V15833" s="100"/>
      <c r="Y15833" s="100"/>
    </row>
    <row r="15834">
      <c r="R15834" s="100"/>
      <c r="V15834" s="100"/>
      <c r="Y15834" s="100"/>
    </row>
    <row r="15835">
      <c r="R15835" s="100"/>
      <c r="V15835" s="100"/>
      <c r="Y15835" s="100"/>
    </row>
    <row r="15836">
      <c r="R15836" s="100"/>
      <c r="V15836" s="100"/>
      <c r="Y15836" s="100"/>
    </row>
    <row r="15837">
      <c r="R15837" s="100"/>
      <c r="V15837" s="100"/>
      <c r="Y15837" s="100"/>
    </row>
    <row r="15838">
      <c r="R15838" s="100"/>
      <c r="V15838" s="100"/>
      <c r="Y15838" s="100"/>
    </row>
    <row r="15839">
      <c r="R15839" s="100"/>
      <c r="V15839" s="100"/>
      <c r="Y15839" s="100"/>
    </row>
    <row r="15840">
      <c r="R15840" s="100"/>
      <c r="V15840" s="100"/>
      <c r="Y15840" s="100"/>
    </row>
    <row r="15841">
      <c r="R15841" s="100"/>
      <c r="V15841" s="100"/>
      <c r="Y15841" s="100"/>
    </row>
    <row r="15842">
      <c r="R15842" s="100"/>
      <c r="V15842" s="100"/>
      <c r="Y15842" s="100"/>
    </row>
    <row r="15843">
      <c r="R15843" s="100"/>
      <c r="V15843" s="100"/>
      <c r="Y15843" s="100"/>
    </row>
    <row r="15844">
      <c r="R15844" s="100"/>
      <c r="V15844" s="100"/>
      <c r="Y15844" s="100"/>
    </row>
    <row r="15845">
      <c r="R15845" s="100"/>
      <c r="V15845" s="100"/>
      <c r="Y15845" s="100"/>
    </row>
    <row r="15846">
      <c r="R15846" s="100"/>
      <c r="V15846" s="100"/>
      <c r="Y15846" s="100"/>
    </row>
    <row r="15847">
      <c r="R15847" s="100"/>
      <c r="V15847" s="100"/>
      <c r="Y15847" s="100"/>
    </row>
    <row r="15848">
      <c r="R15848" s="100"/>
      <c r="V15848" s="100"/>
      <c r="Y15848" s="100"/>
    </row>
    <row r="15849">
      <c r="R15849" s="100"/>
      <c r="V15849" s="100"/>
      <c r="Y15849" s="100"/>
    </row>
    <row r="15850">
      <c r="R15850" s="100"/>
      <c r="V15850" s="100"/>
      <c r="Y15850" s="100"/>
    </row>
    <row r="15851">
      <c r="R15851" s="100"/>
      <c r="V15851" s="100"/>
      <c r="Y15851" s="100"/>
    </row>
    <row r="15852">
      <c r="R15852" s="100"/>
      <c r="V15852" s="100"/>
      <c r="Y15852" s="100"/>
    </row>
    <row r="15853">
      <c r="R15853" s="100"/>
      <c r="V15853" s="100"/>
      <c r="Y15853" s="100"/>
    </row>
    <row r="15854">
      <c r="R15854" s="100"/>
      <c r="V15854" s="100"/>
      <c r="Y15854" s="100"/>
    </row>
    <row r="15855">
      <c r="R15855" s="100"/>
      <c r="V15855" s="100"/>
      <c r="Y15855" s="100"/>
    </row>
    <row r="15856">
      <c r="R15856" s="100"/>
      <c r="V15856" s="100"/>
      <c r="Y15856" s="100"/>
    </row>
    <row r="15857">
      <c r="R15857" s="100"/>
      <c r="V15857" s="100"/>
      <c r="Y15857" s="100"/>
    </row>
    <row r="15858">
      <c r="R15858" s="100"/>
      <c r="V15858" s="100"/>
      <c r="Y15858" s="100"/>
    </row>
    <row r="15859">
      <c r="R15859" s="100"/>
      <c r="V15859" s="100"/>
      <c r="Y15859" s="100"/>
    </row>
    <row r="15860">
      <c r="R15860" s="100"/>
      <c r="V15860" s="100"/>
      <c r="Y15860" s="100"/>
    </row>
    <row r="15861">
      <c r="R15861" s="100"/>
      <c r="V15861" s="100"/>
      <c r="Y15861" s="100"/>
    </row>
    <row r="15862">
      <c r="R15862" s="100"/>
      <c r="V15862" s="100"/>
      <c r="Y15862" s="100"/>
    </row>
    <row r="15863">
      <c r="R15863" s="100"/>
      <c r="V15863" s="100"/>
      <c r="Y15863" s="100"/>
    </row>
    <row r="15864">
      <c r="R15864" s="100"/>
      <c r="V15864" s="100"/>
      <c r="Y15864" s="100"/>
    </row>
    <row r="15865">
      <c r="R15865" s="100"/>
      <c r="V15865" s="100"/>
      <c r="Y15865" s="100"/>
    </row>
    <row r="15866">
      <c r="R15866" s="100"/>
      <c r="V15866" s="100"/>
      <c r="Y15866" s="100"/>
    </row>
    <row r="15867">
      <c r="R15867" s="100"/>
      <c r="V15867" s="100"/>
      <c r="Y15867" s="100"/>
    </row>
    <row r="15868">
      <c r="R15868" s="100"/>
      <c r="V15868" s="100"/>
      <c r="Y15868" s="100"/>
    </row>
    <row r="15869">
      <c r="R15869" s="100"/>
      <c r="V15869" s="100"/>
      <c r="Y15869" s="100"/>
    </row>
    <row r="15870">
      <c r="R15870" s="100"/>
      <c r="V15870" s="100"/>
      <c r="Y15870" s="100"/>
    </row>
    <row r="15871">
      <c r="R15871" s="100"/>
      <c r="V15871" s="100"/>
      <c r="Y15871" s="100"/>
    </row>
    <row r="15872">
      <c r="R15872" s="100"/>
      <c r="V15872" s="100"/>
      <c r="Y15872" s="100"/>
    </row>
    <row r="15873">
      <c r="R15873" s="100"/>
      <c r="V15873" s="100"/>
      <c r="Y15873" s="100"/>
    </row>
    <row r="15874">
      <c r="R15874" s="100"/>
      <c r="V15874" s="100"/>
      <c r="Y15874" s="100"/>
    </row>
    <row r="15875">
      <c r="R15875" s="100"/>
      <c r="V15875" s="100"/>
      <c r="Y15875" s="100"/>
    </row>
    <row r="15876">
      <c r="R15876" s="100"/>
      <c r="V15876" s="100"/>
      <c r="Y15876" s="100"/>
    </row>
    <row r="15877">
      <c r="R15877" s="100"/>
      <c r="V15877" s="100"/>
      <c r="Y15877" s="100"/>
    </row>
    <row r="15878">
      <c r="R15878" s="100"/>
      <c r="V15878" s="100"/>
      <c r="Y15878" s="100"/>
    </row>
    <row r="15879">
      <c r="R15879" s="100"/>
      <c r="V15879" s="100"/>
      <c r="Y15879" s="100"/>
    </row>
    <row r="15880">
      <c r="R15880" s="100"/>
      <c r="V15880" s="100"/>
      <c r="Y15880" s="100"/>
    </row>
    <row r="15881">
      <c r="R15881" s="100"/>
      <c r="V15881" s="100"/>
      <c r="Y15881" s="100"/>
    </row>
    <row r="15882">
      <c r="R15882" s="100"/>
      <c r="V15882" s="100"/>
      <c r="Y15882" s="100"/>
    </row>
    <row r="15883">
      <c r="R15883" s="100"/>
      <c r="V15883" s="100"/>
      <c r="Y15883" s="100"/>
    </row>
    <row r="15884">
      <c r="R15884" s="100"/>
      <c r="V15884" s="100"/>
      <c r="Y15884" s="100"/>
    </row>
    <row r="15885">
      <c r="R15885" s="100"/>
      <c r="V15885" s="100"/>
      <c r="Y15885" s="100"/>
    </row>
    <row r="15886">
      <c r="R15886" s="100"/>
      <c r="V15886" s="100"/>
      <c r="Y15886" s="100"/>
    </row>
    <row r="15887">
      <c r="R15887" s="100"/>
      <c r="V15887" s="100"/>
      <c r="Y15887" s="100"/>
    </row>
    <row r="15888">
      <c r="R15888" s="100"/>
      <c r="V15888" s="100"/>
      <c r="Y15888" s="100"/>
    </row>
    <row r="15889">
      <c r="R15889" s="100"/>
      <c r="V15889" s="100"/>
      <c r="Y15889" s="100"/>
    </row>
    <row r="15890">
      <c r="R15890" s="100"/>
      <c r="V15890" s="100"/>
      <c r="Y15890" s="100"/>
    </row>
    <row r="15891">
      <c r="R15891" s="100"/>
      <c r="V15891" s="100"/>
      <c r="Y15891" s="100"/>
    </row>
    <row r="15892">
      <c r="R15892" s="100"/>
      <c r="V15892" s="100"/>
      <c r="Y15892" s="100"/>
    </row>
    <row r="15893">
      <c r="R15893" s="100"/>
      <c r="V15893" s="100"/>
      <c r="Y15893" s="100"/>
    </row>
    <row r="15894">
      <c r="R15894" s="100"/>
      <c r="V15894" s="100"/>
      <c r="Y15894" s="100"/>
    </row>
    <row r="15895">
      <c r="R15895" s="100"/>
      <c r="V15895" s="100"/>
      <c r="Y15895" s="100"/>
    </row>
    <row r="15896">
      <c r="R15896" s="100"/>
      <c r="V15896" s="100"/>
      <c r="Y15896" s="100"/>
    </row>
    <row r="15897">
      <c r="R15897" s="100"/>
      <c r="V15897" s="100"/>
      <c r="Y15897" s="100"/>
    </row>
    <row r="15898">
      <c r="R15898" s="100"/>
      <c r="V15898" s="100"/>
      <c r="Y15898" s="100"/>
    </row>
    <row r="15899">
      <c r="R15899" s="100"/>
      <c r="V15899" s="100"/>
      <c r="Y15899" s="100"/>
    </row>
    <row r="15900">
      <c r="R15900" s="100"/>
      <c r="V15900" s="100"/>
      <c r="Y15900" s="100"/>
    </row>
    <row r="15901">
      <c r="R15901" s="100"/>
      <c r="V15901" s="100"/>
      <c r="Y15901" s="100"/>
    </row>
    <row r="15902">
      <c r="R15902" s="100"/>
      <c r="V15902" s="100"/>
      <c r="Y15902" s="100"/>
    </row>
    <row r="15903">
      <c r="R15903" s="100"/>
      <c r="V15903" s="100"/>
      <c r="Y15903" s="100"/>
    </row>
    <row r="15904">
      <c r="R15904" s="100"/>
      <c r="V15904" s="100"/>
      <c r="Y15904" s="100"/>
    </row>
    <row r="15905">
      <c r="R15905" s="100"/>
      <c r="V15905" s="100"/>
      <c r="Y15905" s="100"/>
    </row>
    <row r="15906">
      <c r="R15906" s="100"/>
      <c r="V15906" s="100"/>
      <c r="Y15906" s="100"/>
    </row>
    <row r="15907">
      <c r="R15907" s="100"/>
      <c r="V15907" s="100"/>
      <c r="Y15907" s="100"/>
    </row>
    <row r="15908">
      <c r="R15908" s="100"/>
      <c r="V15908" s="100"/>
      <c r="Y15908" s="100"/>
    </row>
    <row r="15909">
      <c r="R15909" s="100"/>
      <c r="V15909" s="100"/>
      <c r="Y15909" s="100"/>
    </row>
    <row r="15910">
      <c r="R15910" s="100"/>
      <c r="V15910" s="100"/>
      <c r="Y15910" s="100"/>
    </row>
    <row r="15911">
      <c r="R15911" s="100"/>
      <c r="V15911" s="100"/>
      <c r="Y15911" s="100"/>
    </row>
    <row r="15912">
      <c r="R15912" s="100"/>
      <c r="V15912" s="100"/>
      <c r="Y15912" s="100"/>
    </row>
    <row r="15913">
      <c r="R15913" s="100"/>
      <c r="V15913" s="100"/>
      <c r="Y15913" s="100"/>
    </row>
    <row r="15914">
      <c r="R15914" s="100"/>
      <c r="V15914" s="100"/>
      <c r="Y15914" s="100"/>
    </row>
    <row r="15915">
      <c r="R15915" s="100"/>
      <c r="V15915" s="100"/>
      <c r="Y15915" s="100"/>
    </row>
    <row r="15916">
      <c r="R15916" s="100"/>
      <c r="V15916" s="100"/>
      <c r="Y15916" s="100"/>
    </row>
    <row r="15917">
      <c r="R15917" s="100"/>
      <c r="V15917" s="100"/>
      <c r="Y15917" s="100"/>
    </row>
    <row r="15918">
      <c r="R15918" s="100"/>
      <c r="V15918" s="100"/>
      <c r="Y15918" s="100"/>
    </row>
    <row r="15919">
      <c r="R15919" s="100"/>
      <c r="V15919" s="100"/>
      <c r="Y15919" s="100"/>
    </row>
    <row r="15920">
      <c r="R15920" s="100"/>
      <c r="V15920" s="100"/>
      <c r="Y15920" s="100"/>
    </row>
    <row r="15921">
      <c r="R15921" s="100"/>
      <c r="V15921" s="100"/>
      <c r="Y15921" s="100"/>
    </row>
    <row r="15922">
      <c r="R15922" s="100"/>
      <c r="V15922" s="100"/>
      <c r="Y15922" s="100"/>
    </row>
    <row r="15923">
      <c r="R15923" s="100"/>
      <c r="V15923" s="100"/>
      <c r="Y15923" s="100"/>
    </row>
    <row r="15924">
      <c r="R15924" s="100"/>
      <c r="V15924" s="100"/>
      <c r="Y15924" s="100"/>
    </row>
    <row r="15925">
      <c r="R15925" s="100"/>
      <c r="V15925" s="100"/>
      <c r="Y15925" s="100"/>
    </row>
    <row r="15926">
      <c r="R15926" s="100"/>
      <c r="V15926" s="100"/>
      <c r="Y15926" s="100"/>
    </row>
    <row r="15927">
      <c r="R15927" s="100"/>
      <c r="V15927" s="100"/>
      <c r="Y15927" s="100"/>
    </row>
    <row r="15928">
      <c r="R15928" s="100"/>
      <c r="V15928" s="100"/>
      <c r="Y15928" s="100"/>
    </row>
    <row r="15929">
      <c r="R15929" s="100"/>
      <c r="V15929" s="100"/>
      <c r="Y15929" s="100"/>
    </row>
    <row r="15930">
      <c r="R15930" s="100"/>
      <c r="V15930" s="100"/>
      <c r="Y15930" s="100"/>
    </row>
    <row r="15931">
      <c r="R15931" s="100"/>
      <c r="V15931" s="100"/>
      <c r="Y15931" s="100"/>
    </row>
    <row r="15932">
      <c r="R15932" s="100"/>
      <c r="V15932" s="100"/>
      <c r="Y15932" s="100"/>
    </row>
    <row r="15933">
      <c r="R15933" s="100"/>
      <c r="V15933" s="100"/>
      <c r="Y15933" s="100"/>
    </row>
    <row r="15934">
      <c r="R15934" s="100"/>
      <c r="V15934" s="100"/>
      <c r="Y15934" s="100"/>
    </row>
    <row r="15935">
      <c r="R15935" s="100"/>
      <c r="V15935" s="100"/>
      <c r="Y15935" s="100"/>
    </row>
    <row r="15936">
      <c r="R15936" s="100"/>
      <c r="V15936" s="100"/>
      <c r="Y15936" s="100"/>
    </row>
    <row r="15937">
      <c r="R15937" s="100"/>
      <c r="V15937" s="100"/>
      <c r="Y15937" s="100"/>
    </row>
    <row r="15938">
      <c r="R15938" s="100"/>
      <c r="V15938" s="100"/>
      <c r="Y15938" s="100"/>
    </row>
    <row r="15939">
      <c r="R15939" s="100"/>
      <c r="V15939" s="100"/>
      <c r="Y15939" s="100"/>
    </row>
    <row r="15940">
      <c r="R15940" s="100"/>
      <c r="V15940" s="100"/>
      <c r="Y15940" s="100"/>
    </row>
    <row r="15941">
      <c r="R15941" s="100"/>
      <c r="V15941" s="100"/>
      <c r="Y15941" s="100"/>
    </row>
    <row r="15942">
      <c r="R15942" s="100"/>
      <c r="V15942" s="100"/>
      <c r="Y15942" s="100"/>
    </row>
    <row r="15943">
      <c r="R15943" s="100"/>
      <c r="V15943" s="100"/>
      <c r="Y15943" s="100"/>
    </row>
    <row r="15944">
      <c r="R15944" s="100"/>
      <c r="V15944" s="100"/>
      <c r="Y15944" s="100"/>
    </row>
    <row r="15945">
      <c r="R15945" s="100"/>
      <c r="V15945" s="100"/>
      <c r="Y15945" s="100"/>
    </row>
    <row r="15946">
      <c r="R15946" s="100"/>
      <c r="V15946" s="100"/>
      <c r="Y15946" s="100"/>
    </row>
    <row r="15947">
      <c r="R15947" s="100"/>
      <c r="V15947" s="100"/>
      <c r="Y15947" s="100"/>
    </row>
    <row r="15948">
      <c r="R15948" s="100"/>
      <c r="V15948" s="100"/>
      <c r="Y15948" s="100"/>
    </row>
    <row r="15949">
      <c r="R15949" s="100"/>
      <c r="V15949" s="100"/>
      <c r="Y15949" s="100"/>
    </row>
    <row r="15950">
      <c r="R15950" s="100"/>
      <c r="V15950" s="100"/>
      <c r="Y15950" s="100"/>
    </row>
    <row r="15951">
      <c r="R15951" s="100"/>
      <c r="V15951" s="100"/>
      <c r="Y15951" s="100"/>
    </row>
    <row r="15952">
      <c r="R15952" s="100"/>
      <c r="V15952" s="100"/>
      <c r="Y15952" s="100"/>
    </row>
    <row r="15953">
      <c r="R15953" s="100"/>
      <c r="V15953" s="100"/>
      <c r="Y15953" s="100"/>
    </row>
    <row r="15954">
      <c r="R15954" s="100"/>
      <c r="V15954" s="100"/>
      <c r="Y15954" s="100"/>
    </row>
    <row r="15955">
      <c r="R15955" s="100"/>
      <c r="V15955" s="100"/>
      <c r="Y15955" s="100"/>
    </row>
    <row r="15956">
      <c r="R15956" s="100"/>
      <c r="V15956" s="100"/>
      <c r="Y15956" s="100"/>
    </row>
    <row r="15957">
      <c r="R15957" s="100"/>
      <c r="V15957" s="100"/>
      <c r="Y15957" s="100"/>
    </row>
    <row r="15958">
      <c r="R15958" s="100"/>
      <c r="V15958" s="100"/>
      <c r="Y15958" s="100"/>
    </row>
    <row r="15959">
      <c r="R15959" s="100"/>
      <c r="V15959" s="100"/>
      <c r="Y15959" s="100"/>
    </row>
    <row r="15960">
      <c r="R15960" s="100"/>
      <c r="V15960" s="100"/>
      <c r="Y15960" s="100"/>
    </row>
    <row r="15961">
      <c r="R15961" s="100"/>
      <c r="V15961" s="100"/>
      <c r="Y15961" s="100"/>
    </row>
    <row r="15962">
      <c r="R15962" s="100"/>
      <c r="V15962" s="100"/>
      <c r="Y15962" s="100"/>
    </row>
    <row r="15963">
      <c r="R15963" s="100"/>
      <c r="V15963" s="100"/>
      <c r="Y15963" s="100"/>
    </row>
    <row r="15964">
      <c r="R15964" s="100"/>
      <c r="V15964" s="100"/>
      <c r="Y15964" s="100"/>
    </row>
    <row r="15965">
      <c r="R15965" s="100"/>
      <c r="V15965" s="100"/>
      <c r="Y15965" s="100"/>
    </row>
    <row r="15966">
      <c r="R15966" s="100"/>
      <c r="V15966" s="100"/>
      <c r="Y15966" s="100"/>
    </row>
    <row r="15967">
      <c r="R15967" s="100"/>
      <c r="V15967" s="100"/>
      <c r="Y15967" s="100"/>
    </row>
    <row r="15968">
      <c r="R15968" s="100"/>
      <c r="V15968" s="100"/>
      <c r="Y15968" s="100"/>
    </row>
    <row r="15969">
      <c r="R15969" s="100"/>
      <c r="V15969" s="100"/>
      <c r="Y15969" s="100"/>
    </row>
    <row r="15970">
      <c r="R15970" s="100"/>
      <c r="V15970" s="100"/>
      <c r="Y15970" s="100"/>
    </row>
    <row r="15971">
      <c r="R15971" s="100"/>
      <c r="V15971" s="100"/>
      <c r="Y15971" s="100"/>
    </row>
    <row r="15972">
      <c r="R15972" s="100"/>
      <c r="V15972" s="100"/>
      <c r="Y15972" s="100"/>
    </row>
    <row r="15973">
      <c r="R15973" s="100"/>
      <c r="V15973" s="100"/>
      <c r="Y15973" s="100"/>
    </row>
    <row r="15974">
      <c r="R15974" s="100"/>
      <c r="V15974" s="100"/>
      <c r="Y15974" s="100"/>
    </row>
    <row r="15975">
      <c r="R15975" s="100"/>
      <c r="V15975" s="100"/>
      <c r="Y15975" s="100"/>
    </row>
    <row r="15976">
      <c r="R15976" s="100"/>
      <c r="V15976" s="100"/>
      <c r="Y15976" s="100"/>
    </row>
    <row r="15977">
      <c r="R15977" s="100"/>
      <c r="V15977" s="100"/>
      <c r="Y15977" s="100"/>
    </row>
    <row r="15978">
      <c r="R15978" s="100"/>
      <c r="V15978" s="100"/>
      <c r="Y15978" s="100"/>
    </row>
    <row r="15979">
      <c r="R15979" s="100"/>
      <c r="V15979" s="100"/>
      <c r="Y15979" s="100"/>
    </row>
    <row r="15980">
      <c r="R15980" s="100"/>
      <c r="V15980" s="100"/>
      <c r="Y15980" s="100"/>
    </row>
    <row r="15981">
      <c r="R15981" s="100"/>
      <c r="V15981" s="100"/>
      <c r="Y15981" s="100"/>
    </row>
    <row r="15982">
      <c r="R15982" s="100"/>
      <c r="V15982" s="100"/>
      <c r="Y15982" s="100"/>
    </row>
    <row r="15983">
      <c r="R15983" s="100"/>
      <c r="V15983" s="100"/>
      <c r="Y15983" s="100"/>
    </row>
    <row r="15984">
      <c r="R15984" s="100"/>
      <c r="V15984" s="100"/>
      <c r="Y15984" s="100"/>
    </row>
    <row r="15985">
      <c r="R15985" s="100"/>
      <c r="V15985" s="100"/>
      <c r="Y15985" s="100"/>
    </row>
    <row r="15986">
      <c r="R15986" s="100"/>
      <c r="V15986" s="100"/>
      <c r="Y15986" s="100"/>
    </row>
    <row r="15987">
      <c r="R15987" s="100"/>
      <c r="V15987" s="100"/>
      <c r="Y15987" s="100"/>
    </row>
    <row r="15988">
      <c r="R15988" s="100"/>
      <c r="V15988" s="100"/>
      <c r="Y15988" s="100"/>
    </row>
    <row r="15989">
      <c r="R15989" s="100"/>
      <c r="V15989" s="100"/>
      <c r="Y15989" s="100"/>
    </row>
    <row r="15990">
      <c r="R15990" s="100"/>
      <c r="V15990" s="100"/>
      <c r="Y15990" s="100"/>
    </row>
    <row r="15991">
      <c r="R15991" s="100"/>
      <c r="V15991" s="100"/>
      <c r="Y15991" s="100"/>
    </row>
    <row r="15992">
      <c r="R15992" s="100"/>
      <c r="V15992" s="100"/>
      <c r="Y15992" s="100"/>
    </row>
    <row r="15993">
      <c r="R15993" s="100"/>
      <c r="V15993" s="100"/>
      <c r="Y15993" s="100"/>
    </row>
    <row r="15994">
      <c r="R15994" s="100"/>
      <c r="V15994" s="100"/>
      <c r="Y15994" s="100"/>
    </row>
    <row r="15995">
      <c r="R15995" s="100"/>
      <c r="V15995" s="100"/>
      <c r="Y15995" s="100"/>
    </row>
    <row r="15996">
      <c r="R15996" s="100"/>
      <c r="V15996" s="100"/>
      <c r="Y15996" s="100"/>
    </row>
    <row r="15997">
      <c r="R15997" s="100"/>
      <c r="V15997" s="100"/>
      <c r="Y15997" s="100"/>
    </row>
    <row r="15998">
      <c r="R15998" s="100"/>
      <c r="V15998" s="100"/>
      <c r="Y15998" s="100"/>
    </row>
    <row r="15999">
      <c r="R15999" s="100"/>
      <c r="V15999" s="100"/>
      <c r="Y15999" s="100"/>
    </row>
    <row r="16000">
      <c r="R16000" s="100"/>
      <c r="V16000" s="100"/>
      <c r="Y16000" s="100"/>
    </row>
    <row r="16001">
      <c r="R16001" s="100"/>
      <c r="V16001" s="100"/>
      <c r="Y16001" s="100"/>
    </row>
    <row r="16002">
      <c r="R16002" s="100"/>
      <c r="V16002" s="100"/>
      <c r="Y16002" s="100"/>
    </row>
    <row r="16003">
      <c r="R16003" s="100"/>
      <c r="V16003" s="100"/>
      <c r="Y16003" s="100"/>
    </row>
    <row r="16004">
      <c r="R16004" s="100"/>
      <c r="V16004" s="100"/>
      <c r="Y16004" s="100"/>
    </row>
    <row r="16005">
      <c r="R16005" s="100"/>
      <c r="V16005" s="100"/>
      <c r="Y16005" s="100"/>
    </row>
    <row r="16006">
      <c r="R16006" s="100"/>
      <c r="V16006" s="100"/>
      <c r="Y16006" s="100"/>
    </row>
    <row r="16007">
      <c r="R16007" s="100"/>
      <c r="V16007" s="100"/>
      <c r="Y16007" s="100"/>
    </row>
    <row r="16008">
      <c r="R16008" s="100"/>
      <c r="V16008" s="100"/>
      <c r="Y16008" s="100"/>
    </row>
    <row r="16009">
      <c r="R16009" s="100"/>
      <c r="V16009" s="100"/>
      <c r="Y16009" s="100"/>
    </row>
    <row r="16010">
      <c r="R16010" s="100"/>
      <c r="V16010" s="100"/>
      <c r="Y16010" s="100"/>
    </row>
    <row r="16011">
      <c r="R16011" s="100"/>
      <c r="V16011" s="100"/>
      <c r="Y16011" s="100"/>
    </row>
    <row r="16012">
      <c r="R16012" s="100"/>
      <c r="V16012" s="100"/>
      <c r="Y16012" s="100"/>
    </row>
    <row r="16013">
      <c r="R16013" s="100"/>
      <c r="V16013" s="100"/>
      <c r="Y16013" s="100"/>
    </row>
    <row r="16014">
      <c r="R16014" s="100"/>
      <c r="V16014" s="100"/>
      <c r="Y16014" s="100"/>
    </row>
    <row r="16015">
      <c r="R16015" s="100"/>
      <c r="V16015" s="100"/>
      <c r="Y16015" s="100"/>
    </row>
    <row r="16016">
      <c r="R16016" s="100"/>
      <c r="V16016" s="100"/>
      <c r="Y16016" s="100"/>
    </row>
    <row r="16017">
      <c r="R16017" s="100"/>
      <c r="V16017" s="100"/>
      <c r="Y16017" s="100"/>
    </row>
    <row r="16018">
      <c r="R16018" s="100"/>
      <c r="V16018" s="100"/>
      <c r="Y16018" s="100"/>
    </row>
    <row r="16019">
      <c r="R16019" s="100"/>
      <c r="V16019" s="100"/>
      <c r="Y16019" s="100"/>
    </row>
    <row r="16020">
      <c r="R16020" s="100"/>
      <c r="V16020" s="100"/>
      <c r="Y16020" s="100"/>
    </row>
    <row r="16021">
      <c r="R16021" s="100"/>
      <c r="V16021" s="100"/>
      <c r="Y16021" s="100"/>
    </row>
    <row r="16022">
      <c r="R16022" s="100"/>
      <c r="V16022" s="100"/>
      <c r="Y16022" s="100"/>
    </row>
    <row r="16023">
      <c r="R16023" s="100"/>
      <c r="V16023" s="100"/>
      <c r="Y16023" s="100"/>
    </row>
    <row r="16024">
      <c r="R16024" s="100"/>
      <c r="V16024" s="100"/>
      <c r="Y16024" s="100"/>
    </row>
    <row r="16025">
      <c r="R16025" s="100"/>
      <c r="V16025" s="100"/>
      <c r="Y16025" s="100"/>
    </row>
    <row r="16026">
      <c r="R16026" s="100"/>
      <c r="V16026" s="100"/>
      <c r="Y16026" s="100"/>
    </row>
    <row r="16027">
      <c r="R16027" s="100"/>
      <c r="V16027" s="100"/>
      <c r="Y16027" s="100"/>
    </row>
    <row r="16028">
      <c r="R16028" s="100"/>
      <c r="V16028" s="100"/>
      <c r="Y16028" s="100"/>
    </row>
    <row r="16029">
      <c r="R16029" s="100"/>
      <c r="V16029" s="100"/>
      <c r="Y16029" s="100"/>
    </row>
    <row r="16030">
      <c r="R16030" s="100"/>
      <c r="V16030" s="100"/>
      <c r="Y16030" s="100"/>
    </row>
    <row r="16031">
      <c r="R16031" s="100"/>
      <c r="V16031" s="100"/>
      <c r="Y16031" s="100"/>
    </row>
    <row r="16032">
      <c r="R16032" s="100"/>
      <c r="V16032" s="100"/>
      <c r="Y16032" s="100"/>
    </row>
    <row r="16033">
      <c r="R16033" s="100"/>
      <c r="V16033" s="100"/>
      <c r="Y16033" s="100"/>
    </row>
    <row r="16034">
      <c r="R16034" s="100"/>
      <c r="V16034" s="100"/>
      <c r="Y16034" s="100"/>
    </row>
    <row r="16035">
      <c r="R16035" s="100"/>
      <c r="V16035" s="100"/>
      <c r="Y16035" s="100"/>
    </row>
    <row r="16036">
      <c r="R16036" s="100"/>
      <c r="V16036" s="100"/>
      <c r="Y16036" s="100"/>
    </row>
    <row r="16037">
      <c r="R16037" s="100"/>
      <c r="V16037" s="100"/>
      <c r="Y16037" s="100"/>
    </row>
    <row r="16038">
      <c r="R16038" s="100"/>
      <c r="V16038" s="100"/>
      <c r="Y16038" s="100"/>
    </row>
    <row r="16039">
      <c r="R16039" s="100"/>
      <c r="V16039" s="100"/>
      <c r="Y16039" s="100"/>
    </row>
    <row r="16040">
      <c r="R16040" s="100"/>
      <c r="V16040" s="100"/>
      <c r="Y16040" s="100"/>
    </row>
    <row r="16041">
      <c r="R16041" s="100"/>
      <c r="V16041" s="100"/>
      <c r="Y16041" s="100"/>
    </row>
    <row r="16042">
      <c r="R16042" s="100"/>
      <c r="V16042" s="100"/>
      <c r="Y16042" s="100"/>
    </row>
    <row r="16043">
      <c r="R16043" s="100"/>
      <c r="V16043" s="100"/>
      <c r="Y16043" s="100"/>
    </row>
    <row r="16044">
      <c r="R16044" s="100"/>
      <c r="V16044" s="100"/>
      <c r="Y16044" s="100"/>
    </row>
    <row r="16045">
      <c r="R16045" s="100"/>
      <c r="V16045" s="100"/>
      <c r="Y16045" s="100"/>
    </row>
    <row r="16046">
      <c r="R16046" s="100"/>
      <c r="V16046" s="100"/>
      <c r="Y16046" s="100"/>
    </row>
    <row r="16047">
      <c r="R16047" s="100"/>
      <c r="V16047" s="100"/>
      <c r="Y16047" s="100"/>
    </row>
    <row r="16048">
      <c r="R16048" s="100"/>
      <c r="V16048" s="100"/>
      <c r="Y16048" s="100"/>
    </row>
    <row r="16049">
      <c r="R16049" s="100"/>
      <c r="V16049" s="100"/>
      <c r="Y16049" s="100"/>
    </row>
    <row r="16050">
      <c r="R16050" s="100"/>
      <c r="V16050" s="100"/>
      <c r="Y16050" s="100"/>
    </row>
    <row r="16051">
      <c r="R16051" s="100"/>
      <c r="V16051" s="100"/>
      <c r="Y16051" s="100"/>
    </row>
    <row r="16052">
      <c r="R16052" s="100"/>
      <c r="V16052" s="100"/>
      <c r="Y16052" s="100"/>
    </row>
    <row r="16053">
      <c r="R16053" s="100"/>
      <c r="V16053" s="100"/>
      <c r="Y16053" s="100"/>
    </row>
    <row r="16054">
      <c r="R16054" s="100"/>
      <c r="V16054" s="100"/>
      <c r="Y16054" s="100"/>
    </row>
    <row r="16055">
      <c r="R16055" s="100"/>
      <c r="V16055" s="100"/>
      <c r="Y16055" s="100"/>
    </row>
    <row r="16056">
      <c r="R16056" s="100"/>
      <c r="V16056" s="100"/>
      <c r="Y16056" s="100"/>
    </row>
    <row r="16057">
      <c r="R16057" s="100"/>
      <c r="V16057" s="100"/>
      <c r="Y16057" s="100"/>
    </row>
    <row r="16058">
      <c r="R16058" s="100"/>
      <c r="V16058" s="100"/>
      <c r="Y16058" s="100"/>
    </row>
    <row r="16059">
      <c r="R16059" s="100"/>
      <c r="V16059" s="100"/>
      <c r="Y16059" s="100"/>
    </row>
    <row r="16060">
      <c r="R16060" s="100"/>
      <c r="V16060" s="100"/>
      <c r="Y16060" s="100"/>
    </row>
    <row r="16061">
      <c r="R16061" s="100"/>
      <c r="V16061" s="100"/>
      <c r="Y16061" s="100"/>
    </row>
    <row r="16062">
      <c r="R16062" s="100"/>
      <c r="V16062" s="100"/>
      <c r="Y16062" s="100"/>
    </row>
    <row r="16063">
      <c r="R16063" s="100"/>
      <c r="V16063" s="100"/>
      <c r="Y16063" s="100"/>
    </row>
    <row r="16064">
      <c r="R16064" s="100"/>
      <c r="V16064" s="100"/>
      <c r="Y16064" s="100"/>
    </row>
    <row r="16065">
      <c r="R16065" s="100"/>
      <c r="V16065" s="100"/>
      <c r="Y16065" s="100"/>
    </row>
    <row r="16066">
      <c r="R16066" s="100"/>
      <c r="V16066" s="100"/>
      <c r="Y16066" s="100"/>
    </row>
    <row r="16067">
      <c r="R16067" s="100"/>
      <c r="V16067" s="100"/>
      <c r="Y16067" s="100"/>
    </row>
    <row r="16068">
      <c r="R16068" s="100"/>
      <c r="V16068" s="100"/>
      <c r="Y16068" s="100"/>
    </row>
    <row r="16069">
      <c r="R16069" s="100"/>
      <c r="V16069" s="100"/>
      <c r="Y16069" s="100"/>
    </row>
    <row r="16070">
      <c r="R16070" s="100"/>
      <c r="V16070" s="100"/>
      <c r="Y16070" s="100"/>
    </row>
    <row r="16071">
      <c r="R16071" s="100"/>
      <c r="V16071" s="100"/>
      <c r="Y16071" s="100"/>
    </row>
    <row r="16072">
      <c r="R16072" s="100"/>
      <c r="V16072" s="100"/>
      <c r="Y16072" s="100"/>
    </row>
    <row r="16073">
      <c r="R16073" s="100"/>
      <c r="V16073" s="100"/>
      <c r="Y16073" s="100"/>
    </row>
    <row r="16074">
      <c r="R16074" s="100"/>
      <c r="V16074" s="100"/>
      <c r="Y16074" s="100"/>
    </row>
    <row r="16075">
      <c r="R16075" s="100"/>
      <c r="V16075" s="100"/>
      <c r="Y16075" s="100"/>
    </row>
    <row r="16076">
      <c r="R16076" s="100"/>
      <c r="V16076" s="100"/>
      <c r="Y16076" s="100"/>
    </row>
    <row r="16077">
      <c r="R16077" s="100"/>
      <c r="V16077" s="100"/>
      <c r="Y16077" s="100"/>
    </row>
    <row r="16078">
      <c r="R16078" s="100"/>
      <c r="V16078" s="100"/>
      <c r="Y16078" s="100"/>
    </row>
    <row r="16079">
      <c r="R16079" s="100"/>
      <c r="V16079" s="100"/>
      <c r="Y16079" s="100"/>
    </row>
    <row r="16080">
      <c r="R16080" s="100"/>
      <c r="V16080" s="100"/>
      <c r="Y16080" s="100"/>
    </row>
    <row r="16081">
      <c r="R16081" s="100"/>
      <c r="V16081" s="100"/>
      <c r="Y16081" s="100"/>
    </row>
    <row r="16082">
      <c r="R16082" s="100"/>
      <c r="V16082" s="100"/>
      <c r="Y16082" s="100"/>
    </row>
    <row r="16083">
      <c r="R16083" s="100"/>
      <c r="V16083" s="100"/>
      <c r="Y16083" s="100"/>
    </row>
    <row r="16084">
      <c r="R16084" s="100"/>
      <c r="V16084" s="100"/>
      <c r="Y16084" s="100"/>
    </row>
    <row r="16085">
      <c r="R16085" s="100"/>
      <c r="V16085" s="100"/>
      <c r="Y16085" s="100"/>
    </row>
    <row r="16086">
      <c r="R16086" s="100"/>
      <c r="V16086" s="100"/>
      <c r="Y16086" s="100"/>
    </row>
    <row r="16087">
      <c r="R16087" s="100"/>
      <c r="V16087" s="100"/>
      <c r="Y16087" s="100"/>
    </row>
    <row r="16088">
      <c r="R16088" s="100"/>
      <c r="V16088" s="100"/>
      <c r="Y16088" s="100"/>
    </row>
    <row r="16089">
      <c r="R16089" s="100"/>
      <c r="V16089" s="100"/>
      <c r="Y16089" s="100"/>
    </row>
    <row r="16090">
      <c r="R16090" s="100"/>
      <c r="V16090" s="100"/>
      <c r="Y16090" s="100"/>
    </row>
    <row r="16091">
      <c r="R16091" s="100"/>
      <c r="V16091" s="100"/>
      <c r="Y16091" s="100"/>
    </row>
    <row r="16092">
      <c r="R16092" s="100"/>
      <c r="V16092" s="100"/>
      <c r="Y16092" s="100"/>
    </row>
    <row r="16093">
      <c r="R16093" s="100"/>
      <c r="V16093" s="100"/>
      <c r="Y16093" s="100"/>
    </row>
    <row r="16094">
      <c r="R16094" s="100"/>
      <c r="V16094" s="100"/>
      <c r="Y16094" s="100"/>
    </row>
    <row r="16095">
      <c r="R16095" s="100"/>
      <c r="V16095" s="100"/>
      <c r="Y16095" s="100"/>
    </row>
    <row r="16096">
      <c r="R16096" s="100"/>
      <c r="V16096" s="100"/>
      <c r="Y16096" s="100"/>
    </row>
    <row r="16097">
      <c r="R16097" s="100"/>
      <c r="V16097" s="100"/>
      <c r="Y16097" s="100"/>
    </row>
    <row r="16098">
      <c r="R16098" s="100"/>
      <c r="V16098" s="100"/>
      <c r="Y16098" s="100"/>
    </row>
    <row r="16099">
      <c r="R16099" s="100"/>
      <c r="V16099" s="100"/>
      <c r="Y16099" s="100"/>
    </row>
    <row r="16100">
      <c r="R16100" s="100"/>
      <c r="V16100" s="100"/>
      <c r="Y16100" s="100"/>
    </row>
    <row r="16101">
      <c r="R16101" s="100"/>
      <c r="V16101" s="100"/>
      <c r="Y16101" s="100"/>
    </row>
    <row r="16102">
      <c r="R16102" s="100"/>
      <c r="V16102" s="100"/>
      <c r="Y16102" s="100"/>
    </row>
    <row r="16103">
      <c r="R16103" s="100"/>
      <c r="V16103" s="100"/>
      <c r="Y16103" s="100"/>
    </row>
    <row r="16104">
      <c r="R16104" s="100"/>
      <c r="V16104" s="100"/>
      <c r="Y16104" s="100"/>
    </row>
    <row r="16105">
      <c r="R16105" s="100"/>
      <c r="V16105" s="100"/>
      <c r="Y16105" s="100"/>
    </row>
    <row r="16106">
      <c r="R16106" s="100"/>
      <c r="V16106" s="100"/>
      <c r="Y16106" s="100"/>
    </row>
    <row r="16107">
      <c r="R16107" s="100"/>
      <c r="V16107" s="100"/>
      <c r="Y16107" s="100"/>
    </row>
    <row r="16108">
      <c r="R16108" s="100"/>
      <c r="V16108" s="100"/>
      <c r="Y16108" s="100"/>
    </row>
    <row r="16109">
      <c r="R16109" s="100"/>
      <c r="V16109" s="100"/>
      <c r="Y16109" s="100"/>
    </row>
    <row r="16110">
      <c r="R16110" s="100"/>
      <c r="V16110" s="100"/>
      <c r="Y16110" s="100"/>
    </row>
    <row r="16111">
      <c r="R16111" s="100"/>
      <c r="V16111" s="100"/>
      <c r="Y16111" s="100"/>
    </row>
    <row r="16112">
      <c r="R16112" s="100"/>
      <c r="V16112" s="100"/>
      <c r="Y16112" s="100"/>
    </row>
    <row r="16113">
      <c r="R16113" s="100"/>
      <c r="V16113" s="100"/>
      <c r="Y16113" s="100"/>
    </row>
    <row r="16114">
      <c r="R16114" s="100"/>
      <c r="V16114" s="100"/>
      <c r="Y16114" s="100"/>
    </row>
    <row r="16115">
      <c r="R16115" s="100"/>
      <c r="V16115" s="100"/>
      <c r="Y16115" s="100"/>
    </row>
    <row r="16116">
      <c r="R16116" s="100"/>
      <c r="V16116" s="100"/>
      <c r="Y16116" s="100"/>
    </row>
    <row r="16117">
      <c r="R16117" s="100"/>
      <c r="V16117" s="100"/>
      <c r="Y16117" s="100"/>
    </row>
    <row r="16118">
      <c r="R16118" s="100"/>
      <c r="V16118" s="100"/>
      <c r="Y16118" s="100"/>
    </row>
    <row r="16119">
      <c r="R16119" s="100"/>
      <c r="V16119" s="100"/>
      <c r="Y16119" s="100"/>
    </row>
    <row r="16120">
      <c r="R16120" s="100"/>
      <c r="V16120" s="100"/>
      <c r="Y16120" s="100"/>
    </row>
    <row r="16121">
      <c r="R16121" s="100"/>
      <c r="V16121" s="100"/>
      <c r="Y16121" s="100"/>
    </row>
    <row r="16122">
      <c r="R16122" s="100"/>
      <c r="V16122" s="100"/>
      <c r="Y16122" s="100"/>
    </row>
    <row r="16123">
      <c r="R16123" s="100"/>
      <c r="V16123" s="100"/>
      <c r="Y16123" s="100"/>
    </row>
    <row r="16124">
      <c r="R16124" s="100"/>
      <c r="V16124" s="100"/>
      <c r="Y16124" s="100"/>
    </row>
    <row r="16125">
      <c r="R16125" s="100"/>
      <c r="V16125" s="100"/>
      <c r="Y16125" s="100"/>
    </row>
    <row r="16126">
      <c r="R16126" s="100"/>
      <c r="V16126" s="100"/>
      <c r="Y16126" s="100"/>
    </row>
    <row r="16127">
      <c r="R16127" s="100"/>
      <c r="V16127" s="100"/>
      <c r="Y16127" s="100"/>
    </row>
    <row r="16128">
      <c r="R16128" s="100"/>
      <c r="V16128" s="100"/>
      <c r="Y16128" s="100"/>
    </row>
    <row r="16129">
      <c r="R16129" s="100"/>
      <c r="V16129" s="100"/>
      <c r="Y16129" s="100"/>
    </row>
    <row r="16130">
      <c r="R16130" s="100"/>
      <c r="V16130" s="100"/>
      <c r="Y16130" s="100"/>
    </row>
    <row r="16131">
      <c r="R16131" s="100"/>
      <c r="V16131" s="100"/>
      <c r="Y16131" s="100"/>
    </row>
    <row r="16132">
      <c r="R16132" s="100"/>
      <c r="V16132" s="100"/>
      <c r="Y16132" s="100"/>
    </row>
    <row r="16133">
      <c r="R16133" s="100"/>
      <c r="V16133" s="100"/>
      <c r="Y16133" s="100"/>
    </row>
    <row r="16134">
      <c r="R16134" s="100"/>
      <c r="V16134" s="100"/>
      <c r="Y16134" s="100"/>
    </row>
    <row r="16135">
      <c r="R16135" s="100"/>
      <c r="V16135" s="100"/>
      <c r="Y16135" s="100"/>
    </row>
    <row r="16136">
      <c r="R16136" s="100"/>
      <c r="V16136" s="100"/>
      <c r="Y16136" s="100"/>
    </row>
    <row r="16137">
      <c r="R16137" s="100"/>
      <c r="V16137" s="100"/>
      <c r="Y16137" s="100"/>
    </row>
    <row r="16138">
      <c r="R16138" s="100"/>
      <c r="V16138" s="100"/>
      <c r="Y16138" s="100"/>
    </row>
    <row r="16139">
      <c r="R16139" s="100"/>
      <c r="V16139" s="100"/>
      <c r="Y16139" s="100"/>
    </row>
    <row r="16140">
      <c r="R16140" s="100"/>
      <c r="V16140" s="100"/>
      <c r="Y16140" s="100"/>
    </row>
    <row r="16141">
      <c r="R16141" s="100"/>
      <c r="V16141" s="100"/>
      <c r="Y16141" s="100"/>
    </row>
    <row r="16142">
      <c r="R16142" s="100"/>
      <c r="V16142" s="100"/>
      <c r="Y16142" s="100"/>
    </row>
    <row r="16143">
      <c r="R16143" s="100"/>
      <c r="V16143" s="100"/>
      <c r="Y16143" s="100"/>
    </row>
    <row r="16144">
      <c r="R16144" s="100"/>
      <c r="V16144" s="100"/>
      <c r="Y16144" s="100"/>
    </row>
    <row r="16145">
      <c r="R16145" s="100"/>
      <c r="V16145" s="100"/>
      <c r="Y16145" s="100"/>
    </row>
    <row r="16146">
      <c r="R16146" s="100"/>
      <c r="V16146" s="100"/>
      <c r="Y16146" s="100"/>
    </row>
    <row r="16147">
      <c r="R16147" s="100"/>
      <c r="V16147" s="100"/>
      <c r="Y16147" s="100"/>
    </row>
    <row r="16148">
      <c r="R16148" s="100"/>
      <c r="V16148" s="100"/>
      <c r="Y16148" s="100"/>
    </row>
    <row r="16149">
      <c r="R16149" s="100"/>
      <c r="V16149" s="100"/>
      <c r="Y16149" s="100"/>
    </row>
    <row r="16150">
      <c r="R16150" s="100"/>
      <c r="V16150" s="100"/>
      <c r="Y16150" s="100"/>
    </row>
    <row r="16151">
      <c r="R16151" s="100"/>
      <c r="V16151" s="100"/>
      <c r="Y16151" s="100"/>
    </row>
    <row r="16152">
      <c r="R16152" s="100"/>
      <c r="V16152" s="100"/>
      <c r="Y16152" s="100"/>
    </row>
    <row r="16153">
      <c r="R16153" s="100"/>
      <c r="V16153" s="100"/>
      <c r="Y16153" s="100"/>
    </row>
    <row r="16154">
      <c r="R16154" s="100"/>
      <c r="V16154" s="100"/>
      <c r="Y16154" s="100"/>
    </row>
    <row r="16155">
      <c r="R16155" s="100"/>
      <c r="V16155" s="100"/>
      <c r="Y16155" s="100"/>
    </row>
    <row r="16156">
      <c r="R16156" s="100"/>
      <c r="V16156" s="100"/>
      <c r="Y16156" s="100"/>
    </row>
    <row r="16157">
      <c r="R16157" s="100"/>
      <c r="V16157" s="100"/>
      <c r="Y16157" s="100"/>
    </row>
    <row r="16158">
      <c r="R16158" s="100"/>
      <c r="V16158" s="100"/>
      <c r="Y16158" s="100"/>
    </row>
    <row r="16159">
      <c r="R16159" s="100"/>
      <c r="V16159" s="100"/>
      <c r="Y16159" s="100"/>
    </row>
    <row r="16160">
      <c r="R16160" s="100"/>
      <c r="V16160" s="100"/>
      <c r="Y16160" s="100"/>
    </row>
    <row r="16161">
      <c r="R16161" s="100"/>
      <c r="V16161" s="100"/>
      <c r="Y16161" s="100"/>
    </row>
    <row r="16162">
      <c r="R16162" s="100"/>
      <c r="V16162" s="100"/>
      <c r="Y16162" s="100"/>
    </row>
    <row r="16163">
      <c r="R16163" s="100"/>
      <c r="V16163" s="100"/>
      <c r="Y16163" s="100"/>
    </row>
    <row r="16164">
      <c r="R16164" s="100"/>
      <c r="V16164" s="100"/>
      <c r="Y16164" s="100"/>
    </row>
    <row r="16165">
      <c r="R16165" s="100"/>
      <c r="V16165" s="100"/>
      <c r="Y16165" s="100"/>
    </row>
    <row r="16166">
      <c r="R16166" s="100"/>
      <c r="V16166" s="100"/>
      <c r="Y16166" s="100"/>
    </row>
    <row r="16167">
      <c r="R16167" s="100"/>
      <c r="V16167" s="100"/>
      <c r="Y16167" s="100"/>
    </row>
    <row r="16168">
      <c r="R16168" s="100"/>
      <c r="V16168" s="100"/>
      <c r="Y16168" s="100"/>
    </row>
    <row r="16169">
      <c r="R16169" s="100"/>
      <c r="V16169" s="100"/>
      <c r="Y16169" s="100"/>
    </row>
    <row r="16170">
      <c r="R16170" s="100"/>
      <c r="V16170" s="100"/>
      <c r="Y16170" s="100"/>
    </row>
    <row r="16171">
      <c r="R16171" s="100"/>
      <c r="V16171" s="100"/>
      <c r="Y16171" s="100"/>
    </row>
    <row r="16172">
      <c r="R16172" s="100"/>
      <c r="V16172" s="100"/>
      <c r="Y16172" s="100"/>
    </row>
    <row r="16173">
      <c r="R16173" s="100"/>
      <c r="V16173" s="100"/>
      <c r="Y16173" s="100"/>
    </row>
    <row r="16174">
      <c r="R16174" s="100"/>
      <c r="V16174" s="100"/>
      <c r="Y16174" s="100"/>
    </row>
    <row r="16175">
      <c r="R16175" s="100"/>
      <c r="V16175" s="100"/>
      <c r="Y16175" s="100"/>
    </row>
    <row r="16176">
      <c r="R16176" s="100"/>
      <c r="V16176" s="100"/>
      <c r="Y16176" s="100"/>
    </row>
    <row r="16177">
      <c r="R16177" s="100"/>
      <c r="V16177" s="100"/>
      <c r="Y16177" s="100"/>
    </row>
    <row r="16178">
      <c r="R16178" s="100"/>
      <c r="V16178" s="100"/>
      <c r="Y16178" s="100"/>
    </row>
    <row r="16179">
      <c r="R16179" s="100"/>
      <c r="V16179" s="100"/>
      <c r="Y16179" s="100"/>
    </row>
    <row r="16180">
      <c r="R16180" s="100"/>
      <c r="V16180" s="100"/>
      <c r="Y16180" s="100"/>
    </row>
    <row r="16181">
      <c r="R16181" s="100"/>
      <c r="V16181" s="100"/>
      <c r="Y16181" s="100"/>
    </row>
    <row r="16182">
      <c r="R16182" s="100"/>
      <c r="V16182" s="100"/>
      <c r="Y16182" s="100"/>
    </row>
    <row r="16183">
      <c r="R16183" s="100"/>
      <c r="V16183" s="100"/>
      <c r="Y16183" s="100"/>
    </row>
    <row r="16184">
      <c r="R16184" s="100"/>
      <c r="V16184" s="100"/>
      <c r="Y16184" s="100"/>
    </row>
    <row r="16185">
      <c r="R16185" s="100"/>
      <c r="V16185" s="100"/>
      <c r="Y16185" s="100"/>
    </row>
    <row r="16186">
      <c r="R16186" s="100"/>
      <c r="V16186" s="100"/>
      <c r="Y16186" s="100"/>
    </row>
    <row r="16187">
      <c r="R16187" s="100"/>
      <c r="V16187" s="100"/>
      <c r="Y16187" s="100"/>
    </row>
    <row r="16188">
      <c r="R16188" s="100"/>
      <c r="V16188" s="100"/>
      <c r="Y16188" s="100"/>
    </row>
    <row r="16189">
      <c r="R16189" s="100"/>
      <c r="V16189" s="100"/>
      <c r="Y16189" s="100"/>
    </row>
    <row r="16190">
      <c r="R16190" s="100"/>
      <c r="V16190" s="100"/>
      <c r="Y16190" s="100"/>
    </row>
    <row r="16191">
      <c r="R16191" s="100"/>
      <c r="V16191" s="100"/>
      <c r="Y16191" s="100"/>
    </row>
    <row r="16192">
      <c r="R16192" s="100"/>
      <c r="V16192" s="100"/>
      <c r="Y16192" s="100"/>
    </row>
    <row r="16193">
      <c r="R16193" s="100"/>
      <c r="V16193" s="100"/>
      <c r="Y16193" s="100"/>
    </row>
    <row r="16194">
      <c r="R16194" s="100"/>
      <c r="V16194" s="100"/>
      <c r="Y16194" s="100"/>
    </row>
    <row r="16195">
      <c r="R16195" s="100"/>
      <c r="V16195" s="100"/>
      <c r="Y16195" s="100"/>
    </row>
    <row r="16196">
      <c r="R16196" s="100"/>
      <c r="V16196" s="100"/>
      <c r="Y16196" s="100"/>
    </row>
    <row r="16197">
      <c r="R16197" s="100"/>
      <c r="V16197" s="100"/>
      <c r="Y16197" s="100"/>
    </row>
    <row r="16198">
      <c r="R16198" s="100"/>
      <c r="V16198" s="100"/>
      <c r="Y16198" s="100"/>
    </row>
    <row r="16199">
      <c r="R16199" s="100"/>
      <c r="V16199" s="100"/>
      <c r="Y16199" s="100"/>
    </row>
    <row r="16200">
      <c r="R16200" s="100"/>
      <c r="V16200" s="100"/>
      <c r="Y16200" s="100"/>
    </row>
    <row r="16201">
      <c r="R16201" s="100"/>
      <c r="V16201" s="100"/>
      <c r="Y16201" s="100"/>
    </row>
    <row r="16202">
      <c r="R16202" s="100"/>
      <c r="V16202" s="100"/>
      <c r="Y16202" s="100"/>
    </row>
    <row r="16203">
      <c r="R16203" s="100"/>
      <c r="V16203" s="100"/>
      <c r="Y16203" s="100"/>
    </row>
    <row r="16204">
      <c r="R16204" s="100"/>
      <c r="V16204" s="100"/>
      <c r="Y16204" s="100"/>
    </row>
    <row r="16205">
      <c r="R16205" s="100"/>
      <c r="V16205" s="100"/>
      <c r="Y16205" s="100"/>
    </row>
    <row r="16206">
      <c r="R16206" s="100"/>
      <c r="V16206" s="100"/>
      <c r="Y16206" s="100"/>
    </row>
    <row r="16207">
      <c r="R16207" s="100"/>
      <c r="V16207" s="100"/>
      <c r="Y16207" s="100"/>
    </row>
    <row r="16208">
      <c r="R16208" s="100"/>
      <c r="V16208" s="100"/>
      <c r="Y16208" s="100"/>
    </row>
    <row r="16209">
      <c r="R16209" s="100"/>
      <c r="V16209" s="100"/>
      <c r="Y16209" s="100"/>
    </row>
    <row r="16210">
      <c r="R16210" s="100"/>
      <c r="V16210" s="100"/>
      <c r="Y16210" s="100"/>
    </row>
    <row r="16211">
      <c r="R16211" s="100"/>
      <c r="V16211" s="100"/>
      <c r="Y16211" s="100"/>
    </row>
    <row r="16212">
      <c r="R16212" s="100"/>
      <c r="V16212" s="100"/>
      <c r="Y16212" s="100"/>
    </row>
    <row r="16213">
      <c r="R16213" s="100"/>
      <c r="V16213" s="100"/>
      <c r="Y16213" s="100"/>
    </row>
    <row r="16214">
      <c r="R16214" s="100"/>
      <c r="V16214" s="100"/>
      <c r="Y16214" s="100"/>
    </row>
    <row r="16215">
      <c r="R16215" s="100"/>
      <c r="V16215" s="100"/>
      <c r="Y16215" s="100"/>
    </row>
    <row r="16216">
      <c r="R16216" s="100"/>
      <c r="V16216" s="100"/>
      <c r="Y16216" s="100"/>
    </row>
    <row r="16217">
      <c r="R16217" s="100"/>
      <c r="V16217" s="100"/>
      <c r="Y16217" s="100"/>
    </row>
    <row r="16218">
      <c r="R16218" s="100"/>
      <c r="V16218" s="100"/>
      <c r="Y16218" s="100"/>
    </row>
    <row r="16219">
      <c r="R16219" s="100"/>
      <c r="V16219" s="100"/>
      <c r="Y16219" s="100"/>
    </row>
    <row r="16220">
      <c r="R16220" s="100"/>
      <c r="V16220" s="100"/>
      <c r="Y16220" s="100"/>
    </row>
    <row r="16221">
      <c r="R16221" s="100"/>
      <c r="V16221" s="100"/>
      <c r="Y16221" s="100"/>
    </row>
    <row r="16222">
      <c r="R16222" s="100"/>
      <c r="V16222" s="100"/>
      <c r="Y16222" s="100"/>
    </row>
    <row r="16223">
      <c r="R16223" s="100"/>
      <c r="V16223" s="100"/>
      <c r="Y16223" s="100"/>
    </row>
    <row r="16224">
      <c r="R16224" s="100"/>
      <c r="V16224" s="100"/>
      <c r="Y16224" s="100"/>
    </row>
    <row r="16225">
      <c r="R16225" s="100"/>
      <c r="V16225" s="100"/>
      <c r="Y16225" s="100"/>
    </row>
    <row r="16226">
      <c r="R16226" s="100"/>
      <c r="V16226" s="100"/>
      <c r="Y16226" s="100"/>
    </row>
    <row r="16227">
      <c r="R16227" s="100"/>
      <c r="V16227" s="100"/>
      <c r="Y16227" s="100"/>
    </row>
    <row r="16228">
      <c r="R16228" s="100"/>
      <c r="V16228" s="100"/>
      <c r="Y16228" s="100"/>
    </row>
    <row r="16229">
      <c r="R16229" s="100"/>
      <c r="V16229" s="100"/>
      <c r="Y16229" s="100"/>
    </row>
    <row r="16230">
      <c r="R16230" s="100"/>
      <c r="V16230" s="100"/>
      <c r="Y16230" s="100"/>
    </row>
    <row r="16231">
      <c r="R16231" s="100"/>
      <c r="V16231" s="100"/>
      <c r="Y16231" s="100"/>
    </row>
    <row r="16232">
      <c r="R16232" s="100"/>
      <c r="V16232" s="100"/>
      <c r="Y16232" s="100"/>
    </row>
    <row r="16233">
      <c r="R16233" s="100"/>
      <c r="V16233" s="100"/>
      <c r="Y16233" s="100"/>
    </row>
    <row r="16234">
      <c r="R16234" s="100"/>
      <c r="V16234" s="100"/>
      <c r="Y16234" s="100"/>
    </row>
    <row r="16235">
      <c r="R16235" s="100"/>
      <c r="V16235" s="100"/>
      <c r="Y16235" s="100"/>
    </row>
    <row r="16236">
      <c r="R16236" s="100"/>
      <c r="V16236" s="100"/>
      <c r="Y16236" s="100"/>
    </row>
    <row r="16237">
      <c r="R16237" s="100"/>
      <c r="V16237" s="100"/>
      <c r="Y16237" s="100"/>
    </row>
    <row r="16238">
      <c r="R16238" s="100"/>
      <c r="V16238" s="100"/>
      <c r="Y16238" s="100"/>
    </row>
    <row r="16239">
      <c r="R16239" s="100"/>
      <c r="V16239" s="100"/>
      <c r="Y16239" s="100"/>
    </row>
    <row r="16240">
      <c r="R16240" s="100"/>
      <c r="V16240" s="100"/>
      <c r="Y16240" s="100"/>
    </row>
    <row r="16241">
      <c r="R16241" s="100"/>
      <c r="V16241" s="100"/>
      <c r="Y16241" s="100"/>
    </row>
    <row r="16242">
      <c r="R16242" s="100"/>
      <c r="V16242" s="100"/>
      <c r="Y16242" s="100"/>
    </row>
    <row r="16243">
      <c r="R16243" s="100"/>
      <c r="V16243" s="100"/>
      <c r="Y16243" s="100"/>
    </row>
    <row r="16244">
      <c r="R16244" s="100"/>
      <c r="V16244" s="100"/>
      <c r="Y16244" s="100"/>
    </row>
    <row r="16245">
      <c r="R16245" s="100"/>
      <c r="V16245" s="100"/>
      <c r="Y16245" s="100"/>
    </row>
    <row r="16246">
      <c r="R16246" s="100"/>
      <c r="V16246" s="100"/>
      <c r="Y16246" s="100"/>
    </row>
    <row r="16247">
      <c r="R16247" s="100"/>
      <c r="V16247" s="100"/>
      <c r="Y16247" s="100"/>
    </row>
    <row r="16248">
      <c r="R16248" s="100"/>
      <c r="V16248" s="100"/>
      <c r="Y16248" s="100"/>
    </row>
    <row r="16249">
      <c r="R16249" s="100"/>
      <c r="V16249" s="100"/>
      <c r="Y16249" s="100"/>
    </row>
    <row r="16250">
      <c r="R16250" s="100"/>
      <c r="V16250" s="100"/>
      <c r="Y16250" s="100"/>
    </row>
    <row r="16251">
      <c r="R16251" s="100"/>
      <c r="V16251" s="100"/>
      <c r="Y16251" s="100"/>
    </row>
    <row r="16252">
      <c r="R16252" s="100"/>
      <c r="V16252" s="100"/>
      <c r="Y16252" s="100"/>
    </row>
    <row r="16253">
      <c r="R16253" s="100"/>
      <c r="V16253" s="100"/>
      <c r="Y16253" s="100"/>
    </row>
    <row r="16254">
      <c r="R16254" s="100"/>
      <c r="V16254" s="100"/>
      <c r="Y16254" s="100"/>
    </row>
    <row r="16255">
      <c r="R16255" s="100"/>
      <c r="V16255" s="100"/>
      <c r="Y16255" s="100"/>
    </row>
    <row r="16256">
      <c r="R16256" s="100"/>
      <c r="V16256" s="100"/>
      <c r="Y16256" s="100"/>
    </row>
    <row r="16257">
      <c r="R16257" s="100"/>
      <c r="V16257" s="100"/>
      <c r="Y16257" s="100"/>
    </row>
    <row r="16258">
      <c r="R16258" s="100"/>
      <c r="V16258" s="100"/>
      <c r="Y16258" s="100"/>
    </row>
    <row r="16259">
      <c r="R16259" s="100"/>
      <c r="V16259" s="100"/>
      <c r="Y16259" s="100"/>
    </row>
    <row r="16260">
      <c r="R16260" s="100"/>
      <c r="V16260" s="100"/>
      <c r="Y16260" s="100"/>
    </row>
    <row r="16261">
      <c r="R16261" s="100"/>
      <c r="V16261" s="100"/>
      <c r="Y16261" s="100"/>
    </row>
    <row r="16262">
      <c r="R16262" s="100"/>
      <c r="V16262" s="100"/>
      <c r="Y16262" s="100"/>
    </row>
    <row r="16263">
      <c r="R16263" s="100"/>
      <c r="V16263" s="100"/>
      <c r="Y16263" s="100"/>
    </row>
    <row r="16264">
      <c r="R16264" s="100"/>
      <c r="V16264" s="100"/>
      <c r="Y16264" s="100"/>
    </row>
    <row r="16265">
      <c r="R16265" s="100"/>
      <c r="V16265" s="100"/>
      <c r="Y16265" s="100"/>
    </row>
    <row r="16266">
      <c r="R16266" s="100"/>
      <c r="V16266" s="100"/>
      <c r="Y16266" s="100"/>
    </row>
    <row r="16267">
      <c r="R16267" s="100"/>
      <c r="V16267" s="100"/>
      <c r="Y16267" s="100"/>
    </row>
    <row r="16268">
      <c r="R16268" s="100"/>
      <c r="V16268" s="100"/>
      <c r="Y16268" s="100"/>
    </row>
    <row r="16269">
      <c r="R16269" s="100"/>
      <c r="V16269" s="100"/>
      <c r="Y16269" s="100"/>
    </row>
    <row r="16270">
      <c r="R16270" s="100"/>
      <c r="V16270" s="100"/>
      <c r="Y16270" s="100"/>
    </row>
    <row r="16271">
      <c r="R16271" s="100"/>
      <c r="V16271" s="100"/>
      <c r="Y16271" s="100"/>
    </row>
    <row r="16272">
      <c r="R16272" s="100"/>
      <c r="V16272" s="100"/>
      <c r="Y16272" s="100"/>
    </row>
    <row r="16273">
      <c r="R16273" s="100"/>
      <c r="V16273" s="100"/>
      <c r="Y16273" s="100"/>
    </row>
    <row r="16274">
      <c r="R16274" s="100"/>
      <c r="V16274" s="100"/>
      <c r="Y16274" s="100"/>
    </row>
    <row r="16275">
      <c r="R16275" s="100"/>
      <c r="V16275" s="100"/>
      <c r="Y16275" s="100"/>
    </row>
    <row r="16276">
      <c r="R16276" s="100"/>
      <c r="V16276" s="100"/>
      <c r="Y16276" s="100"/>
    </row>
    <row r="16277">
      <c r="R16277" s="100"/>
      <c r="V16277" s="100"/>
      <c r="Y16277" s="100"/>
    </row>
    <row r="16278">
      <c r="R16278" s="100"/>
      <c r="V16278" s="100"/>
      <c r="Y16278" s="100"/>
    </row>
    <row r="16279">
      <c r="R16279" s="100"/>
      <c r="V16279" s="100"/>
      <c r="Y16279" s="100"/>
    </row>
    <row r="16280">
      <c r="R16280" s="100"/>
      <c r="V16280" s="100"/>
      <c r="Y16280" s="100"/>
    </row>
    <row r="16281">
      <c r="R16281" s="100"/>
      <c r="V16281" s="100"/>
      <c r="Y16281" s="100"/>
    </row>
    <row r="16282">
      <c r="R16282" s="100"/>
      <c r="V16282" s="100"/>
      <c r="Y16282" s="100"/>
    </row>
    <row r="16283">
      <c r="R16283" s="100"/>
      <c r="V16283" s="100"/>
      <c r="Y16283" s="100"/>
    </row>
    <row r="16284">
      <c r="R16284" s="100"/>
      <c r="V16284" s="100"/>
      <c r="Y16284" s="100"/>
    </row>
    <row r="16285">
      <c r="R16285" s="100"/>
      <c r="V16285" s="100"/>
      <c r="Y16285" s="100"/>
    </row>
    <row r="16286">
      <c r="R16286" s="100"/>
      <c r="V16286" s="100"/>
      <c r="Y16286" s="100"/>
    </row>
    <row r="16287">
      <c r="R16287" s="100"/>
      <c r="V16287" s="100"/>
      <c r="Y16287" s="100"/>
    </row>
    <row r="16288">
      <c r="R16288" s="100"/>
      <c r="V16288" s="100"/>
      <c r="Y16288" s="100"/>
    </row>
    <row r="16289">
      <c r="R16289" s="100"/>
      <c r="V16289" s="100"/>
      <c r="Y16289" s="100"/>
    </row>
    <row r="16290">
      <c r="R16290" s="100"/>
      <c r="V16290" s="100"/>
      <c r="Y16290" s="100"/>
    </row>
    <row r="16291">
      <c r="R16291" s="100"/>
      <c r="V16291" s="100"/>
      <c r="Y16291" s="100"/>
    </row>
    <row r="16292">
      <c r="R16292" s="100"/>
      <c r="V16292" s="100"/>
      <c r="Y16292" s="100"/>
    </row>
    <row r="16293">
      <c r="R16293" s="100"/>
      <c r="V16293" s="100"/>
      <c r="Y16293" s="100"/>
    </row>
    <row r="16294">
      <c r="R16294" s="100"/>
      <c r="V16294" s="100"/>
      <c r="Y16294" s="100"/>
    </row>
    <row r="16295">
      <c r="R16295" s="100"/>
      <c r="V16295" s="100"/>
      <c r="Y16295" s="100"/>
    </row>
    <row r="16296">
      <c r="R16296" s="100"/>
      <c r="V16296" s="100"/>
      <c r="Y16296" s="100"/>
    </row>
    <row r="16297">
      <c r="R16297" s="100"/>
      <c r="V16297" s="100"/>
      <c r="Y16297" s="100"/>
    </row>
    <row r="16298">
      <c r="R16298" s="100"/>
      <c r="V16298" s="100"/>
      <c r="Y16298" s="100"/>
    </row>
    <row r="16299">
      <c r="R16299" s="100"/>
      <c r="V16299" s="100"/>
      <c r="Y16299" s="100"/>
    </row>
    <row r="16300">
      <c r="R16300" s="100"/>
      <c r="V16300" s="100"/>
      <c r="Y16300" s="100"/>
    </row>
    <row r="16301">
      <c r="R16301" s="100"/>
      <c r="V16301" s="100"/>
      <c r="Y16301" s="100"/>
    </row>
    <row r="16302">
      <c r="R16302" s="100"/>
      <c r="V16302" s="100"/>
      <c r="Y16302" s="100"/>
    </row>
    <row r="16303">
      <c r="R16303" s="100"/>
      <c r="V16303" s="100"/>
      <c r="Y16303" s="100"/>
    </row>
    <row r="16304">
      <c r="R16304" s="100"/>
      <c r="V16304" s="100"/>
      <c r="Y16304" s="100"/>
    </row>
    <row r="16305">
      <c r="R16305" s="100"/>
      <c r="V16305" s="100"/>
      <c r="Y16305" s="100"/>
    </row>
    <row r="16306">
      <c r="R16306" s="100"/>
      <c r="V16306" s="100"/>
      <c r="Y16306" s="100"/>
    </row>
    <row r="16307">
      <c r="R16307" s="100"/>
      <c r="V16307" s="100"/>
      <c r="Y16307" s="100"/>
    </row>
    <row r="16308">
      <c r="R16308" s="100"/>
      <c r="V16308" s="100"/>
      <c r="Y16308" s="100"/>
    </row>
    <row r="16309">
      <c r="R16309" s="100"/>
      <c r="V16309" s="100"/>
      <c r="Y16309" s="100"/>
    </row>
    <row r="16310">
      <c r="R16310" s="100"/>
      <c r="V16310" s="100"/>
      <c r="Y16310" s="100"/>
    </row>
    <row r="16311">
      <c r="R16311" s="100"/>
      <c r="V16311" s="100"/>
      <c r="Y16311" s="100"/>
    </row>
    <row r="16312">
      <c r="R16312" s="100"/>
      <c r="V16312" s="100"/>
      <c r="Y16312" s="100"/>
    </row>
    <row r="16313">
      <c r="R16313" s="100"/>
      <c r="V16313" s="100"/>
      <c r="Y16313" s="100"/>
    </row>
    <row r="16314">
      <c r="R16314" s="100"/>
      <c r="V16314" s="100"/>
      <c r="Y16314" s="100"/>
    </row>
    <row r="16315">
      <c r="R16315" s="100"/>
      <c r="V16315" s="100"/>
      <c r="Y16315" s="100"/>
    </row>
    <row r="16316">
      <c r="R16316" s="100"/>
      <c r="V16316" s="100"/>
      <c r="Y16316" s="100"/>
    </row>
    <row r="16317">
      <c r="R16317" s="100"/>
      <c r="V16317" s="100"/>
      <c r="Y16317" s="100"/>
    </row>
    <row r="16318">
      <c r="R16318" s="100"/>
      <c r="V16318" s="100"/>
      <c r="Y16318" s="100"/>
    </row>
    <row r="16319">
      <c r="R16319" s="100"/>
      <c r="V16319" s="100"/>
      <c r="Y16319" s="100"/>
    </row>
    <row r="16320">
      <c r="R16320" s="100"/>
      <c r="V16320" s="100"/>
      <c r="Y16320" s="100"/>
    </row>
    <row r="16321">
      <c r="R16321" s="100"/>
      <c r="V16321" s="100"/>
      <c r="Y16321" s="100"/>
    </row>
    <row r="16322">
      <c r="R16322" s="100"/>
      <c r="V16322" s="100"/>
      <c r="Y16322" s="100"/>
    </row>
    <row r="16323">
      <c r="R16323" s="100"/>
      <c r="V16323" s="100"/>
      <c r="Y16323" s="100"/>
    </row>
    <row r="16324">
      <c r="R16324" s="100"/>
      <c r="V16324" s="100"/>
      <c r="Y16324" s="100"/>
    </row>
    <row r="16325">
      <c r="R16325" s="100"/>
      <c r="V16325" s="100"/>
      <c r="Y16325" s="100"/>
    </row>
    <row r="16326">
      <c r="R16326" s="100"/>
      <c r="V16326" s="100"/>
      <c r="Y16326" s="100"/>
    </row>
    <row r="16327">
      <c r="R16327" s="100"/>
      <c r="V16327" s="100"/>
      <c r="Y16327" s="100"/>
    </row>
    <row r="16328">
      <c r="R16328" s="100"/>
      <c r="V16328" s="100"/>
      <c r="Y16328" s="100"/>
    </row>
    <row r="16329">
      <c r="R16329" s="100"/>
      <c r="V16329" s="100"/>
      <c r="Y16329" s="100"/>
    </row>
    <row r="16330">
      <c r="R16330" s="100"/>
      <c r="V16330" s="100"/>
      <c r="Y16330" s="100"/>
    </row>
    <row r="16331">
      <c r="R16331" s="100"/>
      <c r="V16331" s="100"/>
      <c r="Y16331" s="100"/>
    </row>
    <row r="16332">
      <c r="R16332" s="100"/>
      <c r="V16332" s="100"/>
      <c r="Y16332" s="100"/>
    </row>
    <row r="16333">
      <c r="R16333" s="100"/>
      <c r="V16333" s="100"/>
      <c r="Y16333" s="100"/>
    </row>
    <row r="16334">
      <c r="R16334" s="100"/>
      <c r="V16334" s="100"/>
      <c r="Y16334" s="100"/>
    </row>
    <row r="16335">
      <c r="R16335" s="100"/>
      <c r="V16335" s="100"/>
      <c r="Y16335" s="100"/>
    </row>
    <row r="16336">
      <c r="R16336" s="100"/>
      <c r="V16336" s="100"/>
      <c r="Y16336" s="100"/>
    </row>
    <row r="16337">
      <c r="R16337" s="100"/>
      <c r="V16337" s="100"/>
      <c r="Y16337" s="100"/>
    </row>
    <row r="16338">
      <c r="R16338" s="100"/>
      <c r="V16338" s="100"/>
      <c r="Y16338" s="100"/>
    </row>
    <row r="16339">
      <c r="R16339" s="100"/>
      <c r="V16339" s="100"/>
      <c r="Y16339" s="100"/>
    </row>
    <row r="16340">
      <c r="R16340" s="100"/>
      <c r="V16340" s="100"/>
      <c r="Y16340" s="100"/>
    </row>
    <row r="16341">
      <c r="R16341" s="100"/>
      <c r="V16341" s="100"/>
      <c r="Y16341" s="100"/>
    </row>
    <row r="16342">
      <c r="R16342" s="100"/>
      <c r="V16342" s="100"/>
      <c r="Y16342" s="100"/>
    </row>
    <row r="16343">
      <c r="R16343" s="100"/>
      <c r="V16343" s="100"/>
      <c r="Y16343" s="100"/>
    </row>
    <row r="16344">
      <c r="R16344" s="100"/>
      <c r="V16344" s="100"/>
      <c r="Y16344" s="100"/>
    </row>
    <row r="16345">
      <c r="R16345" s="100"/>
      <c r="V16345" s="100"/>
      <c r="Y16345" s="100"/>
    </row>
    <row r="16346">
      <c r="R16346" s="100"/>
      <c r="V16346" s="100"/>
      <c r="Y16346" s="100"/>
    </row>
    <row r="16347">
      <c r="R16347" s="100"/>
      <c r="V16347" s="100"/>
      <c r="Y16347" s="100"/>
    </row>
    <row r="16348">
      <c r="R16348" s="100"/>
      <c r="V16348" s="100"/>
      <c r="Y16348" s="100"/>
    </row>
    <row r="16349">
      <c r="R16349" s="100"/>
      <c r="V16349" s="100"/>
      <c r="Y16349" s="100"/>
    </row>
    <row r="16350">
      <c r="R16350" s="100"/>
      <c r="V16350" s="100"/>
      <c r="Y16350" s="100"/>
    </row>
    <row r="16351">
      <c r="R16351" s="100"/>
      <c r="V16351" s="100"/>
      <c r="Y16351" s="100"/>
    </row>
    <row r="16352">
      <c r="R16352" s="100"/>
      <c r="V16352" s="100"/>
      <c r="Y16352" s="100"/>
    </row>
    <row r="16353">
      <c r="R16353" s="100"/>
      <c r="V16353" s="100"/>
      <c r="Y16353" s="100"/>
    </row>
    <row r="16354">
      <c r="R16354" s="100"/>
      <c r="V16354" s="100"/>
      <c r="Y16354" s="100"/>
    </row>
    <row r="16355">
      <c r="R16355" s="100"/>
      <c r="V16355" s="100"/>
      <c r="Y16355" s="100"/>
    </row>
    <row r="16356">
      <c r="R16356" s="100"/>
      <c r="V16356" s="100"/>
      <c r="Y16356" s="100"/>
    </row>
    <row r="16357">
      <c r="R16357" s="100"/>
      <c r="V16357" s="100"/>
      <c r="Y16357" s="100"/>
    </row>
    <row r="16358">
      <c r="R16358" s="100"/>
      <c r="V16358" s="100"/>
      <c r="Y16358" s="100"/>
    </row>
    <row r="16359">
      <c r="R16359" s="100"/>
      <c r="V16359" s="100"/>
      <c r="Y16359" s="100"/>
    </row>
    <row r="16360">
      <c r="R16360" s="100"/>
      <c r="V16360" s="100"/>
      <c r="Y16360" s="100"/>
    </row>
    <row r="16361">
      <c r="R16361" s="100"/>
      <c r="V16361" s="100"/>
      <c r="Y16361" s="100"/>
    </row>
    <row r="16362">
      <c r="R16362" s="100"/>
      <c r="V16362" s="100"/>
      <c r="Y16362" s="100"/>
    </row>
    <row r="16363">
      <c r="R16363" s="100"/>
      <c r="V16363" s="100"/>
      <c r="Y16363" s="100"/>
    </row>
    <row r="16364">
      <c r="R16364" s="100"/>
      <c r="V16364" s="100"/>
      <c r="Y16364" s="100"/>
    </row>
    <row r="16365">
      <c r="R16365" s="100"/>
      <c r="V16365" s="100"/>
      <c r="Y16365" s="100"/>
    </row>
    <row r="16366">
      <c r="R16366" s="100"/>
      <c r="V16366" s="100"/>
      <c r="Y16366" s="100"/>
    </row>
    <row r="16367">
      <c r="R16367" s="100"/>
      <c r="V16367" s="100"/>
      <c r="Y16367" s="100"/>
    </row>
    <row r="16368">
      <c r="R16368" s="100"/>
      <c r="V16368" s="100"/>
      <c r="Y16368" s="100"/>
    </row>
    <row r="16369">
      <c r="R16369" s="100"/>
      <c r="V16369" s="100"/>
      <c r="Y16369" s="100"/>
    </row>
    <row r="16370">
      <c r="R16370" s="100"/>
      <c r="V16370" s="100"/>
      <c r="Y16370" s="100"/>
    </row>
    <row r="16371">
      <c r="R16371" s="100"/>
      <c r="V16371" s="100"/>
      <c r="Y16371" s="100"/>
    </row>
    <row r="16372">
      <c r="R16372" s="100"/>
      <c r="V16372" s="100"/>
      <c r="Y16372" s="100"/>
    </row>
    <row r="16373">
      <c r="R16373" s="100"/>
      <c r="V16373" s="100"/>
      <c r="Y16373" s="100"/>
    </row>
    <row r="16374">
      <c r="R16374" s="100"/>
      <c r="V16374" s="100"/>
      <c r="Y16374" s="100"/>
    </row>
    <row r="16375">
      <c r="R16375" s="100"/>
      <c r="V16375" s="100"/>
      <c r="Y16375" s="100"/>
    </row>
    <row r="16376">
      <c r="R16376" s="100"/>
      <c r="V16376" s="100"/>
      <c r="Y16376" s="100"/>
    </row>
    <row r="16377">
      <c r="R16377" s="100"/>
      <c r="V16377" s="100"/>
      <c r="Y16377" s="100"/>
    </row>
    <row r="16378">
      <c r="R16378" s="100"/>
      <c r="V16378" s="100"/>
      <c r="Y16378" s="100"/>
    </row>
    <row r="16379">
      <c r="R16379" s="100"/>
      <c r="V16379" s="100"/>
      <c r="Y16379" s="100"/>
    </row>
    <row r="16380">
      <c r="R16380" s="100"/>
      <c r="V16380" s="100"/>
      <c r="Y16380" s="100"/>
    </row>
    <row r="16381">
      <c r="R16381" s="100"/>
      <c r="V16381" s="100"/>
      <c r="Y16381" s="100"/>
    </row>
    <row r="16382">
      <c r="R16382" s="100"/>
      <c r="V16382" s="100"/>
      <c r="Y16382" s="100"/>
    </row>
    <row r="16383">
      <c r="R16383" s="100"/>
      <c r="V16383" s="100"/>
      <c r="Y16383" s="100"/>
    </row>
    <row r="16384">
      <c r="R16384" s="100"/>
      <c r="V16384" s="100"/>
      <c r="Y16384" s="100"/>
    </row>
    <row r="16385">
      <c r="R16385" s="100"/>
      <c r="V16385" s="100"/>
      <c r="Y16385" s="100"/>
    </row>
    <row r="16386">
      <c r="R16386" s="100"/>
      <c r="V16386" s="100"/>
      <c r="Y16386" s="100"/>
    </row>
    <row r="16387">
      <c r="R16387" s="100"/>
      <c r="V16387" s="100"/>
      <c r="Y16387" s="100"/>
    </row>
    <row r="16388">
      <c r="R16388" s="100"/>
      <c r="V16388" s="100"/>
      <c r="Y16388" s="100"/>
    </row>
    <row r="16389">
      <c r="R16389" s="100"/>
      <c r="V16389" s="100"/>
      <c r="Y16389" s="100"/>
    </row>
    <row r="16390">
      <c r="R16390" s="100"/>
      <c r="V16390" s="100"/>
      <c r="Y16390" s="100"/>
    </row>
    <row r="16391">
      <c r="R16391" s="100"/>
      <c r="V16391" s="100"/>
      <c r="Y16391" s="100"/>
    </row>
    <row r="16392">
      <c r="R16392" s="100"/>
      <c r="V16392" s="100"/>
      <c r="Y16392" s="100"/>
    </row>
    <row r="16393">
      <c r="R16393" s="100"/>
      <c r="V16393" s="100"/>
      <c r="Y16393" s="100"/>
    </row>
    <row r="16394">
      <c r="R16394" s="100"/>
      <c r="V16394" s="100"/>
      <c r="Y16394" s="100"/>
    </row>
    <row r="16395">
      <c r="R16395" s="100"/>
      <c r="V16395" s="100"/>
      <c r="Y16395" s="100"/>
    </row>
    <row r="16396">
      <c r="R16396" s="100"/>
      <c r="V16396" s="100"/>
      <c r="Y16396" s="100"/>
    </row>
    <row r="16397">
      <c r="R16397" s="100"/>
      <c r="V16397" s="100"/>
      <c r="Y16397" s="100"/>
    </row>
    <row r="16398">
      <c r="R16398" s="100"/>
      <c r="V16398" s="100"/>
      <c r="Y16398" s="100"/>
    </row>
    <row r="16399">
      <c r="R16399" s="100"/>
      <c r="V16399" s="100"/>
      <c r="Y16399" s="100"/>
    </row>
    <row r="16400">
      <c r="R16400" s="100"/>
      <c r="V16400" s="100"/>
      <c r="Y16400" s="100"/>
    </row>
    <row r="16401">
      <c r="R16401" s="100"/>
      <c r="V16401" s="100"/>
      <c r="Y16401" s="100"/>
    </row>
    <row r="16402">
      <c r="R16402" s="100"/>
      <c r="V16402" s="100"/>
      <c r="Y16402" s="100"/>
    </row>
    <row r="16403">
      <c r="R16403" s="100"/>
      <c r="V16403" s="100"/>
      <c r="Y16403" s="100"/>
    </row>
    <row r="16404">
      <c r="R16404" s="100"/>
      <c r="V16404" s="100"/>
      <c r="Y16404" s="100"/>
    </row>
    <row r="16405">
      <c r="R16405" s="100"/>
      <c r="V16405" s="100"/>
      <c r="Y16405" s="100"/>
    </row>
    <row r="16406">
      <c r="R16406" s="100"/>
      <c r="V16406" s="100"/>
      <c r="Y16406" s="100"/>
    </row>
    <row r="16407">
      <c r="R16407" s="100"/>
      <c r="V16407" s="100"/>
      <c r="Y16407" s="100"/>
    </row>
    <row r="16408">
      <c r="R16408" s="100"/>
      <c r="V16408" s="100"/>
      <c r="Y16408" s="100"/>
    </row>
    <row r="16409">
      <c r="R16409" s="100"/>
      <c r="V16409" s="100"/>
      <c r="Y16409" s="100"/>
    </row>
    <row r="16410">
      <c r="R16410" s="100"/>
      <c r="V16410" s="100"/>
      <c r="Y16410" s="100"/>
    </row>
    <row r="16411">
      <c r="R16411" s="100"/>
      <c r="V16411" s="100"/>
      <c r="Y16411" s="100"/>
    </row>
    <row r="16412">
      <c r="R16412" s="100"/>
      <c r="V16412" s="100"/>
      <c r="Y16412" s="100"/>
    </row>
    <row r="16413">
      <c r="R16413" s="100"/>
      <c r="V16413" s="100"/>
      <c r="Y16413" s="100"/>
    </row>
    <row r="16414">
      <c r="R16414" s="100"/>
      <c r="V16414" s="100"/>
      <c r="Y16414" s="100"/>
    </row>
    <row r="16415">
      <c r="R16415" s="100"/>
      <c r="V16415" s="100"/>
      <c r="Y16415" s="100"/>
    </row>
    <row r="16416">
      <c r="R16416" s="100"/>
      <c r="V16416" s="100"/>
      <c r="Y16416" s="100"/>
    </row>
    <row r="16417">
      <c r="R16417" s="100"/>
      <c r="V16417" s="100"/>
      <c r="Y16417" s="100"/>
    </row>
    <row r="16418">
      <c r="R16418" s="100"/>
      <c r="V16418" s="100"/>
      <c r="Y16418" s="100"/>
    </row>
    <row r="16419">
      <c r="R16419" s="100"/>
      <c r="V16419" s="100"/>
      <c r="Y16419" s="100"/>
    </row>
    <row r="16420">
      <c r="R16420" s="100"/>
      <c r="V16420" s="100"/>
      <c r="Y16420" s="100"/>
    </row>
    <row r="16421">
      <c r="R16421" s="100"/>
      <c r="V16421" s="100"/>
      <c r="Y16421" s="100"/>
    </row>
    <row r="16422">
      <c r="R16422" s="100"/>
      <c r="V16422" s="100"/>
      <c r="Y16422" s="100"/>
    </row>
    <row r="16423">
      <c r="R16423" s="100"/>
      <c r="V16423" s="100"/>
      <c r="Y16423" s="100"/>
    </row>
    <row r="16424">
      <c r="R16424" s="100"/>
      <c r="V16424" s="100"/>
      <c r="Y16424" s="100"/>
    </row>
    <row r="16425">
      <c r="R16425" s="100"/>
      <c r="V16425" s="100"/>
      <c r="Y16425" s="100"/>
    </row>
    <row r="16426">
      <c r="R16426" s="100"/>
      <c r="V16426" s="100"/>
      <c r="Y16426" s="100"/>
    </row>
    <row r="16427">
      <c r="R16427" s="100"/>
      <c r="V16427" s="100"/>
      <c r="Y16427" s="100"/>
    </row>
    <row r="16428">
      <c r="R16428" s="100"/>
      <c r="V16428" s="100"/>
      <c r="Y16428" s="100"/>
    </row>
    <row r="16429">
      <c r="R16429" s="100"/>
      <c r="V16429" s="100"/>
      <c r="Y16429" s="100"/>
    </row>
    <row r="16430">
      <c r="R16430" s="100"/>
      <c r="V16430" s="100"/>
      <c r="Y16430" s="100"/>
    </row>
    <row r="16431">
      <c r="R16431" s="100"/>
      <c r="V16431" s="100"/>
      <c r="Y16431" s="100"/>
    </row>
    <row r="16432">
      <c r="R16432" s="100"/>
      <c r="V16432" s="100"/>
      <c r="Y16432" s="100"/>
    </row>
    <row r="16433">
      <c r="R16433" s="100"/>
      <c r="V16433" s="100"/>
      <c r="Y16433" s="100"/>
    </row>
    <row r="16434">
      <c r="R16434" s="100"/>
      <c r="V16434" s="100"/>
      <c r="Y16434" s="100"/>
    </row>
    <row r="16435">
      <c r="R16435" s="100"/>
      <c r="V16435" s="100"/>
      <c r="Y16435" s="100"/>
    </row>
    <row r="16436">
      <c r="R16436" s="100"/>
      <c r="V16436" s="100"/>
      <c r="Y16436" s="100"/>
    </row>
    <row r="16437">
      <c r="R16437" s="100"/>
      <c r="V16437" s="100"/>
      <c r="Y16437" s="100"/>
    </row>
    <row r="16438">
      <c r="R16438" s="100"/>
      <c r="V16438" s="100"/>
      <c r="Y16438" s="100"/>
    </row>
    <row r="16439">
      <c r="R16439" s="100"/>
      <c r="V16439" s="100"/>
      <c r="Y16439" s="100"/>
    </row>
    <row r="16440">
      <c r="R16440" s="100"/>
      <c r="V16440" s="100"/>
      <c r="Y16440" s="100"/>
    </row>
    <row r="16441">
      <c r="R16441" s="100"/>
      <c r="V16441" s="100"/>
      <c r="Y16441" s="100"/>
    </row>
    <row r="16442">
      <c r="R16442" s="100"/>
      <c r="V16442" s="100"/>
      <c r="Y16442" s="100"/>
    </row>
    <row r="16443">
      <c r="R16443" s="100"/>
      <c r="V16443" s="100"/>
      <c r="Y16443" s="100"/>
    </row>
    <row r="16444">
      <c r="R16444" s="100"/>
      <c r="V16444" s="100"/>
      <c r="Y16444" s="100"/>
    </row>
    <row r="16445">
      <c r="R16445" s="100"/>
      <c r="V16445" s="100"/>
      <c r="Y16445" s="100"/>
    </row>
    <row r="16446">
      <c r="R16446" s="100"/>
      <c r="V16446" s="100"/>
      <c r="Y16446" s="100"/>
    </row>
    <row r="16447">
      <c r="R16447" s="100"/>
      <c r="V16447" s="100"/>
      <c r="Y16447" s="100"/>
    </row>
    <row r="16448">
      <c r="R16448" s="100"/>
      <c r="V16448" s="100"/>
      <c r="Y16448" s="100"/>
    </row>
    <row r="16449">
      <c r="R16449" s="100"/>
      <c r="V16449" s="100"/>
      <c r="Y16449" s="100"/>
    </row>
    <row r="16450">
      <c r="R16450" s="100"/>
      <c r="V16450" s="100"/>
      <c r="Y16450" s="100"/>
    </row>
    <row r="16451">
      <c r="R16451" s="100"/>
      <c r="V16451" s="100"/>
      <c r="Y16451" s="100"/>
    </row>
    <row r="16452">
      <c r="R16452" s="100"/>
      <c r="V16452" s="100"/>
      <c r="Y16452" s="100"/>
    </row>
    <row r="16453">
      <c r="R16453" s="100"/>
      <c r="V16453" s="100"/>
      <c r="Y16453" s="100"/>
    </row>
    <row r="16454">
      <c r="R16454" s="100"/>
      <c r="V16454" s="100"/>
      <c r="Y16454" s="100"/>
    </row>
    <row r="16455">
      <c r="R16455" s="100"/>
      <c r="V16455" s="100"/>
      <c r="Y16455" s="100"/>
    </row>
    <row r="16456">
      <c r="R16456" s="100"/>
      <c r="V16456" s="100"/>
      <c r="Y16456" s="100"/>
    </row>
    <row r="16457">
      <c r="R16457" s="100"/>
      <c r="V16457" s="100"/>
      <c r="Y16457" s="100"/>
    </row>
    <row r="16458">
      <c r="R16458" s="100"/>
      <c r="V16458" s="100"/>
      <c r="Y16458" s="100"/>
    </row>
    <row r="16459">
      <c r="R16459" s="100"/>
      <c r="V16459" s="100"/>
      <c r="Y16459" s="100"/>
    </row>
    <row r="16460">
      <c r="R16460" s="100"/>
      <c r="V16460" s="100"/>
      <c r="Y16460" s="100"/>
    </row>
    <row r="16461">
      <c r="R16461" s="100"/>
      <c r="V16461" s="100"/>
      <c r="Y16461" s="100"/>
    </row>
    <row r="16462">
      <c r="R16462" s="100"/>
      <c r="V16462" s="100"/>
      <c r="Y16462" s="100"/>
    </row>
    <row r="16463">
      <c r="R16463" s="100"/>
      <c r="V16463" s="100"/>
      <c r="Y16463" s="100"/>
    </row>
    <row r="16464">
      <c r="R16464" s="100"/>
      <c r="V16464" s="100"/>
      <c r="Y16464" s="100"/>
    </row>
    <row r="16465">
      <c r="R16465" s="100"/>
      <c r="V16465" s="100"/>
      <c r="Y16465" s="100"/>
    </row>
    <row r="16466">
      <c r="R16466" s="100"/>
      <c r="V16466" s="100"/>
      <c r="Y16466" s="100"/>
    </row>
    <row r="16467">
      <c r="R16467" s="100"/>
      <c r="V16467" s="100"/>
      <c r="Y16467" s="100"/>
    </row>
    <row r="16468">
      <c r="R16468" s="100"/>
      <c r="V16468" s="100"/>
      <c r="Y16468" s="100"/>
    </row>
    <row r="16469">
      <c r="R16469" s="100"/>
      <c r="V16469" s="100"/>
      <c r="Y16469" s="100"/>
    </row>
    <row r="16470">
      <c r="R16470" s="100"/>
      <c r="V16470" s="100"/>
      <c r="Y16470" s="100"/>
    </row>
    <row r="16471">
      <c r="R16471" s="100"/>
      <c r="V16471" s="100"/>
      <c r="Y16471" s="100"/>
    </row>
    <row r="16472">
      <c r="R16472" s="100"/>
      <c r="V16472" s="100"/>
      <c r="Y16472" s="100"/>
    </row>
    <row r="16473">
      <c r="R16473" s="100"/>
      <c r="V16473" s="100"/>
      <c r="Y16473" s="100"/>
    </row>
    <row r="16474">
      <c r="R16474" s="100"/>
      <c r="V16474" s="100"/>
      <c r="Y16474" s="100"/>
    </row>
    <row r="16475">
      <c r="R16475" s="100"/>
      <c r="V16475" s="100"/>
      <c r="Y16475" s="100"/>
    </row>
    <row r="16476">
      <c r="R16476" s="100"/>
      <c r="V16476" s="100"/>
      <c r="Y16476" s="100"/>
    </row>
    <row r="16477">
      <c r="R16477" s="100"/>
      <c r="V16477" s="100"/>
      <c r="Y16477" s="100"/>
    </row>
    <row r="16478">
      <c r="R16478" s="100"/>
      <c r="V16478" s="100"/>
      <c r="Y16478" s="100"/>
    </row>
    <row r="16479">
      <c r="R16479" s="100"/>
      <c r="V16479" s="100"/>
      <c r="Y16479" s="100"/>
    </row>
    <row r="16480">
      <c r="R16480" s="100"/>
      <c r="V16480" s="100"/>
      <c r="Y16480" s="100"/>
    </row>
    <row r="16481">
      <c r="R16481" s="100"/>
      <c r="V16481" s="100"/>
      <c r="Y16481" s="100"/>
    </row>
    <row r="16482">
      <c r="R16482" s="100"/>
      <c r="V16482" s="100"/>
      <c r="Y16482" s="100"/>
    </row>
    <row r="16483">
      <c r="R16483" s="100"/>
      <c r="V16483" s="100"/>
      <c r="Y16483" s="100"/>
    </row>
    <row r="16484">
      <c r="R16484" s="100"/>
      <c r="V16484" s="100"/>
      <c r="Y16484" s="100"/>
    </row>
    <row r="16485">
      <c r="R16485" s="100"/>
      <c r="V16485" s="100"/>
      <c r="Y16485" s="100"/>
    </row>
    <row r="16486">
      <c r="R16486" s="100"/>
      <c r="V16486" s="100"/>
      <c r="Y16486" s="100"/>
    </row>
    <row r="16487">
      <c r="R16487" s="100"/>
      <c r="V16487" s="100"/>
      <c r="Y16487" s="100"/>
    </row>
    <row r="16488">
      <c r="R16488" s="100"/>
      <c r="V16488" s="100"/>
      <c r="Y16488" s="100"/>
    </row>
    <row r="16489">
      <c r="R16489" s="100"/>
      <c r="V16489" s="100"/>
      <c r="Y16489" s="100"/>
    </row>
    <row r="16490">
      <c r="R16490" s="100"/>
      <c r="V16490" s="100"/>
      <c r="Y16490" s="100"/>
    </row>
    <row r="16491">
      <c r="R16491" s="100"/>
      <c r="V16491" s="100"/>
      <c r="Y16491" s="100"/>
    </row>
    <row r="16492">
      <c r="R16492" s="100"/>
      <c r="V16492" s="100"/>
      <c r="Y16492" s="100"/>
    </row>
    <row r="16493">
      <c r="R16493" s="100"/>
      <c r="V16493" s="100"/>
      <c r="Y16493" s="100"/>
    </row>
    <row r="16494">
      <c r="R16494" s="100"/>
      <c r="V16494" s="100"/>
      <c r="Y16494" s="100"/>
    </row>
    <row r="16495">
      <c r="R16495" s="100"/>
      <c r="V16495" s="100"/>
      <c r="Y16495" s="100"/>
    </row>
    <row r="16496">
      <c r="R16496" s="100"/>
      <c r="V16496" s="100"/>
      <c r="Y16496" s="100"/>
    </row>
    <row r="16497">
      <c r="R16497" s="100"/>
      <c r="V16497" s="100"/>
      <c r="Y16497" s="100"/>
    </row>
    <row r="16498">
      <c r="R16498" s="100"/>
      <c r="V16498" s="100"/>
      <c r="Y16498" s="100"/>
    </row>
    <row r="16499">
      <c r="R16499" s="100"/>
      <c r="V16499" s="100"/>
      <c r="Y16499" s="100"/>
    </row>
    <row r="16500">
      <c r="R16500" s="100"/>
      <c r="V16500" s="100"/>
      <c r="Y16500" s="100"/>
    </row>
    <row r="16501">
      <c r="R16501" s="100"/>
      <c r="V16501" s="100"/>
      <c r="Y16501" s="100"/>
    </row>
    <row r="16502">
      <c r="R16502" s="100"/>
      <c r="V16502" s="100"/>
      <c r="Y16502" s="100"/>
    </row>
    <row r="16503">
      <c r="R16503" s="100"/>
      <c r="V16503" s="100"/>
      <c r="Y16503" s="100"/>
    </row>
    <row r="16504">
      <c r="R16504" s="100"/>
      <c r="V16504" s="100"/>
      <c r="Y16504" s="100"/>
    </row>
    <row r="16505">
      <c r="R16505" s="100"/>
      <c r="V16505" s="100"/>
      <c r="Y16505" s="100"/>
    </row>
    <row r="16506">
      <c r="R16506" s="100"/>
      <c r="V16506" s="100"/>
      <c r="Y16506" s="100"/>
    </row>
    <row r="16507">
      <c r="R16507" s="100"/>
      <c r="V16507" s="100"/>
      <c r="Y16507" s="100"/>
    </row>
    <row r="16508">
      <c r="R16508" s="100"/>
      <c r="V16508" s="100"/>
      <c r="Y16508" s="100"/>
    </row>
    <row r="16509">
      <c r="R16509" s="100"/>
      <c r="V16509" s="100"/>
      <c r="Y16509" s="100"/>
    </row>
    <row r="16510">
      <c r="R16510" s="100"/>
      <c r="V16510" s="100"/>
      <c r="Y16510" s="100"/>
    </row>
    <row r="16511">
      <c r="R16511" s="100"/>
      <c r="V16511" s="100"/>
      <c r="Y16511" s="100"/>
    </row>
    <row r="16512">
      <c r="R16512" s="100"/>
      <c r="V16512" s="100"/>
      <c r="Y16512" s="100"/>
    </row>
    <row r="16513">
      <c r="R16513" s="100"/>
      <c r="V16513" s="100"/>
      <c r="Y16513" s="100"/>
    </row>
    <row r="16514">
      <c r="R16514" s="100"/>
      <c r="V16514" s="100"/>
      <c r="Y16514" s="100"/>
    </row>
    <row r="16515">
      <c r="R16515" s="100"/>
      <c r="V16515" s="100"/>
      <c r="Y16515" s="100"/>
    </row>
    <row r="16516">
      <c r="R16516" s="100"/>
      <c r="V16516" s="100"/>
      <c r="Y16516" s="100"/>
    </row>
    <row r="16517">
      <c r="R16517" s="100"/>
      <c r="V16517" s="100"/>
      <c r="Y16517" s="100"/>
    </row>
    <row r="16518">
      <c r="R16518" s="100"/>
      <c r="V16518" s="100"/>
      <c r="Y16518" s="100"/>
    </row>
    <row r="16519">
      <c r="R16519" s="100"/>
      <c r="V16519" s="100"/>
      <c r="Y16519" s="100"/>
    </row>
    <row r="16520">
      <c r="R16520" s="100"/>
      <c r="V16520" s="100"/>
      <c r="Y16520" s="100"/>
    </row>
    <row r="16521">
      <c r="R16521" s="100"/>
      <c r="V16521" s="100"/>
      <c r="Y16521" s="100"/>
    </row>
    <row r="16522">
      <c r="R16522" s="100"/>
      <c r="V16522" s="100"/>
      <c r="Y16522" s="100"/>
    </row>
    <row r="16523">
      <c r="R16523" s="100"/>
      <c r="V16523" s="100"/>
      <c r="Y16523" s="100"/>
    </row>
    <row r="16524">
      <c r="R16524" s="100"/>
      <c r="V16524" s="100"/>
      <c r="Y16524" s="100"/>
    </row>
    <row r="16525">
      <c r="R16525" s="100"/>
      <c r="V16525" s="100"/>
      <c r="Y16525" s="100"/>
    </row>
    <row r="16526">
      <c r="R16526" s="100"/>
      <c r="V16526" s="100"/>
      <c r="Y16526" s="100"/>
    </row>
    <row r="16527">
      <c r="R16527" s="100"/>
      <c r="V16527" s="100"/>
      <c r="Y16527" s="100"/>
    </row>
    <row r="16528">
      <c r="R16528" s="100"/>
      <c r="V16528" s="100"/>
      <c r="Y16528" s="100"/>
    </row>
    <row r="16529">
      <c r="R16529" s="100"/>
      <c r="V16529" s="100"/>
      <c r="Y16529" s="100"/>
    </row>
    <row r="16530">
      <c r="R16530" s="100"/>
      <c r="V16530" s="100"/>
      <c r="Y16530" s="100"/>
    </row>
    <row r="16531">
      <c r="R16531" s="100"/>
      <c r="V16531" s="100"/>
      <c r="Y16531" s="100"/>
    </row>
    <row r="16532">
      <c r="R16532" s="100"/>
      <c r="V16532" s="100"/>
      <c r="Y16532" s="100"/>
    </row>
    <row r="16533">
      <c r="R16533" s="100"/>
      <c r="V16533" s="100"/>
      <c r="Y16533" s="100"/>
    </row>
    <row r="16534">
      <c r="R16534" s="100"/>
      <c r="V16534" s="100"/>
      <c r="Y16534" s="100"/>
    </row>
    <row r="16535">
      <c r="R16535" s="100"/>
      <c r="V16535" s="100"/>
      <c r="Y16535" s="100"/>
    </row>
    <row r="16536">
      <c r="R16536" s="100"/>
      <c r="V16536" s="100"/>
      <c r="Y16536" s="100"/>
    </row>
    <row r="16537">
      <c r="R16537" s="100"/>
      <c r="V16537" s="100"/>
      <c r="Y16537" s="100"/>
    </row>
    <row r="16538">
      <c r="R16538" s="100"/>
      <c r="V16538" s="100"/>
      <c r="Y16538" s="100"/>
    </row>
    <row r="16539">
      <c r="R16539" s="100"/>
      <c r="V16539" s="100"/>
      <c r="Y16539" s="100"/>
    </row>
    <row r="16540">
      <c r="R16540" s="100"/>
      <c r="V16540" s="100"/>
      <c r="Y16540" s="100"/>
    </row>
    <row r="16541">
      <c r="R16541" s="100"/>
      <c r="V16541" s="100"/>
      <c r="Y16541" s="100"/>
    </row>
    <row r="16542">
      <c r="R16542" s="100"/>
      <c r="V16542" s="100"/>
      <c r="Y16542" s="100"/>
    </row>
    <row r="16543">
      <c r="R16543" s="100"/>
      <c r="V16543" s="100"/>
      <c r="Y16543" s="100"/>
    </row>
    <row r="16544">
      <c r="R16544" s="100"/>
      <c r="V16544" s="100"/>
      <c r="Y16544" s="100"/>
    </row>
    <row r="16545">
      <c r="R16545" s="100"/>
      <c r="V16545" s="100"/>
      <c r="Y16545" s="100"/>
    </row>
    <row r="16546">
      <c r="R16546" s="100"/>
      <c r="V16546" s="100"/>
      <c r="Y16546" s="100"/>
    </row>
    <row r="16547">
      <c r="R16547" s="100"/>
      <c r="V16547" s="100"/>
      <c r="Y16547" s="100"/>
    </row>
    <row r="16548">
      <c r="R16548" s="100"/>
      <c r="V16548" s="100"/>
      <c r="Y16548" s="100"/>
    </row>
    <row r="16549">
      <c r="R16549" s="100"/>
      <c r="V16549" s="100"/>
      <c r="Y16549" s="100"/>
    </row>
    <row r="16550">
      <c r="R16550" s="100"/>
      <c r="V16550" s="100"/>
      <c r="Y16550" s="100"/>
    </row>
    <row r="16551">
      <c r="R16551" s="100"/>
      <c r="V16551" s="100"/>
      <c r="Y16551" s="100"/>
    </row>
    <row r="16552">
      <c r="R16552" s="100"/>
      <c r="V16552" s="100"/>
      <c r="Y16552" s="100"/>
    </row>
    <row r="16553">
      <c r="R16553" s="100"/>
      <c r="V16553" s="100"/>
      <c r="Y16553" s="100"/>
    </row>
    <row r="16554">
      <c r="R16554" s="100"/>
      <c r="V16554" s="100"/>
      <c r="Y16554" s="100"/>
    </row>
    <row r="16555">
      <c r="R16555" s="100"/>
      <c r="V16555" s="100"/>
      <c r="Y16555" s="100"/>
    </row>
    <row r="16556">
      <c r="R16556" s="100"/>
      <c r="V16556" s="100"/>
      <c r="Y16556" s="100"/>
    </row>
    <row r="16557">
      <c r="R16557" s="100"/>
      <c r="V16557" s="100"/>
      <c r="Y16557" s="100"/>
    </row>
    <row r="16558">
      <c r="R16558" s="100"/>
      <c r="V16558" s="100"/>
      <c r="Y16558" s="100"/>
    </row>
    <row r="16559">
      <c r="R16559" s="100"/>
      <c r="V16559" s="100"/>
      <c r="Y16559" s="100"/>
    </row>
    <row r="16560">
      <c r="R16560" s="100"/>
      <c r="V16560" s="100"/>
      <c r="Y16560" s="100"/>
    </row>
    <row r="16561">
      <c r="R16561" s="100"/>
      <c r="V16561" s="100"/>
      <c r="Y16561" s="100"/>
    </row>
    <row r="16562">
      <c r="R16562" s="100"/>
      <c r="V16562" s="100"/>
      <c r="Y16562" s="100"/>
    </row>
    <row r="16563">
      <c r="R16563" s="100"/>
      <c r="V16563" s="100"/>
      <c r="Y16563" s="100"/>
    </row>
    <row r="16564">
      <c r="R16564" s="100"/>
      <c r="V16564" s="100"/>
      <c r="Y16564" s="100"/>
    </row>
    <row r="16565">
      <c r="R16565" s="100"/>
      <c r="V16565" s="100"/>
      <c r="Y16565" s="100"/>
    </row>
    <row r="16566">
      <c r="R16566" s="100"/>
      <c r="V16566" s="100"/>
      <c r="Y16566" s="100"/>
    </row>
    <row r="16567">
      <c r="R16567" s="100"/>
      <c r="V16567" s="100"/>
      <c r="Y16567" s="100"/>
    </row>
    <row r="16568">
      <c r="R16568" s="100"/>
      <c r="V16568" s="100"/>
      <c r="Y16568" s="100"/>
    </row>
    <row r="16569">
      <c r="R16569" s="100"/>
      <c r="V16569" s="100"/>
      <c r="Y16569" s="100"/>
    </row>
    <row r="16570">
      <c r="R16570" s="100"/>
      <c r="V16570" s="100"/>
      <c r="Y16570" s="100"/>
    </row>
    <row r="16571">
      <c r="R16571" s="100"/>
      <c r="V16571" s="100"/>
      <c r="Y16571" s="100"/>
    </row>
    <row r="16572">
      <c r="R16572" s="100"/>
      <c r="V16572" s="100"/>
      <c r="Y16572" s="100"/>
    </row>
    <row r="16573">
      <c r="R16573" s="100"/>
      <c r="V16573" s="100"/>
      <c r="Y16573" s="100"/>
    </row>
    <row r="16574">
      <c r="R16574" s="100"/>
      <c r="V16574" s="100"/>
      <c r="Y16574" s="100"/>
    </row>
    <row r="16575">
      <c r="R16575" s="100"/>
      <c r="V16575" s="100"/>
      <c r="Y16575" s="100"/>
    </row>
    <row r="16576">
      <c r="R16576" s="100"/>
      <c r="V16576" s="100"/>
      <c r="Y16576" s="100"/>
    </row>
    <row r="16577">
      <c r="R16577" s="100"/>
      <c r="V16577" s="100"/>
      <c r="Y16577" s="100"/>
    </row>
    <row r="16578">
      <c r="R16578" s="100"/>
      <c r="V16578" s="100"/>
      <c r="Y16578" s="100"/>
    </row>
    <row r="16579">
      <c r="R16579" s="100"/>
      <c r="V16579" s="100"/>
      <c r="Y16579" s="100"/>
    </row>
    <row r="16580">
      <c r="R16580" s="100"/>
      <c r="V16580" s="100"/>
      <c r="Y16580" s="100"/>
    </row>
    <row r="16581">
      <c r="R16581" s="100"/>
      <c r="V16581" s="100"/>
      <c r="Y16581" s="100"/>
    </row>
    <row r="16582">
      <c r="R16582" s="100"/>
      <c r="V16582" s="100"/>
      <c r="Y16582" s="100"/>
    </row>
    <row r="16583">
      <c r="R16583" s="100"/>
      <c r="V16583" s="100"/>
      <c r="Y16583" s="100"/>
    </row>
    <row r="16584">
      <c r="R16584" s="100"/>
      <c r="V16584" s="100"/>
      <c r="Y16584" s="100"/>
    </row>
    <row r="16585">
      <c r="R16585" s="100"/>
      <c r="V16585" s="100"/>
      <c r="Y16585" s="100"/>
    </row>
    <row r="16586">
      <c r="R16586" s="100"/>
      <c r="V16586" s="100"/>
      <c r="Y16586" s="100"/>
    </row>
    <row r="16587">
      <c r="R16587" s="100"/>
      <c r="V16587" s="100"/>
      <c r="Y16587" s="100"/>
    </row>
    <row r="16588">
      <c r="R16588" s="100"/>
      <c r="V16588" s="100"/>
      <c r="Y16588" s="100"/>
    </row>
    <row r="16589">
      <c r="R16589" s="100"/>
      <c r="V16589" s="100"/>
      <c r="Y16589" s="100"/>
    </row>
    <row r="16590">
      <c r="R16590" s="100"/>
      <c r="V16590" s="100"/>
      <c r="Y16590" s="100"/>
    </row>
    <row r="16591">
      <c r="R16591" s="100"/>
      <c r="V16591" s="100"/>
      <c r="Y16591" s="100"/>
    </row>
    <row r="16592">
      <c r="R16592" s="100"/>
      <c r="V16592" s="100"/>
      <c r="Y16592" s="100"/>
    </row>
    <row r="16593">
      <c r="R16593" s="100"/>
      <c r="V16593" s="100"/>
      <c r="Y16593" s="100"/>
    </row>
    <row r="16594">
      <c r="R16594" s="100"/>
      <c r="V16594" s="100"/>
      <c r="Y16594" s="100"/>
    </row>
    <row r="16595">
      <c r="R16595" s="100"/>
      <c r="V16595" s="100"/>
      <c r="Y16595" s="100"/>
    </row>
    <row r="16596">
      <c r="R16596" s="100"/>
      <c r="V16596" s="100"/>
      <c r="Y16596" s="100"/>
    </row>
    <row r="16597">
      <c r="R16597" s="100"/>
      <c r="V16597" s="100"/>
      <c r="Y16597" s="100"/>
    </row>
    <row r="16598">
      <c r="R16598" s="100"/>
      <c r="V16598" s="100"/>
      <c r="Y16598" s="100"/>
    </row>
    <row r="16599">
      <c r="R16599" s="100"/>
      <c r="V16599" s="100"/>
      <c r="Y16599" s="100"/>
    </row>
    <row r="16600">
      <c r="R16600" s="100"/>
      <c r="V16600" s="100"/>
      <c r="Y16600" s="100"/>
    </row>
    <row r="16601">
      <c r="R16601" s="100"/>
      <c r="V16601" s="100"/>
      <c r="Y16601" s="100"/>
    </row>
    <row r="16602">
      <c r="R16602" s="100"/>
      <c r="V16602" s="100"/>
      <c r="Y16602" s="100"/>
    </row>
    <row r="16603">
      <c r="R16603" s="100"/>
      <c r="V16603" s="100"/>
      <c r="Y16603" s="100"/>
    </row>
    <row r="16604">
      <c r="R16604" s="100"/>
      <c r="V16604" s="100"/>
      <c r="Y16604" s="100"/>
    </row>
    <row r="16605">
      <c r="R16605" s="100"/>
      <c r="V16605" s="100"/>
      <c r="Y16605" s="100"/>
    </row>
    <row r="16606">
      <c r="R16606" s="100"/>
      <c r="V16606" s="100"/>
      <c r="Y16606" s="100"/>
    </row>
    <row r="16607">
      <c r="R16607" s="100"/>
      <c r="V16607" s="100"/>
      <c r="Y16607" s="100"/>
    </row>
    <row r="16608">
      <c r="R16608" s="100"/>
      <c r="V16608" s="100"/>
      <c r="Y16608" s="100"/>
    </row>
    <row r="16609">
      <c r="R16609" s="100"/>
      <c r="V16609" s="100"/>
      <c r="Y16609" s="100"/>
    </row>
    <row r="16610">
      <c r="R16610" s="100"/>
      <c r="V16610" s="100"/>
      <c r="Y16610" s="100"/>
    </row>
    <row r="16611">
      <c r="R16611" s="100"/>
      <c r="V16611" s="100"/>
      <c r="Y16611" s="100"/>
    </row>
    <row r="16612">
      <c r="R16612" s="100"/>
      <c r="V16612" s="100"/>
      <c r="Y16612" s="100"/>
    </row>
    <row r="16613">
      <c r="R16613" s="100"/>
      <c r="V16613" s="100"/>
      <c r="Y16613" s="100"/>
    </row>
    <row r="16614">
      <c r="R16614" s="100"/>
      <c r="V16614" s="100"/>
      <c r="Y16614" s="100"/>
    </row>
    <row r="16615">
      <c r="R16615" s="100"/>
      <c r="V16615" s="100"/>
      <c r="Y16615" s="100"/>
    </row>
    <row r="16616">
      <c r="R16616" s="100"/>
      <c r="V16616" s="100"/>
      <c r="Y16616" s="100"/>
    </row>
    <row r="16617">
      <c r="R16617" s="100"/>
      <c r="V16617" s="100"/>
      <c r="Y16617" s="100"/>
    </row>
    <row r="16618">
      <c r="R16618" s="100"/>
      <c r="V16618" s="100"/>
      <c r="Y16618" s="100"/>
    </row>
    <row r="16619">
      <c r="R16619" s="100"/>
      <c r="V16619" s="100"/>
      <c r="Y16619" s="100"/>
    </row>
    <row r="16620">
      <c r="R16620" s="100"/>
      <c r="V16620" s="100"/>
      <c r="Y16620" s="100"/>
    </row>
    <row r="16621">
      <c r="R16621" s="100"/>
      <c r="V16621" s="100"/>
      <c r="Y16621" s="100"/>
    </row>
    <row r="16622">
      <c r="R16622" s="100"/>
      <c r="V16622" s="100"/>
      <c r="Y16622" s="100"/>
    </row>
    <row r="16623">
      <c r="R16623" s="100"/>
      <c r="V16623" s="100"/>
      <c r="Y16623" s="100"/>
    </row>
    <row r="16624">
      <c r="R16624" s="100"/>
      <c r="V16624" s="100"/>
      <c r="Y16624" s="100"/>
    </row>
    <row r="16625">
      <c r="R16625" s="100"/>
      <c r="V16625" s="100"/>
      <c r="Y16625" s="100"/>
    </row>
    <row r="16626">
      <c r="R16626" s="100"/>
      <c r="V16626" s="100"/>
      <c r="Y16626" s="100"/>
    </row>
    <row r="16627">
      <c r="R16627" s="100"/>
      <c r="V16627" s="100"/>
      <c r="Y16627" s="100"/>
    </row>
    <row r="16628">
      <c r="R16628" s="100"/>
      <c r="V16628" s="100"/>
      <c r="Y16628" s="100"/>
    </row>
    <row r="16629">
      <c r="R16629" s="100"/>
      <c r="V16629" s="100"/>
      <c r="Y16629" s="100"/>
    </row>
    <row r="16630">
      <c r="R16630" s="100"/>
      <c r="V16630" s="100"/>
      <c r="Y16630" s="100"/>
    </row>
    <row r="16631">
      <c r="R16631" s="100"/>
      <c r="V16631" s="100"/>
      <c r="Y16631" s="100"/>
    </row>
    <row r="16632">
      <c r="R16632" s="100"/>
      <c r="V16632" s="100"/>
      <c r="Y16632" s="100"/>
    </row>
    <row r="16633">
      <c r="R16633" s="100"/>
      <c r="V16633" s="100"/>
      <c r="Y16633" s="100"/>
    </row>
    <row r="16634">
      <c r="R16634" s="100"/>
      <c r="V16634" s="100"/>
      <c r="Y16634" s="100"/>
    </row>
    <row r="16635">
      <c r="R16635" s="100"/>
      <c r="V16635" s="100"/>
      <c r="Y16635" s="100"/>
    </row>
    <row r="16636">
      <c r="R16636" s="100"/>
      <c r="V16636" s="100"/>
      <c r="Y16636" s="100"/>
    </row>
    <row r="16637">
      <c r="R16637" s="100"/>
      <c r="V16637" s="100"/>
      <c r="Y16637" s="100"/>
    </row>
    <row r="16638">
      <c r="R16638" s="100"/>
      <c r="V16638" s="100"/>
      <c r="Y16638" s="100"/>
    </row>
    <row r="16639">
      <c r="R16639" s="100"/>
      <c r="V16639" s="100"/>
      <c r="Y16639" s="100"/>
    </row>
    <row r="16640">
      <c r="R16640" s="100"/>
      <c r="V16640" s="100"/>
      <c r="Y16640" s="100"/>
    </row>
    <row r="16641">
      <c r="R16641" s="100"/>
      <c r="V16641" s="100"/>
      <c r="Y16641" s="100"/>
    </row>
    <row r="16642">
      <c r="R16642" s="100"/>
      <c r="V16642" s="100"/>
      <c r="Y16642" s="100"/>
    </row>
    <row r="16643">
      <c r="R16643" s="100"/>
      <c r="V16643" s="100"/>
      <c r="Y16643" s="100"/>
    </row>
    <row r="16644">
      <c r="R16644" s="100"/>
      <c r="V16644" s="100"/>
      <c r="Y16644" s="100"/>
    </row>
    <row r="16645">
      <c r="R16645" s="100"/>
      <c r="V16645" s="100"/>
      <c r="Y16645" s="100"/>
    </row>
    <row r="16646">
      <c r="R16646" s="100"/>
      <c r="V16646" s="100"/>
      <c r="Y16646" s="100"/>
    </row>
    <row r="16647">
      <c r="R16647" s="100"/>
      <c r="V16647" s="100"/>
      <c r="Y16647" s="100"/>
    </row>
    <row r="16648">
      <c r="R16648" s="100"/>
      <c r="V16648" s="100"/>
      <c r="Y16648" s="100"/>
    </row>
    <row r="16649">
      <c r="R16649" s="100"/>
      <c r="V16649" s="100"/>
      <c r="Y16649" s="100"/>
    </row>
    <row r="16650">
      <c r="R16650" s="100"/>
      <c r="V16650" s="100"/>
      <c r="Y16650" s="100"/>
    </row>
    <row r="16651">
      <c r="R16651" s="100"/>
      <c r="V16651" s="100"/>
      <c r="Y16651" s="100"/>
    </row>
    <row r="16652">
      <c r="R16652" s="100"/>
      <c r="V16652" s="100"/>
      <c r="Y16652" s="100"/>
    </row>
    <row r="16653">
      <c r="R16653" s="100"/>
      <c r="V16653" s="100"/>
      <c r="Y16653" s="100"/>
    </row>
    <row r="16654">
      <c r="R16654" s="100"/>
      <c r="V16654" s="100"/>
      <c r="Y16654" s="100"/>
    </row>
    <row r="16655">
      <c r="R16655" s="100"/>
      <c r="V16655" s="100"/>
      <c r="Y16655" s="100"/>
    </row>
    <row r="16656">
      <c r="R16656" s="100"/>
      <c r="V16656" s="100"/>
      <c r="Y16656" s="100"/>
    </row>
    <row r="16657">
      <c r="R16657" s="100"/>
      <c r="V16657" s="100"/>
      <c r="Y16657" s="100"/>
    </row>
    <row r="16658">
      <c r="R16658" s="100"/>
      <c r="V16658" s="100"/>
      <c r="Y16658" s="100"/>
    </row>
    <row r="16659">
      <c r="R16659" s="100"/>
      <c r="V16659" s="100"/>
      <c r="Y16659" s="100"/>
    </row>
    <row r="16660">
      <c r="R16660" s="100"/>
      <c r="V16660" s="100"/>
      <c r="Y16660" s="100"/>
    </row>
    <row r="16661">
      <c r="R16661" s="100"/>
      <c r="V16661" s="100"/>
      <c r="Y16661" s="100"/>
    </row>
    <row r="16662">
      <c r="R16662" s="100"/>
      <c r="V16662" s="100"/>
      <c r="Y16662" s="100"/>
    </row>
    <row r="16663">
      <c r="R16663" s="100"/>
      <c r="V16663" s="100"/>
      <c r="Y16663" s="100"/>
    </row>
    <row r="16664">
      <c r="R16664" s="100"/>
      <c r="V16664" s="100"/>
      <c r="Y16664" s="100"/>
    </row>
    <row r="16665">
      <c r="R16665" s="100"/>
      <c r="V16665" s="100"/>
      <c r="Y16665" s="100"/>
    </row>
    <row r="16666">
      <c r="R16666" s="100"/>
      <c r="V16666" s="100"/>
      <c r="Y16666" s="100"/>
    </row>
    <row r="16667">
      <c r="R16667" s="100"/>
      <c r="V16667" s="100"/>
      <c r="Y16667" s="100"/>
    </row>
    <row r="16668">
      <c r="R16668" s="100"/>
      <c r="V16668" s="100"/>
      <c r="Y16668" s="100"/>
    </row>
    <row r="16669">
      <c r="R16669" s="100"/>
      <c r="V16669" s="100"/>
      <c r="Y16669" s="100"/>
    </row>
    <row r="16670">
      <c r="R16670" s="100"/>
      <c r="V16670" s="100"/>
      <c r="Y16670" s="100"/>
    </row>
    <row r="16671">
      <c r="R16671" s="100"/>
      <c r="V16671" s="100"/>
      <c r="Y16671" s="100"/>
    </row>
    <row r="16672">
      <c r="R16672" s="100"/>
      <c r="V16672" s="100"/>
      <c r="Y16672" s="100"/>
    </row>
    <row r="16673">
      <c r="R16673" s="100"/>
      <c r="V16673" s="100"/>
      <c r="Y16673" s="100"/>
    </row>
    <row r="16674">
      <c r="R16674" s="100"/>
      <c r="V16674" s="100"/>
      <c r="Y16674" s="100"/>
    </row>
    <row r="16675">
      <c r="R16675" s="100"/>
      <c r="V16675" s="100"/>
      <c r="Y16675" s="100"/>
    </row>
    <row r="16676">
      <c r="R16676" s="100"/>
      <c r="V16676" s="100"/>
      <c r="Y16676" s="100"/>
    </row>
    <row r="16677">
      <c r="R16677" s="100"/>
      <c r="V16677" s="100"/>
      <c r="Y16677" s="100"/>
    </row>
    <row r="16678">
      <c r="R16678" s="100"/>
      <c r="V16678" s="100"/>
      <c r="Y16678" s="100"/>
    </row>
    <row r="16679">
      <c r="R16679" s="100"/>
      <c r="V16679" s="100"/>
      <c r="Y16679" s="100"/>
    </row>
    <row r="16680">
      <c r="R16680" s="100"/>
      <c r="V16680" s="100"/>
      <c r="Y16680" s="100"/>
    </row>
    <row r="16681">
      <c r="R16681" s="100"/>
      <c r="V16681" s="100"/>
      <c r="Y16681" s="100"/>
    </row>
    <row r="16682">
      <c r="R16682" s="100"/>
      <c r="V16682" s="100"/>
      <c r="Y16682" s="100"/>
    </row>
    <row r="16683">
      <c r="R16683" s="100"/>
      <c r="V16683" s="100"/>
      <c r="Y16683" s="100"/>
    </row>
    <row r="16684">
      <c r="R16684" s="100"/>
      <c r="V16684" s="100"/>
      <c r="Y16684" s="100"/>
    </row>
    <row r="16685">
      <c r="R16685" s="100"/>
      <c r="V16685" s="100"/>
      <c r="Y16685" s="100"/>
    </row>
    <row r="16686">
      <c r="R16686" s="100"/>
      <c r="V16686" s="100"/>
      <c r="Y16686" s="100"/>
    </row>
    <row r="16687">
      <c r="R16687" s="100"/>
      <c r="V16687" s="100"/>
      <c r="Y16687" s="100"/>
    </row>
    <row r="16688">
      <c r="R16688" s="100"/>
      <c r="V16688" s="100"/>
      <c r="Y16688" s="100"/>
    </row>
    <row r="16689">
      <c r="R16689" s="100"/>
      <c r="V16689" s="100"/>
      <c r="Y16689" s="100"/>
    </row>
    <row r="16690">
      <c r="R16690" s="100"/>
      <c r="V16690" s="100"/>
      <c r="Y16690" s="100"/>
    </row>
    <row r="16691">
      <c r="R16691" s="100"/>
      <c r="V16691" s="100"/>
      <c r="Y16691" s="100"/>
    </row>
    <row r="16692">
      <c r="R16692" s="100"/>
      <c r="V16692" s="100"/>
      <c r="Y16692" s="100"/>
    </row>
    <row r="16693">
      <c r="R16693" s="100"/>
      <c r="V16693" s="100"/>
      <c r="Y16693" s="100"/>
    </row>
    <row r="16694">
      <c r="R16694" s="100"/>
      <c r="V16694" s="100"/>
      <c r="Y16694" s="100"/>
    </row>
    <row r="16695">
      <c r="R16695" s="100"/>
      <c r="V16695" s="100"/>
      <c r="Y16695" s="100"/>
    </row>
    <row r="16696">
      <c r="R16696" s="100"/>
      <c r="V16696" s="100"/>
      <c r="Y16696" s="100"/>
    </row>
    <row r="16697">
      <c r="R16697" s="100"/>
      <c r="V16697" s="100"/>
      <c r="Y16697" s="100"/>
    </row>
    <row r="16698">
      <c r="R16698" s="100"/>
      <c r="V16698" s="100"/>
      <c r="Y16698" s="100"/>
    </row>
    <row r="16699">
      <c r="R16699" s="100"/>
      <c r="V16699" s="100"/>
      <c r="Y16699" s="100"/>
    </row>
    <row r="16700">
      <c r="R16700" s="100"/>
      <c r="V16700" s="100"/>
      <c r="Y16700" s="100"/>
    </row>
    <row r="16701">
      <c r="R16701" s="100"/>
      <c r="V16701" s="100"/>
      <c r="Y16701" s="100"/>
    </row>
    <row r="16702">
      <c r="R16702" s="100"/>
      <c r="V16702" s="100"/>
      <c r="Y16702" s="100"/>
    </row>
    <row r="16703">
      <c r="R16703" s="100"/>
      <c r="V16703" s="100"/>
      <c r="Y16703" s="100"/>
    </row>
    <row r="16704">
      <c r="R16704" s="100"/>
      <c r="V16704" s="100"/>
      <c r="Y16704" s="100"/>
    </row>
    <row r="16705">
      <c r="R16705" s="100"/>
      <c r="V16705" s="100"/>
      <c r="Y16705" s="100"/>
    </row>
    <row r="16706">
      <c r="R16706" s="100"/>
      <c r="V16706" s="100"/>
      <c r="Y16706" s="100"/>
    </row>
    <row r="16707">
      <c r="R16707" s="100"/>
      <c r="V16707" s="100"/>
      <c r="Y16707" s="100"/>
    </row>
    <row r="16708">
      <c r="R16708" s="100"/>
      <c r="V16708" s="100"/>
      <c r="Y16708" s="100"/>
    </row>
    <row r="16709">
      <c r="R16709" s="100"/>
      <c r="V16709" s="100"/>
      <c r="Y16709" s="100"/>
    </row>
    <row r="16710">
      <c r="R16710" s="100"/>
      <c r="V16710" s="100"/>
      <c r="Y16710" s="100"/>
    </row>
    <row r="16711">
      <c r="R16711" s="100"/>
      <c r="V16711" s="100"/>
      <c r="Y16711" s="100"/>
    </row>
    <row r="16712">
      <c r="R16712" s="100"/>
      <c r="V16712" s="100"/>
      <c r="Y16712" s="100"/>
    </row>
    <row r="16713">
      <c r="R16713" s="100"/>
      <c r="V16713" s="100"/>
      <c r="Y16713" s="100"/>
    </row>
    <row r="16714">
      <c r="R16714" s="100"/>
      <c r="V16714" s="100"/>
      <c r="Y16714" s="100"/>
    </row>
    <row r="16715">
      <c r="R16715" s="100"/>
      <c r="V16715" s="100"/>
      <c r="Y16715" s="100"/>
    </row>
    <row r="16716">
      <c r="R16716" s="100"/>
      <c r="V16716" s="100"/>
      <c r="Y16716" s="100"/>
    </row>
    <row r="16717">
      <c r="R16717" s="100"/>
      <c r="V16717" s="100"/>
      <c r="Y16717" s="100"/>
    </row>
    <row r="16718">
      <c r="R16718" s="100"/>
      <c r="V16718" s="100"/>
      <c r="Y16718" s="100"/>
    </row>
    <row r="16719">
      <c r="R16719" s="100"/>
      <c r="V16719" s="100"/>
      <c r="Y16719" s="100"/>
    </row>
    <row r="16720">
      <c r="R16720" s="100"/>
      <c r="V16720" s="100"/>
      <c r="Y16720" s="100"/>
    </row>
    <row r="16721">
      <c r="R16721" s="100"/>
      <c r="V16721" s="100"/>
      <c r="Y16721" s="100"/>
    </row>
    <row r="16722">
      <c r="R16722" s="100"/>
      <c r="V16722" s="100"/>
      <c r="Y16722" s="100"/>
    </row>
    <row r="16723">
      <c r="R16723" s="100"/>
      <c r="V16723" s="100"/>
      <c r="Y16723" s="100"/>
    </row>
    <row r="16724">
      <c r="R16724" s="100"/>
      <c r="V16724" s="100"/>
      <c r="Y16724" s="100"/>
    </row>
    <row r="16725">
      <c r="R16725" s="100"/>
      <c r="V16725" s="100"/>
      <c r="Y16725" s="100"/>
    </row>
    <row r="16726">
      <c r="R16726" s="100"/>
      <c r="V16726" s="100"/>
      <c r="Y16726" s="100"/>
    </row>
    <row r="16727">
      <c r="R16727" s="100"/>
      <c r="V16727" s="100"/>
      <c r="Y16727" s="100"/>
    </row>
    <row r="16728">
      <c r="R16728" s="100"/>
      <c r="V16728" s="100"/>
      <c r="Y16728" s="100"/>
    </row>
    <row r="16729">
      <c r="R16729" s="100"/>
      <c r="V16729" s="100"/>
      <c r="Y16729" s="100"/>
    </row>
    <row r="16730">
      <c r="R16730" s="100"/>
      <c r="V16730" s="100"/>
      <c r="Y16730" s="100"/>
    </row>
    <row r="16731">
      <c r="R16731" s="100"/>
      <c r="V16731" s="100"/>
      <c r="Y16731" s="100"/>
    </row>
    <row r="16732">
      <c r="R16732" s="100"/>
      <c r="V16732" s="100"/>
      <c r="Y16732" s="100"/>
    </row>
    <row r="16733">
      <c r="R16733" s="100"/>
      <c r="V16733" s="100"/>
      <c r="Y16733" s="100"/>
    </row>
    <row r="16734">
      <c r="R16734" s="100"/>
      <c r="V16734" s="100"/>
      <c r="Y16734" s="100"/>
    </row>
    <row r="16735">
      <c r="R16735" s="100"/>
      <c r="V16735" s="100"/>
      <c r="Y16735" s="100"/>
    </row>
    <row r="16736">
      <c r="R16736" s="100"/>
      <c r="V16736" s="100"/>
      <c r="Y16736" s="100"/>
    </row>
    <row r="16737">
      <c r="R16737" s="100"/>
      <c r="V16737" s="100"/>
      <c r="Y16737" s="100"/>
    </row>
    <row r="16738">
      <c r="R16738" s="100"/>
      <c r="V16738" s="100"/>
      <c r="Y16738" s="100"/>
    </row>
    <row r="16739">
      <c r="R16739" s="100"/>
      <c r="V16739" s="100"/>
      <c r="Y16739" s="100"/>
    </row>
    <row r="16740">
      <c r="R16740" s="100"/>
      <c r="V16740" s="100"/>
      <c r="Y16740" s="100"/>
    </row>
    <row r="16741">
      <c r="R16741" s="100"/>
      <c r="V16741" s="100"/>
      <c r="Y16741" s="100"/>
    </row>
    <row r="16742">
      <c r="R16742" s="100"/>
      <c r="V16742" s="100"/>
      <c r="Y16742" s="100"/>
    </row>
    <row r="16743">
      <c r="R16743" s="100"/>
      <c r="V16743" s="100"/>
      <c r="Y16743" s="100"/>
    </row>
    <row r="16744">
      <c r="R16744" s="100"/>
      <c r="V16744" s="100"/>
      <c r="Y16744" s="100"/>
    </row>
    <row r="16745">
      <c r="R16745" s="100"/>
      <c r="V16745" s="100"/>
      <c r="Y16745" s="100"/>
    </row>
    <row r="16746">
      <c r="R16746" s="100"/>
      <c r="V16746" s="100"/>
      <c r="Y16746" s="100"/>
    </row>
    <row r="16747">
      <c r="R16747" s="100"/>
      <c r="V16747" s="100"/>
      <c r="Y16747" s="100"/>
    </row>
    <row r="16748">
      <c r="R16748" s="100"/>
      <c r="V16748" s="100"/>
      <c r="Y16748" s="100"/>
    </row>
    <row r="16749">
      <c r="R16749" s="100"/>
      <c r="V16749" s="100"/>
      <c r="Y16749" s="100"/>
    </row>
    <row r="16750">
      <c r="R16750" s="100"/>
      <c r="V16750" s="100"/>
      <c r="Y16750" s="100"/>
    </row>
    <row r="16751">
      <c r="R16751" s="100"/>
      <c r="V16751" s="100"/>
      <c r="Y16751" s="100"/>
    </row>
    <row r="16752">
      <c r="R16752" s="100"/>
      <c r="V16752" s="100"/>
      <c r="Y16752" s="100"/>
    </row>
    <row r="16753">
      <c r="R16753" s="100"/>
      <c r="V16753" s="100"/>
      <c r="Y16753" s="100"/>
    </row>
    <row r="16754">
      <c r="R16754" s="100"/>
      <c r="V16754" s="100"/>
      <c r="Y16754" s="100"/>
    </row>
    <row r="16755">
      <c r="R16755" s="100"/>
      <c r="V16755" s="100"/>
      <c r="Y16755" s="100"/>
    </row>
    <row r="16756">
      <c r="R16756" s="100"/>
      <c r="V16756" s="100"/>
      <c r="Y16756" s="100"/>
    </row>
    <row r="16757">
      <c r="R16757" s="100"/>
      <c r="V16757" s="100"/>
      <c r="Y16757" s="100"/>
    </row>
    <row r="16758">
      <c r="R16758" s="100"/>
      <c r="V16758" s="100"/>
      <c r="Y16758" s="100"/>
    </row>
    <row r="16759">
      <c r="R16759" s="100"/>
      <c r="V16759" s="100"/>
      <c r="Y16759" s="100"/>
    </row>
    <row r="16760">
      <c r="R16760" s="100"/>
      <c r="V16760" s="100"/>
      <c r="Y16760" s="100"/>
    </row>
    <row r="16761">
      <c r="R16761" s="100"/>
      <c r="V16761" s="100"/>
      <c r="Y16761" s="100"/>
    </row>
    <row r="16762">
      <c r="R16762" s="100"/>
      <c r="V16762" s="100"/>
      <c r="Y16762" s="100"/>
    </row>
    <row r="16763">
      <c r="R16763" s="100"/>
      <c r="V16763" s="100"/>
      <c r="Y16763" s="100"/>
    </row>
    <row r="16764">
      <c r="R16764" s="100"/>
      <c r="V16764" s="100"/>
      <c r="Y16764" s="100"/>
    </row>
    <row r="16765">
      <c r="R16765" s="100"/>
      <c r="V16765" s="100"/>
      <c r="Y16765" s="100"/>
    </row>
    <row r="16766">
      <c r="R16766" s="100"/>
      <c r="V16766" s="100"/>
      <c r="Y16766" s="100"/>
    </row>
    <row r="16767">
      <c r="R16767" s="100"/>
      <c r="V16767" s="100"/>
      <c r="Y16767" s="100"/>
    </row>
    <row r="16768">
      <c r="R16768" s="100"/>
      <c r="V16768" s="100"/>
      <c r="Y16768" s="100"/>
    </row>
    <row r="16769">
      <c r="R16769" s="100"/>
      <c r="V16769" s="100"/>
      <c r="Y16769" s="100"/>
    </row>
    <row r="16770">
      <c r="R16770" s="100"/>
      <c r="V16770" s="100"/>
      <c r="Y16770" s="100"/>
    </row>
    <row r="16771">
      <c r="R16771" s="100"/>
      <c r="V16771" s="100"/>
      <c r="Y16771" s="100"/>
    </row>
    <row r="16772">
      <c r="R16772" s="100"/>
      <c r="V16772" s="100"/>
      <c r="Y16772" s="100"/>
    </row>
    <row r="16773">
      <c r="R16773" s="100"/>
      <c r="V16773" s="100"/>
      <c r="Y16773" s="100"/>
    </row>
    <row r="16774">
      <c r="R16774" s="100"/>
      <c r="V16774" s="100"/>
      <c r="Y16774" s="100"/>
    </row>
    <row r="16775">
      <c r="R16775" s="100"/>
      <c r="V16775" s="100"/>
      <c r="Y16775" s="100"/>
    </row>
    <row r="16776">
      <c r="R16776" s="100"/>
      <c r="V16776" s="100"/>
      <c r="Y16776" s="100"/>
    </row>
    <row r="16777">
      <c r="R16777" s="100"/>
      <c r="V16777" s="100"/>
      <c r="Y16777" s="100"/>
    </row>
    <row r="16778">
      <c r="R16778" s="100"/>
      <c r="V16778" s="100"/>
      <c r="Y16778" s="100"/>
    </row>
    <row r="16779">
      <c r="R16779" s="100"/>
      <c r="V16779" s="100"/>
      <c r="Y16779" s="100"/>
    </row>
    <row r="16780">
      <c r="R16780" s="100"/>
      <c r="V16780" s="100"/>
      <c r="Y16780" s="100"/>
    </row>
    <row r="16781">
      <c r="R16781" s="100"/>
      <c r="V16781" s="100"/>
      <c r="Y16781" s="100"/>
    </row>
    <row r="16782">
      <c r="R16782" s="100"/>
      <c r="V16782" s="100"/>
      <c r="Y16782" s="100"/>
    </row>
    <row r="16783">
      <c r="R16783" s="100"/>
      <c r="V16783" s="100"/>
      <c r="Y16783" s="100"/>
    </row>
    <row r="16784">
      <c r="R16784" s="100"/>
      <c r="V16784" s="100"/>
      <c r="Y16784" s="100"/>
    </row>
    <row r="16785">
      <c r="R16785" s="100"/>
      <c r="V16785" s="100"/>
      <c r="Y16785" s="100"/>
    </row>
    <row r="16786">
      <c r="R16786" s="100"/>
      <c r="V16786" s="100"/>
      <c r="Y16786" s="100"/>
    </row>
    <row r="16787">
      <c r="R16787" s="100"/>
      <c r="V16787" s="100"/>
      <c r="Y16787" s="100"/>
    </row>
    <row r="16788">
      <c r="R16788" s="100"/>
      <c r="V16788" s="100"/>
      <c r="Y16788" s="100"/>
    </row>
    <row r="16789">
      <c r="R16789" s="100"/>
      <c r="V16789" s="100"/>
      <c r="Y16789" s="100"/>
    </row>
    <row r="16790">
      <c r="R16790" s="100"/>
      <c r="V16790" s="100"/>
      <c r="Y16790" s="100"/>
    </row>
    <row r="16791">
      <c r="R16791" s="100"/>
      <c r="V16791" s="100"/>
      <c r="Y16791" s="100"/>
    </row>
    <row r="16792">
      <c r="R16792" s="100"/>
      <c r="V16792" s="100"/>
      <c r="Y16792" s="100"/>
    </row>
    <row r="16793">
      <c r="R16793" s="100"/>
      <c r="V16793" s="100"/>
      <c r="Y16793" s="100"/>
    </row>
    <row r="16794">
      <c r="R16794" s="100"/>
      <c r="V16794" s="100"/>
      <c r="Y16794" s="100"/>
    </row>
    <row r="16795">
      <c r="R16795" s="100"/>
      <c r="V16795" s="100"/>
      <c r="Y16795" s="100"/>
    </row>
    <row r="16796">
      <c r="R16796" s="100"/>
      <c r="V16796" s="100"/>
      <c r="Y16796" s="100"/>
    </row>
    <row r="16797">
      <c r="R16797" s="100"/>
      <c r="V16797" s="100"/>
      <c r="Y16797" s="100"/>
    </row>
    <row r="16798">
      <c r="R16798" s="100"/>
      <c r="V16798" s="100"/>
      <c r="Y16798" s="100"/>
    </row>
    <row r="16799">
      <c r="R16799" s="100"/>
      <c r="V16799" s="100"/>
      <c r="Y16799" s="100"/>
    </row>
    <row r="16800">
      <c r="R16800" s="100"/>
      <c r="V16800" s="100"/>
      <c r="Y16800" s="100"/>
    </row>
    <row r="16801">
      <c r="R16801" s="100"/>
      <c r="V16801" s="100"/>
      <c r="Y16801" s="100"/>
    </row>
    <row r="16802">
      <c r="R16802" s="100"/>
      <c r="V16802" s="100"/>
      <c r="Y16802" s="100"/>
    </row>
    <row r="16803">
      <c r="R16803" s="100"/>
      <c r="V16803" s="100"/>
      <c r="Y16803" s="100"/>
    </row>
    <row r="16804">
      <c r="R16804" s="100"/>
      <c r="V16804" s="100"/>
      <c r="Y16804" s="100"/>
    </row>
    <row r="16805">
      <c r="R16805" s="100"/>
      <c r="V16805" s="100"/>
      <c r="Y16805" s="100"/>
    </row>
    <row r="16806">
      <c r="R16806" s="100"/>
      <c r="V16806" s="100"/>
      <c r="Y16806" s="100"/>
    </row>
    <row r="16807">
      <c r="R16807" s="100"/>
      <c r="V16807" s="100"/>
      <c r="Y16807" s="100"/>
    </row>
    <row r="16808">
      <c r="R16808" s="100"/>
      <c r="V16808" s="100"/>
      <c r="Y16808" s="100"/>
    </row>
    <row r="16809">
      <c r="R16809" s="100"/>
      <c r="V16809" s="100"/>
      <c r="Y16809" s="100"/>
    </row>
    <row r="16810">
      <c r="R16810" s="100"/>
      <c r="V16810" s="100"/>
      <c r="Y16810" s="100"/>
    </row>
    <row r="16811">
      <c r="R16811" s="100"/>
      <c r="V16811" s="100"/>
      <c r="Y16811" s="100"/>
    </row>
    <row r="16812">
      <c r="R16812" s="100"/>
      <c r="V16812" s="100"/>
      <c r="Y16812" s="100"/>
    </row>
    <row r="16813">
      <c r="R16813" s="100"/>
      <c r="V16813" s="100"/>
      <c r="Y16813" s="100"/>
    </row>
    <row r="16814">
      <c r="R16814" s="100"/>
      <c r="V16814" s="100"/>
      <c r="Y16814" s="100"/>
    </row>
    <row r="16815">
      <c r="R16815" s="100"/>
      <c r="V16815" s="100"/>
      <c r="Y16815" s="100"/>
    </row>
    <row r="16816">
      <c r="R16816" s="100"/>
      <c r="V16816" s="100"/>
      <c r="Y16816" s="100"/>
    </row>
    <row r="16817">
      <c r="R16817" s="100"/>
      <c r="V16817" s="100"/>
      <c r="Y16817" s="100"/>
    </row>
    <row r="16818">
      <c r="R16818" s="100"/>
      <c r="V16818" s="100"/>
      <c r="Y16818" s="100"/>
    </row>
    <row r="16819">
      <c r="R16819" s="100"/>
      <c r="V16819" s="100"/>
      <c r="Y16819" s="100"/>
    </row>
    <row r="16820">
      <c r="R16820" s="100"/>
      <c r="V16820" s="100"/>
      <c r="Y16820" s="100"/>
    </row>
    <row r="16821">
      <c r="R16821" s="100"/>
      <c r="V16821" s="100"/>
      <c r="Y16821" s="100"/>
    </row>
    <row r="16822">
      <c r="R16822" s="100"/>
      <c r="V16822" s="100"/>
      <c r="Y16822" s="100"/>
    </row>
    <row r="16823">
      <c r="R16823" s="100"/>
      <c r="V16823" s="100"/>
      <c r="Y16823" s="100"/>
    </row>
    <row r="16824">
      <c r="R16824" s="100"/>
      <c r="V16824" s="100"/>
      <c r="Y16824" s="100"/>
    </row>
    <row r="16825">
      <c r="R16825" s="100"/>
      <c r="V16825" s="100"/>
      <c r="Y16825" s="100"/>
    </row>
    <row r="16826">
      <c r="R16826" s="100"/>
      <c r="V16826" s="100"/>
      <c r="Y16826" s="100"/>
    </row>
    <row r="16827">
      <c r="R16827" s="100"/>
      <c r="V16827" s="100"/>
      <c r="Y16827" s="100"/>
    </row>
    <row r="16828">
      <c r="R16828" s="100"/>
      <c r="V16828" s="100"/>
      <c r="Y16828" s="100"/>
    </row>
    <row r="16829">
      <c r="R16829" s="100"/>
      <c r="V16829" s="100"/>
      <c r="Y16829" s="100"/>
    </row>
    <row r="16830">
      <c r="R16830" s="100"/>
      <c r="V16830" s="100"/>
      <c r="Y16830" s="100"/>
    </row>
    <row r="16831">
      <c r="R16831" s="100"/>
      <c r="V16831" s="100"/>
      <c r="Y16831" s="100"/>
    </row>
    <row r="16832">
      <c r="R16832" s="100"/>
      <c r="V16832" s="100"/>
      <c r="Y16832" s="100"/>
    </row>
    <row r="16833">
      <c r="R16833" s="100"/>
      <c r="V16833" s="100"/>
      <c r="Y16833" s="100"/>
    </row>
    <row r="16834">
      <c r="R16834" s="100"/>
      <c r="V16834" s="100"/>
      <c r="Y16834" s="100"/>
    </row>
    <row r="16835">
      <c r="R16835" s="100"/>
      <c r="V16835" s="100"/>
      <c r="Y16835" s="100"/>
    </row>
    <row r="16836">
      <c r="R16836" s="100"/>
      <c r="V16836" s="100"/>
      <c r="Y16836" s="100"/>
    </row>
    <row r="16837">
      <c r="R16837" s="100"/>
      <c r="V16837" s="100"/>
      <c r="Y16837" s="100"/>
    </row>
    <row r="16838">
      <c r="R16838" s="100"/>
      <c r="V16838" s="100"/>
      <c r="Y16838" s="100"/>
    </row>
    <row r="16839">
      <c r="R16839" s="100"/>
      <c r="V16839" s="100"/>
      <c r="Y16839" s="100"/>
    </row>
    <row r="16840">
      <c r="R16840" s="100"/>
      <c r="V16840" s="100"/>
      <c r="Y16840" s="100"/>
    </row>
    <row r="16841">
      <c r="R16841" s="100"/>
      <c r="V16841" s="100"/>
      <c r="Y16841" s="100"/>
    </row>
    <row r="16842">
      <c r="R16842" s="100"/>
      <c r="V16842" s="100"/>
      <c r="Y16842" s="100"/>
    </row>
    <row r="16843">
      <c r="R16843" s="100"/>
      <c r="V16843" s="100"/>
      <c r="Y16843" s="100"/>
    </row>
    <row r="16844">
      <c r="R16844" s="100"/>
      <c r="V16844" s="100"/>
      <c r="Y16844" s="100"/>
    </row>
    <row r="16845">
      <c r="R16845" s="100"/>
      <c r="V16845" s="100"/>
      <c r="Y16845" s="100"/>
    </row>
    <row r="16846">
      <c r="R16846" s="100"/>
      <c r="V16846" s="100"/>
      <c r="Y16846" s="100"/>
    </row>
    <row r="16847">
      <c r="R16847" s="100"/>
      <c r="V16847" s="100"/>
      <c r="Y16847" s="100"/>
    </row>
    <row r="16848">
      <c r="R16848" s="100"/>
      <c r="V16848" s="100"/>
      <c r="Y16848" s="100"/>
    </row>
    <row r="16849">
      <c r="R16849" s="100"/>
      <c r="V16849" s="100"/>
      <c r="Y16849" s="100"/>
    </row>
    <row r="16850">
      <c r="R16850" s="100"/>
      <c r="V16850" s="100"/>
      <c r="Y16850" s="100"/>
    </row>
    <row r="16851">
      <c r="R16851" s="100"/>
      <c r="V16851" s="100"/>
      <c r="Y16851" s="100"/>
    </row>
    <row r="16852">
      <c r="R16852" s="100"/>
      <c r="V16852" s="100"/>
      <c r="Y16852" s="100"/>
    </row>
    <row r="16853">
      <c r="R16853" s="100"/>
      <c r="V16853" s="100"/>
      <c r="Y16853" s="100"/>
    </row>
    <row r="16854">
      <c r="R16854" s="100"/>
      <c r="V16854" s="100"/>
      <c r="Y16854" s="100"/>
    </row>
    <row r="16855">
      <c r="R16855" s="100"/>
      <c r="V16855" s="100"/>
      <c r="Y16855" s="100"/>
    </row>
    <row r="16856">
      <c r="R16856" s="100"/>
      <c r="V16856" s="100"/>
      <c r="Y16856" s="100"/>
    </row>
    <row r="16857">
      <c r="R16857" s="100"/>
      <c r="V16857" s="100"/>
      <c r="Y16857" s="100"/>
    </row>
    <row r="16858">
      <c r="R16858" s="100"/>
      <c r="V16858" s="100"/>
      <c r="Y16858" s="100"/>
    </row>
    <row r="16859">
      <c r="R16859" s="100"/>
      <c r="V16859" s="100"/>
      <c r="Y16859" s="100"/>
    </row>
    <row r="16860">
      <c r="R16860" s="100"/>
      <c r="V16860" s="100"/>
      <c r="Y16860" s="100"/>
    </row>
    <row r="16861">
      <c r="R16861" s="100"/>
      <c r="V16861" s="100"/>
      <c r="Y16861" s="100"/>
    </row>
    <row r="16862">
      <c r="R16862" s="100"/>
      <c r="V16862" s="100"/>
      <c r="Y16862" s="100"/>
    </row>
    <row r="16863">
      <c r="R16863" s="100"/>
      <c r="V16863" s="100"/>
      <c r="Y16863" s="100"/>
    </row>
    <row r="16864">
      <c r="R16864" s="100"/>
      <c r="V16864" s="100"/>
      <c r="Y16864" s="100"/>
    </row>
    <row r="16865">
      <c r="R16865" s="100"/>
      <c r="V16865" s="100"/>
      <c r="Y16865" s="100"/>
    </row>
    <row r="16866">
      <c r="R16866" s="100"/>
      <c r="V16866" s="100"/>
      <c r="Y16866" s="100"/>
    </row>
    <row r="16867">
      <c r="R16867" s="100"/>
      <c r="V16867" s="100"/>
      <c r="Y16867" s="100"/>
    </row>
    <row r="16868">
      <c r="R16868" s="100"/>
      <c r="V16868" s="100"/>
      <c r="Y16868" s="100"/>
    </row>
    <row r="16869">
      <c r="R16869" s="100"/>
      <c r="V16869" s="100"/>
      <c r="Y16869" s="100"/>
    </row>
    <row r="16870">
      <c r="R16870" s="100"/>
      <c r="V16870" s="100"/>
      <c r="Y16870" s="100"/>
    </row>
    <row r="16871">
      <c r="R16871" s="100"/>
      <c r="V16871" s="100"/>
      <c r="Y16871" s="100"/>
    </row>
    <row r="16872">
      <c r="R16872" s="100"/>
      <c r="V16872" s="100"/>
      <c r="Y16872" s="100"/>
    </row>
    <row r="16873">
      <c r="R16873" s="100"/>
      <c r="V16873" s="100"/>
      <c r="Y16873" s="100"/>
    </row>
    <row r="16874">
      <c r="R16874" s="100"/>
      <c r="V16874" s="100"/>
      <c r="Y16874" s="100"/>
    </row>
    <row r="16875">
      <c r="R16875" s="100"/>
      <c r="V16875" s="100"/>
      <c r="Y16875" s="100"/>
    </row>
    <row r="16876">
      <c r="R16876" s="100"/>
      <c r="V16876" s="100"/>
      <c r="Y16876" s="100"/>
    </row>
    <row r="16877">
      <c r="R16877" s="100"/>
      <c r="V16877" s="100"/>
      <c r="Y16877" s="100"/>
    </row>
    <row r="16878">
      <c r="R16878" s="100"/>
      <c r="V16878" s="100"/>
      <c r="Y16878" s="100"/>
    </row>
    <row r="16879">
      <c r="R16879" s="100"/>
      <c r="V16879" s="100"/>
      <c r="Y16879" s="100"/>
    </row>
    <row r="16880">
      <c r="R16880" s="100"/>
      <c r="V16880" s="100"/>
      <c r="Y16880" s="100"/>
    </row>
    <row r="16881">
      <c r="R16881" s="100"/>
      <c r="V16881" s="100"/>
      <c r="Y16881" s="100"/>
    </row>
    <row r="16882">
      <c r="R16882" s="100"/>
      <c r="V16882" s="100"/>
      <c r="Y16882" s="100"/>
    </row>
    <row r="16883">
      <c r="R16883" s="100"/>
      <c r="V16883" s="100"/>
      <c r="Y16883" s="100"/>
    </row>
    <row r="16884">
      <c r="R16884" s="100"/>
      <c r="V16884" s="100"/>
      <c r="Y16884" s="100"/>
    </row>
    <row r="16885">
      <c r="R16885" s="100"/>
      <c r="V16885" s="100"/>
      <c r="Y16885" s="100"/>
    </row>
    <row r="16886">
      <c r="R16886" s="100"/>
      <c r="V16886" s="100"/>
      <c r="Y16886" s="100"/>
    </row>
    <row r="16887">
      <c r="R16887" s="100"/>
      <c r="V16887" s="100"/>
      <c r="Y16887" s="100"/>
    </row>
    <row r="16888">
      <c r="R16888" s="100"/>
      <c r="V16888" s="100"/>
      <c r="Y16888" s="100"/>
    </row>
    <row r="16889">
      <c r="R16889" s="100"/>
      <c r="V16889" s="100"/>
      <c r="Y16889" s="100"/>
    </row>
    <row r="16890">
      <c r="R16890" s="100"/>
      <c r="V16890" s="100"/>
      <c r="Y16890" s="100"/>
    </row>
    <row r="16891">
      <c r="R16891" s="100"/>
      <c r="V16891" s="100"/>
      <c r="Y16891" s="100"/>
    </row>
    <row r="16892">
      <c r="R16892" s="100"/>
      <c r="V16892" s="100"/>
      <c r="Y16892" s="100"/>
    </row>
    <row r="16893">
      <c r="R16893" s="100"/>
      <c r="V16893" s="100"/>
      <c r="Y16893" s="100"/>
    </row>
    <row r="16894">
      <c r="R16894" s="100"/>
      <c r="V16894" s="100"/>
      <c r="Y16894" s="100"/>
    </row>
    <row r="16895">
      <c r="R16895" s="100"/>
      <c r="V16895" s="100"/>
      <c r="Y16895" s="100"/>
    </row>
    <row r="16896">
      <c r="R16896" s="100"/>
      <c r="V16896" s="100"/>
      <c r="Y16896" s="100"/>
    </row>
    <row r="16897">
      <c r="R16897" s="100"/>
      <c r="V16897" s="100"/>
      <c r="Y16897" s="100"/>
    </row>
    <row r="16898">
      <c r="R16898" s="100"/>
      <c r="V16898" s="100"/>
      <c r="Y16898" s="100"/>
    </row>
    <row r="16899">
      <c r="R16899" s="100"/>
      <c r="V16899" s="100"/>
      <c r="Y16899" s="100"/>
    </row>
    <row r="16900">
      <c r="R16900" s="100"/>
      <c r="V16900" s="100"/>
      <c r="Y16900" s="100"/>
    </row>
    <row r="16901">
      <c r="R16901" s="100"/>
      <c r="V16901" s="100"/>
      <c r="Y16901" s="100"/>
    </row>
    <row r="16902">
      <c r="R16902" s="100"/>
      <c r="V16902" s="100"/>
      <c r="Y16902" s="100"/>
    </row>
    <row r="16903">
      <c r="R16903" s="100"/>
      <c r="V16903" s="100"/>
      <c r="Y16903" s="100"/>
    </row>
    <row r="16904">
      <c r="R16904" s="100"/>
      <c r="V16904" s="100"/>
      <c r="Y16904" s="100"/>
    </row>
    <row r="16905">
      <c r="R16905" s="100"/>
      <c r="V16905" s="100"/>
      <c r="Y16905" s="100"/>
    </row>
    <row r="16906">
      <c r="R16906" s="100"/>
      <c r="V16906" s="100"/>
      <c r="Y16906" s="100"/>
    </row>
    <row r="16907">
      <c r="R16907" s="100"/>
      <c r="V16907" s="100"/>
      <c r="Y16907" s="100"/>
    </row>
    <row r="16908">
      <c r="R16908" s="100"/>
      <c r="V16908" s="100"/>
      <c r="Y16908" s="100"/>
    </row>
    <row r="16909">
      <c r="R16909" s="100"/>
      <c r="V16909" s="100"/>
      <c r="Y16909" s="100"/>
    </row>
    <row r="16910">
      <c r="R16910" s="100"/>
      <c r="V16910" s="100"/>
      <c r="Y16910" s="100"/>
    </row>
    <row r="16911">
      <c r="R16911" s="100"/>
      <c r="V16911" s="100"/>
      <c r="Y16911" s="100"/>
    </row>
    <row r="16912">
      <c r="R16912" s="100"/>
      <c r="V16912" s="100"/>
      <c r="Y16912" s="100"/>
    </row>
    <row r="16913">
      <c r="R16913" s="100"/>
      <c r="V16913" s="100"/>
      <c r="Y16913" s="100"/>
    </row>
    <row r="16914">
      <c r="R16914" s="100"/>
      <c r="V16914" s="100"/>
      <c r="Y16914" s="100"/>
    </row>
    <row r="16915">
      <c r="R16915" s="100"/>
      <c r="V16915" s="100"/>
      <c r="Y16915" s="100"/>
    </row>
    <row r="16916">
      <c r="R16916" s="100"/>
      <c r="V16916" s="100"/>
      <c r="Y16916" s="100"/>
    </row>
    <row r="16917">
      <c r="R16917" s="100"/>
      <c r="V16917" s="100"/>
      <c r="Y16917" s="100"/>
    </row>
    <row r="16918">
      <c r="R16918" s="100"/>
      <c r="V16918" s="100"/>
      <c r="Y16918" s="100"/>
    </row>
    <row r="16919">
      <c r="R16919" s="100"/>
      <c r="V16919" s="100"/>
      <c r="Y16919" s="100"/>
    </row>
    <row r="16920">
      <c r="R16920" s="100"/>
      <c r="V16920" s="100"/>
      <c r="Y16920" s="100"/>
    </row>
    <row r="16921">
      <c r="R16921" s="100"/>
      <c r="V16921" s="100"/>
      <c r="Y16921" s="100"/>
    </row>
    <row r="16922">
      <c r="R16922" s="100"/>
      <c r="V16922" s="100"/>
      <c r="Y16922" s="100"/>
    </row>
    <row r="16923">
      <c r="R16923" s="100"/>
      <c r="V16923" s="100"/>
      <c r="Y16923" s="100"/>
    </row>
    <row r="16924">
      <c r="R16924" s="100"/>
      <c r="V16924" s="100"/>
      <c r="Y16924" s="100"/>
    </row>
    <row r="16925">
      <c r="R16925" s="100"/>
      <c r="V16925" s="100"/>
      <c r="Y16925" s="100"/>
    </row>
    <row r="16926">
      <c r="R16926" s="100"/>
      <c r="V16926" s="100"/>
      <c r="Y16926" s="100"/>
    </row>
    <row r="16927">
      <c r="R16927" s="100"/>
      <c r="V16927" s="100"/>
      <c r="Y16927" s="100"/>
    </row>
    <row r="16928">
      <c r="R16928" s="100"/>
      <c r="V16928" s="100"/>
      <c r="Y16928" s="100"/>
    </row>
    <row r="16929">
      <c r="R16929" s="100"/>
      <c r="V16929" s="100"/>
      <c r="Y16929" s="100"/>
    </row>
    <row r="16930">
      <c r="R16930" s="100"/>
      <c r="V16930" s="100"/>
      <c r="Y16930" s="100"/>
    </row>
    <row r="16931">
      <c r="R16931" s="100"/>
      <c r="V16931" s="100"/>
      <c r="Y16931" s="100"/>
    </row>
    <row r="16932">
      <c r="R16932" s="100"/>
      <c r="V16932" s="100"/>
      <c r="Y16932" s="100"/>
    </row>
    <row r="16933">
      <c r="R16933" s="100"/>
      <c r="V16933" s="100"/>
      <c r="Y16933" s="100"/>
    </row>
    <row r="16934">
      <c r="R16934" s="100"/>
      <c r="V16934" s="100"/>
      <c r="Y16934" s="100"/>
    </row>
    <row r="16935">
      <c r="R16935" s="100"/>
      <c r="V16935" s="100"/>
      <c r="Y16935" s="100"/>
    </row>
    <row r="16936">
      <c r="R16936" s="100"/>
      <c r="V16936" s="100"/>
      <c r="Y16936" s="100"/>
    </row>
    <row r="16937">
      <c r="R16937" s="100"/>
      <c r="V16937" s="100"/>
      <c r="Y16937" s="100"/>
    </row>
    <row r="16938">
      <c r="R16938" s="100"/>
      <c r="V16938" s="100"/>
      <c r="Y16938" s="100"/>
    </row>
    <row r="16939">
      <c r="R16939" s="100"/>
      <c r="V16939" s="100"/>
      <c r="Y16939" s="100"/>
    </row>
    <row r="16940">
      <c r="R16940" s="100"/>
      <c r="V16940" s="100"/>
      <c r="Y16940" s="100"/>
    </row>
    <row r="16941">
      <c r="R16941" s="100"/>
      <c r="V16941" s="100"/>
      <c r="Y16941" s="100"/>
    </row>
    <row r="16942">
      <c r="R16942" s="100"/>
      <c r="V16942" s="100"/>
      <c r="Y16942" s="100"/>
    </row>
    <row r="16943">
      <c r="R16943" s="100"/>
      <c r="V16943" s="100"/>
      <c r="Y16943" s="100"/>
    </row>
    <row r="16944">
      <c r="R16944" s="100"/>
      <c r="V16944" s="100"/>
      <c r="Y16944" s="100"/>
    </row>
    <row r="16945">
      <c r="R16945" s="100"/>
      <c r="V16945" s="100"/>
      <c r="Y16945" s="100"/>
    </row>
    <row r="16946">
      <c r="R16946" s="100"/>
      <c r="V16946" s="100"/>
      <c r="Y16946" s="100"/>
    </row>
    <row r="16947">
      <c r="R16947" s="100"/>
      <c r="V16947" s="100"/>
      <c r="Y16947" s="100"/>
    </row>
    <row r="16948">
      <c r="R16948" s="100"/>
      <c r="V16948" s="100"/>
      <c r="Y16948" s="100"/>
    </row>
    <row r="16949">
      <c r="R16949" s="100"/>
      <c r="V16949" s="100"/>
      <c r="Y16949" s="100"/>
    </row>
    <row r="16950">
      <c r="R16950" s="100"/>
      <c r="V16950" s="100"/>
      <c r="Y16950" s="100"/>
    </row>
    <row r="16951">
      <c r="R16951" s="100"/>
      <c r="V16951" s="100"/>
      <c r="Y16951" s="100"/>
    </row>
    <row r="16952">
      <c r="R16952" s="100"/>
      <c r="V16952" s="100"/>
      <c r="Y16952" s="100"/>
    </row>
    <row r="16953">
      <c r="R16953" s="100"/>
      <c r="V16953" s="100"/>
      <c r="Y16953" s="100"/>
    </row>
    <row r="16954">
      <c r="R16954" s="100"/>
      <c r="V16954" s="100"/>
      <c r="Y16954" s="100"/>
    </row>
    <row r="16955">
      <c r="R16955" s="100"/>
      <c r="V16955" s="100"/>
      <c r="Y16955" s="100"/>
    </row>
    <row r="16956">
      <c r="R16956" s="100"/>
      <c r="V16956" s="100"/>
      <c r="Y16956" s="100"/>
    </row>
    <row r="16957">
      <c r="R16957" s="100"/>
      <c r="V16957" s="100"/>
      <c r="Y16957" s="100"/>
    </row>
    <row r="16958">
      <c r="R16958" s="100"/>
      <c r="V16958" s="100"/>
      <c r="Y16958" s="100"/>
    </row>
    <row r="16959">
      <c r="R16959" s="100"/>
      <c r="V16959" s="100"/>
      <c r="Y16959" s="100"/>
    </row>
    <row r="16960">
      <c r="R16960" s="100"/>
      <c r="V16960" s="100"/>
      <c r="Y16960" s="100"/>
    </row>
    <row r="16961">
      <c r="R16961" s="100"/>
      <c r="V16961" s="100"/>
      <c r="Y16961" s="100"/>
    </row>
    <row r="16962">
      <c r="R16962" s="100"/>
      <c r="V16962" s="100"/>
      <c r="Y16962" s="100"/>
    </row>
    <row r="16963">
      <c r="R16963" s="100"/>
      <c r="V16963" s="100"/>
      <c r="Y16963" s="100"/>
    </row>
    <row r="16964">
      <c r="R16964" s="100"/>
      <c r="V16964" s="100"/>
      <c r="Y16964" s="100"/>
    </row>
    <row r="16965">
      <c r="R16965" s="100"/>
      <c r="V16965" s="100"/>
      <c r="Y16965" s="100"/>
    </row>
    <row r="16966">
      <c r="R16966" s="100"/>
      <c r="V16966" s="100"/>
      <c r="Y16966" s="100"/>
    </row>
    <row r="16967">
      <c r="R16967" s="100"/>
      <c r="V16967" s="100"/>
      <c r="Y16967" s="100"/>
    </row>
    <row r="16968">
      <c r="R16968" s="100"/>
      <c r="V16968" s="100"/>
      <c r="Y16968" s="100"/>
    </row>
    <row r="16969">
      <c r="R16969" s="100"/>
      <c r="V16969" s="100"/>
      <c r="Y16969" s="100"/>
    </row>
    <row r="16970">
      <c r="R16970" s="100"/>
      <c r="V16970" s="100"/>
      <c r="Y16970" s="100"/>
    </row>
    <row r="16971">
      <c r="R16971" s="100"/>
      <c r="V16971" s="100"/>
      <c r="Y16971" s="100"/>
    </row>
    <row r="16972">
      <c r="R16972" s="100"/>
      <c r="V16972" s="100"/>
      <c r="Y16972" s="100"/>
    </row>
    <row r="16973">
      <c r="R16973" s="100"/>
      <c r="V16973" s="100"/>
      <c r="Y16973" s="100"/>
    </row>
    <row r="16974">
      <c r="R16974" s="100"/>
      <c r="V16974" s="100"/>
      <c r="Y16974" s="100"/>
    </row>
    <row r="16975">
      <c r="R16975" s="100"/>
      <c r="V16975" s="100"/>
      <c r="Y16975" s="100"/>
    </row>
    <row r="16976">
      <c r="R16976" s="100"/>
      <c r="V16976" s="100"/>
      <c r="Y16976" s="100"/>
    </row>
    <row r="16977">
      <c r="R16977" s="100"/>
      <c r="V16977" s="100"/>
      <c r="Y16977" s="100"/>
    </row>
    <row r="16978">
      <c r="R16978" s="100"/>
      <c r="V16978" s="100"/>
      <c r="Y16978" s="100"/>
    </row>
    <row r="16979">
      <c r="R16979" s="100"/>
      <c r="V16979" s="100"/>
      <c r="Y16979" s="100"/>
    </row>
    <row r="16980">
      <c r="R16980" s="100"/>
      <c r="V16980" s="100"/>
      <c r="Y16980" s="100"/>
    </row>
    <row r="16981">
      <c r="R16981" s="100"/>
      <c r="V16981" s="100"/>
      <c r="Y16981" s="100"/>
    </row>
    <row r="16982">
      <c r="R16982" s="100"/>
      <c r="V16982" s="100"/>
      <c r="Y16982" s="100"/>
    </row>
    <row r="16983">
      <c r="R16983" s="100"/>
      <c r="V16983" s="100"/>
      <c r="Y16983" s="100"/>
    </row>
    <row r="16984">
      <c r="R16984" s="100"/>
      <c r="V16984" s="100"/>
      <c r="Y16984" s="100"/>
    </row>
    <row r="16985">
      <c r="R16985" s="100"/>
      <c r="V16985" s="100"/>
      <c r="Y16985" s="100"/>
    </row>
    <row r="16986">
      <c r="R16986" s="100"/>
      <c r="V16986" s="100"/>
      <c r="Y16986" s="100"/>
    </row>
    <row r="16987">
      <c r="R16987" s="100"/>
      <c r="V16987" s="100"/>
      <c r="Y16987" s="100"/>
    </row>
    <row r="16988">
      <c r="R16988" s="100"/>
      <c r="V16988" s="100"/>
      <c r="Y16988" s="100"/>
    </row>
    <row r="16989">
      <c r="R16989" s="100"/>
      <c r="V16989" s="100"/>
      <c r="Y16989" s="100"/>
    </row>
    <row r="16990">
      <c r="R16990" s="100"/>
      <c r="V16990" s="100"/>
      <c r="Y16990" s="100"/>
    </row>
    <row r="16991">
      <c r="R16991" s="100"/>
      <c r="V16991" s="100"/>
      <c r="Y16991" s="100"/>
    </row>
    <row r="16992">
      <c r="R16992" s="100"/>
      <c r="V16992" s="100"/>
      <c r="Y16992" s="100"/>
    </row>
    <row r="16993">
      <c r="R16993" s="100"/>
      <c r="V16993" s="100"/>
      <c r="Y16993" s="100"/>
    </row>
    <row r="16994">
      <c r="R16994" s="100"/>
      <c r="V16994" s="100"/>
      <c r="Y16994" s="100"/>
    </row>
    <row r="16995">
      <c r="R16995" s="100"/>
      <c r="V16995" s="100"/>
      <c r="Y16995" s="100"/>
    </row>
    <row r="16996">
      <c r="R16996" s="100"/>
      <c r="V16996" s="100"/>
      <c r="Y16996" s="100"/>
    </row>
    <row r="16997">
      <c r="R16997" s="100"/>
      <c r="V16997" s="100"/>
      <c r="Y16997" s="100"/>
    </row>
    <row r="16998">
      <c r="R16998" s="100"/>
      <c r="V16998" s="100"/>
      <c r="Y16998" s="100"/>
    </row>
    <row r="16999">
      <c r="R16999" s="100"/>
      <c r="V16999" s="100"/>
      <c r="Y16999" s="100"/>
    </row>
    <row r="17000">
      <c r="R17000" s="100"/>
      <c r="V17000" s="100"/>
      <c r="Y17000" s="100"/>
    </row>
    <row r="17001">
      <c r="R17001" s="100"/>
      <c r="V17001" s="100"/>
      <c r="Y17001" s="100"/>
    </row>
    <row r="17002">
      <c r="R17002" s="100"/>
      <c r="V17002" s="100"/>
      <c r="Y17002" s="100"/>
    </row>
    <row r="17003">
      <c r="R17003" s="100"/>
      <c r="V17003" s="100"/>
      <c r="Y17003" s="100"/>
    </row>
    <row r="17004">
      <c r="R17004" s="100"/>
      <c r="V17004" s="100"/>
      <c r="Y17004" s="100"/>
    </row>
    <row r="17005">
      <c r="R17005" s="100"/>
      <c r="V17005" s="100"/>
      <c r="Y17005" s="100"/>
    </row>
    <row r="17006">
      <c r="R17006" s="100"/>
      <c r="V17006" s="100"/>
      <c r="Y17006" s="100"/>
    </row>
    <row r="17007">
      <c r="R17007" s="100"/>
      <c r="V17007" s="100"/>
      <c r="Y17007" s="100"/>
    </row>
    <row r="17008">
      <c r="R17008" s="100"/>
      <c r="V17008" s="100"/>
      <c r="Y17008" s="100"/>
    </row>
    <row r="17009">
      <c r="R17009" s="100"/>
      <c r="V17009" s="100"/>
      <c r="Y17009" s="100"/>
    </row>
    <row r="17010">
      <c r="R17010" s="100"/>
      <c r="V17010" s="100"/>
      <c r="Y17010" s="100"/>
    </row>
    <row r="17011">
      <c r="R17011" s="100"/>
      <c r="V17011" s="100"/>
      <c r="Y17011" s="100"/>
    </row>
    <row r="17012">
      <c r="R17012" s="100"/>
      <c r="V17012" s="100"/>
      <c r="Y17012" s="100"/>
    </row>
    <row r="17013">
      <c r="R17013" s="100"/>
      <c r="V17013" s="100"/>
      <c r="Y17013" s="100"/>
    </row>
    <row r="17014">
      <c r="R17014" s="100"/>
      <c r="V17014" s="100"/>
      <c r="Y17014" s="100"/>
    </row>
    <row r="17015">
      <c r="R17015" s="100"/>
      <c r="V17015" s="100"/>
      <c r="Y17015" s="100"/>
    </row>
    <row r="17016">
      <c r="R17016" s="100"/>
      <c r="V17016" s="100"/>
      <c r="Y17016" s="100"/>
    </row>
    <row r="17017">
      <c r="R17017" s="100"/>
      <c r="V17017" s="100"/>
      <c r="Y17017" s="100"/>
    </row>
    <row r="17018">
      <c r="R17018" s="100"/>
      <c r="V17018" s="100"/>
      <c r="Y17018" s="100"/>
    </row>
    <row r="17019">
      <c r="R17019" s="100"/>
      <c r="V17019" s="100"/>
      <c r="Y17019" s="100"/>
    </row>
    <row r="17020">
      <c r="R17020" s="100"/>
      <c r="V17020" s="100"/>
      <c r="Y17020" s="100"/>
    </row>
    <row r="17021">
      <c r="R17021" s="100"/>
      <c r="V17021" s="100"/>
      <c r="Y17021" s="100"/>
    </row>
    <row r="17022">
      <c r="R17022" s="100"/>
      <c r="V17022" s="100"/>
      <c r="Y17022" s="100"/>
    </row>
    <row r="17023">
      <c r="R17023" s="100"/>
      <c r="V17023" s="100"/>
      <c r="Y17023" s="100"/>
    </row>
    <row r="17024">
      <c r="R17024" s="100"/>
      <c r="V17024" s="100"/>
      <c r="Y17024" s="100"/>
    </row>
    <row r="17025">
      <c r="R17025" s="100"/>
      <c r="V17025" s="100"/>
      <c r="Y17025" s="100"/>
    </row>
    <row r="17026">
      <c r="R17026" s="100"/>
      <c r="V17026" s="100"/>
      <c r="Y17026" s="100"/>
    </row>
    <row r="17027">
      <c r="R17027" s="100"/>
      <c r="V17027" s="100"/>
      <c r="Y17027" s="100"/>
    </row>
    <row r="17028">
      <c r="R17028" s="100"/>
      <c r="V17028" s="100"/>
      <c r="Y17028" s="100"/>
    </row>
    <row r="17029">
      <c r="R17029" s="100"/>
      <c r="V17029" s="100"/>
      <c r="Y17029" s="100"/>
    </row>
    <row r="17030">
      <c r="R17030" s="100"/>
      <c r="V17030" s="100"/>
      <c r="Y17030" s="100"/>
    </row>
    <row r="17031">
      <c r="R17031" s="100"/>
      <c r="V17031" s="100"/>
      <c r="Y17031" s="100"/>
    </row>
    <row r="17032">
      <c r="R17032" s="100"/>
      <c r="V17032" s="100"/>
      <c r="Y17032" s="100"/>
    </row>
    <row r="17033">
      <c r="R17033" s="100"/>
      <c r="V17033" s="100"/>
      <c r="Y17033" s="100"/>
    </row>
    <row r="17034">
      <c r="R17034" s="100"/>
      <c r="V17034" s="100"/>
      <c r="Y17034" s="100"/>
    </row>
    <row r="17035">
      <c r="R17035" s="100"/>
      <c r="V17035" s="100"/>
      <c r="Y17035" s="100"/>
    </row>
    <row r="17036">
      <c r="R17036" s="100"/>
      <c r="V17036" s="100"/>
      <c r="Y17036" s="100"/>
    </row>
    <row r="17037">
      <c r="R17037" s="100"/>
      <c r="V17037" s="100"/>
      <c r="Y17037" s="100"/>
    </row>
    <row r="17038">
      <c r="R17038" s="100"/>
      <c r="V17038" s="100"/>
      <c r="Y17038" s="100"/>
    </row>
    <row r="17039">
      <c r="R17039" s="100"/>
      <c r="V17039" s="100"/>
      <c r="Y17039" s="100"/>
    </row>
    <row r="17040">
      <c r="R17040" s="100"/>
      <c r="V17040" s="100"/>
      <c r="Y17040" s="100"/>
    </row>
    <row r="17041">
      <c r="R17041" s="100"/>
      <c r="V17041" s="100"/>
      <c r="Y17041" s="100"/>
    </row>
    <row r="17042">
      <c r="R17042" s="100"/>
      <c r="V17042" s="100"/>
      <c r="Y17042" s="100"/>
    </row>
    <row r="17043">
      <c r="R17043" s="100"/>
      <c r="V17043" s="100"/>
      <c r="Y17043" s="100"/>
    </row>
    <row r="17044">
      <c r="R17044" s="100"/>
      <c r="V17044" s="100"/>
      <c r="Y17044" s="100"/>
    </row>
    <row r="17045">
      <c r="R17045" s="100"/>
      <c r="V17045" s="100"/>
      <c r="Y17045" s="100"/>
    </row>
    <row r="17046">
      <c r="R17046" s="100"/>
      <c r="V17046" s="100"/>
      <c r="Y17046" s="100"/>
    </row>
    <row r="17047">
      <c r="R17047" s="100"/>
      <c r="V17047" s="100"/>
      <c r="Y17047" s="100"/>
    </row>
    <row r="17048">
      <c r="R17048" s="100"/>
      <c r="V17048" s="100"/>
      <c r="Y17048" s="100"/>
    </row>
    <row r="17049">
      <c r="R17049" s="100"/>
      <c r="V17049" s="100"/>
      <c r="Y17049" s="100"/>
    </row>
    <row r="17050">
      <c r="R17050" s="100"/>
      <c r="V17050" s="100"/>
      <c r="Y17050" s="100"/>
    </row>
    <row r="17051">
      <c r="R17051" s="100"/>
      <c r="V17051" s="100"/>
      <c r="Y17051" s="100"/>
    </row>
    <row r="17052">
      <c r="R17052" s="100"/>
      <c r="V17052" s="100"/>
      <c r="Y17052" s="100"/>
    </row>
    <row r="17053">
      <c r="R17053" s="100"/>
      <c r="V17053" s="100"/>
      <c r="Y17053" s="100"/>
    </row>
    <row r="17054">
      <c r="R17054" s="100"/>
      <c r="V17054" s="100"/>
      <c r="Y17054" s="100"/>
    </row>
    <row r="17055">
      <c r="R17055" s="100"/>
      <c r="V17055" s="100"/>
      <c r="Y17055" s="100"/>
    </row>
    <row r="17056">
      <c r="R17056" s="100"/>
      <c r="V17056" s="100"/>
      <c r="Y17056" s="100"/>
    </row>
    <row r="17057">
      <c r="R17057" s="100"/>
      <c r="V17057" s="100"/>
      <c r="Y17057" s="100"/>
    </row>
    <row r="17058">
      <c r="R17058" s="100"/>
      <c r="V17058" s="100"/>
      <c r="Y17058" s="100"/>
    </row>
    <row r="17059">
      <c r="R17059" s="100"/>
      <c r="V17059" s="100"/>
      <c r="Y17059" s="100"/>
    </row>
    <row r="17060">
      <c r="R17060" s="100"/>
      <c r="V17060" s="100"/>
      <c r="Y17060" s="100"/>
    </row>
    <row r="17061">
      <c r="R17061" s="100"/>
      <c r="V17061" s="100"/>
      <c r="Y17061" s="100"/>
    </row>
    <row r="17062">
      <c r="R17062" s="100"/>
      <c r="V17062" s="100"/>
      <c r="Y17062" s="100"/>
    </row>
    <row r="17063">
      <c r="R17063" s="100"/>
      <c r="V17063" s="100"/>
      <c r="Y17063" s="100"/>
    </row>
    <row r="17064">
      <c r="R17064" s="100"/>
      <c r="V17064" s="100"/>
      <c r="Y17064" s="100"/>
    </row>
    <row r="17065">
      <c r="R17065" s="100"/>
      <c r="V17065" s="100"/>
      <c r="Y17065" s="100"/>
    </row>
    <row r="17066">
      <c r="R17066" s="100"/>
      <c r="V17066" s="100"/>
      <c r="Y17066" s="100"/>
    </row>
    <row r="17067">
      <c r="R17067" s="100"/>
      <c r="V17067" s="100"/>
      <c r="Y17067" s="100"/>
    </row>
    <row r="17068">
      <c r="R17068" s="100"/>
      <c r="V17068" s="100"/>
      <c r="Y17068" s="100"/>
    </row>
    <row r="17069">
      <c r="R17069" s="100"/>
      <c r="V17069" s="100"/>
      <c r="Y17069" s="100"/>
    </row>
    <row r="17070">
      <c r="R17070" s="100"/>
      <c r="V17070" s="100"/>
      <c r="Y17070" s="100"/>
    </row>
    <row r="17071">
      <c r="R17071" s="100"/>
      <c r="V17071" s="100"/>
      <c r="Y17071" s="100"/>
    </row>
    <row r="17072">
      <c r="R17072" s="100"/>
      <c r="V17072" s="100"/>
      <c r="Y17072" s="100"/>
    </row>
    <row r="17073">
      <c r="R17073" s="100"/>
      <c r="V17073" s="100"/>
      <c r="Y17073" s="100"/>
    </row>
    <row r="17074">
      <c r="R17074" s="100"/>
      <c r="V17074" s="100"/>
      <c r="Y17074" s="100"/>
    </row>
    <row r="17075">
      <c r="R17075" s="100"/>
      <c r="V17075" s="100"/>
      <c r="Y17075" s="100"/>
    </row>
    <row r="17076">
      <c r="R17076" s="100"/>
      <c r="V17076" s="100"/>
      <c r="Y17076" s="100"/>
    </row>
    <row r="17077">
      <c r="R17077" s="100"/>
      <c r="V17077" s="100"/>
      <c r="Y17077" s="100"/>
    </row>
    <row r="17078">
      <c r="R17078" s="100"/>
      <c r="V17078" s="100"/>
      <c r="Y17078" s="100"/>
    </row>
    <row r="17079">
      <c r="R17079" s="100"/>
      <c r="V17079" s="100"/>
      <c r="Y17079" s="100"/>
    </row>
    <row r="17080">
      <c r="R17080" s="100"/>
      <c r="V17080" s="100"/>
      <c r="Y17080" s="100"/>
    </row>
    <row r="17081">
      <c r="R17081" s="100"/>
      <c r="V17081" s="100"/>
      <c r="Y17081" s="100"/>
    </row>
    <row r="17082">
      <c r="R17082" s="100"/>
      <c r="V17082" s="100"/>
      <c r="Y17082" s="100"/>
    </row>
    <row r="17083">
      <c r="R17083" s="100"/>
      <c r="V17083" s="100"/>
      <c r="Y17083" s="100"/>
    </row>
    <row r="17084">
      <c r="R17084" s="100"/>
      <c r="V17084" s="100"/>
      <c r="Y17084" s="100"/>
    </row>
    <row r="17085">
      <c r="R17085" s="100"/>
      <c r="V17085" s="100"/>
      <c r="Y17085" s="100"/>
    </row>
    <row r="17086">
      <c r="R17086" s="100"/>
      <c r="V17086" s="100"/>
      <c r="Y17086" s="100"/>
    </row>
    <row r="17087">
      <c r="R17087" s="100"/>
      <c r="V17087" s="100"/>
      <c r="Y17087" s="100"/>
    </row>
    <row r="17088">
      <c r="R17088" s="100"/>
      <c r="V17088" s="100"/>
      <c r="Y17088" s="100"/>
    </row>
    <row r="17089">
      <c r="R17089" s="100"/>
      <c r="V17089" s="100"/>
      <c r="Y17089" s="100"/>
    </row>
    <row r="17090">
      <c r="R17090" s="100"/>
      <c r="V17090" s="100"/>
      <c r="Y17090" s="100"/>
    </row>
    <row r="17091">
      <c r="R17091" s="100"/>
      <c r="V17091" s="100"/>
      <c r="Y17091" s="100"/>
    </row>
    <row r="17092">
      <c r="R17092" s="100"/>
      <c r="V17092" s="100"/>
      <c r="Y17092" s="100"/>
    </row>
    <row r="17093">
      <c r="R17093" s="100"/>
      <c r="V17093" s="100"/>
      <c r="Y17093" s="100"/>
    </row>
    <row r="17094">
      <c r="R17094" s="100"/>
      <c r="V17094" s="100"/>
      <c r="Y17094" s="100"/>
    </row>
    <row r="17095">
      <c r="R17095" s="100"/>
      <c r="V17095" s="100"/>
      <c r="Y17095" s="100"/>
    </row>
    <row r="17096">
      <c r="R17096" s="100"/>
      <c r="V17096" s="100"/>
      <c r="Y17096" s="100"/>
    </row>
    <row r="17097">
      <c r="R17097" s="100"/>
      <c r="V17097" s="100"/>
      <c r="Y17097" s="100"/>
    </row>
    <row r="17098">
      <c r="R17098" s="100"/>
      <c r="V17098" s="100"/>
      <c r="Y17098" s="100"/>
    </row>
    <row r="17099">
      <c r="R17099" s="100"/>
      <c r="V17099" s="100"/>
      <c r="Y17099" s="100"/>
    </row>
    <row r="17100">
      <c r="R17100" s="100"/>
      <c r="V17100" s="100"/>
      <c r="Y17100" s="100"/>
    </row>
    <row r="17101">
      <c r="R17101" s="100"/>
      <c r="V17101" s="100"/>
      <c r="Y17101" s="100"/>
    </row>
    <row r="17102">
      <c r="R17102" s="100"/>
      <c r="V17102" s="100"/>
      <c r="Y17102" s="100"/>
    </row>
    <row r="17103">
      <c r="R17103" s="100"/>
      <c r="V17103" s="100"/>
      <c r="Y17103" s="100"/>
    </row>
    <row r="17104">
      <c r="R17104" s="100"/>
      <c r="V17104" s="100"/>
      <c r="Y17104" s="100"/>
    </row>
    <row r="17105">
      <c r="R17105" s="100"/>
      <c r="V17105" s="100"/>
      <c r="Y17105" s="100"/>
    </row>
    <row r="17106">
      <c r="R17106" s="100"/>
      <c r="V17106" s="100"/>
      <c r="Y17106" s="100"/>
    </row>
    <row r="17107">
      <c r="R17107" s="100"/>
      <c r="V17107" s="100"/>
      <c r="Y17107" s="100"/>
    </row>
    <row r="17108">
      <c r="R17108" s="100"/>
      <c r="V17108" s="100"/>
      <c r="Y17108" s="100"/>
    </row>
    <row r="17109">
      <c r="R17109" s="100"/>
      <c r="V17109" s="100"/>
      <c r="Y17109" s="100"/>
    </row>
    <row r="17110">
      <c r="R17110" s="100"/>
      <c r="V17110" s="100"/>
      <c r="Y17110" s="100"/>
    </row>
    <row r="17111">
      <c r="R17111" s="100"/>
      <c r="V17111" s="100"/>
      <c r="Y17111" s="100"/>
    </row>
    <row r="17112">
      <c r="R17112" s="100"/>
      <c r="V17112" s="100"/>
      <c r="Y17112" s="100"/>
    </row>
    <row r="17113">
      <c r="R17113" s="100"/>
      <c r="V17113" s="100"/>
      <c r="Y17113" s="100"/>
    </row>
    <row r="17114">
      <c r="R17114" s="100"/>
      <c r="V17114" s="100"/>
      <c r="Y17114" s="100"/>
    </row>
    <row r="17115">
      <c r="R17115" s="100"/>
      <c r="V17115" s="100"/>
      <c r="Y17115" s="100"/>
    </row>
    <row r="17116">
      <c r="R17116" s="100"/>
      <c r="V17116" s="100"/>
      <c r="Y17116" s="100"/>
    </row>
    <row r="17117">
      <c r="R17117" s="100"/>
      <c r="V17117" s="100"/>
      <c r="Y17117" s="100"/>
    </row>
    <row r="17118">
      <c r="R17118" s="100"/>
      <c r="V17118" s="100"/>
      <c r="Y17118" s="100"/>
    </row>
    <row r="17119">
      <c r="R17119" s="100"/>
      <c r="V17119" s="100"/>
      <c r="Y17119" s="100"/>
    </row>
    <row r="17120">
      <c r="R17120" s="100"/>
      <c r="V17120" s="100"/>
      <c r="Y17120" s="100"/>
    </row>
    <row r="17121">
      <c r="R17121" s="100"/>
      <c r="V17121" s="100"/>
      <c r="Y17121" s="100"/>
    </row>
    <row r="17122">
      <c r="R17122" s="100"/>
      <c r="V17122" s="100"/>
      <c r="Y17122" s="100"/>
    </row>
    <row r="17123">
      <c r="R17123" s="100"/>
      <c r="V17123" s="100"/>
      <c r="Y17123" s="100"/>
    </row>
    <row r="17124">
      <c r="R17124" s="100"/>
      <c r="V17124" s="100"/>
      <c r="Y17124" s="100"/>
    </row>
    <row r="17125">
      <c r="R17125" s="100"/>
      <c r="V17125" s="100"/>
      <c r="Y17125" s="100"/>
    </row>
    <row r="17126">
      <c r="R17126" s="100"/>
      <c r="V17126" s="100"/>
      <c r="Y17126" s="100"/>
    </row>
    <row r="17127">
      <c r="R17127" s="100"/>
      <c r="V17127" s="100"/>
      <c r="Y17127" s="100"/>
    </row>
    <row r="17128">
      <c r="R17128" s="100"/>
      <c r="V17128" s="100"/>
      <c r="Y17128" s="100"/>
    </row>
    <row r="17129">
      <c r="R17129" s="100"/>
      <c r="V17129" s="100"/>
      <c r="Y17129" s="100"/>
    </row>
    <row r="17130">
      <c r="R17130" s="100"/>
      <c r="V17130" s="100"/>
      <c r="Y17130" s="100"/>
    </row>
    <row r="17131">
      <c r="R17131" s="100"/>
      <c r="V17131" s="100"/>
      <c r="Y17131" s="100"/>
    </row>
    <row r="17132">
      <c r="R17132" s="100"/>
      <c r="V17132" s="100"/>
      <c r="Y17132" s="100"/>
    </row>
    <row r="17133">
      <c r="R17133" s="100"/>
      <c r="V17133" s="100"/>
      <c r="Y17133" s="100"/>
    </row>
    <row r="17134">
      <c r="R17134" s="100"/>
      <c r="V17134" s="100"/>
      <c r="Y17134" s="100"/>
    </row>
    <row r="17135">
      <c r="R17135" s="100"/>
      <c r="V17135" s="100"/>
      <c r="Y17135" s="100"/>
    </row>
    <row r="17136">
      <c r="R17136" s="100"/>
      <c r="V17136" s="100"/>
      <c r="Y17136" s="100"/>
    </row>
    <row r="17137">
      <c r="R17137" s="100"/>
      <c r="V17137" s="100"/>
      <c r="Y17137" s="100"/>
    </row>
    <row r="17138">
      <c r="R17138" s="100"/>
      <c r="V17138" s="100"/>
      <c r="Y17138" s="100"/>
    </row>
    <row r="17139">
      <c r="R17139" s="100"/>
      <c r="V17139" s="100"/>
      <c r="Y17139" s="100"/>
    </row>
    <row r="17140">
      <c r="R17140" s="100"/>
      <c r="V17140" s="100"/>
      <c r="Y17140" s="100"/>
    </row>
    <row r="17141">
      <c r="R17141" s="100"/>
      <c r="V17141" s="100"/>
      <c r="Y17141" s="100"/>
    </row>
    <row r="17142">
      <c r="R17142" s="100"/>
      <c r="V17142" s="100"/>
      <c r="Y17142" s="100"/>
    </row>
    <row r="17143">
      <c r="R17143" s="100"/>
      <c r="V17143" s="100"/>
      <c r="Y17143" s="100"/>
    </row>
    <row r="17144">
      <c r="R17144" s="100"/>
      <c r="V17144" s="100"/>
      <c r="Y17144" s="100"/>
    </row>
    <row r="17145">
      <c r="R17145" s="100"/>
      <c r="V17145" s="100"/>
      <c r="Y17145" s="100"/>
    </row>
    <row r="17146">
      <c r="R17146" s="100"/>
      <c r="V17146" s="100"/>
      <c r="Y17146" s="100"/>
    </row>
    <row r="17147">
      <c r="R17147" s="100"/>
      <c r="V17147" s="100"/>
      <c r="Y17147" s="100"/>
    </row>
    <row r="17148">
      <c r="R17148" s="100"/>
      <c r="V17148" s="100"/>
      <c r="Y17148" s="100"/>
    </row>
    <row r="17149">
      <c r="R17149" s="100"/>
      <c r="V17149" s="100"/>
      <c r="Y17149" s="100"/>
    </row>
    <row r="17150">
      <c r="R17150" s="100"/>
      <c r="V17150" s="100"/>
      <c r="Y17150" s="100"/>
    </row>
    <row r="17151">
      <c r="R17151" s="100"/>
      <c r="V17151" s="100"/>
      <c r="Y17151" s="100"/>
    </row>
    <row r="17152">
      <c r="R17152" s="100"/>
      <c r="V17152" s="100"/>
      <c r="Y17152" s="100"/>
    </row>
    <row r="17153">
      <c r="R17153" s="100"/>
      <c r="V17153" s="100"/>
      <c r="Y17153" s="100"/>
    </row>
    <row r="17154">
      <c r="R17154" s="100"/>
      <c r="V17154" s="100"/>
      <c r="Y17154" s="100"/>
    </row>
    <row r="17155">
      <c r="R17155" s="100"/>
      <c r="V17155" s="100"/>
      <c r="Y17155" s="100"/>
    </row>
    <row r="17156">
      <c r="R17156" s="100"/>
      <c r="V17156" s="100"/>
      <c r="Y17156" s="100"/>
    </row>
    <row r="17157">
      <c r="R17157" s="100"/>
      <c r="V17157" s="100"/>
      <c r="Y17157" s="100"/>
    </row>
    <row r="17158">
      <c r="R17158" s="100"/>
      <c r="V17158" s="100"/>
      <c r="Y17158" s="100"/>
    </row>
    <row r="17159">
      <c r="R17159" s="100"/>
      <c r="V17159" s="100"/>
      <c r="Y17159" s="100"/>
    </row>
    <row r="17160">
      <c r="R17160" s="100"/>
      <c r="V17160" s="100"/>
      <c r="Y17160" s="100"/>
    </row>
    <row r="17161">
      <c r="R17161" s="100"/>
      <c r="V17161" s="100"/>
      <c r="Y17161" s="100"/>
    </row>
    <row r="17162">
      <c r="R17162" s="100"/>
      <c r="V17162" s="100"/>
      <c r="Y17162" s="100"/>
    </row>
    <row r="17163">
      <c r="R17163" s="100"/>
      <c r="V17163" s="100"/>
      <c r="Y17163" s="100"/>
    </row>
    <row r="17164">
      <c r="R17164" s="100"/>
      <c r="V17164" s="100"/>
      <c r="Y17164" s="100"/>
    </row>
    <row r="17165">
      <c r="R17165" s="100"/>
      <c r="V17165" s="100"/>
      <c r="Y17165" s="100"/>
    </row>
    <row r="17166">
      <c r="R17166" s="100"/>
      <c r="V17166" s="100"/>
      <c r="Y17166" s="100"/>
    </row>
    <row r="17167">
      <c r="R17167" s="100"/>
      <c r="V17167" s="100"/>
      <c r="Y17167" s="100"/>
    </row>
    <row r="17168">
      <c r="R17168" s="100"/>
      <c r="V17168" s="100"/>
      <c r="Y17168" s="100"/>
    </row>
    <row r="17169">
      <c r="R17169" s="100"/>
      <c r="V17169" s="100"/>
      <c r="Y17169" s="100"/>
    </row>
    <row r="17170">
      <c r="R17170" s="100"/>
      <c r="V17170" s="100"/>
      <c r="Y17170" s="100"/>
    </row>
    <row r="17171">
      <c r="R17171" s="100"/>
      <c r="V17171" s="100"/>
      <c r="Y17171" s="100"/>
    </row>
    <row r="17172">
      <c r="R17172" s="100"/>
      <c r="V17172" s="100"/>
      <c r="Y17172" s="100"/>
    </row>
    <row r="17173">
      <c r="R17173" s="100"/>
      <c r="V17173" s="100"/>
      <c r="Y17173" s="100"/>
    </row>
    <row r="17174">
      <c r="R17174" s="100"/>
      <c r="V17174" s="100"/>
      <c r="Y17174" s="100"/>
    </row>
    <row r="17175">
      <c r="R17175" s="100"/>
      <c r="V17175" s="100"/>
      <c r="Y17175" s="100"/>
    </row>
    <row r="17176">
      <c r="R17176" s="100"/>
      <c r="V17176" s="100"/>
      <c r="Y17176" s="100"/>
    </row>
    <row r="17177">
      <c r="R17177" s="100"/>
      <c r="V17177" s="100"/>
      <c r="Y17177" s="100"/>
    </row>
    <row r="17178">
      <c r="R17178" s="100"/>
      <c r="V17178" s="100"/>
      <c r="Y17178" s="100"/>
    </row>
    <row r="17179">
      <c r="R17179" s="100"/>
      <c r="V17179" s="100"/>
      <c r="Y17179" s="100"/>
    </row>
    <row r="17180">
      <c r="R17180" s="100"/>
      <c r="V17180" s="100"/>
      <c r="Y17180" s="100"/>
    </row>
    <row r="17181">
      <c r="R17181" s="100"/>
      <c r="V17181" s="100"/>
      <c r="Y17181" s="100"/>
    </row>
    <row r="17182">
      <c r="R17182" s="100"/>
      <c r="V17182" s="100"/>
      <c r="Y17182" s="100"/>
    </row>
    <row r="17183">
      <c r="R17183" s="100"/>
      <c r="V17183" s="100"/>
      <c r="Y17183" s="100"/>
    </row>
    <row r="17184">
      <c r="R17184" s="100"/>
      <c r="V17184" s="100"/>
      <c r="Y17184" s="100"/>
    </row>
    <row r="17185">
      <c r="R17185" s="100"/>
      <c r="V17185" s="100"/>
      <c r="Y17185" s="100"/>
    </row>
    <row r="17186">
      <c r="R17186" s="100"/>
      <c r="V17186" s="100"/>
      <c r="Y17186" s="100"/>
    </row>
    <row r="17187">
      <c r="R17187" s="100"/>
      <c r="V17187" s="100"/>
      <c r="Y17187" s="100"/>
    </row>
    <row r="17188">
      <c r="R17188" s="100"/>
      <c r="V17188" s="100"/>
      <c r="Y17188" s="100"/>
    </row>
    <row r="17189">
      <c r="R17189" s="100"/>
      <c r="V17189" s="100"/>
      <c r="Y17189" s="100"/>
    </row>
    <row r="17190">
      <c r="R17190" s="100"/>
      <c r="V17190" s="100"/>
      <c r="Y17190" s="100"/>
    </row>
    <row r="17191">
      <c r="R17191" s="100"/>
      <c r="V17191" s="100"/>
      <c r="Y17191" s="100"/>
    </row>
    <row r="17192">
      <c r="R17192" s="100"/>
      <c r="V17192" s="100"/>
      <c r="Y17192" s="100"/>
    </row>
    <row r="17193">
      <c r="R17193" s="100"/>
      <c r="V17193" s="100"/>
      <c r="Y17193" s="100"/>
    </row>
    <row r="17194">
      <c r="R17194" s="100"/>
      <c r="V17194" s="100"/>
      <c r="Y17194" s="100"/>
    </row>
    <row r="17195">
      <c r="R17195" s="100"/>
      <c r="V17195" s="100"/>
      <c r="Y17195" s="100"/>
    </row>
    <row r="17196">
      <c r="R17196" s="100"/>
      <c r="V17196" s="100"/>
      <c r="Y17196" s="100"/>
    </row>
    <row r="17197">
      <c r="R17197" s="100"/>
      <c r="V17197" s="100"/>
      <c r="Y17197" s="100"/>
    </row>
    <row r="17198">
      <c r="R17198" s="100"/>
      <c r="V17198" s="100"/>
      <c r="Y17198" s="100"/>
    </row>
    <row r="17199">
      <c r="R17199" s="100"/>
      <c r="V17199" s="100"/>
      <c r="Y17199" s="100"/>
    </row>
    <row r="17200">
      <c r="R17200" s="100"/>
      <c r="V17200" s="100"/>
      <c r="Y17200" s="100"/>
    </row>
    <row r="17201">
      <c r="R17201" s="100"/>
      <c r="V17201" s="100"/>
      <c r="Y17201" s="100"/>
    </row>
    <row r="17202">
      <c r="R17202" s="100"/>
      <c r="V17202" s="100"/>
      <c r="Y17202" s="100"/>
    </row>
    <row r="17203">
      <c r="R17203" s="100"/>
      <c r="V17203" s="100"/>
      <c r="Y17203" s="100"/>
    </row>
    <row r="17204">
      <c r="R17204" s="100"/>
      <c r="V17204" s="100"/>
      <c r="Y17204" s="100"/>
    </row>
    <row r="17205">
      <c r="R17205" s="100"/>
      <c r="V17205" s="100"/>
      <c r="Y17205" s="100"/>
    </row>
    <row r="17206">
      <c r="R17206" s="100"/>
      <c r="V17206" s="100"/>
      <c r="Y17206" s="100"/>
    </row>
    <row r="17207">
      <c r="R17207" s="100"/>
      <c r="V17207" s="100"/>
      <c r="Y17207" s="100"/>
    </row>
    <row r="17208">
      <c r="R17208" s="100"/>
      <c r="V17208" s="100"/>
      <c r="Y17208" s="100"/>
    </row>
    <row r="17209">
      <c r="R17209" s="100"/>
      <c r="V17209" s="100"/>
      <c r="Y17209" s="100"/>
    </row>
    <row r="17210">
      <c r="R17210" s="100"/>
      <c r="V17210" s="100"/>
      <c r="Y17210" s="100"/>
    </row>
    <row r="17211">
      <c r="R17211" s="100"/>
      <c r="V17211" s="100"/>
      <c r="Y17211" s="100"/>
    </row>
    <row r="17212">
      <c r="R17212" s="100"/>
      <c r="V17212" s="100"/>
      <c r="Y17212" s="100"/>
    </row>
    <row r="17213">
      <c r="R17213" s="100"/>
      <c r="V17213" s="100"/>
      <c r="Y17213" s="100"/>
    </row>
    <row r="17214">
      <c r="R17214" s="100"/>
      <c r="V17214" s="100"/>
      <c r="Y17214" s="100"/>
    </row>
    <row r="17215">
      <c r="R17215" s="100"/>
      <c r="V17215" s="100"/>
      <c r="Y17215" s="100"/>
    </row>
    <row r="17216">
      <c r="R17216" s="100"/>
      <c r="V17216" s="100"/>
      <c r="Y17216" s="100"/>
    </row>
    <row r="17217">
      <c r="R17217" s="100"/>
      <c r="V17217" s="100"/>
      <c r="Y17217" s="100"/>
    </row>
    <row r="17218">
      <c r="R17218" s="100"/>
      <c r="V17218" s="100"/>
      <c r="Y17218" s="100"/>
    </row>
    <row r="17219">
      <c r="R17219" s="100"/>
      <c r="V17219" s="100"/>
      <c r="Y17219" s="100"/>
    </row>
    <row r="17220">
      <c r="R17220" s="100"/>
      <c r="V17220" s="100"/>
      <c r="Y17220" s="100"/>
    </row>
    <row r="17221">
      <c r="R17221" s="100"/>
      <c r="V17221" s="100"/>
      <c r="Y17221" s="100"/>
    </row>
    <row r="17222">
      <c r="R17222" s="100"/>
      <c r="V17222" s="100"/>
      <c r="Y17222" s="100"/>
    </row>
    <row r="17223">
      <c r="R17223" s="100"/>
      <c r="V17223" s="100"/>
      <c r="Y17223" s="100"/>
    </row>
    <row r="17224">
      <c r="R17224" s="100"/>
      <c r="V17224" s="100"/>
      <c r="Y17224" s="100"/>
    </row>
    <row r="17225">
      <c r="R17225" s="100"/>
      <c r="V17225" s="100"/>
      <c r="Y17225" s="100"/>
    </row>
    <row r="17226">
      <c r="R17226" s="100"/>
      <c r="V17226" s="100"/>
      <c r="Y17226" s="100"/>
    </row>
    <row r="17227">
      <c r="R17227" s="100"/>
      <c r="V17227" s="100"/>
      <c r="Y17227" s="100"/>
    </row>
    <row r="17228">
      <c r="R17228" s="100"/>
      <c r="V17228" s="100"/>
      <c r="Y17228" s="100"/>
    </row>
    <row r="17229">
      <c r="R17229" s="100"/>
      <c r="V17229" s="100"/>
      <c r="Y17229" s="100"/>
    </row>
    <row r="17230">
      <c r="R17230" s="100"/>
      <c r="V17230" s="100"/>
      <c r="Y17230" s="100"/>
    </row>
    <row r="17231">
      <c r="R17231" s="100"/>
      <c r="V17231" s="100"/>
      <c r="Y17231" s="100"/>
    </row>
    <row r="17232">
      <c r="R17232" s="100"/>
      <c r="V17232" s="100"/>
      <c r="Y17232" s="100"/>
    </row>
    <row r="17233">
      <c r="R17233" s="100"/>
      <c r="V17233" s="100"/>
      <c r="Y17233" s="100"/>
    </row>
    <row r="17234">
      <c r="R17234" s="100"/>
      <c r="V17234" s="100"/>
      <c r="Y17234" s="100"/>
    </row>
    <row r="17235">
      <c r="R17235" s="100"/>
      <c r="V17235" s="100"/>
      <c r="Y17235" s="100"/>
    </row>
    <row r="17236">
      <c r="R17236" s="100"/>
      <c r="V17236" s="100"/>
      <c r="Y17236" s="100"/>
    </row>
    <row r="17237">
      <c r="R17237" s="100"/>
      <c r="V17237" s="100"/>
      <c r="Y17237" s="100"/>
    </row>
    <row r="17238">
      <c r="R17238" s="100"/>
      <c r="V17238" s="100"/>
      <c r="Y17238" s="100"/>
    </row>
    <row r="17239">
      <c r="R17239" s="100"/>
      <c r="V17239" s="100"/>
      <c r="Y17239" s="100"/>
    </row>
    <row r="17240">
      <c r="R17240" s="100"/>
      <c r="V17240" s="100"/>
      <c r="Y17240" s="100"/>
    </row>
    <row r="17241">
      <c r="R17241" s="100"/>
      <c r="V17241" s="100"/>
      <c r="Y17241" s="100"/>
    </row>
    <row r="17242">
      <c r="R17242" s="100"/>
      <c r="V17242" s="100"/>
      <c r="Y17242" s="100"/>
    </row>
    <row r="17243">
      <c r="R17243" s="100"/>
      <c r="V17243" s="100"/>
      <c r="Y17243" s="100"/>
    </row>
    <row r="17244">
      <c r="R17244" s="100"/>
      <c r="V17244" s="100"/>
      <c r="Y17244" s="100"/>
    </row>
    <row r="17245">
      <c r="R17245" s="100"/>
      <c r="V17245" s="100"/>
      <c r="Y17245" s="100"/>
    </row>
    <row r="17246">
      <c r="R17246" s="100"/>
      <c r="V17246" s="100"/>
      <c r="Y17246" s="100"/>
    </row>
    <row r="17247">
      <c r="R17247" s="100"/>
      <c r="V17247" s="100"/>
      <c r="Y17247" s="100"/>
    </row>
    <row r="17248">
      <c r="R17248" s="100"/>
      <c r="V17248" s="100"/>
      <c r="Y17248" s="100"/>
    </row>
    <row r="17249">
      <c r="R17249" s="100"/>
      <c r="V17249" s="100"/>
      <c r="Y17249" s="100"/>
    </row>
    <row r="17250">
      <c r="R17250" s="100"/>
      <c r="V17250" s="100"/>
      <c r="Y17250" s="100"/>
    </row>
    <row r="17251">
      <c r="R17251" s="100"/>
      <c r="V17251" s="100"/>
      <c r="Y17251" s="100"/>
    </row>
    <row r="17252">
      <c r="R17252" s="100"/>
      <c r="V17252" s="100"/>
      <c r="Y17252" s="100"/>
    </row>
    <row r="17253">
      <c r="R17253" s="100"/>
      <c r="V17253" s="100"/>
      <c r="Y17253" s="100"/>
    </row>
    <row r="17254">
      <c r="R17254" s="100"/>
      <c r="V17254" s="100"/>
      <c r="Y17254" s="100"/>
    </row>
    <row r="17255">
      <c r="R17255" s="100"/>
      <c r="V17255" s="100"/>
      <c r="Y17255" s="100"/>
    </row>
    <row r="17256">
      <c r="R17256" s="100"/>
      <c r="V17256" s="100"/>
      <c r="Y17256" s="100"/>
    </row>
    <row r="17257">
      <c r="R17257" s="100"/>
      <c r="V17257" s="100"/>
      <c r="Y17257" s="100"/>
    </row>
    <row r="17258">
      <c r="R17258" s="100"/>
      <c r="V17258" s="100"/>
      <c r="Y17258" s="100"/>
    </row>
    <row r="17259">
      <c r="R17259" s="100"/>
      <c r="V17259" s="100"/>
      <c r="Y17259" s="100"/>
    </row>
    <row r="17260">
      <c r="R17260" s="100"/>
      <c r="V17260" s="100"/>
      <c r="Y17260" s="100"/>
    </row>
    <row r="17261">
      <c r="R17261" s="100"/>
      <c r="V17261" s="100"/>
      <c r="Y17261" s="100"/>
    </row>
    <row r="17262">
      <c r="R17262" s="100"/>
      <c r="V17262" s="100"/>
      <c r="Y17262" s="100"/>
    </row>
    <row r="17263">
      <c r="R17263" s="100"/>
      <c r="V17263" s="100"/>
      <c r="Y17263" s="100"/>
    </row>
    <row r="17264">
      <c r="R17264" s="100"/>
      <c r="V17264" s="100"/>
      <c r="Y17264" s="100"/>
    </row>
    <row r="17265">
      <c r="R17265" s="100"/>
      <c r="V17265" s="100"/>
      <c r="Y17265" s="100"/>
    </row>
    <row r="17266">
      <c r="R17266" s="100"/>
      <c r="V17266" s="100"/>
      <c r="Y17266" s="100"/>
    </row>
    <row r="17267">
      <c r="R17267" s="100"/>
      <c r="V17267" s="100"/>
      <c r="Y17267" s="100"/>
    </row>
    <row r="17268">
      <c r="R17268" s="100"/>
      <c r="V17268" s="100"/>
      <c r="Y17268" s="100"/>
    </row>
    <row r="17269">
      <c r="R17269" s="100"/>
      <c r="V17269" s="100"/>
      <c r="Y17269" s="100"/>
    </row>
    <row r="17270">
      <c r="R17270" s="100"/>
      <c r="V17270" s="100"/>
      <c r="Y17270" s="100"/>
    </row>
    <row r="17271">
      <c r="R17271" s="100"/>
      <c r="V17271" s="100"/>
      <c r="Y17271" s="100"/>
    </row>
    <row r="17272">
      <c r="R17272" s="100"/>
      <c r="V17272" s="100"/>
      <c r="Y17272" s="100"/>
    </row>
    <row r="17273">
      <c r="R17273" s="100"/>
      <c r="V17273" s="100"/>
      <c r="Y17273" s="100"/>
    </row>
    <row r="17274">
      <c r="R17274" s="100"/>
      <c r="V17274" s="100"/>
      <c r="Y17274" s="100"/>
    </row>
    <row r="17275">
      <c r="R17275" s="100"/>
      <c r="V17275" s="100"/>
      <c r="Y17275" s="100"/>
    </row>
    <row r="17276">
      <c r="R17276" s="100"/>
      <c r="V17276" s="100"/>
      <c r="Y17276" s="100"/>
    </row>
    <row r="17277">
      <c r="R17277" s="100"/>
      <c r="V17277" s="100"/>
      <c r="Y17277" s="100"/>
    </row>
    <row r="17278">
      <c r="R17278" s="100"/>
      <c r="V17278" s="100"/>
      <c r="Y17278" s="100"/>
    </row>
    <row r="17279">
      <c r="R17279" s="100"/>
      <c r="V17279" s="100"/>
      <c r="Y17279" s="100"/>
    </row>
    <row r="17280">
      <c r="R17280" s="100"/>
      <c r="V17280" s="100"/>
      <c r="Y17280" s="100"/>
    </row>
    <row r="17281">
      <c r="R17281" s="100"/>
      <c r="V17281" s="100"/>
      <c r="Y17281" s="100"/>
    </row>
    <row r="17282">
      <c r="R17282" s="100"/>
      <c r="V17282" s="100"/>
      <c r="Y17282" s="100"/>
    </row>
    <row r="17283">
      <c r="R17283" s="100"/>
      <c r="V17283" s="100"/>
      <c r="Y17283" s="100"/>
    </row>
    <row r="17284">
      <c r="R17284" s="100"/>
      <c r="V17284" s="100"/>
      <c r="Y17284" s="100"/>
    </row>
    <row r="17285">
      <c r="R17285" s="100"/>
      <c r="V17285" s="100"/>
      <c r="Y17285" s="100"/>
    </row>
    <row r="17286">
      <c r="R17286" s="100"/>
      <c r="V17286" s="100"/>
      <c r="Y17286" s="100"/>
    </row>
    <row r="17287">
      <c r="R17287" s="100"/>
      <c r="V17287" s="100"/>
      <c r="Y17287" s="100"/>
    </row>
    <row r="17288">
      <c r="R17288" s="100"/>
      <c r="V17288" s="100"/>
      <c r="Y17288" s="100"/>
    </row>
    <row r="17289">
      <c r="R17289" s="100"/>
      <c r="V17289" s="100"/>
      <c r="Y17289" s="100"/>
    </row>
    <row r="17290">
      <c r="R17290" s="100"/>
      <c r="V17290" s="100"/>
      <c r="Y17290" s="100"/>
    </row>
    <row r="17291">
      <c r="R17291" s="100"/>
      <c r="V17291" s="100"/>
      <c r="Y17291" s="100"/>
    </row>
    <row r="17292">
      <c r="R17292" s="100"/>
      <c r="V17292" s="100"/>
      <c r="Y17292" s="100"/>
    </row>
    <row r="17293">
      <c r="R17293" s="100"/>
      <c r="V17293" s="100"/>
      <c r="Y17293" s="100"/>
    </row>
    <row r="17294">
      <c r="R17294" s="100"/>
      <c r="V17294" s="100"/>
      <c r="Y17294" s="100"/>
    </row>
    <row r="17295">
      <c r="R17295" s="100"/>
      <c r="V17295" s="100"/>
      <c r="Y17295" s="100"/>
    </row>
    <row r="17296">
      <c r="R17296" s="100"/>
      <c r="V17296" s="100"/>
      <c r="Y17296" s="100"/>
    </row>
    <row r="17297">
      <c r="R17297" s="100"/>
      <c r="V17297" s="100"/>
      <c r="Y17297" s="100"/>
    </row>
    <row r="17298">
      <c r="R17298" s="100"/>
      <c r="V17298" s="100"/>
      <c r="Y17298" s="100"/>
    </row>
    <row r="17299">
      <c r="R17299" s="100"/>
      <c r="V17299" s="100"/>
      <c r="Y17299" s="100"/>
    </row>
    <row r="17300">
      <c r="R17300" s="100"/>
      <c r="V17300" s="100"/>
      <c r="Y17300" s="100"/>
    </row>
    <row r="17301">
      <c r="R17301" s="100"/>
      <c r="V17301" s="100"/>
      <c r="Y17301" s="100"/>
    </row>
    <row r="17302">
      <c r="R17302" s="100"/>
      <c r="V17302" s="100"/>
      <c r="Y17302" s="100"/>
    </row>
    <row r="17303">
      <c r="R17303" s="100"/>
      <c r="V17303" s="100"/>
      <c r="Y17303" s="100"/>
    </row>
    <row r="17304">
      <c r="R17304" s="100"/>
      <c r="V17304" s="100"/>
      <c r="Y17304" s="100"/>
    </row>
    <row r="17305">
      <c r="R17305" s="100"/>
      <c r="V17305" s="100"/>
      <c r="Y17305" s="100"/>
    </row>
    <row r="17306">
      <c r="R17306" s="100"/>
      <c r="V17306" s="100"/>
      <c r="Y17306" s="100"/>
    </row>
    <row r="17307">
      <c r="R17307" s="100"/>
      <c r="V17307" s="100"/>
      <c r="Y17307" s="100"/>
    </row>
    <row r="17308">
      <c r="R17308" s="100"/>
      <c r="V17308" s="100"/>
      <c r="Y17308" s="100"/>
    </row>
    <row r="17309">
      <c r="R17309" s="100"/>
      <c r="V17309" s="100"/>
      <c r="Y17309" s="100"/>
    </row>
    <row r="17310">
      <c r="R17310" s="100"/>
      <c r="V17310" s="100"/>
      <c r="Y17310" s="100"/>
    </row>
    <row r="17311">
      <c r="R17311" s="100"/>
      <c r="V17311" s="100"/>
      <c r="Y17311" s="100"/>
    </row>
    <row r="17312">
      <c r="R17312" s="100"/>
      <c r="V17312" s="100"/>
      <c r="Y17312" s="100"/>
    </row>
    <row r="17313">
      <c r="R17313" s="100"/>
      <c r="V17313" s="100"/>
      <c r="Y17313" s="100"/>
    </row>
    <row r="17314">
      <c r="R17314" s="100"/>
      <c r="V17314" s="100"/>
      <c r="Y17314" s="100"/>
    </row>
    <row r="17315">
      <c r="R17315" s="100"/>
      <c r="V17315" s="100"/>
      <c r="Y17315" s="100"/>
    </row>
    <row r="17316">
      <c r="R17316" s="100"/>
      <c r="V17316" s="100"/>
      <c r="Y17316" s="100"/>
    </row>
    <row r="17317">
      <c r="R17317" s="100"/>
      <c r="V17317" s="100"/>
      <c r="Y17317" s="100"/>
    </row>
    <row r="17318">
      <c r="R17318" s="100"/>
      <c r="V17318" s="100"/>
      <c r="Y17318" s="100"/>
    </row>
    <row r="17319">
      <c r="R17319" s="100"/>
      <c r="V17319" s="100"/>
      <c r="Y17319" s="100"/>
    </row>
    <row r="17320">
      <c r="R17320" s="100"/>
      <c r="V17320" s="100"/>
      <c r="Y17320" s="100"/>
    </row>
    <row r="17321">
      <c r="R17321" s="100"/>
      <c r="V17321" s="100"/>
      <c r="Y17321" s="100"/>
    </row>
    <row r="17322">
      <c r="R17322" s="100"/>
      <c r="V17322" s="100"/>
      <c r="Y17322" s="100"/>
    </row>
    <row r="17323">
      <c r="R17323" s="100"/>
      <c r="V17323" s="100"/>
      <c r="Y17323" s="100"/>
    </row>
    <row r="17324">
      <c r="R17324" s="100"/>
      <c r="V17324" s="100"/>
      <c r="Y17324" s="100"/>
    </row>
    <row r="17325">
      <c r="R17325" s="100"/>
      <c r="V17325" s="100"/>
      <c r="Y17325" s="100"/>
    </row>
    <row r="17326">
      <c r="R17326" s="100"/>
      <c r="V17326" s="100"/>
      <c r="Y17326" s="100"/>
    </row>
    <row r="17327">
      <c r="R17327" s="100"/>
      <c r="V17327" s="100"/>
      <c r="Y17327" s="100"/>
    </row>
    <row r="17328">
      <c r="R17328" s="100"/>
      <c r="V17328" s="100"/>
      <c r="Y17328" s="100"/>
    </row>
    <row r="17329">
      <c r="R17329" s="100"/>
      <c r="V17329" s="100"/>
      <c r="Y17329" s="100"/>
    </row>
    <row r="17330">
      <c r="R17330" s="100"/>
      <c r="V17330" s="100"/>
      <c r="Y17330" s="100"/>
    </row>
    <row r="17331">
      <c r="R17331" s="100"/>
      <c r="V17331" s="100"/>
      <c r="Y17331" s="100"/>
    </row>
    <row r="17332">
      <c r="R17332" s="100"/>
      <c r="V17332" s="100"/>
      <c r="Y17332" s="100"/>
    </row>
    <row r="17333">
      <c r="R17333" s="100"/>
      <c r="V17333" s="100"/>
      <c r="Y17333" s="100"/>
    </row>
    <row r="17334">
      <c r="R17334" s="100"/>
      <c r="V17334" s="100"/>
      <c r="Y17334" s="100"/>
    </row>
    <row r="17335">
      <c r="R17335" s="100"/>
      <c r="V17335" s="100"/>
      <c r="Y17335" s="100"/>
    </row>
    <row r="17336">
      <c r="R17336" s="100"/>
      <c r="V17336" s="100"/>
      <c r="Y17336" s="100"/>
    </row>
    <row r="17337">
      <c r="R17337" s="100"/>
      <c r="V17337" s="100"/>
      <c r="Y17337" s="100"/>
    </row>
    <row r="17338">
      <c r="R17338" s="100"/>
      <c r="V17338" s="100"/>
      <c r="Y17338" s="100"/>
    </row>
    <row r="17339">
      <c r="R17339" s="100"/>
      <c r="V17339" s="100"/>
      <c r="Y17339" s="100"/>
    </row>
    <row r="17340">
      <c r="R17340" s="100"/>
      <c r="V17340" s="100"/>
      <c r="Y17340" s="100"/>
    </row>
    <row r="17341">
      <c r="R17341" s="100"/>
      <c r="V17341" s="100"/>
      <c r="Y17341" s="100"/>
    </row>
    <row r="17342">
      <c r="R17342" s="100"/>
      <c r="V17342" s="100"/>
      <c r="Y17342" s="100"/>
    </row>
    <row r="17343">
      <c r="R17343" s="100"/>
      <c r="V17343" s="100"/>
      <c r="Y17343" s="100"/>
    </row>
    <row r="17344">
      <c r="R17344" s="100"/>
      <c r="V17344" s="100"/>
      <c r="Y17344" s="100"/>
    </row>
    <row r="17345">
      <c r="R17345" s="100"/>
      <c r="V17345" s="100"/>
      <c r="Y17345" s="100"/>
    </row>
    <row r="17346">
      <c r="R17346" s="100"/>
      <c r="V17346" s="100"/>
      <c r="Y17346" s="100"/>
    </row>
    <row r="17347">
      <c r="R17347" s="100"/>
      <c r="V17347" s="100"/>
      <c r="Y17347" s="100"/>
    </row>
    <row r="17348">
      <c r="R17348" s="100"/>
      <c r="V17348" s="100"/>
      <c r="Y17348" s="100"/>
    </row>
    <row r="17349">
      <c r="R17349" s="100"/>
      <c r="V17349" s="100"/>
      <c r="Y17349" s="100"/>
    </row>
    <row r="17350">
      <c r="R17350" s="100"/>
      <c r="V17350" s="100"/>
      <c r="Y17350" s="100"/>
    </row>
    <row r="17351">
      <c r="R17351" s="100"/>
      <c r="V17351" s="100"/>
      <c r="Y17351" s="100"/>
    </row>
    <row r="17352">
      <c r="R17352" s="100"/>
      <c r="V17352" s="100"/>
      <c r="Y17352" s="100"/>
    </row>
    <row r="17353">
      <c r="R17353" s="100"/>
      <c r="V17353" s="100"/>
      <c r="Y17353" s="100"/>
    </row>
    <row r="17354">
      <c r="R17354" s="100"/>
      <c r="V17354" s="100"/>
      <c r="Y17354" s="100"/>
    </row>
    <row r="17355">
      <c r="R17355" s="100"/>
      <c r="V17355" s="100"/>
      <c r="Y17355" s="100"/>
    </row>
    <row r="17356">
      <c r="R17356" s="100"/>
      <c r="V17356" s="100"/>
      <c r="Y17356" s="100"/>
    </row>
    <row r="17357">
      <c r="R17357" s="100"/>
      <c r="V17357" s="100"/>
      <c r="Y17357" s="100"/>
    </row>
    <row r="17358">
      <c r="R17358" s="100"/>
      <c r="V17358" s="100"/>
      <c r="Y17358" s="100"/>
    </row>
    <row r="17359">
      <c r="R17359" s="100"/>
      <c r="V17359" s="100"/>
      <c r="Y17359" s="100"/>
    </row>
    <row r="17360">
      <c r="R17360" s="100"/>
      <c r="V17360" s="100"/>
      <c r="Y17360" s="100"/>
    </row>
    <row r="17361">
      <c r="R17361" s="100"/>
      <c r="V17361" s="100"/>
      <c r="Y17361" s="100"/>
    </row>
    <row r="17362">
      <c r="R17362" s="100"/>
      <c r="V17362" s="100"/>
      <c r="Y17362" s="100"/>
    </row>
    <row r="17363">
      <c r="R17363" s="100"/>
      <c r="V17363" s="100"/>
      <c r="Y17363" s="100"/>
    </row>
    <row r="17364">
      <c r="R17364" s="100"/>
      <c r="V17364" s="100"/>
      <c r="Y17364" s="100"/>
    </row>
    <row r="17365">
      <c r="R17365" s="100"/>
      <c r="V17365" s="100"/>
      <c r="Y17365" s="100"/>
    </row>
    <row r="17366">
      <c r="R17366" s="100"/>
      <c r="V17366" s="100"/>
      <c r="Y17366" s="100"/>
    </row>
    <row r="17367">
      <c r="R17367" s="100"/>
      <c r="V17367" s="100"/>
      <c r="Y17367" s="100"/>
    </row>
    <row r="17368">
      <c r="R17368" s="100"/>
      <c r="V17368" s="100"/>
      <c r="Y17368" s="100"/>
    </row>
    <row r="17369">
      <c r="R17369" s="100"/>
      <c r="V17369" s="100"/>
      <c r="Y17369" s="100"/>
    </row>
    <row r="17370">
      <c r="R17370" s="100"/>
      <c r="V17370" s="100"/>
      <c r="Y17370" s="100"/>
    </row>
    <row r="17371">
      <c r="R17371" s="100"/>
      <c r="V17371" s="100"/>
      <c r="Y17371" s="100"/>
    </row>
    <row r="17372">
      <c r="R17372" s="100"/>
      <c r="V17372" s="100"/>
      <c r="Y17372" s="100"/>
    </row>
    <row r="17373">
      <c r="R17373" s="100"/>
      <c r="V17373" s="100"/>
      <c r="Y17373" s="100"/>
    </row>
    <row r="17374">
      <c r="R17374" s="100"/>
      <c r="V17374" s="100"/>
      <c r="Y17374" s="100"/>
    </row>
    <row r="17375">
      <c r="R17375" s="100"/>
      <c r="V17375" s="100"/>
      <c r="Y17375" s="100"/>
    </row>
    <row r="17376">
      <c r="R17376" s="100"/>
      <c r="V17376" s="100"/>
      <c r="Y17376" s="100"/>
    </row>
    <row r="17377">
      <c r="R17377" s="100"/>
      <c r="V17377" s="100"/>
      <c r="Y17377" s="100"/>
    </row>
    <row r="17378">
      <c r="R17378" s="100"/>
      <c r="V17378" s="100"/>
      <c r="Y17378" s="100"/>
    </row>
    <row r="17379">
      <c r="R17379" s="100"/>
      <c r="V17379" s="100"/>
      <c r="Y17379" s="100"/>
    </row>
    <row r="17380">
      <c r="R17380" s="100"/>
      <c r="V17380" s="100"/>
      <c r="Y17380" s="100"/>
    </row>
    <row r="17381">
      <c r="R17381" s="100"/>
      <c r="V17381" s="100"/>
      <c r="Y17381" s="100"/>
    </row>
    <row r="17382">
      <c r="R17382" s="100"/>
      <c r="V17382" s="100"/>
      <c r="Y17382" s="100"/>
    </row>
    <row r="17383">
      <c r="R17383" s="100"/>
      <c r="V17383" s="100"/>
      <c r="Y17383" s="100"/>
    </row>
    <row r="17384">
      <c r="R17384" s="100"/>
      <c r="V17384" s="100"/>
      <c r="Y17384" s="100"/>
    </row>
    <row r="17385">
      <c r="R17385" s="100"/>
      <c r="V17385" s="100"/>
      <c r="Y17385" s="100"/>
    </row>
    <row r="17386">
      <c r="R17386" s="100"/>
      <c r="V17386" s="100"/>
      <c r="Y17386" s="100"/>
    </row>
    <row r="17387">
      <c r="R17387" s="100"/>
      <c r="V17387" s="100"/>
      <c r="Y17387" s="100"/>
    </row>
    <row r="17388">
      <c r="R17388" s="100"/>
      <c r="V17388" s="100"/>
      <c r="Y17388" s="100"/>
    </row>
    <row r="17389">
      <c r="R17389" s="100"/>
      <c r="V17389" s="100"/>
      <c r="Y17389" s="100"/>
    </row>
    <row r="17390">
      <c r="R17390" s="100"/>
      <c r="V17390" s="100"/>
      <c r="Y17390" s="100"/>
    </row>
    <row r="17391">
      <c r="R17391" s="100"/>
      <c r="V17391" s="100"/>
      <c r="Y17391" s="100"/>
    </row>
    <row r="17392">
      <c r="R17392" s="100"/>
      <c r="V17392" s="100"/>
      <c r="Y17392" s="100"/>
    </row>
    <row r="17393">
      <c r="R17393" s="100"/>
      <c r="V17393" s="100"/>
      <c r="Y17393" s="100"/>
    </row>
    <row r="17394">
      <c r="R17394" s="100"/>
      <c r="V17394" s="100"/>
      <c r="Y17394" s="100"/>
    </row>
    <row r="17395">
      <c r="R17395" s="100"/>
      <c r="V17395" s="100"/>
      <c r="Y17395" s="100"/>
    </row>
    <row r="17396">
      <c r="R17396" s="100"/>
      <c r="V17396" s="100"/>
      <c r="Y17396" s="100"/>
    </row>
    <row r="17397">
      <c r="R17397" s="100"/>
      <c r="V17397" s="100"/>
      <c r="Y17397" s="100"/>
    </row>
    <row r="17398">
      <c r="R17398" s="100"/>
      <c r="V17398" s="100"/>
      <c r="Y17398" s="100"/>
    </row>
    <row r="17399">
      <c r="R17399" s="100"/>
      <c r="V17399" s="100"/>
      <c r="Y17399" s="100"/>
    </row>
    <row r="17400">
      <c r="R17400" s="100"/>
      <c r="V17400" s="100"/>
      <c r="Y17400" s="100"/>
    </row>
    <row r="17401">
      <c r="R17401" s="100"/>
      <c r="V17401" s="100"/>
      <c r="Y17401" s="100"/>
    </row>
    <row r="17402">
      <c r="R17402" s="100"/>
      <c r="V17402" s="100"/>
      <c r="Y17402" s="100"/>
    </row>
    <row r="17403">
      <c r="R17403" s="100"/>
      <c r="V17403" s="100"/>
      <c r="Y17403" s="100"/>
    </row>
    <row r="17404">
      <c r="R17404" s="100"/>
      <c r="V17404" s="100"/>
      <c r="Y17404" s="100"/>
    </row>
    <row r="17405">
      <c r="R17405" s="100"/>
      <c r="V17405" s="100"/>
      <c r="Y17405" s="100"/>
    </row>
    <row r="17406">
      <c r="R17406" s="100"/>
      <c r="V17406" s="100"/>
      <c r="Y17406" s="100"/>
    </row>
    <row r="17407">
      <c r="R17407" s="100"/>
      <c r="V17407" s="100"/>
      <c r="Y17407" s="100"/>
    </row>
    <row r="17408">
      <c r="R17408" s="100"/>
      <c r="V17408" s="100"/>
      <c r="Y17408" s="100"/>
    </row>
    <row r="17409">
      <c r="R17409" s="100"/>
      <c r="V17409" s="100"/>
      <c r="Y17409" s="100"/>
    </row>
    <row r="17410">
      <c r="R17410" s="100"/>
      <c r="V17410" s="100"/>
      <c r="Y17410" s="100"/>
    </row>
    <row r="17411">
      <c r="R17411" s="100"/>
      <c r="V17411" s="100"/>
      <c r="Y17411" s="100"/>
    </row>
    <row r="17412">
      <c r="R17412" s="100"/>
      <c r="V17412" s="100"/>
      <c r="Y17412" s="100"/>
    </row>
    <row r="17413">
      <c r="R17413" s="100"/>
      <c r="V17413" s="100"/>
      <c r="Y17413" s="100"/>
    </row>
    <row r="17414">
      <c r="R17414" s="100"/>
      <c r="V17414" s="100"/>
      <c r="Y17414" s="100"/>
    </row>
    <row r="17415">
      <c r="R17415" s="100"/>
      <c r="V17415" s="100"/>
      <c r="Y17415" s="100"/>
    </row>
    <row r="17416">
      <c r="R17416" s="100"/>
      <c r="V17416" s="100"/>
      <c r="Y17416" s="100"/>
    </row>
    <row r="17417">
      <c r="R17417" s="100"/>
      <c r="V17417" s="100"/>
      <c r="Y17417" s="100"/>
    </row>
    <row r="17418">
      <c r="R17418" s="100"/>
      <c r="V17418" s="100"/>
      <c r="Y17418" s="100"/>
    </row>
    <row r="17419">
      <c r="R17419" s="100"/>
      <c r="V17419" s="100"/>
      <c r="Y17419" s="100"/>
    </row>
    <row r="17420">
      <c r="R17420" s="100"/>
      <c r="V17420" s="100"/>
      <c r="Y17420" s="100"/>
    </row>
    <row r="17421">
      <c r="R17421" s="100"/>
      <c r="V17421" s="100"/>
      <c r="Y17421" s="100"/>
    </row>
    <row r="17422">
      <c r="R17422" s="100"/>
      <c r="V17422" s="100"/>
      <c r="Y17422" s="100"/>
    </row>
    <row r="17423">
      <c r="R17423" s="100"/>
      <c r="V17423" s="100"/>
      <c r="Y17423" s="100"/>
    </row>
    <row r="17424">
      <c r="R17424" s="100"/>
      <c r="V17424" s="100"/>
      <c r="Y17424" s="100"/>
    </row>
    <row r="17425">
      <c r="R17425" s="100"/>
      <c r="V17425" s="100"/>
      <c r="Y17425" s="100"/>
    </row>
    <row r="17426">
      <c r="R17426" s="100"/>
      <c r="V17426" s="100"/>
      <c r="Y17426" s="100"/>
    </row>
    <row r="17427">
      <c r="R17427" s="100"/>
      <c r="V17427" s="100"/>
      <c r="Y17427" s="100"/>
    </row>
    <row r="17428">
      <c r="R17428" s="100"/>
      <c r="V17428" s="100"/>
      <c r="Y17428" s="100"/>
    </row>
    <row r="17429">
      <c r="R17429" s="100"/>
      <c r="V17429" s="100"/>
      <c r="Y17429" s="100"/>
    </row>
    <row r="17430">
      <c r="R17430" s="100"/>
      <c r="V17430" s="100"/>
      <c r="Y17430" s="100"/>
    </row>
    <row r="17431">
      <c r="R17431" s="100"/>
      <c r="V17431" s="100"/>
      <c r="Y17431" s="100"/>
    </row>
    <row r="17432">
      <c r="R17432" s="100"/>
      <c r="V17432" s="100"/>
      <c r="Y17432" s="100"/>
    </row>
    <row r="17433">
      <c r="R17433" s="100"/>
      <c r="V17433" s="100"/>
      <c r="Y17433" s="100"/>
    </row>
    <row r="17434">
      <c r="R17434" s="100"/>
      <c r="V17434" s="100"/>
      <c r="Y17434" s="100"/>
    </row>
    <row r="17435">
      <c r="R17435" s="100"/>
      <c r="V17435" s="100"/>
      <c r="Y17435" s="100"/>
    </row>
    <row r="17436">
      <c r="R17436" s="100"/>
      <c r="V17436" s="100"/>
      <c r="Y17436" s="100"/>
    </row>
    <row r="17437">
      <c r="R17437" s="100"/>
      <c r="V17437" s="100"/>
      <c r="Y17437" s="100"/>
    </row>
    <row r="17438">
      <c r="R17438" s="100"/>
      <c r="V17438" s="100"/>
      <c r="Y17438" s="100"/>
    </row>
    <row r="17439">
      <c r="R17439" s="100"/>
      <c r="V17439" s="100"/>
      <c r="Y17439" s="100"/>
    </row>
    <row r="17440">
      <c r="R17440" s="100"/>
      <c r="V17440" s="100"/>
      <c r="Y17440" s="100"/>
    </row>
    <row r="17441">
      <c r="R17441" s="100"/>
      <c r="V17441" s="100"/>
      <c r="Y17441" s="100"/>
    </row>
    <row r="17442">
      <c r="R17442" s="100"/>
      <c r="V17442" s="100"/>
      <c r="Y17442" s="100"/>
    </row>
    <row r="17443">
      <c r="R17443" s="100"/>
      <c r="V17443" s="100"/>
      <c r="Y17443" s="100"/>
    </row>
    <row r="17444">
      <c r="R17444" s="100"/>
      <c r="V17444" s="100"/>
      <c r="Y17444" s="100"/>
    </row>
    <row r="17445">
      <c r="R17445" s="100"/>
      <c r="V17445" s="100"/>
      <c r="Y17445" s="100"/>
    </row>
    <row r="17446">
      <c r="R17446" s="100"/>
      <c r="V17446" s="100"/>
      <c r="Y17446" s="100"/>
    </row>
    <row r="17447">
      <c r="R17447" s="100"/>
      <c r="V17447" s="100"/>
      <c r="Y17447" s="100"/>
    </row>
    <row r="17448">
      <c r="R17448" s="100"/>
      <c r="V17448" s="100"/>
      <c r="Y17448" s="100"/>
    </row>
    <row r="17449">
      <c r="R17449" s="100"/>
      <c r="V17449" s="100"/>
      <c r="Y17449" s="100"/>
    </row>
    <row r="17450">
      <c r="R17450" s="100"/>
      <c r="V17450" s="100"/>
      <c r="Y17450" s="100"/>
    </row>
    <row r="17451">
      <c r="R17451" s="100"/>
      <c r="V17451" s="100"/>
      <c r="Y17451" s="100"/>
    </row>
    <row r="17452">
      <c r="R17452" s="100"/>
      <c r="V17452" s="100"/>
      <c r="Y17452" s="100"/>
    </row>
    <row r="17453">
      <c r="R17453" s="100"/>
      <c r="V17453" s="100"/>
      <c r="Y17453" s="100"/>
    </row>
    <row r="17454">
      <c r="R17454" s="100"/>
      <c r="V17454" s="100"/>
      <c r="Y17454" s="100"/>
    </row>
    <row r="17455">
      <c r="R17455" s="100"/>
      <c r="V17455" s="100"/>
      <c r="Y17455" s="100"/>
    </row>
    <row r="17456">
      <c r="R17456" s="100"/>
      <c r="V17456" s="100"/>
      <c r="Y17456" s="100"/>
    </row>
    <row r="17457">
      <c r="R17457" s="100"/>
      <c r="V17457" s="100"/>
      <c r="Y17457" s="100"/>
    </row>
    <row r="17458">
      <c r="R17458" s="100"/>
      <c r="V17458" s="100"/>
      <c r="Y17458" s="100"/>
    </row>
    <row r="17459">
      <c r="R17459" s="100"/>
      <c r="V17459" s="100"/>
      <c r="Y17459" s="100"/>
    </row>
    <row r="17460">
      <c r="R17460" s="100"/>
      <c r="V17460" s="100"/>
      <c r="Y17460" s="100"/>
    </row>
    <row r="17461">
      <c r="R17461" s="100"/>
      <c r="V17461" s="100"/>
      <c r="Y17461" s="100"/>
    </row>
    <row r="17462">
      <c r="R17462" s="100"/>
      <c r="V17462" s="100"/>
      <c r="Y17462" s="100"/>
    </row>
    <row r="17463">
      <c r="R17463" s="100"/>
      <c r="V17463" s="100"/>
      <c r="Y17463" s="100"/>
    </row>
    <row r="17464">
      <c r="R17464" s="100"/>
      <c r="V17464" s="100"/>
      <c r="Y17464" s="100"/>
    </row>
    <row r="17465">
      <c r="R17465" s="100"/>
      <c r="V17465" s="100"/>
      <c r="Y17465" s="100"/>
    </row>
    <row r="17466">
      <c r="R17466" s="100"/>
      <c r="V17466" s="100"/>
      <c r="Y17466" s="100"/>
    </row>
    <row r="17467">
      <c r="R17467" s="100"/>
      <c r="V17467" s="100"/>
      <c r="Y17467" s="100"/>
    </row>
    <row r="17468">
      <c r="R17468" s="100"/>
      <c r="V17468" s="100"/>
      <c r="Y17468" s="100"/>
    </row>
    <row r="17469">
      <c r="R17469" s="100"/>
      <c r="V17469" s="100"/>
      <c r="Y17469" s="100"/>
    </row>
    <row r="17470">
      <c r="R17470" s="100"/>
      <c r="V17470" s="100"/>
      <c r="Y17470" s="100"/>
    </row>
    <row r="17471">
      <c r="R17471" s="100"/>
      <c r="V17471" s="100"/>
      <c r="Y17471" s="100"/>
    </row>
    <row r="17472">
      <c r="R17472" s="100"/>
      <c r="V17472" s="100"/>
      <c r="Y17472" s="100"/>
    </row>
    <row r="17473">
      <c r="R17473" s="100"/>
      <c r="V17473" s="100"/>
      <c r="Y17473" s="100"/>
    </row>
    <row r="17474">
      <c r="R17474" s="100"/>
      <c r="V17474" s="100"/>
      <c r="Y17474" s="100"/>
    </row>
    <row r="17475">
      <c r="R17475" s="100"/>
      <c r="V17475" s="100"/>
      <c r="Y17475" s="100"/>
    </row>
    <row r="17476">
      <c r="R17476" s="100"/>
      <c r="V17476" s="100"/>
      <c r="Y17476" s="100"/>
    </row>
    <row r="17477">
      <c r="R17477" s="100"/>
      <c r="V17477" s="100"/>
      <c r="Y17477" s="100"/>
    </row>
    <row r="17478">
      <c r="R17478" s="100"/>
      <c r="V17478" s="100"/>
      <c r="Y17478" s="100"/>
    </row>
    <row r="17479">
      <c r="R17479" s="100"/>
      <c r="V17479" s="100"/>
      <c r="Y17479" s="100"/>
    </row>
    <row r="17480">
      <c r="R17480" s="100"/>
      <c r="V17480" s="100"/>
      <c r="Y17480" s="100"/>
    </row>
    <row r="17481">
      <c r="R17481" s="100"/>
      <c r="V17481" s="100"/>
      <c r="Y17481" s="100"/>
    </row>
    <row r="17482">
      <c r="R17482" s="100"/>
      <c r="V17482" s="100"/>
      <c r="Y17482" s="100"/>
    </row>
    <row r="17483">
      <c r="R17483" s="100"/>
      <c r="V17483" s="100"/>
      <c r="Y17483" s="100"/>
    </row>
    <row r="17484">
      <c r="R17484" s="100"/>
      <c r="V17484" s="100"/>
      <c r="Y17484" s="100"/>
    </row>
    <row r="17485">
      <c r="R17485" s="100"/>
      <c r="V17485" s="100"/>
      <c r="Y17485" s="100"/>
    </row>
    <row r="17486">
      <c r="R17486" s="100"/>
      <c r="V17486" s="100"/>
      <c r="Y17486" s="100"/>
    </row>
    <row r="17487">
      <c r="R17487" s="100"/>
      <c r="V17487" s="100"/>
      <c r="Y17487" s="100"/>
    </row>
    <row r="17488">
      <c r="R17488" s="100"/>
      <c r="V17488" s="100"/>
      <c r="Y17488" s="100"/>
    </row>
    <row r="17489">
      <c r="R17489" s="100"/>
      <c r="V17489" s="100"/>
      <c r="Y17489" s="100"/>
    </row>
    <row r="17490">
      <c r="R17490" s="100"/>
      <c r="V17490" s="100"/>
      <c r="Y17490" s="100"/>
    </row>
    <row r="17491">
      <c r="R17491" s="100"/>
      <c r="V17491" s="100"/>
      <c r="Y17491" s="100"/>
    </row>
    <row r="17492">
      <c r="R17492" s="100"/>
      <c r="V17492" s="100"/>
      <c r="Y17492" s="100"/>
    </row>
    <row r="17493">
      <c r="R17493" s="100"/>
      <c r="V17493" s="100"/>
      <c r="Y17493" s="100"/>
    </row>
    <row r="17494">
      <c r="R17494" s="100"/>
      <c r="V17494" s="100"/>
      <c r="Y17494" s="100"/>
    </row>
    <row r="17495">
      <c r="R17495" s="100"/>
      <c r="V17495" s="100"/>
      <c r="Y17495" s="100"/>
    </row>
    <row r="17496">
      <c r="R17496" s="100"/>
      <c r="V17496" s="100"/>
      <c r="Y17496" s="100"/>
    </row>
    <row r="17497">
      <c r="R17497" s="100"/>
      <c r="V17497" s="100"/>
      <c r="Y17497" s="100"/>
    </row>
    <row r="17498">
      <c r="R17498" s="100"/>
      <c r="V17498" s="100"/>
      <c r="Y17498" s="100"/>
    </row>
    <row r="17499">
      <c r="R17499" s="100"/>
      <c r="V17499" s="100"/>
      <c r="Y17499" s="100"/>
    </row>
    <row r="17500">
      <c r="R17500" s="100"/>
      <c r="V17500" s="100"/>
      <c r="Y17500" s="100"/>
    </row>
    <row r="17501">
      <c r="R17501" s="100"/>
      <c r="V17501" s="100"/>
      <c r="Y17501" s="100"/>
    </row>
    <row r="17502">
      <c r="R17502" s="100"/>
      <c r="V17502" s="100"/>
      <c r="Y17502" s="100"/>
    </row>
    <row r="17503">
      <c r="R17503" s="100"/>
      <c r="V17503" s="100"/>
      <c r="Y17503" s="100"/>
    </row>
    <row r="17504">
      <c r="R17504" s="100"/>
      <c r="V17504" s="100"/>
      <c r="Y17504" s="100"/>
    </row>
    <row r="17505">
      <c r="R17505" s="100"/>
      <c r="V17505" s="100"/>
      <c r="Y17505" s="100"/>
    </row>
    <row r="17506">
      <c r="R17506" s="100"/>
      <c r="V17506" s="100"/>
      <c r="Y17506" s="100"/>
    </row>
    <row r="17507">
      <c r="R17507" s="100"/>
      <c r="V17507" s="100"/>
      <c r="Y17507" s="100"/>
    </row>
    <row r="17508">
      <c r="R17508" s="100"/>
      <c r="V17508" s="100"/>
      <c r="Y17508" s="100"/>
    </row>
    <row r="17509">
      <c r="R17509" s="100"/>
      <c r="V17509" s="100"/>
      <c r="Y17509" s="100"/>
    </row>
    <row r="17510">
      <c r="R17510" s="100"/>
      <c r="V17510" s="100"/>
      <c r="Y17510" s="100"/>
    </row>
    <row r="17511">
      <c r="R17511" s="100"/>
      <c r="V17511" s="100"/>
      <c r="Y17511" s="100"/>
    </row>
    <row r="17512">
      <c r="R17512" s="100"/>
      <c r="V17512" s="100"/>
      <c r="Y17512" s="100"/>
    </row>
    <row r="17513">
      <c r="R17513" s="100"/>
      <c r="V17513" s="100"/>
      <c r="Y17513" s="100"/>
    </row>
    <row r="17514">
      <c r="R17514" s="100"/>
      <c r="V17514" s="100"/>
      <c r="Y17514" s="100"/>
    </row>
    <row r="17515">
      <c r="R17515" s="100"/>
      <c r="V17515" s="100"/>
      <c r="Y17515" s="100"/>
    </row>
    <row r="17516">
      <c r="R17516" s="100"/>
      <c r="V17516" s="100"/>
      <c r="Y17516" s="100"/>
    </row>
    <row r="17517">
      <c r="R17517" s="100"/>
      <c r="V17517" s="100"/>
      <c r="Y17517" s="100"/>
    </row>
    <row r="17518">
      <c r="R17518" s="100"/>
      <c r="V17518" s="100"/>
      <c r="Y17518" s="100"/>
    </row>
    <row r="17519">
      <c r="R17519" s="100"/>
      <c r="V17519" s="100"/>
      <c r="Y17519" s="100"/>
    </row>
    <row r="17520">
      <c r="R17520" s="100"/>
      <c r="V17520" s="100"/>
      <c r="Y17520" s="100"/>
    </row>
    <row r="17521">
      <c r="R17521" s="100"/>
      <c r="V17521" s="100"/>
      <c r="Y17521" s="100"/>
    </row>
    <row r="17522">
      <c r="R17522" s="100"/>
      <c r="V17522" s="100"/>
      <c r="Y17522" s="100"/>
    </row>
    <row r="17523">
      <c r="R17523" s="100"/>
      <c r="V17523" s="100"/>
      <c r="Y17523" s="100"/>
    </row>
    <row r="17524">
      <c r="R17524" s="100"/>
      <c r="V17524" s="100"/>
      <c r="Y17524" s="100"/>
    </row>
    <row r="17525">
      <c r="R17525" s="100"/>
      <c r="V17525" s="100"/>
      <c r="Y17525" s="100"/>
    </row>
    <row r="17526">
      <c r="R17526" s="100"/>
      <c r="V17526" s="100"/>
      <c r="Y17526" s="100"/>
    </row>
    <row r="17527">
      <c r="R17527" s="100"/>
      <c r="V17527" s="100"/>
      <c r="Y17527" s="100"/>
    </row>
    <row r="17528">
      <c r="R17528" s="100"/>
      <c r="V17528" s="100"/>
      <c r="Y17528" s="100"/>
    </row>
    <row r="17529">
      <c r="R17529" s="100"/>
      <c r="V17529" s="100"/>
      <c r="Y17529" s="100"/>
    </row>
    <row r="17530">
      <c r="R17530" s="100"/>
      <c r="V17530" s="100"/>
      <c r="Y17530" s="100"/>
    </row>
    <row r="17531">
      <c r="R17531" s="100"/>
      <c r="V17531" s="100"/>
      <c r="Y17531" s="100"/>
    </row>
    <row r="17532">
      <c r="R17532" s="100"/>
      <c r="V17532" s="100"/>
      <c r="Y17532" s="100"/>
    </row>
    <row r="17533">
      <c r="R17533" s="100"/>
      <c r="V17533" s="100"/>
      <c r="Y17533" s="100"/>
    </row>
    <row r="17534">
      <c r="R17534" s="100"/>
      <c r="V17534" s="100"/>
      <c r="Y17534" s="100"/>
    </row>
    <row r="17535">
      <c r="R17535" s="100"/>
      <c r="V17535" s="100"/>
      <c r="Y17535" s="100"/>
    </row>
    <row r="17536">
      <c r="R17536" s="100"/>
      <c r="V17536" s="100"/>
      <c r="Y17536" s="100"/>
    </row>
    <row r="17537">
      <c r="R17537" s="100"/>
      <c r="V17537" s="100"/>
      <c r="Y17537" s="100"/>
    </row>
    <row r="17538">
      <c r="R17538" s="100"/>
      <c r="V17538" s="100"/>
      <c r="Y17538" s="100"/>
    </row>
    <row r="17539">
      <c r="R17539" s="100"/>
      <c r="V17539" s="100"/>
      <c r="Y17539" s="100"/>
    </row>
    <row r="17540">
      <c r="R17540" s="100"/>
      <c r="V17540" s="100"/>
      <c r="Y17540" s="100"/>
    </row>
    <row r="17541">
      <c r="R17541" s="100"/>
      <c r="V17541" s="100"/>
      <c r="Y17541" s="100"/>
    </row>
    <row r="17542">
      <c r="R17542" s="100"/>
      <c r="V17542" s="100"/>
      <c r="Y17542" s="100"/>
    </row>
    <row r="17543">
      <c r="R17543" s="100"/>
      <c r="V17543" s="100"/>
      <c r="Y17543" s="100"/>
    </row>
    <row r="17544">
      <c r="R17544" s="100"/>
      <c r="V17544" s="100"/>
      <c r="Y17544" s="100"/>
    </row>
    <row r="17545">
      <c r="R17545" s="100"/>
      <c r="V17545" s="100"/>
      <c r="Y17545" s="100"/>
    </row>
    <row r="17546">
      <c r="R17546" s="100"/>
      <c r="V17546" s="100"/>
      <c r="Y17546" s="100"/>
    </row>
    <row r="17547">
      <c r="R17547" s="100"/>
      <c r="V17547" s="100"/>
      <c r="Y17547" s="100"/>
    </row>
    <row r="17548">
      <c r="R17548" s="100"/>
      <c r="V17548" s="100"/>
      <c r="Y17548" s="100"/>
    </row>
    <row r="17549">
      <c r="R17549" s="100"/>
      <c r="V17549" s="100"/>
      <c r="Y17549" s="100"/>
    </row>
    <row r="17550">
      <c r="R17550" s="100"/>
      <c r="V17550" s="100"/>
      <c r="Y17550" s="100"/>
    </row>
    <row r="17551">
      <c r="R17551" s="100"/>
      <c r="V17551" s="100"/>
      <c r="Y17551" s="100"/>
    </row>
    <row r="17552">
      <c r="R17552" s="100"/>
      <c r="V17552" s="100"/>
      <c r="Y17552" s="100"/>
    </row>
    <row r="17553">
      <c r="R17553" s="100"/>
      <c r="V17553" s="100"/>
      <c r="Y17553" s="100"/>
    </row>
    <row r="17554">
      <c r="R17554" s="100"/>
      <c r="V17554" s="100"/>
      <c r="Y17554" s="100"/>
    </row>
    <row r="17555">
      <c r="R17555" s="100"/>
      <c r="V17555" s="100"/>
      <c r="Y17555" s="100"/>
    </row>
    <row r="17556">
      <c r="R17556" s="100"/>
      <c r="V17556" s="100"/>
      <c r="Y17556" s="100"/>
    </row>
    <row r="17557">
      <c r="R17557" s="100"/>
      <c r="V17557" s="100"/>
      <c r="Y17557" s="100"/>
    </row>
    <row r="17558">
      <c r="R17558" s="100"/>
      <c r="V17558" s="100"/>
      <c r="Y17558" s="100"/>
    </row>
    <row r="17559">
      <c r="R17559" s="100"/>
      <c r="V17559" s="100"/>
      <c r="Y17559" s="100"/>
    </row>
    <row r="17560">
      <c r="R17560" s="100"/>
      <c r="V17560" s="100"/>
      <c r="Y17560" s="100"/>
    </row>
    <row r="17561">
      <c r="R17561" s="100"/>
      <c r="V17561" s="100"/>
      <c r="Y17561" s="100"/>
    </row>
    <row r="17562">
      <c r="R17562" s="100"/>
      <c r="V17562" s="100"/>
      <c r="Y17562" s="100"/>
    </row>
    <row r="17563">
      <c r="R17563" s="100"/>
      <c r="V17563" s="100"/>
      <c r="Y17563" s="100"/>
    </row>
    <row r="17564">
      <c r="R17564" s="100"/>
      <c r="V17564" s="100"/>
      <c r="Y17564" s="100"/>
    </row>
    <row r="17565">
      <c r="R17565" s="100"/>
      <c r="V17565" s="100"/>
      <c r="Y17565" s="100"/>
    </row>
    <row r="17566">
      <c r="R17566" s="100"/>
      <c r="V17566" s="100"/>
      <c r="Y17566" s="100"/>
    </row>
    <row r="17567">
      <c r="R17567" s="100"/>
      <c r="V17567" s="100"/>
      <c r="Y17567" s="100"/>
    </row>
    <row r="17568">
      <c r="R17568" s="100"/>
      <c r="V17568" s="100"/>
      <c r="Y17568" s="100"/>
    </row>
    <row r="17569">
      <c r="R17569" s="100"/>
      <c r="V17569" s="100"/>
      <c r="Y17569" s="100"/>
    </row>
    <row r="17570">
      <c r="R17570" s="100"/>
      <c r="V17570" s="100"/>
      <c r="Y17570" s="100"/>
    </row>
    <row r="17571">
      <c r="R17571" s="100"/>
      <c r="V17571" s="100"/>
      <c r="Y17571" s="100"/>
    </row>
    <row r="17572">
      <c r="R17572" s="100"/>
      <c r="V17572" s="100"/>
      <c r="Y17572" s="100"/>
    </row>
    <row r="17573">
      <c r="R17573" s="100"/>
      <c r="V17573" s="100"/>
      <c r="Y17573" s="100"/>
    </row>
    <row r="17574">
      <c r="R17574" s="100"/>
      <c r="V17574" s="100"/>
      <c r="Y17574" s="100"/>
    </row>
    <row r="17575">
      <c r="R17575" s="100"/>
      <c r="V17575" s="100"/>
      <c r="Y17575" s="100"/>
    </row>
    <row r="17576">
      <c r="R17576" s="100"/>
      <c r="V17576" s="100"/>
      <c r="Y17576" s="100"/>
    </row>
    <row r="17577">
      <c r="R17577" s="100"/>
      <c r="V17577" s="100"/>
      <c r="Y17577" s="100"/>
    </row>
    <row r="17578">
      <c r="R17578" s="100"/>
      <c r="V17578" s="100"/>
      <c r="Y17578" s="100"/>
    </row>
    <row r="17579">
      <c r="R17579" s="100"/>
      <c r="V17579" s="100"/>
      <c r="Y17579" s="100"/>
    </row>
    <row r="17580">
      <c r="R17580" s="100"/>
      <c r="V17580" s="100"/>
      <c r="Y17580" s="100"/>
    </row>
    <row r="17581">
      <c r="R17581" s="100"/>
      <c r="V17581" s="100"/>
      <c r="Y17581" s="100"/>
    </row>
    <row r="17582">
      <c r="R17582" s="100"/>
      <c r="V17582" s="100"/>
      <c r="Y17582" s="100"/>
    </row>
    <row r="17583">
      <c r="R17583" s="100"/>
      <c r="V17583" s="100"/>
      <c r="Y17583" s="100"/>
    </row>
    <row r="17584">
      <c r="R17584" s="100"/>
      <c r="V17584" s="100"/>
      <c r="Y17584" s="100"/>
    </row>
    <row r="17585">
      <c r="R17585" s="100"/>
      <c r="V17585" s="100"/>
      <c r="Y17585" s="100"/>
    </row>
    <row r="17586">
      <c r="R17586" s="100"/>
      <c r="V17586" s="100"/>
      <c r="Y17586" s="100"/>
    </row>
    <row r="17587">
      <c r="R17587" s="100"/>
      <c r="V17587" s="100"/>
      <c r="Y17587" s="100"/>
    </row>
    <row r="17588">
      <c r="R17588" s="100"/>
      <c r="V17588" s="100"/>
      <c r="Y17588" s="100"/>
    </row>
    <row r="17589">
      <c r="R17589" s="100"/>
      <c r="V17589" s="100"/>
      <c r="Y17589" s="100"/>
    </row>
    <row r="17590">
      <c r="R17590" s="100"/>
      <c r="V17590" s="100"/>
      <c r="Y17590" s="100"/>
    </row>
    <row r="17591">
      <c r="R17591" s="100"/>
      <c r="V17591" s="100"/>
      <c r="Y17591" s="100"/>
    </row>
    <row r="17592">
      <c r="R17592" s="100"/>
      <c r="V17592" s="100"/>
      <c r="Y17592" s="100"/>
    </row>
    <row r="17593">
      <c r="R17593" s="100"/>
      <c r="V17593" s="100"/>
      <c r="Y17593" s="100"/>
    </row>
    <row r="17594">
      <c r="R17594" s="100"/>
      <c r="V17594" s="100"/>
      <c r="Y17594" s="100"/>
    </row>
    <row r="17595">
      <c r="R17595" s="100"/>
      <c r="V17595" s="100"/>
      <c r="Y17595" s="100"/>
    </row>
    <row r="17596">
      <c r="R17596" s="100"/>
      <c r="V17596" s="100"/>
      <c r="Y17596" s="100"/>
    </row>
    <row r="17597">
      <c r="R17597" s="100"/>
      <c r="V17597" s="100"/>
      <c r="Y17597" s="100"/>
    </row>
    <row r="17598">
      <c r="R17598" s="100"/>
      <c r="V17598" s="100"/>
      <c r="Y17598" s="100"/>
    </row>
    <row r="17599">
      <c r="R17599" s="100"/>
      <c r="V17599" s="100"/>
      <c r="Y17599" s="100"/>
    </row>
    <row r="17600">
      <c r="R17600" s="100"/>
      <c r="V17600" s="100"/>
      <c r="Y17600" s="100"/>
    </row>
    <row r="17601">
      <c r="R17601" s="100"/>
      <c r="V17601" s="100"/>
      <c r="Y17601" s="100"/>
    </row>
    <row r="17602">
      <c r="R17602" s="100"/>
      <c r="V17602" s="100"/>
      <c r="Y17602" s="100"/>
    </row>
    <row r="17603">
      <c r="R17603" s="100"/>
      <c r="V17603" s="100"/>
      <c r="Y17603" s="100"/>
    </row>
    <row r="17604">
      <c r="R17604" s="100"/>
      <c r="V17604" s="100"/>
      <c r="Y17604" s="100"/>
    </row>
    <row r="17605">
      <c r="R17605" s="100"/>
      <c r="V17605" s="100"/>
      <c r="Y17605" s="100"/>
    </row>
    <row r="17606">
      <c r="R17606" s="100"/>
      <c r="V17606" s="100"/>
      <c r="Y17606" s="100"/>
    </row>
    <row r="17607">
      <c r="R17607" s="100"/>
      <c r="V17607" s="100"/>
      <c r="Y17607" s="100"/>
    </row>
    <row r="17608">
      <c r="R17608" s="100"/>
      <c r="V17608" s="100"/>
      <c r="Y17608" s="100"/>
    </row>
    <row r="17609">
      <c r="R17609" s="100"/>
      <c r="V17609" s="100"/>
      <c r="Y17609" s="100"/>
    </row>
    <row r="17610">
      <c r="R17610" s="100"/>
      <c r="V17610" s="100"/>
      <c r="Y17610" s="100"/>
    </row>
    <row r="17611">
      <c r="R17611" s="100"/>
      <c r="V17611" s="100"/>
      <c r="Y17611" s="100"/>
    </row>
    <row r="17612">
      <c r="R17612" s="100"/>
      <c r="V17612" s="100"/>
      <c r="Y17612" s="100"/>
    </row>
    <row r="17613">
      <c r="R17613" s="100"/>
      <c r="V17613" s="100"/>
      <c r="Y17613" s="100"/>
    </row>
    <row r="17614">
      <c r="R17614" s="100"/>
      <c r="V17614" s="100"/>
      <c r="Y17614" s="100"/>
    </row>
    <row r="17615">
      <c r="R17615" s="100"/>
      <c r="V17615" s="100"/>
      <c r="Y17615" s="100"/>
    </row>
    <row r="17616">
      <c r="R17616" s="100"/>
      <c r="V17616" s="100"/>
      <c r="Y17616" s="100"/>
    </row>
    <row r="17617">
      <c r="R17617" s="100"/>
      <c r="V17617" s="100"/>
      <c r="Y17617" s="100"/>
    </row>
    <row r="17618">
      <c r="R17618" s="100"/>
      <c r="V17618" s="100"/>
      <c r="Y17618" s="100"/>
    </row>
    <row r="17619">
      <c r="R17619" s="100"/>
      <c r="V17619" s="100"/>
      <c r="Y17619" s="100"/>
    </row>
    <row r="17620">
      <c r="R17620" s="100"/>
      <c r="V17620" s="100"/>
      <c r="Y17620" s="100"/>
    </row>
    <row r="17621">
      <c r="R17621" s="100"/>
      <c r="V17621" s="100"/>
      <c r="Y17621" s="100"/>
    </row>
    <row r="17622">
      <c r="R17622" s="100"/>
      <c r="V17622" s="100"/>
      <c r="Y17622" s="100"/>
    </row>
    <row r="17623">
      <c r="R17623" s="100"/>
      <c r="V17623" s="100"/>
      <c r="Y17623" s="100"/>
    </row>
    <row r="17624">
      <c r="R17624" s="100"/>
      <c r="V17624" s="100"/>
      <c r="Y17624" s="100"/>
    </row>
    <row r="17625">
      <c r="R17625" s="100"/>
      <c r="V17625" s="100"/>
      <c r="Y17625" s="100"/>
    </row>
    <row r="17626">
      <c r="R17626" s="100"/>
      <c r="V17626" s="100"/>
      <c r="Y17626" s="100"/>
    </row>
    <row r="17627">
      <c r="R17627" s="100"/>
      <c r="V17627" s="100"/>
      <c r="Y17627" s="100"/>
    </row>
    <row r="17628">
      <c r="R17628" s="100"/>
      <c r="V17628" s="100"/>
      <c r="Y17628" s="100"/>
    </row>
    <row r="17629">
      <c r="R17629" s="100"/>
      <c r="V17629" s="100"/>
      <c r="Y17629" s="100"/>
    </row>
    <row r="17630">
      <c r="R17630" s="100"/>
      <c r="V17630" s="100"/>
      <c r="Y17630" s="100"/>
    </row>
    <row r="17631">
      <c r="R17631" s="100"/>
      <c r="V17631" s="100"/>
      <c r="Y17631" s="100"/>
    </row>
    <row r="17632">
      <c r="R17632" s="100"/>
      <c r="V17632" s="100"/>
      <c r="Y17632" s="100"/>
    </row>
    <row r="17633">
      <c r="R17633" s="100"/>
      <c r="V17633" s="100"/>
      <c r="Y17633" s="100"/>
    </row>
    <row r="17634">
      <c r="R17634" s="100"/>
      <c r="V17634" s="100"/>
      <c r="Y17634" s="100"/>
    </row>
    <row r="17635">
      <c r="R17635" s="100"/>
      <c r="V17635" s="100"/>
      <c r="Y17635" s="100"/>
    </row>
    <row r="17636">
      <c r="R17636" s="100"/>
      <c r="V17636" s="100"/>
      <c r="Y17636" s="100"/>
    </row>
    <row r="17637">
      <c r="R17637" s="100"/>
      <c r="V17637" s="100"/>
      <c r="Y17637" s="100"/>
    </row>
    <row r="17638">
      <c r="R17638" s="100"/>
      <c r="V17638" s="100"/>
      <c r="Y17638" s="100"/>
    </row>
    <row r="17639">
      <c r="R17639" s="100"/>
      <c r="V17639" s="100"/>
      <c r="Y17639" s="100"/>
    </row>
    <row r="17640">
      <c r="R17640" s="100"/>
      <c r="V17640" s="100"/>
      <c r="Y17640" s="100"/>
    </row>
    <row r="17641">
      <c r="R17641" s="100"/>
      <c r="V17641" s="100"/>
      <c r="Y17641" s="100"/>
    </row>
    <row r="17642">
      <c r="R17642" s="100"/>
      <c r="V17642" s="100"/>
      <c r="Y17642" s="100"/>
    </row>
    <row r="17643">
      <c r="R17643" s="100"/>
      <c r="V17643" s="100"/>
      <c r="Y17643" s="100"/>
    </row>
    <row r="17644">
      <c r="R17644" s="100"/>
      <c r="V17644" s="100"/>
      <c r="Y17644" s="100"/>
    </row>
    <row r="17645">
      <c r="R17645" s="100"/>
      <c r="V17645" s="100"/>
      <c r="Y17645" s="100"/>
    </row>
    <row r="17646">
      <c r="R17646" s="100"/>
      <c r="V17646" s="100"/>
      <c r="Y17646" s="100"/>
    </row>
    <row r="17647">
      <c r="R17647" s="100"/>
      <c r="V17647" s="100"/>
      <c r="Y17647" s="100"/>
    </row>
    <row r="17648">
      <c r="R17648" s="100"/>
      <c r="V17648" s="100"/>
      <c r="Y17648" s="100"/>
    </row>
    <row r="17649">
      <c r="R17649" s="100"/>
      <c r="V17649" s="100"/>
      <c r="Y17649" s="100"/>
    </row>
    <row r="17650">
      <c r="R17650" s="100"/>
      <c r="V17650" s="100"/>
      <c r="Y17650" s="100"/>
    </row>
    <row r="17651">
      <c r="R17651" s="100"/>
      <c r="V17651" s="100"/>
      <c r="Y17651" s="100"/>
    </row>
    <row r="17652">
      <c r="R17652" s="100"/>
      <c r="V17652" s="100"/>
      <c r="Y17652" s="100"/>
    </row>
    <row r="17653">
      <c r="R17653" s="100"/>
      <c r="V17653" s="100"/>
      <c r="Y17653" s="100"/>
    </row>
    <row r="17654">
      <c r="R17654" s="100"/>
      <c r="V17654" s="100"/>
      <c r="Y17654" s="100"/>
    </row>
    <row r="17655">
      <c r="R17655" s="100"/>
      <c r="V17655" s="100"/>
      <c r="Y17655" s="100"/>
    </row>
    <row r="17656">
      <c r="R17656" s="100"/>
      <c r="V17656" s="100"/>
      <c r="Y17656" s="100"/>
    </row>
    <row r="17657">
      <c r="R17657" s="100"/>
      <c r="V17657" s="100"/>
      <c r="Y17657" s="100"/>
    </row>
    <row r="17658">
      <c r="R17658" s="100"/>
      <c r="V17658" s="100"/>
      <c r="Y17658" s="100"/>
    </row>
    <row r="17659">
      <c r="R17659" s="100"/>
      <c r="V17659" s="100"/>
      <c r="Y17659" s="100"/>
    </row>
    <row r="17660">
      <c r="R17660" s="100"/>
      <c r="V17660" s="100"/>
      <c r="Y17660" s="100"/>
    </row>
    <row r="17661">
      <c r="R17661" s="100"/>
      <c r="V17661" s="100"/>
      <c r="Y17661" s="100"/>
    </row>
    <row r="17662">
      <c r="R17662" s="100"/>
      <c r="V17662" s="100"/>
      <c r="Y17662" s="100"/>
    </row>
    <row r="17663">
      <c r="R17663" s="100"/>
      <c r="V17663" s="100"/>
      <c r="Y17663" s="100"/>
    </row>
    <row r="17664">
      <c r="R17664" s="100"/>
      <c r="V17664" s="100"/>
      <c r="Y17664" s="100"/>
    </row>
    <row r="17665">
      <c r="R17665" s="100"/>
      <c r="V17665" s="100"/>
      <c r="Y17665" s="100"/>
    </row>
    <row r="17666">
      <c r="R17666" s="100"/>
      <c r="V17666" s="100"/>
      <c r="Y17666" s="100"/>
    </row>
    <row r="17667">
      <c r="R17667" s="100"/>
      <c r="V17667" s="100"/>
      <c r="Y17667" s="100"/>
    </row>
    <row r="17668">
      <c r="R17668" s="100"/>
      <c r="V17668" s="100"/>
      <c r="Y17668" s="100"/>
    </row>
    <row r="17669">
      <c r="R17669" s="100"/>
      <c r="V17669" s="100"/>
      <c r="Y17669" s="100"/>
    </row>
    <row r="17670">
      <c r="R17670" s="100"/>
      <c r="V17670" s="100"/>
      <c r="Y17670" s="100"/>
    </row>
    <row r="17671">
      <c r="R17671" s="100"/>
      <c r="V17671" s="100"/>
      <c r="Y17671" s="100"/>
    </row>
    <row r="17672">
      <c r="R17672" s="100"/>
      <c r="V17672" s="100"/>
      <c r="Y17672" s="100"/>
    </row>
    <row r="17673">
      <c r="R17673" s="100"/>
      <c r="V17673" s="100"/>
      <c r="Y17673" s="100"/>
    </row>
    <row r="17674">
      <c r="R17674" s="100"/>
      <c r="V17674" s="100"/>
      <c r="Y17674" s="100"/>
    </row>
    <row r="17675">
      <c r="R17675" s="100"/>
      <c r="V17675" s="100"/>
      <c r="Y17675" s="100"/>
    </row>
    <row r="17676">
      <c r="R17676" s="100"/>
      <c r="V17676" s="100"/>
      <c r="Y17676" s="100"/>
    </row>
    <row r="17677">
      <c r="R17677" s="100"/>
      <c r="V17677" s="100"/>
      <c r="Y17677" s="100"/>
    </row>
    <row r="17678">
      <c r="R17678" s="100"/>
      <c r="V17678" s="100"/>
      <c r="Y17678" s="100"/>
    </row>
    <row r="17679">
      <c r="R17679" s="100"/>
      <c r="V17679" s="100"/>
      <c r="Y17679" s="100"/>
    </row>
    <row r="17680">
      <c r="R17680" s="100"/>
      <c r="V17680" s="100"/>
      <c r="Y17680" s="100"/>
    </row>
    <row r="17681">
      <c r="R17681" s="100"/>
      <c r="V17681" s="100"/>
      <c r="Y17681" s="100"/>
    </row>
    <row r="17682">
      <c r="R17682" s="100"/>
      <c r="V17682" s="100"/>
      <c r="Y17682" s="100"/>
    </row>
    <row r="17683">
      <c r="R17683" s="100"/>
      <c r="V17683" s="100"/>
      <c r="Y17683" s="100"/>
    </row>
    <row r="17684">
      <c r="R17684" s="100"/>
      <c r="V17684" s="100"/>
      <c r="Y17684" s="100"/>
    </row>
    <row r="17685">
      <c r="R17685" s="100"/>
      <c r="V17685" s="100"/>
      <c r="Y17685" s="100"/>
    </row>
    <row r="17686">
      <c r="R17686" s="100"/>
      <c r="V17686" s="100"/>
      <c r="Y17686" s="100"/>
    </row>
    <row r="17687">
      <c r="R17687" s="100"/>
      <c r="V17687" s="100"/>
      <c r="Y17687" s="100"/>
    </row>
    <row r="17688">
      <c r="R17688" s="100"/>
      <c r="V17688" s="100"/>
      <c r="Y17688" s="100"/>
    </row>
    <row r="17689">
      <c r="R17689" s="100"/>
      <c r="V17689" s="100"/>
      <c r="Y17689" s="100"/>
    </row>
    <row r="17690">
      <c r="R17690" s="100"/>
      <c r="V17690" s="100"/>
      <c r="Y17690" s="100"/>
    </row>
    <row r="17691">
      <c r="R17691" s="100"/>
      <c r="V17691" s="100"/>
      <c r="Y17691" s="100"/>
    </row>
    <row r="17692">
      <c r="R17692" s="100"/>
      <c r="V17692" s="100"/>
      <c r="Y17692" s="100"/>
    </row>
    <row r="17693">
      <c r="R17693" s="100"/>
      <c r="V17693" s="100"/>
      <c r="Y17693" s="100"/>
    </row>
    <row r="17694">
      <c r="R17694" s="100"/>
      <c r="V17694" s="100"/>
      <c r="Y17694" s="100"/>
    </row>
    <row r="17695">
      <c r="R17695" s="100"/>
      <c r="V17695" s="100"/>
      <c r="Y17695" s="100"/>
    </row>
    <row r="17696">
      <c r="R17696" s="100"/>
      <c r="V17696" s="100"/>
      <c r="Y17696" s="100"/>
    </row>
    <row r="17697">
      <c r="R17697" s="100"/>
      <c r="V17697" s="100"/>
      <c r="Y17697" s="100"/>
    </row>
    <row r="17698">
      <c r="R17698" s="100"/>
      <c r="V17698" s="100"/>
      <c r="Y17698" s="100"/>
    </row>
    <row r="17699">
      <c r="R17699" s="100"/>
      <c r="V17699" s="100"/>
      <c r="Y17699" s="100"/>
    </row>
    <row r="17700">
      <c r="R17700" s="100"/>
      <c r="V17700" s="100"/>
      <c r="Y17700" s="100"/>
    </row>
    <row r="17701">
      <c r="R17701" s="100"/>
      <c r="V17701" s="100"/>
      <c r="Y17701" s="100"/>
    </row>
    <row r="17702">
      <c r="R17702" s="100"/>
      <c r="V17702" s="100"/>
      <c r="Y17702" s="100"/>
    </row>
    <row r="17703">
      <c r="R17703" s="100"/>
      <c r="V17703" s="100"/>
      <c r="Y17703" s="100"/>
    </row>
    <row r="17704">
      <c r="R17704" s="100"/>
      <c r="V17704" s="100"/>
      <c r="Y17704" s="100"/>
    </row>
    <row r="17705">
      <c r="R17705" s="100"/>
      <c r="V17705" s="100"/>
      <c r="Y17705" s="100"/>
    </row>
    <row r="17706">
      <c r="R17706" s="100"/>
      <c r="V17706" s="100"/>
      <c r="Y17706" s="100"/>
    </row>
    <row r="17707">
      <c r="R17707" s="100"/>
      <c r="V17707" s="100"/>
      <c r="Y17707" s="100"/>
    </row>
    <row r="17708">
      <c r="R17708" s="100"/>
      <c r="V17708" s="100"/>
      <c r="Y17708" s="100"/>
    </row>
    <row r="17709">
      <c r="R17709" s="100"/>
      <c r="V17709" s="100"/>
      <c r="Y17709" s="100"/>
    </row>
    <row r="17710">
      <c r="R17710" s="100"/>
      <c r="V17710" s="100"/>
      <c r="Y17710" s="100"/>
    </row>
    <row r="17711">
      <c r="R17711" s="100"/>
      <c r="V17711" s="100"/>
      <c r="Y17711" s="100"/>
    </row>
    <row r="17712">
      <c r="R17712" s="100"/>
      <c r="V17712" s="100"/>
      <c r="Y17712" s="100"/>
    </row>
    <row r="17713">
      <c r="R17713" s="100"/>
      <c r="V17713" s="100"/>
      <c r="Y17713" s="100"/>
    </row>
    <row r="17714">
      <c r="R17714" s="100"/>
      <c r="V17714" s="100"/>
      <c r="Y17714" s="100"/>
    </row>
    <row r="17715">
      <c r="R17715" s="100"/>
      <c r="V17715" s="100"/>
      <c r="Y17715" s="100"/>
    </row>
    <row r="17716">
      <c r="R17716" s="100"/>
      <c r="V17716" s="100"/>
      <c r="Y17716" s="100"/>
    </row>
    <row r="17717">
      <c r="R17717" s="100"/>
      <c r="V17717" s="100"/>
      <c r="Y17717" s="100"/>
    </row>
    <row r="17718">
      <c r="R17718" s="100"/>
      <c r="V17718" s="100"/>
      <c r="Y17718" s="100"/>
    </row>
    <row r="17719">
      <c r="R17719" s="100"/>
      <c r="V17719" s="100"/>
      <c r="Y17719" s="100"/>
    </row>
    <row r="17720">
      <c r="R17720" s="100"/>
      <c r="V17720" s="100"/>
      <c r="Y17720" s="100"/>
    </row>
    <row r="17721">
      <c r="R17721" s="100"/>
      <c r="V17721" s="100"/>
      <c r="Y17721" s="100"/>
    </row>
    <row r="17722">
      <c r="R17722" s="100"/>
      <c r="V17722" s="100"/>
      <c r="Y17722" s="100"/>
    </row>
    <row r="17723">
      <c r="R17723" s="100"/>
      <c r="V17723" s="100"/>
      <c r="Y17723" s="100"/>
    </row>
    <row r="17724">
      <c r="R17724" s="100"/>
      <c r="V17724" s="100"/>
      <c r="Y17724" s="100"/>
    </row>
    <row r="17725">
      <c r="R17725" s="100"/>
      <c r="V17725" s="100"/>
      <c r="Y17725" s="100"/>
    </row>
    <row r="17726">
      <c r="R17726" s="100"/>
      <c r="V17726" s="100"/>
      <c r="Y17726" s="100"/>
    </row>
    <row r="17727">
      <c r="R17727" s="100"/>
      <c r="V17727" s="100"/>
      <c r="Y17727" s="100"/>
    </row>
    <row r="17728">
      <c r="R17728" s="100"/>
      <c r="V17728" s="100"/>
      <c r="Y17728" s="100"/>
    </row>
    <row r="17729">
      <c r="R17729" s="100"/>
      <c r="V17729" s="100"/>
      <c r="Y17729" s="100"/>
    </row>
    <row r="17730">
      <c r="R17730" s="100"/>
      <c r="V17730" s="100"/>
      <c r="Y17730" s="100"/>
    </row>
    <row r="17731">
      <c r="R17731" s="100"/>
      <c r="V17731" s="100"/>
      <c r="Y17731" s="100"/>
    </row>
    <row r="17732">
      <c r="R17732" s="100"/>
      <c r="V17732" s="100"/>
      <c r="Y17732" s="100"/>
    </row>
    <row r="17733">
      <c r="R17733" s="100"/>
      <c r="V17733" s="100"/>
      <c r="Y17733" s="100"/>
    </row>
    <row r="17734">
      <c r="R17734" s="100"/>
      <c r="V17734" s="100"/>
      <c r="Y17734" s="100"/>
    </row>
    <row r="17735">
      <c r="R17735" s="100"/>
      <c r="V17735" s="100"/>
      <c r="Y17735" s="100"/>
    </row>
    <row r="17736">
      <c r="R17736" s="100"/>
      <c r="V17736" s="100"/>
      <c r="Y17736" s="100"/>
    </row>
    <row r="17737">
      <c r="R17737" s="100"/>
      <c r="V17737" s="100"/>
      <c r="Y17737" s="100"/>
    </row>
    <row r="17738">
      <c r="R17738" s="100"/>
      <c r="V17738" s="100"/>
      <c r="Y17738" s="100"/>
    </row>
    <row r="17739">
      <c r="R17739" s="100"/>
      <c r="V17739" s="100"/>
      <c r="Y17739" s="100"/>
    </row>
    <row r="17740">
      <c r="R17740" s="100"/>
      <c r="V17740" s="100"/>
      <c r="Y17740" s="100"/>
    </row>
    <row r="17741">
      <c r="R17741" s="100"/>
      <c r="V17741" s="100"/>
      <c r="Y17741" s="100"/>
    </row>
    <row r="17742">
      <c r="R17742" s="100"/>
      <c r="V17742" s="100"/>
      <c r="Y17742" s="100"/>
    </row>
    <row r="17743">
      <c r="R17743" s="100"/>
      <c r="V17743" s="100"/>
      <c r="Y17743" s="100"/>
    </row>
    <row r="17744">
      <c r="R17744" s="100"/>
      <c r="V17744" s="100"/>
      <c r="Y17744" s="100"/>
    </row>
    <row r="17745">
      <c r="R17745" s="100"/>
      <c r="V17745" s="100"/>
      <c r="Y17745" s="100"/>
    </row>
    <row r="17746">
      <c r="R17746" s="100"/>
      <c r="V17746" s="100"/>
      <c r="Y17746" s="100"/>
    </row>
    <row r="17747">
      <c r="R17747" s="100"/>
      <c r="V17747" s="100"/>
      <c r="Y17747" s="100"/>
    </row>
    <row r="17748">
      <c r="R17748" s="100"/>
      <c r="V17748" s="100"/>
      <c r="Y17748" s="100"/>
    </row>
    <row r="17749">
      <c r="R17749" s="100"/>
      <c r="V17749" s="100"/>
      <c r="Y17749" s="100"/>
    </row>
    <row r="17750">
      <c r="R17750" s="100"/>
      <c r="V17750" s="100"/>
      <c r="Y17750" s="100"/>
    </row>
    <row r="17751">
      <c r="R17751" s="100"/>
      <c r="V17751" s="100"/>
      <c r="Y17751" s="100"/>
    </row>
    <row r="17752">
      <c r="R17752" s="100"/>
      <c r="V17752" s="100"/>
      <c r="Y17752" s="100"/>
    </row>
    <row r="17753">
      <c r="R17753" s="100"/>
      <c r="V17753" s="100"/>
      <c r="Y17753" s="100"/>
    </row>
    <row r="17754">
      <c r="R17754" s="100"/>
      <c r="V17754" s="100"/>
      <c r="Y17754" s="100"/>
    </row>
    <row r="17755">
      <c r="R17755" s="100"/>
      <c r="V17755" s="100"/>
      <c r="Y17755" s="100"/>
    </row>
    <row r="17756">
      <c r="R17756" s="100"/>
      <c r="V17756" s="100"/>
      <c r="Y17756" s="100"/>
    </row>
    <row r="17757">
      <c r="R17757" s="100"/>
      <c r="V17757" s="100"/>
      <c r="Y17757" s="100"/>
    </row>
    <row r="17758">
      <c r="R17758" s="100"/>
      <c r="V17758" s="100"/>
      <c r="Y17758" s="100"/>
    </row>
    <row r="17759">
      <c r="R17759" s="100"/>
      <c r="V17759" s="100"/>
      <c r="Y17759" s="100"/>
    </row>
    <row r="17760">
      <c r="R17760" s="100"/>
      <c r="V17760" s="100"/>
      <c r="Y17760" s="100"/>
    </row>
    <row r="17761">
      <c r="R17761" s="100"/>
      <c r="V17761" s="100"/>
      <c r="Y17761" s="100"/>
    </row>
    <row r="17762">
      <c r="R17762" s="100"/>
      <c r="V17762" s="100"/>
      <c r="Y17762" s="100"/>
    </row>
    <row r="17763">
      <c r="R17763" s="100"/>
      <c r="V17763" s="100"/>
      <c r="Y17763" s="100"/>
    </row>
    <row r="17764">
      <c r="R17764" s="100"/>
      <c r="V17764" s="100"/>
      <c r="Y17764" s="100"/>
    </row>
    <row r="17765">
      <c r="R17765" s="100"/>
      <c r="V17765" s="100"/>
      <c r="Y17765" s="100"/>
    </row>
    <row r="17766">
      <c r="R17766" s="100"/>
      <c r="V17766" s="100"/>
      <c r="Y17766" s="100"/>
    </row>
    <row r="17767">
      <c r="R17767" s="100"/>
      <c r="V17767" s="100"/>
      <c r="Y17767" s="100"/>
    </row>
    <row r="17768">
      <c r="R17768" s="100"/>
      <c r="V17768" s="100"/>
      <c r="Y17768" s="100"/>
    </row>
    <row r="17769">
      <c r="R17769" s="100"/>
      <c r="V17769" s="100"/>
      <c r="Y17769" s="100"/>
    </row>
    <row r="17770">
      <c r="R17770" s="100"/>
      <c r="V17770" s="100"/>
      <c r="Y17770" s="100"/>
    </row>
    <row r="17771">
      <c r="R17771" s="100"/>
      <c r="V17771" s="100"/>
      <c r="Y17771" s="100"/>
    </row>
    <row r="17772">
      <c r="R17772" s="100"/>
      <c r="V17772" s="100"/>
      <c r="Y17772" s="100"/>
    </row>
    <row r="17773">
      <c r="R17773" s="100"/>
      <c r="V17773" s="100"/>
      <c r="Y17773" s="100"/>
    </row>
    <row r="17774">
      <c r="R17774" s="100"/>
      <c r="V17774" s="100"/>
      <c r="Y17774" s="100"/>
    </row>
    <row r="17775">
      <c r="R17775" s="100"/>
      <c r="V17775" s="100"/>
      <c r="Y17775" s="100"/>
    </row>
    <row r="17776">
      <c r="R17776" s="100"/>
      <c r="V17776" s="100"/>
      <c r="Y17776" s="100"/>
    </row>
    <row r="17777">
      <c r="R17777" s="100"/>
      <c r="V17777" s="100"/>
      <c r="Y17777" s="100"/>
    </row>
    <row r="17778">
      <c r="R17778" s="100"/>
      <c r="V17778" s="100"/>
      <c r="Y17778" s="100"/>
    </row>
    <row r="17779">
      <c r="R17779" s="100"/>
      <c r="V17779" s="100"/>
      <c r="Y17779" s="100"/>
    </row>
    <row r="17780">
      <c r="R17780" s="100"/>
      <c r="V17780" s="100"/>
      <c r="Y17780" s="100"/>
    </row>
    <row r="17781">
      <c r="R17781" s="100"/>
      <c r="V17781" s="100"/>
      <c r="Y17781" s="100"/>
    </row>
    <row r="17782">
      <c r="R17782" s="100"/>
      <c r="V17782" s="100"/>
      <c r="Y17782" s="100"/>
    </row>
    <row r="17783">
      <c r="R17783" s="100"/>
      <c r="V17783" s="100"/>
      <c r="Y17783" s="100"/>
    </row>
    <row r="17784">
      <c r="R17784" s="100"/>
      <c r="V17784" s="100"/>
      <c r="Y17784" s="100"/>
    </row>
    <row r="17785">
      <c r="R17785" s="100"/>
      <c r="V17785" s="100"/>
      <c r="Y17785" s="100"/>
    </row>
    <row r="17786">
      <c r="R17786" s="100"/>
      <c r="V17786" s="100"/>
      <c r="Y17786" s="100"/>
    </row>
    <row r="17787">
      <c r="R17787" s="100"/>
      <c r="V17787" s="100"/>
      <c r="Y17787" s="100"/>
    </row>
    <row r="17788">
      <c r="R17788" s="100"/>
      <c r="V17788" s="100"/>
      <c r="Y17788" s="100"/>
    </row>
    <row r="17789">
      <c r="R17789" s="100"/>
      <c r="V17789" s="100"/>
      <c r="Y17789" s="100"/>
    </row>
    <row r="17790">
      <c r="R17790" s="100"/>
      <c r="V17790" s="100"/>
      <c r="Y17790" s="100"/>
    </row>
    <row r="17791">
      <c r="R17791" s="100"/>
      <c r="V17791" s="100"/>
      <c r="Y17791" s="100"/>
    </row>
    <row r="17792">
      <c r="R17792" s="100"/>
      <c r="V17792" s="100"/>
      <c r="Y17792" s="100"/>
    </row>
    <row r="17793">
      <c r="R17793" s="100"/>
      <c r="V17793" s="100"/>
      <c r="Y17793" s="100"/>
    </row>
    <row r="17794">
      <c r="R17794" s="100"/>
      <c r="V17794" s="100"/>
      <c r="Y17794" s="100"/>
    </row>
    <row r="17795">
      <c r="R17795" s="100"/>
      <c r="V17795" s="100"/>
      <c r="Y17795" s="100"/>
    </row>
    <row r="17796">
      <c r="R17796" s="100"/>
      <c r="V17796" s="100"/>
      <c r="Y17796" s="100"/>
    </row>
    <row r="17797">
      <c r="R17797" s="100"/>
      <c r="V17797" s="100"/>
      <c r="Y17797" s="100"/>
    </row>
    <row r="17798">
      <c r="R17798" s="100"/>
      <c r="V17798" s="100"/>
      <c r="Y17798" s="100"/>
    </row>
    <row r="17799">
      <c r="R17799" s="100"/>
      <c r="V17799" s="100"/>
      <c r="Y17799" s="100"/>
    </row>
    <row r="17800">
      <c r="R17800" s="100"/>
      <c r="V17800" s="100"/>
      <c r="Y17800" s="100"/>
    </row>
    <row r="17801">
      <c r="R17801" s="100"/>
      <c r="V17801" s="100"/>
      <c r="Y17801" s="100"/>
    </row>
    <row r="17802">
      <c r="R17802" s="100"/>
      <c r="V17802" s="100"/>
      <c r="Y17802" s="100"/>
    </row>
    <row r="17803">
      <c r="R17803" s="100"/>
      <c r="V17803" s="100"/>
      <c r="Y17803" s="100"/>
    </row>
    <row r="17804">
      <c r="R17804" s="100"/>
      <c r="V17804" s="100"/>
      <c r="Y17804" s="100"/>
    </row>
    <row r="17805">
      <c r="R17805" s="100"/>
      <c r="V17805" s="100"/>
      <c r="Y17805" s="100"/>
    </row>
    <row r="17806">
      <c r="R17806" s="100"/>
      <c r="V17806" s="100"/>
      <c r="Y17806" s="100"/>
    </row>
    <row r="17807">
      <c r="R17807" s="100"/>
      <c r="V17807" s="100"/>
      <c r="Y17807" s="100"/>
    </row>
    <row r="17808">
      <c r="R17808" s="100"/>
      <c r="V17808" s="100"/>
      <c r="Y17808" s="100"/>
    </row>
    <row r="17809">
      <c r="R17809" s="100"/>
      <c r="V17809" s="100"/>
      <c r="Y17809" s="100"/>
    </row>
    <row r="17810">
      <c r="R17810" s="100"/>
      <c r="V17810" s="100"/>
      <c r="Y17810" s="100"/>
    </row>
    <row r="17811">
      <c r="R17811" s="100"/>
      <c r="V17811" s="100"/>
      <c r="Y17811" s="100"/>
    </row>
    <row r="17812">
      <c r="R17812" s="100"/>
      <c r="V17812" s="100"/>
      <c r="Y17812" s="100"/>
    </row>
    <row r="17813">
      <c r="R17813" s="100"/>
      <c r="V17813" s="100"/>
      <c r="Y17813" s="100"/>
    </row>
    <row r="17814">
      <c r="R17814" s="100"/>
      <c r="V17814" s="100"/>
      <c r="Y17814" s="100"/>
    </row>
    <row r="17815">
      <c r="R17815" s="100"/>
      <c r="V17815" s="100"/>
      <c r="Y17815" s="100"/>
    </row>
    <row r="17816">
      <c r="R17816" s="100"/>
      <c r="V17816" s="100"/>
      <c r="Y17816" s="100"/>
    </row>
    <row r="17817">
      <c r="R17817" s="100"/>
      <c r="V17817" s="100"/>
      <c r="Y17817" s="100"/>
    </row>
    <row r="17818">
      <c r="R17818" s="100"/>
      <c r="V17818" s="100"/>
      <c r="Y17818" s="100"/>
    </row>
    <row r="17819">
      <c r="R17819" s="100"/>
      <c r="V17819" s="100"/>
      <c r="Y17819" s="100"/>
    </row>
    <row r="17820">
      <c r="R17820" s="100"/>
      <c r="V17820" s="100"/>
      <c r="Y17820" s="100"/>
    </row>
    <row r="17821">
      <c r="R17821" s="100"/>
      <c r="V17821" s="100"/>
      <c r="Y17821" s="100"/>
    </row>
    <row r="17822">
      <c r="R17822" s="100"/>
      <c r="V17822" s="100"/>
      <c r="Y17822" s="100"/>
    </row>
    <row r="17823">
      <c r="R17823" s="100"/>
      <c r="V17823" s="100"/>
      <c r="Y17823" s="100"/>
    </row>
    <row r="17824">
      <c r="R17824" s="100"/>
      <c r="V17824" s="100"/>
      <c r="Y17824" s="100"/>
    </row>
    <row r="17825">
      <c r="R17825" s="100"/>
      <c r="V17825" s="100"/>
      <c r="Y17825" s="100"/>
    </row>
    <row r="17826">
      <c r="R17826" s="100"/>
      <c r="V17826" s="100"/>
      <c r="Y17826" s="100"/>
    </row>
    <row r="17827">
      <c r="R17827" s="100"/>
      <c r="V17827" s="100"/>
      <c r="Y17827" s="100"/>
    </row>
    <row r="17828">
      <c r="R17828" s="100"/>
      <c r="V17828" s="100"/>
      <c r="Y17828" s="100"/>
    </row>
    <row r="17829">
      <c r="R17829" s="100"/>
      <c r="V17829" s="100"/>
      <c r="Y17829" s="100"/>
    </row>
    <row r="17830">
      <c r="R17830" s="100"/>
      <c r="V17830" s="100"/>
      <c r="Y17830" s="100"/>
    </row>
    <row r="17831">
      <c r="R17831" s="100"/>
      <c r="V17831" s="100"/>
      <c r="Y17831" s="100"/>
    </row>
    <row r="17832">
      <c r="R17832" s="100"/>
      <c r="V17832" s="100"/>
      <c r="Y17832" s="100"/>
    </row>
    <row r="17833">
      <c r="R17833" s="100"/>
      <c r="V17833" s="100"/>
      <c r="Y17833" s="100"/>
    </row>
    <row r="17834">
      <c r="R17834" s="100"/>
      <c r="V17834" s="100"/>
      <c r="Y17834" s="100"/>
    </row>
    <row r="17835">
      <c r="R17835" s="100"/>
      <c r="V17835" s="100"/>
      <c r="Y17835" s="100"/>
    </row>
    <row r="17836">
      <c r="R17836" s="100"/>
      <c r="V17836" s="100"/>
      <c r="Y17836" s="100"/>
    </row>
    <row r="17837">
      <c r="R17837" s="100"/>
      <c r="V17837" s="100"/>
      <c r="Y17837" s="100"/>
    </row>
    <row r="17838">
      <c r="R17838" s="100"/>
      <c r="V17838" s="100"/>
      <c r="Y17838" s="100"/>
    </row>
    <row r="17839">
      <c r="R17839" s="100"/>
      <c r="V17839" s="100"/>
      <c r="Y17839" s="100"/>
    </row>
    <row r="17840">
      <c r="R17840" s="100"/>
      <c r="V17840" s="100"/>
      <c r="Y17840" s="100"/>
    </row>
    <row r="17841">
      <c r="R17841" s="100"/>
      <c r="V17841" s="100"/>
      <c r="Y17841" s="100"/>
    </row>
    <row r="17842">
      <c r="R17842" s="100"/>
      <c r="V17842" s="100"/>
      <c r="Y17842" s="100"/>
    </row>
    <row r="17843">
      <c r="R17843" s="100"/>
      <c r="V17843" s="100"/>
      <c r="Y17843" s="100"/>
    </row>
    <row r="17844">
      <c r="R17844" s="100"/>
      <c r="V17844" s="100"/>
      <c r="Y17844" s="100"/>
    </row>
    <row r="17845">
      <c r="R17845" s="100"/>
      <c r="V17845" s="100"/>
      <c r="Y17845" s="100"/>
    </row>
    <row r="17846">
      <c r="R17846" s="100"/>
      <c r="V17846" s="100"/>
      <c r="Y17846" s="100"/>
    </row>
    <row r="17847">
      <c r="R17847" s="100"/>
      <c r="V17847" s="100"/>
      <c r="Y17847" s="100"/>
    </row>
    <row r="17848">
      <c r="R17848" s="100"/>
      <c r="V17848" s="100"/>
      <c r="Y17848" s="100"/>
    </row>
    <row r="17849">
      <c r="R17849" s="100"/>
      <c r="V17849" s="100"/>
      <c r="Y17849" s="100"/>
    </row>
    <row r="17850">
      <c r="R17850" s="100"/>
      <c r="V17850" s="100"/>
      <c r="Y17850" s="100"/>
    </row>
    <row r="17851">
      <c r="R17851" s="100"/>
      <c r="V17851" s="100"/>
      <c r="Y17851" s="100"/>
    </row>
    <row r="17852">
      <c r="R17852" s="100"/>
      <c r="V17852" s="100"/>
      <c r="Y17852" s="100"/>
    </row>
    <row r="17853">
      <c r="R17853" s="100"/>
      <c r="V17853" s="100"/>
      <c r="Y17853" s="100"/>
    </row>
    <row r="17854">
      <c r="R17854" s="100"/>
      <c r="V17854" s="100"/>
      <c r="Y17854" s="100"/>
    </row>
    <row r="17855">
      <c r="R17855" s="100"/>
      <c r="V17855" s="100"/>
      <c r="Y17855" s="100"/>
    </row>
    <row r="17856">
      <c r="R17856" s="100"/>
      <c r="V17856" s="100"/>
      <c r="Y17856" s="100"/>
    </row>
    <row r="17857">
      <c r="R17857" s="100"/>
      <c r="V17857" s="100"/>
      <c r="Y17857" s="100"/>
    </row>
    <row r="17858">
      <c r="R17858" s="100"/>
      <c r="V17858" s="100"/>
      <c r="Y17858" s="100"/>
    </row>
    <row r="17859">
      <c r="R17859" s="100"/>
      <c r="V17859" s="100"/>
      <c r="Y17859" s="100"/>
    </row>
    <row r="17860">
      <c r="R17860" s="100"/>
      <c r="V17860" s="100"/>
      <c r="Y17860" s="100"/>
    </row>
    <row r="17861">
      <c r="R17861" s="100"/>
      <c r="V17861" s="100"/>
      <c r="Y17861" s="100"/>
    </row>
    <row r="17862">
      <c r="R17862" s="100"/>
      <c r="V17862" s="100"/>
      <c r="Y17862" s="100"/>
    </row>
    <row r="17863">
      <c r="R17863" s="100"/>
      <c r="V17863" s="100"/>
      <c r="Y17863" s="100"/>
    </row>
    <row r="17864">
      <c r="R17864" s="100"/>
      <c r="V17864" s="100"/>
      <c r="Y17864" s="100"/>
    </row>
    <row r="17865">
      <c r="R17865" s="100"/>
      <c r="V17865" s="100"/>
      <c r="Y17865" s="100"/>
    </row>
    <row r="17866">
      <c r="R17866" s="100"/>
      <c r="V17866" s="100"/>
      <c r="Y17866" s="100"/>
    </row>
    <row r="17867">
      <c r="R17867" s="100"/>
      <c r="V17867" s="100"/>
      <c r="Y17867" s="100"/>
    </row>
    <row r="17868">
      <c r="R17868" s="100"/>
      <c r="V17868" s="100"/>
      <c r="Y17868" s="100"/>
    </row>
    <row r="17869">
      <c r="R17869" s="100"/>
      <c r="V17869" s="100"/>
      <c r="Y17869" s="100"/>
    </row>
    <row r="17870">
      <c r="R17870" s="100"/>
      <c r="V17870" s="100"/>
      <c r="Y17870" s="100"/>
    </row>
    <row r="17871">
      <c r="R17871" s="100"/>
      <c r="V17871" s="100"/>
      <c r="Y17871" s="100"/>
    </row>
    <row r="17872">
      <c r="R17872" s="100"/>
      <c r="V17872" s="100"/>
      <c r="Y17872" s="100"/>
    </row>
    <row r="17873">
      <c r="R17873" s="100"/>
      <c r="V17873" s="100"/>
      <c r="Y17873" s="100"/>
    </row>
    <row r="17874">
      <c r="R17874" s="100"/>
      <c r="V17874" s="100"/>
      <c r="Y17874" s="100"/>
    </row>
    <row r="17875">
      <c r="R17875" s="100"/>
      <c r="V17875" s="100"/>
      <c r="Y17875" s="100"/>
    </row>
    <row r="17876">
      <c r="R17876" s="100"/>
      <c r="V17876" s="100"/>
      <c r="Y17876" s="100"/>
    </row>
    <row r="17877">
      <c r="R17877" s="100"/>
      <c r="V17877" s="100"/>
      <c r="Y17877" s="100"/>
    </row>
    <row r="17878">
      <c r="R17878" s="100"/>
      <c r="V17878" s="100"/>
      <c r="Y17878" s="100"/>
    </row>
    <row r="17879">
      <c r="R17879" s="100"/>
      <c r="V17879" s="100"/>
      <c r="Y17879" s="100"/>
    </row>
    <row r="17880">
      <c r="R17880" s="100"/>
      <c r="V17880" s="100"/>
      <c r="Y17880" s="100"/>
    </row>
    <row r="17881">
      <c r="R17881" s="100"/>
      <c r="V17881" s="100"/>
      <c r="Y17881" s="100"/>
    </row>
    <row r="17882">
      <c r="R17882" s="100"/>
      <c r="V17882" s="100"/>
      <c r="Y17882" s="100"/>
    </row>
    <row r="17883">
      <c r="R17883" s="100"/>
      <c r="V17883" s="100"/>
      <c r="Y17883" s="100"/>
    </row>
    <row r="17884">
      <c r="R17884" s="100"/>
      <c r="V17884" s="100"/>
      <c r="Y17884" s="100"/>
    </row>
    <row r="17885">
      <c r="R17885" s="100"/>
      <c r="V17885" s="100"/>
      <c r="Y17885" s="100"/>
    </row>
    <row r="17886">
      <c r="R17886" s="100"/>
      <c r="V17886" s="100"/>
      <c r="Y17886" s="100"/>
    </row>
    <row r="17887">
      <c r="R17887" s="100"/>
      <c r="V17887" s="100"/>
      <c r="Y17887" s="100"/>
    </row>
    <row r="17888">
      <c r="R17888" s="100"/>
      <c r="V17888" s="100"/>
      <c r="Y17888" s="100"/>
    </row>
    <row r="17889">
      <c r="R17889" s="100"/>
      <c r="V17889" s="100"/>
      <c r="Y17889" s="100"/>
    </row>
    <row r="17890">
      <c r="R17890" s="100"/>
      <c r="V17890" s="100"/>
      <c r="Y17890" s="100"/>
    </row>
    <row r="17891">
      <c r="R17891" s="100"/>
      <c r="V17891" s="100"/>
      <c r="Y17891" s="100"/>
    </row>
    <row r="17892">
      <c r="R17892" s="100"/>
      <c r="V17892" s="100"/>
      <c r="Y17892" s="100"/>
    </row>
    <row r="17893">
      <c r="R17893" s="100"/>
      <c r="V17893" s="100"/>
      <c r="Y17893" s="100"/>
    </row>
    <row r="17894">
      <c r="R17894" s="100"/>
      <c r="V17894" s="100"/>
      <c r="Y17894" s="100"/>
    </row>
    <row r="17895">
      <c r="R17895" s="100"/>
      <c r="V17895" s="100"/>
      <c r="Y17895" s="100"/>
    </row>
    <row r="17896">
      <c r="R17896" s="100"/>
      <c r="V17896" s="100"/>
      <c r="Y17896" s="100"/>
    </row>
    <row r="17897">
      <c r="R17897" s="100"/>
      <c r="V17897" s="100"/>
      <c r="Y17897" s="100"/>
    </row>
    <row r="17898">
      <c r="R17898" s="100"/>
      <c r="V17898" s="100"/>
      <c r="Y17898" s="100"/>
    </row>
    <row r="17899">
      <c r="R17899" s="100"/>
      <c r="V17899" s="100"/>
      <c r="Y17899" s="100"/>
    </row>
    <row r="17900">
      <c r="R17900" s="100"/>
      <c r="V17900" s="100"/>
      <c r="Y17900" s="100"/>
    </row>
    <row r="17901">
      <c r="R17901" s="100"/>
      <c r="V17901" s="100"/>
      <c r="Y17901" s="100"/>
    </row>
    <row r="17902">
      <c r="R17902" s="100"/>
      <c r="V17902" s="100"/>
      <c r="Y17902" s="100"/>
    </row>
    <row r="17903">
      <c r="R17903" s="100"/>
      <c r="V17903" s="100"/>
      <c r="Y17903" s="100"/>
    </row>
    <row r="17904">
      <c r="R17904" s="100"/>
      <c r="V17904" s="100"/>
      <c r="Y17904" s="100"/>
    </row>
    <row r="17905">
      <c r="R17905" s="100"/>
      <c r="V17905" s="100"/>
      <c r="Y17905" s="100"/>
    </row>
    <row r="17906">
      <c r="R17906" s="100"/>
      <c r="V17906" s="100"/>
      <c r="Y17906" s="100"/>
    </row>
    <row r="17907">
      <c r="R17907" s="100"/>
      <c r="V17907" s="100"/>
      <c r="Y17907" s="100"/>
    </row>
    <row r="17908">
      <c r="R17908" s="100"/>
      <c r="V17908" s="100"/>
      <c r="Y17908" s="100"/>
    </row>
    <row r="17909">
      <c r="R17909" s="100"/>
      <c r="V17909" s="100"/>
      <c r="Y17909" s="100"/>
    </row>
    <row r="17910">
      <c r="R17910" s="100"/>
      <c r="V17910" s="100"/>
      <c r="Y17910" s="100"/>
    </row>
    <row r="17911">
      <c r="R17911" s="100"/>
      <c r="V17911" s="100"/>
      <c r="Y17911" s="100"/>
    </row>
    <row r="17912">
      <c r="R17912" s="100"/>
      <c r="V17912" s="100"/>
      <c r="Y17912" s="100"/>
    </row>
    <row r="17913">
      <c r="R17913" s="100"/>
      <c r="V17913" s="100"/>
      <c r="Y17913" s="100"/>
    </row>
    <row r="17914">
      <c r="R17914" s="100"/>
      <c r="V17914" s="100"/>
      <c r="Y17914" s="100"/>
    </row>
    <row r="17915">
      <c r="R17915" s="100"/>
      <c r="V17915" s="100"/>
      <c r="Y17915" s="100"/>
    </row>
    <row r="17916">
      <c r="R17916" s="100"/>
      <c r="V17916" s="100"/>
      <c r="Y17916" s="100"/>
    </row>
    <row r="17917">
      <c r="R17917" s="100"/>
      <c r="V17917" s="100"/>
      <c r="Y17917" s="100"/>
    </row>
    <row r="17918">
      <c r="R17918" s="100"/>
      <c r="V17918" s="100"/>
      <c r="Y17918" s="100"/>
    </row>
    <row r="17919">
      <c r="R17919" s="100"/>
      <c r="V17919" s="100"/>
      <c r="Y17919" s="100"/>
    </row>
    <row r="17920">
      <c r="R17920" s="100"/>
      <c r="V17920" s="100"/>
      <c r="Y17920" s="100"/>
    </row>
    <row r="17921">
      <c r="R17921" s="100"/>
      <c r="V17921" s="100"/>
      <c r="Y17921" s="100"/>
    </row>
    <row r="17922">
      <c r="R17922" s="100"/>
      <c r="V17922" s="100"/>
      <c r="Y17922" s="100"/>
    </row>
    <row r="17923">
      <c r="R17923" s="100"/>
      <c r="V17923" s="100"/>
      <c r="Y17923" s="100"/>
    </row>
    <row r="17924">
      <c r="R17924" s="100"/>
      <c r="V17924" s="100"/>
      <c r="Y17924" s="100"/>
    </row>
    <row r="17925">
      <c r="R17925" s="100"/>
      <c r="V17925" s="100"/>
      <c r="Y17925" s="100"/>
    </row>
    <row r="17926">
      <c r="R17926" s="100"/>
      <c r="V17926" s="100"/>
      <c r="Y17926" s="100"/>
    </row>
    <row r="17927">
      <c r="R17927" s="100"/>
      <c r="V17927" s="100"/>
      <c r="Y17927" s="100"/>
    </row>
    <row r="17928">
      <c r="R17928" s="100"/>
      <c r="V17928" s="100"/>
      <c r="Y17928" s="100"/>
    </row>
    <row r="17929">
      <c r="R17929" s="100"/>
      <c r="V17929" s="100"/>
      <c r="Y17929" s="100"/>
    </row>
    <row r="17930">
      <c r="R17930" s="100"/>
      <c r="V17930" s="100"/>
      <c r="Y17930" s="100"/>
    </row>
    <row r="17931">
      <c r="R17931" s="100"/>
      <c r="V17931" s="100"/>
      <c r="Y17931" s="100"/>
    </row>
    <row r="17932">
      <c r="R17932" s="100"/>
      <c r="V17932" s="100"/>
      <c r="Y17932" s="100"/>
    </row>
    <row r="17933">
      <c r="R17933" s="100"/>
      <c r="V17933" s="100"/>
      <c r="Y17933" s="100"/>
    </row>
    <row r="17934">
      <c r="R17934" s="100"/>
      <c r="V17934" s="100"/>
      <c r="Y17934" s="100"/>
    </row>
    <row r="17935">
      <c r="R17935" s="100"/>
      <c r="V17935" s="100"/>
      <c r="Y17935" s="100"/>
    </row>
    <row r="17936">
      <c r="R17936" s="100"/>
      <c r="V17936" s="100"/>
      <c r="Y17936" s="100"/>
    </row>
    <row r="17937">
      <c r="R17937" s="100"/>
      <c r="V17937" s="100"/>
      <c r="Y17937" s="100"/>
    </row>
    <row r="17938">
      <c r="R17938" s="100"/>
      <c r="V17938" s="100"/>
      <c r="Y17938" s="100"/>
    </row>
    <row r="17939">
      <c r="R17939" s="100"/>
      <c r="V17939" s="100"/>
      <c r="Y17939" s="100"/>
    </row>
    <row r="17940">
      <c r="R17940" s="100"/>
      <c r="V17940" s="100"/>
      <c r="Y17940" s="100"/>
    </row>
    <row r="17941">
      <c r="R17941" s="100"/>
      <c r="V17941" s="100"/>
      <c r="Y17941" s="100"/>
    </row>
    <row r="17942">
      <c r="R17942" s="100"/>
      <c r="V17942" s="100"/>
      <c r="Y17942" s="100"/>
    </row>
    <row r="17943">
      <c r="R17943" s="100"/>
      <c r="V17943" s="100"/>
      <c r="Y17943" s="100"/>
    </row>
    <row r="17944">
      <c r="R17944" s="100"/>
      <c r="V17944" s="100"/>
      <c r="Y17944" s="100"/>
    </row>
    <row r="17945">
      <c r="R17945" s="100"/>
      <c r="V17945" s="100"/>
      <c r="Y17945" s="100"/>
    </row>
    <row r="17946">
      <c r="R17946" s="100"/>
      <c r="V17946" s="100"/>
      <c r="Y17946" s="100"/>
    </row>
    <row r="17947">
      <c r="R17947" s="100"/>
      <c r="V17947" s="100"/>
      <c r="Y17947" s="100"/>
    </row>
    <row r="17948">
      <c r="R17948" s="100"/>
      <c r="V17948" s="100"/>
      <c r="Y17948" s="100"/>
    </row>
    <row r="17949">
      <c r="R17949" s="100"/>
      <c r="V17949" s="100"/>
      <c r="Y17949" s="100"/>
    </row>
    <row r="17950">
      <c r="R17950" s="100"/>
      <c r="V17950" s="100"/>
      <c r="Y17950" s="100"/>
    </row>
    <row r="17951">
      <c r="R17951" s="100"/>
      <c r="V17951" s="100"/>
      <c r="Y17951" s="100"/>
    </row>
    <row r="17952">
      <c r="R17952" s="100"/>
      <c r="V17952" s="100"/>
      <c r="Y17952" s="100"/>
    </row>
    <row r="17953">
      <c r="R17953" s="100"/>
      <c r="V17953" s="100"/>
      <c r="Y17953" s="100"/>
    </row>
    <row r="17954">
      <c r="R17954" s="100"/>
      <c r="V17954" s="100"/>
      <c r="Y17954" s="100"/>
    </row>
    <row r="17955">
      <c r="R17955" s="100"/>
      <c r="V17955" s="100"/>
      <c r="Y17955" s="100"/>
    </row>
    <row r="17956">
      <c r="R17956" s="100"/>
      <c r="V17956" s="100"/>
      <c r="Y17956" s="100"/>
    </row>
    <row r="17957">
      <c r="R17957" s="100"/>
      <c r="V17957" s="100"/>
      <c r="Y17957" s="100"/>
    </row>
    <row r="17958">
      <c r="R17958" s="100"/>
      <c r="V17958" s="100"/>
      <c r="Y17958" s="100"/>
    </row>
    <row r="17959">
      <c r="R17959" s="100"/>
      <c r="V17959" s="100"/>
      <c r="Y17959" s="100"/>
    </row>
    <row r="17960">
      <c r="R17960" s="100"/>
      <c r="V17960" s="100"/>
      <c r="Y17960" s="100"/>
    </row>
    <row r="17961">
      <c r="R17961" s="100"/>
      <c r="V17961" s="100"/>
      <c r="Y17961" s="100"/>
    </row>
    <row r="17962">
      <c r="R17962" s="100"/>
      <c r="V17962" s="100"/>
      <c r="Y17962" s="100"/>
    </row>
    <row r="17963">
      <c r="R17963" s="100"/>
      <c r="V17963" s="100"/>
      <c r="Y17963" s="100"/>
    </row>
    <row r="17964">
      <c r="R17964" s="100"/>
      <c r="V17964" s="100"/>
      <c r="Y17964" s="100"/>
    </row>
    <row r="17965">
      <c r="R17965" s="100"/>
      <c r="V17965" s="100"/>
      <c r="Y17965" s="100"/>
    </row>
    <row r="17966">
      <c r="R17966" s="100"/>
      <c r="V17966" s="100"/>
      <c r="Y17966" s="100"/>
    </row>
    <row r="17967">
      <c r="R17967" s="100"/>
      <c r="V17967" s="100"/>
      <c r="Y17967" s="100"/>
    </row>
    <row r="17968">
      <c r="R17968" s="100"/>
      <c r="V17968" s="100"/>
      <c r="Y17968" s="100"/>
    </row>
    <row r="17969">
      <c r="R17969" s="100"/>
      <c r="V17969" s="100"/>
      <c r="Y17969" s="100"/>
    </row>
    <row r="17970">
      <c r="R17970" s="100"/>
      <c r="V17970" s="100"/>
      <c r="Y17970" s="100"/>
    </row>
    <row r="17971">
      <c r="R17971" s="100"/>
      <c r="V17971" s="100"/>
      <c r="Y17971" s="100"/>
    </row>
    <row r="17972">
      <c r="R17972" s="100"/>
      <c r="V17972" s="100"/>
      <c r="Y17972" s="100"/>
    </row>
    <row r="17973">
      <c r="R17973" s="100"/>
      <c r="V17973" s="100"/>
      <c r="Y17973" s="100"/>
    </row>
    <row r="17974">
      <c r="R17974" s="100"/>
      <c r="V17974" s="100"/>
      <c r="Y17974" s="100"/>
    </row>
    <row r="17975">
      <c r="R17975" s="100"/>
      <c r="V17975" s="100"/>
      <c r="Y17975" s="100"/>
    </row>
    <row r="17976">
      <c r="R17976" s="100"/>
      <c r="V17976" s="100"/>
      <c r="Y17976" s="100"/>
    </row>
    <row r="17977">
      <c r="R17977" s="100"/>
      <c r="V17977" s="100"/>
      <c r="Y17977" s="100"/>
    </row>
    <row r="17978">
      <c r="R17978" s="100"/>
      <c r="V17978" s="100"/>
      <c r="Y17978" s="100"/>
    </row>
    <row r="17979">
      <c r="R17979" s="100"/>
      <c r="V17979" s="100"/>
      <c r="Y17979" s="100"/>
    </row>
    <row r="17980">
      <c r="R17980" s="100"/>
      <c r="V17980" s="100"/>
      <c r="Y17980" s="100"/>
    </row>
    <row r="17981">
      <c r="R17981" s="100"/>
      <c r="V17981" s="100"/>
      <c r="Y17981" s="100"/>
    </row>
    <row r="17982">
      <c r="R17982" s="100"/>
      <c r="V17982" s="100"/>
      <c r="Y17982" s="100"/>
    </row>
    <row r="17983">
      <c r="R17983" s="100"/>
      <c r="V17983" s="100"/>
      <c r="Y17983" s="100"/>
    </row>
    <row r="17984">
      <c r="R17984" s="100"/>
      <c r="V17984" s="100"/>
      <c r="Y17984" s="100"/>
    </row>
    <row r="17985">
      <c r="R17985" s="100"/>
      <c r="V17985" s="100"/>
      <c r="Y17985" s="100"/>
    </row>
    <row r="17986">
      <c r="R17986" s="100"/>
      <c r="V17986" s="100"/>
      <c r="Y17986" s="100"/>
    </row>
    <row r="17987">
      <c r="R17987" s="100"/>
      <c r="V17987" s="100"/>
      <c r="Y17987" s="100"/>
    </row>
    <row r="17988">
      <c r="R17988" s="100"/>
      <c r="V17988" s="100"/>
      <c r="Y17988" s="100"/>
    </row>
    <row r="17989">
      <c r="R17989" s="100"/>
      <c r="V17989" s="100"/>
      <c r="Y17989" s="100"/>
    </row>
    <row r="17990">
      <c r="R17990" s="100"/>
      <c r="V17990" s="100"/>
      <c r="Y17990" s="100"/>
    </row>
    <row r="17991">
      <c r="R17991" s="100"/>
      <c r="V17991" s="100"/>
      <c r="Y17991" s="100"/>
    </row>
    <row r="17992">
      <c r="R17992" s="100"/>
      <c r="V17992" s="100"/>
      <c r="Y17992" s="100"/>
    </row>
    <row r="17993">
      <c r="R17993" s="100"/>
      <c r="V17993" s="100"/>
      <c r="Y17993" s="100"/>
    </row>
    <row r="17994">
      <c r="R17994" s="100"/>
      <c r="V17994" s="100"/>
      <c r="Y17994" s="100"/>
    </row>
    <row r="17995">
      <c r="R17995" s="100"/>
      <c r="V17995" s="100"/>
      <c r="Y17995" s="100"/>
    </row>
    <row r="17996">
      <c r="R17996" s="100"/>
      <c r="V17996" s="100"/>
      <c r="Y17996" s="100"/>
    </row>
    <row r="17997">
      <c r="R17997" s="100"/>
      <c r="V17997" s="100"/>
      <c r="Y17997" s="100"/>
    </row>
    <row r="17998">
      <c r="R17998" s="100"/>
      <c r="V17998" s="100"/>
      <c r="Y17998" s="100"/>
    </row>
    <row r="17999">
      <c r="R17999" s="100"/>
      <c r="V17999" s="100"/>
      <c r="Y17999" s="100"/>
    </row>
    <row r="18000">
      <c r="R18000" s="100"/>
      <c r="V18000" s="100"/>
      <c r="Y18000" s="100"/>
    </row>
    <row r="18001">
      <c r="R18001" s="100"/>
      <c r="V18001" s="100"/>
      <c r="Y18001" s="100"/>
    </row>
    <row r="18002">
      <c r="R18002" s="100"/>
      <c r="V18002" s="100"/>
      <c r="Y18002" s="100"/>
    </row>
    <row r="18003">
      <c r="R18003" s="100"/>
      <c r="V18003" s="100"/>
      <c r="Y18003" s="100"/>
    </row>
    <row r="18004">
      <c r="R18004" s="100"/>
      <c r="V18004" s="100"/>
      <c r="Y18004" s="100"/>
    </row>
    <row r="18005">
      <c r="R18005" s="100"/>
      <c r="V18005" s="100"/>
      <c r="Y18005" s="100"/>
    </row>
    <row r="18006">
      <c r="R18006" s="100"/>
      <c r="V18006" s="100"/>
      <c r="Y18006" s="100"/>
    </row>
    <row r="18007">
      <c r="R18007" s="100"/>
      <c r="V18007" s="100"/>
      <c r="Y18007" s="100"/>
    </row>
    <row r="18008">
      <c r="R18008" s="100"/>
      <c r="V18008" s="100"/>
      <c r="Y18008" s="100"/>
    </row>
    <row r="18009">
      <c r="R18009" s="100"/>
      <c r="V18009" s="100"/>
      <c r="Y18009" s="100"/>
    </row>
    <row r="18010">
      <c r="R18010" s="100"/>
      <c r="V18010" s="100"/>
      <c r="Y18010" s="100"/>
    </row>
    <row r="18011">
      <c r="R18011" s="100"/>
      <c r="V18011" s="100"/>
      <c r="Y18011" s="100"/>
    </row>
    <row r="18012">
      <c r="R18012" s="100"/>
      <c r="V18012" s="100"/>
      <c r="Y18012" s="100"/>
    </row>
    <row r="18013">
      <c r="R18013" s="100"/>
      <c r="V18013" s="100"/>
      <c r="Y18013" s="100"/>
    </row>
    <row r="18014">
      <c r="R18014" s="100"/>
      <c r="V18014" s="100"/>
      <c r="Y18014" s="100"/>
    </row>
    <row r="18015">
      <c r="R18015" s="100"/>
      <c r="V18015" s="100"/>
      <c r="Y18015" s="100"/>
    </row>
    <row r="18016">
      <c r="R18016" s="100"/>
      <c r="V18016" s="100"/>
      <c r="Y18016" s="100"/>
    </row>
    <row r="18017">
      <c r="R18017" s="100"/>
      <c r="V18017" s="100"/>
      <c r="Y18017" s="100"/>
    </row>
    <row r="18018">
      <c r="R18018" s="100"/>
      <c r="V18018" s="100"/>
      <c r="Y18018" s="100"/>
    </row>
    <row r="18019">
      <c r="R18019" s="100"/>
      <c r="V18019" s="100"/>
      <c r="Y18019" s="100"/>
    </row>
    <row r="18020">
      <c r="R18020" s="100"/>
      <c r="V18020" s="100"/>
      <c r="Y18020" s="100"/>
    </row>
    <row r="18021">
      <c r="R18021" s="100"/>
      <c r="V18021" s="100"/>
      <c r="Y18021" s="100"/>
    </row>
    <row r="18022">
      <c r="R18022" s="100"/>
      <c r="V18022" s="100"/>
      <c r="Y18022" s="100"/>
    </row>
    <row r="18023">
      <c r="R18023" s="100"/>
      <c r="V18023" s="100"/>
      <c r="Y18023" s="100"/>
    </row>
    <row r="18024">
      <c r="R18024" s="100"/>
      <c r="V18024" s="100"/>
      <c r="Y18024" s="100"/>
    </row>
    <row r="18025">
      <c r="R18025" s="100"/>
      <c r="V18025" s="100"/>
      <c r="Y18025" s="100"/>
    </row>
    <row r="18026">
      <c r="R18026" s="100"/>
      <c r="V18026" s="100"/>
      <c r="Y18026" s="100"/>
    </row>
    <row r="18027">
      <c r="R18027" s="100"/>
      <c r="V18027" s="100"/>
      <c r="Y18027" s="100"/>
    </row>
    <row r="18028">
      <c r="R18028" s="100"/>
      <c r="V18028" s="100"/>
      <c r="Y18028" s="100"/>
    </row>
    <row r="18029">
      <c r="R18029" s="100"/>
      <c r="V18029" s="100"/>
      <c r="Y18029" s="100"/>
    </row>
    <row r="18030">
      <c r="R18030" s="100"/>
      <c r="V18030" s="100"/>
      <c r="Y18030" s="100"/>
    </row>
    <row r="18031">
      <c r="R18031" s="100"/>
      <c r="V18031" s="100"/>
      <c r="Y18031" s="100"/>
    </row>
    <row r="18032">
      <c r="R18032" s="100"/>
      <c r="V18032" s="100"/>
      <c r="Y18032" s="100"/>
    </row>
    <row r="18033">
      <c r="R18033" s="100"/>
      <c r="V18033" s="100"/>
      <c r="Y18033" s="100"/>
    </row>
    <row r="18034">
      <c r="R18034" s="100"/>
      <c r="V18034" s="100"/>
      <c r="Y18034" s="100"/>
    </row>
    <row r="18035">
      <c r="R18035" s="100"/>
      <c r="V18035" s="100"/>
      <c r="Y18035" s="100"/>
    </row>
    <row r="18036">
      <c r="R18036" s="100"/>
      <c r="V18036" s="100"/>
      <c r="Y18036" s="100"/>
    </row>
    <row r="18037">
      <c r="R18037" s="100"/>
      <c r="V18037" s="100"/>
      <c r="Y18037" s="100"/>
    </row>
    <row r="18038">
      <c r="R18038" s="100"/>
      <c r="V18038" s="100"/>
      <c r="Y18038" s="100"/>
    </row>
    <row r="18039">
      <c r="R18039" s="100"/>
      <c r="V18039" s="100"/>
      <c r="Y18039" s="100"/>
    </row>
    <row r="18040">
      <c r="R18040" s="100"/>
      <c r="V18040" s="100"/>
      <c r="Y18040" s="100"/>
    </row>
    <row r="18041">
      <c r="R18041" s="100"/>
      <c r="V18041" s="100"/>
      <c r="Y18041" s="100"/>
    </row>
    <row r="18042">
      <c r="R18042" s="100"/>
      <c r="V18042" s="100"/>
      <c r="Y18042" s="100"/>
    </row>
    <row r="18043">
      <c r="R18043" s="100"/>
      <c r="V18043" s="100"/>
      <c r="Y18043" s="100"/>
    </row>
    <row r="18044">
      <c r="R18044" s="100"/>
      <c r="V18044" s="100"/>
      <c r="Y18044" s="100"/>
    </row>
    <row r="18045">
      <c r="R18045" s="100"/>
      <c r="V18045" s="100"/>
      <c r="Y18045" s="100"/>
    </row>
    <row r="18046">
      <c r="R18046" s="100"/>
      <c r="V18046" s="100"/>
      <c r="Y18046" s="100"/>
    </row>
    <row r="18047">
      <c r="R18047" s="100"/>
      <c r="V18047" s="100"/>
      <c r="Y18047" s="100"/>
    </row>
    <row r="18048">
      <c r="R18048" s="100"/>
      <c r="V18048" s="100"/>
      <c r="Y18048" s="100"/>
    </row>
    <row r="18049">
      <c r="R18049" s="100"/>
      <c r="V18049" s="100"/>
      <c r="Y18049" s="100"/>
    </row>
    <row r="18050">
      <c r="R18050" s="100"/>
      <c r="V18050" s="100"/>
      <c r="Y18050" s="100"/>
    </row>
    <row r="18051">
      <c r="R18051" s="100"/>
      <c r="V18051" s="100"/>
      <c r="Y18051" s="100"/>
    </row>
    <row r="18052">
      <c r="R18052" s="100"/>
      <c r="V18052" s="100"/>
      <c r="Y18052" s="100"/>
    </row>
    <row r="18053">
      <c r="R18053" s="100"/>
      <c r="V18053" s="100"/>
      <c r="Y18053" s="100"/>
    </row>
    <row r="18054">
      <c r="R18054" s="100"/>
      <c r="V18054" s="100"/>
      <c r="Y18054" s="100"/>
    </row>
    <row r="18055">
      <c r="R18055" s="100"/>
      <c r="V18055" s="100"/>
      <c r="Y18055" s="100"/>
    </row>
    <row r="18056">
      <c r="R18056" s="100"/>
      <c r="V18056" s="100"/>
      <c r="Y18056" s="100"/>
    </row>
    <row r="18057">
      <c r="R18057" s="100"/>
      <c r="V18057" s="100"/>
      <c r="Y18057" s="100"/>
    </row>
    <row r="18058">
      <c r="R18058" s="100"/>
      <c r="V18058" s="100"/>
      <c r="Y18058" s="100"/>
    </row>
    <row r="18059">
      <c r="R18059" s="100"/>
      <c r="V18059" s="100"/>
      <c r="Y18059" s="100"/>
    </row>
    <row r="18060">
      <c r="R18060" s="100"/>
      <c r="V18060" s="100"/>
      <c r="Y18060" s="100"/>
    </row>
    <row r="18061">
      <c r="R18061" s="100"/>
      <c r="V18061" s="100"/>
      <c r="Y18061" s="100"/>
    </row>
    <row r="18062">
      <c r="R18062" s="100"/>
      <c r="V18062" s="100"/>
      <c r="Y18062" s="100"/>
    </row>
    <row r="18063">
      <c r="R18063" s="100"/>
      <c r="V18063" s="100"/>
      <c r="Y18063" s="100"/>
    </row>
    <row r="18064">
      <c r="R18064" s="100"/>
      <c r="V18064" s="100"/>
      <c r="Y18064" s="100"/>
    </row>
    <row r="18065">
      <c r="R18065" s="100"/>
      <c r="V18065" s="100"/>
      <c r="Y18065" s="100"/>
    </row>
    <row r="18066">
      <c r="R18066" s="100"/>
      <c r="V18066" s="100"/>
      <c r="Y18066" s="100"/>
    </row>
    <row r="18067">
      <c r="R18067" s="100"/>
      <c r="V18067" s="100"/>
      <c r="Y18067" s="100"/>
    </row>
    <row r="18068">
      <c r="R18068" s="100"/>
      <c r="V18068" s="100"/>
      <c r="Y18068" s="100"/>
    </row>
    <row r="18069">
      <c r="R18069" s="100"/>
      <c r="V18069" s="100"/>
      <c r="Y18069" s="100"/>
    </row>
    <row r="18070">
      <c r="R18070" s="100"/>
      <c r="V18070" s="100"/>
      <c r="Y18070" s="100"/>
    </row>
    <row r="18071">
      <c r="R18071" s="100"/>
      <c r="V18071" s="100"/>
      <c r="Y18071" s="100"/>
    </row>
    <row r="18072">
      <c r="R18072" s="100"/>
      <c r="V18072" s="100"/>
      <c r="Y18072" s="100"/>
    </row>
    <row r="18073">
      <c r="R18073" s="100"/>
      <c r="V18073" s="100"/>
      <c r="Y18073" s="100"/>
    </row>
    <row r="18074">
      <c r="R18074" s="100"/>
      <c r="V18074" s="100"/>
      <c r="Y18074" s="100"/>
    </row>
    <row r="18075">
      <c r="R18075" s="100"/>
      <c r="V18075" s="100"/>
      <c r="Y18075" s="100"/>
    </row>
    <row r="18076">
      <c r="R18076" s="100"/>
      <c r="V18076" s="100"/>
      <c r="Y18076" s="100"/>
    </row>
    <row r="18077">
      <c r="R18077" s="100"/>
      <c r="V18077" s="100"/>
      <c r="Y18077" s="100"/>
    </row>
    <row r="18078">
      <c r="R18078" s="100"/>
      <c r="V18078" s="100"/>
      <c r="Y18078" s="100"/>
    </row>
    <row r="18079">
      <c r="R18079" s="100"/>
      <c r="V18079" s="100"/>
      <c r="Y18079" s="100"/>
    </row>
    <row r="18080">
      <c r="R18080" s="100"/>
      <c r="V18080" s="100"/>
      <c r="Y18080" s="100"/>
    </row>
    <row r="18081">
      <c r="R18081" s="100"/>
      <c r="V18081" s="100"/>
      <c r="Y18081" s="100"/>
    </row>
    <row r="18082">
      <c r="R18082" s="100"/>
      <c r="V18082" s="100"/>
      <c r="Y18082" s="100"/>
    </row>
    <row r="18083">
      <c r="R18083" s="100"/>
      <c r="V18083" s="100"/>
      <c r="Y18083" s="100"/>
    </row>
    <row r="18084">
      <c r="R18084" s="100"/>
      <c r="V18084" s="100"/>
      <c r="Y18084" s="100"/>
    </row>
    <row r="18085">
      <c r="R18085" s="100"/>
      <c r="V18085" s="100"/>
      <c r="Y18085" s="100"/>
    </row>
    <row r="18086">
      <c r="R18086" s="100"/>
      <c r="V18086" s="100"/>
      <c r="Y18086" s="100"/>
    </row>
    <row r="18087">
      <c r="R18087" s="100"/>
      <c r="V18087" s="100"/>
      <c r="Y18087" s="100"/>
    </row>
    <row r="18088">
      <c r="R18088" s="100"/>
      <c r="V18088" s="100"/>
      <c r="Y18088" s="100"/>
    </row>
    <row r="18089">
      <c r="R18089" s="100"/>
      <c r="V18089" s="100"/>
      <c r="Y18089" s="100"/>
    </row>
    <row r="18090">
      <c r="R18090" s="100"/>
      <c r="V18090" s="100"/>
      <c r="Y18090" s="100"/>
    </row>
    <row r="18091">
      <c r="R18091" s="100"/>
      <c r="V18091" s="100"/>
      <c r="Y18091" s="100"/>
    </row>
    <row r="18092">
      <c r="R18092" s="100"/>
      <c r="V18092" s="100"/>
      <c r="Y18092" s="100"/>
    </row>
    <row r="18093">
      <c r="R18093" s="100"/>
      <c r="V18093" s="100"/>
      <c r="Y18093" s="100"/>
    </row>
    <row r="18094">
      <c r="R18094" s="100"/>
      <c r="V18094" s="100"/>
      <c r="Y18094" s="100"/>
    </row>
    <row r="18095">
      <c r="R18095" s="100"/>
      <c r="V18095" s="100"/>
      <c r="Y18095" s="100"/>
    </row>
    <row r="18096">
      <c r="R18096" s="100"/>
      <c r="V18096" s="100"/>
      <c r="Y18096" s="100"/>
    </row>
    <row r="18097">
      <c r="R18097" s="100"/>
      <c r="V18097" s="100"/>
      <c r="Y18097" s="100"/>
    </row>
    <row r="18098">
      <c r="R18098" s="100"/>
      <c r="V18098" s="100"/>
      <c r="Y18098" s="100"/>
    </row>
    <row r="18099">
      <c r="R18099" s="100"/>
      <c r="V18099" s="100"/>
      <c r="Y18099" s="100"/>
    </row>
    <row r="18100">
      <c r="R18100" s="100"/>
      <c r="V18100" s="100"/>
      <c r="Y18100" s="100"/>
    </row>
    <row r="18101">
      <c r="R18101" s="100"/>
      <c r="V18101" s="100"/>
      <c r="Y18101" s="100"/>
    </row>
    <row r="18102">
      <c r="R18102" s="100"/>
      <c r="V18102" s="100"/>
      <c r="Y18102" s="100"/>
    </row>
    <row r="18103">
      <c r="R18103" s="100"/>
      <c r="V18103" s="100"/>
      <c r="Y18103" s="100"/>
    </row>
    <row r="18104">
      <c r="R18104" s="100"/>
      <c r="V18104" s="100"/>
      <c r="Y18104" s="100"/>
    </row>
    <row r="18105">
      <c r="R18105" s="100"/>
      <c r="V18105" s="100"/>
      <c r="Y18105" s="100"/>
    </row>
    <row r="18106">
      <c r="R18106" s="100"/>
      <c r="V18106" s="100"/>
      <c r="Y18106" s="100"/>
    </row>
    <row r="18107">
      <c r="R18107" s="100"/>
      <c r="V18107" s="100"/>
      <c r="Y18107" s="100"/>
    </row>
    <row r="18108">
      <c r="R18108" s="100"/>
      <c r="V18108" s="100"/>
      <c r="Y18108" s="100"/>
    </row>
    <row r="18109">
      <c r="R18109" s="100"/>
      <c r="V18109" s="100"/>
      <c r="Y18109" s="100"/>
    </row>
    <row r="18110">
      <c r="R18110" s="100"/>
      <c r="V18110" s="100"/>
      <c r="Y18110" s="100"/>
    </row>
    <row r="18111">
      <c r="R18111" s="100"/>
      <c r="V18111" s="100"/>
      <c r="Y18111" s="100"/>
    </row>
    <row r="18112">
      <c r="R18112" s="100"/>
      <c r="V18112" s="100"/>
      <c r="Y18112" s="100"/>
    </row>
    <row r="18113">
      <c r="R18113" s="100"/>
      <c r="V18113" s="100"/>
      <c r="Y18113" s="100"/>
    </row>
    <row r="18114">
      <c r="R18114" s="100"/>
      <c r="V18114" s="100"/>
      <c r="Y18114" s="100"/>
    </row>
    <row r="18115">
      <c r="R18115" s="100"/>
      <c r="V18115" s="100"/>
      <c r="Y18115" s="100"/>
    </row>
    <row r="18116">
      <c r="R18116" s="100"/>
      <c r="V18116" s="100"/>
      <c r="Y18116" s="100"/>
    </row>
    <row r="18117">
      <c r="R18117" s="100"/>
      <c r="V18117" s="100"/>
      <c r="Y18117" s="100"/>
    </row>
    <row r="18118">
      <c r="R18118" s="100"/>
      <c r="V18118" s="100"/>
      <c r="Y18118" s="100"/>
    </row>
    <row r="18119">
      <c r="R18119" s="100"/>
      <c r="V18119" s="100"/>
      <c r="Y18119" s="100"/>
    </row>
    <row r="18120">
      <c r="R18120" s="100"/>
      <c r="V18120" s="100"/>
      <c r="Y18120" s="100"/>
    </row>
    <row r="18121">
      <c r="R18121" s="100"/>
      <c r="V18121" s="100"/>
      <c r="Y18121" s="100"/>
    </row>
    <row r="18122">
      <c r="R18122" s="100"/>
      <c r="V18122" s="100"/>
      <c r="Y18122" s="100"/>
    </row>
    <row r="18123">
      <c r="R18123" s="100"/>
      <c r="V18123" s="100"/>
      <c r="Y18123" s="100"/>
    </row>
    <row r="18124">
      <c r="R18124" s="100"/>
      <c r="V18124" s="100"/>
      <c r="Y18124" s="100"/>
    </row>
    <row r="18125">
      <c r="R18125" s="100"/>
      <c r="V18125" s="100"/>
      <c r="Y18125" s="100"/>
    </row>
    <row r="18126">
      <c r="R18126" s="100"/>
      <c r="V18126" s="100"/>
      <c r="Y18126" s="100"/>
    </row>
    <row r="18127">
      <c r="R18127" s="100"/>
      <c r="V18127" s="100"/>
      <c r="Y18127" s="100"/>
    </row>
    <row r="18128">
      <c r="R18128" s="100"/>
      <c r="V18128" s="100"/>
      <c r="Y18128" s="100"/>
    </row>
    <row r="18129">
      <c r="R18129" s="100"/>
      <c r="V18129" s="100"/>
      <c r="Y18129" s="100"/>
    </row>
    <row r="18130">
      <c r="R18130" s="100"/>
      <c r="V18130" s="100"/>
      <c r="Y18130" s="100"/>
    </row>
    <row r="18131">
      <c r="R18131" s="100"/>
      <c r="V18131" s="100"/>
      <c r="Y18131" s="100"/>
    </row>
    <row r="18132">
      <c r="R18132" s="100"/>
      <c r="V18132" s="100"/>
      <c r="Y18132" s="100"/>
    </row>
    <row r="18133">
      <c r="R18133" s="100"/>
      <c r="V18133" s="100"/>
      <c r="Y18133" s="100"/>
    </row>
    <row r="18134">
      <c r="R18134" s="100"/>
      <c r="V18134" s="100"/>
      <c r="Y18134" s="100"/>
    </row>
    <row r="18135">
      <c r="R18135" s="100"/>
      <c r="V18135" s="100"/>
      <c r="Y18135" s="100"/>
    </row>
    <row r="18136">
      <c r="R18136" s="100"/>
      <c r="V18136" s="100"/>
      <c r="Y18136" s="100"/>
    </row>
    <row r="18137">
      <c r="R18137" s="100"/>
      <c r="V18137" s="100"/>
      <c r="Y18137" s="100"/>
    </row>
    <row r="18138">
      <c r="R18138" s="100"/>
      <c r="V18138" s="100"/>
      <c r="Y18138" s="100"/>
    </row>
    <row r="18139">
      <c r="R18139" s="100"/>
      <c r="V18139" s="100"/>
      <c r="Y18139" s="100"/>
    </row>
    <row r="18140">
      <c r="R18140" s="100"/>
      <c r="V18140" s="100"/>
      <c r="Y18140" s="100"/>
    </row>
    <row r="18141">
      <c r="R18141" s="100"/>
      <c r="V18141" s="100"/>
      <c r="Y18141" s="100"/>
    </row>
    <row r="18142">
      <c r="R18142" s="100"/>
      <c r="V18142" s="100"/>
      <c r="Y18142" s="100"/>
    </row>
    <row r="18143">
      <c r="R18143" s="100"/>
      <c r="V18143" s="100"/>
      <c r="Y18143" s="100"/>
    </row>
    <row r="18144">
      <c r="R18144" s="100"/>
      <c r="V18144" s="100"/>
      <c r="Y18144" s="100"/>
    </row>
    <row r="18145">
      <c r="R18145" s="100"/>
      <c r="V18145" s="100"/>
      <c r="Y18145" s="100"/>
    </row>
    <row r="18146">
      <c r="R18146" s="100"/>
      <c r="V18146" s="100"/>
      <c r="Y18146" s="100"/>
    </row>
    <row r="18147">
      <c r="R18147" s="100"/>
      <c r="V18147" s="100"/>
      <c r="Y18147" s="100"/>
    </row>
    <row r="18148">
      <c r="R18148" s="100"/>
      <c r="V18148" s="100"/>
      <c r="Y18148" s="100"/>
    </row>
    <row r="18149">
      <c r="R18149" s="100"/>
      <c r="V18149" s="100"/>
      <c r="Y18149" s="100"/>
    </row>
    <row r="18150">
      <c r="R18150" s="100"/>
      <c r="V18150" s="100"/>
      <c r="Y18150" s="100"/>
    </row>
    <row r="18151">
      <c r="R18151" s="100"/>
      <c r="V18151" s="100"/>
      <c r="Y18151" s="100"/>
    </row>
    <row r="18152">
      <c r="R18152" s="100"/>
      <c r="V18152" s="100"/>
      <c r="Y18152" s="100"/>
    </row>
    <row r="18153">
      <c r="R18153" s="100"/>
      <c r="V18153" s="100"/>
      <c r="Y18153" s="100"/>
    </row>
    <row r="18154">
      <c r="R18154" s="100"/>
      <c r="V18154" s="100"/>
      <c r="Y18154" s="100"/>
    </row>
    <row r="18155">
      <c r="R18155" s="100"/>
      <c r="V18155" s="100"/>
      <c r="Y18155" s="100"/>
    </row>
    <row r="18156">
      <c r="R18156" s="100"/>
      <c r="V18156" s="100"/>
      <c r="Y18156" s="100"/>
    </row>
    <row r="18157">
      <c r="R18157" s="100"/>
      <c r="V18157" s="100"/>
      <c r="Y18157" s="100"/>
    </row>
    <row r="18158">
      <c r="R18158" s="100"/>
      <c r="V18158" s="100"/>
      <c r="Y18158" s="100"/>
    </row>
    <row r="18159">
      <c r="R18159" s="100"/>
      <c r="V18159" s="100"/>
      <c r="Y18159" s="100"/>
    </row>
    <row r="18160">
      <c r="R18160" s="100"/>
      <c r="V18160" s="100"/>
      <c r="Y18160" s="100"/>
    </row>
    <row r="18161">
      <c r="R18161" s="100"/>
      <c r="V18161" s="100"/>
      <c r="Y18161" s="100"/>
    </row>
    <row r="18162">
      <c r="R18162" s="100"/>
      <c r="V18162" s="100"/>
      <c r="Y18162" s="100"/>
    </row>
    <row r="18163">
      <c r="R18163" s="100"/>
      <c r="V18163" s="100"/>
      <c r="Y18163" s="100"/>
    </row>
    <row r="18164">
      <c r="R18164" s="100"/>
      <c r="V18164" s="100"/>
      <c r="Y18164" s="100"/>
    </row>
    <row r="18165">
      <c r="R18165" s="100"/>
      <c r="V18165" s="100"/>
      <c r="Y18165" s="100"/>
    </row>
    <row r="18166">
      <c r="R18166" s="100"/>
      <c r="V18166" s="100"/>
      <c r="Y18166" s="100"/>
    </row>
    <row r="18167">
      <c r="R18167" s="100"/>
      <c r="V18167" s="100"/>
      <c r="Y18167" s="100"/>
    </row>
    <row r="18168">
      <c r="R18168" s="100"/>
      <c r="V18168" s="100"/>
      <c r="Y18168" s="100"/>
    </row>
    <row r="18169">
      <c r="R18169" s="100"/>
      <c r="V18169" s="100"/>
      <c r="Y18169" s="100"/>
    </row>
    <row r="18170">
      <c r="R18170" s="100"/>
      <c r="V18170" s="100"/>
      <c r="Y18170" s="100"/>
    </row>
    <row r="18171">
      <c r="R18171" s="100"/>
      <c r="V18171" s="100"/>
      <c r="Y18171" s="100"/>
    </row>
    <row r="18172">
      <c r="R18172" s="100"/>
      <c r="V18172" s="100"/>
      <c r="Y18172" s="100"/>
    </row>
    <row r="18173">
      <c r="R18173" s="100"/>
      <c r="V18173" s="100"/>
      <c r="Y18173" s="100"/>
    </row>
    <row r="18174">
      <c r="R18174" s="100"/>
      <c r="V18174" s="100"/>
      <c r="Y18174" s="100"/>
    </row>
    <row r="18175">
      <c r="R18175" s="100"/>
      <c r="V18175" s="100"/>
      <c r="Y18175" s="100"/>
    </row>
    <row r="18176">
      <c r="R18176" s="100"/>
      <c r="V18176" s="100"/>
      <c r="Y18176" s="100"/>
    </row>
    <row r="18177">
      <c r="R18177" s="100"/>
      <c r="V18177" s="100"/>
      <c r="Y18177" s="100"/>
    </row>
    <row r="18178">
      <c r="R18178" s="100"/>
      <c r="V18178" s="100"/>
      <c r="Y18178" s="100"/>
    </row>
    <row r="18179">
      <c r="R18179" s="100"/>
      <c r="V18179" s="100"/>
      <c r="Y18179" s="100"/>
    </row>
    <row r="18180">
      <c r="R18180" s="100"/>
      <c r="V18180" s="100"/>
      <c r="Y18180" s="100"/>
    </row>
    <row r="18181">
      <c r="R18181" s="100"/>
      <c r="V18181" s="100"/>
      <c r="Y18181" s="100"/>
    </row>
    <row r="18182">
      <c r="R18182" s="100"/>
      <c r="V18182" s="100"/>
      <c r="Y18182" s="100"/>
    </row>
    <row r="18183">
      <c r="R18183" s="100"/>
      <c r="V18183" s="100"/>
      <c r="Y18183" s="100"/>
    </row>
    <row r="18184">
      <c r="R18184" s="100"/>
      <c r="V18184" s="100"/>
      <c r="Y18184" s="100"/>
    </row>
    <row r="18185">
      <c r="R18185" s="100"/>
      <c r="V18185" s="100"/>
      <c r="Y18185" s="100"/>
    </row>
    <row r="18186">
      <c r="R18186" s="100"/>
      <c r="V18186" s="100"/>
      <c r="Y18186" s="100"/>
    </row>
    <row r="18187">
      <c r="R18187" s="100"/>
      <c r="V18187" s="100"/>
      <c r="Y18187" s="100"/>
    </row>
    <row r="18188">
      <c r="R18188" s="100"/>
      <c r="V18188" s="100"/>
      <c r="Y18188" s="100"/>
    </row>
    <row r="18189">
      <c r="R18189" s="100"/>
      <c r="V18189" s="100"/>
      <c r="Y18189" s="100"/>
    </row>
    <row r="18190">
      <c r="R18190" s="100"/>
      <c r="V18190" s="100"/>
      <c r="Y18190" s="100"/>
    </row>
    <row r="18191">
      <c r="R18191" s="100"/>
      <c r="V18191" s="100"/>
      <c r="Y18191" s="100"/>
    </row>
    <row r="18192">
      <c r="R18192" s="100"/>
      <c r="V18192" s="100"/>
      <c r="Y18192" s="100"/>
    </row>
    <row r="18193">
      <c r="R18193" s="100"/>
      <c r="V18193" s="100"/>
      <c r="Y18193" s="100"/>
    </row>
    <row r="18194">
      <c r="R18194" s="100"/>
      <c r="V18194" s="100"/>
      <c r="Y18194" s="100"/>
    </row>
    <row r="18195">
      <c r="R18195" s="100"/>
      <c r="V18195" s="100"/>
      <c r="Y18195" s="100"/>
    </row>
    <row r="18196">
      <c r="R18196" s="100"/>
      <c r="V18196" s="100"/>
      <c r="Y18196" s="100"/>
    </row>
    <row r="18197">
      <c r="R18197" s="100"/>
      <c r="V18197" s="100"/>
      <c r="Y18197" s="100"/>
    </row>
    <row r="18198">
      <c r="R18198" s="100"/>
      <c r="V18198" s="100"/>
      <c r="Y18198" s="100"/>
    </row>
    <row r="18199">
      <c r="R18199" s="100"/>
      <c r="V18199" s="100"/>
      <c r="Y18199" s="100"/>
    </row>
    <row r="18200">
      <c r="R18200" s="100"/>
      <c r="V18200" s="100"/>
      <c r="Y18200" s="100"/>
    </row>
    <row r="18201">
      <c r="R18201" s="100"/>
      <c r="V18201" s="100"/>
      <c r="Y18201" s="100"/>
    </row>
    <row r="18202">
      <c r="R18202" s="100"/>
      <c r="V18202" s="100"/>
      <c r="Y18202" s="100"/>
    </row>
    <row r="18203">
      <c r="R18203" s="100"/>
      <c r="V18203" s="100"/>
      <c r="Y18203" s="100"/>
    </row>
    <row r="18204">
      <c r="R18204" s="100"/>
      <c r="V18204" s="100"/>
      <c r="Y18204" s="100"/>
    </row>
    <row r="18205">
      <c r="R18205" s="100"/>
      <c r="V18205" s="100"/>
      <c r="Y18205" s="100"/>
    </row>
    <row r="18206">
      <c r="R18206" s="100"/>
      <c r="V18206" s="100"/>
      <c r="Y18206" s="100"/>
    </row>
    <row r="18207">
      <c r="R18207" s="100"/>
      <c r="V18207" s="100"/>
      <c r="Y18207" s="100"/>
    </row>
    <row r="18208">
      <c r="R18208" s="100"/>
      <c r="V18208" s="100"/>
      <c r="Y18208" s="100"/>
    </row>
    <row r="18209">
      <c r="R18209" s="100"/>
      <c r="V18209" s="100"/>
      <c r="Y18209" s="100"/>
    </row>
    <row r="18210">
      <c r="R18210" s="100"/>
      <c r="V18210" s="100"/>
      <c r="Y18210" s="100"/>
    </row>
    <row r="18211">
      <c r="R18211" s="100"/>
      <c r="V18211" s="100"/>
      <c r="Y18211" s="100"/>
    </row>
    <row r="18212">
      <c r="R18212" s="100"/>
      <c r="V18212" s="100"/>
      <c r="Y18212" s="100"/>
    </row>
    <row r="18213">
      <c r="R18213" s="100"/>
      <c r="V18213" s="100"/>
      <c r="Y18213" s="100"/>
    </row>
    <row r="18214">
      <c r="R18214" s="100"/>
      <c r="V18214" s="100"/>
      <c r="Y18214" s="100"/>
    </row>
    <row r="18215">
      <c r="R18215" s="100"/>
      <c r="V18215" s="100"/>
      <c r="Y18215" s="100"/>
    </row>
    <row r="18216">
      <c r="R18216" s="100"/>
      <c r="V18216" s="100"/>
      <c r="Y18216" s="100"/>
    </row>
    <row r="18217">
      <c r="R18217" s="100"/>
      <c r="V18217" s="100"/>
      <c r="Y18217" s="100"/>
    </row>
    <row r="18218">
      <c r="R18218" s="100"/>
      <c r="V18218" s="100"/>
      <c r="Y18218" s="100"/>
    </row>
    <row r="18219">
      <c r="R18219" s="100"/>
      <c r="V18219" s="100"/>
      <c r="Y18219" s="100"/>
    </row>
    <row r="18220">
      <c r="R18220" s="100"/>
      <c r="V18220" s="100"/>
      <c r="Y18220" s="100"/>
    </row>
    <row r="18221">
      <c r="R18221" s="100"/>
      <c r="V18221" s="100"/>
      <c r="Y18221" s="100"/>
    </row>
    <row r="18222">
      <c r="R18222" s="100"/>
      <c r="V18222" s="100"/>
      <c r="Y18222" s="100"/>
    </row>
    <row r="18223">
      <c r="R18223" s="100"/>
      <c r="V18223" s="100"/>
      <c r="Y18223" s="100"/>
    </row>
    <row r="18224">
      <c r="R18224" s="100"/>
      <c r="V18224" s="100"/>
      <c r="Y18224" s="100"/>
    </row>
    <row r="18225">
      <c r="R18225" s="100"/>
      <c r="V18225" s="100"/>
      <c r="Y18225" s="100"/>
    </row>
    <row r="18226">
      <c r="R18226" s="100"/>
      <c r="V18226" s="100"/>
      <c r="Y18226" s="100"/>
    </row>
    <row r="18227">
      <c r="R18227" s="100"/>
      <c r="V18227" s="100"/>
      <c r="Y18227" s="100"/>
    </row>
    <row r="18228">
      <c r="R18228" s="100"/>
      <c r="V18228" s="100"/>
      <c r="Y18228" s="100"/>
    </row>
    <row r="18229">
      <c r="R18229" s="100"/>
      <c r="V18229" s="100"/>
      <c r="Y18229" s="100"/>
    </row>
    <row r="18230">
      <c r="R18230" s="100"/>
      <c r="V18230" s="100"/>
      <c r="Y18230" s="100"/>
    </row>
    <row r="18231">
      <c r="R18231" s="100"/>
      <c r="V18231" s="100"/>
      <c r="Y18231" s="100"/>
    </row>
    <row r="18232">
      <c r="R18232" s="100"/>
      <c r="V18232" s="100"/>
      <c r="Y18232" s="100"/>
    </row>
    <row r="18233">
      <c r="R18233" s="100"/>
      <c r="V18233" s="100"/>
      <c r="Y18233" s="100"/>
    </row>
    <row r="18234">
      <c r="R18234" s="100"/>
      <c r="V18234" s="100"/>
      <c r="Y18234" s="100"/>
    </row>
    <row r="18235">
      <c r="R18235" s="100"/>
      <c r="V18235" s="100"/>
      <c r="Y18235" s="100"/>
    </row>
    <row r="18236">
      <c r="R18236" s="100"/>
      <c r="V18236" s="100"/>
      <c r="Y18236" s="100"/>
    </row>
    <row r="18237">
      <c r="R18237" s="100"/>
      <c r="V18237" s="100"/>
      <c r="Y18237" s="100"/>
    </row>
    <row r="18238">
      <c r="R18238" s="100"/>
      <c r="V18238" s="100"/>
      <c r="Y18238" s="100"/>
    </row>
    <row r="18239">
      <c r="R18239" s="100"/>
      <c r="V18239" s="100"/>
      <c r="Y18239" s="100"/>
    </row>
    <row r="18240">
      <c r="R18240" s="100"/>
      <c r="V18240" s="100"/>
      <c r="Y18240" s="100"/>
    </row>
    <row r="18241">
      <c r="R18241" s="100"/>
      <c r="V18241" s="100"/>
      <c r="Y18241" s="100"/>
    </row>
    <row r="18242">
      <c r="R18242" s="100"/>
      <c r="V18242" s="100"/>
      <c r="Y18242" s="100"/>
    </row>
    <row r="18243">
      <c r="R18243" s="100"/>
      <c r="V18243" s="100"/>
      <c r="Y18243" s="100"/>
    </row>
    <row r="18244">
      <c r="R18244" s="100"/>
      <c r="V18244" s="100"/>
      <c r="Y18244" s="100"/>
    </row>
    <row r="18245">
      <c r="R18245" s="100"/>
      <c r="V18245" s="100"/>
      <c r="Y18245" s="100"/>
    </row>
    <row r="18246">
      <c r="R18246" s="100"/>
      <c r="V18246" s="100"/>
      <c r="Y18246" s="100"/>
    </row>
    <row r="18247">
      <c r="R18247" s="100"/>
      <c r="V18247" s="100"/>
      <c r="Y18247" s="100"/>
    </row>
    <row r="18248">
      <c r="R18248" s="100"/>
      <c r="V18248" s="100"/>
      <c r="Y18248" s="100"/>
    </row>
    <row r="18249">
      <c r="R18249" s="100"/>
      <c r="V18249" s="100"/>
      <c r="Y18249" s="100"/>
    </row>
    <row r="18250">
      <c r="R18250" s="100"/>
      <c r="V18250" s="100"/>
      <c r="Y18250" s="100"/>
    </row>
    <row r="18251">
      <c r="R18251" s="100"/>
      <c r="V18251" s="100"/>
      <c r="Y18251" s="100"/>
    </row>
    <row r="18252">
      <c r="R18252" s="100"/>
      <c r="V18252" s="100"/>
      <c r="Y18252" s="100"/>
    </row>
    <row r="18253">
      <c r="R18253" s="100"/>
      <c r="V18253" s="100"/>
      <c r="Y18253" s="100"/>
    </row>
    <row r="18254">
      <c r="R18254" s="100"/>
      <c r="V18254" s="100"/>
      <c r="Y18254" s="100"/>
    </row>
    <row r="18255">
      <c r="R18255" s="100"/>
      <c r="V18255" s="100"/>
      <c r="Y18255" s="100"/>
    </row>
    <row r="18256">
      <c r="R18256" s="100"/>
      <c r="V18256" s="100"/>
      <c r="Y18256" s="100"/>
    </row>
    <row r="18257">
      <c r="R18257" s="100"/>
      <c r="V18257" s="100"/>
      <c r="Y18257" s="100"/>
    </row>
    <row r="18258">
      <c r="R18258" s="100"/>
      <c r="V18258" s="100"/>
      <c r="Y18258" s="100"/>
    </row>
    <row r="18259">
      <c r="R18259" s="100"/>
      <c r="V18259" s="100"/>
      <c r="Y18259" s="100"/>
    </row>
    <row r="18260">
      <c r="R18260" s="100"/>
      <c r="V18260" s="100"/>
      <c r="Y18260" s="100"/>
    </row>
    <row r="18261">
      <c r="R18261" s="100"/>
      <c r="V18261" s="100"/>
      <c r="Y18261" s="100"/>
    </row>
    <row r="18262">
      <c r="R18262" s="100"/>
      <c r="V18262" s="100"/>
      <c r="Y18262" s="100"/>
    </row>
    <row r="18263">
      <c r="R18263" s="100"/>
      <c r="V18263" s="100"/>
      <c r="Y18263" s="100"/>
    </row>
    <row r="18264">
      <c r="R18264" s="100"/>
      <c r="V18264" s="100"/>
      <c r="Y18264" s="100"/>
    </row>
    <row r="18265">
      <c r="R18265" s="100"/>
      <c r="V18265" s="100"/>
      <c r="Y18265" s="100"/>
    </row>
    <row r="18266">
      <c r="R18266" s="100"/>
      <c r="V18266" s="100"/>
      <c r="Y18266" s="100"/>
    </row>
    <row r="18267">
      <c r="R18267" s="100"/>
      <c r="V18267" s="100"/>
      <c r="Y18267" s="100"/>
    </row>
    <row r="18268">
      <c r="R18268" s="100"/>
      <c r="V18268" s="100"/>
      <c r="Y18268" s="100"/>
    </row>
    <row r="18269">
      <c r="R18269" s="100"/>
      <c r="V18269" s="100"/>
      <c r="Y18269" s="100"/>
    </row>
    <row r="18270">
      <c r="R18270" s="100"/>
      <c r="V18270" s="100"/>
      <c r="Y18270" s="100"/>
    </row>
    <row r="18271">
      <c r="R18271" s="100"/>
      <c r="V18271" s="100"/>
      <c r="Y18271" s="100"/>
    </row>
    <row r="18272">
      <c r="R18272" s="100"/>
      <c r="V18272" s="100"/>
      <c r="Y18272" s="100"/>
    </row>
    <row r="18273">
      <c r="R18273" s="100"/>
      <c r="V18273" s="100"/>
      <c r="Y18273" s="100"/>
    </row>
    <row r="18274">
      <c r="R18274" s="100"/>
      <c r="V18274" s="100"/>
      <c r="Y18274" s="100"/>
    </row>
    <row r="18275">
      <c r="R18275" s="100"/>
      <c r="V18275" s="100"/>
      <c r="Y18275" s="100"/>
    </row>
    <row r="18276">
      <c r="R18276" s="100"/>
      <c r="V18276" s="100"/>
      <c r="Y18276" s="100"/>
    </row>
    <row r="18277">
      <c r="R18277" s="100"/>
      <c r="V18277" s="100"/>
      <c r="Y18277" s="100"/>
    </row>
    <row r="18278">
      <c r="R18278" s="100"/>
      <c r="V18278" s="100"/>
      <c r="Y18278" s="100"/>
    </row>
    <row r="18279">
      <c r="R18279" s="100"/>
      <c r="V18279" s="100"/>
      <c r="Y18279" s="100"/>
    </row>
    <row r="18280">
      <c r="R18280" s="100"/>
      <c r="V18280" s="100"/>
      <c r="Y18280" s="100"/>
    </row>
    <row r="18281">
      <c r="R18281" s="100"/>
      <c r="V18281" s="100"/>
      <c r="Y18281" s="100"/>
    </row>
    <row r="18282">
      <c r="R18282" s="100"/>
      <c r="V18282" s="100"/>
      <c r="Y18282" s="100"/>
    </row>
    <row r="18283">
      <c r="R18283" s="100"/>
      <c r="V18283" s="100"/>
      <c r="Y18283" s="100"/>
    </row>
    <row r="18284">
      <c r="R18284" s="100"/>
      <c r="V18284" s="100"/>
      <c r="Y18284" s="100"/>
    </row>
    <row r="18285">
      <c r="R18285" s="100"/>
      <c r="V18285" s="100"/>
      <c r="Y18285" s="100"/>
    </row>
    <row r="18286">
      <c r="R18286" s="100"/>
      <c r="V18286" s="100"/>
      <c r="Y18286" s="100"/>
    </row>
    <row r="18287">
      <c r="R18287" s="100"/>
      <c r="V18287" s="100"/>
      <c r="Y18287" s="100"/>
    </row>
    <row r="18288">
      <c r="R18288" s="100"/>
      <c r="V18288" s="100"/>
      <c r="Y18288" s="100"/>
    </row>
    <row r="18289">
      <c r="R18289" s="100"/>
      <c r="V18289" s="100"/>
      <c r="Y18289" s="100"/>
    </row>
    <row r="18290">
      <c r="R18290" s="100"/>
      <c r="V18290" s="100"/>
      <c r="Y18290" s="100"/>
    </row>
    <row r="18291">
      <c r="R18291" s="100"/>
      <c r="V18291" s="100"/>
      <c r="Y18291" s="100"/>
    </row>
    <row r="18292">
      <c r="R18292" s="100"/>
      <c r="V18292" s="100"/>
      <c r="Y18292" s="100"/>
    </row>
    <row r="18293">
      <c r="R18293" s="100"/>
      <c r="V18293" s="100"/>
      <c r="Y18293" s="100"/>
    </row>
    <row r="18294">
      <c r="R18294" s="100"/>
      <c r="V18294" s="100"/>
      <c r="Y18294" s="100"/>
    </row>
    <row r="18295">
      <c r="R18295" s="100"/>
      <c r="V18295" s="100"/>
      <c r="Y18295" s="100"/>
    </row>
    <row r="18296">
      <c r="R18296" s="100"/>
      <c r="V18296" s="100"/>
      <c r="Y18296" s="100"/>
    </row>
    <row r="18297">
      <c r="R18297" s="100"/>
      <c r="V18297" s="100"/>
      <c r="Y18297" s="100"/>
    </row>
    <row r="18298">
      <c r="R18298" s="100"/>
      <c r="V18298" s="100"/>
      <c r="Y18298" s="100"/>
    </row>
    <row r="18299">
      <c r="R18299" s="100"/>
      <c r="V18299" s="100"/>
      <c r="Y18299" s="100"/>
    </row>
    <row r="18300">
      <c r="R18300" s="100"/>
      <c r="V18300" s="100"/>
      <c r="Y18300" s="100"/>
    </row>
    <row r="18301">
      <c r="R18301" s="100"/>
      <c r="V18301" s="100"/>
      <c r="Y18301" s="100"/>
    </row>
    <row r="18302">
      <c r="R18302" s="100"/>
      <c r="V18302" s="100"/>
      <c r="Y18302" s="100"/>
    </row>
    <row r="18303">
      <c r="R18303" s="100"/>
      <c r="V18303" s="100"/>
      <c r="Y18303" s="100"/>
    </row>
    <row r="18304">
      <c r="R18304" s="100"/>
      <c r="V18304" s="100"/>
      <c r="Y18304" s="100"/>
    </row>
    <row r="18305">
      <c r="R18305" s="100"/>
      <c r="V18305" s="100"/>
      <c r="Y18305" s="100"/>
    </row>
    <row r="18306">
      <c r="R18306" s="100"/>
      <c r="V18306" s="100"/>
      <c r="Y18306" s="100"/>
    </row>
    <row r="18307">
      <c r="R18307" s="100"/>
      <c r="V18307" s="100"/>
      <c r="Y18307" s="100"/>
    </row>
    <row r="18308">
      <c r="R18308" s="100"/>
      <c r="V18308" s="100"/>
      <c r="Y18308" s="100"/>
    </row>
    <row r="18309">
      <c r="R18309" s="100"/>
      <c r="V18309" s="100"/>
      <c r="Y18309" s="100"/>
    </row>
    <row r="18310">
      <c r="R18310" s="100"/>
      <c r="V18310" s="100"/>
      <c r="Y18310" s="100"/>
    </row>
    <row r="18311">
      <c r="R18311" s="100"/>
      <c r="V18311" s="100"/>
      <c r="Y18311" s="100"/>
    </row>
    <row r="18312">
      <c r="R18312" s="100"/>
      <c r="V18312" s="100"/>
      <c r="Y18312" s="100"/>
    </row>
    <row r="18313">
      <c r="R18313" s="100"/>
      <c r="V18313" s="100"/>
      <c r="Y18313" s="100"/>
    </row>
    <row r="18314">
      <c r="R18314" s="100"/>
      <c r="V18314" s="100"/>
      <c r="Y18314" s="100"/>
    </row>
    <row r="18315">
      <c r="R18315" s="100"/>
      <c r="V18315" s="100"/>
      <c r="Y18315" s="100"/>
    </row>
    <row r="18316">
      <c r="R18316" s="100"/>
      <c r="V18316" s="100"/>
      <c r="Y18316" s="100"/>
    </row>
    <row r="18317">
      <c r="R18317" s="100"/>
      <c r="V18317" s="100"/>
      <c r="Y18317" s="100"/>
    </row>
    <row r="18318">
      <c r="R18318" s="100"/>
      <c r="V18318" s="100"/>
      <c r="Y18318" s="100"/>
    </row>
    <row r="18319">
      <c r="R18319" s="100"/>
      <c r="V18319" s="100"/>
      <c r="Y18319" s="100"/>
    </row>
    <row r="18320">
      <c r="R18320" s="100"/>
      <c r="V18320" s="100"/>
      <c r="Y18320" s="100"/>
    </row>
    <row r="18321">
      <c r="R18321" s="100"/>
      <c r="V18321" s="100"/>
      <c r="Y18321" s="100"/>
    </row>
    <row r="18322">
      <c r="R18322" s="100"/>
      <c r="V18322" s="100"/>
      <c r="Y18322" s="100"/>
    </row>
    <row r="18323">
      <c r="R18323" s="100"/>
      <c r="V18323" s="100"/>
      <c r="Y18323" s="100"/>
    </row>
    <row r="18324">
      <c r="R18324" s="100"/>
      <c r="V18324" s="100"/>
      <c r="Y18324" s="100"/>
    </row>
    <row r="18325">
      <c r="R18325" s="100"/>
      <c r="V18325" s="100"/>
      <c r="Y18325" s="100"/>
    </row>
    <row r="18326">
      <c r="R18326" s="100"/>
      <c r="V18326" s="100"/>
      <c r="Y18326" s="100"/>
    </row>
    <row r="18327">
      <c r="R18327" s="100"/>
      <c r="V18327" s="100"/>
      <c r="Y18327" s="100"/>
    </row>
    <row r="18328">
      <c r="R18328" s="100"/>
      <c r="V18328" s="100"/>
      <c r="Y18328" s="100"/>
    </row>
    <row r="18329">
      <c r="R18329" s="100"/>
      <c r="V18329" s="100"/>
      <c r="Y18329" s="100"/>
    </row>
    <row r="18330">
      <c r="R18330" s="100"/>
      <c r="V18330" s="100"/>
      <c r="Y18330" s="100"/>
    </row>
    <row r="18331">
      <c r="R18331" s="100"/>
      <c r="V18331" s="100"/>
      <c r="Y18331" s="100"/>
    </row>
    <row r="18332">
      <c r="R18332" s="100"/>
      <c r="V18332" s="100"/>
      <c r="Y18332" s="100"/>
    </row>
    <row r="18333">
      <c r="R18333" s="100"/>
      <c r="V18333" s="100"/>
      <c r="Y18333" s="100"/>
    </row>
    <row r="18334">
      <c r="R18334" s="100"/>
      <c r="V18334" s="100"/>
      <c r="Y18334" s="100"/>
    </row>
    <row r="18335">
      <c r="R18335" s="100"/>
      <c r="V18335" s="100"/>
      <c r="Y18335" s="100"/>
    </row>
    <row r="18336">
      <c r="R18336" s="100"/>
      <c r="V18336" s="100"/>
      <c r="Y18336" s="100"/>
    </row>
    <row r="18337">
      <c r="R18337" s="100"/>
      <c r="V18337" s="100"/>
      <c r="Y18337" s="100"/>
    </row>
    <row r="18338">
      <c r="R18338" s="100"/>
      <c r="V18338" s="100"/>
      <c r="Y18338" s="100"/>
    </row>
    <row r="18339">
      <c r="R18339" s="100"/>
      <c r="V18339" s="100"/>
      <c r="Y18339" s="100"/>
    </row>
    <row r="18340">
      <c r="R18340" s="100"/>
      <c r="V18340" s="100"/>
      <c r="Y18340" s="100"/>
    </row>
    <row r="18341">
      <c r="R18341" s="100"/>
      <c r="V18341" s="100"/>
      <c r="Y18341" s="100"/>
    </row>
    <row r="18342">
      <c r="R18342" s="100"/>
      <c r="V18342" s="100"/>
      <c r="Y18342" s="100"/>
    </row>
    <row r="18343">
      <c r="R18343" s="100"/>
      <c r="V18343" s="100"/>
      <c r="Y18343" s="100"/>
    </row>
    <row r="18344">
      <c r="R18344" s="100"/>
      <c r="V18344" s="100"/>
      <c r="Y18344" s="100"/>
    </row>
    <row r="18345">
      <c r="R18345" s="100"/>
      <c r="V18345" s="100"/>
      <c r="Y18345" s="100"/>
    </row>
    <row r="18346">
      <c r="R18346" s="100"/>
      <c r="V18346" s="100"/>
      <c r="Y18346" s="100"/>
    </row>
    <row r="18347">
      <c r="R18347" s="100"/>
      <c r="V18347" s="100"/>
      <c r="Y18347" s="100"/>
    </row>
    <row r="18348">
      <c r="R18348" s="100"/>
      <c r="V18348" s="100"/>
      <c r="Y18348" s="100"/>
    </row>
    <row r="18349">
      <c r="R18349" s="100"/>
      <c r="V18349" s="100"/>
      <c r="Y18349" s="100"/>
    </row>
    <row r="18350">
      <c r="R18350" s="100"/>
      <c r="V18350" s="100"/>
      <c r="Y18350" s="100"/>
    </row>
    <row r="18351">
      <c r="R18351" s="100"/>
      <c r="V18351" s="100"/>
      <c r="Y18351" s="100"/>
    </row>
    <row r="18352">
      <c r="R18352" s="100"/>
      <c r="V18352" s="100"/>
      <c r="Y18352" s="100"/>
    </row>
    <row r="18353">
      <c r="R18353" s="100"/>
      <c r="V18353" s="100"/>
      <c r="Y18353" s="100"/>
    </row>
    <row r="18354">
      <c r="R18354" s="100"/>
      <c r="V18354" s="100"/>
      <c r="Y18354" s="100"/>
    </row>
    <row r="18355">
      <c r="R18355" s="100"/>
      <c r="V18355" s="100"/>
      <c r="Y18355" s="100"/>
    </row>
    <row r="18356">
      <c r="R18356" s="100"/>
      <c r="V18356" s="100"/>
      <c r="Y18356" s="100"/>
    </row>
    <row r="18357">
      <c r="R18357" s="100"/>
      <c r="V18357" s="100"/>
      <c r="Y18357" s="100"/>
    </row>
    <row r="18358">
      <c r="R18358" s="100"/>
      <c r="V18358" s="100"/>
      <c r="Y18358" s="100"/>
    </row>
    <row r="18359">
      <c r="R18359" s="100"/>
      <c r="V18359" s="100"/>
      <c r="Y18359" s="100"/>
    </row>
    <row r="18360">
      <c r="R18360" s="100"/>
      <c r="V18360" s="100"/>
      <c r="Y18360" s="100"/>
    </row>
    <row r="18361">
      <c r="R18361" s="100"/>
      <c r="V18361" s="100"/>
      <c r="Y18361" s="100"/>
    </row>
    <row r="18362">
      <c r="R18362" s="100"/>
      <c r="V18362" s="100"/>
      <c r="Y18362" s="100"/>
    </row>
    <row r="18363">
      <c r="R18363" s="100"/>
      <c r="V18363" s="100"/>
      <c r="Y18363" s="100"/>
    </row>
    <row r="18364">
      <c r="R18364" s="100"/>
      <c r="V18364" s="100"/>
      <c r="Y18364" s="100"/>
    </row>
    <row r="18365">
      <c r="R18365" s="100"/>
      <c r="V18365" s="100"/>
      <c r="Y18365" s="100"/>
    </row>
    <row r="18366">
      <c r="R18366" s="100"/>
      <c r="V18366" s="100"/>
      <c r="Y18366" s="100"/>
    </row>
    <row r="18367">
      <c r="R18367" s="100"/>
      <c r="V18367" s="100"/>
      <c r="Y18367" s="100"/>
    </row>
    <row r="18368">
      <c r="R18368" s="100"/>
      <c r="V18368" s="100"/>
      <c r="Y18368" s="100"/>
    </row>
    <row r="18369">
      <c r="R18369" s="100"/>
      <c r="V18369" s="100"/>
      <c r="Y18369" s="100"/>
    </row>
    <row r="18370">
      <c r="R18370" s="100"/>
      <c r="V18370" s="100"/>
      <c r="Y18370" s="100"/>
    </row>
    <row r="18371">
      <c r="R18371" s="100"/>
      <c r="V18371" s="100"/>
      <c r="Y18371" s="100"/>
    </row>
    <row r="18372">
      <c r="R18372" s="100"/>
      <c r="V18372" s="100"/>
      <c r="Y18372" s="100"/>
    </row>
    <row r="18373">
      <c r="R18373" s="100"/>
      <c r="V18373" s="100"/>
      <c r="Y18373" s="100"/>
    </row>
    <row r="18374">
      <c r="R18374" s="100"/>
      <c r="V18374" s="100"/>
      <c r="Y18374" s="100"/>
    </row>
    <row r="18375">
      <c r="R18375" s="100"/>
      <c r="V18375" s="100"/>
      <c r="Y18375" s="100"/>
    </row>
    <row r="18376">
      <c r="R18376" s="100"/>
      <c r="V18376" s="100"/>
      <c r="Y18376" s="100"/>
    </row>
    <row r="18377">
      <c r="R18377" s="100"/>
      <c r="V18377" s="100"/>
      <c r="Y18377" s="100"/>
    </row>
    <row r="18378">
      <c r="R18378" s="100"/>
      <c r="V18378" s="100"/>
      <c r="Y18378" s="100"/>
    </row>
    <row r="18379">
      <c r="R18379" s="100"/>
      <c r="V18379" s="100"/>
      <c r="Y18379" s="100"/>
    </row>
    <row r="18380">
      <c r="R18380" s="100"/>
      <c r="V18380" s="100"/>
      <c r="Y18380" s="100"/>
    </row>
    <row r="18381">
      <c r="R18381" s="100"/>
      <c r="V18381" s="100"/>
      <c r="Y18381" s="100"/>
    </row>
    <row r="18382">
      <c r="R18382" s="100"/>
      <c r="V18382" s="100"/>
      <c r="Y18382" s="100"/>
    </row>
    <row r="18383">
      <c r="R18383" s="100"/>
      <c r="V18383" s="100"/>
      <c r="Y18383" s="100"/>
    </row>
    <row r="18384">
      <c r="R18384" s="100"/>
      <c r="V18384" s="100"/>
      <c r="Y18384" s="100"/>
    </row>
    <row r="18385">
      <c r="R18385" s="100"/>
      <c r="V18385" s="100"/>
      <c r="Y18385" s="100"/>
    </row>
    <row r="18386">
      <c r="R18386" s="100"/>
      <c r="V18386" s="100"/>
      <c r="Y18386" s="100"/>
    </row>
    <row r="18387">
      <c r="R18387" s="100"/>
      <c r="V18387" s="100"/>
      <c r="Y18387" s="100"/>
    </row>
    <row r="18388">
      <c r="R18388" s="100"/>
      <c r="V18388" s="100"/>
      <c r="Y18388" s="100"/>
    </row>
    <row r="18389">
      <c r="R18389" s="100"/>
      <c r="V18389" s="100"/>
      <c r="Y18389" s="100"/>
    </row>
    <row r="18390">
      <c r="R18390" s="100"/>
      <c r="V18390" s="100"/>
      <c r="Y18390" s="100"/>
    </row>
    <row r="18391">
      <c r="R18391" s="100"/>
      <c r="V18391" s="100"/>
      <c r="Y18391" s="100"/>
    </row>
    <row r="18392">
      <c r="R18392" s="100"/>
      <c r="V18392" s="100"/>
      <c r="Y18392" s="100"/>
    </row>
    <row r="18393">
      <c r="R18393" s="100"/>
      <c r="V18393" s="100"/>
      <c r="Y18393" s="100"/>
    </row>
    <row r="18394">
      <c r="R18394" s="100"/>
      <c r="V18394" s="100"/>
      <c r="Y18394" s="100"/>
    </row>
    <row r="18395">
      <c r="R18395" s="100"/>
      <c r="V18395" s="100"/>
      <c r="Y18395" s="100"/>
    </row>
    <row r="18396">
      <c r="R18396" s="100"/>
      <c r="V18396" s="100"/>
      <c r="Y18396" s="100"/>
    </row>
    <row r="18397">
      <c r="R18397" s="100"/>
      <c r="V18397" s="100"/>
      <c r="Y18397" s="100"/>
    </row>
    <row r="18398">
      <c r="R18398" s="100"/>
      <c r="V18398" s="100"/>
      <c r="Y18398" s="100"/>
    </row>
    <row r="18399">
      <c r="R18399" s="100"/>
      <c r="V18399" s="100"/>
      <c r="Y18399" s="100"/>
    </row>
    <row r="18400">
      <c r="R18400" s="100"/>
      <c r="V18400" s="100"/>
      <c r="Y18400" s="100"/>
    </row>
    <row r="18401">
      <c r="R18401" s="100"/>
      <c r="V18401" s="100"/>
      <c r="Y18401" s="100"/>
    </row>
    <row r="18402">
      <c r="R18402" s="100"/>
      <c r="V18402" s="100"/>
      <c r="Y18402" s="100"/>
    </row>
    <row r="18403">
      <c r="R18403" s="100"/>
      <c r="V18403" s="100"/>
      <c r="Y18403" s="100"/>
    </row>
    <row r="18404">
      <c r="R18404" s="100"/>
      <c r="V18404" s="100"/>
      <c r="Y18404" s="100"/>
    </row>
    <row r="18405">
      <c r="R18405" s="100"/>
      <c r="V18405" s="100"/>
      <c r="Y18405" s="100"/>
    </row>
    <row r="18406">
      <c r="R18406" s="100"/>
      <c r="V18406" s="100"/>
      <c r="Y18406" s="100"/>
    </row>
    <row r="18407">
      <c r="R18407" s="100"/>
      <c r="V18407" s="100"/>
      <c r="Y18407" s="100"/>
    </row>
    <row r="18408">
      <c r="R18408" s="100"/>
      <c r="V18408" s="100"/>
      <c r="Y18408" s="100"/>
    </row>
    <row r="18409">
      <c r="R18409" s="100"/>
      <c r="V18409" s="100"/>
      <c r="Y18409" s="100"/>
    </row>
    <row r="18410">
      <c r="R18410" s="100"/>
      <c r="V18410" s="100"/>
      <c r="Y18410" s="100"/>
    </row>
    <row r="18411">
      <c r="R18411" s="100"/>
      <c r="V18411" s="100"/>
      <c r="Y18411" s="100"/>
    </row>
    <row r="18412">
      <c r="R18412" s="100"/>
      <c r="V18412" s="100"/>
      <c r="Y18412" s="100"/>
    </row>
    <row r="18413">
      <c r="R18413" s="100"/>
      <c r="V18413" s="100"/>
      <c r="Y18413" s="100"/>
    </row>
    <row r="18414">
      <c r="R18414" s="100"/>
      <c r="V18414" s="100"/>
      <c r="Y18414" s="100"/>
    </row>
    <row r="18415">
      <c r="R18415" s="100"/>
      <c r="V18415" s="100"/>
      <c r="Y18415" s="100"/>
    </row>
    <row r="18416">
      <c r="R18416" s="100"/>
      <c r="V18416" s="100"/>
      <c r="Y18416" s="100"/>
    </row>
    <row r="18417">
      <c r="R18417" s="100"/>
      <c r="V18417" s="100"/>
      <c r="Y18417" s="100"/>
    </row>
    <row r="18418">
      <c r="R18418" s="100"/>
      <c r="V18418" s="100"/>
      <c r="Y18418" s="100"/>
    </row>
    <row r="18419">
      <c r="R18419" s="100"/>
      <c r="V18419" s="100"/>
      <c r="Y18419" s="100"/>
    </row>
    <row r="18420">
      <c r="R18420" s="100"/>
      <c r="V18420" s="100"/>
      <c r="Y18420" s="100"/>
    </row>
    <row r="18421">
      <c r="R18421" s="100"/>
      <c r="V18421" s="100"/>
      <c r="Y18421" s="100"/>
    </row>
    <row r="18422">
      <c r="R18422" s="100"/>
      <c r="V18422" s="100"/>
      <c r="Y18422" s="100"/>
    </row>
    <row r="18423">
      <c r="R18423" s="100"/>
      <c r="V18423" s="100"/>
      <c r="Y18423" s="100"/>
    </row>
    <row r="18424">
      <c r="R18424" s="100"/>
      <c r="V18424" s="100"/>
      <c r="Y18424" s="100"/>
    </row>
    <row r="18425">
      <c r="R18425" s="100"/>
      <c r="V18425" s="100"/>
      <c r="Y18425" s="100"/>
    </row>
    <row r="18426">
      <c r="R18426" s="100"/>
      <c r="V18426" s="100"/>
      <c r="Y18426" s="100"/>
    </row>
    <row r="18427">
      <c r="R18427" s="100"/>
      <c r="V18427" s="100"/>
      <c r="Y18427" s="100"/>
    </row>
    <row r="18428">
      <c r="R18428" s="100"/>
      <c r="V18428" s="100"/>
      <c r="Y18428" s="100"/>
    </row>
    <row r="18429">
      <c r="R18429" s="100"/>
      <c r="V18429" s="100"/>
      <c r="Y18429" s="100"/>
    </row>
    <row r="18430">
      <c r="R18430" s="100"/>
      <c r="V18430" s="100"/>
      <c r="Y18430" s="100"/>
    </row>
    <row r="18431">
      <c r="R18431" s="100"/>
      <c r="V18431" s="100"/>
      <c r="Y18431" s="100"/>
    </row>
    <row r="18432">
      <c r="R18432" s="100"/>
      <c r="V18432" s="100"/>
      <c r="Y18432" s="100"/>
    </row>
    <row r="18433">
      <c r="R18433" s="100"/>
      <c r="V18433" s="100"/>
      <c r="Y18433" s="100"/>
    </row>
    <row r="18434">
      <c r="R18434" s="100"/>
      <c r="V18434" s="100"/>
      <c r="Y18434" s="100"/>
    </row>
    <row r="18435">
      <c r="R18435" s="100"/>
      <c r="V18435" s="100"/>
      <c r="Y18435" s="100"/>
    </row>
    <row r="18436">
      <c r="R18436" s="100"/>
      <c r="V18436" s="100"/>
      <c r="Y18436" s="100"/>
    </row>
    <row r="18437">
      <c r="R18437" s="100"/>
      <c r="V18437" s="100"/>
      <c r="Y18437" s="100"/>
    </row>
    <row r="18438">
      <c r="R18438" s="100"/>
      <c r="V18438" s="100"/>
      <c r="Y18438" s="100"/>
    </row>
    <row r="18439">
      <c r="R18439" s="100"/>
      <c r="V18439" s="100"/>
      <c r="Y18439" s="100"/>
    </row>
    <row r="18440">
      <c r="R18440" s="100"/>
      <c r="V18440" s="100"/>
      <c r="Y18440" s="100"/>
    </row>
    <row r="18441">
      <c r="R18441" s="100"/>
      <c r="V18441" s="100"/>
      <c r="Y18441" s="100"/>
    </row>
    <row r="18442">
      <c r="R18442" s="100"/>
      <c r="V18442" s="100"/>
      <c r="Y18442" s="100"/>
    </row>
    <row r="18443">
      <c r="R18443" s="100"/>
      <c r="V18443" s="100"/>
      <c r="Y18443" s="100"/>
    </row>
    <row r="18444">
      <c r="R18444" s="100"/>
      <c r="V18444" s="100"/>
      <c r="Y18444" s="100"/>
    </row>
    <row r="18445">
      <c r="R18445" s="100"/>
      <c r="V18445" s="100"/>
      <c r="Y18445" s="100"/>
    </row>
    <row r="18446">
      <c r="R18446" s="100"/>
      <c r="V18446" s="100"/>
      <c r="Y18446" s="100"/>
    </row>
    <row r="18447">
      <c r="R18447" s="100"/>
      <c r="V18447" s="100"/>
      <c r="Y18447" s="100"/>
    </row>
    <row r="18448">
      <c r="R18448" s="100"/>
      <c r="V18448" s="100"/>
      <c r="Y18448" s="100"/>
    </row>
    <row r="18449">
      <c r="R18449" s="100"/>
      <c r="V18449" s="100"/>
      <c r="Y18449" s="100"/>
    </row>
    <row r="18450">
      <c r="R18450" s="100"/>
      <c r="V18450" s="100"/>
      <c r="Y18450" s="100"/>
    </row>
    <row r="18451">
      <c r="R18451" s="100"/>
      <c r="V18451" s="100"/>
      <c r="Y18451" s="100"/>
    </row>
    <row r="18452">
      <c r="R18452" s="100"/>
      <c r="V18452" s="100"/>
      <c r="Y18452" s="100"/>
    </row>
    <row r="18453">
      <c r="R18453" s="100"/>
      <c r="V18453" s="100"/>
      <c r="Y18453" s="100"/>
    </row>
    <row r="18454">
      <c r="R18454" s="100"/>
      <c r="V18454" s="100"/>
      <c r="Y18454" s="100"/>
    </row>
    <row r="18455">
      <c r="R18455" s="100"/>
      <c r="V18455" s="100"/>
      <c r="Y18455" s="100"/>
    </row>
    <row r="18456">
      <c r="R18456" s="100"/>
      <c r="V18456" s="100"/>
      <c r="Y18456" s="100"/>
    </row>
    <row r="18457">
      <c r="R18457" s="100"/>
      <c r="V18457" s="100"/>
      <c r="Y18457" s="100"/>
    </row>
    <row r="18458">
      <c r="R18458" s="100"/>
      <c r="V18458" s="100"/>
      <c r="Y18458" s="100"/>
    </row>
    <row r="18459">
      <c r="R18459" s="100"/>
      <c r="V18459" s="100"/>
      <c r="Y18459" s="100"/>
    </row>
    <row r="18460">
      <c r="R18460" s="100"/>
      <c r="V18460" s="100"/>
      <c r="Y18460" s="100"/>
    </row>
    <row r="18461">
      <c r="R18461" s="100"/>
      <c r="V18461" s="100"/>
      <c r="Y18461" s="100"/>
    </row>
    <row r="18462">
      <c r="R18462" s="100"/>
      <c r="V18462" s="100"/>
      <c r="Y18462" s="100"/>
    </row>
    <row r="18463">
      <c r="R18463" s="100"/>
      <c r="V18463" s="100"/>
      <c r="Y18463" s="100"/>
    </row>
    <row r="18464">
      <c r="R18464" s="100"/>
      <c r="V18464" s="100"/>
      <c r="Y18464" s="100"/>
    </row>
    <row r="18465">
      <c r="R18465" s="100"/>
      <c r="V18465" s="100"/>
      <c r="Y18465" s="100"/>
    </row>
    <row r="18466">
      <c r="R18466" s="100"/>
      <c r="V18466" s="100"/>
      <c r="Y18466" s="100"/>
    </row>
    <row r="18467">
      <c r="R18467" s="100"/>
      <c r="V18467" s="100"/>
      <c r="Y18467" s="100"/>
    </row>
    <row r="18468">
      <c r="R18468" s="100"/>
      <c r="V18468" s="100"/>
      <c r="Y18468" s="100"/>
    </row>
    <row r="18469">
      <c r="R18469" s="100"/>
      <c r="V18469" s="100"/>
      <c r="Y18469" s="100"/>
    </row>
    <row r="18470">
      <c r="R18470" s="100"/>
      <c r="V18470" s="100"/>
      <c r="Y18470" s="100"/>
    </row>
    <row r="18471">
      <c r="R18471" s="100"/>
      <c r="V18471" s="100"/>
      <c r="Y18471" s="100"/>
    </row>
    <row r="18472">
      <c r="R18472" s="100"/>
      <c r="V18472" s="100"/>
      <c r="Y18472" s="100"/>
    </row>
    <row r="18473">
      <c r="R18473" s="100"/>
      <c r="V18473" s="100"/>
      <c r="Y18473" s="100"/>
    </row>
    <row r="18474">
      <c r="R18474" s="100"/>
      <c r="V18474" s="100"/>
      <c r="Y18474" s="100"/>
    </row>
    <row r="18475">
      <c r="R18475" s="100"/>
      <c r="V18475" s="100"/>
      <c r="Y18475" s="100"/>
    </row>
    <row r="18476">
      <c r="R18476" s="100"/>
      <c r="V18476" s="100"/>
      <c r="Y18476" s="100"/>
    </row>
    <row r="18477">
      <c r="R18477" s="100"/>
      <c r="V18477" s="100"/>
      <c r="Y18477" s="100"/>
    </row>
    <row r="18478">
      <c r="R18478" s="100"/>
      <c r="V18478" s="100"/>
      <c r="Y18478" s="100"/>
    </row>
    <row r="18479">
      <c r="R18479" s="100"/>
      <c r="V18479" s="100"/>
      <c r="Y18479" s="100"/>
    </row>
    <row r="18480">
      <c r="R18480" s="100"/>
      <c r="V18480" s="100"/>
      <c r="Y18480" s="100"/>
    </row>
    <row r="18481">
      <c r="R18481" s="100"/>
      <c r="V18481" s="100"/>
      <c r="Y18481" s="100"/>
    </row>
    <row r="18482">
      <c r="R18482" s="100"/>
      <c r="V18482" s="100"/>
      <c r="Y18482" s="100"/>
    </row>
    <row r="18483">
      <c r="R18483" s="100"/>
      <c r="V18483" s="100"/>
      <c r="Y18483" s="100"/>
    </row>
    <row r="18484">
      <c r="R18484" s="100"/>
      <c r="V18484" s="100"/>
      <c r="Y18484" s="100"/>
    </row>
    <row r="18485">
      <c r="R18485" s="100"/>
      <c r="V18485" s="100"/>
      <c r="Y18485" s="100"/>
    </row>
    <row r="18486">
      <c r="R18486" s="100"/>
      <c r="V18486" s="100"/>
      <c r="Y18486" s="100"/>
    </row>
    <row r="18487">
      <c r="R18487" s="100"/>
      <c r="V18487" s="100"/>
      <c r="Y18487" s="100"/>
    </row>
    <row r="18488">
      <c r="R18488" s="100"/>
      <c r="V18488" s="100"/>
      <c r="Y18488" s="100"/>
    </row>
    <row r="18489">
      <c r="R18489" s="100"/>
      <c r="V18489" s="100"/>
      <c r="Y18489" s="100"/>
    </row>
    <row r="18490">
      <c r="R18490" s="100"/>
      <c r="V18490" s="100"/>
      <c r="Y18490" s="100"/>
    </row>
    <row r="18491">
      <c r="R18491" s="100"/>
      <c r="V18491" s="100"/>
      <c r="Y18491" s="100"/>
    </row>
    <row r="18492">
      <c r="R18492" s="100"/>
      <c r="V18492" s="100"/>
      <c r="Y18492" s="100"/>
    </row>
    <row r="18493">
      <c r="R18493" s="100"/>
      <c r="V18493" s="100"/>
      <c r="Y18493" s="100"/>
    </row>
    <row r="18494">
      <c r="R18494" s="100"/>
      <c r="V18494" s="100"/>
      <c r="Y18494" s="100"/>
    </row>
    <row r="18495">
      <c r="R18495" s="100"/>
      <c r="V18495" s="100"/>
      <c r="Y18495" s="100"/>
    </row>
    <row r="18496">
      <c r="R18496" s="100"/>
      <c r="V18496" s="100"/>
      <c r="Y18496" s="100"/>
    </row>
    <row r="18497">
      <c r="R18497" s="100"/>
      <c r="V18497" s="100"/>
      <c r="Y18497" s="100"/>
    </row>
    <row r="18498">
      <c r="R18498" s="100"/>
      <c r="V18498" s="100"/>
      <c r="Y18498" s="100"/>
    </row>
    <row r="18499">
      <c r="R18499" s="100"/>
      <c r="V18499" s="100"/>
      <c r="Y18499" s="100"/>
    </row>
    <row r="18500">
      <c r="R18500" s="100"/>
      <c r="V18500" s="100"/>
      <c r="Y18500" s="100"/>
    </row>
    <row r="18501">
      <c r="R18501" s="100"/>
      <c r="V18501" s="100"/>
      <c r="Y18501" s="100"/>
    </row>
    <row r="18502">
      <c r="R18502" s="100"/>
      <c r="V18502" s="100"/>
      <c r="Y18502" s="100"/>
    </row>
    <row r="18503">
      <c r="R18503" s="100"/>
      <c r="V18503" s="100"/>
      <c r="Y18503" s="100"/>
    </row>
    <row r="18504">
      <c r="R18504" s="100"/>
      <c r="V18504" s="100"/>
      <c r="Y18504" s="100"/>
    </row>
    <row r="18505">
      <c r="R18505" s="100"/>
      <c r="V18505" s="100"/>
      <c r="Y18505" s="100"/>
    </row>
    <row r="18506">
      <c r="R18506" s="100"/>
      <c r="V18506" s="100"/>
      <c r="Y18506" s="100"/>
    </row>
    <row r="18507">
      <c r="R18507" s="100"/>
      <c r="V18507" s="100"/>
      <c r="Y18507" s="100"/>
    </row>
    <row r="18508">
      <c r="R18508" s="100"/>
      <c r="V18508" s="100"/>
      <c r="Y18508" s="100"/>
    </row>
    <row r="18509">
      <c r="R18509" s="100"/>
      <c r="V18509" s="100"/>
      <c r="Y18509" s="100"/>
    </row>
    <row r="18510">
      <c r="R18510" s="100"/>
      <c r="V18510" s="100"/>
      <c r="Y18510" s="100"/>
    </row>
    <row r="18511">
      <c r="R18511" s="100"/>
      <c r="V18511" s="100"/>
      <c r="Y18511" s="100"/>
    </row>
    <row r="18512">
      <c r="R18512" s="100"/>
      <c r="V18512" s="100"/>
      <c r="Y18512" s="100"/>
    </row>
    <row r="18513">
      <c r="R18513" s="100"/>
      <c r="V18513" s="100"/>
      <c r="Y18513" s="100"/>
    </row>
    <row r="18514">
      <c r="R18514" s="100"/>
      <c r="V18514" s="100"/>
      <c r="Y18514" s="100"/>
    </row>
    <row r="18515">
      <c r="R18515" s="100"/>
      <c r="V18515" s="100"/>
      <c r="Y18515" s="100"/>
    </row>
    <row r="18516">
      <c r="R18516" s="100"/>
      <c r="V18516" s="100"/>
      <c r="Y18516" s="100"/>
    </row>
    <row r="18517">
      <c r="R18517" s="100"/>
      <c r="V18517" s="100"/>
      <c r="Y18517" s="100"/>
    </row>
    <row r="18518">
      <c r="R18518" s="100"/>
      <c r="V18518" s="100"/>
      <c r="Y18518" s="100"/>
    </row>
    <row r="18519">
      <c r="R18519" s="100"/>
      <c r="V18519" s="100"/>
      <c r="Y18519" s="100"/>
    </row>
    <row r="18520">
      <c r="R18520" s="100"/>
      <c r="V18520" s="100"/>
      <c r="Y18520" s="100"/>
    </row>
    <row r="18521">
      <c r="R18521" s="100"/>
      <c r="V18521" s="100"/>
      <c r="Y18521" s="100"/>
    </row>
    <row r="18522">
      <c r="R18522" s="100"/>
      <c r="V18522" s="100"/>
      <c r="Y18522" s="100"/>
    </row>
    <row r="18523">
      <c r="R18523" s="100"/>
      <c r="V18523" s="100"/>
      <c r="Y18523" s="100"/>
    </row>
    <row r="18524">
      <c r="R18524" s="100"/>
      <c r="V18524" s="100"/>
      <c r="Y18524" s="100"/>
    </row>
    <row r="18525">
      <c r="R18525" s="100"/>
      <c r="V18525" s="100"/>
      <c r="Y18525" s="100"/>
    </row>
    <row r="18526">
      <c r="R18526" s="100"/>
      <c r="V18526" s="100"/>
      <c r="Y18526" s="100"/>
    </row>
    <row r="18527">
      <c r="R18527" s="100"/>
      <c r="V18527" s="100"/>
      <c r="Y18527" s="100"/>
    </row>
    <row r="18528">
      <c r="R18528" s="100"/>
      <c r="V18528" s="100"/>
      <c r="Y18528" s="100"/>
    </row>
    <row r="18529">
      <c r="R18529" s="100"/>
      <c r="V18529" s="100"/>
      <c r="Y18529" s="100"/>
    </row>
    <row r="18530">
      <c r="R18530" s="100"/>
      <c r="V18530" s="100"/>
      <c r="Y18530" s="100"/>
    </row>
    <row r="18531">
      <c r="R18531" s="100"/>
      <c r="V18531" s="100"/>
      <c r="Y18531" s="100"/>
    </row>
    <row r="18532">
      <c r="R18532" s="100"/>
      <c r="V18532" s="100"/>
      <c r="Y18532" s="100"/>
    </row>
    <row r="18533">
      <c r="R18533" s="100"/>
      <c r="V18533" s="100"/>
      <c r="Y18533" s="100"/>
    </row>
    <row r="18534">
      <c r="R18534" s="100"/>
      <c r="V18534" s="100"/>
      <c r="Y18534" s="100"/>
    </row>
    <row r="18535">
      <c r="R18535" s="100"/>
      <c r="V18535" s="100"/>
      <c r="Y18535" s="100"/>
    </row>
    <row r="18536">
      <c r="R18536" s="100"/>
      <c r="V18536" s="100"/>
      <c r="Y18536" s="100"/>
    </row>
    <row r="18537">
      <c r="R18537" s="100"/>
      <c r="V18537" s="100"/>
      <c r="Y18537" s="100"/>
    </row>
    <row r="18538">
      <c r="R18538" s="100"/>
      <c r="V18538" s="100"/>
      <c r="Y18538" s="100"/>
    </row>
    <row r="18539">
      <c r="R18539" s="100"/>
      <c r="V18539" s="100"/>
      <c r="Y18539" s="100"/>
    </row>
    <row r="18540">
      <c r="R18540" s="100"/>
      <c r="V18540" s="100"/>
      <c r="Y18540" s="100"/>
    </row>
    <row r="18541">
      <c r="R18541" s="100"/>
      <c r="V18541" s="100"/>
      <c r="Y18541" s="100"/>
    </row>
    <row r="18542">
      <c r="R18542" s="100"/>
      <c r="V18542" s="100"/>
      <c r="Y18542" s="100"/>
    </row>
    <row r="18543">
      <c r="R18543" s="100"/>
      <c r="V18543" s="100"/>
      <c r="Y18543" s="100"/>
    </row>
    <row r="18544">
      <c r="R18544" s="100"/>
      <c r="V18544" s="100"/>
      <c r="Y18544" s="100"/>
    </row>
    <row r="18545">
      <c r="R18545" s="100"/>
      <c r="V18545" s="100"/>
      <c r="Y18545" s="100"/>
    </row>
    <row r="18546">
      <c r="R18546" s="100"/>
      <c r="V18546" s="100"/>
      <c r="Y18546" s="100"/>
    </row>
    <row r="18547">
      <c r="R18547" s="100"/>
      <c r="V18547" s="100"/>
      <c r="Y18547" s="100"/>
    </row>
    <row r="18548">
      <c r="R18548" s="100"/>
      <c r="V18548" s="100"/>
      <c r="Y18548" s="100"/>
    </row>
    <row r="18549">
      <c r="R18549" s="100"/>
      <c r="V18549" s="100"/>
      <c r="Y18549" s="100"/>
    </row>
    <row r="18550">
      <c r="R18550" s="100"/>
      <c r="V18550" s="100"/>
      <c r="Y18550" s="100"/>
    </row>
    <row r="18551">
      <c r="R18551" s="100"/>
      <c r="V18551" s="100"/>
      <c r="Y18551" s="100"/>
    </row>
    <row r="18552">
      <c r="R18552" s="100"/>
      <c r="V18552" s="100"/>
      <c r="Y18552" s="100"/>
    </row>
    <row r="18553">
      <c r="R18553" s="100"/>
      <c r="V18553" s="100"/>
      <c r="Y18553" s="100"/>
    </row>
    <row r="18554">
      <c r="R18554" s="100"/>
      <c r="V18554" s="100"/>
      <c r="Y18554" s="100"/>
    </row>
    <row r="18555">
      <c r="R18555" s="100"/>
      <c r="V18555" s="100"/>
      <c r="Y18555" s="100"/>
    </row>
    <row r="18556">
      <c r="R18556" s="100"/>
      <c r="V18556" s="100"/>
      <c r="Y18556" s="100"/>
    </row>
    <row r="18557">
      <c r="R18557" s="100"/>
      <c r="V18557" s="100"/>
      <c r="Y18557" s="100"/>
    </row>
    <row r="18558">
      <c r="R18558" s="100"/>
      <c r="V18558" s="100"/>
      <c r="Y18558" s="100"/>
    </row>
    <row r="18559">
      <c r="R18559" s="100"/>
      <c r="V18559" s="100"/>
      <c r="Y18559" s="100"/>
    </row>
    <row r="18560">
      <c r="R18560" s="100"/>
      <c r="V18560" s="100"/>
      <c r="Y18560" s="100"/>
    </row>
    <row r="18561">
      <c r="R18561" s="100"/>
      <c r="V18561" s="100"/>
      <c r="Y18561" s="100"/>
    </row>
    <row r="18562">
      <c r="R18562" s="100"/>
      <c r="V18562" s="100"/>
      <c r="Y18562" s="100"/>
    </row>
    <row r="18563">
      <c r="R18563" s="100"/>
      <c r="V18563" s="100"/>
      <c r="Y18563" s="100"/>
    </row>
    <row r="18564">
      <c r="R18564" s="100"/>
      <c r="V18564" s="100"/>
      <c r="Y18564" s="100"/>
    </row>
    <row r="18565">
      <c r="R18565" s="100"/>
      <c r="V18565" s="100"/>
      <c r="Y18565" s="100"/>
    </row>
    <row r="18566">
      <c r="R18566" s="100"/>
      <c r="V18566" s="100"/>
      <c r="Y18566" s="100"/>
    </row>
    <row r="18567">
      <c r="R18567" s="100"/>
      <c r="V18567" s="100"/>
      <c r="Y18567" s="100"/>
    </row>
    <row r="18568">
      <c r="R18568" s="100"/>
      <c r="V18568" s="100"/>
      <c r="Y18568" s="100"/>
    </row>
    <row r="18569">
      <c r="R18569" s="100"/>
      <c r="V18569" s="100"/>
      <c r="Y18569" s="100"/>
    </row>
    <row r="18570">
      <c r="R18570" s="100"/>
      <c r="V18570" s="100"/>
      <c r="Y18570" s="100"/>
    </row>
    <row r="18571">
      <c r="R18571" s="100"/>
      <c r="V18571" s="100"/>
      <c r="Y18571" s="100"/>
    </row>
    <row r="18572">
      <c r="R18572" s="100"/>
      <c r="V18572" s="100"/>
      <c r="Y18572" s="100"/>
    </row>
    <row r="18573">
      <c r="R18573" s="100"/>
      <c r="V18573" s="100"/>
      <c r="Y18573" s="100"/>
    </row>
    <row r="18574">
      <c r="R18574" s="100"/>
      <c r="V18574" s="100"/>
      <c r="Y18574" s="100"/>
    </row>
    <row r="18575">
      <c r="R18575" s="100"/>
      <c r="V18575" s="100"/>
      <c r="Y18575" s="100"/>
    </row>
    <row r="18576">
      <c r="R18576" s="100"/>
      <c r="V18576" s="100"/>
      <c r="Y18576" s="100"/>
    </row>
    <row r="18577">
      <c r="R18577" s="100"/>
      <c r="V18577" s="100"/>
      <c r="Y18577" s="100"/>
    </row>
    <row r="18578">
      <c r="R18578" s="100"/>
      <c r="V18578" s="100"/>
      <c r="Y18578" s="100"/>
    </row>
    <row r="18579">
      <c r="R18579" s="100"/>
      <c r="V18579" s="100"/>
      <c r="Y18579" s="100"/>
    </row>
    <row r="18580">
      <c r="R18580" s="100"/>
      <c r="V18580" s="100"/>
      <c r="Y18580" s="100"/>
    </row>
    <row r="18581">
      <c r="R18581" s="100"/>
      <c r="V18581" s="100"/>
      <c r="Y18581" s="100"/>
    </row>
    <row r="18582">
      <c r="R18582" s="100"/>
      <c r="V18582" s="100"/>
      <c r="Y18582" s="100"/>
    </row>
    <row r="18583">
      <c r="R18583" s="100"/>
      <c r="V18583" s="100"/>
      <c r="Y18583" s="100"/>
    </row>
    <row r="18584">
      <c r="R18584" s="100"/>
      <c r="V18584" s="100"/>
      <c r="Y18584" s="100"/>
    </row>
    <row r="18585">
      <c r="R18585" s="100"/>
      <c r="V18585" s="100"/>
      <c r="Y18585" s="100"/>
    </row>
    <row r="18586">
      <c r="R18586" s="100"/>
      <c r="V18586" s="100"/>
      <c r="Y18586" s="100"/>
    </row>
    <row r="18587">
      <c r="R18587" s="100"/>
      <c r="V18587" s="100"/>
      <c r="Y18587" s="100"/>
    </row>
    <row r="18588">
      <c r="R18588" s="100"/>
      <c r="V18588" s="100"/>
      <c r="Y18588" s="100"/>
    </row>
    <row r="18589">
      <c r="R18589" s="100"/>
      <c r="V18589" s="100"/>
      <c r="Y18589" s="100"/>
    </row>
    <row r="18590">
      <c r="R18590" s="100"/>
      <c r="V18590" s="100"/>
      <c r="Y18590" s="100"/>
    </row>
    <row r="18591">
      <c r="R18591" s="100"/>
      <c r="V18591" s="100"/>
      <c r="Y18591" s="100"/>
    </row>
    <row r="18592">
      <c r="R18592" s="100"/>
      <c r="V18592" s="100"/>
      <c r="Y18592" s="100"/>
    </row>
    <row r="18593">
      <c r="R18593" s="100"/>
      <c r="V18593" s="100"/>
      <c r="Y18593" s="100"/>
    </row>
    <row r="18594">
      <c r="R18594" s="100"/>
      <c r="V18594" s="100"/>
      <c r="Y18594" s="100"/>
    </row>
    <row r="18595">
      <c r="R18595" s="100"/>
      <c r="V18595" s="100"/>
      <c r="Y18595" s="100"/>
    </row>
    <row r="18596">
      <c r="R18596" s="100"/>
      <c r="V18596" s="100"/>
      <c r="Y18596" s="100"/>
    </row>
    <row r="18597">
      <c r="R18597" s="100"/>
      <c r="V18597" s="100"/>
      <c r="Y18597" s="100"/>
    </row>
    <row r="18598">
      <c r="R18598" s="100"/>
      <c r="V18598" s="100"/>
      <c r="Y18598" s="100"/>
    </row>
    <row r="18599">
      <c r="R18599" s="100"/>
      <c r="V18599" s="100"/>
      <c r="Y18599" s="100"/>
    </row>
    <row r="18600">
      <c r="R18600" s="100"/>
      <c r="V18600" s="100"/>
      <c r="Y18600" s="100"/>
    </row>
    <row r="18601">
      <c r="R18601" s="100"/>
      <c r="V18601" s="100"/>
      <c r="Y18601" s="100"/>
    </row>
    <row r="18602">
      <c r="R18602" s="100"/>
      <c r="V18602" s="100"/>
      <c r="Y18602" s="100"/>
    </row>
    <row r="18603">
      <c r="R18603" s="100"/>
      <c r="V18603" s="100"/>
      <c r="Y18603" s="100"/>
    </row>
    <row r="18604">
      <c r="R18604" s="100"/>
      <c r="V18604" s="100"/>
      <c r="Y18604" s="100"/>
    </row>
    <row r="18605">
      <c r="R18605" s="100"/>
      <c r="V18605" s="100"/>
      <c r="Y18605" s="100"/>
    </row>
    <row r="18606">
      <c r="R18606" s="100"/>
      <c r="V18606" s="100"/>
      <c r="Y18606" s="100"/>
    </row>
    <row r="18607">
      <c r="R18607" s="100"/>
      <c r="V18607" s="100"/>
      <c r="Y18607" s="100"/>
    </row>
    <row r="18608">
      <c r="R18608" s="100"/>
      <c r="V18608" s="100"/>
      <c r="Y18608" s="100"/>
    </row>
    <row r="18609">
      <c r="R18609" s="100"/>
      <c r="V18609" s="100"/>
      <c r="Y18609" s="100"/>
    </row>
    <row r="18610">
      <c r="R18610" s="100"/>
      <c r="V18610" s="100"/>
      <c r="Y18610" s="100"/>
    </row>
    <row r="18611">
      <c r="R18611" s="100"/>
      <c r="V18611" s="100"/>
      <c r="Y18611" s="100"/>
    </row>
    <row r="18612">
      <c r="R18612" s="100"/>
      <c r="V18612" s="100"/>
      <c r="Y18612" s="100"/>
    </row>
    <row r="18613">
      <c r="R18613" s="100"/>
      <c r="V18613" s="100"/>
      <c r="Y18613" s="100"/>
    </row>
    <row r="18614">
      <c r="R18614" s="100"/>
      <c r="V18614" s="100"/>
      <c r="Y18614" s="100"/>
    </row>
    <row r="18615">
      <c r="R18615" s="100"/>
      <c r="V18615" s="100"/>
      <c r="Y18615" s="100"/>
    </row>
    <row r="18616">
      <c r="R18616" s="100"/>
      <c r="V18616" s="100"/>
      <c r="Y18616" s="100"/>
    </row>
    <row r="18617">
      <c r="R18617" s="100"/>
      <c r="V18617" s="100"/>
      <c r="Y18617" s="100"/>
    </row>
    <row r="18618">
      <c r="R18618" s="100"/>
      <c r="V18618" s="100"/>
      <c r="Y18618" s="100"/>
    </row>
    <row r="18619">
      <c r="R18619" s="100"/>
      <c r="V18619" s="100"/>
      <c r="Y18619" s="100"/>
    </row>
    <row r="18620">
      <c r="R18620" s="100"/>
      <c r="V18620" s="100"/>
      <c r="Y18620" s="100"/>
    </row>
    <row r="18621">
      <c r="R18621" s="100"/>
      <c r="V18621" s="100"/>
      <c r="Y18621" s="100"/>
    </row>
    <row r="18622">
      <c r="R18622" s="100"/>
      <c r="V18622" s="100"/>
      <c r="Y18622" s="100"/>
    </row>
    <row r="18623">
      <c r="R18623" s="100"/>
      <c r="V18623" s="100"/>
      <c r="Y18623" s="100"/>
    </row>
    <row r="18624">
      <c r="R18624" s="100"/>
      <c r="V18624" s="100"/>
      <c r="Y18624" s="100"/>
    </row>
    <row r="18625">
      <c r="R18625" s="100"/>
      <c r="V18625" s="100"/>
      <c r="Y18625" s="100"/>
    </row>
    <row r="18626">
      <c r="R18626" s="100"/>
      <c r="V18626" s="100"/>
      <c r="Y18626" s="100"/>
    </row>
    <row r="18627">
      <c r="R18627" s="100"/>
      <c r="V18627" s="100"/>
      <c r="Y18627" s="100"/>
    </row>
    <row r="18628">
      <c r="R18628" s="100"/>
      <c r="V18628" s="100"/>
      <c r="Y18628" s="100"/>
    </row>
    <row r="18629">
      <c r="R18629" s="100"/>
      <c r="V18629" s="100"/>
      <c r="Y18629" s="100"/>
    </row>
    <row r="18630">
      <c r="R18630" s="100"/>
      <c r="V18630" s="100"/>
      <c r="Y18630" s="100"/>
    </row>
    <row r="18631">
      <c r="R18631" s="100"/>
      <c r="V18631" s="100"/>
      <c r="Y18631" s="100"/>
    </row>
    <row r="18632">
      <c r="R18632" s="100"/>
      <c r="V18632" s="100"/>
      <c r="Y18632" s="100"/>
    </row>
    <row r="18633">
      <c r="R18633" s="100"/>
      <c r="V18633" s="100"/>
      <c r="Y18633" s="100"/>
    </row>
    <row r="18634">
      <c r="R18634" s="100"/>
      <c r="V18634" s="100"/>
      <c r="Y18634" s="100"/>
    </row>
    <row r="18635">
      <c r="R18635" s="100"/>
      <c r="V18635" s="100"/>
      <c r="Y18635" s="100"/>
    </row>
    <row r="18636">
      <c r="R18636" s="100"/>
      <c r="V18636" s="100"/>
      <c r="Y18636" s="100"/>
    </row>
    <row r="18637">
      <c r="R18637" s="100"/>
      <c r="V18637" s="100"/>
      <c r="Y18637" s="100"/>
    </row>
    <row r="18638">
      <c r="R18638" s="100"/>
      <c r="V18638" s="100"/>
      <c r="Y18638" s="100"/>
    </row>
    <row r="18639">
      <c r="R18639" s="100"/>
      <c r="V18639" s="100"/>
      <c r="Y18639" s="100"/>
    </row>
    <row r="18640">
      <c r="R18640" s="100"/>
      <c r="V18640" s="100"/>
      <c r="Y18640" s="100"/>
    </row>
    <row r="18641">
      <c r="R18641" s="100"/>
      <c r="V18641" s="100"/>
      <c r="Y18641" s="100"/>
    </row>
    <row r="18642">
      <c r="R18642" s="100"/>
      <c r="V18642" s="100"/>
      <c r="Y18642" s="100"/>
    </row>
    <row r="18643">
      <c r="R18643" s="100"/>
      <c r="V18643" s="100"/>
      <c r="Y18643" s="100"/>
    </row>
    <row r="18644">
      <c r="R18644" s="100"/>
      <c r="V18644" s="100"/>
      <c r="Y18644" s="100"/>
    </row>
    <row r="18645">
      <c r="R18645" s="100"/>
      <c r="V18645" s="100"/>
      <c r="Y18645" s="100"/>
    </row>
    <row r="18646">
      <c r="R18646" s="100"/>
      <c r="V18646" s="100"/>
      <c r="Y18646" s="100"/>
    </row>
    <row r="18647">
      <c r="R18647" s="100"/>
      <c r="V18647" s="100"/>
      <c r="Y18647" s="100"/>
    </row>
    <row r="18648">
      <c r="R18648" s="100"/>
      <c r="V18648" s="100"/>
      <c r="Y18648" s="100"/>
    </row>
    <row r="18649">
      <c r="R18649" s="100"/>
      <c r="V18649" s="100"/>
      <c r="Y18649" s="100"/>
    </row>
    <row r="18650">
      <c r="R18650" s="100"/>
      <c r="V18650" s="100"/>
      <c r="Y18650" s="100"/>
    </row>
    <row r="18651">
      <c r="R18651" s="100"/>
      <c r="V18651" s="100"/>
      <c r="Y18651" s="100"/>
    </row>
    <row r="18652">
      <c r="R18652" s="100"/>
      <c r="V18652" s="100"/>
      <c r="Y18652" s="100"/>
    </row>
    <row r="18653">
      <c r="R18653" s="100"/>
      <c r="V18653" s="100"/>
      <c r="Y18653" s="100"/>
    </row>
    <row r="18654">
      <c r="R18654" s="100"/>
      <c r="V18654" s="100"/>
      <c r="Y18654" s="100"/>
    </row>
    <row r="18655">
      <c r="R18655" s="100"/>
      <c r="V18655" s="100"/>
      <c r="Y18655" s="100"/>
    </row>
    <row r="18656">
      <c r="R18656" s="100"/>
      <c r="V18656" s="100"/>
      <c r="Y18656" s="100"/>
    </row>
    <row r="18657">
      <c r="R18657" s="100"/>
      <c r="V18657" s="100"/>
      <c r="Y18657" s="100"/>
    </row>
    <row r="18658">
      <c r="R18658" s="100"/>
      <c r="V18658" s="100"/>
      <c r="Y18658" s="100"/>
    </row>
    <row r="18659">
      <c r="R18659" s="100"/>
      <c r="V18659" s="100"/>
      <c r="Y18659" s="100"/>
    </row>
    <row r="18660">
      <c r="R18660" s="100"/>
      <c r="V18660" s="100"/>
      <c r="Y18660" s="100"/>
    </row>
    <row r="18661">
      <c r="R18661" s="100"/>
      <c r="V18661" s="100"/>
      <c r="Y18661" s="100"/>
    </row>
    <row r="18662">
      <c r="R18662" s="100"/>
      <c r="V18662" s="100"/>
      <c r="Y18662" s="100"/>
    </row>
    <row r="18663">
      <c r="R18663" s="100"/>
      <c r="V18663" s="100"/>
      <c r="Y18663" s="100"/>
    </row>
    <row r="18664">
      <c r="R18664" s="100"/>
      <c r="V18664" s="100"/>
      <c r="Y18664" s="100"/>
    </row>
    <row r="18665">
      <c r="R18665" s="100"/>
      <c r="V18665" s="100"/>
      <c r="Y18665" s="100"/>
    </row>
    <row r="18666">
      <c r="R18666" s="100"/>
      <c r="V18666" s="100"/>
      <c r="Y18666" s="100"/>
    </row>
    <row r="18667">
      <c r="R18667" s="100"/>
      <c r="V18667" s="100"/>
      <c r="Y18667" s="100"/>
    </row>
    <row r="18668">
      <c r="R18668" s="100"/>
      <c r="V18668" s="100"/>
      <c r="Y18668" s="100"/>
    </row>
    <row r="18669">
      <c r="R18669" s="100"/>
      <c r="V18669" s="100"/>
      <c r="Y18669" s="100"/>
    </row>
    <row r="18670">
      <c r="R18670" s="100"/>
      <c r="V18670" s="100"/>
      <c r="Y18670" s="100"/>
    </row>
    <row r="18671">
      <c r="R18671" s="100"/>
      <c r="V18671" s="100"/>
      <c r="Y18671" s="100"/>
    </row>
    <row r="18672">
      <c r="R18672" s="100"/>
      <c r="V18672" s="100"/>
      <c r="Y18672" s="100"/>
    </row>
    <row r="18673">
      <c r="R18673" s="100"/>
      <c r="V18673" s="100"/>
      <c r="Y18673" s="100"/>
    </row>
    <row r="18674">
      <c r="R18674" s="100"/>
      <c r="V18674" s="100"/>
      <c r="Y18674" s="100"/>
    </row>
    <row r="18675">
      <c r="R18675" s="100"/>
      <c r="V18675" s="100"/>
      <c r="Y18675" s="100"/>
    </row>
    <row r="18676">
      <c r="R18676" s="100"/>
      <c r="V18676" s="100"/>
      <c r="Y18676" s="100"/>
    </row>
    <row r="18677">
      <c r="R18677" s="100"/>
      <c r="V18677" s="100"/>
      <c r="Y18677" s="100"/>
    </row>
    <row r="18678">
      <c r="R18678" s="100"/>
      <c r="V18678" s="100"/>
      <c r="Y18678" s="100"/>
    </row>
    <row r="18679">
      <c r="R18679" s="100"/>
      <c r="V18679" s="100"/>
      <c r="Y18679" s="100"/>
    </row>
    <row r="18680">
      <c r="R18680" s="100"/>
      <c r="V18680" s="100"/>
      <c r="Y18680" s="100"/>
    </row>
    <row r="18681">
      <c r="R18681" s="100"/>
      <c r="V18681" s="100"/>
      <c r="Y18681" s="100"/>
    </row>
    <row r="18682">
      <c r="R18682" s="100"/>
      <c r="V18682" s="100"/>
      <c r="Y18682" s="100"/>
    </row>
    <row r="18683">
      <c r="R18683" s="100"/>
      <c r="V18683" s="100"/>
      <c r="Y18683" s="100"/>
    </row>
    <row r="18684">
      <c r="R18684" s="100"/>
      <c r="V18684" s="100"/>
      <c r="Y18684" s="100"/>
    </row>
    <row r="18685">
      <c r="R18685" s="100"/>
      <c r="V18685" s="100"/>
      <c r="Y18685" s="100"/>
    </row>
    <row r="18686">
      <c r="R18686" s="100"/>
      <c r="V18686" s="100"/>
      <c r="Y18686" s="100"/>
    </row>
    <row r="18687">
      <c r="R18687" s="100"/>
      <c r="V18687" s="100"/>
      <c r="Y18687" s="100"/>
    </row>
    <row r="18688">
      <c r="R18688" s="100"/>
      <c r="V18688" s="100"/>
      <c r="Y18688" s="100"/>
    </row>
    <row r="18689">
      <c r="R18689" s="100"/>
      <c r="V18689" s="100"/>
      <c r="Y18689" s="100"/>
    </row>
    <row r="18690">
      <c r="R18690" s="100"/>
      <c r="V18690" s="100"/>
      <c r="Y18690" s="100"/>
    </row>
    <row r="18691">
      <c r="R18691" s="100"/>
      <c r="V18691" s="100"/>
      <c r="Y18691" s="100"/>
    </row>
    <row r="18692">
      <c r="R18692" s="100"/>
      <c r="V18692" s="100"/>
      <c r="Y18692" s="100"/>
    </row>
    <row r="18693">
      <c r="R18693" s="100"/>
      <c r="V18693" s="100"/>
      <c r="Y18693" s="100"/>
    </row>
    <row r="18694">
      <c r="R18694" s="100"/>
      <c r="V18694" s="100"/>
      <c r="Y18694" s="100"/>
    </row>
    <row r="18695">
      <c r="R18695" s="100"/>
      <c r="V18695" s="100"/>
      <c r="Y18695" s="100"/>
    </row>
    <row r="18696">
      <c r="R18696" s="100"/>
      <c r="V18696" s="100"/>
      <c r="Y18696" s="100"/>
    </row>
    <row r="18697">
      <c r="R18697" s="100"/>
      <c r="V18697" s="100"/>
      <c r="Y18697" s="100"/>
    </row>
    <row r="18698">
      <c r="R18698" s="100"/>
      <c r="V18698" s="100"/>
      <c r="Y18698" s="100"/>
    </row>
    <row r="18699">
      <c r="R18699" s="100"/>
      <c r="V18699" s="100"/>
      <c r="Y18699" s="100"/>
    </row>
    <row r="18700">
      <c r="R18700" s="100"/>
      <c r="V18700" s="100"/>
      <c r="Y18700" s="100"/>
    </row>
    <row r="18701">
      <c r="R18701" s="100"/>
      <c r="V18701" s="100"/>
      <c r="Y18701" s="100"/>
    </row>
    <row r="18702">
      <c r="R18702" s="100"/>
      <c r="V18702" s="100"/>
      <c r="Y18702" s="100"/>
    </row>
    <row r="18703">
      <c r="R18703" s="100"/>
      <c r="V18703" s="100"/>
      <c r="Y18703" s="100"/>
    </row>
    <row r="18704">
      <c r="R18704" s="100"/>
      <c r="V18704" s="100"/>
      <c r="Y18704" s="100"/>
    </row>
    <row r="18705">
      <c r="R18705" s="100"/>
      <c r="V18705" s="100"/>
      <c r="Y18705" s="100"/>
    </row>
    <row r="18706">
      <c r="R18706" s="100"/>
      <c r="V18706" s="100"/>
      <c r="Y18706" s="100"/>
    </row>
    <row r="18707">
      <c r="R18707" s="100"/>
      <c r="V18707" s="100"/>
      <c r="Y18707" s="100"/>
    </row>
    <row r="18708">
      <c r="R18708" s="100"/>
      <c r="V18708" s="100"/>
      <c r="Y18708" s="100"/>
    </row>
    <row r="18709">
      <c r="R18709" s="100"/>
      <c r="V18709" s="100"/>
      <c r="Y18709" s="100"/>
    </row>
    <row r="18710">
      <c r="R18710" s="100"/>
      <c r="V18710" s="100"/>
      <c r="Y18710" s="100"/>
    </row>
    <row r="18711">
      <c r="R18711" s="100"/>
      <c r="V18711" s="100"/>
      <c r="Y18711" s="100"/>
    </row>
    <row r="18712">
      <c r="R18712" s="100"/>
      <c r="V18712" s="100"/>
      <c r="Y18712" s="100"/>
    </row>
    <row r="18713">
      <c r="R18713" s="100"/>
      <c r="V18713" s="100"/>
      <c r="Y18713" s="100"/>
    </row>
    <row r="18714">
      <c r="R18714" s="100"/>
      <c r="V18714" s="100"/>
      <c r="Y18714" s="100"/>
    </row>
    <row r="18715">
      <c r="R18715" s="100"/>
      <c r="V18715" s="100"/>
      <c r="Y18715" s="100"/>
    </row>
    <row r="18716">
      <c r="R18716" s="100"/>
      <c r="V18716" s="100"/>
      <c r="Y18716" s="100"/>
    </row>
    <row r="18717">
      <c r="R18717" s="100"/>
      <c r="V18717" s="100"/>
      <c r="Y18717" s="100"/>
    </row>
    <row r="18718">
      <c r="R18718" s="100"/>
      <c r="V18718" s="100"/>
      <c r="Y18718" s="100"/>
    </row>
    <row r="18719">
      <c r="R18719" s="100"/>
      <c r="V18719" s="100"/>
      <c r="Y18719" s="100"/>
    </row>
    <row r="18720">
      <c r="R18720" s="100"/>
      <c r="V18720" s="100"/>
      <c r="Y18720" s="100"/>
    </row>
    <row r="18721">
      <c r="R18721" s="100"/>
      <c r="V18721" s="100"/>
      <c r="Y18721" s="100"/>
    </row>
    <row r="18722">
      <c r="R18722" s="100"/>
      <c r="V18722" s="100"/>
      <c r="Y18722" s="100"/>
    </row>
    <row r="18723">
      <c r="R18723" s="100"/>
      <c r="V18723" s="100"/>
      <c r="Y18723" s="100"/>
    </row>
    <row r="18724">
      <c r="R18724" s="100"/>
      <c r="V18724" s="100"/>
      <c r="Y18724" s="100"/>
    </row>
    <row r="18725">
      <c r="R18725" s="100"/>
      <c r="V18725" s="100"/>
      <c r="Y18725" s="100"/>
    </row>
    <row r="18726">
      <c r="R18726" s="100"/>
      <c r="V18726" s="100"/>
      <c r="Y18726" s="100"/>
    </row>
    <row r="18727">
      <c r="R18727" s="100"/>
      <c r="V18727" s="100"/>
      <c r="Y18727" s="100"/>
    </row>
    <row r="18728">
      <c r="R18728" s="100"/>
      <c r="V18728" s="100"/>
      <c r="Y18728" s="100"/>
    </row>
    <row r="18729">
      <c r="R18729" s="100"/>
      <c r="V18729" s="100"/>
      <c r="Y18729" s="100"/>
    </row>
    <row r="18730">
      <c r="R18730" s="100"/>
      <c r="V18730" s="100"/>
      <c r="Y18730" s="100"/>
    </row>
    <row r="18731">
      <c r="R18731" s="100"/>
      <c r="V18731" s="100"/>
      <c r="Y18731" s="100"/>
    </row>
    <row r="18732">
      <c r="R18732" s="100"/>
      <c r="V18732" s="100"/>
      <c r="Y18732" s="100"/>
    </row>
    <row r="18733">
      <c r="R18733" s="100"/>
      <c r="V18733" s="100"/>
      <c r="Y18733" s="100"/>
    </row>
    <row r="18734">
      <c r="R18734" s="100"/>
      <c r="V18734" s="100"/>
      <c r="Y18734" s="100"/>
    </row>
    <row r="18735">
      <c r="R18735" s="100"/>
      <c r="V18735" s="100"/>
      <c r="Y18735" s="100"/>
    </row>
    <row r="18736">
      <c r="R18736" s="100"/>
      <c r="V18736" s="100"/>
      <c r="Y18736" s="100"/>
    </row>
    <row r="18737">
      <c r="R18737" s="100"/>
      <c r="V18737" s="100"/>
      <c r="Y18737" s="100"/>
    </row>
    <row r="18738">
      <c r="R18738" s="100"/>
      <c r="V18738" s="100"/>
      <c r="Y18738" s="100"/>
    </row>
    <row r="18739">
      <c r="R18739" s="100"/>
      <c r="V18739" s="100"/>
      <c r="Y18739" s="100"/>
    </row>
    <row r="18740">
      <c r="R18740" s="100"/>
      <c r="V18740" s="100"/>
      <c r="Y18740" s="100"/>
    </row>
    <row r="18741">
      <c r="R18741" s="100"/>
      <c r="V18741" s="100"/>
      <c r="Y18741" s="100"/>
    </row>
    <row r="18742">
      <c r="R18742" s="100"/>
      <c r="V18742" s="100"/>
      <c r="Y18742" s="100"/>
    </row>
    <row r="18743">
      <c r="R18743" s="100"/>
      <c r="V18743" s="100"/>
      <c r="Y18743" s="100"/>
    </row>
    <row r="18744">
      <c r="R18744" s="100"/>
      <c r="V18744" s="100"/>
      <c r="Y18744" s="100"/>
    </row>
    <row r="18745">
      <c r="R18745" s="100"/>
      <c r="V18745" s="100"/>
      <c r="Y18745" s="100"/>
    </row>
    <row r="18746">
      <c r="R18746" s="100"/>
      <c r="V18746" s="100"/>
      <c r="Y18746" s="100"/>
    </row>
    <row r="18747">
      <c r="R18747" s="100"/>
      <c r="V18747" s="100"/>
      <c r="Y18747" s="100"/>
    </row>
    <row r="18748">
      <c r="R18748" s="100"/>
      <c r="V18748" s="100"/>
      <c r="Y18748" s="100"/>
    </row>
    <row r="18749">
      <c r="R18749" s="100"/>
      <c r="V18749" s="100"/>
      <c r="Y18749" s="100"/>
    </row>
    <row r="18750">
      <c r="R18750" s="100"/>
      <c r="V18750" s="100"/>
      <c r="Y18750" s="100"/>
    </row>
    <row r="18751">
      <c r="R18751" s="100"/>
      <c r="V18751" s="100"/>
      <c r="Y18751" s="100"/>
    </row>
    <row r="18752">
      <c r="R18752" s="100"/>
      <c r="V18752" s="100"/>
      <c r="Y18752" s="100"/>
    </row>
    <row r="18753">
      <c r="R18753" s="100"/>
      <c r="V18753" s="100"/>
      <c r="Y18753" s="100"/>
    </row>
    <row r="18754">
      <c r="R18754" s="100"/>
      <c r="V18754" s="100"/>
      <c r="Y18754" s="100"/>
    </row>
    <row r="18755">
      <c r="R18755" s="100"/>
      <c r="V18755" s="100"/>
      <c r="Y18755" s="100"/>
    </row>
    <row r="18756">
      <c r="R18756" s="100"/>
      <c r="V18756" s="100"/>
      <c r="Y18756" s="100"/>
    </row>
    <row r="18757">
      <c r="R18757" s="100"/>
      <c r="V18757" s="100"/>
      <c r="Y18757" s="100"/>
    </row>
    <row r="18758">
      <c r="R18758" s="100"/>
      <c r="V18758" s="100"/>
      <c r="Y18758" s="100"/>
    </row>
    <row r="18759">
      <c r="R18759" s="100"/>
      <c r="V18759" s="100"/>
      <c r="Y18759" s="100"/>
    </row>
    <row r="18760">
      <c r="R18760" s="100"/>
      <c r="V18760" s="100"/>
      <c r="Y18760" s="100"/>
    </row>
    <row r="18761">
      <c r="R18761" s="100"/>
      <c r="V18761" s="100"/>
      <c r="Y18761" s="100"/>
    </row>
    <row r="18762">
      <c r="R18762" s="100"/>
      <c r="V18762" s="100"/>
      <c r="Y18762" s="100"/>
    </row>
    <row r="18763">
      <c r="R18763" s="100"/>
      <c r="V18763" s="100"/>
      <c r="Y18763" s="100"/>
    </row>
    <row r="18764">
      <c r="R18764" s="100"/>
      <c r="V18764" s="100"/>
      <c r="Y18764" s="100"/>
    </row>
    <row r="18765">
      <c r="R18765" s="100"/>
      <c r="V18765" s="100"/>
      <c r="Y18765" s="100"/>
    </row>
    <row r="18766">
      <c r="R18766" s="100"/>
      <c r="V18766" s="100"/>
      <c r="Y18766" s="100"/>
    </row>
    <row r="18767">
      <c r="R18767" s="100"/>
      <c r="V18767" s="100"/>
      <c r="Y18767" s="100"/>
    </row>
    <row r="18768">
      <c r="R18768" s="100"/>
      <c r="V18768" s="100"/>
      <c r="Y18768" s="100"/>
    </row>
    <row r="18769">
      <c r="R18769" s="100"/>
      <c r="V18769" s="100"/>
      <c r="Y18769" s="100"/>
    </row>
    <row r="18770">
      <c r="R18770" s="100"/>
      <c r="V18770" s="100"/>
      <c r="Y18770" s="100"/>
    </row>
    <row r="18771">
      <c r="R18771" s="100"/>
      <c r="V18771" s="100"/>
      <c r="Y18771" s="100"/>
    </row>
    <row r="18772">
      <c r="R18772" s="100"/>
      <c r="V18772" s="100"/>
      <c r="Y18772" s="100"/>
    </row>
    <row r="18773">
      <c r="R18773" s="100"/>
      <c r="V18773" s="100"/>
      <c r="Y18773" s="100"/>
    </row>
    <row r="18774">
      <c r="R18774" s="100"/>
      <c r="V18774" s="100"/>
      <c r="Y18774" s="100"/>
    </row>
    <row r="18775">
      <c r="R18775" s="100"/>
      <c r="V18775" s="100"/>
      <c r="Y18775" s="100"/>
    </row>
    <row r="18776">
      <c r="R18776" s="100"/>
      <c r="V18776" s="100"/>
      <c r="Y18776" s="100"/>
    </row>
    <row r="18777">
      <c r="R18777" s="100"/>
      <c r="V18777" s="100"/>
      <c r="Y18777" s="100"/>
    </row>
    <row r="18778">
      <c r="R18778" s="100"/>
      <c r="V18778" s="100"/>
      <c r="Y18778" s="100"/>
    </row>
    <row r="18779">
      <c r="R18779" s="100"/>
      <c r="V18779" s="100"/>
      <c r="Y18779" s="100"/>
    </row>
    <row r="18780">
      <c r="R18780" s="100"/>
      <c r="V18780" s="100"/>
      <c r="Y18780" s="100"/>
    </row>
    <row r="18781">
      <c r="R18781" s="100"/>
      <c r="V18781" s="100"/>
      <c r="Y18781" s="100"/>
    </row>
    <row r="18782">
      <c r="R18782" s="100"/>
      <c r="V18782" s="100"/>
      <c r="Y18782" s="100"/>
    </row>
    <row r="18783">
      <c r="R18783" s="100"/>
      <c r="V18783" s="100"/>
      <c r="Y18783" s="100"/>
    </row>
    <row r="18784">
      <c r="R18784" s="100"/>
      <c r="V18784" s="100"/>
      <c r="Y18784" s="100"/>
    </row>
    <row r="18785">
      <c r="R18785" s="100"/>
      <c r="V18785" s="100"/>
      <c r="Y18785" s="100"/>
    </row>
    <row r="18786">
      <c r="R18786" s="100"/>
      <c r="V18786" s="100"/>
      <c r="Y18786" s="100"/>
    </row>
    <row r="18787">
      <c r="R18787" s="100"/>
      <c r="V18787" s="100"/>
      <c r="Y18787" s="100"/>
    </row>
    <row r="18788">
      <c r="R18788" s="100"/>
      <c r="V18788" s="100"/>
      <c r="Y18788" s="100"/>
    </row>
    <row r="18789">
      <c r="R18789" s="100"/>
      <c r="V18789" s="100"/>
      <c r="Y18789" s="100"/>
    </row>
    <row r="18790">
      <c r="R18790" s="100"/>
      <c r="V18790" s="100"/>
      <c r="Y18790" s="100"/>
    </row>
    <row r="18791">
      <c r="R18791" s="100"/>
      <c r="V18791" s="100"/>
      <c r="Y18791" s="100"/>
    </row>
    <row r="18792">
      <c r="R18792" s="100"/>
      <c r="V18792" s="100"/>
      <c r="Y18792" s="100"/>
    </row>
    <row r="18793">
      <c r="R18793" s="100"/>
      <c r="V18793" s="100"/>
      <c r="Y18793" s="100"/>
    </row>
    <row r="18794">
      <c r="R18794" s="100"/>
      <c r="V18794" s="100"/>
      <c r="Y18794" s="100"/>
    </row>
    <row r="18795">
      <c r="R18795" s="100"/>
      <c r="V18795" s="100"/>
      <c r="Y18795" s="100"/>
    </row>
    <row r="18796">
      <c r="R18796" s="100"/>
      <c r="V18796" s="100"/>
      <c r="Y18796" s="100"/>
    </row>
    <row r="18797">
      <c r="R18797" s="100"/>
      <c r="V18797" s="100"/>
      <c r="Y18797" s="100"/>
    </row>
    <row r="18798">
      <c r="R18798" s="100"/>
      <c r="V18798" s="100"/>
      <c r="Y18798" s="100"/>
    </row>
    <row r="18799">
      <c r="R18799" s="100"/>
      <c r="V18799" s="100"/>
      <c r="Y18799" s="100"/>
    </row>
    <row r="18800">
      <c r="R18800" s="100"/>
      <c r="V18800" s="100"/>
      <c r="Y18800" s="100"/>
    </row>
    <row r="18801">
      <c r="R18801" s="100"/>
      <c r="V18801" s="100"/>
      <c r="Y18801" s="100"/>
    </row>
    <row r="18802">
      <c r="R18802" s="100"/>
      <c r="V18802" s="100"/>
      <c r="Y18802" s="100"/>
    </row>
    <row r="18803">
      <c r="R18803" s="100"/>
      <c r="V18803" s="100"/>
      <c r="Y18803" s="100"/>
    </row>
    <row r="18804">
      <c r="R18804" s="100"/>
      <c r="V18804" s="100"/>
      <c r="Y18804" s="100"/>
    </row>
    <row r="18805">
      <c r="R18805" s="100"/>
      <c r="V18805" s="100"/>
      <c r="Y18805" s="100"/>
    </row>
    <row r="18806">
      <c r="R18806" s="100"/>
      <c r="V18806" s="100"/>
      <c r="Y18806" s="100"/>
    </row>
    <row r="18807">
      <c r="R18807" s="100"/>
      <c r="V18807" s="100"/>
      <c r="Y18807" s="100"/>
    </row>
    <row r="18808">
      <c r="R18808" s="100"/>
      <c r="V18808" s="100"/>
      <c r="Y18808" s="100"/>
    </row>
    <row r="18809">
      <c r="R18809" s="100"/>
      <c r="V18809" s="100"/>
      <c r="Y18809" s="100"/>
    </row>
    <row r="18810">
      <c r="R18810" s="100"/>
      <c r="V18810" s="100"/>
      <c r="Y18810" s="100"/>
    </row>
    <row r="18811">
      <c r="R18811" s="100"/>
      <c r="V18811" s="100"/>
      <c r="Y18811" s="100"/>
    </row>
    <row r="18812">
      <c r="R18812" s="100"/>
      <c r="V18812" s="100"/>
      <c r="Y18812" s="100"/>
    </row>
    <row r="18813">
      <c r="R18813" s="100"/>
      <c r="V18813" s="100"/>
      <c r="Y18813" s="100"/>
    </row>
    <row r="18814">
      <c r="R18814" s="100"/>
      <c r="V18814" s="100"/>
      <c r="Y18814" s="100"/>
    </row>
    <row r="18815">
      <c r="R18815" s="100"/>
      <c r="V18815" s="100"/>
      <c r="Y18815" s="100"/>
    </row>
    <row r="18816">
      <c r="R18816" s="100"/>
      <c r="V18816" s="100"/>
      <c r="Y18816" s="100"/>
    </row>
    <row r="18817">
      <c r="R18817" s="100"/>
      <c r="V18817" s="100"/>
      <c r="Y18817" s="100"/>
    </row>
    <row r="18818">
      <c r="R18818" s="100"/>
      <c r="V18818" s="100"/>
      <c r="Y18818" s="100"/>
    </row>
    <row r="18819">
      <c r="R18819" s="100"/>
      <c r="V18819" s="100"/>
      <c r="Y18819" s="100"/>
    </row>
    <row r="18820">
      <c r="R18820" s="100"/>
      <c r="V18820" s="100"/>
      <c r="Y18820" s="100"/>
    </row>
    <row r="18821">
      <c r="R18821" s="100"/>
      <c r="V18821" s="100"/>
      <c r="Y18821" s="100"/>
    </row>
    <row r="18822">
      <c r="R18822" s="100"/>
      <c r="V18822" s="100"/>
      <c r="Y18822" s="100"/>
    </row>
    <row r="18823">
      <c r="R18823" s="100"/>
      <c r="V18823" s="100"/>
      <c r="Y18823" s="100"/>
    </row>
    <row r="18824">
      <c r="R18824" s="100"/>
      <c r="V18824" s="100"/>
      <c r="Y18824" s="100"/>
    </row>
    <row r="18825">
      <c r="R18825" s="100"/>
      <c r="V18825" s="100"/>
      <c r="Y18825" s="100"/>
    </row>
    <row r="18826">
      <c r="R18826" s="100"/>
      <c r="V18826" s="100"/>
      <c r="Y18826" s="100"/>
    </row>
    <row r="18827">
      <c r="R18827" s="100"/>
      <c r="V18827" s="100"/>
      <c r="Y18827" s="100"/>
    </row>
    <row r="18828">
      <c r="R18828" s="100"/>
      <c r="V18828" s="100"/>
      <c r="Y18828" s="100"/>
    </row>
    <row r="18829">
      <c r="R18829" s="100"/>
      <c r="V18829" s="100"/>
      <c r="Y18829" s="100"/>
    </row>
    <row r="18830">
      <c r="R18830" s="100"/>
      <c r="V18830" s="100"/>
      <c r="Y18830" s="100"/>
    </row>
    <row r="18831">
      <c r="R18831" s="100"/>
      <c r="V18831" s="100"/>
      <c r="Y18831" s="100"/>
    </row>
    <row r="18832">
      <c r="R18832" s="100"/>
      <c r="V18832" s="100"/>
      <c r="Y18832" s="100"/>
    </row>
    <row r="18833">
      <c r="R18833" s="100"/>
      <c r="V18833" s="100"/>
      <c r="Y18833" s="100"/>
    </row>
    <row r="18834">
      <c r="R18834" s="100"/>
      <c r="V18834" s="100"/>
      <c r="Y18834" s="100"/>
    </row>
    <row r="18835">
      <c r="R18835" s="100"/>
      <c r="V18835" s="100"/>
      <c r="Y18835" s="100"/>
    </row>
    <row r="18836">
      <c r="R18836" s="100"/>
      <c r="V18836" s="100"/>
      <c r="Y18836" s="100"/>
    </row>
    <row r="18837">
      <c r="R18837" s="100"/>
      <c r="V18837" s="100"/>
      <c r="Y18837" s="100"/>
    </row>
    <row r="18838">
      <c r="R18838" s="100"/>
      <c r="V18838" s="100"/>
      <c r="Y18838" s="100"/>
    </row>
    <row r="18839">
      <c r="R18839" s="100"/>
      <c r="V18839" s="100"/>
      <c r="Y18839" s="100"/>
    </row>
    <row r="18840">
      <c r="R18840" s="100"/>
      <c r="V18840" s="100"/>
      <c r="Y18840" s="100"/>
    </row>
    <row r="18841">
      <c r="R18841" s="100"/>
      <c r="V18841" s="100"/>
      <c r="Y18841" s="100"/>
    </row>
    <row r="18842">
      <c r="R18842" s="100"/>
      <c r="V18842" s="100"/>
      <c r="Y18842" s="100"/>
    </row>
    <row r="18843">
      <c r="R18843" s="100"/>
      <c r="V18843" s="100"/>
      <c r="Y18843" s="100"/>
    </row>
    <row r="18844">
      <c r="R18844" s="100"/>
      <c r="V18844" s="100"/>
      <c r="Y18844" s="100"/>
    </row>
    <row r="18845">
      <c r="R18845" s="100"/>
      <c r="V18845" s="100"/>
      <c r="Y18845" s="100"/>
    </row>
    <row r="18846">
      <c r="R18846" s="100"/>
      <c r="V18846" s="100"/>
      <c r="Y18846" s="100"/>
    </row>
    <row r="18847">
      <c r="R18847" s="100"/>
      <c r="V18847" s="100"/>
      <c r="Y18847" s="100"/>
    </row>
    <row r="18848">
      <c r="R18848" s="100"/>
      <c r="V18848" s="100"/>
      <c r="Y18848" s="100"/>
    </row>
    <row r="18849">
      <c r="R18849" s="100"/>
      <c r="V18849" s="100"/>
      <c r="Y18849" s="100"/>
    </row>
    <row r="18850">
      <c r="R18850" s="100"/>
      <c r="V18850" s="100"/>
      <c r="Y18850" s="100"/>
    </row>
    <row r="18851">
      <c r="R18851" s="100"/>
      <c r="V18851" s="100"/>
      <c r="Y18851" s="100"/>
    </row>
    <row r="18852">
      <c r="R18852" s="100"/>
      <c r="V18852" s="100"/>
      <c r="Y18852" s="100"/>
    </row>
    <row r="18853">
      <c r="R18853" s="100"/>
      <c r="V18853" s="100"/>
      <c r="Y18853" s="100"/>
    </row>
    <row r="18854">
      <c r="R18854" s="100"/>
      <c r="V18854" s="100"/>
      <c r="Y18854" s="100"/>
    </row>
    <row r="18855">
      <c r="R18855" s="100"/>
      <c r="V18855" s="100"/>
      <c r="Y18855" s="100"/>
    </row>
    <row r="18856">
      <c r="R18856" s="100"/>
      <c r="V18856" s="100"/>
      <c r="Y18856" s="100"/>
    </row>
    <row r="18857">
      <c r="R18857" s="100"/>
      <c r="V18857" s="100"/>
      <c r="Y18857" s="100"/>
    </row>
    <row r="18858">
      <c r="R18858" s="100"/>
      <c r="V18858" s="100"/>
      <c r="Y18858" s="100"/>
    </row>
    <row r="18859">
      <c r="R18859" s="100"/>
      <c r="V18859" s="100"/>
      <c r="Y18859" s="100"/>
    </row>
    <row r="18860">
      <c r="R18860" s="100"/>
      <c r="V18860" s="100"/>
      <c r="Y18860" s="100"/>
    </row>
    <row r="18861">
      <c r="R18861" s="100"/>
      <c r="V18861" s="100"/>
      <c r="Y18861" s="100"/>
    </row>
    <row r="18862">
      <c r="R18862" s="100"/>
      <c r="V18862" s="100"/>
      <c r="Y18862" s="100"/>
    </row>
    <row r="18863">
      <c r="R18863" s="100"/>
      <c r="V18863" s="100"/>
      <c r="Y18863" s="100"/>
    </row>
    <row r="18864">
      <c r="R18864" s="100"/>
      <c r="V18864" s="100"/>
      <c r="Y18864" s="100"/>
    </row>
    <row r="18865">
      <c r="R18865" s="100"/>
      <c r="V18865" s="100"/>
      <c r="Y18865" s="100"/>
    </row>
    <row r="18866">
      <c r="R18866" s="100"/>
      <c r="V18866" s="100"/>
      <c r="Y18866" s="100"/>
    </row>
    <row r="18867">
      <c r="R18867" s="100"/>
      <c r="V18867" s="100"/>
      <c r="Y18867" s="100"/>
    </row>
    <row r="18868">
      <c r="R18868" s="100"/>
      <c r="V18868" s="100"/>
      <c r="Y18868" s="100"/>
    </row>
    <row r="18869">
      <c r="R18869" s="100"/>
      <c r="V18869" s="100"/>
      <c r="Y18869" s="100"/>
    </row>
    <row r="18870">
      <c r="R18870" s="100"/>
      <c r="V18870" s="100"/>
      <c r="Y18870" s="100"/>
    </row>
    <row r="18871">
      <c r="R18871" s="100"/>
      <c r="V18871" s="100"/>
      <c r="Y18871" s="100"/>
    </row>
    <row r="18872">
      <c r="R18872" s="100"/>
      <c r="V18872" s="100"/>
      <c r="Y18872" s="100"/>
    </row>
    <row r="18873">
      <c r="R18873" s="100"/>
      <c r="V18873" s="100"/>
      <c r="Y18873" s="100"/>
    </row>
    <row r="18874">
      <c r="R18874" s="100"/>
      <c r="V18874" s="100"/>
      <c r="Y18874" s="100"/>
    </row>
    <row r="18875">
      <c r="R18875" s="100"/>
      <c r="V18875" s="100"/>
      <c r="Y18875" s="100"/>
    </row>
    <row r="18876">
      <c r="R18876" s="100"/>
      <c r="V18876" s="100"/>
      <c r="Y18876" s="100"/>
    </row>
    <row r="18877">
      <c r="R18877" s="100"/>
      <c r="V18877" s="100"/>
      <c r="Y18877" s="100"/>
    </row>
    <row r="18878">
      <c r="R18878" s="100"/>
      <c r="V18878" s="100"/>
      <c r="Y18878" s="100"/>
    </row>
    <row r="18879">
      <c r="R18879" s="100"/>
      <c r="V18879" s="100"/>
      <c r="Y18879" s="100"/>
    </row>
    <row r="18880">
      <c r="R18880" s="100"/>
      <c r="V18880" s="100"/>
      <c r="Y18880" s="100"/>
    </row>
    <row r="18881">
      <c r="R18881" s="100"/>
      <c r="V18881" s="100"/>
      <c r="Y18881" s="100"/>
    </row>
    <row r="18882">
      <c r="R18882" s="100"/>
      <c r="V18882" s="100"/>
      <c r="Y18882" s="100"/>
    </row>
    <row r="18883">
      <c r="R18883" s="100"/>
      <c r="V18883" s="100"/>
      <c r="Y18883" s="100"/>
    </row>
    <row r="18884">
      <c r="R18884" s="100"/>
      <c r="V18884" s="100"/>
      <c r="Y18884" s="100"/>
    </row>
    <row r="18885">
      <c r="R18885" s="100"/>
      <c r="V18885" s="100"/>
      <c r="Y18885" s="100"/>
    </row>
    <row r="18886">
      <c r="R18886" s="100"/>
      <c r="V18886" s="100"/>
      <c r="Y18886" s="100"/>
    </row>
    <row r="18887">
      <c r="R18887" s="100"/>
      <c r="V18887" s="100"/>
      <c r="Y18887" s="100"/>
    </row>
    <row r="18888">
      <c r="R18888" s="100"/>
      <c r="V18888" s="100"/>
      <c r="Y18888" s="100"/>
    </row>
    <row r="18889">
      <c r="R18889" s="100"/>
      <c r="V18889" s="100"/>
      <c r="Y18889" s="100"/>
    </row>
    <row r="18890">
      <c r="R18890" s="100"/>
      <c r="V18890" s="100"/>
      <c r="Y18890" s="100"/>
    </row>
    <row r="18891">
      <c r="R18891" s="100"/>
      <c r="V18891" s="100"/>
      <c r="Y18891" s="100"/>
    </row>
    <row r="18892">
      <c r="R18892" s="100"/>
      <c r="V18892" s="100"/>
      <c r="Y18892" s="100"/>
    </row>
    <row r="18893">
      <c r="R18893" s="100"/>
      <c r="V18893" s="100"/>
      <c r="Y18893" s="100"/>
    </row>
    <row r="18894">
      <c r="R18894" s="100"/>
      <c r="V18894" s="100"/>
      <c r="Y18894" s="100"/>
    </row>
    <row r="18895">
      <c r="R18895" s="100"/>
      <c r="V18895" s="100"/>
      <c r="Y18895" s="100"/>
    </row>
    <row r="18896">
      <c r="R18896" s="100"/>
      <c r="V18896" s="100"/>
      <c r="Y18896" s="100"/>
    </row>
    <row r="18897">
      <c r="R18897" s="100"/>
      <c r="V18897" s="100"/>
      <c r="Y18897" s="100"/>
    </row>
    <row r="18898">
      <c r="R18898" s="100"/>
      <c r="V18898" s="100"/>
      <c r="Y18898" s="100"/>
    </row>
    <row r="18899">
      <c r="R18899" s="100"/>
      <c r="V18899" s="100"/>
      <c r="Y18899" s="100"/>
    </row>
    <row r="18900">
      <c r="R18900" s="100"/>
      <c r="V18900" s="100"/>
      <c r="Y18900" s="100"/>
    </row>
    <row r="18901">
      <c r="R18901" s="100"/>
      <c r="V18901" s="100"/>
      <c r="Y18901" s="100"/>
    </row>
    <row r="18902">
      <c r="R18902" s="100"/>
      <c r="V18902" s="100"/>
      <c r="Y18902" s="100"/>
    </row>
    <row r="18903">
      <c r="R18903" s="100"/>
      <c r="V18903" s="100"/>
      <c r="Y18903" s="100"/>
    </row>
    <row r="18904">
      <c r="R18904" s="100"/>
      <c r="V18904" s="100"/>
      <c r="Y18904" s="100"/>
    </row>
    <row r="18905">
      <c r="R18905" s="100"/>
      <c r="V18905" s="100"/>
      <c r="Y18905" s="100"/>
    </row>
    <row r="18906">
      <c r="R18906" s="100"/>
      <c r="V18906" s="100"/>
      <c r="Y18906" s="100"/>
    </row>
    <row r="18907">
      <c r="R18907" s="100"/>
      <c r="V18907" s="100"/>
      <c r="Y18907" s="100"/>
    </row>
    <row r="18908">
      <c r="R18908" s="100"/>
      <c r="V18908" s="100"/>
      <c r="Y18908" s="100"/>
    </row>
    <row r="18909">
      <c r="R18909" s="100"/>
      <c r="V18909" s="100"/>
      <c r="Y18909" s="100"/>
    </row>
    <row r="18910">
      <c r="R18910" s="100"/>
      <c r="V18910" s="100"/>
      <c r="Y18910" s="100"/>
    </row>
    <row r="18911">
      <c r="R18911" s="100"/>
      <c r="V18911" s="100"/>
      <c r="Y18911" s="100"/>
    </row>
    <row r="18912">
      <c r="R18912" s="100"/>
      <c r="V18912" s="100"/>
      <c r="Y18912" s="100"/>
    </row>
    <row r="18913">
      <c r="R18913" s="100"/>
      <c r="V18913" s="100"/>
      <c r="Y18913" s="100"/>
    </row>
    <row r="18914">
      <c r="R18914" s="100"/>
      <c r="V18914" s="100"/>
      <c r="Y18914" s="100"/>
    </row>
    <row r="18915">
      <c r="R18915" s="100"/>
      <c r="V18915" s="100"/>
      <c r="Y18915" s="100"/>
    </row>
    <row r="18916">
      <c r="R18916" s="100"/>
      <c r="V18916" s="100"/>
      <c r="Y18916" s="100"/>
    </row>
    <row r="18917">
      <c r="R18917" s="100"/>
      <c r="V18917" s="100"/>
      <c r="Y18917" s="100"/>
    </row>
    <row r="18918">
      <c r="R18918" s="100"/>
      <c r="V18918" s="100"/>
      <c r="Y18918" s="100"/>
    </row>
    <row r="18919">
      <c r="R18919" s="100"/>
      <c r="V18919" s="100"/>
      <c r="Y18919" s="100"/>
    </row>
    <row r="18920">
      <c r="R18920" s="100"/>
      <c r="V18920" s="100"/>
      <c r="Y18920" s="100"/>
    </row>
    <row r="18921">
      <c r="R18921" s="100"/>
      <c r="V18921" s="100"/>
      <c r="Y18921" s="100"/>
    </row>
    <row r="18922">
      <c r="R18922" s="100"/>
      <c r="V18922" s="100"/>
      <c r="Y18922" s="100"/>
    </row>
    <row r="18923">
      <c r="R18923" s="100"/>
      <c r="V18923" s="100"/>
      <c r="Y18923" s="100"/>
    </row>
    <row r="18924">
      <c r="R18924" s="100"/>
      <c r="V18924" s="100"/>
      <c r="Y18924" s="100"/>
    </row>
    <row r="18925">
      <c r="R18925" s="100"/>
      <c r="V18925" s="100"/>
      <c r="Y18925" s="100"/>
    </row>
    <row r="18926">
      <c r="R18926" s="100"/>
      <c r="V18926" s="100"/>
      <c r="Y18926" s="100"/>
    </row>
    <row r="18927">
      <c r="R18927" s="100"/>
      <c r="V18927" s="100"/>
      <c r="Y18927" s="100"/>
    </row>
    <row r="18928">
      <c r="R18928" s="100"/>
      <c r="V18928" s="100"/>
      <c r="Y18928" s="100"/>
    </row>
    <row r="18929">
      <c r="R18929" s="100"/>
      <c r="V18929" s="100"/>
      <c r="Y18929" s="100"/>
    </row>
    <row r="18930">
      <c r="R18930" s="100"/>
      <c r="V18930" s="100"/>
      <c r="Y18930" s="100"/>
    </row>
    <row r="18931">
      <c r="R18931" s="100"/>
      <c r="V18931" s="100"/>
      <c r="Y18931" s="100"/>
    </row>
    <row r="18932">
      <c r="R18932" s="100"/>
      <c r="V18932" s="100"/>
      <c r="Y18932" s="100"/>
    </row>
    <row r="18933">
      <c r="R18933" s="100"/>
      <c r="V18933" s="100"/>
      <c r="Y18933" s="100"/>
    </row>
    <row r="18934">
      <c r="R18934" s="100"/>
      <c r="V18934" s="100"/>
      <c r="Y18934" s="100"/>
    </row>
    <row r="18935">
      <c r="R18935" s="100"/>
      <c r="V18935" s="100"/>
      <c r="Y18935" s="100"/>
    </row>
    <row r="18936">
      <c r="R18936" s="100"/>
      <c r="V18936" s="100"/>
      <c r="Y18936" s="100"/>
    </row>
    <row r="18937">
      <c r="R18937" s="100"/>
      <c r="V18937" s="100"/>
      <c r="Y18937" s="100"/>
    </row>
    <row r="18938">
      <c r="R18938" s="100"/>
      <c r="V18938" s="100"/>
      <c r="Y18938" s="100"/>
    </row>
    <row r="18939">
      <c r="R18939" s="100"/>
      <c r="V18939" s="100"/>
      <c r="Y18939" s="100"/>
    </row>
    <row r="18940">
      <c r="R18940" s="100"/>
      <c r="V18940" s="100"/>
      <c r="Y18940" s="100"/>
    </row>
    <row r="18941">
      <c r="R18941" s="100"/>
      <c r="V18941" s="100"/>
      <c r="Y18941" s="100"/>
    </row>
    <row r="18942">
      <c r="R18942" s="100"/>
      <c r="V18942" s="100"/>
      <c r="Y18942" s="100"/>
    </row>
    <row r="18943">
      <c r="R18943" s="100"/>
      <c r="V18943" s="100"/>
      <c r="Y18943" s="100"/>
    </row>
    <row r="18944">
      <c r="R18944" s="100"/>
      <c r="V18944" s="100"/>
      <c r="Y18944" s="100"/>
    </row>
    <row r="18945">
      <c r="R18945" s="100"/>
      <c r="V18945" s="100"/>
      <c r="Y18945" s="100"/>
    </row>
    <row r="18946">
      <c r="R18946" s="100"/>
      <c r="V18946" s="100"/>
      <c r="Y18946" s="100"/>
    </row>
    <row r="18947">
      <c r="R18947" s="100"/>
      <c r="V18947" s="100"/>
      <c r="Y18947" s="100"/>
    </row>
    <row r="18948">
      <c r="R18948" s="100"/>
      <c r="V18948" s="100"/>
      <c r="Y18948" s="100"/>
    </row>
    <row r="18949">
      <c r="R18949" s="100"/>
      <c r="V18949" s="100"/>
      <c r="Y18949" s="100"/>
    </row>
    <row r="18950">
      <c r="R18950" s="100"/>
      <c r="V18950" s="100"/>
      <c r="Y18950" s="100"/>
    </row>
    <row r="18951">
      <c r="R18951" s="100"/>
      <c r="V18951" s="100"/>
      <c r="Y18951" s="100"/>
    </row>
    <row r="18952">
      <c r="R18952" s="100"/>
      <c r="V18952" s="100"/>
      <c r="Y18952" s="100"/>
    </row>
    <row r="18953">
      <c r="R18953" s="100"/>
      <c r="V18953" s="100"/>
      <c r="Y18953" s="100"/>
    </row>
    <row r="18954">
      <c r="R18954" s="100"/>
      <c r="V18954" s="100"/>
      <c r="Y18954" s="100"/>
    </row>
    <row r="18955">
      <c r="R18955" s="100"/>
      <c r="V18955" s="100"/>
      <c r="Y18955" s="100"/>
    </row>
    <row r="18956">
      <c r="R18956" s="100"/>
      <c r="V18956" s="100"/>
      <c r="Y18956" s="100"/>
    </row>
    <row r="18957">
      <c r="R18957" s="100"/>
      <c r="V18957" s="100"/>
      <c r="Y18957" s="100"/>
    </row>
    <row r="18958">
      <c r="R18958" s="100"/>
      <c r="V18958" s="100"/>
      <c r="Y18958" s="100"/>
    </row>
    <row r="18959">
      <c r="R18959" s="100"/>
      <c r="V18959" s="100"/>
      <c r="Y18959" s="100"/>
    </row>
    <row r="18960">
      <c r="R18960" s="100"/>
      <c r="V18960" s="100"/>
      <c r="Y18960" s="100"/>
    </row>
    <row r="18961">
      <c r="R18961" s="100"/>
      <c r="V18961" s="100"/>
      <c r="Y18961" s="100"/>
    </row>
    <row r="18962">
      <c r="R18962" s="100"/>
      <c r="V18962" s="100"/>
      <c r="Y18962" s="100"/>
    </row>
    <row r="18963">
      <c r="R18963" s="100"/>
      <c r="V18963" s="100"/>
      <c r="Y18963" s="100"/>
    </row>
    <row r="18964">
      <c r="R18964" s="100"/>
      <c r="V18964" s="100"/>
      <c r="Y18964" s="100"/>
    </row>
    <row r="18965">
      <c r="R18965" s="100"/>
      <c r="V18965" s="100"/>
      <c r="Y18965" s="100"/>
    </row>
    <row r="18966">
      <c r="R18966" s="100"/>
      <c r="V18966" s="100"/>
      <c r="Y18966" s="100"/>
    </row>
    <row r="18967">
      <c r="R18967" s="100"/>
      <c r="V18967" s="100"/>
      <c r="Y18967" s="100"/>
    </row>
    <row r="18968">
      <c r="R18968" s="100"/>
      <c r="V18968" s="100"/>
      <c r="Y18968" s="100"/>
    </row>
    <row r="18969">
      <c r="R18969" s="100"/>
      <c r="V18969" s="100"/>
      <c r="Y18969" s="100"/>
    </row>
    <row r="18970">
      <c r="R18970" s="100"/>
      <c r="V18970" s="100"/>
      <c r="Y18970" s="100"/>
    </row>
    <row r="18971">
      <c r="R18971" s="100"/>
      <c r="V18971" s="100"/>
      <c r="Y18971" s="100"/>
    </row>
    <row r="18972">
      <c r="R18972" s="100"/>
      <c r="V18972" s="100"/>
      <c r="Y18972" s="100"/>
    </row>
    <row r="18973">
      <c r="R18973" s="100"/>
      <c r="V18973" s="100"/>
      <c r="Y18973" s="100"/>
    </row>
    <row r="18974">
      <c r="R18974" s="100"/>
      <c r="V18974" s="100"/>
      <c r="Y18974" s="100"/>
    </row>
    <row r="18975">
      <c r="R18975" s="100"/>
      <c r="V18975" s="100"/>
      <c r="Y18975" s="100"/>
    </row>
    <row r="18976">
      <c r="R18976" s="100"/>
      <c r="V18976" s="100"/>
      <c r="Y18976" s="100"/>
    </row>
    <row r="18977">
      <c r="R18977" s="100"/>
      <c r="V18977" s="100"/>
      <c r="Y18977" s="100"/>
    </row>
    <row r="18978">
      <c r="R18978" s="100"/>
      <c r="V18978" s="100"/>
      <c r="Y18978" s="100"/>
    </row>
    <row r="18979">
      <c r="R18979" s="100"/>
      <c r="V18979" s="100"/>
      <c r="Y18979" s="100"/>
    </row>
    <row r="18980">
      <c r="R18980" s="100"/>
      <c r="V18980" s="100"/>
      <c r="Y18980" s="100"/>
    </row>
    <row r="18981">
      <c r="R18981" s="100"/>
      <c r="V18981" s="100"/>
      <c r="Y18981" s="100"/>
    </row>
    <row r="18982">
      <c r="R18982" s="100"/>
      <c r="V18982" s="100"/>
      <c r="Y18982" s="100"/>
    </row>
    <row r="18983">
      <c r="R18983" s="100"/>
      <c r="V18983" s="100"/>
      <c r="Y18983" s="100"/>
    </row>
    <row r="18984">
      <c r="R18984" s="100"/>
      <c r="V18984" s="100"/>
      <c r="Y18984" s="100"/>
    </row>
    <row r="18985">
      <c r="R18985" s="100"/>
      <c r="V18985" s="100"/>
      <c r="Y18985" s="100"/>
    </row>
    <row r="18986">
      <c r="R18986" s="100"/>
      <c r="V18986" s="100"/>
      <c r="Y18986" s="100"/>
    </row>
    <row r="18987">
      <c r="R18987" s="100"/>
      <c r="V18987" s="100"/>
      <c r="Y18987" s="100"/>
    </row>
    <row r="18988">
      <c r="R18988" s="100"/>
      <c r="V18988" s="100"/>
      <c r="Y18988" s="100"/>
    </row>
    <row r="18989">
      <c r="R18989" s="100"/>
      <c r="V18989" s="100"/>
      <c r="Y18989" s="100"/>
    </row>
    <row r="18990">
      <c r="R18990" s="100"/>
      <c r="V18990" s="100"/>
      <c r="Y18990" s="100"/>
    </row>
    <row r="18991">
      <c r="R18991" s="100"/>
      <c r="V18991" s="100"/>
      <c r="Y18991" s="100"/>
    </row>
    <row r="18992">
      <c r="R18992" s="100"/>
      <c r="V18992" s="100"/>
      <c r="Y18992" s="100"/>
    </row>
    <row r="18993">
      <c r="R18993" s="100"/>
      <c r="V18993" s="100"/>
      <c r="Y18993" s="100"/>
    </row>
    <row r="18994">
      <c r="R18994" s="100"/>
      <c r="V18994" s="100"/>
      <c r="Y18994" s="100"/>
    </row>
    <row r="18995">
      <c r="R18995" s="100"/>
      <c r="V18995" s="100"/>
      <c r="Y18995" s="100"/>
    </row>
    <row r="18996">
      <c r="R18996" s="100"/>
      <c r="V18996" s="100"/>
      <c r="Y18996" s="100"/>
    </row>
    <row r="18997">
      <c r="R18997" s="100"/>
      <c r="V18997" s="100"/>
      <c r="Y18997" s="100"/>
    </row>
    <row r="18998">
      <c r="R18998" s="100"/>
      <c r="V18998" s="100"/>
      <c r="Y18998" s="100"/>
    </row>
    <row r="18999">
      <c r="R18999" s="100"/>
      <c r="V18999" s="100"/>
      <c r="Y18999" s="100"/>
    </row>
    <row r="19000">
      <c r="R19000" s="100"/>
      <c r="V19000" s="100"/>
      <c r="Y19000" s="100"/>
    </row>
    <row r="19001">
      <c r="R19001" s="100"/>
      <c r="V19001" s="100"/>
      <c r="Y19001" s="100"/>
    </row>
    <row r="19002">
      <c r="R19002" s="100"/>
      <c r="V19002" s="100"/>
      <c r="Y19002" s="100"/>
    </row>
    <row r="19003">
      <c r="R19003" s="100"/>
      <c r="V19003" s="100"/>
      <c r="Y19003" s="100"/>
    </row>
    <row r="19004">
      <c r="R19004" s="100"/>
      <c r="V19004" s="100"/>
      <c r="Y19004" s="100"/>
    </row>
    <row r="19005">
      <c r="R19005" s="100"/>
      <c r="V19005" s="100"/>
      <c r="Y19005" s="100"/>
    </row>
    <row r="19006">
      <c r="R19006" s="100"/>
      <c r="V19006" s="100"/>
      <c r="Y19006" s="100"/>
    </row>
    <row r="19007">
      <c r="R19007" s="100"/>
      <c r="V19007" s="100"/>
      <c r="Y19007" s="100"/>
    </row>
    <row r="19008">
      <c r="R19008" s="100"/>
      <c r="V19008" s="100"/>
      <c r="Y19008" s="100"/>
    </row>
    <row r="19009">
      <c r="R19009" s="100"/>
      <c r="V19009" s="100"/>
      <c r="Y19009" s="100"/>
    </row>
    <row r="19010">
      <c r="R19010" s="100"/>
      <c r="V19010" s="100"/>
      <c r="Y19010" s="100"/>
    </row>
    <row r="19011">
      <c r="R19011" s="100"/>
      <c r="V19011" s="100"/>
      <c r="Y19011" s="100"/>
    </row>
    <row r="19012">
      <c r="R19012" s="100"/>
      <c r="V19012" s="100"/>
      <c r="Y19012" s="100"/>
    </row>
    <row r="19013">
      <c r="R19013" s="100"/>
      <c r="V19013" s="100"/>
      <c r="Y19013" s="100"/>
    </row>
    <row r="19014">
      <c r="R19014" s="100"/>
      <c r="V19014" s="100"/>
      <c r="Y19014" s="100"/>
    </row>
    <row r="19015">
      <c r="R19015" s="100"/>
      <c r="V19015" s="100"/>
      <c r="Y19015" s="100"/>
    </row>
    <row r="19016">
      <c r="R19016" s="100"/>
      <c r="V19016" s="100"/>
      <c r="Y19016" s="100"/>
    </row>
    <row r="19017">
      <c r="R19017" s="100"/>
      <c r="V19017" s="100"/>
      <c r="Y19017" s="100"/>
    </row>
    <row r="19018">
      <c r="R19018" s="100"/>
      <c r="V19018" s="100"/>
      <c r="Y19018" s="100"/>
    </row>
    <row r="19019">
      <c r="R19019" s="100"/>
      <c r="V19019" s="100"/>
      <c r="Y19019" s="100"/>
    </row>
    <row r="19020">
      <c r="R19020" s="100"/>
      <c r="V19020" s="100"/>
      <c r="Y19020" s="100"/>
    </row>
    <row r="19021">
      <c r="R19021" s="100"/>
      <c r="V19021" s="100"/>
      <c r="Y19021" s="100"/>
    </row>
    <row r="19022">
      <c r="R19022" s="100"/>
      <c r="V19022" s="100"/>
      <c r="Y19022" s="100"/>
    </row>
    <row r="19023">
      <c r="R19023" s="100"/>
      <c r="V19023" s="100"/>
      <c r="Y19023" s="100"/>
    </row>
    <row r="19024">
      <c r="R19024" s="100"/>
      <c r="V19024" s="100"/>
      <c r="Y19024" s="100"/>
    </row>
    <row r="19025">
      <c r="R19025" s="100"/>
      <c r="V19025" s="100"/>
      <c r="Y19025" s="100"/>
    </row>
    <row r="19026">
      <c r="R19026" s="100"/>
      <c r="V19026" s="100"/>
      <c r="Y19026" s="100"/>
    </row>
    <row r="19027">
      <c r="R19027" s="100"/>
      <c r="V19027" s="100"/>
      <c r="Y19027" s="100"/>
    </row>
    <row r="19028">
      <c r="R19028" s="100"/>
      <c r="V19028" s="100"/>
      <c r="Y19028" s="100"/>
    </row>
    <row r="19029">
      <c r="R19029" s="100"/>
      <c r="V19029" s="100"/>
      <c r="Y19029" s="100"/>
    </row>
    <row r="19030">
      <c r="R19030" s="100"/>
      <c r="V19030" s="100"/>
      <c r="Y19030" s="100"/>
    </row>
    <row r="19031">
      <c r="R19031" s="100"/>
      <c r="V19031" s="100"/>
      <c r="Y19031" s="100"/>
    </row>
    <row r="19032">
      <c r="R19032" s="100"/>
      <c r="V19032" s="100"/>
      <c r="Y19032" s="100"/>
    </row>
    <row r="19033">
      <c r="R19033" s="100"/>
      <c r="V19033" s="100"/>
      <c r="Y19033" s="100"/>
    </row>
    <row r="19034">
      <c r="R19034" s="100"/>
      <c r="V19034" s="100"/>
      <c r="Y19034" s="100"/>
    </row>
    <row r="19035">
      <c r="R19035" s="100"/>
      <c r="V19035" s="100"/>
      <c r="Y19035" s="100"/>
    </row>
    <row r="19036">
      <c r="R19036" s="100"/>
      <c r="V19036" s="100"/>
      <c r="Y19036" s="100"/>
    </row>
    <row r="19037">
      <c r="R19037" s="100"/>
      <c r="V19037" s="100"/>
      <c r="Y19037" s="100"/>
    </row>
    <row r="19038">
      <c r="R19038" s="100"/>
      <c r="V19038" s="100"/>
      <c r="Y19038" s="100"/>
    </row>
    <row r="19039">
      <c r="R19039" s="100"/>
      <c r="V19039" s="100"/>
      <c r="Y19039" s="100"/>
    </row>
    <row r="19040">
      <c r="R19040" s="100"/>
      <c r="V19040" s="100"/>
      <c r="Y19040" s="100"/>
    </row>
    <row r="19041">
      <c r="R19041" s="100"/>
      <c r="V19041" s="100"/>
      <c r="Y19041" s="100"/>
    </row>
    <row r="19042">
      <c r="R19042" s="100"/>
      <c r="V19042" s="100"/>
      <c r="Y19042" s="100"/>
    </row>
    <row r="19043">
      <c r="R19043" s="100"/>
      <c r="V19043" s="100"/>
      <c r="Y19043" s="100"/>
    </row>
    <row r="19044">
      <c r="R19044" s="100"/>
      <c r="V19044" s="100"/>
      <c r="Y19044" s="100"/>
    </row>
    <row r="19045">
      <c r="R19045" s="100"/>
      <c r="V19045" s="100"/>
      <c r="Y19045" s="100"/>
    </row>
    <row r="19046">
      <c r="R19046" s="100"/>
      <c r="V19046" s="100"/>
      <c r="Y19046" s="100"/>
    </row>
    <row r="19047">
      <c r="R19047" s="100"/>
      <c r="V19047" s="100"/>
      <c r="Y19047" s="100"/>
    </row>
    <row r="19048">
      <c r="R19048" s="100"/>
      <c r="V19048" s="100"/>
      <c r="Y19048" s="100"/>
    </row>
    <row r="19049">
      <c r="R19049" s="100"/>
      <c r="V19049" s="100"/>
      <c r="Y19049" s="100"/>
    </row>
    <row r="19050">
      <c r="R19050" s="100"/>
      <c r="V19050" s="100"/>
      <c r="Y19050" s="100"/>
    </row>
    <row r="19051">
      <c r="R19051" s="100"/>
      <c r="V19051" s="100"/>
      <c r="Y19051" s="100"/>
    </row>
    <row r="19052">
      <c r="R19052" s="100"/>
      <c r="V19052" s="100"/>
      <c r="Y19052" s="100"/>
    </row>
    <row r="19053">
      <c r="R19053" s="100"/>
      <c r="V19053" s="100"/>
      <c r="Y19053" s="100"/>
    </row>
    <row r="19054">
      <c r="R19054" s="100"/>
      <c r="V19054" s="100"/>
      <c r="Y19054" s="100"/>
    </row>
    <row r="19055">
      <c r="R19055" s="100"/>
      <c r="V19055" s="100"/>
      <c r="Y19055" s="100"/>
    </row>
    <row r="19056">
      <c r="R19056" s="100"/>
      <c r="V19056" s="100"/>
      <c r="Y19056" s="100"/>
    </row>
    <row r="19057">
      <c r="R19057" s="100"/>
      <c r="V19057" s="100"/>
      <c r="Y19057" s="100"/>
    </row>
    <row r="19058">
      <c r="R19058" s="100"/>
      <c r="V19058" s="100"/>
      <c r="Y19058" s="100"/>
    </row>
    <row r="19059">
      <c r="R19059" s="100"/>
      <c r="V19059" s="100"/>
      <c r="Y19059" s="100"/>
    </row>
    <row r="19060">
      <c r="R19060" s="100"/>
      <c r="V19060" s="100"/>
      <c r="Y19060" s="100"/>
    </row>
    <row r="19061">
      <c r="R19061" s="100"/>
      <c r="V19061" s="100"/>
      <c r="Y19061" s="100"/>
    </row>
    <row r="19062">
      <c r="R19062" s="100"/>
      <c r="V19062" s="100"/>
      <c r="Y19062" s="100"/>
    </row>
    <row r="19063">
      <c r="R19063" s="100"/>
      <c r="V19063" s="100"/>
      <c r="Y19063" s="100"/>
    </row>
    <row r="19064">
      <c r="R19064" s="100"/>
      <c r="V19064" s="100"/>
      <c r="Y19064" s="100"/>
    </row>
    <row r="19065">
      <c r="R19065" s="100"/>
      <c r="V19065" s="100"/>
      <c r="Y19065" s="100"/>
    </row>
    <row r="19066">
      <c r="R19066" s="100"/>
      <c r="V19066" s="100"/>
      <c r="Y19066" s="100"/>
    </row>
    <row r="19067">
      <c r="R19067" s="100"/>
      <c r="V19067" s="100"/>
      <c r="Y19067" s="100"/>
    </row>
    <row r="19068">
      <c r="R19068" s="100"/>
      <c r="V19068" s="100"/>
      <c r="Y19068" s="100"/>
    </row>
    <row r="19069">
      <c r="R19069" s="100"/>
      <c r="V19069" s="100"/>
      <c r="Y19069" s="100"/>
    </row>
    <row r="19070">
      <c r="R19070" s="100"/>
      <c r="V19070" s="100"/>
      <c r="Y19070" s="100"/>
    </row>
    <row r="19071">
      <c r="R19071" s="100"/>
      <c r="V19071" s="100"/>
      <c r="Y19071" s="100"/>
    </row>
    <row r="19072">
      <c r="R19072" s="100"/>
      <c r="V19072" s="100"/>
      <c r="Y19072" s="100"/>
    </row>
    <row r="19073">
      <c r="R19073" s="100"/>
      <c r="V19073" s="100"/>
      <c r="Y19073" s="100"/>
    </row>
    <row r="19074">
      <c r="R19074" s="100"/>
      <c r="V19074" s="100"/>
      <c r="Y19074" s="100"/>
    </row>
    <row r="19075">
      <c r="R19075" s="100"/>
      <c r="V19075" s="100"/>
      <c r="Y19075" s="100"/>
    </row>
    <row r="19076">
      <c r="R19076" s="100"/>
      <c r="V19076" s="100"/>
      <c r="Y19076" s="100"/>
    </row>
    <row r="19077">
      <c r="R19077" s="100"/>
      <c r="V19077" s="100"/>
      <c r="Y19077" s="100"/>
    </row>
    <row r="19078">
      <c r="R19078" s="100"/>
      <c r="V19078" s="100"/>
      <c r="Y19078" s="100"/>
    </row>
    <row r="19079">
      <c r="R19079" s="100"/>
      <c r="V19079" s="100"/>
      <c r="Y19079" s="100"/>
    </row>
    <row r="19080">
      <c r="R19080" s="100"/>
      <c r="V19080" s="100"/>
      <c r="Y19080" s="100"/>
    </row>
    <row r="19081">
      <c r="R19081" s="100"/>
      <c r="V19081" s="100"/>
      <c r="Y19081" s="100"/>
    </row>
    <row r="19082">
      <c r="R19082" s="100"/>
      <c r="V19082" s="100"/>
      <c r="Y19082" s="100"/>
    </row>
    <row r="19083">
      <c r="R19083" s="100"/>
      <c r="V19083" s="100"/>
      <c r="Y19083" s="100"/>
    </row>
    <row r="19084">
      <c r="R19084" s="100"/>
      <c r="V19084" s="100"/>
      <c r="Y19084" s="100"/>
    </row>
    <row r="19085">
      <c r="R19085" s="100"/>
      <c r="V19085" s="100"/>
      <c r="Y19085" s="100"/>
    </row>
    <row r="19086">
      <c r="R19086" s="100"/>
      <c r="V19086" s="100"/>
      <c r="Y19086" s="100"/>
    </row>
    <row r="19087">
      <c r="R19087" s="100"/>
      <c r="V19087" s="100"/>
      <c r="Y19087" s="100"/>
    </row>
    <row r="19088">
      <c r="R19088" s="100"/>
      <c r="V19088" s="100"/>
      <c r="Y19088" s="100"/>
    </row>
    <row r="19089">
      <c r="R19089" s="100"/>
      <c r="V19089" s="100"/>
      <c r="Y19089" s="100"/>
    </row>
    <row r="19090">
      <c r="R19090" s="100"/>
      <c r="V19090" s="100"/>
      <c r="Y19090" s="100"/>
    </row>
    <row r="19091">
      <c r="R19091" s="100"/>
      <c r="V19091" s="100"/>
      <c r="Y19091" s="100"/>
    </row>
    <row r="19092">
      <c r="R19092" s="100"/>
      <c r="V19092" s="100"/>
      <c r="Y19092" s="100"/>
    </row>
    <row r="19093">
      <c r="R19093" s="100"/>
      <c r="V19093" s="100"/>
      <c r="Y19093" s="100"/>
    </row>
    <row r="19094">
      <c r="R19094" s="100"/>
      <c r="V19094" s="100"/>
      <c r="Y19094" s="100"/>
    </row>
    <row r="19095">
      <c r="R19095" s="100"/>
      <c r="V19095" s="100"/>
      <c r="Y19095" s="100"/>
    </row>
    <row r="19096">
      <c r="R19096" s="100"/>
      <c r="V19096" s="100"/>
      <c r="Y19096" s="100"/>
    </row>
    <row r="19097">
      <c r="R19097" s="100"/>
      <c r="V19097" s="100"/>
      <c r="Y19097" s="100"/>
    </row>
    <row r="19098">
      <c r="R19098" s="100"/>
      <c r="V19098" s="100"/>
      <c r="Y19098" s="100"/>
    </row>
    <row r="19099">
      <c r="R19099" s="100"/>
      <c r="V19099" s="100"/>
      <c r="Y19099" s="100"/>
    </row>
    <row r="19100">
      <c r="R19100" s="100"/>
      <c r="V19100" s="100"/>
      <c r="Y19100" s="100"/>
    </row>
    <row r="19101">
      <c r="R19101" s="100"/>
      <c r="V19101" s="100"/>
      <c r="Y19101" s="100"/>
    </row>
    <row r="19102">
      <c r="R19102" s="100"/>
      <c r="V19102" s="100"/>
      <c r="Y19102" s="100"/>
    </row>
    <row r="19103">
      <c r="R19103" s="100"/>
      <c r="V19103" s="100"/>
      <c r="Y19103" s="100"/>
    </row>
    <row r="19104">
      <c r="R19104" s="100"/>
      <c r="V19104" s="100"/>
      <c r="Y19104" s="100"/>
    </row>
    <row r="19105">
      <c r="R19105" s="100"/>
      <c r="V19105" s="100"/>
      <c r="Y19105" s="100"/>
    </row>
    <row r="19106">
      <c r="R19106" s="100"/>
      <c r="V19106" s="100"/>
      <c r="Y19106" s="100"/>
    </row>
    <row r="19107">
      <c r="R19107" s="100"/>
      <c r="V19107" s="100"/>
      <c r="Y19107" s="100"/>
    </row>
    <row r="19108">
      <c r="R19108" s="100"/>
      <c r="V19108" s="100"/>
      <c r="Y19108" s="100"/>
    </row>
    <row r="19109">
      <c r="R19109" s="100"/>
      <c r="V19109" s="100"/>
      <c r="Y19109" s="100"/>
    </row>
    <row r="19110">
      <c r="R19110" s="100"/>
      <c r="V19110" s="100"/>
      <c r="Y19110" s="100"/>
    </row>
    <row r="19111">
      <c r="R19111" s="100"/>
      <c r="V19111" s="100"/>
      <c r="Y19111" s="100"/>
    </row>
    <row r="19112">
      <c r="R19112" s="100"/>
      <c r="V19112" s="100"/>
      <c r="Y19112" s="100"/>
    </row>
    <row r="19113">
      <c r="R19113" s="100"/>
      <c r="V19113" s="100"/>
      <c r="Y19113" s="100"/>
    </row>
    <row r="19114">
      <c r="R19114" s="100"/>
      <c r="V19114" s="100"/>
      <c r="Y19114" s="100"/>
    </row>
    <row r="19115">
      <c r="R19115" s="100"/>
      <c r="V19115" s="100"/>
      <c r="Y19115" s="100"/>
    </row>
    <row r="19116">
      <c r="R19116" s="100"/>
      <c r="V19116" s="100"/>
      <c r="Y19116" s="100"/>
    </row>
    <row r="19117">
      <c r="R19117" s="100"/>
      <c r="V19117" s="100"/>
      <c r="Y19117" s="100"/>
    </row>
    <row r="19118">
      <c r="R19118" s="100"/>
      <c r="V19118" s="100"/>
      <c r="Y19118" s="100"/>
    </row>
    <row r="19119">
      <c r="R19119" s="100"/>
      <c r="V19119" s="100"/>
      <c r="Y19119" s="100"/>
    </row>
    <row r="19120">
      <c r="R19120" s="100"/>
      <c r="V19120" s="100"/>
      <c r="Y19120" s="100"/>
    </row>
    <row r="19121">
      <c r="R19121" s="100"/>
      <c r="V19121" s="100"/>
      <c r="Y19121" s="100"/>
    </row>
    <row r="19122">
      <c r="R19122" s="100"/>
      <c r="V19122" s="100"/>
      <c r="Y19122" s="100"/>
    </row>
    <row r="19123">
      <c r="R19123" s="100"/>
      <c r="V19123" s="100"/>
      <c r="Y19123" s="100"/>
    </row>
    <row r="19124">
      <c r="R19124" s="100"/>
      <c r="V19124" s="100"/>
      <c r="Y19124" s="100"/>
    </row>
    <row r="19125">
      <c r="R19125" s="100"/>
      <c r="V19125" s="100"/>
      <c r="Y19125" s="100"/>
    </row>
    <row r="19126">
      <c r="R19126" s="100"/>
      <c r="V19126" s="100"/>
      <c r="Y19126" s="100"/>
    </row>
    <row r="19127">
      <c r="R19127" s="100"/>
      <c r="V19127" s="100"/>
      <c r="Y19127" s="100"/>
    </row>
    <row r="19128">
      <c r="R19128" s="100"/>
      <c r="V19128" s="100"/>
      <c r="Y19128" s="100"/>
    </row>
    <row r="19129">
      <c r="R19129" s="100"/>
      <c r="V19129" s="100"/>
      <c r="Y19129" s="100"/>
    </row>
    <row r="19130">
      <c r="R19130" s="100"/>
      <c r="V19130" s="100"/>
      <c r="Y19130" s="100"/>
    </row>
    <row r="19131">
      <c r="R19131" s="100"/>
      <c r="V19131" s="100"/>
      <c r="Y19131" s="100"/>
    </row>
    <row r="19132">
      <c r="R19132" s="100"/>
      <c r="V19132" s="100"/>
      <c r="Y19132" s="100"/>
    </row>
    <row r="19133">
      <c r="R19133" s="100"/>
      <c r="V19133" s="100"/>
      <c r="Y19133" s="100"/>
    </row>
    <row r="19134">
      <c r="R19134" s="100"/>
      <c r="V19134" s="100"/>
      <c r="Y19134" s="100"/>
    </row>
    <row r="19135">
      <c r="R19135" s="100"/>
      <c r="V19135" s="100"/>
      <c r="Y19135" s="100"/>
    </row>
    <row r="19136">
      <c r="R19136" s="100"/>
      <c r="V19136" s="100"/>
      <c r="Y19136" s="100"/>
    </row>
    <row r="19137">
      <c r="R19137" s="100"/>
      <c r="V19137" s="100"/>
      <c r="Y19137" s="100"/>
    </row>
    <row r="19138">
      <c r="R19138" s="100"/>
      <c r="V19138" s="100"/>
      <c r="Y19138" s="100"/>
    </row>
    <row r="19139">
      <c r="R19139" s="100"/>
      <c r="V19139" s="100"/>
      <c r="Y19139" s="100"/>
    </row>
    <row r="19140">
      <c r="R19140" s="100"/>
      <c r="V19140" s="100"/>
      <c r="Y19140" s="100"/>
    </row>
    <row r="19141">
      <c r="R19141" s="100"/>
      <c r="V19141" s="100"/>
      <c r="Y19141" s="100"/>
    </row>
    <row r="19142">
      <c r="R19142" s="100"/>
      <c r="V19142" s="100"/>
      <c r="Y19142" s="100"/>
    </row>
    <row r="19143">
      <c r="R19143" s="100"/>
      <c r="V19143" s="100"/>
      <c r="Y19143" s="100"/>
    </row>
    <row r="19144">
      <c r="R19144" s="100"/>
      <c r="V19144" s="100"/>
      <c r="Y19144" s="100"/>
    </row>
    <row r="19145">
      <c r="R19145" s="100"/>
      <c r="V19145" s="100"/>
      <c r="Y19145" s="100"/>
    </row>
    <row r="19146">
      <c r="R19146" s="100"/>
      <c r="V19146" s="100"/>
      <c r="Y19146" s="100"/>
    </row>
    <row r="19147">
      <c r="R19147" s="100"/>
      <c r="V19147" s="100"/>
      <c r="Y19147" s="100"/>
    </row>
    <row r="19148">
      <c r="R19148" s="100"/>
      <c r="V19148" s="100"/>
      <c r="Y19148" s="100"/>
    </row>
    <row r="19149">
      <c r="R19149" s="100"/>
      <c r="V19149" s="100"/>
      <c r="Y19149" s="100"/>
    </row>
    <row r="19150">
      <c r="R19150" s="100"/>
      <c r="V19150" s="100"/>
      <c r="Y19150" s="100"/>
    </row>
    <row r="19151">
      <c r="R19151" s="100"/>
      <c r="V19151" s="100"/>
      <c r="Y19151" s="100"/>
    </row>
    <row r="19152">
      <c r="R19152" s="100"/>
      <c r="V19152" s="100"/>
      <c r="Y19152" s="100"/>
    </row>
    <row r="19153">
      <c r="R19153" s="100"/>
      <c r="V19153" s="100"/>
      <c r="Y19153" s="100"/>
    </row>
    <row r="19154">
      <c r="R19154" s="100"/>
      <c r="V19154" s="100"/>
      <c r="Y19154" s="100"/>
    </row>
    <row r="19155">
      <c r="R19155" s="100"/>
      <c r="V19155" s="100"/>
      <c r="Y19155" s="100"/>
    </row>
    <row r="19156">
      <c r="R19156" s="100"/>
      <c r="V19156" s="100"/>
      <c r="Y19156" s="100"/>
    </row>
    <row r="19157">
      <c r="R19157" s="100"/>
      <c r="V19157" s="100"/>
      <c r="Y19157" s="100"/>
    </row>
    <row r="19158">
      <c r="R19158" s="100"/>
      <c r="V19158" s="100"/>
      <c r="Y19158" s="100"/>
    </row>
    <row r="19159">
      <c r="R19159" s="100"/>
      <c r="V19159" s="100"/>
      <c r="Y19159" s="100"/>
    </row>
    <row r="19160">
      <c r="R19160" s="100"/>
      <c r="V19160" s="100"/>
      <c r="Y19160" s="100"/>
    </row>
    <row r="19161">
      <c r="R19161" s="100"/>
      <c r="V19161" s="100"/>
      <c r="Y19161" s="100"/>
    </row>
    <row r="19162">
      <c r="R19162" s="100"/>
      <c r="V19162" s="100"/>
      <c r="Y19162" s="100"/>
    </row>
    <row r="19163">
      <c r="R19163" s="100"/>
      <c r="V19163" s="100"/>
      <c r="Y19163" s="100"/>
    </row>
    <row r="19164">
      <c r="R19164" s="100"/>
      <c r="V19164" s="100"/>
      <c r="Y19164" s="100"/>
    </row>
    <row r="19165">
      <c r="R19165" s="100"/>
      <c r="V19165" s="100"/>
      <c r="Y19165" s="100"/>
    </row>
    <row r="19166">
      <c r="R19166" s="100"/>
      <c r="V19166" s="100"/>
      <c r="Y19166" s="100"/>
    </row>
    <row r="19167">
      <c r="R19167" s="100"/>
      <c r="V19167" s="100"/>
      <c r="Y19167" s="100"/>
    </row>
    <row r="19168">
      <c r="R19168" s="100"/>
      <c r="V19168" s="100"/>
      <c r="Y19168" s="100"/>
    </row>
    <row r="19169">
      <c r="R19169" s="100"/>
      <c r="V19169" s="100"/>
      <c r="Y19169" s="100"/>
    </row>
    <row r="19170">
      <c r="R19170" s="100"/>
      <c r="V19170" s="100"/>
      <c r="Y19170" s="100"/>
    </row>
    <row r="19171">
      <c r="R19171" s="100"/>
      <c r="V19171" s="100"/>
      <c r="Y19171" s="100"/>
    </row>
    <row r="19172">
      <c r="R19172" s="100"/>
      <c r="V19172" s="100"/>
      <c r="Y19172" s="100"/>
    </row>
    <row r="19173">
      <c r="R19173" s="100"/>
      <c r="V19173" s="100"/>
      <c r="Y19173" s="100"/>
    </row>
    <row r="19174">
      <c r="R19174" s="100"/>
      <c r="V19174" s="100"/>
      <c r="Y19174" s="100"/>
    </row>
    <row r="19175">
      <c r="R19175" s="100"/>
      <c r="V19175" s="100"/>
      <c r="Y19175" s="100"/>
    </row>
    <row r="19176">
      <c r="R19176" s="100"/>
      <c r="V19176" s="100"/>
      <c r="Y19176" s="100"/>
    </row>
    <row r="19177">
      <c r="R19177" s="100"/>
      <c r="V19177" s="100"/>
      <c r="Y19177" s="100"/>
    </row>
    <row r="19178">
      <c r="R19178" s="100"/>
      <c r="V19178" s="100"/>
      <c r="Y19178" s="100"/>
    </row>
    <row r="19179">
      <c r="R19179" s="100"/>
      <c r="V19179" s="100"/>
      <c r="Y19179" s="100"/>
    </row>
    <row r="19180">
      <c r="R19180" s="100"/>
      <c r="V19180" s="100"/>
      <c r="Y19180" s="100"/>
    </row>
    <row r="19181">
      <c r="R19181" s="100"/>
      <c r="V19181" s="100"/>
      <c r="Y19181" s="100"/>
    </row>
    <row r="19182">
      <c r="R19182" s="100"/>
      <c r="V19182" s="100"/>
      <c r="Y19182" s="100"/>
    </row>
    <row r="19183">
      <c r="R19183" s="100"/>
      <c r="V19183" s="100"/>
      <c r="Y19183" s="100"/>
    </row>
    <row r="19184">
      <c r="R19184" s="100"/>
      <c r="V19184" s="100"/>
      <c r="Y19184" s="100"/>
    </row>
    <row r="19185">
      <c r="R19185" s="100"/>
      <c r="V19185" s="100"/>
      <c r="Y19185" s="100"/>
    </row>
    <row r="19186">
      <c r="R19186" s="100"/>
      <c r="V19186" s="100"/>
      <c r="Y19186" s="100"/>
    </row>
    <row r="19187">
      <c r="R19187" s="100"/>
      <c r="V19187" s="100"/>
      <c r="Y19187" s="100"/>
    </row>
    <row r="19188">
      <c r="R19188" s="100"/>
      <c r="V19188" s="100"/>
      <c r="Y19188" s="100"/>
    </row>
    <row r="19189">
      <c r="R19189" s="100"/>
      <c r="V19189" s="100"/>
      <c r="Y19189" s="100"/>
    </row>
    <row r="19190">
      <c r="R19190" s="100"/>
      <c r="V19190" s="100"/>
      <c r="Y19190" s="100"/>
    </row>
    <row r="19191">
      <c r="R19191" s="100"/>
      <c r="V19191" s="100"/>
      <c r="Y19191" s="100"/>
    </row>
    <row r="19192">
      <c r="R19192" s="100"/>
      <c r="V19192" s="100"/>
      <c r="Y19192" s="100"/>
    </row>
    <row r="19193">
      <c r="R19193" s="100"/>
      <c r="V19193" s="100"/>
      <c r="Y19193" s="100"/>
    </row>
    <row r="19194">
      <c r="R19194" s="100"/>
      <c r="V19194" s="100"/>
      <c r="Y19194" s="100"/>
    </row>
    <row r="19195">
      <c r="R19195" s="100"/>
      <c r="V19195" s="100"/>
      <c r="Y19195" s="100"/>
    </row>
    <row r="19196">
      <c r="R19196" s="100"/>
      <c r="V19196" s="100"/>
      <c r="Y19196" s="100"/>
    </row>
    <row r="19197">
      <c r="R19197" s="100"/>
      <c r="V19197" s="100"/>
      <c r="Y19197" s="100"/>
    </row>
    <row r="19198">
      <c r="R19198" s="100"/>
      <c r="V19198" s="100"/>
      <c r="Y19198" s="100"/>
    </row>
    <row r="19199">
      <c r="R19199" s="100"/>
      <c r="V19199" s="100"/>
      <c r="Y19199" s="100"/>
    </row>
    <row r="19200">
      <c r="R19200" s="100"/>
      <c r="V19200" s="100"/>
      <c r="Y19200" s="100"/>
    </row>
    <row r="19201">
      <c r="R19201" s="100"/>
      <c r="V19201" s="100"/>
      <c r="Y19201" s="100"/>
    </row>
    <row r="19202">
      <c r="R19202" s="100"/>
      <c r="V19202" s="100"/>
      <c r="Y19202" s="100"/>
    </row>
    <row r="19203">
      <c r="R19203" s="100"/>
      <c r="V19203" s="100"/>
      <c r="Y19203" s="100"/>
    </row>
    <row r="19204">
      <c r="R19204" s="100"/>
      <c r="V19204" s="100"/>
      <c r="Y19204" s="100"/>
    </row>
    <row r="19205">
      <c r="R19205" s="100"/>
      <c r="V19205" s="100"/>
      <c r="Y19205" s="100"/>
    </row>
    <row r="19206">
      <c r="R19206" s="100"/>
      <c r="V19206" s="100"/>
      <c r="Y19206" s="100"/>
    </row>
    <row r="19207">
      <c r="R19207" s="100"/>
      <c r="V19207" s="100"/>
      <c r="Y19207" s="100"/>
    </row>
    <row r="19208">
      <c r="R19208" s="100"/>
      <c r="V19208" s="100"/>
      <c r="Y19208" s="100"/>
    </row>
    <row r="19209">
      <c r="R19209" s="100"/>
      <c r="V19209" s="100"/>
      <c r="Y19209" s="100"/>
    </row>
    <row r="19210">
      <c r="R19210" s="100"/>
      <c r="V19210" s="100"/>
      <c r="Y19210" s="100"/>
    </row>
    <row r="19211">
      <c r="R19211" s="100"/>
      <c r="V19211" s="100"/>
      <c r="Y19211" s="100"/>
    </row>
    <row r="19212">
      <c r="R19212" s="100"/>
      <c r="V19212" s="100"/>
      <c r="Y19212" s="100"/>
    </row>
    <row r="19213">
      <c r="R19213" s="100"/>
      <c r="V19213" s="100"/>
      <c r="Y19213" s="100"/>
    </row>
    <row r="19214">
      <c r="R19214" s="100"/>
      <c r="V19214" s="100"/>
      <c r="Y19214" s="100"/>
    </row>
    <row r="19215">
      <c r="R19215" s="100"/>
      <c r="V19215" s="100"/>
      <c r="Y19215" s="100"/>
    </row>
    <row r="19216">
      <c r="R19216" s="100"/>
      <c r="V19216" s="100"/>
      <c r="Y19216" s="100"/>
    </row>
    <row r="19217">
      <c r="R19217" s="100"/>
      <c r="V19217" s="100"/>
      <c r="Y19217" s="100"/>
    </row>
    <row r="19218">
      <c r="R19218" s="100"/>
      <c r="V19218" s="100"/>
      <c r="Y19218" s="100"/>
    </row>
    <row r="19219">
      <c r="R19219" s="100"/>
      <c r="V19219" s="100"/>
      <c r="Y19219" s="100"/>
    </row>
    <row r="19220">
      <c r="R19220" s="100"/>
      <c r="V19220" s="100"/>
      <c r="Y19220" s="100"/>
    </row>
    <row r="19221">
      <c r="R19221" s="100"/>
      <c r="V19221" s="100"/>
      <c r="Y19221" s="100"/>
    </row>
    <row r="19222">
      <c r="R19222" s="100"/>
      <c r="V19222" s="100"/>
      <c r="Y19222" s="100"/>
    </row>
    <row r="19223">
      <c r="R19223" s="100"/>
      <c r="V19223" s="100"/>
      <c r="Y19223" s="100"/>
    </row>
    <row r="19224">
      <c r="R19224" s="100"/>
      <c r="V19224" s="100"/>
      <c r="Y19224" s="100"/>
    </row>
    <row r="19225">
      <c r="R19225" s="100"/>
      <c r="V19225" s="100"/>
      <c r="Y19225" s="100"/>
    </row>
    <row r="19226">
      <c r="R19226" s="100"/>
      <c r="V19226" s="100"/>
      <c r="Y19226" s="100"/>
    </row>
    <row r="19227">
      <c r="R19227" s="100"/>
      <c r="V19227" s="100"/>
      <c r="Y19227" s="100"/>
    </row>
    <row r="19228">
      <c r="R19228" s="100"/>
      <c r="V19228" s="100"/>
      <c r="Y19228" s="100"/>
    </row>
    <row r="19229">
      <c r="R19229" s="100"/>
      <c r="V19229" s="100"/>
      <c r="Y19229" s="100"/>
    </row>
    <row r="19230">
      <c r="R19230" s="100"/>
      <c r="V19230" s="100"/>
      <c r="Y19230" s="100"/>
    </row>
    <row r="19231">
      <c r="R19231" s="100"/>
      <c r="V19231" s="100"/>
      <c r="Y19231" s="100"/>
    </row>
    <row r="19232">
      <c r="R19232" s="100"/>
      <c r="V19232" s="100"/>
      <c r="Y19232" s="100"/>
    </row>
    <row r="19233">
      <c r="R19233" s="100"/>
      <c r="V19233" s="100"/>
      <c r="Y19233" s="100"/>
    </row>
    <row r="19234">
      <c r="R19234" s="100"/>
      <c r="V19234" s="100"/>
      <c r="Y19234" s="100"/>
    </row>
    <row r="19235">
      <c r="R19235" s="100"/>
      <c r="V19235" s="100"/>
      <c r="Y19235" s="100"/>
    </row>
    <row r="19236">
      <c r="R19236" s="100"/>
      <c r="V19236" s="100"/>
      <c r="Y19236" s="100"/>
    </row>
    <row r="19237">
      <c r="R19237" s="100"/>
      <c r="V19237" s="100"/>
      <c r="Y19237" s="100"/>
    </row>
    <row r="19238">
      <c r="R19238" s="100"/>
      <c r="V19238" s="100"/>
      <c r="Y19238" s="100"/>
    </row>
    <row r="19239">
      <c r="R19239" s="100"/>
      <c r="V19239" s="100"/>
      <c r="Y19239" s="100"/>
    </row>
    <row r="19240">
      <c r="R19240" s="100"/>
      <c r="V19240" s="100"/>
      <c r="Y19240" s="100"/>
    </row>
    <row r="19241">
      <c r="R19241" s="100"/>
      <c r="V19241" s="100"/>
      <c r="Y19241" s="100"/>
    </row>
    <row r="19242">
      <c r="R19242" s="100"/>
      <c r="V19242" s="100"/>
      <c r="Y19242" s="100"/>
    </row>
    <row r="19243">
      <c r="R19243" s="100"/>
      <c r="V19243" s="100"/>
      <c r="Y19243" s="100"/>
    </row>
    <row r="19244">
      <c r="R19244" s="100"/>
      <c r="V19244" s="100"/>
      <c r="Y19244" s="100"/>
    </row>
    <row r="19245">
      <c r="R19245" s="100"/>
      <c r="V19245" s="100"/>
      <c r="Y19245" s="100"/>
    </row>
    <row r="19246">
      <c r="R19246" s="100"/>
      <c r="V19246" s="100"/>
      <c r="Y19246" s="100"/>
    </row>
    <row r="19247">
      <c r="R19247" s="100"/>
      <c r="V19247" s="100"/>
      <c r="Y19247" s="100"/>
    </row>
    <row r="19248">
      <c r="R19248" s="100"/>
      <c r="V19248" s="100"/>
      <c r="Y19248" s="100"/>
    </row>
    <row r="19249">
      <c r="R19249" s="100"/>
      <c r="V19249" s="100"/>
      <c r="Y19249" s="100"/>
    </row>
    <row r="19250">
      <c r="R19250" s="100"/>
      <c r="V19250" s="100"/>
      <c r="Y19250" s="100"/>
    </row>
    <row r="19251">
      <c r="R19251" s="100"/>
      <c r="V19251" s="100"/>
      <c r="Y19251" s="100"/>
    </row>
    <row r="19252">
      <c r="R19252" s="100"/>
      <c r="V19252" s="100"/>
      <c r="Y19252" s="100"/>
    </row>
    <row r="19253">
      <c r="R19253" s="100"/>
      <c r="V19253" s="100"/>
      <c r="Y19253" s="100"/>
    </row>
    <row r="19254">
      <c r="R19254" s="100"/>
      <c r="V19254" s="100"/>
      <c r="Y19254" s="100"/>
    </row>
    <row r="19255">
      <c r="R19255" s="100"/>
      <c r="V19255" s="100"/>
      <c r="Y19255" s="100"/>
    </row>
    <row r="19256">
      <c r="R19256" s="100"/>
      <c r="V19256" s="100"/>
      <c r="Y19256" s="100"/>
    </row>
    <row r="19257">
      <c r="R19257" s="100"/>
      <c r="V19257" s="100"/>
      <c r="Y19257" s="100"/>
    </row>
    <row r="19258">
      <c r="R19258" s="100"/>
      <c r="V19258" s="100"/>
      <c r="Y19258" s="100"/>
    </row>
    <row r="19259">
      <c r="R19259" s="100"/>
      <c r="V19259" s="100"/>
      <c r="Y19259" s="100"/>
    </row>
    <row r="19260">
      <c r="R19260" s="100"/>
      <c r="V19260" s="100"/>
      <c r="Y19260" s="100"/>
    </row>
    <row r="19261">
      <c r="R19261" s="100"/>
      <c r="V19261" s="100"/>
      <c r="Y19261" s="100"/>
    </row>
    <row r="19262">
      <c r="R19262" s="100"/>
      <c r="V19262" s="100"/>
      <c r="Y19262" s="100"/>
    </row>
    <row r="19263">
      <c r="R19263" s="100"/>
      <c r="V19263" s="100"/>
      <c r="Y19263" s="100"/>
    </row>
    <row r="19264">
      <c r="R19264" s="100"/>
      <c r="V19264" s="100"/>
      <c r="Y19264" s="100"/>
    </row>
    <row r="19265">
      <c r="R19265" s="100"/>
      <c r="V19265" s="100"/>
      <c r="Y19265" s="100"/>
    </row>
    <row r="19266">
      <c r="R19266" s="100"/>
      <c r="V19266" s="100"/>
      <c r="Y19266" s="100"/>
    </row>
    <row r="19267">
      <c r="R19267" s="100"/>
      <c r="V19267" s="100"/>
      <c r="Y19267" s="100"/>
    </row>
    <row r="19268">
      <c r="R19268" s="100"/>
      <c r="V19268" s="100"/>
      <c r="Y19268" s="100"/>
    </row>
    <row r="19269">
      <c r="R19269" s="100"/>
      <c r="V19269" s="100"/>
      <c r="Y19269" s="100"/>
    </row>
    <row r="19270">
      <c r="R19270" s="100"/>
      <c r="V19270" s="100"/>
      <c r="Y19270" s="100"/>
    </row>
    <row r="19271">
      <c r="R19271" s="100"/>
      <c r="V19271" s="100"/>
      <c r="Y19271" s="100"/>
    </row>
    <row r="19272">
      <c r="R19272" s="100"/>
      <c r="V19272" s="100"/>
      <c r="Y19272" s="100"/>
    </row>
    <row r="19273">
      <c r="R19273" s="100"/>
      <c r="V19273" s="100"/>
      <c r="Y19273" s="100"/>
    </row>
    <row r="19274">
      <c r="R19274" s="100"/>
      <c r="V19274" s="100"/>
      <c r="Y19274" s="100"/>
    </row>
    <row r="19275">
      <c r="R19275" s="100"/>
      <c r="V19275" s="100"/>
      <c r="Y19275" s="100"/>
    </row>
    <row r="19276">
      <c r="R19276" s="100"/>
      <c r="V19276" s="100"/>
      <c r="Y19276" s="100"/>
    </row>
    <row r="19277">
      <c r="R19277" s="100"/>
      <c r="V19277" s="100"/>
      <c r="Y19277" s="100"/>
    </row>
    <row r="19278">
      <c r="R19278" s="100"/>
      <c r="V19278" s="100"/>
      <c r="Y19278" s="100"/>
    </row>
    <row r="19279">
      <c r="R19279" s="100"/>
      <c r="V19279" s="100"/>
      <c r="Y19279" s="100"/>
    </row>
    <row r="19280">
      <c r="R19280" s="100"/>
      <c r="V19280" s="100"/>
      <c r="Y19280" s="100"/>
    </row>
    <row r="19281">
      <c r="R19281" s="100"/>
      <c r="V19281" s="100"/>
      <c r="Y19281" s="100"/>
    </row>
    <row r="19282">
      <c r="R19282" s="100"/>
      <c r="V19282" s="100"/>
      <c r="Y19282" s="100"/>
    </row>
    <row r="19283">
      <c r="R19283" s="100"/>
      <c r="V19283" s="100"/>
      <c r="Y19283" s="100"/>
    </row>
    <row r="19284">
      <c r="R19284" s="100"/>
      <c r="V19284" s="100"/>
      <c r="Y19284" s="100"/>
    </row>
    <row r="19285">
      <c r="R19285" s="100"/>
      <c r="V19285" s="100"/>
      <c r="Y19285" s="100"/>
    </row>
    <row r="19286">
      <c r="R19286" s="100"/>
      <c r="V19286" s="100"/>
      <c r="Y19286" s="100"/>
    </row>
    <row r="19287">
      <c r="R19287" s="100"/>
      <c r="V19287" s="100"/>
      <c r="Y19287" s="100"/>
    </row>
    <row r="19288">
      <c r="R19288" s="100"/>
      <c r="V19288" s="100"/>
      <c r="Y19288" s="100"/>
    </row>
    <row r="19289">
      <c r="R19289" s="100"/>
      <c r="V19289" s="100"/>
      <c r="Y19289" s="100"/>
    </row>
    <row r="19290">
      <c r="R19290" s="100"/>
      <c r="V19290" s="100"/>
      <c r="Y19290" s="100"/>
    </row>
    <row r="19291">
      <c r="R19291" s="100"/>
      <c r="V19291" s="100"/>
      <c r="Y19291" s="100"/>
    </row>
    <row r="19292">
      <c r="R19292" s="100"/>
      <c r="V19292" s="100"/>
      <c r="Y19292" s="100"/>
    </row>
    <row r="19293">
      <c r="R19293" s="100"/>
      <c r="V19293" s="100"/>
      <c r="Y19293" s="100"/>
    </row>
    <row r="19294">
      <c r="R19294" s="100"/>
      <c r="V19294" s="100"/>
      <c r="Y19294" s="100"/>
    </row>
    <row r="19295">
      <c r="R19295" s="100"/>
      <c r="V19295" s="100"/>
      <c r="Y19295" s="100"/>
    </row>
    <row r="19296">
      <c r="R19296" s="100"/>
      <c r="V19296" s="100"/>
      <c r="Y19296" s="100"/>
    </row>
    <row r="19297">
      <c r="R19297" s="100"/>
      <c r="V19297" s="100"/>
      <c r="Y19297" s="100"/>
    </row>
    <row r="19298">
      <c r="R19298" s="100"/>
      <c r="V19298" s="100"/>
      <c r="Y19298" s="100"/>
    </row>
    <row r="19299">
      <c r="R19299" s="100"/>
      <c r="V19299" s="100"/>
      <c r="Y19299" s="100"/>
    </row>
    <row r="19300">
      <c r="R19300" s="100"/>
      <c r="V19300" s="100"/>
      <c r="Y19300" s="100"/>
    </row>
    <row r="19301">
      <c r="R19301" s="100"/>
      <c r="V19301" s="100"/>
      <c r="Y19301" s="100"/>
    </row>
    <row r="19302">
      <c r="R19302" s="100"/>
      <c r="V19302" s="100"/>
      <c r="Y19302" s="100"/>
    </row>
    <row r="19303">
      <c r="R19303" s="100"/>
      <c r="V19303" s="100"/>
      <c r="Y19303" s="100"/>
    </row>
    <row r="19304">
      <c r="R19304" s="100"/>
      <c r="V19304" s="100"/>
      <c r="Y19304" s="100"/>
    </row>
    <row r="19305">
      <c r="R19305" s="100"/>
      <c r="V19305" s="100"/>
      <c r="Y19305" s="100"/>
    </row>
    <row r="19306">
      <c r="R19306" s="100"/>
      <c r="V19306" s="100"/>
      <c r="Y19306" s="100"/>
    </row>
    <row r="19307">
      <c r="R19307" s="100"/>
      <c r="V19307" s="100"/>
      <c r="Y19307" s="100"/>
    </row>
    <row r="19308">
      <c r="R19308" s="100"/>
      <c r="V19308" s="100"/>
      <c r="Y19308" s="100"/>
    </row>
    <row r="19309">
      <c r="R19309" s="100"/>
      <c r="V19309" s="100"/>
      <c r="Y19309" s="100"/>
    </row>
    <row r="19310">
      <c r="R19310" s="100"/>
      <c r="V19310" s="100"/>
      <c r="Y19310" s="100"/>
    </row>
    <row r="19311">
      <c r="R19311" s="100"/>
      <c r="V19311" s="100"/>
      <c r="Y19311" s="100"/>
    </row>
    <row r="19312">
      <c r="R19312" s="100"/>
      <c r="V19312" s="100"/>
      <c r="Y19312" s="100"/>
    </row>
    <row r="19313">
      <c r="R19313" s="100"/>
      <c r="V19313" s="100"/>
      <c r="Y19313" s="100"/>
    </row>
    <row r="19314">
      <c r="R19314" s="100"/>
      <c r="V19314" s="100"/>
      <c r="Y19314" s="100"/>
    </row>
    <row r="19315">
      <c r="R19315" s="100"/>
      <c r="V19315" s="100"/>
      <c r="Y19315" s="100"/>
    </row>
    <row r="19316">
      <c r="R19316" s="100"/>
      <c r="V19316" s="100"/>
      <c r="Y19316" s="100"/>
    </row>
    <row r="19317">
      <c r="R19317" s="100"/>
      <c r="V19317" s="100"/>
      <c r="Y19317" s="100"/>
    </row>
    <row r="19318">
      <c r="R19318" s="100"/>
      <c r="V19318" s="100"/>
      <c r="Y19318" s="100"/>
    </row>
    <row r="19319">
      <c r="R19319" s="100"/>
      <c r="V19319" s="100"/>
      <c r="Y19319" s="100"/>
    </row>
    <row r="19320">
      <c r="R19320" s="100"/>
      <c r="V19320" s="100"/>
      <c r="Y19320" s="100"/>
    </row>
    <row r="19321">
      <c r="R19321" s="100"/>
      <c r="V19321" s="100"/>
      <c r="Y19321" s="100"/>
    </row>
    <row r="19322">
      <c r="R19322" s="100"/>
      <c r="V19322" s="100"/>
      <c r="Y19322" s="100"/>
    </row>
    <row r="19323">
      <c r="R19323" s="100"/>
      <c r="V19323" s="100"/>
      <c r="Y19323" s="100"/>
    </row>
    <row r="19324">
      <c r="R19324" s="100"/>
      <c r="V19324" s="100"/>
      <c r="Y19324" s="100"/>
    </row>
    <row r="19325">
      <c r="R19325" s="100"/>
      <c r="V19325" s="100"/>
      <c r="Y19325" s="100"/>
    </row>
    <row r="19326">
      <c r="R19326" s="100"/>
      <c r="V19326" s="100"/>
      <c r="Y19326" s="100"/>
    </row>
    <row r="19327">
      <c r="R19327" s="100"/>
      <c r="V19327" s="100"/>
      <c r="Y19327" s="100"/>
    </row>
    <row r="19328">
      <c r="R19328" s="100"/>
      <c r="V19328" s="100"/>
      <c r="Y19328" s="100"/>
    </row>
    <row r="19329">
      <c r="R19329" s="100"/>
      <c r="V19329" s="100"/>
      <c r="Y19329" s="100"/>
    </row>
    <row r="19330">
      <c r="R19330" s="100"/>
      <c r="V19330" s="100"/>
      <c r="Y19330" s="100"/>
    </row>
    <row r="19331">
      <c r="R19331" s="100"/>
      <c r="V19331" s="100"/>
      <c r="Y19331" s="100"/>
    </row>
    <row r="19332">
      <c r="R19332" s="100"/>
      <c r="V19332" s="100"/>
      <c r="Y19332" s="100"/>
    </row>
    <row r="19333">
      <c r="R19333" s="100"/>
      <c r="V19333" s="100"/>
      <c r="Y19333" s="100"/>
    </row>
    <row r="19334">
      <c r="R19334" s="100"/>
      <c r="V19334" s="100"/>
      <c r="Y19334" s="100"/>
    </row>
    <row r="19335">
      <c r="R19335" s="100"/>
      <c r="V19335" s="100"/>
      <c r="Y19335" s="100"/>
    </row>
    <row r="19336">
      <c r="R19336" s="100"/>
      <c r="V19336" s="100"/>
      <c r="Y19336" s="100"/>
    </row>
    <row r="19337">
      <c r="R19337" s="100"/>
      <c r="V19337" s="100"/>
      <c r="Y19337" s="100"/>
    </row>
    <row r="19338">
      <c r="R19338" s="100"/>
      <c r="V19338" s="100"/>
      <c r="Y19338" s="100"/>
    </row>
    <row r="19339">
      <c r="R19339" s="100"/>
      <c r="V19339" s="100"/>
      <c r="Y19339" s="100"/>
    </row>
    <row r="19340">
      <c r="R19340" s="100"/>
      <c r="V19340" s="100"/>
      <c r="Y19340" s="100"/>
    </row>
    <row r="19341">
      <c r="R19341" s="100"/>
      <c r="V19341" s="100"/>
      <c r="Y19341" s="100"/>
    </row>
    <row r="19342">
      <c r="R19342" s="100"/>
      <c r="V19342" s="100"/>
      <c r="Y19342" s="100"/>
    </row>
    <row r="19343">
      <c r="R19343" s="100"/>
      <c r="V19343" s="100"/>
      <c r="Y19343" s="100"/>
    </row>
    <row r="19344">
      <c r="R19344" s="100"/>
      <c r="V19344" s="100"/>
      <c r="Y19344" s="100"/>
    </row>
    <row r="19345">
      <c r="R19345" s="100"/>
      <c r="V19345" s="100"/>
      <c r="Y19345" s="100"/>
    </row>
    <row r="19346">
      <c r="R19346" s="100"/>
      <c r="V19346" s="100"/>
      <c r="Y19346" s="100"/>
    </row>
    <row r="19347">
      <c r="R19347" s="100"/>
      <c r="V19347" s="100"/>
      <c r="Y19347" s="100"/>
    </row>
    <row r="19348">
      <c r="R19348" s="100"/>
      <c r="V19348" s="100"/>
      <c r="Y19348" s="100"/>
    </row>
    <row r="19349">
      <c r="R19349" s="100"/>
      <c r="V19349" s="100"/>
      <c r="Y19349" s="100"/>
    </row>
    <row r="19350">
      <c r="R19350" s="100"/>
      <c r="V19350" s="100"/>
      <c r="Y19350" s="100"/>
    </row>
    <row r="19351">
      <c r="R19351" s="100"/>
      <c r="V19351" s="100"/>
      <c r="Y19351" s="100"/>
    </row>
    <row r="19352">
      <c r="R19352" s="100"/>
      <c r="V19352" s="100"/>
      <c r="Y19352" s="100"/>
    </row>
    <row r="19353">
      <c r="R19353" s="100"/>
      <c r="V19353" s="100"/>
      <c r="Y19353" s="100"/>
    </row>
    <row r="19354">
      <c r="R19354" s="100"/>
      <c r="V19354" s="100"/>
      <c r="Y19354" s="100"/>
    </row>
    <row r="19355">
      <c r="R19355" s="100"/>
      <c r="V19355" s="100"/>
      <c r="Y19355" s="100"/>
    </row>
    <row r="19356">
      <c r="R19356" s="100"/>
      <c r="V19356" s="100"/>
      <c r="Y19356" s="100"/>
    </row>
    <row r="19357">
      <c r="R19357" s="100"/>
      <c r="V19357" s="100"/>
      <c r="Y19357" s="100"/>
    </row>
    <row r="19358">
      <c r="R19358" s="100"/>
      <c r="V19358" s="100"/>
      <c r="Y19358" s="100"/>
    </row>
    <row r="19359">
      <c r="R19359" s="100"/>
      <c r="V19359" s="100"/>
      <c r="Y19359" s="100"/>
    </row>
    <row r="19360">
      <c r="R19360" s="100"/>
      <c r="V19360" s="100"/>
      <c r="Y19360" s="100"/>
    </row>
    <row r="19361">
      <c r="R19361" s="100"/>
      <c r="V19361" s="100"/>
      <c r="Y19361" s="100"/>
    </row>
    <row r="19362">
      <c r="R19362" s="100"/>
      <c r="V19362" s="100"/>
      <c r="Y19362" s="100"/>
    </row>
    <row r="19363">
      <c r="R19363" s="100"/>
      <c r="V19363" s="100"/>
      <c r="Y19363" s="100"/>
    </row>
    <row r="19364">
      <c r="R19364" s="100"/>
      <c r="V19364" s="100"/>
      <c r="Y19364" s="100"/>
    </row>
    <row r="19365">
      <c r="R19365" s="100"/>
      <c r="V19365" s="100"/>
      <c r="Y19365" s="100"/>
    </row>
    <row r="19366">
      <c r="R19366" s="100"/>
      <c r="V19366" s="100"/>
      <c r="Y19366" s="100"/>
    </row>
    <row r="19367">
      <c r="R19367" s="100"/>
      <c r="V19367" s="100"/>
      <c r="Y19367" s="100"/>
    </row>
    <row r="19368">
      <c r="R19368" s="100"/>
      <c r="V19368" s="100"/>
      <c r="Y19368" s="100"/>
    </row>
    <row r="19369">
      <c r="R19369" s="100"/>
      <c r="V19369" s="100"/>
      <c r="Y19369" s="100"/>
    </row>
    <row r="19370">
      <c r="R19370" s="100"/>
      <c r="V19370" s="100"/>
      <c r="Y19370" s="100"/>
    </row>
    <row r="19371">
      <c r="R19371" s="100"/>
      <c r="V19371" s="100"/>
      <c r="Y19371" s="100"/>
    </row>
    <row r="19372">
      <c r="R19372" s="100"/>
      <c r="V19372" s="100"/>
      <c r="Y19372" s="100"/>
    </row>
    <row r="19373">
      <c r="R19373" s="100"/>
      <c r="V19373" s="100"/>
      <c r="Y19373" s="100"/>
    </row>
    <row r="19374">
      <c r="R19374" s="100"/>
      <c r="V19374" s="100"/>
      <c r="Y19374" s="100"/>
    </row>
    <row r="19375">
      <c r="R19375" s="100"/>
      <c r="V19375" s="100"/>
      <c r="Y19375" s="100"/>
    </row>
    <row r="19376">
      <c r="R19376" s="100"/>
      <c r="V19376" s="100"/>
      <c r="Y19376" s="100"/>
    </row>
    <row r="19377">
      <c r="R19377" s="100"/>
      <c r="V19377" s="100"/>
      <c r="Y19377" s="100"/>
    </row>
    <row r="19378">
      <c r="R19378" s="100"/>
      <c r="V19378" s="100"/>
      <c r="Y19378" s="100"/>
    </row>
    <row r="19379">
      <c r="R19379" s="100"/>
      <c r="V19379" s="100"/>
      <c r="Y19379" s="100"/>
    </row>
    <row r="19380">
      <c r="R19380" s="100"/>
      <c r="V19380" s="100"/>
      <c r="Y19380" s="100"/>
    </row>
    <row r="19381">
      <c r="R19381" s="100"/>
      <c r="V19381" s="100"/>
      <c r="Y19381" s="100"/>
    </row>
    <row r="19382">
      <c r="R19382" s="100"/>
      <c r="V19382" s="100"/>
      <c r="Y19382" s="100"/>
    </row>
    <row r="19383">
      <c r="R19383" s="100"/>
      <c r="V19383" s="100"/>
      <c r="Y19383" s="100"/>
    </row>
    <row r="19384">
      <c r="R19384" s="100"/>
      <c r="V19384" s="100"/>
      <c r="Y19384" s="100"/>
    </row>
    <row r="19385">
      <c r="R19385" s="100"/>
      <c r="V19385" s="100"/>
      <c r="Y19385" s="100"/>
    </row>
    <row r="19386">
      <c r="R19386" s="100"/>
      <c r="V19386" s="100"/>
      <c r="Y19386" s="100"/>
    </row>
    <row r="19387">
      <c r="R19387" s="100"/>
      <c r="V19387" s="100"/>
      <c r="Y19387" s="100"/>
    </row>
    <row r="19388">
      <c r="R19388" s="100"/>
      <c r="V19388" s="100"/>
      <c r="Y19388" s="100"/>
    </row>
    <row r="19389">
      <c r="R19389" s="100"/>
      <c r="V19389" s="100"/>
      <c r="Y19389" s="100"/>
    </row>
    <row r="19390">
      <c r="R19390" s="100"/>
      <c r="V19390" s="100"/>
      <c r="Y19390" s="100"/>
    </row>
    <row r="19391">
      <c r="R19391" s="100"/>
      <c r="V19391" s="100"/>
      <c r="Y19391" s="100"/>
    </row>
    <row r="19392">
      <c r="R19392" s="100"/>
      <c r="V19392" s="100"/>
      <c r="Y19392" s="100"/>
    </row>
    <row r="19393">
      <c r="R19393" s="100"/>
      <c r="V19393" s="100"/>
      <c r="Y19393" s="100"/>
    </row>
    <row r="19394">
      <c r="R19394" s="100"/>
      <c r="V19394" s="100"/>
      <c r="Y19394" s="100"/>
    </row>
    <row r="19395">
      <c r="R19395" s="100"/>
      <c r="V19395" s="100"/>
      <c r="Y19395" s="100"/>
    </row>
    <row r="19396">
      <c r="R19396" s="100"/>
      <c r="V19396" s="100"/>
      <c r="Y19396" s="100"/>
    </row>
    <row r="19397">
      <c r="R19397" s="100"/>
      <c r="V19397" s="100"/>
      <c r="Y19397" s="100"/>
    </row>
    <row r="19398">
      <c r="R19398" s="100"/>
      <c r="V19398" s="100"/>
      <c r="Y19398" s="100"/>
    </row>
    <row r="19399">
      <c r="R19399" s="100"/>
      <c r="V19399" s="100"/>
      <c r="Y19399" s="100"/>
    </row>
    <row r="19400">
      <c r="R19400" s="100"/>
      <c r="V19400" s="100"/>
      <c r="Y19400" s="100"/>
    </row>
    <row r="19401">
      <c r="R19401" s="100"/>
      <c r="V19401" s="100"/>
      <c r="Y19401" s="100"/>
    </row>
    <row r="19402">
      <c r="R19402" s="100"/>
      <c r="V19402" s="100"/>
      <c r="Y19402" s="100"/>
    </row>
    <row r="19403">
      <c r="R19403" s="100"/>
      <c r="V19403" s="100"/>
      <c r="Y19403" s="100"/>
    </row>
    <row r="19404">
      <c r="R19404" s="100"/>
      <c r="V19404" s="100"/>
      <c r="Y19404" s="100"/>
    </row>
    <row r="19405">
      <c r="R19405" s="100"/>
      <c r="V19405" s="100"/>
      <c r="Y19405" s="100"/>
    </row>
    <row r="19406">
      <c r="R19406" s="100"/>
      <c r="V19406" s="100"/>
      <c r="Y19406" s="100"/>
    </row>
    <row r="19407">
      <c r="R19407" s="100"/>
      <c r="V19407" s="100"/>
      <c r="Y19407" s="100"/>
    </row>
    <row r="19408">
      <c r="R19408" s="100"/>
      <c r="V19408" s="100"/>
      <c r="Y19408" s="100"/>
    </row>
    <row r="19409">
      <c r="R19409" s="100"/>
      <c r="V19409" s="100"/>
      <c r="Y19409" s="100"/>
    </row>
    <row r="19410">
      <c r="R19410" s="100"/>
      <c r="V19410" s="100"/>
      <c r="Y19410" s="100"/>
    </row>
    <row r="19411">
      <c r="R19411" s="100"/>
      <c r="V19411" s="100"/>
      <c r="Y19411" s="100"/>
    </row>
    <row r="19412">
      <c r="R19412" s="100"/>
      <c r="V19412" s="100"/>
      <c r="Y19412" s="100"/>
    </row>
    <row r="19413">
      <c r="R19413" s="100"/>
      <c r="V19413" s="100"/>
      <c r="Y19413" s="100"/>
    </row>
    <row r="19414">
      <c r="R19414" s="100"/>
      <c r="V19414" s="100"/>
      <c r="Y19414" s="100"/>
    </row>
    <row r="19415">
      <c r="R19415" s="100"/>
      <c r="V19415" s="100"/>
      <c r="Y19415" s="100"/>
    </row>
    <row r="19416">
      <c r="R19416" s="100"/>
      <c r="V19416" s="100"/>
      <c r="Y19416" s="100"/>
    </row>
    <row r="19417">
      <c r="R19417" s="100"/>
      <c r="V19417" s="100"/>
      <c r="Y19417" s="100"/>
    </row>
    <row r="19418">
      <c r="R19418" s="100"/>
      <c r="V19418" s="100"/>
      <c r="Y19418" s="100"/>
    </row>
    <row r="19419">
      <c r="R19419" s="100"/>
      <c r="V19419" s="100"/>
      <c r="Y19419" s="100"/>
    </row>
    <row r="19420">
      <c r="R19420" s="100"/>
      <c r="V19420" s="100"/>
      <c r="Y19420" s="100"/>
    </row>
    <row r="19421">
      <c r="R19421" s="100"/>
      <c r="V19421" s="100"/>
      <c r="Y19421" s="100"/>
    </row>
    <row r="19422">
      <c r="R19422" s="100"/>
      <c r="V19422" s="100"/>
      <c r="Y19422" s="100"/>
    </row>
    <row r="19423">
      <c r="R19423" s="100"/>
      <c r="V19423" s="100"/>
      <c r="Y19423" s="100"/>
    </row>
    <row r="19424">
      <c r="R19424" s="100"/>
      <c r="V19424" s="100"/>
      <c r="Y19424" s="100"/>
    </row>
    <row r="19425">
      <c r="R19425" s="100"/>
      <c r="V19425" s="100"/>
      <c r="Y19425" s="100"/>
    </row>
    <row r="19426">
      <c r="R19426" s="100"/>
      <c r="V19426" s="100"/>
      <c r="Y19426" s="100"/>
    </row>
    <row r="19427">
      <c r="R19427" s="100"/>
      <c r="V19427" s="100"/>
      <c r="Y19427" s="100"/>
    </row>
    <row r="19428">
      <c r="R19428" s="100"/>
      <c r="V19428" s="100"/>
      <c r="Y19428" s="100"/>
    </row>
    <row r="19429">
      <c r="R19429" s="100"/>
      <c r="V19429" s="100"/>
      <c r="Y19429" s="100"/>
    </row>
    <row r="19430">
      <c r="R19430" s="100"/>
      <c r="V19430" s="100"/>
      <c r="Y19430" s="100"/>
    </row>
    <row r="19431">
      <c r="R19431" s="100"/>
      <c r="V19431" s="100"/>
      <c r="Y19431" s="100"/>
    </row>
    <row r="19432">
      <c r="R19432" s="100"/>
      <c r="V19432" s="100"/>
      <c r="Y19432" s="100"/>
    </row>
    <row r="19433">
      <c r="R19433" s="100"/>
      <c r="V19433" s="100"/>
      <c r="Y19433" s="100"/>
    </row>
    <row r="19434">
      <c r="R19434" s="100"/>
      <c r="V19434" s="100"/>
      <c r="Y19434" s="100"/>
    </row>
    <row r="19435">
      <c r="R19435" s="100"/>
      <c r="V19435" s="100"/>
      <c r="Y19435" s="100"/>
    </row>
    <row r="19436">
      <c r="R19436" s="100"/>
      <c r="V19436" s="100"/>
      <c r="Y19436" s="100"/>
    </row>
    <row r="19437">
      <c r="R19437" s="100"/>
      <c r="V19437" s="100"/>
      <c r="Y19437" s="100"/>
    </row>
    <row r="19438">
      <c r="R19438" s="100"/>
      <c r="V19438" s="100"/>
      <c r="Y19438" s="100"/>
    </row>
    <row r="19439">
      <c r="R19439" s="100"/>
      <c r="V19439" s="100"/>
      <c r="Y19439" s="100"/>
    </row>
    <row r="19440">
      <c r="R19440" s="100"/>
      <c r="V19440" s="100"/>
      <c r="Y19440" s="100"/>
    </row>
    <row r="19441">
      <c r="R19441" s="100"/>
      <c r="V19441" s="100"/>
      <c r="Y19441" s="100"/>
    </row>
    <row r="19442">
      <c r="R19442" s="100"/>
      <c r="V19442" s="100"/>
      <c r="Y19442" s="100"/>
    </row>
    <row r="19443">
      <c r="R19443" s="100"/>
      <c r="V19443" s="100"/>
      <c r="Y19443" s="100"/>
    </row>
    <row r="19444">
      <c r="R19444" s="100"/>
      <c r="V19444" s="100"/>
      <c r="Y19444" s="100"/>
    </row>
    <row r="19445">
      <c r="R19445" s="100"/>
      <c r="V19445" s="100"/>
      <c r="Y19445" s="100"/>
    </row>
    <row r="19446">
      <c r="R19446" s="100"/>
      <c r="V19446" s="100"/>
      <c r="Y19446" s="100"/>
    </row>
    <row r="19447">
      <c r="R19447" s="100"/>
      <c r="V19447" s="100"/>
      <c r="Y19447" s="100"/>
    </row>
    <row r="19448">
      <c r="R19448" s="100"/>
      <c r="V19448" s="100"/>
      <c r="Y19448" s="100"/>
    </row>
    <row r="19449">
      <c r="R19449" s="100"/>
      <c r="V19449" s="100"/>
      <c r="Y19449" s="100"/>
    </row>
    <row r="19450">
      <c r="R19450" s="100"/>
      <c r="V19450" s="100"/>
      <c r="Y19450" s="100"/>
    </row>
    <row r="19451">
      <c r="R19451" s="100"/>
      <c r="V19451" s="100"/>
      <c r="Y19451" s="100"/>
    </row>
    <row r="19452">
      <c r="R19452" s="100"/>
      <c r="V19452" s="100"/>
      <c r="Y19452" s="100"/>
    </row>
    <row r="19453">
      <c r="R19453" s="100"/>
      <c r="V19453" s="100"/>
      <c r="Y19453" s="100"/>
    </row>
    <row r="19454">
      <c r="R19454" s="100"/>
      <c r="V19454" s="100"/>
      <c r="Y19454" s="100"/>
    </row>
    <row r="19455">
      <c r="R19455" s="100"/>
      <c r="V19455" s="100"/>
      <c r="Y19455" s="100"/>
    </row>
    <row r="19456">
      <c r="R19456" s="100"/>
      <c r="V19456" s="100"/>
      <c r="Y19456" s="100"/>
    </row>
    <row r="19457">
      <c r="R19457" s="100"/>
      <c r="V19457" s="100"/>
      <c r="Y19457" s="100"/>
    </row>
    <row r="19458">
      <c r="R19458" s="100"/>
      <c r="V19458" s="100"/>
      <c r="Y19458" s="100"/>
    </row>
    <row r="19459">
      <c r="R19459" s="100"/>
      <c r="V19459" s="100"/>
      <c r="Y19459" s="100"/>
    </row>
    <row r="19460">
      <c r="R19460" s="100"/>
      <c r="V19460" s="100"/>
      <c r="Y19460" s="100"/>
    </row>
    <row r="19461">
      <c r="R19461" s="100"/>
      <c r="V19461" s="100"/>
      <c r="Y19461" s="100"/>
    </row>
    <row r="19462">
      <c r="R19462" s="100"/>
      <c r="V19462" s="100"/>
      <c r="Y19462" s="100"/>
    </row>
    <row r="19463">
      <c r="R19463" s="100"/>
      <c r="V19463" s="100"/>
      <c r="Y19463" s="100"/>
    </row>
    <row r="19464">
      <c r="R19464" s="100"/>
      <c r="V19464" s="100"/>
      <c r="Y19464" s="100"/>
    </row>
    <row r="19465">
      <c r="R19465" s="100"/>
      <c r="V19465" s="100"/>
      <c r="Y19465" s="100"/>
    </row>
    <row r="19466">
      <c r="R19466" s="100"/>
      <c r="V19466" s="100"/>
      <c r="Y19466" s="100"/>
    </row>
    <row r="19467">
      <c r="R19467" s="100"/>
      <c r="V19467" s="100"/>
      <c r="Y19467" s="100"/>
    </row>
    <row r="19468">
      <c r="R19468" s="100"/>
      <c r="V19468" s="100"/>
      <c r="Y19468" s="100"/>
    </row>
    <row r="19469">
      <c r="R19469" s="100"/>
      <c r="V19469" s="100"/>
      <c r="Y19469" s="100"/>
    </row>
    <row r="19470">
      <c r="R19470" s="100"/>
      <c r="V19470" s="100"/>
      <c r="Y19470" s="100"/>
    </row>
    <row r="19471">
      <c r="R19471" s="100"/>
      <c r="V19471" s="100"/>
      <c r="Y19471" s="100"/>
    </row>
    <row r="19472">
      <c r="R19472" s="100"/>
      <c r="V19472" s="100"/>
      <c r="Y19472" s="100"/>
    </row>
    <row r="19473">
      <c r="R19473" s="100"/>
      <c r="V19473" s="100"/>
      <c r="Y19473" s="100"/>
    </row>
    <row r="19474">
      <c r="R19474" s="100"/>
      <c r="V19474" s="100"/>
      <c r="Y19474" s="100"/>
    </row>
    <row r="19475">
      <c r="R19475" s="100"/>
      <c r="V19475" s="100"/>
      <c r="Y19475" s="100"/>
    </row>
    <row r="19476">
      <c r="R19476" s="100"/>
      <c r="V19476" s="100"/>
      <c r="Y19476" s="100"/>
    </row>
    <row r="19477">
      <c r="R19477" s="100"/>
      <c r="V19477" s="100"/>
      <c r="Y19477" s="100"/>
    </row>
    <row r="19478">
      <c r="R19478" s="100"/>
      <c r="V19478" s="100"/>
      <c r="Y19478" s="100"/>
    </row>
    <row r="19479">
      <c r="R19479" s="100"/>
      <c r="V19479" s="100"/>
      <c r="Y19479" s="100"/>
    </row>
    <row r="19480">
      <c r="R19480" s="100"/>
      <c r="V19480" s="100"/>
      <c r="Y19480" s="100"/>
    </row>
    <row r="19481">
      <c r="R19481" s="100"/>
      <c r="V19481" s="100"/>
      <c r="Y19481" s="100"/>
    </row>
    <row r="19482">
      <c r="R19482" s="100"/>
      <c r="V19482" s="100"/>
      <c r="Y19482" s="100"/>
    </row>
    <row r="19483">
      <c r="R19483" s="100"/>
      <c r="V19483" s="100"/>
      <c r="Y19483" s="100"/>
    </row>
    <row r="19484">
      <c r="R19484" s="100"/>
      <c r="V19484" s="100"/>
      <c r="Y19484" s="100"/>
    </row>
    <row r="19485">
      <c r="R19485" s="100"/>
      <c r="V19485" s="100"/>
      <c r="Y19485" s="100"/>
    </row>
    <row r="19486">
      <c r="R19486" s="100"/>
      <c r="V19486" s="100"/>
      <c r="Y19486" s="100"/>
    </row>
    <row r="19487">
      <c r="R19487" s="100"/>
      <c r="V19487" s="100"/>
      <c r="Y19487" s="100"/>
    </row>
    <row r="19488">
      <c r="R19488" s="100"/>
      <c r="V19488" s="100"/>
      <c r="Y19488" s="100"/>
    </row>
    <row r="19489">
      <c r="R19489" s="100"/>
      <c r="V19489" s="100"/>
      <c r="Y19489" s="100"/>
    </row>
    <row r="19490">
      <c r="R19490" s="100"/>
      <c r="V19490" s="100"/>
      <c r="Y19490" s="100"/>
    </row>
    <row r="19491">
      <c r="R19491" s="100"/>
      <c r="V19491" s="100"/>
      <c r="Y19491" s="100"/>
    </row>
    <row r="19492">
      <c r="R19492" s="100"/>
      <c r="V19492" s="100"/>
      <c r="Y19492" s="100"/>
    </row>
    <row r="19493">
      <c r="R19493" s="100"/>
      <c r="V19493" s="100"/>
      <c r="Y19493" s="100"/>
    </row>
    <row r="19494">
      <c r="R19494" s="100"/>
      <c r="V19494" s="100"/>
      <c r="Y19494" s="100"/>
    </row>
    <row r="19495">
      <c r="R19495" s="100"/>
      <c r="V19495" s="100"/>
      <c r="Y19495" s="100"/>
    </row>
    <row r="19496">
      <c r="R19496" s="100"/>
      <c r="V19496" s="100"/>
      <c r="Y19496" s="100"/>
    </row>
    <row r="19497">
      <c r="R19497" s="100"/>
      <c r="V19497" s="100"/>
      <c r="Y19497" s="100"/>
    </row>
    <row r="19498">
      <c r="R19498" s="100"/>
      <c r="V19498" s="100"/>
      <c r="Y19498" s="100"/>
    </row>
    <row r="19499">
      <c r="R19499" s="100"/>
      <c r="V19499" s="100"/>
      <c r="Y19499" s="100"/>
    </row>
    <row r="19500">
      <c r="R19500" s="100"/>
      <c r="V19500" s="100"/>
      <c r="Y19500" s="100"/>
    </row>
    <row r="19501">
      <c r="R19501" s="100"/>
      <c r="V19501" s="100"/>
      <c r="Y19501" s="100"/>
    </row>
    <row r="19502">
      <c r="R19502" s="100"/>
      <c r="V19502" s="100"/>
      <c r="Y19502" s="100"/>
    </row>
    <row r="19503">
      <c r="R19503" s="100"/>
      <c r="V19503" s="100"/>
      <c r="Y19503" s="100"/>
    </row>
    <row r="19504">
      <c r="R19504" s="100"/>
      <c r="V19504" s="100"/>
      <c r="Y19504" s="100"/>
    </row>
    <row r="19505">
      <c r="R19505" s="100"/>
      <c r="V19505" s="100"/>
      <c r="Y19505" s="100"/>
    </row>
    <row r="19506">
      <c r="R19506" s="100"/>
      <c r="V19506" s="100"/>
      <c r="Y19506" s="100"/>
    </row>
    <row r="19507">
      <c r="R19507" s="100"/>
      <c r="V19507" s="100"/>
      <c r="Y19507" s="100"/>
    </row>
    <row r="19508">
      <c r="R19508" s="100"/>
      <c r="V19508" s="100"/>
      <c r="Y19508" s="100"/>
    </row>
    <row r="19509">
      <c r="R19509" s="100"/>
      <c r="V19509" s="100"/>
      <c r="Y19509" s="100"/>
    </row>
    <row r="19510">
      <c r="R19510" s="100"/>
      <c r="V19510" s="100"/>
      <c r="Y19510" s="100"/>
    </row>
    <row r="19511">
      <c r="R19511" s="100"/>
      <c r="V19511" s="100"/>
      <c r="Y19511" s="100"/>
    </row>
    <row r="19512">
      <c r="R19512" s="100"/>
      <c r="V19512" s="100"/>
      <c r="Y19512" s="100"/>
    </row>
    <row r="19513">
      <c r="R19513" s="100"/>
      <c r="V19513" s="100"/>
      <c r="Y19513" s="100"/>
    </row>
    <row r="19514">
      <c r="R19514" s="100"/>
      <c r="V19514" s="100"/>
      <c r="Y19514" s="100"/>
    </row>
    <row r="19515">
      <c r="R19515" s="100"/>
      <c r="V19515" s="100"/>
      <c r="Y19515" s="100"/>
    </row>
    <row r="19516">
      <c r="R19516" s="100"/>
      <c r="V19516" s="100"/>
      <c r="Y19516" s="100"/>
    </row>
    <row r="19517">
      <c r="R19517" s="100"/>
      <c r="V19517" s="100"/>
      <c r="Y19517" s="100"/>
    </row>
    <row r="19518">
      <c r="R19518" s="100"/>
      <c r="V19518" s="100"/>
      <c r="Y19518" s="100"/>
    </row>
    <row r="19519">
      <c r="R19519" s="100"/>
      <c r="V19519" s="100"/>
      <c r="Y19519" s="100"/>
    </row>
    <row r="19520">
      <c r="R19520" s="100"/>
      <c r="V19520" s="100"/>
      <c r="Y19520" s="100"/>
    </row>
    <row r="19521">
      <c r="R19521" s="100"/>
      <c r="V19521" s="100"/>
      <c r="Y19521" s="100"/>
    </row>
    <row r="19522">
      <c r="R19522" s="100"/>
      <c r="V19522" s="100"/>
      <c r="Y19522" s="100"/>
    </row>
    <row r="19523">
      <c r="R19523" s="100"/>
      <c r="V19523" s="100"/>
      <c r="Y19523" s="100"/>
    </row>
    <row r="19524">
      <c r="R19524" s="100"/>
      <c r="V19524" s="100"/>
      <c r="Y19524" s="100"/>
    </row>
    <row r="19525">
      <c r="R19525" s="100"/>
      <c r="V19525" s="100"/>
      <c r="Y19525" s="100"/>
    </row>
    <row r="19526">
      <c r="R19526" s="100"/>
      <c r="V19526" s="100"/>
      <c r="Y19526" s="100"/>
    </row>
    <row r="19527">
      <c r="R19527" s="100"/>
      <c r="V19527" s="100"/>
      <c r="Y19527" s="100"/>
    </row>
    <row r="19528">
      <c r="R19528" s="100"/>
      <c r="V19528" s="100"/>
      <c r="Y19528" s="100"/>
    </row>
    <row r="19529">
      <c r="R19529" s="100"/>
      <c r="V19529" s="100"/>
      <c r="Y19529" s="100"/>
    </row>
    <row r="19530">
      <c r="R19530" s="100"/>
      <c r="V19530" s="100"/>
      <c r="Y19530" s="100"/>
    </row>
    <row r="19531">
      <c r="R19531" s="100"/>
      <c r="V19531" s="100"/>
      <c r="Y19531" s="100"/>
    </row>
    <row r="19532">
      <c r="R19532" s="100"/>
      <c r="V19532" s="100"/>
      <c r="Y19532" s="100"/>
    </row>
    <row r="19533">
      <c r="R19533" s="100"/>
      <c r="V19533" s="100"/>
      <c r="Y19533" s="100"/>
    </row>
    <row r="19534">
      <c r="R19534" s="100"/>
      <c r="V19534" s="100"/>
      <c r="Y19534" s="100"/>
    </row>
    <row r="19535">
      <c r="R19535" s="100"/>
      <c r="V19535" s="100"/>
      <c r="Y19535" s="100"/>
    </row>
    <row r="19536">
      <c r="R19536" s="100"/>
      <c r="V19536" s="100"/>
      <c r="Y19536" s="100"/>
    </row>
    <row r="19537">
      <c r="R19537" s="100"/>
      <c r="V19537" s="100"/>
      <c r="Y19537" s="100"/>
    </row>
    <row r="19538">
      <c r="R19538" s="100"/>
      <c r="V19538" s="100"/>
      <c r="Y19538" s="100"/>
    </row>
    <row r="19539">
      <c r="R19539" s="100"/>
      <c r="V19539" s="100"/>
      <c r="Y19539" s="100"/>
    </row>
    <row r="19540">
      <c r="R19540" s="100"/>
      <c r="V19540" s="100"/>
      <c r="Y19540" s="100"/>
    </row>
    <row r="19541">
      <c r="R19541" s="100"/>
      <c r="V19541" s="100"/>
      <c r="Y19541" s="100"/>
    </row>
    <row r="19542">
      <c r="R19542" s="100"/>
      <c r="V19542" s="100"/>
      <c r="Y19542" s="100"/>
    </row>
    <row r="19543">
      <c r="R19543" s="100"/>
      <c r="V19543" s="100"/>
      <c r="Y19543" s="100"/>
    </row>
    <row r="19544">
      <c r="R19544" s="100"/>
      <c r="V19544" s="100"/>
      <c r="Y19544" s="100"/>
    </row>
    <row r="19545">
      <c r="R19545" s="100"/>
      <c r="V19545" s="100"/>
      <c r="Y19545" s="100"/>
    </row>
    <row r="19546">
      <c r="R19546" s="100"/>
      <c r="V19546" s="100"/>
      <c r="Y19546" s="100"/>
    </row>
    <row r="19547">
      <c r="R19547" s="100"/>
      <c r="V19547" s="100"/>
      <c r="Y19547" s="100"/>
    </row>
    <row r="19548">
      <c r="R19548" s="100"/>
      <c r="V19548" s="100"/>
      <c r="Y19548" s="100"/>
    </row>
    <row r="19549">
      <c r="R19549" s="100"/>
      <c r="V19549" s="100"/>
      <c r="Y19549" s="100"/>
    </row>
    <row r="19550">
      <c r="R19550" s="100"/>
      <c r="V19550" s="100"/>
      <c r="Y19550" s="100"/>
    </row>
    <row r="19551">
      <c r="R19551" s="100"/>
      <c r="V19551" s="100"/>
      <c r="Y19551" s="100"/>
    </row>
    <row r="19552">
      <c r="R19552" s="100"/>
      <c r="V19552" s="100"/>
      <c r="Y19552" s="100"/>
    </row>
    <row r="19553">
      <c r="R19553" s="100"/>
      <c r="V19553" s="100"/>
      <c r="Y19553" s="100"/>
    </row>
    <row r="19554">
      <c r="R19554" s="100"/>
      <c r="V19554" s="100"/>
      <c r="Y19554" s="100"/>
    </row>
    <row r="19555">
      <c r="R19555" s="100"/>
      <c r="V19555" s="100"/>
      <c r="Y19555" s="100"/>
    </row>
    <row r="19556">
      <c r="R19556" s="100"/>
      <c r="V19556" s="100"/>
      <c r="Y19556" s="100"/>
    </row>
    <row r="19557">
      <c r="R19557" s="100"/>
      <c r="V19557" s="100"/>
      <c r="Y19557" s="100"/>
    </row>
    <row r="19558">
      <c r="R19558" s="100"/>
      <c r="V19558" s="100"/>
      <c r="Y19558" s="100"/>
    </row>
    <row r="19559">
      <c r="R19559" s="100"/>
      <c r="V19559" s="100"/>
      <c r="Y19559" s="100"/>
    </row>
    <row r="19560">
      <c r="R19560" s="100"/>
      <c r="V19560" s="100"/>
      <c r="Y19560" s="100"/>
    </row>
    <row r="19561">
      <c r="R19561" s="100"/>
      <c r="V19561" s="100"/>
      <c r="Y19561" s="100"/>
    </row>
    <row r="19562">
      <c r="R19562" s="100"/>
      <c r="V19562" s="100"/>
      <c r="Y19562" s="100"/>
    </row>
    <row r="19563">
      <c r="R19563" s="100"/>
      <c r="V19563" s="100"/>
      <c r="Y19563" s="100"/>
    </row>
    <row r="19564">
      <c r="R19564" s="100"/>
      <c r="V19564" s="100"/>
      <c r="Y19564" s="100"/>
    </row>
    <row r="19565">
      <c r="R19565" s="100"/>
      <c r="V19565" s="100"/>
      <c r="Y19565" s="100"/>
    </row>
    <row r="19566">
      <c r="R19566" s="100"/>
      <c r="V19566" s="100"/>
      <c r="Y19566" s="100"/>
    </row>
    <row r="19567">
      <c r="R19567" s="100"/>
      <c r="V19567" s="100"/>
      <c r="Y19567" s="100"/>
    </row>
    <row r="19568">
      <c r="R19568" s="100"/>
      <c r="V19568" s="100"/>
      <c r="Y19568" s="100"/>
    </row>
    <row r="19569">
      <c r="R19569" s="100"/>
      <c r="V19569" s="100"/>
      <c r="Y19569" s="100"/>
    </row>
    <row r="19570">
      <c r="R19570" s="100"/>
      <c r="V19570" s="100"/>
      <c r="Y19570" s="100"/>
    </row>
    <row r="19571">
      <c r="R19571" s="100"/>
      <c r="V19571" s="100"/>
      <c r="Y19571" s="100"/>
    </row>
    <row r="19572">
      <c r="R19572" s="100"/>
      <c r="V19572" s="100"/>
      <c r="Y19572" s="100"/>
    </row>
    <row r="19573">
      <c r="R19573" s="100"/>
      <c r="V19573" s="100"/>
      <c r="Y19573" s="100"/>
    </row>
    <row r="19574">
      <c r="R19574" s="100"/>
      <c r="V19574" s="100"/>
      <c r="Y19574" s="100"/>
    </row>
    <row r="19575">
      <c r="R19575" s="100"/>
      <c r="V19575" s="100"/>
      <c r="Y19575" s="100"/>
    </row>
    <row r="19576">
      <c r="R19576" s="100"/>
      <c r="V19576" s="100"/>
      <c r="Y19576" s="100"/>
    </row>
    <row r="19577">
      <c r="R19577" s="100"/>
      <c r="V19577" s="100"/>
      <c r="Y19577" s="100"/>
    </row>
    <row r="19578">
      <c r="R19578" s="100"/>
      <c r="V19578" s="100"/>
      <c r="Y19578" s="100"/>
    </row>
    <row r="19579">
      <c r="R19579" s="100"/>
      <c r="V19579" s="100"/>
      <c r="Y19579" s="100"/>
    </row>
    <row r="19580">
      <c r="R19580" s="100"/>
      <c r="V19580" s="100"/>
      <c r="Y19580" s="100"/>
    </row>
    <row r="19581">
      <c r="R19581" s="100"/>
      <c r="V19581" s="100"/>
      <c r="Y19581" s="100"/>
    </row>
    <row r="19582">
      <c r="R19582" s="100"/>
      <c r="V19582" s="100"/>
      <c r="Y19582" s="100"/>
    </row>
    <row r="19583">
      <c r="R19583" s="100"/>
      <c r="V19583" s="100"/>
      <c r="Y19583" s="100"/>
    </row>
    <row r="19584">
      <c r="R19584" s="100"/>
      <c r="V19584" s="100"/>
      <c r="Y19584" s="100"/>
    </row>
    <row r="19585">
      <c r="R19585" s="100"/>
      <c r="V19585" s="100"/>
      <c r="Y19585" s="100"/>
    </row>
    <row r="19586">
      <c r="R19586" s="100"/>
      <c r="V19586" s="100"/>
      <c r="Y19586" s="100"/>
    </row>
    <row r="19587">
      <c r="R19587" s="100"/>
      <c r="V19587" s="100"/>
      <c r="Y19587" s="100"/>
    </row>
    <row r="19588">
      <c r="R19588" s="100"/>
      <c r="V19588" s="100"/>
      <c r="Y19588" s="100"/>
    </row>
    <row r="19589">
      <c r="R19589" s="100"/>
      <c r="V19589" s="100"/>
      <c r="Y19589" s="100"/>
    </row>
    <row r="19590">
      <c r="R19590" s="100"/>
      <c r="V19590" s="100"/>
      <c r="Y19590" s="100"/>
    </row>
    <row r="19591">
      <c r="R19591" s="100"/>
      <c r="V19591" s="100"/>
      <c r="Y19591" s="100"/>
    </row>
    <row r="19592">
      <c r="R19592" s="100"/>
      <c r="V19592" s="100"/>
      <c r="Y19592" s="100"/>
    </row>
    <row r="19593">
      <c r="R19593" s="100"/>
      <c r="V19593" s="100"/>
      <c r="Y19593" s="100"/>
    </row>
    <row r="19594">
      <c r="R19594" s="100"/>
      <c r="V19594" s="100"/>
      <c r="Y19594" s="100"/>
    </row>
    <row r="19595">
      <c r="R19595" s="100"/>
      <c r="V19595" s="100"/>
      <c r="Y19595" s="100"/>
    </row>
    <row r="19596">
      <c r="R19596" s="100"/>
      <c r="V19596" s="100"/>
      <c r="Y19596" s="100"/>
    </row>
    <row r="19597">
      <c r="R19597" s="100"/>
      <c r="V19597" s="100"/>
      <c r="Y19597" s="100"/>
    </row>
    <row r="19598">
      <c r="R19598" s="100"/>
      <c r="V19598" s="100"/>
      <c r="Y19598" s="100"/>
    </row>
    <row r="19599">
      <c r="R19599" s="100"/>
      <c r="V19599" s="100"/>
      <c r="Y19599" s="100"/>
    </row>
    <row r="19600">
      <c r="R19600" s="100"/>
      <c r="V19600" s="100"/>
      <c r="Y19600" s="100"/>
    </row>
    <row r="19601">
      <c r="R19601" s="100"/>
      <c r="V19601" s="100"/>
      <c r="Y19601" s="100"/>
    </row>
    <row r="19602">
      <c r="R19602" s="100"/>
      <c r="V19602" s="100"/>
      <c r="Y19602" s="100"/>
    </row>
    <row r="19603">
      <c r="R19603" s="100"/>
      <c r="V19603" s="100"/>
      <c r="Y19603" s="100"/>
    </row>
    <row r="19604">
      <c r="R19604" s="100"/>
      <c r="V19604" s="100"/>
      <c r="Y19604" s="100"/>
    </row>
    <row r="19605">
      <c r="R19605" s="100"/>
      <c r="V19605" s="100"/>
      <c r="Y19605" s="100"/>
    </row>
    <row r="19606">
      <c r="R19606" s="100"/>
      <c r="V19606" s="100"/>
      <c r="Y19606" s="100"/>
    </row>
    <row r="19607">
      <c r="R19607" s="100"/>
      <c r="V19607" s="100"/>
      <c r="Y19607" s="100"/>
    </row>
    <row r="19608">
      <c r="R19608" s="100"/>
      <c r="V19608" s="100"/>
      <c r="Y19608" s="100"/>
    </row>
    <row r="19609">
      <c r="R19609" s="100"/>
      <c r="V19609" s="100"/>
      <c r="Y19609" s="100"/>
    </row>
    <row r="19610">
      <c r="R19610" s="100"/>
      <c r="V19610" s="100"/>
      <c r="Y19610" s="100"/>
    </row>
    <row r="19611">
      <c r="R19611" s="100"/>
      <c r="V19611" s="100"/>
      <c r="Y19611" s="100"/>
    </row>
    <row r="19612">
      <c r="R19612" s="100"/>
      <c r="V19612" s="100"/>
      <c r="Y19612" s="100"/>
    </row>
    <row r="19613">
      <c r="R19613" s="100"/>
      <c r="V19613" s="100"/>
      <c r="Y19613" s="100"/>
    </row>
    <row r="19614">
      <c r="R19614" s="100"/>
      <c r="V19614" s="100"/>
      <c r="Y19614" s="100"/>
    </row>
    <row r="19615">
      <c r="R19615" s="100"/>
      <c r="V19615" s="100"/>
      <c r="Y19615" s="100"/>
    </row>
    <row r="19616">
      <c r="R19616" s="100"/>
      <c r="V19616" s="100"/>
      <c r="Y19616" s="100"/>
    </row>
    <row r="19617">
      <c r="R19617" s="100"/>
      <c r="V19617" s="100"/>
      <c r="Y19617" s="100"/>
    </row>
    <row r="19618">
      <c r="R19618" s="100"/>
      <c r="V19618" s="100"/>
      <c r="Y19618" s="100"/>
    </row>
    <row r="19619">
      <c r="R19619" s="100"/>
      <c r="V19619" s="100"/>
      <c r="Y19619" s="100"/>
    </row>
    <row r="19620">
      <c r="R19620" s="100"/>
      <c r="V19620" s="100"/>
      <c r="Y19620" s="100"/>
    </row>
    <row r="19621">
      <c r="R19621" s="100"/>
      <c r="V19621" s="100"/>
      <c r="Y19621" s="100"/>
    </row>
    <row r="19622">
      <c r="R19622" s="100"/>
      <c r="V19622" s="100"/>
      <c r="Y19622" s="100"/>
    </row>
    <row r="19623">
      <c r="R19623" s="100"/>
      <c r="V19623" s="100"/>
      <c r="Y19623" s="100"/>
    </row>
    <row r="19624">
      <c r="R19624" s="100"/>
      <c r="V19624" s="100"/>
      <c r="Y19624" s="100"/>
    </row>
    <row r="19625">
      <c r="R19625" s="100"/>
      <c r="V19625" s="100"/>
      <c r="Y19625" s="100"/>
    </row>
    <row r="19626">
      <c r="R19626" s="100"/>
      <c r="V19626" s="100"/>
      <c r="Y19626" s="100"/>
    </row>
    <row r="19627">
      <c r="R19627" s="100"/>
      <c r="V19627" s="100"/>
      <c r="Y19627" s="100"/>
    </row>
    <row r="19628">
      <c r="R19628" s="100"/>
      <c r="V19628" s="100"/>
      <c r="Y19628" s="100"/>
    </row>
    <row r="19629">
      <c r="R19629" s="100"/>
      <c r="V19629" s="100"/>
      <c r="Y19629" s="100"/>
    </row>
    <row r="19630">
      <c r="R19630" s="100"/>
      <c r="V19630" s="100"/>
      <c r="Y19630" s="100"/>
    </row>
    <row r="19631">
      <c r="R19631" s="100"/>
      <c r="V19631" s="100"/>
      <c r="Y19631" s="100"/>
    </row>
    <row r="19632">
      <c r="R19632" s="100"/>
      <c r="V19632" s="100"/>
      <c r="Y19632" s="100"/>
    </row>
    <row r="19633">
      <c r="R19633" s="100"/>
      <c r="V19633" s="100"/>
      <c r="Y19633" s="100"/>
    </row>
    <row r="19634">
      <c r="R19634" s="100"/>
      <c r="V19634" s="100"/>
      <c r="Y19634" s="100"/>
    </row>
    <row r="19635">
      <c r="R19635" s="100"/>
      <c r="V19635" s="100"/>
      <c r="Y19635" s="100"/>
    </row>
    <row r="19636">
      <c r="R19636" s="100"/>
      <c r="V19636" s="100"/>
      <c r="Y19636" s="100"/>
    </row>
    <row r="19637">
      <c r="R19637" s="100"/>
      <c r="V19637" s="100"/>
      <c r="Y19637" s="100"/>
    </row>
    <row r="19638">
      <c r="R19638" s="100"/>
      <c r="V19638" s="100"/>
      <c r="Y19638" s="100"/>
    </row>
    <row r="19639">
      <c r="R19639" s="100"/>
      <c r="V19639" s="100"/>
      <c r="Y19639" s="100"/>
    </row>
    <row r="19640">
      <c r="R19640" s="100"/>
      <c r="V19640" s="100"/>
      <c r="Y19640" s="100"/>
    </row>
    <row r="19641">
      <c r="R19641" s="100"/>
      <c r="V19641" s="100"/>
      <c r="Y19641" s="100"/>
    </row>
    <row r="19642">
      <c r="R19642" s="100"/>
      <c r="V19642" s="100"/>
      <c r="Y19642" s="100"/>
    </row>
    <row r="19643">
      <c r="R19643" s="100"/>
      <c r="V19643" s="100"/>
      <c r="Y19643" s="100"/>
    </row>
    <row r="19644">
      <c r="R19644" s="100"/>
      <c r="V19644" s="100"/>
      <c r="Y19644" s="100"/>
    </row>
    <row r="19645">
      <c r="R19645" s="100"/>
      <c r="V19645" s="100"/>
      <c r="Y19645" s="100"/>
    </row>
    <row r="19646">
      <c r="R19646" s="100"/>
      <c r="V19646" s="100"/>
      <c r="Y19646" s="100"/>
    </row>
    <row r="19647">
      <c r="R19647" s="100"/>
      <c r="V19647" s="100"/>
      <c r="Y19647" s="100"/>
    </row>
    <row r="19648">
      <c r="R19648" s="100"/>
      <c r="V19648" s="100"/>
      <c r="Y19648" s="100"/>
    </row>
    <row r="19649">
      <c r="R19649" s="100"/>
      <c r="V19649" s="100"/>
      <c r="Y19649" s="100"/>
    </row>
    <row r="19650">
      <c r="R19650" s="100"/>
      <c r="V19650" s="100"/>
      <c r="Y19650" s="100"/>
    </row>
    <row r="19651">
      <c r="R19651" s="100"/>
      <c r="V19651" s="100"/>
      <c r="Y19651" s="100"/>
    </row>
    <row r="19652">
      <c r="R19652" s="100"/>
      <c r="V19652" s="100"/>
      <c r="Y19652" s="100"/>
    </row>
    <row r="19653">
      <c r="R19653" s="100"/>
      <c r="V19653" s="100"/>
      <c r="Y19653" s="100"/>
    </row>
    <row r="19654">
      <c r="R19654" s="100"/>
      <c r="V19654" s="100"/>
      <c r="Y19654" s="100"/>
    </row>
    <row r="19655">
      <c r="R19655" s="100"/>
      <c r="V19655" s="100"/>
      <c r="Y19655" s="100"/>
    </row>
    <row r="19656">
      <c r="R19656" s="100"/>
      <c r="V19656" s="100"/>
      <c r="Y19656" s="100"/>
    </row>
    <row r="19657">
      <c r="R19657" s="100"/>
      <c r="V19657" s="100"/>
      <c r="Y19657" s="100"/>
    </row>
    <row r="19658">
      <c r="R19658" s="100"/>
      <c r="V19658" s="100"/>
      <c r="Y19658" s="100"/>
    </row>
    <row r="19659">
      <c r="R19659" s="100"/>
      <c r="V19659" s="100"/>
      <c r="Y19659" s="100"/>
    </row>
    <row r="19660">
      <c r="R19660" s="100"/>
      <c r="V19660" s="100"/>
      <c r="Y19660" s="100"/>
    </row>
    <row r="19661">
      <c r="R19661" s="100"/>
      <c r="V19661" s="100"/>
      <c r="Y19661" s="100"/>
    </row>
    <row r="19662">
      <c r="R19662" s="100"/>
      <c r="V19662" s="100"/>
      <c r="Y19662" s="100"/>
    </row>
    <row r="19663">
      <c r="R19663" s="100"/>
      <c r="V19663" s="100"/>
      <c r="Y19663" s="100"/>
    </row>
    <row r="19664">
      <c r="R19664" s="100"/>
      <c r="V19664" s="100"/>
      <c r="Y19664" s="100"/>
    </row>
    <row r="19665">
      <c r="R19665" s="100"/>
      <c r="V19665" s="100"/>
      <c r="Y19665" s="100"/>
    </row>
    <row r="19666">
      <c r="R19666" s="100"/>
      <c r="V19666" s="100"/>
      <c r="Y19666" s="100"/>
    </row>
    <row r="19667">
      <c r="R19667" s="100"/>
      <c r="V19667" s="100"/>
      <c r="Y19667" s="100"/>
    </row>
    <row r="19668">
      <c r="R19668" s="100"/>
      <c r="V19668" s="100"/>
      <c r="Y19668" s="100"/>
    </row>
    <row r="19669">
      <c r="R19669" s="100"/>
      <c r="V19669" s="100"/>
      <c r="Y19669" s="100"/>
    </row>
    <row r="19670">
      <c r="R19670" s="100"/>
      <c r="V19670" s="100"/>
      <c r="Y19670" s="100"/>
    </row>
    <row r="19671">
      <c r="R19671" s="100"/>
      <c r="V19671" s="100"/>
      <c r="Y19671" s="100"/>
    </row>
    <row r="19672">
      <c r="R19672" s="100"/>
      <c r="V19672" s="100"/>
      <c r="Y19672" s="100"/>
    </row>
    <row r="19673">
      <c r="R19673" s="100"/>
      <c r="V19673" s="100"/>
      <c r="Y19673" s="100"/>
    </row>
    <row r="19674">
      <c r="R19674" s="100"/>
      <c r="V19674" s="100"/>
      <c r="Y19674" s="100"/>
    </row>
    <row r="19675">
      <c r="R19675" s="100"/>
      <c r="V19675" s="100"/>
      <c r="Y19675" s="100"/>
    </row>
    <row r="19676">
      <c r="R19676" s="100"/>
      <c r="V19676" s="100"/>
      <c r="Y19676" s="100"/>
    </row>
    <row r="19677">
      <c r="R19677" s="100"/>
      <c r="V19677" s="100"/>
      <c r="Y19677" s="100"/>
    </row>
    <row r="19678">
      <c r="R19678" s="100"/>
      <c r="V19678" s="100"/>
      <c r="Y19678" s="100"/>
    </row>
    <row r="19679">
      <c r="R19679" s="100"/>
      <c r="V19679" s="100"/>
      <c r="Y19679" s="100"/>
    </row>
    <row r="19680">
      <c r="R19680" s="100"/>
      <c r="V19680" s="100"/>
      <c r="Y19680" s="100"/>
    </row>
    <row r="19681">
      <c r="R19681" s="100"/>
      <c r="V19681" s="100"/>
      <c r="Y19681" s="100"/>
    </row>
    <row r="19682">
      <c r="R19682" s="100"/>
      <c r="V19682" s="100"/>
      <c r="Y19682" s="100"/>
    </row>
    <row r="19683">
      <c r="R19683" s="100"/>
      <c r="V19683" s="100"/>
      <c r="Y19683" s="100"/>
    </row>
    <row r="19684">
      <c r="R19684" s="100"/>
      <c r="V19684" s="100"/>
      <c r="Y19684" s="100"/>
    </row>
    <row r="19685">
      <c r="R19685" s="100"/>
      <c r="V19685" s="100"/>
      <c r="Y19685" s="100"/>
    </row>
    <row r="19686">
      <c r="R19686" s="100"/>
      <c r="V19686" s="100"/>
      <c r="Y19686" s="100"/>
    </row>
    <row r="19687">
      <c r="R19687" s="100"/>
      <c r="V19687" s="100"/>
      <c r="Y19687" s="100"/>
    </row>
    <row r="19688">
      <c r="R19688" s="100"/>
      <c r="V19688" s="100"/>
      <c r="Y19688" s="100"/>
    </row>
    <row r="19689">
      <c r="R19689" s="100"/>
      <c r="V19689" s="100"/>
      <c r="Y19689" s="100"/>
    </row>
    <row r="19690">
      <c r="R19690" s="100"/>
      <c r="V19690" s="100"/>
      <c r="Y19690" s="100"/>
    </row>
    <row r="19691">
      <c r="R19691" s="100"/>
      <c r="V19691" s="100"/>
      <c r="Y19691" s="100"/>
    </row>
    <row r="19692">
      <c r="R19692" s="100"/>
      <c r="V19692" s="100"/>
      <c r="Y19692" s="100"/>
    </row>
    <row r="19693">
      <c r="R19693" s="100"/>
      <c r="V19693" s="100"/>
      <c r="Y19693" s="100"/>
    </row>
    <row r="19694">
      <c r="R19694" s="100"/>
      <c r="V19694" s="100"/>
      <c r="Y19694" s="100"/>
    </row>
    <row r="19695">
      <c r="R19695" s="100"/>
      <c r="V19695" s="100"/>
      <c r="Y19695" s="100"/>
    </row>
    <row r="19696">
      <c r="R19696" s="100"/>
      <c r="V19696" s="100"/>
      <c r="Y19696" s="100"/>
    </row>
    <row r="19697">
      <c r="R19697" s="100"/>
      <c r="V19697" s="100"/>
      <c r="Y19697" s="100"/>
    </row>
    <row r="19698">
      <c r="R19698" s="100"/>
      <c r="V19698" s="100"/>
      <c r="Y19698" s="100"/>
    </row>
    <row r="19699">
      <c r="R19699" s="100"/>
      <c r="V19699" s="100"/>
      <c r="Y19699" s="100"/>
    </row>
    <row r="19700">
      <c r="R19700" s="100"/>
      <c r="V19700" s="100"/>
      <c r="Y19700" s="100"/>
    </row>
    <row r="19701">
      <c r="R19701" s="100"/>
      <c r="V19701" s="100"/>
      <c r="Y19701" s="100"/>
    </row>
    <row r="19702">
      <c r="R19702" s="100"/>
      <c r="V19702" s="100"/>
      <c r="Y19702" s="100"/>
    </row>
    <row r="19703">
      <c r="R19703" s="100"/>
      <c r="V19703" s="100"/>
      <c r="Y19703" s="100"/>
    </row>
    <row r="19704">
      <c r="R19704" s="100"/>
      <c r="V19704" s="100"/>
      <c r="Y19704" s="100"/>
    </row>
    <row r="19705">
      <c r="R19705" s="100"/>
      <c r="V19705" s="100"/>
      <c r="Y19705" s="100"/>
    </row>
    <row r="19706">
      <c r="R19706" s="100"/>
      <c r="V19706" s="100"/>
      <c r="Y19706" s="100"/>
    </row>
    <row r="19707">
      <c r="R19707" s="100"/>
      <c r="V19707" s="100"/>
      <c r="Y19707" s="100"/>
    </row>
    <row r="19708">
      <c r="R19708" s="100"/>
      <c r="V19708" s="100"/>
      <c r="Y19708" s="100"/>
    </row>
    <row r="19709">
      <c r="R19709" s="100"/>
      <c r="V19709" s="100"/>
      <c r="Y19709" s="100"/>
    </row>
    <row r="19710">
      <c r="R19710" s="100"/>
      <c r="V19710" s="100"/>
      <c r="Y19710" s="100"/>
    </row>
    <row r="19711">
      <c r="R19711" s="100"/>
      <c r="V19711" s="100"/>
      <c r="Y19711" s="100"/>
    </row>
    <row r="19712">
      <c r="R19712" s="100"/>
      <c r="V19712" s="100"/>
      <c r="Y19712" s="100"/>
    </row>
    <row r="19713">
      <c r="R19713" s="100"/>
      <c r="V19713" s="100"/>
      <c r="Y19713" s="100"/>
    </row>
    <row r="19714">
      <c r="R19714" s="100"/>
      <c r="V19714" s="100"/>
      <c r="Y19714" s="100"/>
    </row>
    <row r="19715">
      <c r="R19715" s="100"/>
      <c r="V19715" s="100"/>
      <c r="Y19715" s="100"/>
    </row>
    <row r="19716">
      <c r="R19716" s="100"/>
      <c r="V19716" s="100"/>
      <c r="Y19716" s="100"/>
    </row>
    <row r="19717">
      <c r="R19717" s="100"/>
      <c r="V19717" s="100"/>
      <c r="Y19717" s="100"/>
    </row>
    <row r="19718">
      <c r="R19718" s="100"/>
      <c r="V19718" s="100"/>
      <c r="Y19718" s="100"/>
    </row>
    <row r="19719">
      <c r="R19719" s="100"/>
      <c r="V19719" s="100"/>
      <c r="Y19719" s="100"/>
    </row>
    <row r="19720">
      <c r="R19720" s="100"/>
      <c r="V19720" s="100"/>
      <c r="Y19720" s="100"/>
    </row>
    <row r="19721">
      <c r="R19721" s="100"/>
      <c r="V19721" s="100"/>
      <c r="Y19721" s="100"/>
    </row>
    <row r="19722">
      <c r="R19722" s="100"/>
      <c r="V19722" s="100"/>
      <c r="Y19722" s="100"/>
    </row>
    <row r="19723">
      <c r="R19723" s="100"/>
      <c r="V19723" s="100"/>
      <c r="Y19723" s="100"/>
    </row>
    <row r="19724">
      <c r="R19724" s="100"/>
      <c r="V19724" s="100"/>
      <c r="Y19724" s="100"/>
    </row>
    <row r="19725">
      <c r="R19725" s="100"/>
      <c r="V19725" s="100"/>
      <c r="Y19725" s="100"/>
    </row>
    <row r="19726">
      <c r="R19726" s="100"/>
      <c r="V19726" s="100"/>
      <c r="Y19726" s="100"/>
    </row>
    <row r="19727">
      <c r="R19727" s="100"/>
      <c r="V19727" s="100"/>
      <c r="Y19727" s="100"/>
    </row>
    <row r="19728">
      <c r="R19728" s="100"/>
      <c r="V19728" s="100"/>
      <c r="Y19728" s="100"/>
    </row>
    <row r="19729">
      <c r="R19729" s="100"/>
      <c r="V19729" s="100"/>
      <c r="Y19729" s="100"/>
    </row>
    <row r="19730">
      <c r="R19730" s="100"/>
      <c r="V19730" s="100"/>
      <c r="Y19730" s="100"/>
    </row>
    <row r="19731">
      <c r="R19731" s="100"/>
      <c r="V19731" s="100"/>
      <c r="Y19731" s="100"/>
    </row>
    <row r="19732">
      <c r="R19732" s="100"/>
      <c r="V19732" s="100"/>
      <c r="Y19732" s="100"/>
    </row>
    <row r="19733">
      <c r="R19733" s="100"/>
      <c r="V19733" s="100"/>
      <c r="Y19733" s="100"/>
    </row>
    <row r="19734">
      <c r="R19734" s="100"/>
      <c r="V19734" s="100"/>
      <c r="Y19734" s="100"/>
    </row>
    <row r="19735">
      <c r="R19735" s="100"/>
      <c r="V19735" s="100"/>
      <c r="Y19735" s="100"/>
    </row>
    <row r="19736">
      <c r="R19736" s="100"/>
      <c r="V19736" s="100"/>
      <c r="Y19736" s="100"/>
    </row>
    <row r="19737">
      <c r="R19737" s="100"/>
      <c r="V19737" s="100"/>
      <c r="Y19737" s="100"/>
    </row>
    <row r="19738">
      <c r="R19738" s="100"/>
      <c r="V19738" s="100"/>
      <c r="Y19738" s="100"/>
    </row>
    <row r="19739">
      <c r="R19739" s="100"/>
      <c r="V19739" s="100"/>
      <c r="Y19739" s="100"/>
    </row>
    <row r="19740">
      <c r="R19740" s="100"/>
      <c r="V19740" s="100"/>
      <c r="Y19740" s="100"/>
    </row>
    <row r="19741">
      <c r="R19741" s="100"/>
      <c r="V19741" s="100"/>
      <c r="Y19741" s="100"/>
    </row>
    <row r="19742">
      <c r="R19742" s="100"/>
      <c r="V19742" s="100"/>
      <c r="Y19742" s="100"/>
    </row>
    <row r="19743">
      <c r="R19743" s="100"/>
      <c r="V19743" s="100"/>
      <c r="Y19743" s="100"/>
    </row>
    <row r="19744">
      <c r="R19744" s="100"/>
      <c r="V19744" s="100"/>
      <c r="Y19744" s="100"/>
    </row>
    <row r="19745">
      <c r="R19745" s="100"/>
      <c r="V19745" s="100"/>
      <c r="Y19745" s="100"/>
    </row>
    <row r="19746">
      <c r="R19746" s="100"/>
      <c r="V19746" s="100"/>
      <c r="Y19746" s="100"/>
    </row>
    <row r="19747">
      <c r="R19747" s="100"/>
      <c r="V19747" s="100"/>
      <c r="Y19747" s="100"/>
    </row>
    <row r="19748">
      <c r="R19748" s="100"/>
      <c r="V19748" s="100"/>
      <c r="Y19748" s="100"/>
    </row>
    <row r="19749">
      <c r="R19749" s="100"/>
      <c r="V19749" s="100"/>
      <c r="Y19749" s="100"/>
    </row>
    <row r="19750">
      <c r="R19750" s="100"/>
      <c r="V19750" s="100"/>
      <c r="Y19750" s="100"/>
    </row>
    <row r="19751">
      <c r="R19751" s="100"/>
      <c r="V19751" s="100"/>
      <c r="Y19751" s="100"/>
    </row>
    <row r="19752">
      <c r="R19752" s="100"/>
      <c r="V19752" s="100"/>
      <c r="Y19752" s="100"/>
    </row>
    <row r="19753">
      <c r="R19753" s="100"/>
      <c r="V19753" s="100"/>
      <c r="Y19753" s="100"/>
    </row>
    <row r="19754">
      <c r="R19754" s="100"/>
      <c r="V19754" s="100"/>
      <c r="Y19754" s="100"/>
    </row>
    <row r="19755">
      <c r="R19755" s="100"/>
      <c r="V19755" s="100"/>
      <c r="Y19755" s="100"/>
    </row>
    <row r="19756">
      <c r="R19756" s="100"/>
      <c r="V19756" s="100"/>
      <c r="Y19756" s="100"/>
    </row>
    <row r="19757">
      <c r="R19757" s="100"/>
      <c r="V19757" s="100"/>
      <c r="Y19757" s="100"/>
    </row>
    <row r="19758">
      <c r="R19758" s="100"/>
      <c r="V19758" s="100"/>
      <c r="Y19758" s="100"/>
    </row>
    <row r="19759">
      <c r="R19759" s="100"/>
      <c r="V19759" s="100"/>
      <c r="Y19759" s="100"/>
    </row>
    <row r="19760">
      <c r="R19760" s="100"/>
      <c r="V19760" s="100"/>
      <c r="Y19760" s="100"/>
    </row>
    <row r="19761">
      <c r="R19761" s="100"/>
      <c r="V19761" s="100"/>
      <c r="Y19761" s="100"/>
    </row>
    <row r="19762">
      <c r="R19762" s="100"/>
      <c r="V19762" s="100"/>
      <c r="Y19762" s="100"/>
    </row>
    <row r="19763">
      <c r="R19763" s="100"/>
      <c r="V19763" s="100"/>
      <c r="Y19763" s="100"/>
    </row>
    <row r="19764">
      <c r="R19764" s="100"/>
      <c r="V19764" s="100"/>
      <c r="Y19764" s="100"/>
    </row>
    <row r="19765">
      <c r="R19765" s="100"/>
      <c r="V19765" s="100"/>
      <c r="Y19765" s="100"/>
    </row>
    <row r="19766">
      <c r="R19766" s="100"/>
      <c r="V19766" s="100"/>
      <c r="Y19766" s="100"/>
    </row>
    <row r="19767">
      <c r="R19767" s="100"/>
      <c r="V19767" s="100"/>
      <c r="Y19767" s="100"/>
    </row>
    <row r="19768">
      <c r="R19768" s="100"/>
      <c r="V19768" s="100"/>
      <c r="Y19768" s="100"/>
    </row>
    <row r="19769">
      <c r="R19769" s="100"/>
      <c r="V19769" s="100"/>
      <c r="Y19769" s="100"/>
    </row>
    <row r="19770">
      <c r="R19770" s="100"/>
      <c r="V19770" s="100"/>
      <c r="Y19770" s="100"/>
    </row>
    <row r="19771">
      <c r="R19771" s="100"/>
      <c r="V19771" s="100"/>
      <c r="Y19771" s="100"/>
    </row>
    <row r="19772">
      <c r="R19772" s="100"/>
      <c r="V19772" s="100"/>
      <c r="Y19772" s="100"/>
    </row>
    <row r="19773">
      <c r="R19773" s="100"/>
      <c r="V19773" s="100"/>
      <c r="Y19773" s="100"/>
    </row>
    <row r="19774">
      <c r="R19774" s="100"/>
      <c r="V19774" s="100"/>
      <c r="Y19774" s="100"/>
    </row>
    <row r="19775">
      <c r="R19775" s="100"/>
      <c r="V19775" s="100"/>
      <c r="Y19775" s="100"/>
    </row>
    <row r="19776">
      <c r="R19776" s="100"/>
      <c r="V19776" s="100"/>
      <c r="Y19776" s="100"/>
    </row>
    <row r="19777">
      <c r="R19777" s="100"/>
      <c r="V19777" s="100"/>
      <c r="Y19777" s="100"/>
    </row>
    <row r="19778">
      <c r="R19778" s="100"/>
      <c r="V19778" s="100"/>
      <c r="Y19778" s="100"/>
    </row>
    <row r="19779">
      <c r="R19779" s="100"/>
      <c r="V19779" s="100"/>
      <c r="Y19779" s="100"/>
    </row>
    <row r="19780">
      <c r="R19780" s="100"/>
      <c r="V19780" s="100"/>
      <c r="Y19780" s="100"/>
    </row>
    <row r="19781">
      <c r="R19781" s="100"/>
      <c r="V19781" s="100"/>
      <c r="Y19781" s="100"/>
    </row>
    <row r="19782">
      <c r="R19782" s="100"/>
      <c r="V19782" s="100"/>
      <c r="Y19782" s="100"/>
    </row>
    <row r="19783">
      <c r="R19783" s="100"/>
      <c r="V19783" s="100"/>
      <c r="Y19783" s="100"/>
    </row>
    <row r="19784">
      <c r="R19784" s="100"/>
      <c r="V19784" s="100"/>
      <c r="Y19784" s="100"/>
    </row>
    <row r="19785">
      <c r="R19785" s="100"/>
      <c r="V19785" s="100"/>
      <c r="Y19785" s="100"/>
    </row>
    <row r="19786">
      <c r="R19786" s="100"/>
      <c r="V19786" s="100"/>
      <c r="Y19786" s="100"/>
    </row>
    <row r="19787">
      <c r="R19787" s="100"/>
      <c r="V19787" s="100"/>
      <c r="Y19787" s="100"/>
    </row>
    <row r="19788">
      <c r="R19788" s="100"/>
      <c r="V19788" s="100"/>
      <c r="Y19788" s="100"/>
    </row>
    <row r="19789">
      <c r="R19789" s="100"/>
      <c r="V19789" s="100"/>
      <c r="Y19789" s="100"/>
    </row>
    <row r="19790">
      <c r="R19790" s="100"/>
      <c r="V19790" s="100"/>
      <c r="Y19790" s="100"/>
    </row>
    <row r="19791">
      <c r="R19791" s="100"/>
      <c r="V19791" s="100"/>
      <c r="Y19791" s="100"/>
    </row>
    <row r="19792">
      <c r="R19792" s="100"/>
      <c r="V19792" s="100"/>
      <c r="Y19792" s="100"/>
    </row>
    <row r="19793">
      <c r="R19793" s="100"/>
      <c r="V19793" s="100"/>
      <c r="Y19793" s="100"/>
    </row>
    <row r="19794">
      <c r="R19794" s="100"/>
      <c r="V19794" s="100"/>
      <c r="Y19794" s="100"/>
    </row>
    <row r="19795">
      <c r="R19795" s="100"/>
      <c r="V19795" s="100"/>
      <c r="Y19795" s="100"/>
    </row>
    <row r="19796">
      <c r="R19796" s="100"/>
      <c r="V19796" s="100"/>
      <c r="Y19796" s="100"/>
    </row>
    <row r="19797">
      <c r="R19797" s="100"/>
      <c r="V19797" s="100"/>
      <c r="Y19797" s="100"/>
    </row>
    <row r="19798">
      <c r="R19798" s="100"/>
      <c r="V19798" s="100"/>
      <c r="Y19798" s="100"/>
    </row>
    <row r="19799">
      <c r="R19799" s="100"/>
      <c r="V19799" s="100"/>
      <c r="Y19799" s="100"/>
    </row>
    <row r="19800">
      <c r="R19800" s="100"/>
      <c r="V19800" s="100"/>
      <c r="Y19800" s="100"/>
    </row>
    <row r="19801">
      <c r="R19801" s="100"/>
      <c r="V19801" s="100"/>
      <c r="Y19801" s="100"/>
    </row>
    <row r="19802">
      <c r="R19802" s="100"/>
      <c r="V19802" s="100"/>
      <c r="Y19802" s="100"/>
    </row>
    <row r="19803">
      <c r="R19803" s="100"/>
      <c r="V19803" s="100"/>
      <c r="Y19803" s="100"/>
    </row>
    <row r="19804">
      <c r="R19804" s="100"/>
      <c r="V19804" s="100"/>
      <c r="Y19804" s="100"/>
    </row>
    <row r="19805">
      <c r="R19805" s="100"/>
      <c r="V19805" s="100"/>
      <c r="Y19805" s="100"/>
    </row>
    <row r="19806">
      <c r="R19806" s="100"/>
      <c r="V19806" s="100"/>
      <c r="Y19806" s="100"/>
    </row>
    <row r="19807">
      <c r="R19807" s="100"/>
      <c r="V19807" s="100"/>
      <c r="Y19807" s="100"/>
    </row>
    <row r="19808">
      <c r="R19808" s="100"/>
      <c r="V19808" s="100"/>
      <c r="Y19808" s="100"/>
    </row>
    <row r="19809">
      <c r="R19809" s="100"/>
      <c r="V19809" s="100"/>
      <c r="Y19809" s="100"/>
    </row>
    <row r="19810">
      <c r="R19810" s="100"/>
      <c r="V19810" s="100"/>
      <c r="Y19810" s="100"/>
    </row>
    <row r="19811">
      <c r="R19811" s="100"/>
      <c r="V19811" s="100"/>
      <c r="Y19811" s="100"/>
    </row>
    <row r="19812">
      <c r="R19812" s="100"/>
      <c r="V19812" s="100"/>
      <c r="Y19812" s="100"/>
    </row>
    <row r="19813">
      <c r="R19813" s="100"/>
      <c r="V19813" s="100"/>
      <c r="Y19813" s="100"/>
    </row>
    <row r="19814">
      <c r="R19814" s="100"/>
      <c r="V19814" s="100"/>
      <c r="Y19814" s="100"/>
    </row>
    <row r="19815">
      <c r="R19815" s="100"/>
      <c r="V19815" s="100"/>
      <c r="Y19815" s="100"/>
    </row>
    <row r="19816">
      <c r="R19816" s="100"/>
      <c r="V19816" s="100"/>
      <c r="Y19816" s="100"/>
    </row>
    <row r="19817">
      <c r="R19817" s="100"/>
      <c r="V19817" s="100"/>
      <c r="Y19817" s="100"/>
    </row>
    <row r="19818">
      <c r="R19818" s="100"/>
      <c r="V19818" s="100"/>
      <c r="Y19818" s="100"/>
    </row>
    <row r="19819">
      <c r="R19819" s="100"/>
      <c r="V19819" s="100"/>
      <c r="Y19819" s="100"/>
    </row>
    <row r="19820">
      <c r="R19820" s="100"/>
      <c r="V19820" s="100"/>
      <c r="Y19820" s="100"/>
    </row>
    <row r="19821">
      <c r="R19821" s="100"/>
      <c r="V19821" s="100"/>
      <c r="Y19821" s="100"/>
    </row>
    <row r="19822">
      <c r="R19822" s="100"/>
      <c r="V19822" s="100"/>
      <c r="Y19822" s="100"/>
    </row>
    <row r="19823">
      <c r="R19823" s="100"/>
      <c r="V19823" s="100"/>
      <c r="Y19823" s="100"/>
    </row>
    <row r="19824">
      <c r="R19824" s="100"/>
      <c r="V19824" s="100"/>
      <c r="Y19824" s="100"/>
    </row>
    <row r="19825">
      <c r="R19825" s="100"/>
      <c r="V19825" s="100"/>
      <c r="Y19825" s="100"/>
    </row>
    <row r="19826">
      <c r="R19826" s="100"/>
      <c r="V19826" s="100"/>
      <c r="Y19826" s="100"/>
    </row>
    <row r="19827">
      <c r="R19827" s="100"/>
      <c r="V19827" s="100"/>
      <c r="Y19827" s="100"/>
    </row>
    <row r="19828">
      <c r="R19828" s="100"/>
      <c r="V19828" s="100"/>
      <c r="Y19828" s="100"/>
    </row>
    <row r="19829">
      <c r="R19829" s="100"/>
      <c r="V19829" s="100"/>
      <c r="Y19829" s="100"/>
    </row>
    <row r="19830">
      <c r="R19830" s="100"/>
      <c r="V19830" s="100"/>
      <c r="Y19830" s="100"/>
    </row>
    <row r="19831">
      <c r="R19831" s="100"/>
      <c r="V19831" s="100"/>
      <c r="Y19831" s="100"/>
    </row>
    <row r="19832">
      <c r="R19832" s="100"/>
      <c r="V19832" s="100"/>
      <c r="Y19832" s="100"/>
    </row>
    <row r="19833">
      <c r="R19833" s="100"/>
      <c r="V19833" s="100"/>
      <c r="Y19833" s="100"/>
    </row>
    <row r="19834">
      <c r="R19834" s="100"/>
      <c r="V19834" s="100"/>
      <c r="Y19834" s="100"/>
    </row>
    <row r="19835">
      <c r="R19835" s="100"/>
      <c r="V19835" s="100"/>
      <c r="Y19835" s="100"/>
    </row>
    <row r="19836">
      <c r="R19836" s="100"/>
      <c r="V19836" s="100"/>
      <c r="Y19836" s="100"/>
    </row>
    <row r="19837">
      <c r="R19837" s="100"/>
      <c r="V19837" s="100"/>
      <c r="Y19837" s="100"/>
    </row>
    <row r="19838">
      <c r="R19838" s="100"/>
      <c r="V19838" s="100"/>
      <c r="Y19838" s="100"/>
    </row>
    <row r="19839">
      <c r="R19839" s="100"/>
      <c r="V19839" s="100"/>
      <c r="Y19839" s="100"/>
    </row>
    <row r="19840">
      <c r="R19840" s="100"/>
      <c r="V19840" s="100"/>
      <c r="Y19840" s="100"/>
    </row>
    <row r="19841">
      <c r="R19841" s="100"/>
      <c r="V19841" s="100"/>
      <c r="Y19841" s="100"/>
    </row>
    <row r="19842">
      <c r="R19842" s="100"/>
      <c r="V19842" s="100"/>
      <c r="Y19842" s="100"/>
    </row>
    <row r="19843">
      <c r="R19843" s="100"/>
      <c r="V19843" s="100"/>
      <c r="Y19843" s="100"/>
    </row>
    <row r="19844">
      <c r="R19844" s="100"/>
      <c r="V19844" s="100"/>
      <c r="Y19844" s="100"/>
    </row>
    <row r="19845">
      <c r="R19845" s="100"/>
      <c r="V19845" s="100"/>
      <c r="Y19845" s="100"/>
    </row>
    <row r="19846">
      <c r="R19846" s="100"/>
      <c r="V19846" s="100"/>
      <c r="Y19846" s="100"/>
    </row>
    <row r="19847">
      <c r="R19847" s="100"/>
      <c r="V19847" s="100"/>
      <c r="Y19847" s="100"/>
    </row>
    <row r="19848">
      <c r="R19848" s="100"/>
      <c r="V19848" s="100"/>
      <c r="Y19848" s="100"/>
    </row>
    <row r="19849">
      <c r="R19849" s="100"/>
      <c r="V19849" s="100"/>
      <c r="Y19849" s="100"/>
    </row>
    <row r="19850">
      <c r="R19850" s="100"/>
      <c r="V19850" s="100"/>
      <c r="Y19850" s="100"/>
    </row>
    <row r="19851">
      <c r="R19851" s="100"/>
      <c r="V19851" s="100"/>
      <c r="Y19851" s="100"/>
    </row>
    <row r="19852">
      <c r="R19852" s="100"/>
      <c r="V19852" s="100"/>
      <c r="Y19852" s="100"/>
    </row>
    <row r="19853">
      <c r="R19853" s="100"/>
      <c r="V19853" s="100"/>
      <c r="Y19853" s="100"/>
    </row>
    <row r="19854">
      <c r="R19854" s="100"/>
      <c r="V19854" s="100"/>
      <c r="Y19854" s="100"/>
    </row>
    <row r="19855">
      <c r="R19855" s="100"/>
      <c r="V19855" s="100"/>
      <c r="Y19855" s="100"/>
    </row>
    <row r="19856">
      <c r="R19856" s="100"/>
      <c r="V19856" s="100"/>
      <c r="Y19856" s="100"/>
    </row>
    <row r="19857">
      <c r="R19857" s="100"/>
      <c r="V19857" s="100"/>
      <c r="Y19857" s="100"/>
    </row>
    <row r="19858">
      <c r="R19858" s="100"/>
      <c r="V19858" s="100"/>
      <c r="Y19858" s="100"/>
    </row>
    <row r="19859">
      <c r="R19859" s="100"/>
      <c r="V19859" s="100"/>
      <c r="Y19859" s="100"/>
    </row>
    <row r="19860">
      <c r="R19860" s="100"/>
      <c r="V19860" s="100"/>
      <c r="Y19860" s="100"/>
    </row>
    <row r="19861">
      <c r="R19861" s="100"/>
      <c r="V19861" s="100"/>
      <c r="Y19861" s="100"/>
    </row>
    <row r="19862">
      <c r="R19862" s="100"/>
      <c r="V19862" s="100"/>
      <c r="Y19862" s="100"/>
    </row>
    <row r="19863">
      <c r="R19863" s="100"/>
      <c r="V19863" s="100"/>
      <c r="Y19863" s="100"/>
    </row>
    <row r="19864">
      <c r="R19864" s="100"/>
      <c r="V19864" s="100"/>
      <c r="Y19864" s="100"/>
    </row>
    <row r="19865">
      <c r="R19865" s="100"/>
      <c r="V19865" s="100"/>
      <c r="Y19865" s="100"/>
    </row>
    <row r="19866">
      <c r="R19866" s="100"/>
      <c r="V19866" s="100"/>
      <c r="Y19866" s="100"/>
    </row>
    <row r="19867">
      <c r="R19867" s="100"/>
      <c r="V19867" s="100"/>
      <c r="Y19867" s="100"/>
    </row>
    <row r="19868">
      <c r="R19868" s="100"/>
      <c r="V19868" s="100"/>
      <c r="Y19868" s="100"/>
    </row>
    <row r="19869">
      <c r="R19869" s="100"/>
      <c r="V19869" s="100"/>
      <c r="Y19869" s="100"/>
    </row>
    <row r="19870">
      <c r="R19870" s="100"/>
      <c r="V19870" s="100"/>
      <c r="Y19870" s="100"/>
    </row>
    <row r="19871">
      <c r="R19871" s="100"/>
      <c r="V19871" s="100"/>
      <c r="Y19871" s="100"/>
    </row>
    <row r="19872">
      <c r="R19872" s="100"/>
      <c r="V19872" s="100"/>
      <c r="Y19872" s="100"/>
    </row>
    <row r="19873">
      <c r="R19873" s="100"/>
      <c r="V19873" s="100"/>
      <c r="Y19873" s="100"/>
    </row>
    <row r="19874">
      <c r="R19874" s="100"/>
      <c r="V19874" s="100"/>
      <c r="Y19874" s="100"/>
    </row>
    <row r="19875">
      <c r="R19875" s="100"/>
      <c r="V19875" s="100"/>
      <c r="Y19875" s="100"/>
    </row>
    <row r="19876">
      <c r="R19876" s="100"/>
      <c r="V19876" s="100"/>
      <c r="Y19876" s="100"/>
    </row>
    <row r="19877">
      <c r="R19877" s="100"/>
      <c r="V19877" s="100"/>
      <c r="Y19877" s="100"/>
    </row>
    <row r="19878">
      <c r="R19878" s="100"/>
      <c r="V19878" s="100"/>
      <c r="Y19878" s="100"/>
    </row>
    <row r="19879">
      <c r="R19879" s="100"/>
      <c r="V19879" s="100"/>
      <c r="Y19879" s="100"/>
    </row>
    <row r="19880">
      <c r="R19880" s="100"/>
      <c r="V19880" s="100"/>
      <c r="Y19880" s="100"/>
    </row>
    <row r="19881">
      <c r="R19881" s="100"/>
      <c r="V19881" s="100"/>
      <c r="Y19881" s="100"/>
    </row>
    <row r="19882">
      <c r="R19882" s="100"/>
      <c r="V19882" s="100"/>
      <c r="Y19882" s="100"/>
    </row>
    <row r="19883">
      <c r="R19883" s="100"/>
      <c r="V19883" s="100"/>
      <c r="Y19883" s="100"/>
    </row>
    <row r="19884">
      <c r="R19884" s="100"/>
      <c r="V19884" s="100"/>
      <c r="Y19884" s="100"/>
    </row>
    <row r="19885">
      <c r="R19885" s="100"/>
      <c r="V19885" s="100"/>
      <c r="Y19885" s="100"/>
    </row>
    <row r="19886">
      <c r="R19886" s="100"/>
      <c r="V19886" s="100"/>
      <c r="Y19886" s="100"/>
    </row>
    <row r="19887">
      <c r="R19887" s="100"/>
      <c r="V19887" s="100"/>
      <c r="Y19887" s="100"/>
    </row>
    <row r="19888">
      <c r="R19888" s="100"/>
      <c r="V19888" s="100"/>
      <c r="Y19888" s="100"/>
    </row>
    <row r="19889">
      <c r="R19889" s="100"/>
      <c r="V19889" s="100"/>
      <c r="Y19889" s="100"/>
    </row>
    <row r="19890">
      <c r="R19890" s="100"/>
      <c r="V19890" s="100"/>
      <c r="Y19890" s="100"/>
    </row>
    <row r="19891">
      <c r="R19891" s="100"/>
      <c r="V19891" s="100"/>
      <c r="Y19891" s="100"/>
    </row>
    <row r="19892">
      <c r="R19892" s="100"/>
      <c r="V19892" s="100"/>
      <c r="Y19892" s="100"/>
    </row>
    <row r="19893">
      <c r="R19893" s="100"/>
      <c r="V19893" s="100"/>
      <c r="Y19893" s="100"/>
    </row>
    <row r="19894">
      <c r="R19894" s="100"/>
      <c r="V19894" s="100"/>
      <c r="Y19894" s="100"/>
    </row>
    <row r="19895">
      <c r="R19895" s="100"/>
      <c r="V19895" s="100"/>
      <c r="Y19895" s="100"/>
    </row>
    <row r="19896">
      <c r="R19896" s="100"/>
      <c r="V19896" s="100"/>
      <c r="Y19896" s="100"/>
    </row>
    <row r="19897">
      <c r="R19897" s="100"/>
      <c r="V19897" s="100"/>
      <c r="Y19897" s="100"/>
    </row>
    <row r="19898">
      <c r="R19898" s="100"/>
      <c r="V19898" s="100"/>
      <c r="Y19898" s="100"/>
    </row>
    <row r="19899">
      <c r="R19899" s="100"/>
      <c r="V19899" s="100"/>
      <c r="Y19899" s="100"/>
    </row>
    <row r="19900">
      <c r="R19900" s="100"/>
      <c r="V19900" s="100"/>
      <c r="Y19900" s="100"/>
    </row>
    <row r="19901">
      <c r="R19901" s="100"/>
      <c r="V19901" s="100"/>
      <c r="Y19901" s="100"/>
    </row>
    <row r="19902">
      <c r="R19902" s="100"/>
      <c r="V19902" s="100"/>
      <c r="Y19902" s="100"/>
    </row>
    <row r="19903">
      <c r="R19903" s="100"/>
      <c r="V19903" s="100"/>
      <c r="Y19903" s="100"/>
    </row>
    <row r="19904">
      <c r="R19904" s="100"/>
      <c r="V19904" s="100"/>
      <c r="Y19904" s="100"/>
    </row>
    <row r="19905">
      <c r="R19905" s="100"/>
      <c r="V19905" s="100"/>
      <c r="Y19905" s="100"/>
    </row>
    <row r="19906">
      <c r="R19906" s="100"/>
      <c r="V19906" s="100"/>
      <c r="Y19906" s="100"/>
    </row>
    <row r="19907">
      <c r="R19907" s="100"/>
      <c r="V19907" s="100"/>
      <c r="Y19907" s="100"/>
    </row>
    <row r="19908">
      <c r="R19908" s="100"/>
      <c r="V19908" s="100"/>
      <c r="Y19908" s="100"/>
    </row>
    <row r="19909">
      <c r="R19909" s="100"/>
      <c r="V19909" s="100"/>
      <c r="Y19909" s="100"/>
    </row>
    <row r="19910">
      <c r="R19910" s="100"/>
      <c r="V19910" s="100"/>
      <c r="Y19910" s="100"/>
    </row>
    <row r="19911">
      <c r="R19911" s="100"/>
      <c r="V19911" s="100"/>
      <c r="Y19911" s="100"/>
    </row>
    <row r="19912">
      <c r="R19912" s="100"/>
      <c r="V19912" s="100"/>
      <c r="Y19912" s="100"/>
    </row>
    <row r="19913">
      <c r="R19913" s="100"/>
      <c r="V19913" s="100"/>
      <c r="Y19913" s="100"/>
    </row>
    <row r="19914">
      <c r="R19914" s="100"/>
      <c r="V19914" s="100"/>
      <c r="Y19914" s="100"/>
    </row>
    <row r="19915">
      <c r="R19915" s="100"/>
      <c r="V19915" s="100"/>
      <c r="Y19915" s="100"/>
    </row>
    <row r="19916">
      <c r="R19916" s="100"/>
      <c r="V19916" s="100"/>
      <c r="Y19916" s="100"/>
    </row>
    <row r="19917">
      <c r="R19917" s="100"/>
      <c r="V19917" s="100"/>
      <c r="Y19917" s="100"/>
    </row>
    <row r="19918">
      <c r="R19918" s="100"/>
      <c r="V19918" s="100"/>
      <c r="Y19918" s="100"/>
    </row>
    <row r="19919">
      <c r="R19919" s="100"/>
      <c r="V19919" s="100"/>
      <c r="Y19919" s="100"/>
    </row>
    <row r="19920">
      <c r="R19920" s="100"/>
      <c r="V19920" s="100"/>
      <c r="Y19920" s="100"/>
    </row>
    <row r="19921">
      <c r="R19921" s="100"/>
      <c r="V19921" s="100"/>
      <c r="Y19921" s="100"/>
    </row>
    <row r="19922">
      <c r="R19922" s="100"/>
      <c r="V19922" s="100"/>
      <c r="Y19922" s="100"/>
    </row>
    <row r="19923">
      <c r="R19923" s="100"/>
      <c r="V19923" s="100"/>
      <c r="Y19923" s="100"/>
    </row>
    <row r="19924">
      <c r="R19924" s="100"/>
      <c r="V19924" s="100"/>
      <c r="Y19924" s="100"/>
    </row>
    <row r="19925">
      <c r="R19925" s="100"/>
      <c r="V19925" s="100"/>
      <c r="Y19925" s="100"/>
    </row>
    <row r="19926">
      <c r="R19926" s="100"/>
      <c r="V19926" s="100"/>
      <c r="Y19926" s="100"/>
    </row>
    <row r="19927">
      <c r="R19927" s="100"/>
      <c r="V19927" s="100"/>
      <c r="Y19927" s="100"/>
    </row>
    <row r="19928">
      <c r="R19928" s="100"/>
      <c r="V19928" s="100"/>
      <c r="Y19928" s="100"/>
    </row>
    <row r="19929">
      <c r="R19929" s="100"/>
      <c r="V19929" s="100"/>
      <c r="Y19929" s="100"/>
    </row>
    <row r="19930">
      <c r="R19930" s="100"/>
      <c r="V19930" s="100"/>
      <c r="Y19930" s="100"/>
    </row>
    <row r="19931">
      <c r="R19931" s="100"/>
      <c r="V19931" s="100"/>
      <c r="Y19931" s="100"/>
    </row>
    <row r="19932">
      <c r="R19932" s="100"/>
      <c r="V19932" s="100"/>
      <c r="Y19932" s="100"/>
    </row>
    <row r="19933">
      <c r="R19933" s="100"/>
      <c r="V19933" s="100"/>
      <c r="Y19933" s="100"/>
    </row>
    <row r="19934">
      <c r="R19934" s="100"/>
      <c r="V19934" s="100"/>
      <c r="Y19934" s="100"/>
    </row>
    <row r="19935">
      <c r="R19935" s="100"/>
      <c r="V19935" s="100"/>
      <c r="Y19935" s="100"/>
    </row>
    <row r="19936">
      <c r="R19936" s="100"/>
      <c r="V19936" s="100"/>
      <c r="Y19936" s="100"/>
    </row>
    <row r="19937">
      <c r="R19937" s="100"/>
      <c r="V19937" s="100"/>
      <c r="Y19937" s="100"/>
    </row>
    <row r="19938">
      <c r="R19938" s="100"/>
      <c r="V19938" s="100"/>
      <c r="Y19938" s="100"/>
    </row>
    <row r="19939">
      <c r="R19939" s="100"/>
      <c r="V19939" s="100"/>
      <c r="Y19939" s="100"/>
    </row>
    <row r="19940">
      <c r="R19940" s="100"/>
      <c r="V19940" s="100"/>
      <c r="Y19940" s="100"/>
    </row>
    <row r="19941">
      <c r="R19941" s="100"/>
      <c r="V19941" s="100"/>
      <c r="Y19941" s="100"/>
    </row>
    <row r="19942">
      <c r="R19942" s="100"/>
      <c r="V19942" s="100"/>
      <c r="Y19942" s="100"/>
    </row>
    <row r="19943">
      <c r="R19943" s="100"/>
      <c r="V19943" s="100"/>
      <c r="Y19943" s="100"/>
    </row>
    <row r="19944">
      <c r="R19944" s="100"/>
      <c r="V19944" s="100"/>
      <c r="Y19944" s="100"/>
    </row>
    <row r="19945">
      <c r="R19945" s="100"/>
      <c r="V19945" s="100"/>
      <c r="Y19945" s="100"/>
    </row>
    <row r="19946">
      <c r="R19946" s="100"/>
      <c r="V19946" s="100"/>
      <c r="Y19946" s="100"/>
    </row>
    <row r="19947">
      <c r="R19947" s="100"/>
      <c r="V19947" s="100"/>
      <c r="Y19947" s="100"/>
    </row>
    <row r="19948">
      <c r="R19948" s="100"/>
      <c r="V19948" s="100"/>
      <c r="Y19948" s="100"/>
    </row>
    <row r="19949">
      <c r="R19949" s="100"/>
      <c r="V19949" s="100"/>
      <c r="Y19949" s="100"/>
    </row>
    <row r="19950">
      <c r="R19950" s="100"/>
      <c r="V19950" s="100"/>
      <c r="Y19950" s="100"/>
    </row>
    <row r="19951">
      <c r="R19951" s="100"/>
      <c r="V19951" s="100"/>
      <c r="Y19951" s="100"/>
    </row>
    <row r="19952">
      <c r="R19952" s="100"/>
      <c r="V19952" s="100"/>
      <c r="Y19952" s="100"/>
    </row>
    <row r="19953">
      <c r="R19953" s="100"/>
      <c r="V19953" s="100"/>
      <c r="Y19953" s="100"/>
    </row>
    <row r="19954">
      <c r="R19954" s="100"/>
      <c r="V19954" s="100"/>
      <c r="Y19954" s="100"/>
    </row>
    <row r="19955">
      <c r="R19955" s="100"/>
      <c r="V19955" s="100"/>
      <c r="Y19955" s="100"/>
    </row>
    <row r="19956">
      <c r="R19956" s="100"/>
      <c r="V19956" s="100"/>
      <c r="Y19956" s="100"/>
    </row>
    <row r="19957">
      <c r="R19957" s="100"/>
      <c r="V19957" s="100"/>
      <c r="Y19957" s="100"/>
    </row>
    <row r="19958">
      <c r="R19958" s="100"/>
      <c r="V19958" s="100"/>
      <c r="Y19958" s="100"/>
    </row>
    <row r="19959">
      <c r="R19959" s="100"/>
      <c r="V19959" s="100"/>
      <c r="Y19959" s="100"/>
    </row>
    <row r="19960">
      <c r="R19960" s="100"/>
      <c r="V19960" s="100"/>
      <c r="Y19960" s="100"/>
    </row>
    <row r="19961">
      <c r="R19961" s="100"/>
      <c r="V19961" s="100"/>
      <c r="Y19961" s="100"/>
    </row>
    <row r="19962">
      <c r="R19962" s="100"/>
      <c r="V19962" s="100"/>
      <c r="Y19962" s="100"/>
    </row>
    <row r="19963">
      <c r="R19963" s="100"/>
      <c r="V19963" s="100"/>
      <c r="Y19963" s="100"/>
    </row>
    <row r="19964">
      <c r="R19964" s="100"/>
      <c r="V19964" s="100"/>
      <c r="Y19964" s="100"/>
    </row>
    <row r="19965">
      <c r="R19965" s="100"/>
      <c r="V19965" s="100"/>
      <c r="Y19965" s="100"/>
    </row>
    <row r="19966">
      <c r="R19966" s="100"/>
      <c r="V19966" s="100"/>
      <c r="Y19966" s="100"/>
    </row>
    <row r="19967">
      <c r="R19967" s="100"/>
      <c r="V19967" s="100"/>
      <c r="Y19967" s="100"/>
    </row>
    <row r="19968">
      <c r="R19968" s="100"/>
      <c r="V19968" s="100"/>
      <c r="Y19968" s="100"/>
    </row>
    <row r="19969">
      <c r="R19969" s="100"/>
      <c r="V19969" s="100"/>
      <c r="Y19969" s="100"/>
    </row>
    <row r="19970">
      <c r="R19970" s="100"/>
      <c r="V19970" s="100"/>
      <c r="Y19970" s="100"/>
    </row>
    <row r="19971">
      <c r="R19971" s="100"/>
      <c r="V19971" s="100"/>
      <c r="Y19971" s="100"/>
    </row>
    <row r="19972">
      <c r="R19972" s="100"/>
      <c r="V19972" s="100"/>
      <c r="Y19972" s="100"/>
    </row>
    <row r="19973">
      <c r="R19973" s="100"/>
      <c r="V19973" s="100"/>
      <c r="Y19973" s="100"/>
    </row>
    <row r="19974">
      <c r="R19974" s="100"/>
      <c r="V19974" s="100"/>
      <c r="Y19974" s="100"/>
    </row>
    <row r="19975">
      <c r="R19975" s="100"/>
      <c r="V19975" s="100"/>
      <c r="Y19975" s="100"/>
    </row>
    <row r="19976">
      <c r="R19976" s="100"/>
      <c r="V19976" s="100"/>
      <c r="Y19976" s="100"/>
    </row>
    <row r="19977">
      <c r="R19977" s="100"/>
      <c r="V19977" s="100"/>
      <c r="Y19977" s="100"/>
    </row>
    <row r="19978">
      <c r="R19978" s="100"/>
      <c r="V19978" s="100"/>
      <c r="Y19978" s="100"/>
    </row>
    <row r="19979">
      <c r="R19979" s="100"/>
      <c r="V19979" s="100"/>
      <c r="Y19979" s="100"/>
    </row>
    <row r="19980">
      <c r="R19980" s="100"/>
      <c r="V19980" s="100"/>
      <c r="Y19980" s="100"/>
    </row>
    <row r="19981">
      <c r="R19981" s="100"/>
      <c r="V19981" s="100"/>
      <c r="Y19981" s="100"/>
    </row>
    <row r="19982">
      <c r="R19982" s="100"/>
      <c r="V19982" s="100"/>
      <c r="Y19982" s="100"/>
    </row>
    <row r="19983">
      <c r="R19983" s="100"/>
      <c r="V19983" s="100"/>
      <c r="Y19983" s="100"/>
    </row>
    <row r="19984">
      <c r="R19984" s="100"/>
      <c r="V19984" s="100"/>
      <c r="Y19984" s="100"/>
    </row>
    <row r="19985">
      <c r="R19985" s="100"/>
      <c r="V19985" s="100"/>
      <c r="Y19985" s="100"/>
    </row>
    <row r="19986">
      <c r="R19986" s="100"/>
      <c r="V19986" s="100"/>
      <c r="Y19986" s="100"/>
    </row>
    <row r="19987">
      <c r="R19987" s="100"/>
      <c r="V19987" s="100"/>
      <c r="Y19987" s="100"/>
    </row>
    <row r="19988">
      <c r="R19988" s="100"/>
      <c r="V19988" s="100"/>
      <c r="Y19988" s="100"/>
    </row>
    <row r="19989">
      <c r="R19989" s="100"/>
      <c r="V19989" s="100"/>
      <c r="Y19989" s="100"/>
    </row>
    <row r="19990">
      <c r="R19990" s="100"/>
      <c r="V19990" s="100"/>
      <c r="Y19990" s="100"/>
    </row>
    <row r="19991">
      <c r="R19991" s="100"/>
      <c r="V19991" s="100"/>
      <c r="Y19991" s="100"/>
    </row>
    <row r="19992">
      <c r="R19992" s="100"/>
      <c r="V19992" s="100"/>
      <c r="Y19992" s="100"/>
    </row>
    <row r="19993">
      <c r="R19993" s="100"/>
      <c r="V19993" s="100"/>
      <c r="Y19993" s="100"/>
    </row>
    <row r="19994">
      <c r="R19994" s="100"/>
      <c r="V19994" s="100"/>
      <c r="Y19994" s="100"/>
    </row>
    <row r="19995">
      <c r="R19995" s="100"/>
      <c r="V19995" s="100"/>
      <c r="Y19995" s="100"/>
    </row>
    <row r="19996">
      <c r="R19996" s="100"/>
      <c r="V19996" s="100"/>
      <c r="Y19996" s="100"/>
    </row>
    <row r="19997">
      <c r="R19997" s="100"/>
      <c r="V19997" s="100"/>
      <c r="Y19997" s="100"/>
    </row>
    <row r="19998">
      <c r="R19998" s="100"/>
      <c r="V19998" s="100"/>
      <c r="Y19998" s="100"/>
    </row>
    <row r="19999">
      <c r="R19999" s="100"/>
      <c r="V19999" s="100"/>
      <c r="Y19999" s="100"/>
    </row>
    <row r="20000">
      <c r="R20000" s="100"/>
      <c r="V20000" s="100"/>
      <c r="Y20000" s="100"/>
    </row>
    <row r="20001">
      <c r="R20001" s="100"/>
      <c r="V20001" s="100"/>
      <c r="Y20001" s="100"/>
    </row>
    <row r="20002">
      <c r="R20002" s="100"/>
      <c r="V20002" s="100"/>
      <c r="Y20002" s="100"/>
    </row>
    <row r="20003">
      <c r="R20003" s="100"/>
      <c r="V20003" s="100"/>
      <c r="Y20003" s="100"/>
    </row>
    <row r="20004">
      <c r="R20004" s="100"/>
      <c r="V20004" s="100"/>
      <c r="Y20004" s="100"/>
    </row>
    <row r="20005">
      <c r="R20005" s="100"/>
      <c r="V20005" s="100"/>
      <c r="Y20005" s="100"/>
    </row>
    <row r="20006">
      <c r="R20006" s="100"/>
      <c r="V20006" s="100"/>
      <c r="Y20006" s="100"/>
    </row>
    <row r="20007">
      <c r="R20007" s="100"/>
      <c r="V20007" s="100"/>
      <c r="Y20007" s="100"/>
    </row>
    <row r="20008">
      <c r="R20008" s="100"/>
      <c r="V20008" s="100"/>
      <c r="Y20008" s="100"/>
    </row>
    <row r="20009">
      <c r="R20009" s="100"/>
      <c r="V20009" s="100"/>
      <c r="Y20009" s="100"/>
    </row>
    <row r="20010">
      <c r="R20010" s="100"/>
      <c r="V20010" s="100"/>
      <c r="Y20010" s="100"/>
    </row>
    <row r="20011">
      <c r="R20011" s="100"/>
      <c r="V20011" s="100"/>
      <c r="Y20011" s="100"/>
    </row>
    <row r="20012">
      <c r="R20012" s="100"/>
      <c r="V20012" s="100"/>
      <c r="Y20012" s="100"/>
    </row>
    <row r="20013">
      <c r="R20013" s="100"/>
      <c r="V20013" s="100"/>
      <c r="Y20013" s="100"/>
    </row>
    <row r="20014">
      <c r="R20014" s="100"/>
      <c r="V20014" s="100"/>
      <c r="Y20014" s="100"/>
    </row>
    <row r="20015">
      <c r="R20015" s="100"/>
      <c r="V20015" s="100"/>
      <c r="Y20015" s="100"/>
    </row>
    <row r="20016">
      <c r="R20016" s="100"/>
      <c r="V20016" s="100"/>
      <c r="Y20016" s="100"/>
    </row>
    <row r="20017">
      <c r="R20017" s="100"/>
      <c r="V20017" s="100"/>
      <c r="Y20017" s="100"/>
    </row>
    <row r="20018">
      <c r="R20018" s="100"/>
      <c r="V20018" s="100"/>
      <c r="Y20018" s="100"/>
    </row>
    <row r="20019">
      <c r="R20019" s="100"/>
      <c r="V20019" s="100"/>
      <c r="Y20019" s="100"/>
    </row>
    <row r="20020">
      <c r="R20020" s="100"/>
      <c r="V20020" s="100"/>
      <c r="Y20020" s="100"/>
    </row>
    <row r="20021">
      <c r="R20021" s="100"/>
      <c r="V20021" s="100"/>
      <c r="Y20021" s="100"/>
    </row>
    <row r="20022">
      <c r="R20022" s="100"/>
      <c r="V20022" s="100"/>
      <c r="Y20022" s="100"/>
    </row>
    <row r="20023">
      <c r="R20023" s="100"/>
      <c r="V20023" s="100"/>
      <c r="Y20023" s="100"/>
    </row>
    <row r="20024">
      <c r="R20024" s="100"/>
      <c r="V20024" s="100"/>
      <c r="Y20024" s="100"/>
    </row>
    <row r="20025">
      <c r="R20025" s="100"/>
      <c r="V20025" s="100"/>
      <c r="Y20025" s="100"/>
    </row>
    <row r="20026">
      <c r="R20026" s="100"/>
      <c r="V20026" s="100"/>
      <c r="Y20026" s="100"/>
    </row>
    <row r="20027">
      <c r="R20027" s="100"/>
      <c r="V20027" s="100"/>
      <c r="Y20027" s="100"/>
    </row>
    <row r="20028">
      <c r="R20028" s="100"/>
      <c r="V20028" s="100"/>
      <c r="Y20028" s="100"/>
    </row>
    <row r="20029">
      <c r="R20029" s="100"/>
      <c r="V20029" s="100"/>
      <c r="Y20029" s="100"/>
    </row>
    <row r="20030">
      <c r="R20030" s="100"/>
      <c r="V20030" s="100"/>
      <c r="Y20030" s="100"/>
    </row>
    <row r="20031">
      <c r="R20031" s="100"/>
      <c r="V20031" s="100"/>
      <c r="Y20031" s="100"/>
    </row>
    <row r="20032">
      <c r="R20032" s="100"/>
      <c r="V20032" s="100"/>
      <c r="Y20032" s="100"/>
    </row>
    <row r="20033">
      <c r="R20033" s="100"/>
      <c r="V20033" s="100"/>
      <c r="Y20033" s="100"/>
    </row>
    <row r="20034">
      <c r="R20034" s="100"/>
      <c r="V20034" s="100"/>
      <c r="Y20034" s="100"/>
    </row>
    <row r="20035">
      <c r="R20035" s="100"/>
      <c r="V20035" s="100"/>
      <c r="Y20035" s="100"/>
    </row>
    <row r="20036">
      <c r="R20036" s="100"/>
      <c r="V20036" s="100"/>
      <c r="Y20036" s="100"/>
    </row>
    <row r="20037">
      <c r="R20037" s="100"/>
      <c r="V20037" s="100"/>
      <c r="Y20037" s="100"/>
    </row>
    <row r="20038">
      <c r="R20038" s="100"/>
      <c r="V20038" s="100"/>
      <c r="Y20038" s="100"/>
    </row>
    <row r="20039">
      <c r="R20039" s="100"/>
      <c r="V20039" s="100"/>
      <c r="Y20039" s="100"/>
    </row>
    <row r="20040">
      <c r="R20040" s="100"/>
      <c r="V20040" s="100"/>
      <c r="Y20040" s="100"/>
    </row>
    <row r="20041">
      <c r="R20041" s="100"/>
      <c r="V20041" s="100"/>
      <c r="Y20041" s="100"/>
    </row>
    <row r="20042">
      <c r="R20042" s="100"/>
      <c r="V20042" s="100"/>
      <c r="Y20042" s="100"/>
    </row>
    <row r="20043">
      <c r="R20043" s="100"/>
      <c r="V20043" s="100"/>
      <c r="Y20043" s="100"/>
    </row>
    <row r="20044">
      <c r="R20044" s="100"/>
      <c r="V20044" s="100"/>
      <c r="Y20044" s="100"/>
    </row>
    <row r="20045">
      <c r="R20045" s="100"/>
      <c r="V20045" s="100"/>
      <c r="Y20045" s="100"/>
    </row>
    <row r="20046">
      <c r="R20046" s="100"/>
      <c r="V20046" s="100"/>
      <c r="Y20046" s="100"/>
    </row>
    <row r="20047">
      <c r="R20047" s="100"/>
      <c r="V20047" s="100"/>
      <c r="Y20047" s="100"/>
    </row>
    <row r="20048">
      <c r="R20048" s="100"/>
      <c r="V20048" s="100"/>
      <c r="Y20048" s="100"/>
    </row>
    <row r="20049">
      <c r="R20049" s="100"/>
      <c r="V20049" s="100"/>
      <c r="Y20049" s="100"/>
    </row>
    <row r="20050">
      <c r="R20050" s="100"/>
      <c r="V20050" s="100"/>
      <c r="Y20050" s="100"/>
    </row>
    <row r="20051">
      <c r="R20051" s="100"/>
      <c r="V20051" s="100"/>
      <c r="Y20051" s="100"/>
    </row>
    <row r="20052">
      <c r="R20052" s="100"/>
      <c r="V20052" s="100"/>
      <c r="Y20052" s="100"/>
    </row>
    <row r="20053">
      <c r="R20053" s="100"/>
      <c r="V20053" s="100"/>
      <c r="Y20053" s="100"/>
    </row>
    <row r="20054">
      <c r="R20054" s="100"/>
      <c r="V20054" s="100"/>
      <c r="Y20054" s="100"/>
    </row>
    <row r="20055">
      <c r="R20055" s="100"/>
      <c r="V20055" s="100"/>
      <c r="Y20055" s="100"/>
    </row>
    <row r="20056">
      <c r="R20056" s="100"/>
      <c r="V20056" s="100"/>
      <c r="Y20056" s="100"/>
    </row>
    <row r="20057">
      <c r="R20057" s="100"/>
      <c r="V20057" s="100"/>
      <c r="Y20057" s="100"/>
    </row>
    <row r="20058">
      <c r="R20058" s="100"/>
      <c r="V20058" s="100"/>
      <c r="Y20058" s="100"/>
    </row>
    <row r="20059">
      <c r="R20059" s="100"/>
      <c r="V20059" s="100"/>
      <c r="Y20059" s="100"/>
    </row>
    <row r="20060">
      <c r="R20060" s="100"/>
      <c r="V20060" s="100"/>
      <c r="Y20060" s="100"/>
    </row>
    <row r="20061">
      <c r="R20061" s="100"/>
      <c r="V20061" s="100"/>
      <c r="Y20061" s="100"/>
    </row>
    <row r="20062">
      <c r="R20062" s="100"/>
      <c r="V20062" s="100"/>
      <c r="Y20062" s="100"/>
    </row>
    <row r="20063">
      <c r="R20063" s="100"/>
      <c r="V20063" s="100"/>
      <c r="Y20063" s="100"/>
    </row>
    <row r="20064">
      <c r="R20064" s="100"/>
      <c r="V20064" s="100"/>
      <c r="Y20064" s="100"/>
    </row>
    <row r="20065">
      <c r="R20065" s="100"/>
      <c r="V20065" s="100"/>
      <c r="Y20065" s="100"/>
    </row>
    <row r="20066">
      <c r="R20066" s="100"/>
      <c r="V20066" s="100"/>
      <c r="Y20066" s="100"/>
    </row>
    <row r="20067">
      <c r="R20067" s="100"/>
      <c r="V20067" s="100"/>
      <c r="Y20067" s="100"/>
    </row>
    <row r="20068">
      <c r="R20068" s="100"/>
      <c r="V20068" s="100"/>
      <c r="Y20068" s="100"/>
    </row>
    <row r="20069">
      <c r="R20069" s="100"/>
      <c r="V20069" s="100"/>
      <c r="Y20069" s="100"/>
    </row>
    <row r="20070">
      <c r="R20070" s="100"/>
      <c r="V20070" s="100"/>
      <c r="Y20070" s="100"/>
    </row>
    <row r="20071">
      <c r="R20071" s="100"/>
      <c r="V20071" s="100"/>
      <c r="Y20071" s="100"/>
    </row>
    <row r="20072">
      <c r="R20072" s="100"/>
      <c r="V20072" s="100"/>
      <c r="Y20072" s="100"/>
    </row>
    <row r="20073">
      <c r="R20073" s="100"/>
      <c r="V20073" s="100"/>
      <c r="Y20073" s="100"/>
    </row>
    <row r="20074">
      <c r="R20074" s="100"/>
      <c r="V20074" s="100"/>
      <c r="Y20074" s="100"/>
    </row>
    <row r="20075">
      <c r="R20075" s="100"/>
      <c r="V20075" s="100"/>
      <c r="Y20075" s="100"/>
    </row>
    <row r="20076">
      <c r="R20076" s="100"/>
      <c r="V20076" s="100"/>
      <c r="Y20076" s="100"/>
    </row>
    <row r="20077">
      <c r="R20077" s="100"/>
      <c r="V20077" s="100"/>
      <c r="Y20077" s="100"/>
    </row>
    <row r="20078">
      <c r="R20078" s="100"/>
      <c r="V20078" s="100"/>
      <c r="Y20078" s="100"/>
    </row>
    <row r="20079">
      <c r="R20079" s="100"/>
      <c r="V20079" s="100"/>
      <c r="Y20079" s="100"/>
    </row>
    <row r="20080">
      <c r="R20080" s="100"/>
      <c r="V20080" s="100"/>
      <c r="Y20080" s="100"/>
    </row>
    <row r="20081">
      <c r="R20081" s="100"/>
      <c r="V20081" s="100"/>
      <c r="Y20081" s="100"/>
    </row>
    <row r="20082">
      <c r="R20082" s="100"/>
      <c r="V20082" s="100"/>
      <c r="Y20082" s="100"/>
    </row>
    <row r="20083">
      <c r="R20083" s="100"/>
      <c r="V20083" s="100"/>
      <c r="Y20083" s="100"/>
    </row>
    <row r="20084">
      <c r="R20084" s="100"/>
      <c r="V20084" s="100"/>
      <c r="Y20084" s="100"/>
    </row>
    <row r="20085">
      <c r="R20085" s="100"/>
      <c r="V20085" s="100"/>
      <c r="Y20085" s="100"/>
    </row>
    <row r="20086">
      <c r="R20086" s="100"/>
      <c r="V20086" s="100"/>
      <c r="Y20086" s="100"/>
    </row>
    <row r="20087">
      <c r="R20087" s="100"/>
      <c r="V20087" s="100"/>
      <c r="Y20087" s="100"/>
    </row>
    <row r="20088">
      <c r="R20088" s="100"/>
      <c r="V20088" s="100"/>
      <c r="Y20088" s="100"/>
    </row>
    <row r="20089">
      <c r="R20089" s="100"/>
      <c r="V20089" s="100"/>
      <c r="Y20089" s="100"/>
    </row>
    <row r="20090">
      <c r="R20090" s="100"/>
      <c r="V20090" s="100"/>
      <c r="Y20090" s="100"/>
    </row>
    <row r="20091">
      <c r="R20091" s="100"/>
      <c r="V20091" s="100"/>
      <c r="Y20091" s="100"/>
    </row>
    <row r="20092">
      <c r="R20092" s="100"/>
      <c r="V20092" s="100"/>
      <c r="Y20092" s="100"/>
    </row>
    <row r="20093">
      <c r="R20093" s="100"/>
      <c r="V20093" s="100"/>
      <c r="Y20093" s="100"/>
    </row>
    <row r="20094">
      <c r="R20094" s="100"/>
      <c r="V20094" s="100"/>
      <c r="Y20094" s="100"/>
    </row>
    <row r="20095">
      <c r="R20095" s="100"/>
      <c r="V20095" s="100"/>
      <c r="Y20095" s="100"/>
    </row>
    <row r="20096">
      <c r="R20096" s="100"/>
      <c r="V20096" s="100"/>
      <c r="Y20096" s="100"/>
    </row>
    <row r="20097">
      <c r="R20097" s="100"/>
      <c r="V20097" s="100"/>
      <c r="Y20097" s="100"/>
    </row>
    <row r="20098">
      <c r="R20098" s="100"/>
      <c r="V20098" s="100"/>
      <c r="Y20098" s="100"/>
    </row>
    <row r="20099">
      <c r="R20099" s="100"/>
      <c r="V20099" s="100"/>
      <c r="Y20099" s="100"/>
    </row>
    <row r="20100">
      <c r="R20100" s="100"/>
      <c r="V20100" s="100"/>
      <c r="Y20100" s="100"/>
    </row>
    <row r="20101">
      <c r="R20101" s="100"/>
      <c r="V20101" s="100"/>
      <c r="Y20101" s="100"/>
    </row>
    <row r="20102">
      <c r="R20102" s="100"/>
      <c r="V20102" s="100"/>
      <c r="Y20102" s="100"/>
    </row>
    <row r="20103">
      <c r="R20103" s="100"/>
      <c r="V20103" s="100"/>
      <c r="Y20103" s="100"/>
    </row>
    <row r="20104">
      <c r="R20104" s="100"/>
      <c r="V20104" s="100"/>
      <c r="Y20104" s="100"/>
    </row>
    <row r="20105">
      <c r="R20105" s="100"/>
      <c r="V20105" s="100"/>
      <c r="Y20105" s="100"/>
    </row>
    <row r="20106">
      <c r="R20106" s="100"/>
      <c r="V20106" s="100"/>
      <c r="Y20106" s="100"/>
    </row>
    <row r="20107">
      <c r="R20107" s="100"/>
      <c r="V20107" s="100"/>
      <c r="Y20107" s="100"/>
    </row>
    <row r="20108">
      <c r="R20108" s="100"/>
      <c r="V20108" s="100"/>
      <c r="Y20108" s="100"/>
    </row>
    <row r="20109">
      <c r="R20109" s="100"/>
      <c r="V20109" s="100"/>
      <c r="Y20109" s="100"/>
    </row>
    <row r="20110">
      <c r="R20110" s="100"/>
      <c r="V20110" s="100"/>
      <c r="Y20110" s="100"/>
    </row>
    <row r="20111">
      <c r="R20111" s="100"/>
      <c r="V20111" s="100"/>
      <c r="Y20111" s="100"/>
    </row>
    <row r="20112">
      <c r="R20112" s="100"/>
      <c r="V20112" s="100"/>
      <c r="Y20112" s="100"/>
    </row>
    <row r="20113">
      <c r="R20113" s="100"/>
      <c r="V20113" s="100"/>
      <c r="Y20113" s="100"/>
    </row>
    <row r="20114">
      <c r="R20114" s="100"/>
      <c r="V20114" s="100"/>
      <c r="Y20114" s="100"/>
    </row>
    <row r="20115">
      <c r="R20115" s="100"/>
      <c r="V20115" s="100"/>
      <c r="Y20115" s="100"/>
    </row>
    <row r="20116">
      <c r="R20116" s="100"/>
      <c r="V20116" s="100"/>
      <c r="Y20116" s="100"/>
    </row>
    <row r="20117">
      <c r="R20117" s="100"/>
      <c r="V20117" s="100"/>
      <c r="Y20117" s="100"/>
    </row>
    <row r="20118">
      <c r="R20118" s="100"/>
      <c r="V20118" s="100"/>
      <c r="Y20118" s="100"/>
    </row>
    <row r="20119">
      <c r="R20119" s="100"/>
      <c r="V20119" s="100"/>
      <c r="Y20119" s="100"/>
    </row>
    <row r="20120">
      <c r="R20120" s="100"/>
      <c r="V20120" s="100"/>
      <c r="Y20120" s="100"/>
    </row>
    <row r="20121">
      <c r="R20121" s="100"/>
      <c r="V20121" s="100"/>
      <c r="Y20121" s="100"/>
    </row>
    <row r="20122">
      <c r="R20122" s="100"/>
      <c r="V20122" s="100"/>
      <c r="Y20122" s="100"/>
    </row>
    <row r="20123">
      <c r="R20123" s="100"/>
      <c r="V20123" s="100"/>
      <c r="Y20123" s="100"/>
    </row>
    <row r="20124">
      <c r="R20124" s="100"/>
      <c r="V20124" s="100"/>
      <c r="Y20124" s="100"/>
    </row>
    <row r="20125">
      <c r="R20125" s="100"/>
      <c r="V20125" s="100"/>
      <c r="Y20125" s="100"/>
    </row>
    <row r="20126">
      <c r="R20126" s="100"/>
      <c r="V20126" s="100"/>
      <c r="Y20126" s="100"/>
    </row>
    <row r="20127">
      <c r="R20127" s="100"/>
      <c r="V20127" s="100"/>
      <c r="Y20127" s="100"/>
    </row>
    <row r="20128">
      <c r="R20128" s="100"/>
      <c r="V20128" s="100"/>
      <c r="Y20128" s="100"/>
    </row>
    <row r="20129">
      <c r="R20129" s="100"/>
      <c r="V20129" s="100"/>
      <c r="Y20129" s="100"/>
    </row>
    <row r="20130">
      <c r="R20130" s="100"/>
      <c r="V20130" s="100"/>
      <c r="Y20130" s="100"/>
    </row>
    <row r="20131">
      <c r="R20131" s="100"/>
      <c r="V20131" s="100"/>
      <c r="Y20131" s="100"/>
    </row>
    <row r="20132">
      <c r="R20132" s="100"/>
      <c r="V20132" s="100"/>
      <c r="Y20132" s="100"/>
    </row>
    <row r="20133">
      <c r="R20133" s="100"/>
      <c r="V20133" s="100"/>
      <c r="Y20133" s="100"/>
    </row>
    <row r="20134">
      <c r="R20134" s="100"/>
      <c r="V20134" s="100"/>
      <c r="Y20134" s="100"/>
    </row>
    <row r="20135">
      <c r="R20135" s="100"/>
      <c r="V20135" s="100"/>
      <c r="Y20135" s="100"/>
    </row>
    <row r="20136">
      <c r="R20136" s="100"/>
      <c r="V20136" s="100"/>
      <c r="Y20136" s="100"/>
    </row>
    <row r="20137">
      <c r="R20137" s="100"/>
      <c r="V20137" s="100"/>
      <c r="Y20137" s="100"/>
    </row>
    <row r="20138">
      <c r="R20138" s="100"/>
      <c r="V20138" s="100"/>
      <c r="Y20138" s="100"/>
    </row>
    <row r="20139">
      <c r="R20139" s="100"/>
      <c r="V20139" s="100"/>
      <c r="Y20139" s="100"/>
    </row>
    <row r="20140">
      <c r="R20140" s="100"/>
      <c r="V20140" s="100"/>
      <c r="Y20140" s="100"/>
    </row>
    <row r="20141">
      <c r="R20141" s="100"/>
      <c r="V20141" s="100"/>
      <c r="Y20141" s="100"/>
    </row>
    <row r="20142">
      <c r="R20142" s="100"/>
      <c r="V20142" s="100"/>
      <c r="Y20142" s="100"/>
    </row>
    <row r="20143">
      <c r="R20143" s="100"/>
      <c r="V20143" s="100"/>
      <c r="Y20143" s="100"/>
    </row>
    <row r="20144">
      <c r="R20144" s="100"/>
      <c r="V20144" s="100"/>
      <c r="Y20144" s="100"/>
    </row>
    <row r="20145">
      <c r="R20145" s="100"/>
      <c r="V20145" s="100"/>
      <c r="Y20145" s="100"/>
    </row>
    <row r="20146">
      <c r="R20146" s="100"/>
      <c r="V20146" s="100"/>
      <c r="Y20146" s="100"/>
    </row>
    <row r="20147">
      <c r="R20147" s="100"/>
      <c r="V20147" s="100"/>
      <c r="Y20147" s="100"/>
    </row>
    <row r="20148">
      <c r="R20148" s="100"/>
      <c r="V20148" s="100"/>
      <c r="Y20148" s="100"/>
    </row>
    <row r="20149">
      <c r="R20149" s="100"/>
      <c r="V20149" s="100"/>
      <c r="Y20149" s="100"/>
    </row>
    <row r="20150">
      <c r="R20150" s="100"/>
      <c r="V20150" s="100"/>
      <c r="Y20150" s="100"/>
    </row>
    <row r="20151">
      <c r="R20151" s="100"/>
      <c r="V20151" s="100"/>
      <c r="Y20151" s="100"/>
    </row>
    <row r="20152">
      <c r="R20152" s="100"/>
      <c r="V20152" s="100"/>
      <c r="Y20152" s="100"/>
    </row>
    <row r="20153">
      <c r="R20153" s="100"/>
      <c r="V20153" s="100"/>
      <c r="Y20153" s="100"/>
    </row>
    <row r="20154">
      <c r="R20154" s="100"/>
      <c r="V20154" s="100"/>
      <c r="Y20154" s="100"/>
    </row>
    <row r="20155">
      <c r="R20155" s="100"/>
      <c r="V20155" s="100"/>
      <c r="Y20155" s="100"/>
    </row>
    <row r="20156">
      <c r="R20156" s="100"/>
      <c r="V20156" s="100"/>
      <c r="Y20156" s="100"/>
    </row>
    <row r="20157">
      <c r="R20157" s="100"/>
      <c r="V20157" s="100"/>
      <c r="Y20157" s="100"/>
    </row>
    <row r="20158">
      <c r="R20158" s="100"/>
      <c r="V20158" s="100"/>
      <c r="Y20158" s="100"/>
    </row>
    <row r="20159">
      <c r="R20159" s="100"/>
      <c r="V20159" s="100"/>
      <c r="Y20159" s="100"/>
    </row>
    <row r="20160">
      <c r="R20160" s="100"/>
      <c r="V20160" s="100"/>
      <c r="Y20160" s="100"/>
    </row>
    <row r="20161">
      <c r="R20161" s="100"/>
      <c r="V20161" s="100"/>
      <c r="Y20161" s="100"/>
    </row>
    <row r="20162">
      <c r="R20162" s="100"/>
      <c r="V20162" s="100"/>
      <c r="Y20162" s="100"/>
    </row>
    <row r="20163">
      <c r="R20163" s="100"/>
      <c r="V20163" s="100"/>
      <c r="Y20163" s="100"/>
    </row>
    <row r="20164">
      <c r="R20164" s="100"/>
      <c r="V20164" s="100"/>
      <c r="Y20164" s="100"/>
    </row>
    <row r="20165">
      <c r="R20165" s="100"/>
      <c r="V20165" s="100"/>
      <c r="Y20165" s="100"/>
    </row>
    <row r="20166">
      <c r="R20166" s="100"/>
      <c r="V20166" s="100"/>
      <c r="Y20166" s="100"/>
    </row>
    <row r="20167">
      <c r="R20167" s="100"/>
      <c r="V20167" s="100"/>
      <c r="Y20167" s="100"/>
    </row>
    <row r="20168">
      <c r="R20168" s="100"/>
      <c r="V20168" s="100"/>
      <c r="Y20168" s="100"/>
    </row>
    <row r="20169">
      <c r="R20169" s="100"/>
      <c r="V20169" s="100"/>
      <c r="Y20169" s="100"/>
    </row>
    <row r="20170">
      <c r="R20170" s="100"/>
      <c r="V20170" s="100"/>
      <c r="Y20170" s="100"/>
    </row>
    <row r="20171">
      <c r="R20171" s="100"/>
      <c r="V20171" s="100"/>
      <c r="Y20171" s="100"/>
    </row>
    <row r="20172">
      <c r="R20172" s="100"/>
      <c r="V20172" s="100"/>
      <c r="Y20172" s="100"/>
    </row>
    <row r="20173">
      <c r="R20173" s="100"/>
      <c r="V20173" s="100"/>
      <c r="Y20173" s="100"/>
    </row>
    <row r="20174">
      <c r="R20174" s="100"/>
      <c r="V20174" s="100"/>
      <c r="Y20174" s="100"/>
    </row>
    <row r="20175">
      <c r="R20175" s="100"/>
      <c r="V20175" s="100"/>
      <c r="Y20175" s="100"/>
    </row>
    <row r="20176">
      <c r="R20176" s="100"/>
      <c r="V20176" s="100"/>
      <c r="Y20176" s="100"/>
    </row>
    <row r="20177">
      <c r="R20177" s="100"/>
      <c r="V20177" s="100"/>
      <c r="Y20177" s="100"/>
    </row>
    <row r="20178">
      <c r="R20178" s="100"/>
      <c r="V20178" s="100"/>
      <c r="Y20178" s="100"/>
    </row>
    <row r="20179">
      <c r="R20179" s="100"/>
      <c r="V20179" s="100"/>
      <c r="Y20179" s="100"/>
    </row>
    <row r="20180">
      <c r="R20180" s="100"/>
      <c r="V20180" s="100"/>
      <c r="Y20180" s="100"/>
    </row>
    <row r="20181">
      <c r="R20181" s="100"/>
      <c r="V20181" s="100"/>
      <c r="Y20181" s="100"/>
    </row>
    <row r="20182">
      <c r="R20182" s="100"/>
      <c r="V20182" s="100"/>
      <c r="Y20182" s="100"/>
    </row>
    <row r="20183">
      <c r="R20183" s="100"/>
      <c r="V20183" s="100"/>
      <c r="Y20183" s="100"/>
    </row>
    <row r="20184">
      <c r="R20184" s="100"/>
      <c r="V20184" s="100"/>
      <c r="Y20184" s="100"/>
    </row>
    <row r="20185">
      <c r="R20185" s="100"/>
      <c r="V20185" s="100"/>
      <c r="Y20185" s="100"/>
    </row>
    <row r="20186">
      <c r="R20186" s="100"/>
      <c r="V20186" s="100"/>
      <c r="Y20186" s="100"/>
    </row>
    <row r="20187">
      <c r="R20187" s="100"/>
      <c r="V20187" s="100"/>
      <c r="Y20187" s="100"/>
    </row>
    <row r="20188">
      <c r="R20188" s="100"/>
      <c r="V20188" s="100"/>
      <c r="Y20188" s="100"/>
    </row>
    <row r="20189">
      <c r="R20189" s="100"/>
      <c r="V20189" s="100"/>
      <c r="Y20189" s="100"/>
    </row>
    <row r="20190">
      <c r="R20190" s="100"/>
      <c r="V20190" s="100"/>
      <c r="Y20190" s="100"/>
    </row>
    <row r="20191">
      <c r="R20191" s="100"/>
      <c r="V20191" s="100"/>
      <c r="Y20191" s="100"/>
    </row>
    <row r="20192">
      <c r="R20192" s="100"/>
      <c r="V20192" s="100"/>
      <c r="Y20192" s="100"/>
    </row>
    <row r="20193">
      <c r="R20193" s="100"/>
      <c r="V20193" s="100"/>
      <c r="Y20193" s="100"/>
    </row>
    <row r="20194">
      <c r="R20194" s="100"/>
      <c r="V20194" s="100"/>
      <c r="Y20194" s="100"/>
    </row>
    <row r="20195">
      <c r="R20195" s="100"/>
      <c r="V20195" s="100"/>
      <c r="Y20195" s="100"/>
    </row>
    <row r="20196">
      <c r="R20196" s="100"/>
      <c r="V20196" s="100"/>
      <c r="Y20196" s="100"/>
    </row>
    <row r="20197">
      <c r="R20197" s="100"/>
      <c r="V20197" s="100"/>
      <c r="Y20197" s="100"/>
    </row>
    <row r="20198">
      <c r="R20198" s="100"/>
      <c r="V20198" s="100"/>
      <c r="Y20198" s="100"/>
    </row>
    <row r="20199">
      <c r="R20199" s="100"/>
      <c r="V20199" s="100"/>
      <c r="Y20199" s="100"/>
    </row>
    <row r="20200">
      <c r="R20200" s="100"/>
      <c r="V20200" s="100"/>
      <c r="Y20200" s="100"/>
    </row>
    <row r="20201">
      <c r="R20201" s="100"/>
      <c r="V20201" s="100"/>
      <c r="Y20201" s="100"/>
    </row>
    <row r="20202">
      <c r="R20202" s="100"/>
      <c r="V20202" s="100"/>
      <c r="Y20202" s="100"/>
    </row>
    <row r="20203">
      <c r="R20203" s="100"/>
      <c r="V20203" s="100"/>
      <c r="Y20203" s="100"/>
    </row>
    <row r="20204">
      <c r="R20204" s="100"/>
      <c r="V20204" s="100"/>
      <c r="Y20204" s="100"/>
    </row>
    <row r="20205">
      <c r="R20205" s="100"/>
      <c r="V20205" s="100"/>
      <c r="Y20205" s="100"/>
    </row>
    <row r="20206">
      <c r="R20206" s="100"/>
      <c r="V20206" s="100"/>
      <c r="Y20206" s="100"/>
    </row>
    <row r="20207">
      <c r="R20207" s="100"/>
      <c r="V20207" s="100"/>
      <c r="Y20207" s="100"/>
    </row>
    <row r="20208">
      <c r="R20208" s="100"/>
      <c r="V20208" s="100"/>
      <c r="Y20208" s="100"/>
    </row>
    <row r="20209">
      <c r="R20209" s="100"/>
      <c r="V20209" s="100"/>
      <c r="Y20209" s="100"/>
    </row>
    <row r="20210">
      <c r="R20210" s="100"/>
      <c r="V20210" s="100"/>
      <c r="Y20210" s="100"/>
    </row>
    <row r="20211">
      <c r="R20211" s="100"/>
      <c r="V20211" s="100"/>
      <c r="Y20211" s="100"/>
    </row>
    <row r="20212">
      <c r="R20212" s="100"/>
      <c r="V20212" s="100"/>
      <c r="Y20212" s="100"/>
    </row>
    <row r="20213">
      <c r="R20213" s="100"/>
      <c r="V20213" s="100"/>
      <c r="Y20213" s="100"/>
    </row>
    <row r="20214">
      <c r="R20214" s="100"/>
      <c r="V20214" s="100"/>
      <c r="Y20214" s="100"/>
    </row>
    <row r="20215">
      <c r="R20215" s="100"/>
      <c r="V20215" s="100"/>
      <c r="Y20215" s="100"/>
    </row>
    <row r="20216">
      <c r="R20216" s="100"/>
      <c r="V20216" s="100"/>
      <c r="Y20216" s="100"/>
    </row>
    <row r="20217">
      <c r="R20217" s="100"/>
      <c r="V20217" s="100"/>
      <c r="Y20217" s="100"/>
    </row>
    <row r="20218">
      <c r="R20218" s="100"/>
      <c r="V20218" s="100"/>
      <c r="Y20218" s="100"/>
    </row>
    <row r="20219">
      <c r="R20219" s="100"/>
      <c r="V20219" s="100"/>
      <c r="Y20219" s="100"/>
    </row>
    <row r="20220">
      <c r="R20220" s="100"/>
      <c r="V20220" s="100"/>
      <c r="Y20220" s="100"/>
    </row>
    <row r="20221">
      <c r="R20221" s="100"/>
      <c r="V20221" s="100"/>
      <c r="Y20221" s="100"/>
    </row>
    <row r="20222">
      <c r="R20222" s="100"/>
      <c r="V20222" s="100"/>
      <c r="Y20222" s="100"/>
    </row>
    <row r="20223">
      <c r="R20223" s="100"/>
      <c r="V20223" s="100"/>
      <c r="Y20223" s="100"/>
    </row>
    <row r="20224">
      <c r="R20224" s="100"/>
      <c r="V20224" s="100"/>
      <c r="Y20224" s="100"/>
    </row>
    <row r="20225">
      <c r="R20225" s="100"/>
      <c r="V20225" s="100"/>
      <c r="Y20225" s="100"/>
    </row>
    <row r="20226">
      <c r="R20226" s="100"/>
      <c r="V20226" s="100"/>
      <c r="Y20226" s="100"/>
    </row>
    <row r="20227">
      <c r="R20227" s="100"/>
      <c r="V20227" s="100"/>
      <c r="Y20227" s="100"/>
    </row>
    <row r="20228">
      <c r="R20228" s="100"/>
      <c r="V20228" s="100"/>
      <c r="Y20228" s="100"/>
    </row>
    <row r="20229">
      <c r="R20229" s="100"/>
      <c r="V20229" s="100"/>
      <c r="Y20229" s="100"/>
    </row>
    <row r="20230">
      <c r="R20230" s="100"/>
      <c r="V20230" s="100"/>
      <c r="Y20230" s="100"/>
    </row>
    <row r="20231">
      <c r="R20231" s="100"/>
      <c r="V20231" s="100"/>
      <c r="Y20231" s="100"/>
    </row>
    <row r="20232">
      <c r="R20232" s="100"/>
      <c r="V20232" s="100"/>
      <c r="Y20232" s="100"/>
    </row>
    <row r="20233">
      <c r="R20233" s="100"/>
      <c r="V20233" s="100"/>
      <c r="Y20233" s="100"/>
    </row>
    <row r="20234">
      <c r="R20234" s="100"/>
      <c r="V20234" s="100"/>
      <c r="Y20234" s="100"/>
    </row>
    <row r="20235">
      <c r="R20235" s="100"/>
      <c r="V20235" s="100"/>
      <c r="Y20235" s="100"/>
    </row>
    <row r="20236">
      <c r="R20236" s="100"/>
      <c r="V20236" s="100"/>
      <c r="Y20236" s="100"/>
    </row>
    <row r="20237">
      <c r="R20237" s="100"/>
      <c r="V20237" s="100"/>
      <c r="Y20237" s="100"/>
    </row>
    <row r="20238">
      <c r="R20238" s="100"/>
      <c r="V20238" s="100"/>
      <c r="Y20238" s="100"/>
    </row>
    <row r="20239">
      <c r="R20239" s="100"/>
      <c r="V20239" s="100"/>
      <c r="Y20239" s="100"/>
    </row>
    <row r="20240">
      <c r="R20240" s="100"/>
      <c r="V20240" s="100"/>
      <c r="Y20240" s="100"/>
    </row>
    <row r="20241">
      <c r="R20241" s="100"/>
      <c r="V20241" s="100"/>
      <c r="Y20241" s="100"/>
    </row>
    <row r="20242">
      <c r="R20242" s="100"/>
      <c r="V20242" s="100"/>
      <c r="Y20242" s="100"/>
    </row>
    <row r="20243">
      <c r="R20243" s="100"/>
      <c r="V20243" s="100"/>
      <c r="Y20243" s="100"/>
    </row>
    <row r="20244">
      <c r="R20244" s="100"/>
      <c r="V20244" s="100"/>
      <c r="Y20244" s="100"/>
    </row>
    <row r="20245">
      <c r="R20245" s="100"/>
      <c r="V20245" s="100"/>
      <c r="Y20245" s="100"/>
    </row>
    <row r="20246">
      <c r="R20246" s="100"/>
      <c r="V20246" s="100"/>
      <c r="Y20246" s="100"/>
    </row>
    <row r="20247">
      <c r="R20247" s="100"/>
      <c r="V20247" s="100"/>
      <c r="Y20247" s="100"/>
    </row>
    <row r="20248">
      <c r="R20248" s="100"/>
      <c r="V20248" s="100"/>
      <c r="Y20248" s="100"/>
    </row>
    <row r="20249">
      <c r="R20249" s="100"/>
      <c r="V20249" s="100"/>
      <c r="Y20249" s="100"/>
    </row>
    <row r="20250">
      <c r="R20250" s="100"/>
      <c r="V20250" s="100"/>
      <c r="Y20250" s="100"/>
    </row>
    <row r="20251">
      <c r="R20251" s="100"/>
      <c r="V20251" s="100"/>
      <c r="Y20251" s="100"/>
    </row>
    <row r="20252">
      <c r="R20252" s="100"/>
      <c r="V20252" s="100"/>
      <c r="Y20252" s="100"/>
    </row>
    <row r="20253">
      <c r="R20253" s="100"/>
      <c r="V20253" s="100"/>
      <c r="Y20253" s="100"/>
    </row>
    <row r="20254">
      <c r="R20254" s="100"/>
      <c r="V20254" s="100"/>
      <c r="Y20254" s="100"/>
    </row>
    <row r="20255">
      <c r="R20255" s="100"/>
      <c r="V20255" s="100"/>
      <c r="Y20255" s="100"/>
    </row>
    <row r="20256">
      <c r="R20256" s="100"/>
      <c r="V20256" s="100"/>
      <c r="Y20256" s="100"/>
    </row>
    <row r="20257">
      <c r="R20257" s="100"/>
      <c r="V20257" s="100"/>
      <c r="Y20257" s="100"/>
    </row>
    <row r="20258">
      <c r="R20258" s="100"/>
      <c r="V20258" s="100"/>
      <c r="Y20258" s="100"/>
    </row>
    <row r="20259">
      <c r="R20259" s="100"/>
      <c r="V20259" s="100"/>
      <c r="Y20259" s="100"/>
    </row>
    <row r="20260">
      <c r="R20260" s="100"/>
      <c r="V20260" s="100"/>
      <c r="Y20260" s="100"/>
    </row>
    <row r="20261">
      <c r="R20261" s="100"/>
      <c r="V20261" s="100"/>
      <c r="Y20261" s="100"/>
    </row>
    <row r="20262">
      <c r="R20262" s="100"/>
      <c r="V20262" s="100"/>
      <c r="Y20262" s="100"/>
    </row>
    <row r="20263">
      <c r="R20263" s="100"/>
      <c r="V20263" s="100"/>
      <c r="Y20263" s="100"/>
    </row>
    <row r="20264">
      <c r="R20264" s="100"/>
      <c r="V20264" s="100"/>
      <c r="Y20264" s="100"/>
    </row>
    <row r="20265">
      <c r="R20265" s="100"/>
      <c r="V20265" s="100"/>
      <c r="Y20265" s="100"/>
    </row>
    <row r="20266">
      <c r="R20266" s="100"/>
      <c r="V20266" s="100"/>
      <c r="Y20266" s="100"/>
    </row>
    <row r="20267">
      <c r="R20267" s="100"/>
      <c r="V20267" s="100"/>
      <c r="Y20267" s="100"/>
    </row>
    <row r="20268">
      <c r="R20268" s="100"/>
      <c r="V20268" s="100"/>
      <c r="Y20268" s="100"/>
    </row>
    <row r="20269">
      <c r="R20269" s="100"/>
      <c r="V20269" s="100"/>
      <c r="Y20269" s="100"/>
    </row>
    <row r="20270">
      <c r="R20270" s="100"/>
      <c r="V20270" s="100"/>
      <c r="Y20270" s="100"/>
    </row>
    <row r="20271">
      <c r="R20271" s="100"/>
      <c r="V20271" s="100"/>
      <c r="Y20271" s="100"/>
    </row>
    <row r="20272">
      <c r="R20272" s="100"/>
      <c r="V20272" s="100"/>
      <c r="Y20272" s="100"/>
    </row>
    <row r="20273">
      <c r="R20273" s="100"/>
      <c r="V20273" s="100"/>
      <c r="Y20273" s="100"/>
    </row>
    <row r="20274">
      <c r="R20274" s="100"/>
      <c r="V20274" s="100"/>
      <c r="Y20274" s="100"/>
    </row>
    <row r="20275">
      <c r="R20275" s="100"/>
      <c r="V20275" s="100"/>
      <c r="Y20275" s="100"/>
    </row>
    <row r="20276">
      <c r="R20276" s="100"/>
      <c r="V20276" s="100"/>
      <c r="Y20276" s="100"/>
    </row>
    <row r="20277">
      <c r="R20277" s="100"/>
      <c r="V20277" s="100"/>
      <c r="Y20277" s="100"/>
    </row>
    <row r="20278">
      <c r="R20278" s="100"/>
      <c r="V20278" s="100"/>
      <c r="Y20278" s="100"/>
    </row>
    <row r="20279">
      <c r="R20279" s="100"/>
      <c r="V20279" s="100"/>
      <c r="Y20279" s="100"/>
    </row>
    <row r="20280">
      <c r="R20280" s="100"/>
      <c r="V20280" s="100"/>
      <c r="Y20280" s="100"/>
    </row>
    <row r="20281">
      <c r="R20281" s="100"/>
      <c r="V20281" s="100"/>
      <c r="Y20281" s="100"/>
    </row>
    <row r="20282">
      <c r="R20282" s="100"/>
      <c r="V20282" s="100"/>
      <c r="Y20282" s="100"/>
    </row>
    <row r="20283">
      <c r="R20283" s="100"/>
      <c r="V20283" s="100"/>
      <c r="Y20283" s="100"/>
    </row>
    <row r="20284">
      <c r="R20284" s="100"/>
      <c r="V20284" s="100"/>
      <c r="Y20284" s="100"/>
    </row>
    <row r="20285">
      <c r="R20285" s="100"/>
      <c r="V20285" s="100"/>
      <c r="Y20285" s="100"/>
    </row>
    <row r="20286">
      <c r="R20286" s="100"/>
      <c r="V20286" s="100"/>
      <c r="Y20286" s="100"/>
    </row>
    <row r="20287">
      <c r="R20287" s="100"/>
      <c r="V20287" s="100"/>
      <c r="Y20287" s="100"/>
    </row>
    <row r="20288">
      <c r="R20288" s="100"/>
      <c r="V20288" s="100"/>
      <c r="Y20288" s="100"/>
    </row>
    <row r="20289">
      <c r="R20289" s="100"/>
      <c r="V20289" s="100"/>
      <c r="Y20289" s="100"/>
    </row>
    <row r="20290">
      <c r="R20290" s="100"/>
      <c r="V20290" s="100"/>
      <c r="Y20290" s="100"/>
    </row>
    <row r="20291">
      <c r="R20291" s="100"/>
      <c r="V20291" s="100"/>
      <c r="Y20291" s="100"/>
    </row>
    <row r="20292">
      <c r="R20292" s="100"/>
      <c r="V20292" s="100"/>
      <c r="Y20292" s="100"/>
    </row>
    <row r="20293">
      <c r="R20293" s="100"/>
      <c r="V20293" s="100"/>
      <c r="Y20293" s="100"/>
    </row>
    <row r="20294">
      <c r="R20294" s="100"/>
      <c r="V20294" s="100"/>
      <c r="Y20294" s="100"/>
    </row>
    <row r="20295">
      <c r="R20295" s="100"/>
      <c r="V20295" s="100"/>
      <c r="Y20295" s="100"/>
    </row>
    <row r="20296">
      <c r="R20296" s="100"/>
      <c r="V20296" s="100"/>
      <c r="Y20296" s="100"/>
    </row>
    <row r="20297">
      <c r="R20297" s="100"/>
      <c r="V20297" s="100"/>
      <c r="Y20297" s="100"/>
    </row>
    <row r="20298">
      <c r="R20298" s="100"/>
      <c r="V20298" s="100"/>
      <c r="Y20298" s="100"/>
    </row>
    <row r="20299">
      <c r="R20299" s="100"/>
      <c r="V20299" s="100"/>
      <c r="Y20299" s="100"/>
    </row>
    <row r="20300">
      <c r="R20300" s="100"/>
      <c r="V20300" s="100"/>
      <c r="Y20300" s="100"/>
    </row>
    <row r="20301">
      <c r="R20301" s="100"/>
      <c r="V20301" s="100"/>
      <c r="Y20301" s="100"/>
    </row>
    <row r="20302">
      <c r="R20302" s="100"/>
      <c r="V20302" s="100"/>
      <c r="Y20302" s="100"/>
    </row>
    <row r="20303">
      <c r="R20303" s="100"/>
      <c r="V20303" s="100"/>
      <c r="Y20303" s="100"/>
    </row>
    <row r="20304">
      <c r="R20304" s="100"/>
      <c r="V20304" s="100"/>
      <c r="Y20304" s="100"/>
    </row>
    <row r="20305">
      <c r="R20305" s="100"/>
      <c r="V20305" s="100"/>
      <c r="Y20305" s="100"/>
    </row>
    <row r="20306">
      <c r="R20306" s="100"/>
      <c r="V20306" s="100"/>
      <c r="Y20306" s="100"/>
    </row>
    <row r="20307">
      <c r="R20307" s="100"/>
      <c r="V20307" s="100"/>
      <c r="Y20307" s="100"/>
    </row>
    <row r="20308">
      <c r="R20308" s="100"/>
      <c r="V20308" s="100"/>
      <c r="Y20308" s="100"/>
    </row>
    <row r="20309">
      <c r="R20309" s="100"/>
      <c r="V20309" s="100"/>
      <c r="Y20309" s="100"/>
    </row>
    <row r="20310">
      <c r="R20310" s="100"/>
      <c r="V20310" s="100"/>
      <c r="Y20310" s="100"/>
    </row>
    <row r="20311">
      <c r="R20311" s="100"/>
      <c r="V20311" s="100"/>
      <c r="Y20311" s="100"/>
    </row>
    <row r="20312">
      <c r="R20312" s="100"/>
      <c r="V20312" s="100"/>
      <c r="Y20312" s="100"/>
    </row>
    <row r="20313">
      <c r="R20313" s="100"/>
      <c r="V20313" s="100"/>
      <c r="Y20313" s="100"/>
    </row>
    <row r="20314">
      <c r="R20314" s="100"/>
      <c r="V20314" s="100"/>
      <c r="Y20314" s="100"/>
    </row>
    <row r="20315">
      <c r="R20315" s="100"/>
      <c r="V20315" s="100"/>
      <c r="Y20315" s="100"/>
    </row>
    <row r="20316">
      <c r="R20316" s="100"/>
      <c r="V20316" s="100"/>
      <c r="Y20316" s="100"/>
    </row>
    <row r="20317">
      <c r="R20317" s="100"/>
      <c r="V20317" s="100"/>
      <c r="Y20317" s="100"/>
    </row>
    <row r="20318">
      <c r="R20318" s="100"/>
      <c r="V20318" s="100"/>
      <c r="Y20318" s="100"/>
    </row>
    <row r="20319">
      <c r="R20319" s="100"/>
      <c r="V20319" s="100"/>
      <c r="Y20319" s="100"/>
    </row>
    <row r="20320">
      <c r="R20320" s="100"/>
      <c r="V20320" s="100"/>
      <c r="Y20320" s="100"/>
    </row>
    <row r="20321">
      <c r="R20321" s="100"/>
      <c r="V20321" s="100"/>
      <c r="Y20321" s="100"/>
    </row>
    <row r="20322">
      <c r="R20322" s="100"/>
      <c r="V20322" s="100"/>
      <c r="Y20322" s="100"/>
    </row>
    <row r="20323">
      <c r="R20323" s="100"/>
      <c r="V20323" s="100"/>
      <c r="Y20323" s="100"/>
    </row>
    <row r="20324">
      <c r="R20324" s="100"/>
      <c r="V20324" s="100"/>
      <c r="Y20324" s="100"/>
    </row>
    <row r="20325">
      <c r="R20325" s="100"/>
      <c r="V20325" s="100"/>
      <c r="Y20325" s="100"/>
    </row>
    <row r="20326">
      <c r="R20326" s="100"/>
      <c r="V20326" s="100"/>
      <c r="Y20326" s="100"/>
    </row>
    <row r="20327">
      <c r="R20327" s="100"/>
      <c r="V20327" s="100"/>
      <c r="Y20327" s="100"/>
    </row>
    <row r="20328">
      <c r="R20328" s="100"/>
      <c r="V20328" s="100"/>
      <c r="Y20328" s="100"/>
    </row>
    <row r="20329">
      <c r="R20329" s="100"/>
      <c r="V20329" s="100"/>
      <c r="Y20329" s="100"/>
    </row>
    <row r="20330">
      <c r="R20330" s="100"/>
      <c r="V20330" s="100"/>
      <c r="Y20330" s="100"/>
    </row>
    <row r="20331">
      <c r="R20331" s="100"/>
      <c r="V20331" s="100"/>
      <c r="Y20331" s="100"/>
    </row>
    <row r="20332">
      <c r="R20332" s="100"/>
      <c r="V20332" s="100"/>
      <c r="Y20332" s="100"/>
    </row>
    <row r="20333">
      <c r="R20333" s="100"/>
      <c r="V20333" s="100"/>
      <c r="Y20333" s="100"/>
    </row>
    <row r="20334">
      <c r="R20334" s="100"/>
      <c r="V20334" s="100"/>
      <c r="Y20334" s="100"/>
    </row>
    <row r="20335">
      <c r="R20335" s="100"/>
      <c r="V20335" s="100"/>
      <c r="Y20335" s="100"/>
    </row>
    <row r="20336">
      <c r="R20336" s="100"/>
      <c r="V20336" s="100"/>
      <c r="Y20336" s="100"/>
    </row>
    <row r="20337">
      <c r="R20337" s="100"/>
      <c r="V20337" s="100"/>
      <c r="Y20337" s="100"/>
    </row>
    <row r="20338">
      <c r="R20338" s="100"/>
      <c r="V20338" s="100"/>
      <c r="Y20338" s="100"/>
    </row>
    <row r="20339">
      <c r="R20339" s="100"/>
      <c r="V20339" s="100"/>
      <c r="Y20339" s="100"/>
    </row>
    <row r="20340">
      <c r="R20340" s="100"/>
      <c r="V20340" s="100"/>
      <c r="Y20340" s="100"/>
    </row>
    <row r="20341">
      <c r="R20341" s="100"/>
      <c r="V20341" s="100"/>
      <c r="Y20341" s="100"/>
    </row>
    <row r="20342">
      <c r="R20342" s="100"/>
      <c r="V20342" s="100"/>
      <c r="Y20342" s="100"/>
    </row>
    <row r="20343">
      <c r="R20343" s="100"/>
      <c r="V20343" s="100"/>
      <c r="Y20343" s="100"/>
    </row>
    <row r="20344">
      <c r="R20344" s="100"/>
      <c r="V20344" s="100"/>
      <c r="Y20344" s="100"/>
    </row>
    <row r="20345">
      <c r="R20345" s="100"/>
      <c r="V20345" s="100"/>
      <c r="Y20345" s="100"/>
    </row>
    <row r="20346">
      <c r="R20346" s="100"/>
      <c r="V20346" s="100"/>
      <c r="Y20346" s="100"/>
    </row>
    <row r="20347">
      <c r="R20347" s="100"/>
      <c r="V20347" s="100"/>
      <c r="Y20347" s="100"/>
    </row>
    <row r="20348">
      <c r="R20348" s="100"/>
      <c r="V20348" s="100"/>
      <c r="Y20348" s="100"/>
    </row>
    <row r="20349">
      <c r="R20349" s="100"/>
      <c r="V20349" s="100"/>
      <c r="Y20349" s="100"/>
    </row>
    <row r="20350">
      <c r="R20350" s="100"/>
      <c r="V20350" s="100"/>
      <c r="Y20350" s="100"/>
    </row>
    <row r="20351">
      <c r="R20351" s="100"/>
      <c r="V20351" s="100"/>
      <c r="Y20351" s="100"/>
    </row>
    <row r="20352">
      <c r="R20352" s="100"/>
      <c r="V20352" s="100"/>
      <c r="Y20352" s="100"/>
    </row>
    <row r="20353">
      <c r="R20353" s="100"/>
      <c r="V20353" s="100"/>
      <c r="Y20353" s="100"/>
    </row>
    <row r="20354">
      <c r="R20354" s="100"/>
      <c r="V20354" s="100"/>
      <c r="Y20354" s="100"/>
    </row>
    <row r="20355">
      <c r="R20355" s="100"/>
      <c r="V20355" s="100"/>
      <c r="Y20355" s="100"/>
    </row>
    <row r="20356">
      <c r="R20356" s="100"/>
      <c r="V20356" s="100"/>
      <c r="Y20356" s="100"/>
    </row>
    <row r="20357">
      <c r="R20357" s="100"/>
      <c r="V20357" s="100"/>
      <c r="Y20357" s="100"/>
    </row>
    <row r="20358">
      <c r="R20358" s="100"/>
      <c r="V20358" s="100"/>
      <c r="Y20358" s="100"/>
    </row>
    <row r="20359">
      <c r="R20359" s="100"/>
      <c r="V20359" s="100"/>
      <c r="Y20359" s="100"/>
    </row>
    <row r="20360">
      <c r="R20360" s="100"/>
      <c r="V20360" s="100"/>
      <c r="Y20360" s="100"/>
    </row>
    <row r="20361">
      <c r="R20361" s="100"/>
      <c r="V20361" s="100"/>
      <c r="Y20361" s="100"/>
    </row>
    <row r="20362">
      <c r="R20362" s="100"/>
      <c r="V20362" s="100"/>
      <c r="Y20362" s="100"/>
    </row>
    <row r="20363">
      <c r="R20363" s="100"/>
      <c r="V20363" s="100"/>
      <c r="Y20363" s="100"/>
    </row>
    <row r="20364">
      <c r="R20364" s="100"/>
      <c r="V20364" s="100"/>
      <c r="Y20364" s="100"/>
    </row>
    <row r="20365">
      <c r="R20365" s="100"/>
      <c r="V20365" s="100"/>
      <c r="Y20365" s="100"/>
    </row>
    <row r="20366">
      <c r="R20366" s="100"/>
      <c r="V20366" s="100"/>
      <c r="Y20366" s="100"/>
    </row>
    <row r="20367">
      <c r="R20367" s="100"/>
      <c r="V20367" s="100"/>
      <c r="Y20367" s="100"/>
    </row>
    <row r="20368">
      <c r="R20368" s="100"/>
      <c r="V20368" s="100"/>
      <c r="Y20368" s="100"/>
    </row>
    <row r="20369">
      <c r="R20369" s="100"/>
      <c r="V20369" s="100"/>
      <c r="Y20369" s="100"/>
    </row>
    <row r="20370">
      <c r="R20370" s="100"/>
      <c r="V20370" s="100"/>
      <c r="Y20370" s="100"/>
    </row>
    <row r="20371">
      <c r="R20371" s="100"/>
      <c r="V20371" s="100"/>
      <c r="Y20371" s="100"/>
    </row>
    <row r="20372">
      <c r="R20372" s="100"/>
      <c r="V20372" s="100"/>
      <c r="Y20372" s="100"/>
    </row>
    <row r="20373">
      <c r="R20373" s="100"/>
      <c r="V20373" s="100"/>
      <c r="Y20373" s="100"/>
    </row>
    <row r="20374">
      <c r="R20374" s="100"/>
      <c r="V20374" s="100"/>
      <c r="Y20374" s="100"/>
    </row>
    <row r="20375">
      <c r="R20375" s="100"/>
      <c r="V20375" s="100"/>
      <c r="Y20375" s="100"/>
    </row>
    <row r="20376">
      <c r="R20376" s="100"/>
      <c r="V20376" s="100"/>
      <c r="Y20376" s="100"/>
    </row>
    <row r="20377">
      <c r="R20377" s="100"/>
      <c r="V20377" s="100"/>
      <c r="Y20377" s="100"/>
    </row>
    <row r="20378">
      <c r="R20378" s="100"/>
      <c r="V20378" s="100"/>
      <c r="Y20378" s="100"/>
    </row>
    <row r="20379">
      <c r="R20379" s="100"/>
      <c r="V20379" s="100"/>
      <c r="Y20379" s="100"/>
    </row>
    <row r="20380">
      <c r="R20380" s="100"/>
      <c r="V20380" s="100"/>
      <c r="Y20380" s="100"/>
    </row>
    <row r="20381">
      <c r="R20381" s="100"/>
      <c r="V20381" s="100"/>
      <c r="Y20381" s="100"/>
    </row>
    <row r="20382">
      <c r="R20382" s="100"/>
      <c r="V20382" s="100"/>
      <c r="Y20382" s="100"/>
    </row>
    <row r="20383">
      <c r="R20383" s="100"/>
      <c r="V20383" s="100"/>
      <c r="Y20383" s="100"/>
    </row>
    <row r="20384">
      <c r="R20384" s="100"/>
      <c r="V20384" s="100"/>
      <c r="Y20384" s="100"/>
    </row>
    <row r="20385">
      <c r="R20385" s="100"/>
      <c r="V20385" s="100"/>
      <c r="Y20385" s="100"/>
    </row>
    <row r="20386">
      <c r="R20386" s="100"/>
      <c r="V20386" s="100"/>
      <c r="Y20386" s="100"/>
    </row>
    <row r="20387">
      <c r="R20387" s="100"/>
      <c r="V20387" s="100"/>
      <c r="Y20387" s="100"/>
    </row>
    <row r="20388">
      <c r="R20388" s="100"/>
      <c r="V20388" s="100"/>
      <c r="Y20388" s="100"/>
    </row>
    <row r="20389">
      <c r="R20389" s="100"/>
      <c r="V20389" s="100"/>
      <c r="Y20389" s="100"/>
    </row>
    <row r="20390">
      <c r="R20390" s="100"/>
      <c r="V20390" s="100"/>
      <c r="Y20390" s="100"/>
    </row>
    <row r="20391">
      <c r="R20391" s="100"/>
      <c r="V20391" s="100"/>
      <c r="Y20391" s="100"/>
    </row>
    <row r="20392">
      <c r="R20392" s="100"/>
      <c r="V20392" s="100"/>
      <c r="Y20392" s="100"/>
    </row>
    <row r="20393">
      <c r="R20393" s="100"/>
      <c r="V20393" s="100"/>
      <c r="Y20393" s="100"/>
    </row>
    <row r="20394">
      <c r="R20394" s="100"/>
      <c r="V20394" s="100"/>
      <c r="Y20394" s="100"/>
    </row>
    <row r="20395">
      <c r="R20395" s="100"/>
      <c r="V20395" s="100"/>
      <c r="Y20395" s="100"/>
    </row>
    <row r="20396">
      <c r="R20396" s="100"/>
      <c r="V20396" s="100"/>
      <c r="Y20396" s="100"/>
    </row>
    <row r="20397">
      <c r="R20397" s="100"/>
      <c r="V20397" s="100"/>
      <c r="Y20397" s="100"/>
    </row>
    <row r="20398">
      <c r="R20398" s="100"/>
      <c r="V20398" s="100"/>
      <c r="Y20398" s="100"/>
    </row>
    <row r="20399">
      <c r="R20399" s="100"/>
      <c r="V20399" s="100"/>
      <c r="Y20399" s="100"/>
    </row>
    <row r="20400">
      <c r="R20400" s="100"/>
      <c r="V20400" s="100"/>
      <c r="Y20400" s="100"/>
    </row>
    <row r="20401">
      <c r="R20401" s="100"/>
      <c r="V20401" s="100"/>
      <c r="Y20401" s="100"/>
    </row>
    <row r="20402">
      <c r="R20402" s="100"/>
      <c r="V20402" s="100"/>
      <c r="Y20402" s="100"/>
    </row>
    <row r="20403">
      <c r="R20403" s="100"/>
      <c r="V20403" s="100"/>
      <c r="Y20403" s="100"/>
    </row>
    <row r="20404">
      <c r="R20404" s="100"/>
      <c r="V20404" s="100"/>
      <c r="Y20404" s="100"/>
    </row>
    <row r="20405">
      <c r="R20405" s="100"/>
      <c r="V20405" s="100"/>
      <c r="Y20405" s="100"/>
    </row>
    <row r="20406">
      <c r="R20406" s="100"/>
      <c r="V20406" s="100"/>
      <c r="Y20406" s="100"/>
    </row>
    <row r="20407">
      <c r="R20407" s="100"/>
      <c r="V20407" s="100"/>
      <c r="Y20407" s="100"/>
    </row>
    <row r="20408">
      <c r="R20408" s="100"/>
      <c r="V20408" s="100"/>
      <c r="Y20408" s="100"/>
    </row>
    <row r="20409">
      <c r="R20409" s="100"/>
      <c r="V20409" s="100"/>
      <c r="Y20409" s="100"/>
    </row>
    <row r="20410">
      <c r="R20410" s="100"/>
      <c r="V20410" s="100"/>
      <c r="Y20410" s="100"/>
    </row>
    <row r="20411">
      <c r="R20411" s="100"/>
      <c r="V20411" s="100"/>
      <c r="Y20411" s="100"/>
    </row>
    <row r="20412">
      <c r="R20412" s="100"/>
      <c r="V20412" s="100"/>
      <c r="Y20412" s="100"/>
    </row>
    <row r="20413">
      <c r="R20413" s="100"/>
      <c r="V20413" s="100"/>
      <c r="Y20413" s="100"/>
    </row>
    <row r="20414">
      <c r="R20414" s="100"/>
      <c r="V20414" s="100"/>
      <c r="Y20414" s="100"/>
    </row>
    <row r="20415">
      <c r="R20415" s="100"/>
      <c r="V20415" s="100"/>
      <c r="Y20415" s="100"/>
    </row>
    <row r="20416">
      <c r="R20416" s="100"/>
      <c r="V20416" s="100"/>
      <c r="Y20416" s="100"/>
    </row>
    <row r="20417">
      <c r="R20417" s="100"/>
      <c r="V20417" s="100"/>
      <c r="Y20417" s="100"/>
    </row>
    <row r="20418">
      <c r="R20418" s="100"/>
      <c r="V20418" s="100"/>
      <c r="Y20418" s="100"/>
    </row>
    <row r="20419">
      <c r="R20419" s="100"/>
      <c r="V20419" s="100"/>
      <c r="Y20419" s="100"/>
    </row>
    <row r="20420">
      <c r="R20420" s="100"/>
      <c r="V20420" s="100"/>
      <c r="Y20420" s="100"/>
    </row>
    <row r="20421">
      <c r="R20421" s="100"/>
      <c r="V20421" s="100"/>
      <c r="Y20421" s="100"/>
    </row>
    <row r="20422">
      <c r="R20422" s="100"/>
      <c r="V20422" s="100"/>
      <c r="Y20422" s="100"/>
    </row>
    <row r="20423">
      <c r="R20423" s="100"/>
      <c r="V20423" s="100"/>
      <c r="Y20423" s="100"/>
    </row>
    <row r="20424">
      <c r="R20424" s="100"/>
      <c r="V20424" s="100"/>
      <c r="Y20424" s="100"/>
    </row>
    <row r="20425">
      <c r="R20425" s="100"/>
      <c r="V20425" s="100"/>
      <c r="Y20425" s="100"/>
    </row>
    <row r="20426">
      <c r="R20426" s="100"/>
      <c r="V20426" s="100"/>
      <c r="Y20426" s="100"/>
    </row>
    <row r="20427">
      <c r="R20427" s="100"/>
      <c r="V20427" s="100"/>
      <c r="Y20427" s="100"/>
    </row>
    <row r="20428">
      <c r="R20428" s="100"/>
      <c r="V20428" s="100"/>
      <c r="Y20428" s="100"/>
    </row>
    <row r="20429">
      <c r="R20429" s="100"/>
      <c r="V20429" s="100"/>
      <c r="Y20429" s="100"/>
    </row>
    <row r="20430">
      <c r="R20430" s="100"/>
      <c r="V20430" s="100"/>
      <c r="Y20430" s="100"/>
    </row>
    <row r="20431">
      <c r="R20431" s="100"/>
      <c r="V20431" s="100"/>
      <c r="Y20431" s="100"/>
    </row>
    <row r="20432">
      <c r="R20432" s="100"/>
      <c r="V20432" s="100"/>
      <c r="Y20432" s="100"/>
    </row>
    <row r="20433">
      <c r="R20433" s="100"/>
      <c r="V20433" s="100"/>
      <c r="Y20433" s="100"/>
    </row>
    <row r="20434">
      <c r="R20434" s="100"/>
      <c r="V20434" s="100"/>
      <c r="Y20434" s="100"/>
    </row>
    <row r="20435">
      <c r="R20435" s="100"/>
      <c r="V20435" s="100"/>
      <c r="Y20435" s="100"/>
    </row>
    <row r="20436">
      <c r="R20436" s="100"/>
      <c r="V20436" s="100"/>
      <c r="Y20436" s="100"/>
    </row>
    <row r="20437">
      <c r="R20437" s="100"/>
      <c r="V20437" s="100"/>
      <c r="Y20437" s="100"/>
    </row>
    <row r="20438">
      <c r="R20438" s="100"/>
      <c r="V20438" s="100"/>
      <c r="Y20438" s="100"/>
    </row>
    <row r="20439">
      <c r="R20439" s="100"/>
      <c r="V20439" s="100"/>
      <c r="Y20439" s="100"/>
    </row>
    <row r="20440">
      <c r="R20440" s="100"/>
      <c r="V20440" s="100"/>
      <c r="Y20440" s="100"/>
    </row>
    <row r="20441">
      <c r="R20441" s="100"/>
      <c r="V20441" s="100"/>
      <c r="Y20441" s="100"/>
    </row>
    <row r="20442">
      <c r="R20442" s="100"/>
      <c r="V20442" s="100"/>
      <c r="Y20442" s="100"/>
    </row>
    <row r="20443">
      <c r="R20443" s="100"/>
      <c r="V20443" s="100"/>
      <c r="Y20443" s="100"/>
    </row>
    <row r="20444">
      <c r="R20444" s="100"/>
      <c r="V20444" s="100"/>
      <c r="Y20444" s="100"/>
    </row>
    <row r="20445">
      <c r="R20445" s="100"/>
      <c r="V20445" s="100"/>
      <c r="Y20445" s="100"/>
    </row>
    <row r="20446">
      <c r="R20446" s="100"/>
      <c r="V20446" s="100"/>
      <c r="Y20446" s="100"/>
    </row>
    <row r="20447">
      <c r="R20447" s="100"/>
      <c r="V20447" s="100"/>
      <c r="Y20447" s="100"/>
    </row>
    <row r="20448">
      <c r="R20448" s="100"/>
      <c r="V20448" s="100"/>
      <c r="Y20448" s="100"/>
    </row>
    <row r="20449">
      <c r="R20449" s="100"/>
      <c r="V20449" s="100"/>
      <c r="Y20449" s="100"/>
    </row>
    <row r="20450">
      <c r="R20450" s="100"/>
      <c r="V20450" s="100"/>
      <c r="Y20450" s="100"/>
    </row>
    <row r="20451">
      <c r="R20451" s="100"/>
      <c r="V20451" s="100"/>
      <c r="Y20451" s="100"/>
    </row>
    <row r="20452">
      <c r="R20452" s="100"/>
      <c r="V20452" s="100"/>
      <c r="Y20452" s="100"/>
    </row>
    <row r="20453">
      <c r="R20453" s="100"/>
      <c r="V20453" s="100"/>
      <c r="Y20453" s="100"/>
    </row>
    <row r="20454">
      <c r="R20454" s="100"/>
      <c r="V20454" s="100"/>
      <c r="Y20454" s="100"/>
    </row>
    <row r="20455">
      <c r="R20455" s="100"/>
      <c r="V20455" s="100"/>
      <c r="Y20455" s="100"/>
    </row>
    <row r="20456">
      <c r="R20456" s="100"/>
      <c r="V20456" s="100"/>
      <c r="Y20456" s="100"/>
    </row>
    <row r="20457">
      <c r="R20457" s="100"/>
      <c r="V20457" s="100"/>
      <c r="Y20457" s="100"/>
    </row>
    <row r="20458">
      <c r="R20458" s="100"/>
      <c r="V20458" s="100"/>
      <c r="Y20458" s="100"/>
    </row>
    <row r="20459">
      <c r="R20459" s="100"/>
      <c r="V20459" s="100"/>
      <c r="Y20459" s="100"/>
    </row>
    <row r="20460">
      <c r="R20460" s="100"/>
      <c r="V20460" s="100"/>
      <c r="Y20460" s="100"/>
    </row>
    <row r="20461">
      <c r="R20461" s="100"/>
      <c r="V20461" s="100"/>
      <c r="Y20461" s="100"/>
    </row>
    <row r="20462">
      <c r="R20462" s="100"/>
      <c r="V20462" s="100"/>
      <c r="Y20462" s="100"/>
    </row>
    <row r="20463">
      <c r="R20463" s="100"/>
      <c r="V20463" s="100"/>
      <c r="Y20463" s="100"/>
    </row>
    <row r="20464">
      <c r="R20464" s="100"/>
      <c r="V20464" s="100"/>
      <c r="Y20464" s="100"/>
    </row>
    <row r="20465">
      <c r="R20465" s="100"/>
      <c r="V20465" s="100"/>
      <c r="Y20465" s="100"/>
    </row>
    <row r="20466">
      <c r="R20466" s="100"/>
      <c r="V20466" s="100"/>
      <c r="Y20466" s="100"/>
    </row>
    <row r="20467">
      <c r="R20467" s="100"/>
      <c r="V20467" s="100"/>
      <c r="Y20467" s="100"/>
    </row>
    <row r="20468">
      <c r="R20468" s="100"/>
      <c r="V20468" s="100"/>
      <c r="Y20468" s="100"/>
    </row>
    <row r="20469">
      <c r="R20469" s="100"/>
      <c r="V20469" s="100"/>
      <c r="Y20469" s="100"/>
    </row>
    <row r="20470">
      <c r="R20470" s="100"/>
      <c r="V20470" s="100"/>
      <c r="Y20470" s="100"/>
    </row>
    <row r="20471">
      <c r="R20471" s="100"/>
      <c r="V20471" s="100"/>
      <c r="Y20471" s="100"/>
    </row>
    <row r="20472">
      <c r="R20472" s="100"/>
      <c r="V20472" s="100"/>
      <c r="Y20472" s="100"/>
    </row>
    <row r="20473">
      <c r="R20473" s="100"/>
      <c r="V20473" s="100"/>
      <c r="Y20473" s="100"/>
    </row>
    <row r="20474">
      <c r="R20474" s="100"/>
      <c r="V20474" s="100"/>
      <c r="Y20474" s="100"/>
    </row>
    <row r="20475">
      <c r="R20475" s="100"/>
      <c r="V20475" s="100"/>
      <c r="Y20475" s="100"/>
    </row>
    <row r="20476">
      <c r="R20476" s="100"/>
      <c r="V20476" s="100"/>
      <c r="Y20476" s="100"/>
    </row>
    <row r="20477">
      <c r="R20477" s="100"/>
      <c r="V20477" s="100"/>
      <c r="Y20477" s="100"/>
    </row>
    <row r="20478">
      <c r="R20478" s="100"/>
      <c r="V20478" s="100"/>
      <c r="Y20478" s="100"/>
    </row>
    <row r="20479">
      <c r="R20479" s="100"/>
      <c r="V20479" s="100"/>
      <c r="Y20479" s="100"/>
    </row>
    <row r="20480">
      <c r="R20480" s="100"/>
      <c r="V20480" s="100"/>
      <c r="Y20480" s="100"/>
    </row>
    <row r="20481">
      <c r="R20481" s="100"/>
      <c r="V20481" s="100"/>
      <c r="Y20481" s="100"/>
    </row>
    <row r="20482">
      <c r="R20482" s="100"/>
      <c r="V20482" s="100"/>
      <c r="Y20482" s="100"/>
    </row>
    <row r="20483">
      <c r="R20483" s="100"/>
      <c r="V20483" s="100"/>
      <c r="Y20483" s="100"/>
    </row>
    <row r="20484">
      <c r="R20484" s="100"/>
      <c r="V20484" s="100"/>
      <c r="Y20484" s="100"/>
    </row>
    <row r="20485">
      <c r="R20485" s="100"/>
      <c r="V20485" s="100"/>
      <c r="Y20485" s="100"/>
    </row>
    <row r="20486">
      <c r="R20486" s="100"/>
      <c r="V20486" s="100"/>
      <c r="Y20486" s="100"/>
    </row>
    <row r="20487">
      <c r="R20487" s="100"/>
      <c r="V20487" s="100"/>
      <c r="Y20487" s="100"/>
    </row>
    <row r="20488">
      <c r="R20488" s="100"/>
      <c r="V20488" s="100"/>
      <c r="Y20488" s="100"/>
    </row>
    <row r="20489">
      <c r="R20489" s="100"/>
      <c r="V20489" s="100"/>
      <c r="Y20489" s="100"/>
    </row>
    <row r="20490">
      <c r="R20490" s="100"/>
      <c r="V20490" s="100"/>
      <c r="Y20490" s="100"/>
    </row>
    <row r="20491">
      <c r="R20491" s="100"/>
      <c r="V20491" s="100"/>
      <c r="Y20491" s="100"/>
    </row>
    <row r="20492">
      <c r="R20492" s="100"/>
      <c r="V20492" s="100"/>
      <c r="Y20492" s="100"/>
    </row>
    <row r="20493">
      <c r="R20493" s="100"/>
      <c r="V20493" s="100"/>
      <c r="Y20493" s="100"/>
    </row>
    <row r="20494">
      <c r="R20494" s="100"/>
      <c r="V20494" s="100"/>
      <c r="Y20494" s="100"/>
    </row>
    <row r="20495">
      <c r="R20495" s="100"/>
      <c r="V20495" s="100"/>
      <c r="Y20495" s="100"/>
    </row>
    <row r="20496">
      <c r="R20496" s="100"/>
      <c r="V20496" s="100"/>
      <c r="Y20496" s="100"/>
    </row>
    <row r="20497">
      <c r="R20497" s="100"/>
      <c r="V20497" s="100"/>
      <c r="Y20497" s="100"/>
    </row>
    <row r="20498">
      <c r="R20498" s="100"/>
      <c r="V20498" s="100"/>
      <c r="Y20498" s="100"/>
    </row>
    <row r="20499">
      <c r="R20499" s="100"/>
      <c r="V20499" s="100"/>
      <c r="Y20499" s="100"/>
    </row>
    <row r="20500">
      <c r="R20500" s="100"/>
      <c r="V20500" s="100"/>
      <c r="Y20500" s="100"/>
    </row>
    <row r="20501">
      <c r="R20501" s="100"/>
      <c r="V20501" s="100"/>
      <c r="Y20501" s="100"/>
    </row>
    <row r="20502">
      <c r="R20502" s="100"/>
      <c r="V20502" s="100"/>
      <c r="Y20502" s="100"/>
    </row>
    <row r="20503">
      <c r="R20503" s="100"/>
      <c r="V20503" s="100"/>
      <c r="Y20503" s="100"/>
    </row>
    <row r="20504">
      <c r="R20504" s="100"/>
      <c r="V20504" s="100"/>
      <c r="Y20504" s="100"/>
    </row>
    <row r="20505">
      <c r="R20505" s="100"/>
      <c r="V20505" s="100"/>
      <c r="Y20505" s="100"/>
    </row>
    <row r="20506">
      <c r="R20506" s="100"/>
      <c r="V20506" s="100"/>
      <c r="Y20506" s="100"/>
    </row>
    <row r="20507">
      <c r="R20507" s="100"/>
      <c r="V20507" s="100"/>
      <c r="Y20507" s="100"/>
    </row>
    <row r="20508">
      <c r="R20508" s="100"/>
      <c r="V20508" s="100"/>
      <c r="Y20508" s="100"/>
    </row>
    <row r="20509">
      <c r="R20509" s="100"/>
      <c r="V20509" s="100"/>
      <c r="Y20509" s="100"/>
    </row>
    <row r="20510">
      <c r="R20510" s="100"/>
      <c r="V20510" s="100"/>
      <c r="Y20510" s="100"/>
    </row>
    <row r="20511">
      <c r="R20511" s="100"/>
      <c r="V20511" s="100"/>
      <c r="Y20511" s="100"/>
    </row>
    <row r="20512">
      <c r="R20512" s="100"/>
      <c r="V20512" s="100"/>
      <c r="Y20512" s="100"/>
    </row>
    <row r="20513">
      <c r="R20513" s="100"/>
      <c r="V20513" s="100"/>
      <c r="Y20513" s="100"/>
    </row>
    <row r="20514">
      <c r="R20514" s="100"/>
      <c r="V20514" s="100"/>
      <c r="Y20514" s="100"/>
    </row>
    <row r="20515">
      <c r="R20515" s="100"/>
      <c r="V20515" s="100"/>
      <c r="Y20515" s="100"/>
    </row>
    <row r="20516">
      <c r="R20516" s="100"/>
      <c r="V20516" s="100"/>
      <c r="Y20516" s="100"/>
    </row>
    <row r="20517">
      <c r="R20517" s="100"/>
      <c r="V20517" s="100"/>
      <c r="Y20517" s="100"/>
    </row>
    <row r="20518">
      <c r="R20518" s="100"/>
      <c r="V20518" s="100"/>
      <c r="Y20518" s="100"/>
    </row>
    <row r="20519">
      <c r="R20519" s="100"/>
      <c r="V20519" s="100"/>
      <c r="Y20519" s="100"/>
    </row>
    <row r="20520">
      <c r="R20520" s="100"/>
      <c r="V20520" s="100"/>
      <c r="Y20520" s="100"/>
    </row>
    <row r="20521">
      <c r="R20521" s="100"/>
      <c r="V20521" s="100"/>
      <c r="Y20521" s="100"/>
    </row>
    <row r="20522">
      <c r="R20522" s="100"/>
      <c r="V20522" s="100"/>
      <c r="Y20522" s="100"/>
    </row>
    <row r="20523">
      <c r="R20523" s="100"/>
      <c r="V20523" s="100"/>
      <c r="Y20523" s="100"/>
    </row>
    <row r="20524">
      <c r="R20524" s="100"/>
      <c r="V20524" s="100"/>
      <c r="Y20524" s="100"/>
    </row>
    <row r="20525">
      <c r="R20525" s="100"/>
      <c r="V20525" s="100"/>
      <c r="Y20525" s="100"/>
    </row>
    <row r="20526">
      <c r="R20526" s="100"/>
      <c r="V20526" s="100"/>
      <c r="Y20526" s="100"/>
    </row>
    <row r="20527">
      <c r="R20527" s="100"/>
      <c r="V20527" s="100"/>
      <c r="Y20527" s="100"/>
    </row>
    <row r="20528">
      <c r="R20528" s="100"/>
      <c r="V20528" s="100"/>
      <c r="Y20528" s="100"/>
    </row>
    <row r="20529">
      <c r="R20529" s="100"/>
      <c r="V20529" s="100"/>
      <c r="Y20529" s="100"/>
    </row>
    <row r="20530">
      <c r="R20530" s="100"/>
      <c r="V20530" s="100"/>
      <c r="Y20530" s="100"/>
    </row>
    <row r="20531">
      <c r="R20531" s="100"/>
      <c r="V20531" s="100"/>
      <c r="Y20531" s="100"/>
    </row>
    <row r="20532">
      <c r="R20532" s="100"/>
      <c r="V20532" s="100"/>
      <c r="Y20532" s="100"/>
    </row>
    <row r="20533">
      <c r="R20533" s="100"/>
      <c r="V20533" s="100"/>
      <c r="Y20533" s="100"/>
    </row>
    <row r="20534">
      <c r="R20534" s="100"/>
      <c r="V20534" s="100"/>
      <c r="Y20534" s="100"/>
    </row>
    <row r="20535">
      <c r="R20535" s="100"/>
      <c r="V20535" s="100"/>
      <c r="Y20535" s="100"/>
    </row>
    <row r="20536">
      <c r="R20536" s="100"/>
      <c r="V20536" s="100"/>
      <c r="Y20536" s="100"/>
    </row>
    <row r="20537">
      <c r="R20537" s="100"/>
      <c r="V20537" s="100"/>
      <c r="Y20537" s="100"/>
    </row>
    <row r="20538">
      <c r="R20538" s="100"/>
      <c r="V20538" s="100"/>
      <c r="Y20538" s="100"/>
    </row>
    <row r="20539">
      <c r="R20539" s="100"/>
      <c r="V20539" s="100"/>
      <c r="Y20539" s="100"/>
    </row>
    <row r="20540">
      <c r="R20540" s="100"/>
      <c r="V20540" s="100"/>
      <c r="Y20540" s="100"/>
    </row>
    <row r="20541">
      <c r="R20541" s="100"/>
      <c r="V20541" s="100"/>
      <c r="Y20541" s="100"/>
    </row>
    <row r="20542">
      <c r="R20542" s="100"/>
      <c r="V20542" s="100"/>
      <c r="Y20542" s="100"/>
    </row>
    <row r="20543">
      <c r="R20543" s="100"/>
      <c r="V20543" s="100"/>
      <c r="Y20543" s="100"/>
    </row>
    <row r="20544">
      <c r="R20544" s="100"/>
      <c r="V20544" s="100"/>
      <c r="Y20544" s="100"/>
    </row>
    <row r="20545">
      <c r="R20545" s="100"/>
      <c r="V20545" s="100"/>
      <c r="Y20545" s="100"/>
    </row>
    <row r="20546">
      <c r="R20546" s="100"/>
      <c r="V20546" s="100"/>
      <c r="Y20546" s="100"/>
    </row>
    <row r="20547">
      <c r="R20547" s="100"/>
      <c r="V20547" s="100"/>
      <c r="Y20547" s="100"/>
    </row>
    <row r="20548">
      <c r="R20548" s="100"/>
      <c r="V20548" s="100"/>
      <c r="Y20548" s="100"/>
    </row>
    <row r="20549">
      <c r="R20549" s="100"/>
      <c r="V20549" s="100"/>
      <c r="Y20549" s="100"/>
    </row>
    <row r="20550">
      <c r="R20550" s="100"/>
      <c r="V20550" s="100"/>
      <c r="Y20550" s="100"/>
    </row>
    <row r="20551">
      <c r="R20551" s="100"/>
      <c r="V20551" s="100"/>
      <c r="Y20551" s="100"/>
    </row>
    <row r="20552">
      <c r="R20552" s="100"/>
      <c r="V20552" s="100"/>
      <c r="Y20552" s="100"/>
    </row>
    <row r="20553">
      <c r="R20553" s="100"/>
      <c r="V20553" s="100"/>
      <c r="Y20553" s="100"/>
    </row>
    <row r="20554">
      <c r="R20554" s="100"/>
      <c r="V20554" s="100"/>
      <c r="Y20554" s="100"/>
    </row>
    <row r="20555">
      <c r="R20555" s="100"/>
      <c r="V20555" s="100"/>
      <c r="Y20555" s="100"/>
    </row>
    <row r="20556">
      <c r="R20556" s="100"/>
      <c r="V20556" s="100"/>
      <c r="Y20556" s="100"/>
    </row>
    <row r="20557">
      <c r="R20557" s="100"/>
      <c r="V20557" s="100"/>
      <c r="Y20557" s="100"/>
    </row>
    <row r="20558">
      <c r="R20558" s="100"/>
      <c r="V20558" s="100"/>
      <c r="Y20558" s="100"/>
    </row>
    <row r="20559">
      <c r="R20559" s="100"/>
      <c r="V20559" s="100"/>
      <c r="Y20559" s="100"/>
    </row>
    <row r="20560">
      <c r="R20560" s="100"/>
      <c r="V20560" s="100"/>
      <c r="Y20560" s="100"/>
    </row>
    <row r="20561">
      <c r="R20561" s="100"/>
      <c r="V20561" s="100"/>
      <c r="Y20561" s="100"/>
    </row>
    <row r="20562">
      <c r="R20562" s="100"/>
      <c r="V20562" s="100"/>
      <c r="Y20562" s="100"/>
    </row>
    <row r="20563">
      <c r="R20563" s="100"/>
      <c r="V20563" s="100"/>
      <c r="Y20563" s="100"/>
    </row>
    <row r="20564">
      <c r="R20564" s="100"/>
      <c r="V20564" s="100"/>
      <c r="Y20564" s="100"/>
    </row>
    <row r="20565">
      <c r="R20565" s="100"/>
      <c r="V20565" s="100"/>
      <c r="Y20565" s="100"/>
    </row>
    <row r="20566">
      <c r="R20566" s="100"/>
      <c r="V20566" s="100"/>
      <c r="Y20566" s="100"/>
    </row>
    <row r="20567">
      <c r="R20567" s="100"/>
      <c r="V20567" s="100"/>
      <c r="Y20567" s="100"/>
    </row>
    <row r="20568">
      <c r="R20568" s="100"/>
      <c r="V20568" s="100"/>
      <c r="Y20568" s="100"/>
    </row>
    <row r="20569">
      <c r="R20569" s="100"/>
      <c r="V20569" s="100"/>
      <c r="Y20569" s="100"/>
    </row>
    <row r="20570">
      <c r="R20570" s="100"/>
      <c r="V20570" s="100"/>
      <c r="Y20570" s="100"/>
    </row>
    <row r="20571">
      <c r="R20571" s="100"/>
      <c r="V20571" s="100"/>
      <c r="Y20571" s="100"/>
    </row>
    <row r="20572">
      <c r="R20572" s="100"/>
      <c r="V20572" s="100"/>
      <c r="Y20572" s="100"/>
    </row>
    <row r="20573">
      <c r="R20573" s="100"/>
      <c r="V20573" s="100"/>
      <c r="Y20573" s="100"/>
    </row>
    <row r="20574">
      <c r="R20574" s="100"/>
      <c r="V20574" s="100"/>
      <c r="Y20574" s="100"/>
    </row>
    <row r="20575">
      <c r="R20575" s="100"/>
      <c r="V20575" s="100"/>
      <c r="Y20575" s="100"/>
    </row>
    <row r="20576">
      <c r="R20576" s="100"/>
      <c r="V20576" s="100"/>
      <c r="Y20576" s="100"/>
    </row>
    <row r="20577">
      <c r="R20577" s="100"/>
      <c r="V20577" s="100"/>
      <c r="Y20577" s="100"/>
    </row>
    <row r="20578">
      <c r="R20578" s="100"/>
      <c r="V20578" s="100"/>
      <c r="Y20578" s="100"/>
    </row>
    <row r="20579">
      <c r="R20579" s="100"/>
      <c r="V20579" s="100"/>
      <c r="Y20579" s="100"/>
    </row>
    <row r="20580">
      <c r="R20580" s="100"/>
      <c r="V20580" s="100"/>
      <c r="Y20580" s="100"/>
    </row>
    <row r="20581">
      <c r="R20581" s="100"/>
      <c r="V20581" s="100"/>
      <c r="Y20581" s="100"/>
    </row>
    <row r="20582">
      <c r="R20582" s="100"/>
      <c r="V20582" s="100"/>
      <c r="Y20582" s="100"/>
    </row>
    <row r="20583">
      <c r="R20583" s="100"/>
      <c r="V20583" s="100"/>
      <c r="Y20583" s="100"/>
    </row>
    <row r="20584">
      <c r="R20584" s="100"/>
      <c r="V20584" s="100"/>
      <c r="Y20584" s="100"/>
    </row>
    <row r="20585">
      <c r="R20585" s="100"/>
      <c r="V20585" s="100"/>
      <c r="Y20585" s="100"/>
    </row>
    <row r="20586">
      <c r="R20586" s="100"/>
      <c r="V20586" s="100"/>
      <c r="Y20586" s="100"/>
    </row>
    <row r="20587">
      <c r="R20587" s="100"/>
      <c r="V20587" s="100"/>
      <c r="Y20587" s="100"/>
    </row>
    <row r="20588">
      <c r="R20588" s="100"/>
      <c r="V20588" s="100"/>
      <c r="Y20588" s="100"/>
    </row>
    <row r="20589">
      <c r="R20589" s="100"/>
      <c r="V20589" s="100"/>
      <c r="Y20589" s="100"/>
    </row>
    <row r="20590">
      <c r="R20590" s="100"/>
      <c r="V20590" s="100"/>
      <c r="Y20590" s="100"/>
    </row>
    <row r="20591">
      <c r="R20591" s="100"/>
      <c r="V20591" s="100"/>
      <c r="Y20591" s="100"/>
    </row>
    <row r="20592">
      <c r="R20592" s="100"/>
      <c r="V20592" s="100"/>
      <c r="Y20592" s="100"/>
    </row>
    <row r="20593">
      <c r="R20593" s="100"/>
      <c r="V20593" s="100"/>
      <c r="Y20593" s="100"/>
    </row>
    <row r="20594">
      <c r="R20594" s="100"/>
      <c r="V20594" s="100"/>
      <c r="Y20594" s="100"/>
    </row>
    <row r="20595">
      <c r="R20595" s="100"/>
      <c r="V20595" s="100"/>
      <c r="Y20595" s="100"/>
    </row>
    <row r="20596">
      <c r="R20596" s="100"/>
      <c r="V20596" s="100"/>
      <c r="Y20596" s="100"/>
    </row>
    <row r="20597">
      <c r="R20597" s="100"/>
      <c r="V20597" s="100"/>
      <c r="Y20597" s="100"/>
    </row>
    <row r="20598">
      <c r="R20598" s="100"/>
      <c r="V20598" s="100"/>
      <c r="Y20598" s="100"/>
    </row>
    <row r="20599">
      <c r="R20599" s="100"/>
      <c r="V20599" s="100"/>
      <c r="Y20599" s="100"/>
    </row>
    <row r="20600">
      <c r="R20600" s="100"/>
      <c r="V20600" s="100"/>
      <c r="Y20600" s="100"/>
    </row>
    <row r="20601">
      <c r="R20601" s="100"/>
      <c r="V20601" s="100"/>
      <c r="Y20601" s="100"/>
    </row>
    <row r="20602">
      <c r="R20602" s="100"/>
      <c r="V20602" s="100"/>
      <c r="Y20602" s="100"/>
    </row>
    <row r="20603">
      <c r="R20603" s="100"/>
      <c r="V20603" s="100"/>
      <c r="Y20603" s="100"/>
    </row>
    <row r="20604">
      <c r="R20604" s="100"/>
      <c r="V20604" s="100"/>
      <c r="Y20604" s="100"/>
    </row>
    <row r="20605">
      <c r="R20605" s="100"/>
      <c r="V20605" s="100"/>
      <c r="Y20605" s="100"/>
    </row>
    <row r="20606">
      <c r="R20606" s="100"/>
      <c r="V20606" s="100"/>
      <c r="Y20606" s="100"/>
    </row>
    <row r="20607">
      <c r="R20607" s="100"/>
      <c r="V20607" s="100"/>
      <c r="Y20607" s="100"/>
    </row>
    <row r="20608">
      <c r="R20608" s="100"/>
      <c r="V20608" s="100"/>
      <c r="Y20608" s="100"/>
    </row>
    <row r="20609">
      <c r="R20609" s="100"/>
      <c r="V20609" s="100"/>
      <c r="Y20609" s="100"/>
    </row>
    <row r="20610">
      <c r="R20610" s="100"/>
      <c r="V20610" s="100"/>
      <c r="Y20610" s="100"/>
    </row>
    <row r="20611">
      <c r="R20611" s="100"/>
      <c r="V20611" s="100"/>
      <c r="Y20611" s="100"/>
    </row>
    <row r="20612">
      <c r="R20612" s="100"/>
      <c r="V20612" s="100"/>
      <c r="Y20612" s="100"/>
    </row>
    <row r="20613">
      <c r="R20613" s="100"/>
      <c r="V20613" s="100"/>
      <c r="Y20613" s="100"/>
    </row>
    <row r="20614">
      <c r="R20614" s="100"/>
      <c r="V20614" s="100"/>
      <c r="Y20614" s="100"/>
    </row>
    <row r="20615">
      <c r="R20615" s="100"/>
      <c r="V20615" s="100"/>
      <c r="Y20615" s="100"/>
    </row>
    <row r="20616">
      <c r="R20616" s="100"/>
      <c r="V20616" s="100"/>
      <c r="Y20616" s="100"/>
    </row>
    <row r="20617">
      <c r="R20617" s="100"/>
      <c r="V20617" s="100"/>
      <c r="Y20617" s="100"/>
    </row>
    <row r="20618">
      <c r="R20618" s="100"/>
      <c r="V20618" s="100"/>
      <c r="Y20618" s="100"/>
    </row>
    <row r="20619">
      <c r="R20619" s="100"/>
      <c r="V20619" s="100"/>
      <c r="Y20619" s="100"/>
    </row>
    <row r="20620">
      <c r="R20620" s="100"/>
      <c r="V20620" s="100"/>
      <c r="Y20620" s="100"/>
    </row>
    <row r="20621">
      <c r="R20621" s="100"/>
      <c r="V20621" s="100"/>
      <c r="Y20621" s="100"/>
    </row>
    <row r="20622">
      <c r="R20622" s="100"/>
      <c r="V20622" s="100"/>
      <c r="Y20622" s="100"/>
    </row>
    <row r="20623">
      <c r="R20623" s="100"/>
      <c r="V20623" s="100"/>
      <c r="Y20623" s="100"/>
    </row>
    <row r="20624">
      <c r="R20624" s="100"/>
      <c r="V20624" s="100"/>
      <c r="Y20624" s="100"/>
    </row>
    <row r="20625">
      <c r="R20625" s="100"/>
      <c r="V20625" s="100"/>
      <c r="Y20625" s="100"/>
    </row>
    <row r="20626">
      <c r="R20626" s="100"/>
      <c r="V20626" s="100"/>
      <c r="Y20626" s="100"/>
    </row>
    <row r="20627">
      <c r="R20627" s="100"/>
      <c r="V20627" s="100"/>
      <c r="Y20627" s="100"/>
    </row>
    <row r="20628">
      <c r="R20628" s="100"/>
      <c r="V20628" s="100"/>
      <c r="Y20628" s="100"/>
    </row>
    <row r="20629">
      <c r="R20629" s="100"/>
      <c r="V20629" s="100"/>
      <c r="Y20629" s="100"/>
    </row>
    <row r="20630">
      <c r="R20630" s="100"/>
      <c r="V20630" s="100"/>
      <c r="Y20630" s="100"/>
    </row>
    <row r="20631">
      <c r="R20631" s="100"/>
      <c r="V20631" s="100"/>
      <c r="Y20631" s="100"/>
    </row>
    <row r="20632">
      <c r="R20632" s="100"/>
      <c r="V20632" s="100"/>
      <c r="Y20632" s="100"/>
    </row>
    <row r="20633">
      <c r="R20633" s="100"/>
      <c r="V20633" s="100"/>
      <c r="Y20633" s="100"/>
    </row>
    <row r="20634">
      <c r="R20634" s="100"/>
      <c r="V20634" s="100"/>
      <c r="Y20634" s="100"/>
    </row>
    <row r="20635">
      <c r="R20635" s="100"/>
      <c r="V20635" s="100"/>
      <c r="Y20635" s="100"/>
    </row>
    <row r="20636">
      <c r="R20636" s="100"/>
      <c r="V20636" s="100"/>
      <c r="Y20636" s="100"/>
    </row>
    <row r="20637">
      <c r="R20637" s="100"/>
      <c r="V20637" s="100"/>
      <c r="Y20637" s="100"/>
    </row>
    <row r="20638">
      <c r="R20638" s="100"/>
      <c r="V20638" s="100"/>
      <c r="Y20638" s="100"/>
    </row>
    <row r="20639">
      <c r="R20639" s="100"/>
      <c r="V20639" s="100"/>
      <c r="Y20639" s="100"/>
    </row>
    <row r="20640">
      <c r="R20640" s="100"/>
      <c r="V20640" s="100"/>
      <c r="Y20640" s="100"/>
    </row>
    <row r="20641">
      <c r="R20641" s="100"/>
      <c r="V20641" s="100"/>
      <c r="Y20641" s="100"/>
    </row>
    <row r="20642">
      <c r="R20642" s="100"/>
      <c r="V20642" s="100"/>
      <c r="Y20642" s="100"/>
    </row>
    <row r="20643">
      <c r="R20643" s="100"/>
      <c r="V20643" s="100"/>
      <c r="Y20643" s="100"/>
    </row>
    <row r="20644">
      <c r="R20644" s="100"/>
      <c r="V20644" s="100"/>
      <c r="Y20644" s="100"/>
    </row>
    <row r="20645">
      <c r="R20645" s="100"/>
      <c r="V20645" s="100"/>
      <c r="Y20645" s="100"/>
    </row>
    <row r="20646">
      <c r="R20646" s="100"/>
      <c r="V20646" s="100"/>
      <c r="Y20646" s="100"/>
    </row>
    <row r="20647">
      <c r="R20647" s="100"/>
      <c r="V20647" s="100"/>
      <c r="Y20647" s="100"/>
    </row>
    <row r="20648">
      <c r="R20648" s="100"/>
      <c r="V20648" s="100"/>
      <c r="Y20648" s="100"/>
    </row>
    <row r="20649">
      <c r="R20649" s="100"/>
      <c r="V20649" s="100"/>
      <c r="Y20649" s="100"/>
    </row>
    <row r="20650">
      <c r="R20650" s="100"/>
      <c r="V20650" s="100"/>
      <c r="Y20650" s="100"/>
    </row>
    <row r="20651">
      <c r="R20651" s="100"/>
      <c r="V20651" s="100"/>
      <c r="Y20651" s="100"/>
    </row>
    <row r="20652">
      <c r="R20652" s="100"/>
      <c r="V20652" s="100"/>
      <c r="Y20652" s="100"/>
    </row>
    <row r="20653">
      <c r="R20653" s="100"/>
      <c r="V20653" s="100"/>
      <c r="Y20653" s="100"/>
    </row>
    <row r="20654">
      <c r="R20654" s="100"/>
      <c r="V20654" s="100"/>
      <c r="Y20654" s="100"/>
    </row>
    <row r="20655">
      <c r="R20655" s="100"/>
      <c r="V20655" s="100"/>
      <c r="Y20655" s="100"/>
    </row>
    <row r="20656">
      <c r="R20656" s="100"/>
      <c r="V20656" s="100"/>
      <c r="Y20656" s="100"/>
    </row>
    <row r="20657">
      <c r="R20657" s="100"/>
      <c r="V20657" s="100"/>
      <c r="Y20657" s="100"/>
    </row>
    <row r="20658">
      <c r="R20658" s="100"/>
      <c r="V20658" s="100"/>
      <c r="Y20658" s="100"/>
    </row>
    <row r="20659">
      <c r="R20659" s="100"/>
      <c r="V20659" s="100"/>
      <c r="Y20659" s="100"/>
    </row>
    <row r="20660">
      <c r="R20660" s="100"/>
      <c r="V20660" s="100"/>
      <c r="Y20660" s="100"/>
    </row>
    <row r="20661">
      <c r="R20661" s="100"/>
      <c r="V20661" s="100"/>
      <c r="Y20661" s="100"/>
    </row>
    <row r="20662">
      <c r="R20662" s="100"/>
      <c r="V20662" s="100"/>
      <c r="Y20662" s="100"/>
    </row>
    <row r="20663">
      <c r="R20663" s="100"/>
      <c r="V20663" s="100"/>
      <c r="Y20663" s="100"/>
    </row>
    <row r="20664">
      <c r="R20664" s="100"/>
      <c r="V20664" s="100"/>
      <c r="Y20664" s="100"/>
    </row>
    <row r="20665">
      <c r="R20665" s="100"/>
      <c r="V20665" s="100"/>
      <c r="Y20665" s="100"/>
    </row>
    <row r="20666">
      <c r="R20666" s="100"/>
      <c r="V20666" s="100"/>
      <c r="Y20666" s="100"/>
    </row>
    <row r="20667">
      <c r="R20667" s="100"/>
      <c r="V20667" s="100"/>
      <c r="Y20667" s="100"/>
    </row>
    <row r="20668">
      <c r="R20668" s="100"/>
      <c r="V20668" s="100"/>
      <c r="Y20668" s="100"/>
    </row>
    <row r="20669">
      <c r="R20669" s="100"/>
      <c r="V20669" s="100"/>
      <c r="Y20669" s="100"/>
    </row>
    <row r="20670">
      <c r="R20670" s="100"/>
      <c r="V20670" s="100"/>
      <c r="Y20670" s="100"/>
    </row>
    <row r="20671">
      <c r="R20671" s="100"/>
      <c r="V20671" s="100"/>
      <c r="Y20671" s="100"/>
    </row>
    <row r="20672">
      <c r="R20672" s="100"/>
      <c r="V20672" s="100"/>
      <c r="Y20672" s="100"/>
    </row>
    <row r="20673">
      <c r="R20673" s="100"/>
      <c r="V20673" s="100"/>
      <c r="Y20673" s="100"/>
    </row>
    <row r="20674">
      <c r="R20674" s="100"/>
      <c r="V20674" s="100"/>
      <c r="Y20674" s="100"/>
    </row>
    <row r="20675">
      <c r="R20675" s="100"/>
      <c r="V20675" s="100"/>
      <c r="Y20675" s="100"/>
    </row>
    <row r="20676">
      <c r="R20676" s="100"/>
      <c r="V20676" s="100"/>
      <c r="Y20676" s="100"/>
    </row>
    <row r="20677">
      <c r="R20677" s="100"/>
      <c r="V20677" s="100"/>
      <c r="Y20677" s="100"/>
    </row>
    <row r="20678">
      <c r="R20678" s="100"/>
      <c r="V20678" s="100"/>
      <c r="Y20678" s="100"/>
    </row>
    <row r="20679">
      <c r="R20679" s="100"/>
      <c r="V20679" s="100"/>
      <c r="Y20679" s="100"/>
    </row>
    <row r="20680">
      <c r="R20680" s="100"/>
      <c r="V20680" s="100"/>
      <c r="Y20680" s="100"/>
    </row>
    <row r="20681">
      <c r="R20681" s="100"/>
      <c r="V20681" s="100"/>
      <c r="Y20681" s="100"/>
    </row>
    <row r="20682">
      <c r="R20682" s="100"/>
      <c r="V20682" s="100"/>
      <c r="Y20682" s="100"/>
    </row>
    <row r="20683">
      <c r="R20683" s="100"/>
      <c r="V20683" s="100"/>
      <c r="Y20683" s="100"/>
    </row>
    <row r="20684">
      <c r="R20684" s="100"/>
      <c r="V20684" s="100"/>
      <c r="Y20684" s="100"/>
    </row>
    <row r="20685">
      <c r="R20685" s="100"/>
      <c r="V20685" s="100"/>
      <c r="Y20685" s="100"/>
    </row>
    <row r="20686">
      <c r="R20686" s="100"/>
      <c r="V20686" s="100"/>
      <c r="Y20686" s="100"/>
    </row>
    <row r="20687">
      <c r="R20687" s="100"/>
      <c r="V20687" s="100"/>
      <c r="Y20687" s="100"/>
    </row>
    <row r="20688">
      <c r="R20688" s="100"/>
      <c r="V20688" s="100"/>
      <c r="Y20688" s="100"/>
    </row>
    <row r="20689">
      <c r="R20689" s="100"/>
      <c r="V20689" s="100"/>
      <c r="Y20689" s="100"/>
    </row>
    <row r="20690">
      <c r="R20690" s="100"/>
      <c r="V20690" s="100"/>
      <c r="Y20690" s="100"/>
    </row>
    <row r="20691">
      <c r="R20691" s="100"/>
      <c r="V20691" s="100"/>
      <c r="Y20691" s="100"/>
    </row>
    <row r="20692">
      <c r="R20692" s="100"/>
      <c r="V20692" s="100"/>
      <c r="Y20692" s="100"/>
    </row>
    <row r="20693">
      <c r="R20693" s="100"/>
      <c r="V20693" s="100"/>
      <c r="Y20693" s="100"/>
    </row>
    <row r="20694">
      <c r="R20694" s="100"/>
      <c r="V20694" s="100"/>
      <c r="Y20694" s="100"/>
    </row>
    <row r="20695">
      <c r="R20695" s="100"/>
      <c r="V20695" s="100"/>
      <c r="Y20695" s="100"/>
    </row>
    <row r="20696">
      <c r="R20696" s="100"/>
      <c r="V20696" s="100"/>
      <c r="Y20696" s="100"/>
    </row>
    <row r="20697">
      <c r="R20697" s="100"/>
      <c r="V20697" s="100"/>
      <c r="Y20697" s="100"/>
    </row>
    <row r="20698">
      <c r="R20698" s="100"/>
      <c r="V20698" s="100"/>
      <c r="Y20698" s="100"/>
    </row>
    <row r="20699">
      <c r="R20699" s="100"/>
      <c r="V20699" s="100"/>
      <c r="Y20699" s="100"/>
    </row>
    <row r="20700">
      <c r="R20700" s="100"/>
      <c r="V20700" s="100"/>
      <c r="Y20700" s="100"/>
    </row>
    <row r="20701">
      <c r="R20701" s="100"/>
      <c r="V20701" s="100"/>
      <c r="Y20701" s="100"/>
    </row>
    <row r="20702">
      <c r="R20702" s="100"/>
      <c r="V20702" s="100"/>
      <c r="Y20702" s="100"/>
    </row>
    <row r="20703">
      <c r="R20703" s="100"/>
      <c r="V20703" s="100"/>
      <c r="Y20703" s="100"/>
    </row>
    <row r="20704">
      <c r="R20704" s="100"/>
      <c r="V20704" s="100"/>
      <c r="Y20704" s="100"/>
    </row>
    <row r="20705">
      <c r="R20705" s="100"/>
      <c r="V20705" s="100"/>
      <c r="Y20705" s="100"/>
    </row>
    <row r="20706">
      <c r="R20706" s="100"/>
      <c r="V20706" s="100"/>
      <c r="Y20706" s="100"/>
    </row>
    <row r="20707">
      <c r="R20707" s="100"/>
      <c r="V20707" s="100"/>
      <c r="Y20707" s="100"/>
    </row>
    <row r="20708">
      <c r="R20708" s="100"/>
      <c r="V20708" s="100"/>
      <c r="Y20708" s="100"/>
    </row>
    <row r="20709">
      <c r="R20709" s="100"/>
      <c r="V20709" s="100"/>
      <c r="Y20709" s="100"/>
    </row>
    <row r="20710">
      <c r="R20710" s="100"/>
      <c r="V20710" s="100"/>
      <c r="Y20710" s="100"/>
    </row>
    <row r="20711">
      <c r="R20711" s="100"/>
      <c r="V20711" s="100"/>
      <c r="Y20711" s="100"/>
    </row>
    <row r="20712">
      <c r="R20712" s="100"/>
      <c r="V20712" s="100"/>
      <c r="Y20712" s="100"/>
    </row>
    <row r="20713">
      <c r="R20713" s="100"/>
      <c r="V20713" s="100"/>
      <c r="Y20713" s="100"/>
    </row>
    <row r="20714">
      <c r="R20714" s="100"/>
      <c r="V20714" s="100"/>
      <c r="Y20714" s="100"/>
    </row>
    <row r="20715">
      <c r="R20715" s="100"/>
      <c r="V20715" s="100"/>
      <c r="Y20715" s="100"/>
    </row>
    <row r="20716">
      <c r="R20716" s="100"/>
      <c r="V20716" s="100"/>
      <c r="Y20716" s="100"/>
    </row>
    <row r="20717">
      <c r="R20717" s="100"/>
      <c r="V20717" s="100"/>
      <c r="Y20717" s="100"/>
    </row>
    <row r="20718">
      <c r="R20718" s="100"/>
      <c r="V20718" s="100"/>
      <c r="Y20718" s="100"/>
    </row>
    <row r="20719">
      <c r="R20719" s="100"/>
      <c r="V20719" s="100"/>
      <c r="Y20719" s="100"/>
    </row>
    <row r="20720">
      <c r="R20720" s="100"/>
      <c r="V20720" s="100"/>
      <c r="Y20720" s="100"/>
    </row>
    <row r="20721">
      <c r="R20721" s="100"/>
      <c r="V20721" s="100"/>
      <c r="Y20721" s="100"/>
    </row>
    <row r="20722">
      <c r="R20722" s="100"/>
      <c r="V20722" s="100"/>
      <c r="Y20722" s="100"/>
    </row>
    <row r="20723">
      <c r="R20723" s="100"/>
      <c r="V20723" s="100"/>
      <c r="Y20723" s="100"/>
    </row>
    <row r="20724">
      <c r="R20724" s="100"/>
      <c r="V20724" s="100"/>
      <c r="Y20724" s="100"/>
    </row>
    <row r="20725">
      <c r="R20725" s="100"/>
      <c r="V20725" s="100"/>
      <c r="Y20725" s="100"/>
    </row>
    <row r="20726">
      <c r="R20726" s="100"/>
      <c r="V20726" s="100"/>
      <c r="Y20726" s="100"/>
    </row>
    <row r="20727">
      <c r="R20727" s="100"/>
      <c r="V20727" s="100"/>
      <c r="Y20727" s="100"/>
    </row>
    <row r="20728">
      <c r="R20728" s="100"/>
      <c r="V20728" s="100"/>
      <c r="Y20728" s="100"/>
    </row>
    <row r="20729">
      <c r="R20729" s="100"/>
      <c r="V20729" s="100"/>
      <c r="Y20729" s="100"/>
    </row>
    <row r="20730">
      <c r="R20730" s="100"/>
      <c r="V20730" s="100"/>
      <c r="Y20730" s="100"/>
    </row>
    <row r="20731">
      <c r="R20731" s="100"/>
      <c r="V20731" s="100"/>
      <c r="Y20731" s="100"/>
    </row>
    <row r="20732">
      <c r="R20732" s="100"/>
      <c r="V20732" s="100"/>
      <c r="Y20732" s="100"/>
    </row>
    <row r="20733">
      <c r="R20733" s="100"/>
      <c r="V20733" s="100"/>
      <c r="Y20733" s="100"/>
    </row>
    <row r="20734">
      <c r="R20734" s="100"/>
      <c r="V20734" s="100"/>
      <c r="Y20734" s="100"/>
    </row>
    <row r="20735">
      <c r="R20735" s="100"/>
      <c r="V20735" s="100"/>
      <c r="Y20735" s="100"/>
    </row>
    <row r="20736">
      <c r="R20736" s="100"/>
      <c r="V20736" s="100"/>
      <c r="Y20736" s="100"/>
    </row>
    <row r="20737">
      <c r="R20737" s="100"/>
      <c r="V20737" s="100"/>
      <c r="Y20737" s="100"/>
    </row>
    <row r="20738">
      <c r="R20738" s="100"/>
      <c r="V20738" s="100"/>
      <c r="Y20738" s="100"/>
    </row>
    <row r="20739">
      <c r="R20739" s="100"/>
      <c r="V20739" s="100"/>
      <c r="Y20739" s="100"/>
    </row>
    <row r="20740">
      <c r="R20740" s="100"/>
      <c r="V20740" s="100"/>
      <c r="Y20740" s="100"/>
    </row>
    <row r="20741">
      <c r="R20741" s="100"/>
      <c r="V20741" s="100"/>
      <c r="Y20741" s="100"/>
    </row>
    <row r="20742">
      <c r="R20742" s="100"/>
      <c r="V20742" s="100"/>
      <c r="Y20742" s="100"/>
    </row>
    <row r="20743">
      <c r="R20743" s="100"/>
      <c r="V20743" s="100"/>
      <c r="Y20743" s="100"/>
    </row>
    <row r="20744">
      <c r="R20744" s="100"/>
      <c r="V20744" s="100"/>
      <c r="Y20744" s="100"/>
    </row>
    <row r="20745">
      <c r="R20745" s="100"/>
      <c r="V20745" s="100"/>
      <c r="Y20745" s="100"/>
    </row>
    <row r="20746">
      <c r="R20746" s="100"/>
      <c r="V20746" s="100"/>
      <c r="Y20746" s="100"/>
    </row>
    <row r="20747">
      <c r="R20747" s="100"/>
      <c r="V20747" s="100"/>
      <c r="Y20747" s="100"/>
    </row>
    <row r="20748">
      <c r="R20748" s="100"/>
      <c r="V20748" s="100"/>
      <c r="Y20748" s="100"/>
    </row>
    <row r="20749">
      <c r="R20749" s="100"/>
      <c r="V20749" s="100"/>
      <c r="Y20749" s="100"/>
    </row>
    <row r="20750">
      <c r="R20750" s="100"/>
      <c r="V20750" s="100"/>
      <c r="Y20750" s="100"/>
    </row>
    <row r="20751">
      <c r="R20751" s="100"/>
      <c r="V20751" s="100"/>
      <c r="Y20751" s="100"/>
    </row>
    <row r="20752">
      <c r="R20752" s="100"/>
      <c r="V20752" s="100"/>
      <c r="Y20752" s="100"/>
    </row>
    <row r="20753">
      <c r="R20753" s="100"/>
      <c r="V20753" s="100"/>
      <c r="Y20753" s="100"/>
    </row>
    <row r="20754">
      <c r="R20754" s="100"/>
      <c r="V20754" s="100"/>
      <c r="Y20754" s="100"/>
    </row>
    <row r="20755">
      <c r="R20755" s="100"/>
      <c r="V20755" s="100"/>
      <c r="Y20755" s="100"/>
    </row>
    <row r="20756">
      <c r="R20756" s="100"/>
      <c r="V20756" s="100"/>
      <c r="Y20756" s="100"/>
    </row>
    <row r="20757">
      <c r="R20757" s="100"/>
      <c r="V20757" s="100"/>
      <c r="Y20757" s="100"/>
    </row>
    <row r="20758">
      <c r="R20758" s="100"/>
      <c r="V20758" s="100"/>
      <c r="Y20758" s="100"/>
    </row>
    <row r="20759">
      <c r="R20759" s="100"/>
      <c r="V20759" s="100"/>
      <c r="Y20759" s="100"/>
    </row>
    <row r="20760">
      <c r="R20760" s="100"/>
      <c r="V20760" s="100"/>
      <c r="Y20760" s="100"/>
    </row>
    <row r="20761">
      <c r="R20761" s="100"/>
      <c r="V20761" s="100"/>
      <c r="Y20761" s="100"/>
    </row>
    <row r="20762">
      <c r="R20762" s="100"/>
      <c r="V20762" s="100"/>
      <c r="Y20762" s="100"/>
    </row>
    <row r="20763">
      <c r="R20763" s="100"/>
      <c r="V20763" s="100"/>
      <c r="Y20763" s="100"/>
    </row>
    <row r="20764">
      <c r="R20764" s="100"/>
      <c r="V20764" s="100"/>
      <c r="Y20764" s="100"/>
    </row>
    <row r="20765">
      <c r="R20765" s="100"/>
      <c r="V20765" s="100"/>
      <c r="Y20765" s="100"/>
    </row>
    <row r="20766">
      <c r="R20766" s="100"/>
      <c r="V20766" s="100"/>
      <c r="Y20766" s="100"/>
    </row>
    <row r="20767">
      <c r="R20767" s="100"/>
      <c r="V20767" s="100"/>
      <c r="Y20767" s="100"/>
    </row>
    <row r="20768">
      <c r="R20768" s="100"/>
      <c r="V20768" s="100"/>
      <c r="Y20768" s="100"/>
    </row>
    <row r="20769">
      <c r="R20769" s="100"/>
      <c r="V20769" s="100"/>
      <c r="Y20769" s="100"/>
    </row>
    <row r="20770">
      <c r="R20770" s="100"/>
      <c r="V20770" s="100"/>
      <c r="Y20770" s="100"/>
    </row>
    <row r="20771">
      <c r="R20771" s="100"/>
      <c r="V20771" s="100"/>
      <c r="Y20771" s="100"/>
    </row>
    <row r="20772">
      <c r="R20772" s="100"/>
      <c r="V20772" s="100"/>
      <c r="Y20772" s="100"/>
    </row>
    <row r="20773">
      <c r="R20773" s="100"/>
      <c r="V20773" s="100"/>
      <c r="Y20773" s="100"/>
    </row>
    <row r="20774">
      <c r="R20774" s="100"/>
      <c r="V20774" s="100"/>
      <c r="Y20774" s="100"/>
    </row>
    <row r="20775">
      <c r="R20775" s="100"/>
      <c r="V20775" s="100"/>
      <c r="Y20775" s="100"/>
    </row>
    <row r="20776">
      <c r="R20776" s="100"/>
      <c r="V20776" s="100"/>
      <c r="Y20776" s="100"/>
    </row>
    <row r="20777">
      <c r="R20777" s="100"/>
      <c r="V20777" s="100"/>
      <c r="Y20777" s="100"/>
    </row>
    <row r="20778">
      <c r="R20778" s="100"/>
      <c r="V20778" s="100"/>
      <c r="Y20778" s="100"/>
    </row>
    <row r="20779">
      <c r="R20779" s="100"/>
      <c r="V20779" s="100"/>
      <c r="Y20779" s="100"/>
    </row>
    <row r="20780">
      <c r="R20780" s="100"/>
      <c r="V20780" s="100"/>
      <c r="Y20780" s="100"/>
    </row>
    <row r="20781">
      <c r="R20781" s="100"/>
      <c r="V20781" s="100"/>
      <c r="Y20781" s="100"/>
    </row>
    <row r="20782">
      <c r="R20782" s="100"/>
      <c r="V20782" s="100"/>
      <c r="Y20782" s="100"/>
    </row>
    <row r="20783">
      <c r="R20783" s="100"/>
      <c r="V20783" s="100"/>
      <c r="Y20783" s="100"/>
    </row>
    <row r="20784">
      <c r="R20784" s="100"/>
      <c r="V20784" s="100"/>
      <c r="Y20784" s="100"/>
    </row>
    <row r="20785">
      <c r="R20785" s="100"/>
      <c r="V20785" s="100"/>
      <c r="Y20785" s="100"/>
    </row>
    <row r="20786">
      <c r="R20786" s="100"/>
      <c r="V20786" s="100"/>
      <c r="Y20786" s="100"/>
    </row>
    <row r="20787">
      <c r="R20787" s="100"/>
      <c r="V20787" s="100"/>
      <c r="Y20787" s="100"/>
    </row>
    <row r="20788">
      <c r="R20788" s="100"/>
      <c r="V20788" s="100"/>
      <c r="Y20788" s="100"/>
    </row>
    <row r="20789">
      <c r="R20789" s="100"/>
      <c r="V20789" s="100"/>
      <c r="Y20789" s="100"/>
    </row>
    <row r="20790">
      <c r="R20790" s="100"/>
      <c r="V20790" s="100"/>
      <c r="Y20790" s="100"/>
    </row>
    <row r="20791">
      <c r="R20791" s="100"/>
      <c r="V20791" s="100"/>
      <c r="Y20791" s="100"/>
    </row>
    <row r="20792">
      <c r="R20792" s="100"/>
      <c r="V20792" s="100"/>
      <c r="Y20792" s="100"/>
    </row>
    <row r="20793">
      <c r="R20793" s="100"/>
      <c r="V20793" s="100"/>
      <c r="Y20793" s="100"/>
    </row>
    <row r="20794">
      <c r="R20794" s="100"/>
      <c r="V20794" s="100"/>
      <c r="Y20794" s="100"/>
    </row>
    <row r="20795">
      <c r="R20795" s="100"/>
      <c r="V20795" s="100"/>
      <c r="Y20795" s="100"/>
    </row>
    <row r="20796">
      <c r="R20796" s="100"/>
      <c r="V20796" s="100"/>
      <c r="Y20796" s="100"/>
    </row>
    <row r="20797">
      <c r="R20797" s="100"/>
      <c r="V20797" s="100"/>
      <c r="Y20797" s="100"/>
    </row>
    <row r="20798">
      <c r="R20798" s="100"/>
      <c r="V20798" s="100"/>
      <c r="Y20798" s="100"/>
    </row>
    <row r="20799">
      <c r="R20799" s="100"/>
      <c r="V20799" s="100"/>
      <c r="Y20799" s="100"/>
    </row>
    <row r="20800">
      <c r="R20800" s="100"/>
      <c r="V20800" s="100"/>
      <c r="Y20800" s="100"/>
    </row>
    <row r="20801">
      <c r="R20801" s="100"/>
      <c r="V20801" s="100"/>
      <c r="Y20801" s="100"/>
    </row>
    <row r="20802">
      <c r="R20802" s="100"/>
      <c r="V20802" s="100"/>
      <c r="Y20802" s="100"/>
    </row>
    <row r="20803">
      <c r="R20803" s="100"/>
      <c r="V20803" s="100"/>
      <c r="Y20803" s="100"/>
    </row>
    <row r="20804">
      <c r="R20804" s="100"/>
      <c r="V20804" s="100"/>
      <c r="Y20804" s="100"/>
    </row>
    <row r="20805">
      <c r="R20805" s="100"/>
      <c r="V20805" s="100"/>
      <c r="Y20805" s="100"/>
    </row>
    <row r="20806">
      <c r="R20806" s="100"/>
      <c r="V20806" s="100"/>
      <c r="Y20806" s="100"/>
    </row>
    <row r="20807">
      <c r="R20807" s="100"/>
      <c r="V20807" s="100"/>
      <c r="Y20807" s="100"/>
    </row>
    <row r="20808">
      <c r="R20808" s="100"/>
      <c r="V20808" s="100"/>
      <c r="Y20808" s="100"/>
    </row>
    <row r="20809">
      <c r="R20809" s="100"/>
      <c r="V20809" s="100"/>
      <c r="Y20809" s="100"/>
    </row>
    <row r="20810">
      <c r="R20810" s="100"/>
      <c r="V20810" s="100"/>
      <c r="Y20810" s="100"/>
    </row>
    <row r="20811">
      <c r="R20811" s="100"/>
      <c r="V20811" s="100"/>
      <c r="Y20811" s="100"/>
    </row>
    <row r="20812">
      <c r="R20812" s="100"/>
      <c r="V20812" s="100"/>
      <c r="Y20812" s="100"/>
    </row>
    <row r="20813">
      <c r="R20813" s="100"/>
      <c r="V20813" s="100"/>
      <c r="Y20813" s="100"/>
    </row>
    <row r="20814">
      <c r="R20814" s="100"/>
      <c r="V20814" s="100"/>
      <c r="Y20814" s="100"/>
    </row>
    <row r="20815">
      <c r="R20815" s="100"/>
      <c r="V20815" s="100"/>
      <c r="Y20815" s="100"/>
    </row>
    <row r="20816">
      <c r="R20816" s="100"/>
      <c r="V20816" s="100"/>
      <c r="Y20816" s="100"/>
    </row>
    <row r="20817">
      <c r="R20817" s="100"/>
      <c r="V20817" s="100"/>
      <c r="Y20817" s="100"/>
    </row>
    <row r="20818">
      <c r="R20818" s="100"/>
      <c r="V20818" s="100"/>
      <c r="Y20818" s="100"/>
    </row>
    <row r="20819">
      <c r="R20819" s="100"/>
      <c r="V20819" s="100"/>
      <c r="Y20819" s="100"/>
    </row>
    <row r="20820">
      <c r="R20820" s="100"/>
      <c r="V20820" s="100"/>
      <c r="Y20820" s="100"/>
    </row>
    <row r="20821">
      <c r="R20821" s="100"/>
      <c r="V20821" s="100"/>
      <c r="Y20821" s="100"/>
    </row>
    <row r="20822">
      <c r="R20822" s="100"/>
      <c r="V20822" s="100"/>
      <c r="Y20822" s="100"/>
    </row>
    <row r="20823">
      <c r="R20823" s="100"/>
      <c r="V20823" s="100"/>
      <c r="Y20823" s="100"/>
    </row>
    <row r="20824">
      <c r="R20824" s="100"/>
      <c r="V20824" s="100"/>
      <c r="Y20824" s="100"/>
    </row>
    <row r="20825">
      <c r="R20825" s="100"/>
      <c r="V20825" s="100"/>
      <c r="Y20825" s="100"/>
    </row>
    <row r="20826">
      <c r="R20826" s="100"/>
      <c r="V20826" s="100"/>
      <c r="Y20826" s="100"/>
    </row>
    <row r="20827">
      <c r="R20827" s="100"/>
      <c r="V20827" s="100"/>
      <c r="Y20827" s="100"/>
    </row>
    <row r="20828">
      <c r="R20828" s="100"/>
      <c r="V20828" s="100"/>
      <c r="Y20828" s="100"/>
    </row>
    <row r="20829">
      <c r="R20829" s="100"/>
      <c r="V20829" s="100"/>
      <c r="Y20829" s="100"/>
    </row>
    <row r="20830">
      <c r="R20830" s="100"/>
      <c r="V20830" s="100"/>
      <c r="Y20830" s="100"/>
    </row>
    <row r="20831">
      <c r="R20831" s="100"/>
      <c r="V20831" s="100"/>
      <c r="Y20831" s="100"/>
    </row>
    <row r="20832">
      <c r="R20832" s="100"/>
      <c r="V20832" s="100"/>
      <c r="Y20832" s="100"/>
    </row>
    <row r="20833">
      <c r="R20833" s="100"/>
      <c r="V20833" s="100"/>
      <c r="Y20833" s="100"/>
    </row>
    <row r="20834">
      <c r="R20834" s="100"/>
      <c r="V20834" s="100"/>
      <c r="Y20834" s="100"/>
    </row>
    <row r="20835">
      <c r="R20835" s="100"/>
      <c r="V20835" s="100"/>
      <c r="Y20835" s="100"/>
    </row>
    <row r="20836">
      <c r="R20836" s="100"/>
      <c r="V20836" s="100"/>
      <c r="Y20836" s="100"/>
    </row>
    <row r="20837">
      <c r="R20837" s="100"/>
      <c r="V20837" s="100"/>
      <c r="Y20837" s="100"/>
    </row>
    <row r="20838">
      <c r="R20838" s="100"/>
      <c r="V20838" s="100"/>
      <c r="Y20838" s="100"/>
    </row>
    <row r="20839">
      <c r="R20839" s="100"/>
      <c r="V20839" s="100"/>
      <c r="Y20839" s="100"/>
    </row>
    <row r="20840">
      <c r="R20840" s="100"/>
      <c r="V20840" s="100"/>
      <c r="Y20840" s="100"/>
    </row>
    <row r="20841">
      <c r="R20841" s="100"/>
      <c r="V20841" s="100"/>
      <c r="Y20841" s="100"/>
    </row>
    <row r="20842">
      <c r="R20842" s="100"/>
      <c r="V20842" s="100"/>
      <c r="Y20842" s="100"/>
    </row>
    <row r="20843">
      <c r="R20843" s="100"/>
      <c r="V20843" s="100"/>
      <c r="Y20843" s="100"/>
    </row>
    <row r="20844">
      <c r="R20844" s="100"/>
      <c r="V20844" s="100"/>
      <c r="Y20844" s="100"/>
    </row>
    <row r="20845">
      <c r="R20845" s="100"/>
      <c r="V20845" s="100"/>
      <c r="Y20845" s="100"/>
    </row>
    <row r="20846">
      <c r="R20846" s="100"/>
      <c r="V20846" s="100"/>
      <c r="Y20846" s="100"/>
    </row>
    <row r="20847">
      <c r="R20847" s="100"/>
      <c r="V20847" s="100"/>
      <c r="Y20847" s="100"/>
    </row>
    <row r="20848">
      <c r="R20848" s="100"/>
      <c r="V20848" s="100"/>
      <c r="Y20848" s="100"/>
    </row>
    <row r="20849">
      <c r="R20849" s="100"/>
      <c r="V20849" s="100"/>
      <c r="Y20849" s="100"/>
    </row>
    <row r="20850">
      <c r="R20850" s="100"/>
      <c r="V20850" s="100"/>
      <c r="Y20850" s="100"/>
    </row>
    <row r="20851">
      <c r="R20851" s="100"/>
      <c r="V20851" s="100"/>
      <c r="Y20851" s="100"/>
    </row>
    <row r="20852">
      <c r="R20852" s="100"/>
      <c r="V20852" s="100"/>
      <c r="Y20852" s="100"/>
    </row>
    <row r="20853">
      <c r="R20853" s="100"/>
      <c r="V20853" s="100"/>
      <c r="Y20853" s="100"/>
    </row>
    <row r="20854">
      <c r="R20854" s="100"/>
      <c r="V20854" s="100"/>
      <c r="Y20854" s="100"/>
    </row>
    <row r="20855">
      <c r="R20855" s="100"/>
      <c r="V20855" s="100"/>
      <c r="Y20855" s="100"/>
    </row>
    <row r="20856">
      <c r="R20856" s="100"/>
      <c r="V20856" s="100"/>
      <c r="Y20856" s="100"/>
    </row>
    <row r="20857">
      <c r="R20857" s="100"/>
      <c r="V20857" s="100"/>
      <c r="Y20857" s="100"/>
    </row>
    <row r="20858">
      <c r="R20858" s="100"/>
      <c r="V20858" s="100"/>
      <c r="Y20858" s="100"/>
    </row>
    <row r="20859">
      <c r="R20859" s="100"/>
      <c r="V20859" s="100"/>
      <c r="Y20859" s="100"/>
    </row>
    <row r="20860">
      <c r="R20860" s="100"/>
      <c r="V20860" s="100"/>
      <c r="Y20860" s="100"/>
    </row>
    <row r="20861">
      <c r="R20861" s="100"/>
      <c r="V20861" s="100"/>
      <c r="Y20861" s="100"/>
    </row>
    <row r="20862">
      <c r="R20862" s="100"/>
      <c r="V20862" s="100"/>
      <c r="Y20862" s="100"/>
    </row>
    <row r="20863">
      <c r="R20863" s="100"/>
      <c r="V20863" s="100"/>
      <c r="Y20863" s="100"/>
    </row>
    <row r="20864">
      <c r="R20864" s="100"/>
      <c r="V20864" s="100"/>
      <c r="Y20864" s="100"/>
    </row>
    <row r="20865">
      <c r="R20865" s="100"/>
      <c r="V20865" s="100"/>
      <c r="Y20865" s="100"/>
    </row>
    <row r="20866">
      <c r="R20866" s="100"/>
      <c r="V20866" s="100"/>
      <c r="Y20866" s="100"/>
    </row>
    <row r="20867">
      <c r="R20867" s="100"/>
      <c r="V20867" s="100"/>
      <c r="Y20867" s="100"/>
    </row>
    <row r="20868">
      <c r="R20868" s="100"/>
      <c r="V20868" s="100"/>
      <c r="Y20868" s="100"/>
    </row>
    <row r="20869">
      <c r="R20869" s="100"/>
      <c r="V20869" s="100"/>
      <c r="Y20869" s="100"/>
    </row>
    <row r="20870">
      <c r="R20870" s="100"/>
      <c r="V20870" s="100"/>
      <c r="Y20870" s="100"/>
    </row>
    <row r="20871">
      <c r="R20871" s="100"/>
      <c r="V20871" s="100"/>
      <c r="Y20871" s="100"/>
    </row>
    <row r="20872">
      <c r="R20872" s="100"/>
      <c r="V20872" s="100"/>
      <c r="Y20872" s="100"/>
    </row>
    <row r="20873">
      <c r="R20873" s="100"/>
      <c r="V20873" s="100"/>
      <c r="Y20873" s="100"/>
    </row>
    <row r="20874">
      <c r="R20874" s="100"/>
      <c r="V20874" s="100"/>
      <c r="Y20874" s="100"/>
    </row>
    <row r="20875">
      <c r="R20875" s="100"/>
      <c r="V20875" s="100"/>
      <c r="Y20875" s="100"/>
    </row>
    <row r="20876">
      <c r="R20876" s="100"/>
      <c r="V20876" s="100"/>
      <c r="Y20876" s="100"/>
    </row>
    <row r="20877">
      <c r="R20877" s="100"/>
      <c r="V20877" s="100"/>
      <c r="Y20877" s="100"/>
    </row>
    <row r="20878">
      <c r="R20878" s="100"/>
      <c r="V20878" s="100"/>
      <c r="Y20878" s="100"/>
    </row>
    <row r="20879">
      <c r="R20879" s="100"/>
      <c r="V20879" s="100"/>
      <c r="Y20879" s="100"/>
    </row>
    <row r="20880">
      <c r="R20880" s="100"/>
      <c r="V20880" s="100"/>
      <c r="Y20880" s="100"/>
    </row>
    <row r="20881">
      <c r="R20881" s="100"/>
      <c r="V20881" s="100"/>
      <c r="Y20881" s="100"/>
    </row>
    <row r="20882">
      <c r="R20882" s="100"/>
      <c r="V20882" s="100"/>
      <c r="Y20882" s="100"/>
    </row>
    <row r="20883">
      <c r="R20883" s="100"/>
      <c r="V20883" s="100"/>
      <c r="Y20883" s="100"/>
    </row>
    <row r="20884">
      <c r="R20884" s="100"/>
      <c r="V20884" s="100"/>
      <c r="Y20884" s="100"/>
    </row>
    <row r="20885">
      <c r="R20885" s="100"/>
      <c r="V20885" s="100"/>
      <c r="Y20885" s="100"/>
    </row>
    <row r="20886">
      <c r="R20886" s="100"/>
      <c r="V20886" s="100"/>
      <c r="Y20886" s="100"/>
    </row>
    <row r="20887">
      <c r="R20887" s="100"/>
      <c r="V20887" s="100"/>
      <c r="Y20887" s="100"/>
    </row>
    <row r="20888">
      <c r="R20888" s="100"/>
      <c r="V20888" s="100"/>
      <c r="Y20888" s="100"/>
    </row>
    <row r="20889">
      <c r="R20889" s="100"/>
      <c r="V20889" s="100"/>
      <c r="Y20889" s="100"/>
    </row>
    <row r="20890">
      <c r="R20890" s="100"/>
      <c r="V20890" s="100"/>
      <c r="Y20890" s="100"/>
    </row>
    <row r="20891">
      <c r="R20891" s="100"/>
      <c r="V20891" s="100"/>
      <c r="Y20891" s="100"/>
    </row>
    <row r="20892">
      <c r="R20892" s="100"/>
      <c r="V20892" s="100"/>
      <c r="Y20892" s="100"/>
    </row>
    <row r="20893">
      <c r="R20893" s="100"/>
      <c r="V20893" s="100"/>
      <c r="Y20893" s="100"/>
    </row>
    <row r="20894">
      <c r="R20894" s="100"/>
      <c r="V20894" s="100"/>
      <c r="Y20894" s="100"/>
    </row>
    <row r="20895">
      <c r="R20895" s="100"/>
      <c r="V20895" s="100"/>
      <c r="Y20895" s="100"/>
    </row>
    <row r="20896">
      <c r="R20896" s="100"/>
      <c r="V20896" s="100"/>
      <c r="Y20896" s="100"/>
    </row>
    <row r="20897">
      <c r="R20897" s="100"/>
      <c r="V20897" s="100"/>
      <c r="Y20897" s="100"/>
    </row>
    <row r="20898">
      <c r="R20898" s="100"/>
      <c r="V20898" s="100"/>
      <c r="Y20898" s="100"/>
    </row>
    <row r="20899">
      <c r="R20899" s="100"/>
      <c r="V20899" s="100"/>
      <c r="Y20899" s="100"/>
    </row>
    <row r="20900">
      <c r="R20900" s="100"/>
      <c r="V20900" s="100"/>
      <c r="Y20900" s="100"/>
    </row>
    <row r="20901">
      <c r="R20901" s="100"/>
      <c r="V20901" s="100"/>
      <c r="Y20901" s="100"/>
    </row>
    <row r="20902">
      <c r="R20902" s="100"/>
      <c r="V20902" s="100"/>
      <c r="Y20902" s="100"/>
    </row>
    <row r="20903">
      <c r="R20903" s="100"/>
      <c r="V20903" s="100"/>
      <c r="Y20903" s="100"/>
    </row>
    <row r="20904">
      <c r="R20904" s="100"/>
      <c r="V20904" s="100"/>
      <c r="Y20904" s="100"/>
    </row>
    <row r="20905">
      <c r="R20905" s="100"/>
      <c r="V20905" s="100"/>
      <c r="Y20905" s="100"/>
    </row>
    <row r="20906">
      <c r="R20906" s="100"/>
      <c r="V20906" s="100"/>
      <c r="Y20906" s="100"/>
    </row>
    <row r="20907">
      <c r="R20907" s="100"/>
      <c r="V20907" s="100"/>
      <c r="Y20907" s="100"/>
    </row>
    <row r="20908">
      <c r="R20908" s="100"/>
      <c r="V20908" s="100"/>
      <c r="Y20908" s="100"/>
    </row>
    <row r="20909">
      <c r="R20909" s="100"/>
      <c r="V20909" s="100"/>
      <c r="Y20909" s="100"/>
    </row>
    <row r="20910">
      <c r="R20910" s="100"/>
      <c r="V20910" s="100"/>
      <c r="Y20910" s="100"/>
    </row>
    <row r="20911">
      <c r="R20911" s="100"/>
      <c r="V20911" s="100"/>
      <c r="Y20911" s="100"/>
    </row>
    <row r="20912">
      <c r="R20912" s="100"/>
      <c r="V20912" s="100"/>
      <c r="Y20912" s="100"/>
    </row>
    <row r="20913">
      <c r="R20913" s="100"/>
      <c r="V20913" s="100"/>
      <c r="Y20913" s="100"/>
    </row>
    <row r="20914">
      <c r="R20914" s="100"/>
      <c r="V20914" s="100"/>
      <c r="Y20914" s="100"/>
    </row>
    <row r="20915">
      <c r="R20915" s="100"/>
      <c r="V20915" s="100"/>
      <c r="Y20915" s="100"/>
    </row>
    <row r="20916">
      <c r="R20916" s="100"/>
      <c r="V20916" s="100"/>
      <c r="Y20916" s="100"/>
    </row>
    <row r="20917">
      <c r="R20917" s="100"/>
      <c r="V20917" s="100"/>
      <c r="Y20917" s="100"/>
    </row>
    <row r="20918">
      <c r="R20918" s="100"/>
      <c r="V20918" s="100"/>
      <c r="Y20918" s="100"/>
    </row>
    <row r="20919">
      <c r="R20919" s="100"/>
      <c r="V20919" s="100"/>
      <c r="Y20919" s="100"/>
    </row>
    <row r="20920">
      <c r="R20920" s="100"/>
      <c r="V20920" s="100"/>
      <c r="Y20920" s="100"/>
    </row>
    <row r="20921">
      <c r="R20921" s="100"/>
      <c r="V20921" s="100"/>
      <c r="Y20921" s="100"/>
    </row>
    <row r="20922">
      <c r="R20922" s="100"/>
      <c r="V20922" s="100"/>
      <c r="Y20922" s="100"/>
    </row>
    <row r="20923">
      <c r="R20923" s="100"/>
      <c r="V20923" s="100"/>
      <c r="Y20923" s="100"/>
    </row>
    <row r="20924">
      <c r="R20924" s="100"/>
      <c r="V20924" s="100"/>
      <c r="Y20924" s="100"/>
    </row>
    <row r="20925">
      <c r="R20925" s="100"/>
      <c r="V20925" s="100"/>
      <c r="Y20925" s="100"/>
    </row>
    <row r="20926">
      <c r="R20926" s="100"/>
      <c r="V20926" s="100"/>
      <c r="Y20926" s="100"/>
    </row>
    <row r="20927">
      <c r="R20927" s="100"/>
      <c r="V20927" s="100"/>
      <c r="Y20927" s="100"/>
    </row>
    <row r="20928">
      <c r="R20928" s="100"/>
      <c r="V20928" s="100"/>
      <c r="Y20928" s="100"/>
    </row>
    <row r="20929">
      <c r="R20929" s="100"/>
      <c r="V20929" s="100"/>
      <c r="Y20929" s="100"/>
    </row>
    <row r="20930">
      <c r="R20930" s="100"/>
      <c r="V20930" s="100"/>
      <c r="Y20930" s="100"/>
    </row>
    <row r="20931">
      <c r="R20931" s="100"/>
      <c r="V20931" s="100"/>
      <c r="Y20931" s="100"/>
    </row>
    <row r="20932">
      <c r="R20932" s="100"/>
      <c r="V20932" s="100"/>
      <c r="Y20932" s="100"/>
    </row>
    <row r="20933">
      <c r="R20933" s="100"/>
      <c r="V20933" s="100"/>
      <c r="Y20933" s="100"/>
    </row>
    <row r="20934">
      <c r="R20934" s="100"/>
      <c r="V20934" s="100"/>
      <c r="Y20934" s="100"/>
    </row>
    <row r="20935">
      <c r="R20935" s="100"/>
      <c r="V20935" s="100"/>
      <c r="Y20935" s="100"/>
    </row>
    <row r="20936">
      <c r="R20936" s="100"/>
      <c r="V20936" s="100"/>
      <c r="Y20936" s="100"/>
    </row>
    <row r="20937">
      <c r="R20937" s="100"/>
      <c r="V20937" s="100"/>
      <c r="Y20937" s="100"/>
    </row>
    <row r="20938">
      <c r="R20938" s="100"/>
      <c r="V20938" s="100"/>
      <c r="Y20938" s="100"/>
    </row>
    <row r="20939">
      <c r="R20939" s="100"/>
      <c r="V20939" s="100"/>
      <c r="Y20939" s="100"/>
    </row>
    <row r="20940">
      <c r="R20940" s="100"/>
      <c r="V20940" s="100"/>
      <c r="Y20940" s="100"/>
    </row>
    <row r="20941">
      <c r="R20941" s="100"/>
      <c r="V20941" s="100"/>
      <c r="Y20941" s="100"/>
    </row>
    <row r="20942">
      <c r="R20942" s="100"/>
      <c r="V20942" s="100"/>
      <c r="Y20942" s="100"/>
    </row>
    <row r="20943">
      <c r="R20943" s="100"/>
      <c r="V20943" s="100"/>
      <c r="Y20943" s="100"/>
    </row>
    <row r="20944">
      <c r="R20944" s="100"/>
      <c r="V20944" s="100"/>
      <c r="Y20944" s="100"/>
    </row>
    <row r="20945">
      <c r="R20945" s="100"/>
      <c r="V20945" s="100"/>
      <c r="Y20945" s="100"/>
    </row>
    <row r="20946">
      <c r="R20946" s="100"/>
      <c r="V20946" s="100"/>
      <c r="Y20946" s="100"/>
    </row>
    <row r="20947">
      <c r="R20947" s="100"/>
      <c r="V20947" s="100"/>
      <c r="Y20947" s="100"/>
    </row>
    <row r="20948">
      <c r="R20948" s="100"/>
      <c r="V20948" s="100"/>
      <c r="Y20948" s="100"/>
    </row>
    <row r="20949">
      <c r="R20949" s="100"/>
      <c r="V20949" s="100"/>
      <c r="Y20949" s="100"/>
    </row>
    <row r="20950">
      <c r="R20950" s="100"/>
      <c r="V20950" s="100"/>
      <c r="Y20950" s="100"/>
    </row>
    <row r="20951">
      <c r="R20951" s="100"/>
      <c r="V20951" s="100"/>
      <c r="Y20951" s="100"/>
    </row>
    <row r="20952">
      <c r="R20952" s="100"/>
      <c r="V20952" s="100"/>
      <c r="Y20952" s="100"/>
    </row>
    <row r="20953">
      <c r="R20953" s="100"/>
      <c r="V20953" s="100"/>
      <c r="Y20953" s="100"/>
    </row>
    <row r="20954">
      <c r="R20954" s="100"/>
      <c r="V20954" s="100"/>
      <c r="Y20954" s="100"/>
    </row>
    <row r="20955">
      <c r="R20955" s="100"/>
      <c r="V20955" s="100"/>
      <c r="Y20955" s="100"/>
    </row>
    <row r="20956">
      <c r="R20956" s="100"/>
      <c r="V20956" s="100"/>
      <c r="Y20956" s="100"/>
    </row>
    <row r="20957">
      <c r="R20957" s="100"/>
      <c r="V20957" s="100"/>
      <c r="Y20957" s="100"/>
    </row>
    <row r="20958">
      <c r="R20958" s="100"/>
      <c r="V20958" s="100"/>
      <c r="Y20958" s="100"/>
    </row>
    <row r="20959">
      <c r="R20959" s="100"/>
      <c r="V20959" s="100"/>
      <c r="Y20959" s="100"/>
    </row>
    <row r="20960">
      <c r="R20960" s="100"/>
      <c r="V20960" s="100"/>
      <c r="Y20960" s="100"/>
    </row>
    <row r="20961">
      <c r="R20961" s="100"/>
      <c r="V20961" s="100"/>
      <c r="Y20961" s="100"/>
    </row>
    <row r="20962">
      <c r="R20962" s="100"/>
      <c r="V20962" s="100"/>
      <c r="Y20962" s="100"/>
    </row>
    <row r="20963">
      <c r="R20963" s="100"/>
      <c r="V20963" s="100"/>
      <c r="Y20963" s="100"/>
    </row>
    <row r="20964">
      <c r="R20964" s="100"/>
      <c r="V20964" s="100"/>
      <c r="Y20964" s="100"/>
    </row>
    <row r="20965">
      <c r="R20965" s="100"/>
      <c r="V20965" s="100"/>
      <c r="Y20965" s="100"/>
    </row>
    <row r="20966">
      <c r="R20966" s="100"/>
      <c r="V20966" s="100"/>
      <c r="Y20966" s="100"/>
    </row>
    <row r="20967">
      <c r="R20967" s="100"/>
      <c r="V20967" s="100"/>
      <c r="Y20967" s="100"/>
    </row>
    <row r="20968">
      <c r="R20968" s="100"/>
      <c r="V20968" s="100"/>
      <c r="Y20968" s="100"/>
    </row>
    <row r="20969">
      <c r="R20969" s="100"/>
      <c r="V20969" s="100"/>
      <c r="Y20969" s="100"/>
    </row>
    <row r="20970">
      <c r="R20970" s="100"/>
      <c r="V20970" s="100"/>
      <c r="Y20970" s="100"/>
    </row>
    <row r="20971">
      <c r="R20971" s="100"/>
      <c r="V20971" s="100"/>
      <c r="Y20971" s="100"/>
    </row>
    <row r="20972">
      <c r="R20972" s="100"/>
      <c r="V20972" s="100"/>
      <c r="Y20972" s="100"/>
    </row>
    <row r="20973">
      <c r="R20973" s="100"/>
      <c r="V20973" s="100"/>
      <c r="Y20973" s="100"/>
    </row>
    <row r="20974">
      <c r="R20974" s="100"/>
      <c r="V20974" s="100"/>
      <c r="Y20974" s="100"/>
    </row>
    <row r="20975">
      <c r="R20975" s="100"/>
      <c r="V20975" s="100"/>
      <c r="Y20975" s="100"/>
    </row>
    <row r="20976">
      <c r="R20976" s="100"/>
      <c r="V20976" s="100"/>
      <c r="Y20976" s="100"/>
    </row>
    <row r="20977">
      <c r="R20977" s="100"/>
      <c r="V20977" s="100"/>
      <c r="Y20977" s="100"/>
    </row>
    <row r="20978">
      <c r="R20978" s="100"/>
      <c r="V20978" s="100"/>
      <c r="Y20978" s="100"/>
    </row>
    <row r="20979">
      <c r="R20979" s="100"/>
      <c r="V20979" s="100"/>
      <c r="Y20979" s="100"/>
    </row>
    <row r="20980">
      <c r="R20980" s="100"/>
      <c r="V20980" s="100"/>
      <c r="Y20980" s="100"/>
    </row>
    <row r="20981">
      <c r="R20981" s="100"/>
      <c r="V20981" s="100"/>
      <c r="Y20981" s="100"/>
    </row>
    <row r="20982">
      <c r="R20982" s="100"/>
      <c r="V20982" s="100"/>
      <c r="Y20982" s="100"/>
    </row>
    <row r="20983">
      <c r="R20983" s="100"/>
      <c r="V20983" s="100"/>
      <c r="Y20983" s="100"/>
    </row>
    <row r="20984">
      <c r="R20984" s="100"/>
      <c r="V20984" s="100"/>
      <c r="Y20984" s="100"/>
    </row>
    <row r="20985">
      <c r="R20985" s="100"/>
      <c r="V20985" s="100"/>
      <c r="Y20985" s="100"/>
    </row>
    <row r="20986">
      <c r="R20986" s="100"/>
      <c r="V20986" s="100"/>
      <c r="Y20986" s="100"/>
    </row>
    <row r="20987">
      <c r="R20987" s="100"/>
      <c r="V20987" s="100"/>
      <c r="Y20987" s="100"/>
    </row>
    <row r="20988">
      <c r="R20988" s="100"/>
      <c r="V20988" s="100"/>
      <c r="Y20988" s="100"/>
    </row>
    <row r="20989">
      <c r="R20989" s="100"/>
      <c r="V20989" s="100"/>
      <c r="Y20989" s="100"/>
    </row>
    <row r="20990">
      <c r="R20990" s="100"/>
      <c r="V20990" s="100"/>
      <c r="Y20990" s="100"/>
    </row>
    <row r="20991">
      <c r="R20991" s="100"/>
      <c r="V20991" s="100"/>
      <c r="Y20991" s="100"/>
    </row>
    <row r="20992">
      <c r="R20992" s="100"/>
      <c r="V20992" s="100"/>
      <c r="Y20992" s="100"/>
    </row>
    <row r="20993">
      <c r="R20993" s="100"/>
      <c r="V20993" s="100"/>
      <c r="Y20993" s="100"/>
    </row>
    <row r="20994">
      <c r="R20994" s="100"/>
      <c r="V20994" s="100"/>
      <c r="Y20994" s="100"/>
    </row>
    <row r="20995">
      <c r="R20995" s="100"/>
      <c r="V20995" s="100"/>
      <c r="Y20995" s="100"/>
    </row>
    <row r="20996">
      <c r="R20996" s="100"/>
      <c r="V20996" s="100"/>
      <c r="Y20996" s="100"/>
    </row>
    <row r="20997">
      <c r="R20997" s="100"/>
      <c r="V20997" s="100"/>
      <c r="Y20997" s="100"/>
    </row>
    <row r="20998">
      <c r="R20998" s="100"/>
      <c r="V20998" s="100"/>
      <c r="Y20998" s="100"/>
    </row>
    <row r="20999">
      <c r="R20999" s="100"/>
      <c r="V20999" s="100"/>
      <c r="Y20999" s="100"/>
    </row>
    <row r="21000">
      <c r="R21000" s="100"/>
      <c r="V21000" s="100"/>
      <c r="Y21000" s="100"/>
    </row>
    <row r="21001">
      <c r="R21001" s="100"/>
      <c r="V21001" s="100"/>
      <c r="Y21001" s="100"/>
    </row>
    <row r="21002">
      <c r="R21002" s="100"/>
      <c r="V21002" s="100"/>
      <c r="Y21002" s="100"/>
    </row>
    <row r="21003">
      <c r="R21003" s="100"/>
      <c r="V21003" s="100"/>
      <c r="Y21003" s="100"/>
    </row>
    <row r="21004">
      <c r="R21004" s="100"/>
      <c r="V21004" s="100"/>
      <c r="Y21004" s="100"/>
    </row>
    <row r="21005">
      <c r="R21005" s="100"/>
      <c r="V21005" s="100"/>
      <c r="Y21005" s="100"/>
    </row>
    <row r="21006">
      <c r="R21006" s="100"/>
      <c r="V21006" s="100"/>
      <c r="Y21006" s="100"/>
    </row>
    <row r="21007">
      <c r="R21007" s="100"/>
      <c r="V21007" s="100"/>
      <c r="Y21007" s="100"/>
    </row>
    <row r="21008">
      <c r="R21008" s="100"/>
      <c r="V21008" s="100"/>
      <c r="Y21008" s="100"/>
    </row>
    <row r="21009">
      <c r="R21009" s="100"/>
      <c r="V21009" s="100"/>
      <c r="Y21009" s="100"/>
    </row>
    <row r="21010">
      <c r="R21010" s="100"/>
      <c r="V21010" s="100"/>
      <c r="Y21010" s="100"/>
    </row>
    <row r="21011">
      <c r="R21011" s="100"/>
      <c r="V21011" s="100"/>
      <c r="Y21011" s="100"/>
    </row>
    <row r="21012">
      <c r="R21012" s="100"/>
      <c r="V21012" s="100"/>
      <c r="Y21012" s="100"/>
    </row>
    <row r="21013">
      <c r="R21013" s="100"/>
      <c r="V21013" s="100"/>
      <c r="Y21013" s="100"/>
    </row>
    <row r="21014">
      <c r="R21014" s="100"/>
      <c r="V21014" s="100"/>
      <c r="Y21014" s="100"/>
    </row>
    <row r="21015">
      <c r="R21015" s="100"/>
      <c r="V21015" s="100"/>
      <c r="Y21015" s="100"/>
    </row>
    <row r="21016">
      <c r="R21016" s="100"/>
      <c r="V21016" s="100"/>
      <c r="Y21016" s="100"/>
    </row>
    <row r="21017">
      <c r="R21017" s="100"/>
      <c r="V21017" s="100"/>
      <c r="Y21017" s="100"/>
    </row>
    <row r="21018">
      <c r="R21018" s="100"/>
      <c r="V21018" s="100"/>
      <c r="Y21018" s="100"/>
    </row>
    <row r="21019">
      <c r="R21019" s="100"/>
      <c r="V21019" s="100"/>
      <c r="Y21019" s="100"/>
    </row>
    <row r="21020">
      <c r="R21020" s="100"/>
      <c r="V21020" s="100"/>
      <c r="Y21020" s="100"/>
    </row>
    <row r="21021">
      <c r="R21021" s="100"/>
      <c r="V21021" s="100"/>
      <c r="Y21021" s="100"/>
    </row>
    <row r="21022">
      <c r="R21022" s="100"/>
      <c r="V21022" s="100"/>
      <c r="Y21022" s="100"/>
    </row>
    <row r="21023">
      <c r="R21023" s="100"/>
      <c r="V21023" s="100"/>
      <c r="Y21023" s="100"/>
    </row>
    <row r="21024">
      <c r="R21024" s="100"/>
      <c r="V21024" s="100"/>
      <c r="Y21024" s="100"/>
    </row>
    <row r="21025">
      <c r="R21025" s="100"/>
      <c r="V21025" s="100"/>
      <c r="Y21025" s="100"/>
    </row>
    <row r="21026">
      <c r="R21026" s="100"/>
      <c r="V21026" s="100"/>
      <c r="Y21026" s="100"/>
    </row>
    <row r="21027">
      <c r="R21027" s="100"/>
      <c r="V21027" s="100"/>
      <c r="Y21027" s="100"/>
    </row>
    <row r="21028">
      <c r="R21028" s="100"/>
      <c r="V21028" s="100"/>
      <c r="Y21028" s="100"/>
    </row>
    <row r="21029">
      <c r="R21029" s="100"/>
      <c r="V21029" s="100"/>
      <c r="Y21029" s="100"/>
    </row>
    <row r="21030">
      <c r="R21030" s="100"/>
      <c r="V21030" s="100"/>
      <c r="Y21030" s="100"/>
    </row>
    <row r="21031">
      <c r="R21031" s="100"/>
      <c r="V21031" s="100"/>
      <c r="Y21031" s="100"/>
    </row>
    <row r="21032">
      <c r="R21032" s="100"/>
      <c r="V21032" s="100"/>
      <c r="Y21032" s="100"/>
    </row>
    <row r="21033">
      <c r="R21033" s="100"/>
      <c r="V21033" s="100"/>
      <c r="Y21033" s="100"/>
    </row>
    <row r="21034">
      <c r="R21034" s="100"/>
      <c r="V21034" s="100"/>
      <c r="Y21034" s="100"/>
    </row>
    <row r="21035">
      <c r="R21035" s="100"/>
      <c r="V21035" s="100"/>
      <c r="Y21035" s="100"/>
    </row>
    <row r="21036">
      <c r="R21036" s="100"/>
      <c r="V21036" s="100"/>
      <c r="Y21036" s="100"/>
    </row>
    <row r="21037">
      <c r="R21037" s="100"/>
      <c r="V21037" s="100"/>
      <c r="Y21037" s="100"/>
    </row>
    <row r="21038">
      <c r="R21038" s="100"/>
      <c r="V21038" s="100"/>
      <c r="Y21038" s="100"/>
    </row>
    <row r="21039">
      <c r="R21039" s="100"/>
      <c r="V21039" s="100"/>
      <c r="Y21039" s="100"/>
    </row>
    <row r="21040">
      <c r="R21040" s="100"/>
      <c r="V21040" s="100"/>
      <c r="Y21040" s="100"/>
    </row>
    <row r="21041">
      <c r="R21041" s="100"/>
      <c r="V21041" s="100"/>
      <c r="Y21041" s="100"/>
    </row>
    <row r="21042">
      <c r="R21042" s="100"/>
      <c r="V21042" s="100"/>
      <c r="Y21042" s="100"/>
    </row>
    <row r="21043">
      <c r="R21043" s="100"/>
      <c r="V21043" s="100"/>
      <c r="Y21043" s="100"/>
    </row>
    <row r="21044">
      <c r="R21044" s="100"/>
      <c r="V21044" s="100"/>
      <c r="Y21044" s="100"/>
    </row>
    <row r="21045">
      <c r="R21045" s="100"/>
      <c r="V21045" s="100"/>
      <c r="Y21045" s="100"/>
    </row>
    <row r="21046">
      <c r="R21046" s="100"/>
      <c r="V21046" s="100"/>
      <c r="Y21046" s="100"/>
    </row>
    <row r="21047">
      <c r="R21047" s="100"/>
      <c r="V21047" s="100"/>
      <c r="Y21047" s="100"/>
    </row>
    <row r="21048">
      <c r="R21048" s="100"/>
      <c r="V21048" s="100"/>
      <c r="Y21048" s="100"/>
    </row>
    <row r="21049">
      <c r="R21049" s="100"/>
      <c r="V21049" s="100"/>
      <c r="Y21049" s="100"/>
    </row>
    <row r="21050">
      <c r="R21050" s="100"/>
      <c r="V21050" s="100"/>
      <c r="Y21050" s="100"/>
    </row>
    <row r="21051">
      <c r="R21051" s="100"/>
      <c r="V21051" s="100"/>
      <c r="Y21051" s="100"/>
    </row>
    <row r="21052">
      <c r="R21052" s="100"/>
      <c r="V21052" s="100"/>
      <c r="Y21052" s="100"/>
    </row>
    <row r="21053">
      <c r="R21053" s="100"/>
      <c r="V21053" s="100"/>
      <c r="Y21053" s="100"/>
    </row>
    <row r="21054">
      <c r="R21054" s="100"/>
      <c r="V21054" s="100"/>
      <c r="Y21054" s="100"/>
    </row>
    <row r="21055">
      <c r="R21055" s="100"/>
      <c r="V21055" s="100"/>
      <c r="Y21055" s="100"/>
    </row>
    <row r="21056">
      <c r="R21056" s="100"/>
      <c r="V21056" s="100"/>
      <c r="Y21056" s="100"/>
    </row>
    <row r="21057">
      <c r="R21057" s="100"/>
      <c r="V21057" s="100"/>
      <c r="Y21057" s="100"/>
    </row>
    <row r="21058">
      <c r="R21058" s="100"/>
      <c r="V21058" s="100"/>
      <c r="Y21058" s="100"/>
    </row>
    <row r="21059">
      <c r="R21059" s="100"/>
      <c r="V21059" s="100"/>
      <c r="Y21059" s="100"/>
    </row>
    <row r="21060">
      <c r="R21060" s="100"/>
      <c r="V21060" s="100"/>
      <c r="Y21060" s="100"/>
    </row>
    <row r="21061">
      <c r="R21061" s="100"/>
      <c r="V21061" s="100"/>
      <c r="Y21061" s="100"/>
    </row>
    <row r="21062">
      <c r="R21062" s="100"/>
      <c r="V21062" s="100"/>
      <c r="Y21062" s="100"/>
    </row>
    <row r="21063">
      <c r="R21063" s="100"/>
      <c r="V21063" s="100"/>
      <c r="Y21063" s="100"/>
    </row>
    <row r="21064">
      <c r="R21064" s="100"/>
      <c r="V21064" s="100"/>
      <c r="Y21064" s="100"/>
    </row>
    <row r="21065">
      <c r="R21065" s="100"/>
      <c r="V21065" s="100"/>
      <c r="Y21065" s="100"/>
    </row>
    <row r="21066">
      <c r="R21066" s="100"/>
      <c r="V21066" s="100"/>
      <c r="Y21066" s="100"/>
    </row>
    <row r="21067">
      <c r="R21067" s="100"/>
      <c r="V21067" s="100"/>
      <c r="Y21067" s="100"/>
    </row>
    <row r="21068">
      <c r="R21068" s="100"/>
      <c r="V21068" s="100"/>
      <c r="Y21068" s="100"/>
    </row>
    <row r="21069">
      <c r="R21069" s="100"/>
      <c r="V21069" s="100"/>
      <c r="Y21069" s="100"/>
    </row>
    <row r="21070">
      <c r="R21070" s="100"/>
      <c r="V21070" s="100"/>
      <c r="Y21070" s="100"/>
    </row>
    <row r="21071">
      <c r="R21071" s="100"/>
      <c r="V21071" s="100"/>
      <c r="Y21071" s="100"/>
    </row>
    <row r="21072">
      <c r="R21072" s="100"/>
      <c r="V21072" s="100"/>
      <c r="Y21072" s="100"/>
    </row>
    <row r="21073">
      <c r="R21073" s="100"/>
      <c r="V21073" s="100"/>
      <c r="Y21073" s="100"/>
    </row>
    <row r="21074">
      <c r="R21074" s="100"/>
      <c r="V21074" s="100"/>
      <c r="Y21074" s="100"/>
    </row>
    <row r="21075">
      <c r="R21075" s="100"/>
      <c r="V21075" s="100"/>
      <c r="Y21075" s="100"/>
    </row>
    <row r="21076">
      <c r="R21076" s="100"/>
      <c r="V21076" s="100"/>
      <c r="Y21076" s="100"/>
    </row>
    <row r="21077">
      <c r="R21077" s="100"/>
      <c r="V21077" s="100"/>
      <c r="Y21077" s="100"/>
    </row>
    <row r="21078">
      <c r="R21078" s="100"/>
      <c r="V21078" s="100"/>
      <c r="Y21078" s="100"/>
    </row>
    <row r="21079">
      <c r="R21079" s="100"/>
      <c r="V21079" s="100"/>
      <c r="Y21079" s="100"/>
    </row>
    <row r="21080">
      <c r="R21080" s="100"/>
      <c r="V21080" s="100"/>
      <c r="Y21080" s="100"/>
    </row>
    <row r="21081">
      <c r="R21081" s="100"/>
      <c r="V21081" s="100"/>
      <c r="Y21081" s="100"/>
    </row>
    <row r="21082">
      <c r="R21082" s="100"/>
      <c r="V21082" s="100"/>
      <c r="Y21082" s="100"/>
    </row>
    <row r="21083">
      <c r="R21083" s="100"/>
      <c r="V21083" s="100"/>
      <c r="Y21083" s="100"/>
    </row>
    <row r="21084">
      <c r="R21084" s="100"/>
      <c r="V21084" s="100"/>
      <c r="Y21084" s="100"/>
    </row>
    <row r="21085">
      <c r="R21085" s="100"/>
      <c r="V21085" s="100"/>
      <c r="Y21085" s="100"/>
    </row>
    <row r="21086">
      <c r="R21086" s="100"/>
      <c r="V21086" s="100"/>
      <c r="Y21086" s="100"/>
    </row>
    <row r="21087">
      <c r="R21087" s="100"/>
      <c r="V21087" s="100"/>
      <c r="Y21087" s="100"/>
    </row>
    <row r="21088">
      <c r="R21088" s="100"/>
      <c r="V21088" s="100"/>
      <c r="Y21088" s="100"/>
    </row>
    <row r="21089">
      <c r="R21089" s="100"/>
      <c r="V21089" s="100"/>
      <c r="Y21089" s="100"/>
    </row>
    <row r="21090">
      <c r="R21090" s="100"/>
      <c r="V21090" s="100"/>
      <c r="Y21090" s="100"/>
    </row>
    <row r="21091">
      <c r="R21091" s="100"/>
      <c r="V21091" s="100"/>
      <c r="Y21091" s="100"/>
    </row>
    <row r="21092">
      <c r="R21092" s="100"/>
      <c r="V21092" s="100"/>
      <c r="Y21092" s="100"/>
    </row>
    <row r="21093">
      <c r="R21093" s="100"/>
      <c r="V21093" s="100"/>
      <c r="Y21093" s="100"/>
    </row>
    <row r="21094">
      <c r="R21094" s="100"/>
      <c r="V21094" s="100"/>
      <c r="Y21094" s="100"/>
    </row>
    <row r="21095">
      <c r="R21095" s="100"/>
      <c r="V21095" s="100"/>
      <c r="Y21095" s="100"/>
    </row>
    <row r="21096">
      <c r="R21096" s="100"/>
      <c r="V21096" s="100"/>
      <c r="Y21096" s="100"/>
    </row>
    <row r="21097">
      <c r="R21097" s="100"/>
      <c r="V21097" s="100"/>
      <c r="Y21097" s="100"/>
    </row>
    <row r="21098">
      <c r="R21098" s="100"/>
      <c r="V21098" s="100"/>
      <c r="Y21098" s="100"/>
    </row>
    <row r="21099">
      <c r="R21099" s="100"/>
      <c r="V21099" s="100"/>
      <c r="Y21099" s="100"/>
    </row>
    <row r="21100">
      <c r="R21100" s="100"/>
      <c r="V21100" s="100"/>
      <c r="Y21100" s="100"/>
    </row>
    <row r="21101">
      <c r="R21101" s="100"/>
      <c r="V21101" s="100"/>
      <c r="Y21101" s="100"/>
    </row>
    <row r="21102">
      <c r="R21102" s="100"/>
      <c r="V21102" s="100"/>
      <c r="Y21102" s="100"/>
    </row>
    <row r="21103">
      <c r="R21103" s="100"/>
      <c r="V21103" s="100"/>
      <c r="Y21103" s="100"/>
    </row>
    <row r="21104">
      <c r="R21104" s="100"/>
      <c r="V21104" s="100"/>
      <c r="Y21104" s="100"/>
    </row>
    <row r="21105">
      <c r="R21105" s="100"/>
      <c r="V21105" s="100"/>
      <c r="Y21105" s="100"/>
    </row>
    <row r="21106">
      <c r="R21106" s="100"/>
      <c r="V21106" s="100"/>
      <c r="Y21106" s="100"/>
    </row>
    <row r="21107">
      <c r="R21107" s="100"/>
      <c r="V21107" s="100"/>
      <c r="Y21107" s="100"/>
    </row>
    <row r="21108">
      <c r="R21108" s="100"/>
      <c r="V21108" s="100"/>
      <c r="Y21108" s="100"/>
    </row>
    <row r="21109">
      <c r="R21109" s="100"/>
      <c r="V21109" s="100"/>
      <c r="Y21109" s="100"/>
    </row>
    <row r="21110">
      <c r="R21110" s="100"/>
      <c r="V21110" s="100"/>
      <c r="Y21110" s="100"/>
    </row>
    <row r="21111">
      <c r="R21111" s="100"/>
      <c r="V21111" s="100"/>
      <c r="Y21111" s="100"/>
    </row>
    <row r="21112">
      <c r="R21112" s="100"/>
      <c r="V21112" s="100"/>
      <c r="Y21112" s="100"/>
    </row>
    <row r="21113">
      <c r="R21113" s="100"/>
      <c r="V21113" s="100"/>
      <c r="Y21113" s="100"/>
    </row>
    <row r="21114">
      <c r="R21114" s="100"/>
      <c r="V21114" s="100"/>
      <c r="Y21114" s="100"/>
    </row>
    <row r="21115">
      <c r="R21115" s="100"/>
      <c r="V21115" s="100"/>
      <c r="Y21115" s="100"/>
    </row>
    <row r="21116">
      <c r="R21116" s="100"/>
      <c r="V21116" s="100"/>
      <c r="Y21116" s="100"/>
    </row>
    <row r="21117">
      <c r="R21117" s="100"/>
      <c r="V21117" s="100"/>
      <c r="Y21117" s="100"/>
    </row>
    <row r="21118">
      <c r="R21118" s="100"/>
      <c r="V21118" s="100"/>
      <c r="Y21118" s="100"/>
    </row>
    <row r="21119">
      <c r="R21119" s="100"/>
      <c r="V21119" s="100"/>
      <c r="Y21119" s="100"/>
    </row>
    <row r="21120">
      <c r="R21120" s="100"/>
      <c r="V21120" s="100"/>
      <c r="Y21120" s="100"/>
    </row>
    <row r="21121">
      <c r="R21121" s="100"/>
      <c r="V21121" s="100"/>
      <c r="Y21121" s="100"/>
    </row>
    <row r="21122">
      <c r="R21122" s="100"/>
      <c r="V21122" s="100"/>
      <c r="Y21122" s="100"/>
    </row>
    <row r="21123">
      <c r="R21123" s="100"/>
      <c r="V21123" s="100"/>
      <c r="Y21123" s="100"/>
    </row>
    <row r="21124">
      <c r="R21124" s="100"/>
      <c r="V21124" s="100"/>
      <c r="Y21124" s="100"/>
    </row>
    <row r="21125">
      <c r="R21125" s="100"/>
      <c r="V21125" s="100"/>
      <c r="Y21125" s="100"/>
    </row>
    <row r="21126">
      <c r="R21126" s="100"/>
      <c r="V21126" s="100"/>
      <c r="Y21126" s="100"/>
    </row>
    <row r="21127">
      <c r="R21127" s="100"/>
      <c r="V21127" s="100"/>
      <c r="Y21127" s="100"/>
    </row>
    <row r="21128">
      <c r="R21128" s="100"/>
      <c r="V21128" s="100"/>
      <c r="Y21128" s="100"/>
    </row>
    <row r="21129">
      <c r="R21129" s="100"/>
      <c r="V21129" s="100"/>
      <c r="Y21129" s="100"/>
    </row>
    <row r="21130">
      <c r="R21130" s="100"/>
      <c r="V21130" s="100"/>
      <c r="Y21130" s="100"/>
    </row>
    <row r="21131">
      <c r="R21131" s="100"/>
      <c r="V21131" s="100"/>
      <c r="Y21131" s="100"/>
    </row>
    <row r="21132">
      <c r="R21132" s="100"/>
      <c r="V21132" s="100"/>
      <c r="Y21132" s="100"/>
    </row>
    <row r="21133">
      <c r="R21133" s="100"/>
      <c r="V21133" s="100"/>
      <c r="Y21133" s="100"/>
    </row>
    <row r="21134">
      <c r="R21134" s="100"/>
      <c r="V21134" s="100"/>
      <c r="Y21134" s="100"/>
    </row>
    <row r="21135">
      <c r="R21135" s="100"/>
      <c r="V21135" s="100"/>
      <c r="Y21135" s="100"/>
    </row>
    <row r="21136">
      <c r="R21136" s="100"/>
      <c r="V21136" s="100"/>
      <c r="Y21136" s="100"/>
    </row>
    <row r="21137">
      <c r="R21137" s="100"/>
      <c r="V21137" s="100"/>
      <c r="Y21137" s="100"/>
    </row>
    <row r="21138">
      <c r="R21138" s="100"/>
      <c r="V21138" s="100"/>
      <c r="Y21138" s="100"/>
    </row>
    <row r="21139">
      <c r="R21139" s="100"/>
      <c r="V21139" s="100"/>
      <c r="Y21139" s="100"/>
    </row>
    <row r="21140">
      <c r="R21140" s="100"/>
      <c r="V21140" s="100"/>
      <c r="Y21140" s="100"/>
    </row>
    <row r="21141">
      <c r="R21141" s="100"/>
      <c r="V21141" s="100"/>
      <c r="Y21141" s="100"/>
    </row>
    <row r="21142">
      <c r="R21142" s="100"/>
      <c r="V21142" s="100"/>
      <c r="Y21142" s="100"/>
    </row>
    <row r="21143">
      <c r="R21143" s="100"/>
      <c r="V21143" s="100"/>
      <c r="Y21143" s="100"/>
    </row>
    <row r="21144">
      <c r="R21144" s="100"/>
      <c r="V21144" s="100"/>
      <c r="Y21144" s="100"/>
    </row>
    <row r="21145">
      <c r="R21145" s="100"/>
      <c r="V21145" s="100"/>
      <c r="Y21145" s="100"/>
    </row>
    <row r="21146">
      <c r="R21146" s="100"/>
      <c r="V21146" s="100"/>
      <c r="Y21146" s="100"/>
    </row>
    <row r="21147">
      <c r="R21147" s="100"/>
      <c r="V21147" s="100"/>
      <c r="Y21147" s="100"/>
    </row>
    <row r="21148">
      <c r="R21148" s="100"/>
      <c r="V21148" s="100"/>
      <c r="Y21148" s="100"/>
    </row>
    <row r="21149">
      <c r="R21149" s="100"/>
      <c r="V21149" s="100"/>
      <c r="Y21149" s="100"/>
    </row>
    <row r="21150">
      <c r="R21150" s="100"/>
      <c r="V21150" s="100"/>
      <c r="Y21150" s="100"/>
    </row>
    <row r="21151">
      <c r="R21151" s="100"/>
      <c r="V21151" s="100"/>
      <c r="Y21151" s="100"/>
    </row>
    <row r="21152">
      <c r="R21152" s="100"/>
      <c r="V21152" s="100"/>
      <c r="Y21152" s="100"/>
    </row>
    <row r="21153">
      <c r="R21153" s="100"/>
      <c r="V21153" s="100"/>
      <c r="Y21153" s="100"/>
    </row>
    <row r="21154">
      <c r="R21154" s="100"/>
      <c r="V21154" s="100"/>
      <c r="Y21154" s="100"/>
    </row>
    <row r="21155">
      <c r="R21155" s="100"/>
      <c r="V21155" s="100"/>
      <c r="Y21155" s="100"/>
    </row>
    <row r="21156">
      <c r="R21156" s="100"/>
      <c r="V21156" s="100"/>
      <c r="Y21156" s="100"/>
    </row>
    <row r="21157">
      <c r="R21157" s="100"/>
      <c r="V21157" s="100"/>
      <c r="Y21157" s="100"/>
    </row>
    <row r="21158">
      <c r="R21158" s="100"/>
      <c r="V21158" s="100"/>
      <c r="Y21158" s="100"/>
    </row>
    <row r="21159">
      <c r="R21159" s="100"/>
      <c r="V21159" s="100"/>
      <c r="Y21159" s="100"/>
    </row>
    <row r="21160">
      <c r="R21160" s="100"/>
      <c r="V21160" s="100"/>
      <c r="Y21160" s="100"/>
    </row>
    <row r="21161">
      <c r="R21161" s="100"/>
      <c r="V21161" s="100"/>
      <c r="Y21161" s="100"/>
    </row>
    <row r="21162">
      <c r="R21162" s="100"/>
      <c r="V21162" s="100"/>
      <c r="Y21162" s="100"/>
    </row>
    <row r="21163">
      <c r="R21163" s="100"/>
      <c r="V21163" s="100"/>
      <c r="Y21163" s="100"/>
    </row>
    <row r="21164">
      <c r="R21164" s="100"/>
      <c r="V21164" s="100"/>
      <c r="Y21164" s="100"/>
    </row>
    <row r="21165">
      <c r="R21165" s="100"/>
      <c r="V21165" s="100"/>
      <c r="Y21165" s="100"/>
    </row>
    <row r="21166">
      <c r="R21166" s="100"/>
      <c r="V21166" s="100"/>
      <c r="Y21166" s="100"/>
    </row>
    <row r="21167">
      <c r="R21167" s="100"/>
      <c r="V21167" s="100"/>
      <c r="Y21167" s="100"/>
    </row>
    <row r="21168">
      <c r="R21168" s="100"/>
      <c r="V21168" s="100"/>
      <c r="Y21168" s="100"/>
    </row>
    <row r="21169">
      <c r="R21169" s="100"/>
      <c r="V21169" s="100"/>
      <c r="Y21169" s="100"/>
    </row>
    <row r="21170">
      <c r="R21170" s="100"/>
      <c r="V21170" s="100"/>
      <c r="Y21170" s="100"/>
    </row>
    <row r="21171">
      <c r="R21171" s="100"/>
      <c r="V21171" s="100"/>
      <c r="Y21171" s="100"/>
    </row>
    <row r="21172">
      <c r="R21172" s="100"/>
      <c r="V21172" s="100"/>
      <c r="Y21172" s="100"/>
    </row>
    <row r="21173">
      <c r="R21173" s="100"/>
      <c r="V21173" s="100"/>
      <c r="Y21173" s="100"/>
    </row>
    <row r="21174">
      <c r="R21174" s="100"/>
      <c r="V21174" s="100"/>
      <c r="Y21174" s="100"/>
    </row>
    <row r="21175">
      <c r="R21175" s="100"/>
      <c r="V21175" s="100"/>
      <c r="Y21175" s="100"/>
    </row>
    <row r="21176">
      <c r="R21176" s="100"/>
      <c r="V21176" s="100"/>
      <c r="Y21176" s="100"/>
    </row>
    <row r="21177">
      <c r="R21177" s="100"/>
      <c r="V21177" s="100"/>
      <c r="Y21177" s="100"/>
    </row>
    <row r="21178">
      <c r="R21178" s="100"/>
      <c r="V21178" s="100"/>
      <c r="Y21178" s="100"/>
    </row>
    <row r="21179">
      <c r="R21179" s="100"/>
      <c r="V21179" s="100"/>
      <c r="Y21179" s="100"/>
    </row>
    <row r="21180">
      <c r="R21180" s="100"/>
      <c r="V21180" s="100"/>
      <c r="Y21180" s="100"/>
    </row>
    <row r="21181">
      <c r="R21181" s="100"/>
      <c r="V21181" s="100"/>
      <c r="Y21181" s="100"/>
    </row>
    <row r="21182">
      <c r="R21182" s="100"/>
      <c r="V21182" s="100"/>
      <c r="Y21182" s="100"/>
    </row>
    <row r="21183">
      <c r="R21183" s="100"/>
      <c r="V21183" s="100"/>
      <c r="Y21183" s="100"/>
    </row>
    <row r="21184">
      <c r="R21184" s="100"/>
      <c r="V21184" s="100"/>
      <c r="Y21184" s="100"/>
    </row>
    <row r="21185">
      <c r="R21185" s="100"/>
      <c r="V21185" s="100"/>
      <c r="Y21185" s="100"/>
    </row>
    <row r="21186">
      <c r="R21186" s="100"/>
      <c r="V21186" s="100"/>
      <c r="Y21186" s="100"/>
    </row>
    <row r="21187">
      <c r="R21187" s="100"/>
      <c r="V21187" s="100"/>
      <c r="Y21187" s="100"/>
    </row>
    <row r="21188">
      <c r="R21188" s="100"/>
      <c r="V21188" s="100"/>
      <c r="Y21188" s="100"/>
    </row>
    <row r="21189">
      <c r="R21189" s="100"/>
      <c r="V21189" s="100"/>
      <c r="Y21189" s="100"/>
    </row>
    <row r="21190">
      <c r="R21190" s="100"/>
      <c r="V21190" s="100"/>
      <c r="Y21190" s="100"/>
    </row>
    <row r="21191">
      <c r="R21191" s="100"/>
      <c r="V21191" s="100"/>
      <c r="Y21191" s="100"/>
    </row>
    <row r="21192">
      <c r="R21192" s="100"/>
      <c r="V21192" s="100"/>
      <c r="Y21192" s="100"/>
    </row>
    <row r="21193">
      <c r="R21193" s="100"/>
      <c r="V21193" s="100"/>
      <c r="Y21193" s="100"/>
    </row>
    <row r="21194">
      <c r="R21194" s="100"/>
      <c r="V21194" s="100"/>
      <c r="Y21194" s="100"/>
    </row>
    <row r="21195">
      <c r="R21195" s="100"/>
      <c r="V21195" s="100"/>
      <c r="Y21195" s="100"/>
    </row>
    <row r="21196">
      <c r="R21196" s="100"/>
      <c r="V21196" s="100"/>
      <c r="Y21196" s="100"/>
    </row>
    <row r="21197">
      <c r="R21197" s="100"/>
      <c r="V21197" s="100"/>
      <c r="Y21197" s="100"/>
    </row>
    <row r="21198">
      <c r="R21198" s="100"/>
      <c r="V21198" s="100"/>
      <c r="Y21198" s="100"/>
    </row>
    <row r="21199">
      <c r="R21199" s="100"/>
      <c r="V21199" s="100"/>
      <c r="Y21199" s="100"/>
    </row>
    <row r="21200">
      <c r="R21200" s="100"/>
      <c r="V21200" s="100"/>
      <c r="Y21200" s="100"/>
    </row>
    <row r="21201">
      <c r="R21201" s="100"/>
      <c r="V21201" s="100"/>
      <c r="Y21201" s="100"/>
    </row>
    <row r="21202">
      <c r="R21202" s="100"/>
      <c r="V21202" s="100"/>
      <c r="Y21202" s="100"/>
    </row>
    <row r="21203">
      <c r="R21203" s="100"/>
      <c r="V21203" s="100"/>
      <c r="Y21203" s="100"/>
    </row>
    <row r="21204">
      <c r="R21204" s="100"/>
      <c r="V21204" s="100"/>
      <c r="Y21204" s="100"/>
    </row>
    <row r="21205">
      <c r="R21205" s="100"/>
      <c r="V21205" s="100"/>
      <c r="Y21205" s="100"/>
    </row>
    <row r="21206">
      <c r="R21206" s="100"/>
      <c r="V21206" s="100"/>
      <c r="Y21206" s="100"/>
    </row>
    <row r="21207">
      <c r="R21207" s="100"/>
      <c r="V21207" s="100"/>
      <c r="Y21207" s="100"/>
    </row>
    <row r="21208">
      <c r="R21208" s="100"/>
      <c r="V21208" s="100"/>
      <c r="Y21208" s="100"/>
    </row>
    <row r="21209">
      <c r="R21209" s="100"/>
      <c r="V21209" s="100"/>
      <c r="Y21209" s="100"/>
    </row>
    <row r="21210">
      <c r="R21210" s="100"/>
      <c r="V21210" s="100"/>
      <c r="Y21210" s="100"/>
    </row>
    <row r="21211">
      <c r="R21211" s="100"/>
      <c r="V21211" s="100"/>
      <c r="Y21211" s="100"/>
    </row>
    <row r="21212">
      <c r="R21212" s="100"/>
      <c r="V21212" s="100"/>
      <c r="Y21212" s="100"/>
    </row>
    <row r="21213">
      <c r="R21213" s="100"/>
      <c r="V21213" s="100"/>
      <c r="Y21213" s="100"/>
    </row>
    <row r="21214">
      <c r="R21214" s="100"/>
      <c r="V21214" s="100"/>
      <c r="Y21214" s="100"/>
    </row>
    <row r="21215">
      <c r="R21215" s="100"/>
      <c r="V21215" s="100"/>
      <c r="Y21215" s="100"/>
    </row>
    <row r="21216">
      <c r="R21216" s="100"/>
      <c r="V21216" s="100"/>
      <c r="Y21216" s="100"/>
    </row>
    <row r="21217">
      <c r="R21217" s="100"/>
      <c r="V21217" s="100"/>
      <c r="Y21217" s="100"/>
    </row>
    <row r="21218">
      <c r="R21218" s="100"/>
      <c r="V21218" s="100"/>
      <c r="Y21218" s="100"/>
    </row>
    <row r="21219">
      <c r="R21219" s="100"/>
      <c r="V21219" s="100"/>
      <c r="Y21219" s="100"/>
    </row>
    <row r="21220">
      <c r="R21220" s="100"/>
      <c r="V21220" s="100"/>
      <c r="Y21220" s="100"/>
    </row>
    <row r="21221">
      <c r="R21221" s="100"/>
      <c r="V21221" s="100"/>
      <c r="Y21221" s="100"/>
    </row>
    <row r="21222">
      <c r="R21222" s="100"/>
      <c r="V21222" s="100"/>
      <c r="Y21222" s="100"/>
    </row>
    <row r="21223">
      <c r="R21223" s="100"/>
      <c r="V21223" s="100"/>
      <c r="Y21223" s="100"/>
    </row>
    <row r="21224">
      <c r="R21224" s="100"/>
      <c r="V21224" s="100"/>
      <c r="Y21224" s="100"/>
    </row>
    <row r="21225">
      <c r="R21225" s="100"/>
      <c r="V21225" s="100"/>
      <c r="Y21225" s="100"/>
    </row>
    <row r="21226">
      <c r="R21226" s="100"/>
      <c r="V21226" s="100"/>
      <c r="Y21226" s="100"/>
    </row>
    <row r="21227">
      <c r="R21227" s="100"/>
      <c r="V21227" s="100"/>
      <c r="Y21227" s="100"/>
    </row>
    <row r="21228">
      <c r="R21228" s="100"/>
      <c r="V21228" s="100"/>
      <c r="Y21228" s="100"/>
    </row>
    <row r="21229">
      <c r="R21229" s="100"/>
      <c r="V21229" s="100"/>
      <c r="Y21229" s="100"/>
    </row>
    <row r="21230">
      <c r="R21230" s="100"/>
      <c r="V21230" s="100"/>
      <c r="Y21230" s="100"/>
    </row>
    <row r="21231">
      <c r="R21231" s="100"/>
      <c r="V21231" s="100"/>
      <c r="Y21231" s="100"/>
    </row>
    <row r="21232">
      <c r="R21232" s="100"/>
      <c r="V21232" s="100"/>
      <c r="Y21232" s="100"/>
    </row>
    <row r="21233">
      <c r="R21233" s="100"/>
      <c r="V21233" s="100"/>
      <c r="Y21233" s="100"/>
    </row>
    <row r="21234">
      <c r="R21234" s="100"/>
      <c r="V21234" s="100"/>
      <c r="Y21234" s="100"/>
    </row>
    <row r="21235">
      <c r="R21235" s="100"/>
      <c r="V21235" s="100"/>
      <c r="Y21235" s="100"/>
    </row>
    <row r="21236">
      <c r="R21236" s="100"/>
      <c r="V21236" s="100"/>
      <c r="Y21236" s="100"/>
    </row>
    <row r="21237">
      <c r="R21237" s="100"/>
      <c r="V21237" s="100"/>
      <c r="Y21237" s="100"/>
    </row>
    <row r="21238">
      <c r="R21238" s="100"/>
      <c r="V21238" s="100"/>
      <c r="Y21238" s="100"/>
    </row>
    <row r="21239">
      <c r="R21239" s="100"/>
      <c r="V21239" s="100"/>
      <c r="Y21239" s="100"/>
    </row>
    <row r="21240">
      <c r="R21240" s="100"/>
      <c r="V21240" s="100"/>
      <c r="Y21240" s="100"/>
    </row>
    <row r="21241">
      <c r="R21241" s="100"/>
      <c r="V21241" s="100"/>
      <c r="Y21241" s="100"/>
    </row>
    <row r="21242">
      <c r="R21242" s="100"/>
      <c r="V21242" s="100"/>
      <c r="Y21242" s="100"/>
    </row>
    <row r="21243">
      <c r="R21243" s="100"/>
      <c r="V21243" s="100"/>
      <c r="Y21243" s="100"/>
    </row>
    <row r="21244">
      <c r="R21244" s="100"/>
      <c r="V21244" s="100"/>
      <c r="Y21244" s="100"/>
    </row>
    <row r="21245">
      <c r="R21245" s="100"/>
      <c r="V21245" s="100"/>
      <c r="Y21245" s="100"/>
    </row>
    <row r="21246">
      <c r="R21246" s="100"/>
      <c r="V21246" s="100"/>
      <c r="Y21246" s="100"/>
    </row>
    <row r="21247">
      <c r="R21247" s="100"/>
      <c r="V21247" s="100"/>
      <c r="Y21247" s="100"/>
    </row>
    <row r="21248">
      <c r="R21248" s="100"/>
      <c r="V21248" s="100"/>
      <c r="Y21248" s="100"/>
    </row>
    <row r="21249">
      <c r="R21249" s="100"/>
      <c r="V21249" s="100"/>
      <c r="Y21249" s="100"/>
    </row>
    <row r="21250">
      <c r="R21250" s="100"/>
      <c r="V21250" s="100"/>
      <c r="Y21250" s="100"/>
    </row>
    <row r="21251">
      <c r="R21251" s="100"/>
      <c r="V21251" s="100"/>
      <c r="Y21251" s="100"/>
    </row>
    <row r="21252">
      <c r="R21252" s="100"/>
      <c r="V21252" s="100"/>
      <c r="Y21252" s="100"/>
    </row>
    <row r="21253">
      <c r="R21253" s="100"/>
      <c r="V21253" s="100"/>
      <c r="Y21253" s="100"/>
    </row>
    <row r="21254">
      <c r="R21254" s="100"/>
      <c r="V21254" s="100"/>
      <c r="Y21254" s="100"/>
    </row>
    <row r="21255">
      <c r="R21255" s="100"/>
      <c r="V21255" s="100"/>
      <c r="Y21255" s="100"/>
    </row>
    <row r="21256">
      <c r="R21256" s="100"/>
      <c r="V21256" s="100"/>
      <c r="Y21256" s="100"/>
    </row>
    <row r="21257">
      <c r="R21257" s="100"/>
      <c r="V21257" s="100"/>
      <c r="Y21257" s="100"/>
    </row>
    <row r="21258">
      <c r="R21258" s="100"/>
      <c r="V21258" s="100"/>
      <c r="Y21258" s="100"/>
    </row>
    <row r="21259">
      <c r="R21259" s="100"/>
      <c r="V21259" s="100"/>
      <c r="Y21259" s="100"/>
    </row>
    <row r="21260">
      <c r="R21260" s="100"/>
      <c r="V21260" s="100"/>
      <c r="Y21260" s="100"/>
    </row>
    <row r="21261">
      <c r="R21261" s="100"/>
      <c r="V21261" s="100"/>
      <c r="Y21261" s="100"/>
    </row>
    <row r="21262">
      <c r="R21262" s="100"/>
      <c r="V21262" s="100"/>
      <c r="Y21262" s="100"/>
    </row>
    <row r="21263">
      <c r="R21263" s="100"/>
      <c r="V21263" s="100"/>
      <c r="Y21263" s="100"/>
    </row>
    <row r="21264">
      <c r="R21264" s="100"/>
      <c r="V21264" s="100"/>
      <c r="Y21264" s="100"/>
    </row>
    <row r="21265">
      <c r="R21265" s="100"/>
      <c r="V21265" s="100"/>
      <c r="Y21265" s="100"/>
    </row>
    <row r="21266">
      <c r="R21266" s="100"/>
      <c r="V21266" s="100"/>
      <c r="Y21266" s="100"/>
    </row>
    <row r="21267">
      <c r="R21267" s="100"/>
      <c r="V21267" s="100"/>
      <c r="Y21267" s="100"/>
    </row>
    <row r="21268">
      <c r="R21268" s="100"/>
      <c r="V21268" s="100"/>
      <c r="Y21268" s="100"/>
    </row>
    <row r="21269">
      <c r="R21269" s="100"/>
      <c r="V21269" s="100"/>
      <c r="Y21269" s="100"/>
    </row>
    <row r="21270">
      <c r="R21270" s="100"/>
      <c r="V21270" s="100"/>
      <c r="Y21270" s="100"/>
    </row>
    <row r="21271">
      <c r="R21271" s="100"/>
      <c r="V21271" s="100"/>
      <c r="Y21271" s="100"/>
    </row>
    <row r="21272">
      <c r="R21272" s="100"/>
      <c r="V21272" s="100"/>
      <c r="Y21272" s="100"/>
    </row>
    <row r="21273">
      <c r="R21273" s="100"/>
      <c r="V21273" s="100"/>
      <c r="Y21273" s="100"/>
    </row>
    <row r="21274">
      <c r="R21274" s="100"/>
      <c r="V21274" s="100"/>
      <c r="Y21274" s="100"/>
    </row>
    <row r="21275">
      <c r="R21275" s="100"/>
      <c r="V21275" s="100"/>
      <c r="Y21275" s="100"/>
    </row>
    <row r="21276">
      <c r="R21276" s="100"/>
      <c r="V21276" s="100"/>
      <c r="Y21276" s="100"/>
    </row>
    <row r="21277">
      <c r="R21277" s="100"/>
      <c r="V21277" s="100"/>
      <c r="Y21277" s="100"/>
    </row>
    <row r="21278">
      <c r="R21278" s="100"/>
      <c r="V21278" s="100"/>
      <c r="Y21278" s="100"/>
    </row>
    <row r="21279">
      <c r="R21279" s="100"/>
      <c r="V21279" s="100"/>
      <c r="Y21279" s="100"/>
    </row>
    <row r="21280">
      <c r="R21280" s="100"/>
      <c r="V21280" s="100"/>
      <c r="Y21280" s="100"/>
    </row>
    <row r="21281">
      <c r="R21281" s="100"/>
      <c r="V21281" s="100"/>
      <c r="Y21281" s="100"/>
    </row>
    <row r="21282">
      <c r="R21282" s="100"/>
      <c r="V21282" s="100"/>
      <c r="Y21282" s="100"/>
    </row>
    <row r="21283">
      <c r="R21283" s="100"/>
      <c r="V21283" s="100"/>
      <c r="Y21283" s="100"/>
    </row>
    <row r="21284">
      <c r="R21284" s="100"/>
      <c r="V21284" s="100"/>
      <c r="Y21284" s="100"/>
    </row>
    <row r="21285">
      <c r="R21285" s="100"/>
      <c r="V21285" s="100"/>
      <c r="Y21285" s="100"/>
    </row>
    <row r="21286">
      <c r="R21286" s="100"/>
      <c r="V21286" s="100"/>
      <c r="Y21286" s="100"/>
    </row>
    <row r="21287">
      <c r="R21287" s="100"/>
      <c r="V21287" s="100"/>
      <c r="Y21287" s="100"/>
    </row>
    <row r="21288">
      <c r="R21288" s="100"/>
      <c r="V21288" s="100"/>
      <c r="Y21288" s="100"/>
    </row>
    <row r="21289">
      <c r="R21289" s="100"/>
      <c r="V21289" s="100"/>
      <c r="Y21289" s="100"/>
    </row>
    <row r="21290">
      <c r="R21290" s="100"/>
      <c r="V21290" s="100"/>
      <c r="Y21290" s="100"/>
    </row>
    <row r="21291">
      <c r="R21291" s="100"/>
      <c r="V21291" s="100"/>
      <c r="Y21291" s="100"/>
    </row>
    <row r="21292">
      <c r="R21292" s="100"/>
      <c r="V21292" s="100"/>
      <c r="Y21292" s="100"/>
    </row>
    <row r="21293">
      <c r="R21293" s="100"/>
      <c r="V21293" s="100"/>
      <c r="Y21293" s="100"/>
    </row>
    <row r="21294">
      <c r="R21294" s="100"/>
      <c r="V21294" s="100"/>
      <c r="Y21294" s="100"/>
    </row>
    <row r="21295">
      <c r="R21295" s="100"/>
      <c r="V21295" s="100"/>
      <c r="Y21295" s="100"/>
    </row>
    <row r="21296">
      <c r="R21296" s="100"/>
      <c r="V21296" s="100"/>
      <c r="Y21296" s="100"/>
    </row>
    <row r="21297">
      <c r="R21297" s="100"/>
      <c r="V21297" s="100"/>
      <c r="Y21297" s="100"/>
    </row>
    <row r="21298">
      <c r="R21298" s="100"/>
      <c r="V21298" s="100"/>
      <c r="Y21298" s="100"/>
    </row>
    <row r="21299">
      <c r="R21299" s="100"/>
      <c r="V21299" s="100"/>
      <c r="Y21299" s="100"/>
    </row>
    <row r="21300">
      <c r="R21300" s="100"/>
      <c r="V21300" s="100"/>
      <c r="Y21300" s="100"/>
    </row>
    <row r="21301">
      <c r="R21301" s="100"/>
      <c r="V21301" s="100"/>
      <c r="Y21301" s="100"/>
    </row>
    <row r="21302">
      <c r="R21302" s="100"/>
      <c r="V21302" s="100"/>
      <c r="Y21302" s="100"/>
    </row>
    <row r="21303">
      <c r="R21303" s="100"/>
      <c r="V21303" s="100"/>
      <c r="Y21303" s="100"/>
    </row>
    <row r="21304">
      <c r="R21304" s="100"/>
      <c r="V21304" s="100"/>
      <c r="Y21304" s="100"/>
    </row>
    <row r="21305">
      <c r="R21305" s="100"/>
      <c r="V21305" s="100"/>
      <c r="Y21305" s="100"/>
    </row>
    <row r="21306">
      <c r="R21306" s="100"/>
      <c r="V21306" s="100"/>
      <c r="Y21306" s="100"/>
    </row>
    <row r="21307">
      <c r="R21307" s="100"/>
      <c r="V21307" s="100"/>
      <c r="Y21307" s="100"/>
    </row>
    <row r="21308">
      <c r="R21308" s="100"/>
      <c r="V21308" s="100"/>
      <c r="Y21308" s="100"/>
    </row>
    <row r="21309">
      <c r="R21309" s="100"/>
      <c r="V21309" s="100"/>
      <c r="Y21309" s="100"/>
    </row>
    <row r="21310">
      <c r="R21310" s="100"/>
      <c r="V21310" s="100"/>
      <c r="Y21310" s="100"/>
    </row>
    <row r="21311">
      <c r="R21311" s="100"/>
      <c r="V21311" s="100"/>
      <c r="Y21311" s="100"/>
    </row>
    <row r="21312">
      <c r="R21312" s="100"/>
      <c r="V21312" s="100"/>
      <c r="Y21312" s="100"/>
    </row>
    <row r="21313">
      <c r="R21313" s="100"/>
      <c r="V21313" s="100"/>
      <c r="Y21313" s="100"/>
    </row>
    <row r="21314">
      <c r="R21314" s="100"/>
      <c r="V21314" s="100"/>
      <c r="Y21314" s="100"/>
    </row>
    <row r="21315">
      <c r="R21315" s="100"/>
      <c r="V21315" s="100"/>
      <c r="Y21315" s="100"/>
    </row>
    <row r="21316">
      <c r="R21316" s="100"/>
      <c r="V21316" s="100"/>
      <c r="Y21316" s="100"/>
    </row>
    <row r="21317">
      <c r="R21317" s="100"/>
      <c r="V21317" s="100"/>
      <c r="Y21317" s="100"/>
    </row>
    <row r="21318">
      <c r="R21318" s="100"/>
      <c r="V21318" s="100"/>
      <c r="Y21318" s="100"/>
    </row>
    <row r="21319">
      <c r="R21319" s="100"/>
      <c r="V21319" s="100"/>
      <c r="Y21319" s="100"/>
    </row>
    <row r="21320">
      <c r="R21320" s="100"/>
      <c r="V21320" s="100"/>
      <c r="Y21320" s="100"/>
    </row>
    <row r="21321">
      <c r="R21321" s="100"/>
      <c r="V21321" s="100"/>
      <c r="Y21321" s="100"/>
    </row>
    <row r="21322">
      <c r="R21322" s="100"/>
      <c r="V21322" s="100"/>
      <c r="Y21322" s="100"/>
    </row>
    <row r="21323">
      <c r="R21323" s="100"/>
      <c r="V21323" s="100"/>
      <c r="Y21323" s="100"/>
    </row>
    <row r="21324">
      <c r="R21324" s="100"/>
      <c r="V21324" s="100"/>
      <c r="Y21324" s="100"/>
    </row>
    <row r="21325">
      <c r="R21325" s="100"/>
      <c r="V21325" s="100"/>
      <c r="Y21325" s="100"/>
    </row>
    <row r="21326">
      <c r="R21326" s="100"/>
      <c r="V21326" s="100"/>
      <c r="Y21326" s="100"/>
    </row>
    <row r="21327">
      <c r="R21327" s="100"/>
      <c r="V21327" s="100"/>
      <c r="Y21327" s="100"/>
    </row>
    <row r="21328">
      <c r="R21328" s="100"/>
      <c r="V21328" s="100"/>
      <c r="Y21328" s="100"/>
    </row>
    <row r="21329">
      <c r="R21329" s="100"/>
      <c r="V21329" s="100"/>
      <c r="Y21329" s="100"/>
    </row>
    <row r="21330">
      <c r="R21330" s="100"/>
      <c r="V21330" s="100"/>
      <c r="Y21330" s="100"/>
    </row>
    <row r="21331">
      <c r="R21331" s="100"/>
      <c r="V21331" s="100"/>
      <c r="Y21331" s="100"/>
    </row>
    <row r="21332">
      <c r="R21332" s="100"/>
      <c r="V21332" s="100"/>
      <c r="Y21332" s="100"/>
    </row>
    <row r="21333">
      <c r="R21333" s="100"/>
      <c r="V21333" s="100"/>
      <c r="Y21333" s="100"/>
    </row>
    <row r="21334">
      <c r="R21334" s="100"/>
      <c r="V21334" s="100"/>
      <c r="Y21334" s="100"/>
    </row>
    <row r="21335">
      <c r="R21335" s="100"/>
      <c r="V21335" s="100"/>
      <c r="Y21335" s="100"/>
    </row>
    <row r="21336">
      <c r="R21336" s="100"/>
      <c r="V21336" s="100"/>
      <c r="Y21336" s="100"/>
    </row>
    <row r="21337">
      <c r="R21337" s="100"/>
      <c r="V21337" s="100"/>
      <c r="Y21337" s="100"/>
    </row>
    <row r="21338">
      <c r="R21338" s="100"/>
      <c r="V21338" s="100"/>
      <c r="Y21338" s="100"/>
    </row>
    <row r="21339">
      <c r="R21339" s="100"/>
      <c r="V21339" s="100"/>
      <c r="Y21339" s="100"/>
    </row>
    <row r="21340">
      <c r="R21340" s="100"/>
      <c r="V21340" s="100"/>
      <c r="Y21340" s="100"/>
    </row>
    <row r="21341">
      <c r="R21341" s="100"/>
      <c r="V21341" s="100"/>
      <c r="Y21341" s="100"/>
    </row>
    <row r="21342">
      <c r="R21342" s="100"/>
      <c r="V21342" s="100"/>
      <c r="Y21342" s="100"/>
    </row>
    <row r="21343">
      <c r="R21343" s="100"/>
      <c r="V21343" s="100"/>
      <c r="Y21343" s="100"/>
    </row>
    <row r="21344">
      <c r="R21344" s="100"/>
      <c r="V21344" s="100"/>
      <c r="Y21344" s="100"/>
    </row>
    <row r="21345">
      <c r="R21345" s="100"/>
      <c r="V21345" s="100"/>
      <c r="Y21345" s="100"/>
    </row>
    <row r="21346">
      <c r="R21346" s="100"/>
      <c r="V21346" s="100"/>
      <c r="Y21346" s="100"/>
    </row>
    <row r="21347">
      <c r="R21347" s="100"/>
      <c r="V21347" s="100"/>
      <c r="Y21347" s="100"/>
    </row>
    <row r="21348">
      <c r="R21348" s="100"/>
      <c r="V21348" s="100"/>
      <c r="Y21348" s="100"/>
    </row>
    <row r="21349">
      <c r="R21349" s="100"/>
      <c r="V21349" s="100"/>
      <c r="Y21349" s="100"/>
    </row>
    <row r="21350">
      <c r="R21350" s="100"/>
      <c r="V21350" s="100"/>
      <c r="Y21350" s="100"/>
    </row>
    <row r="21351">
      <c r="R21351" s="100"/>
      <c r="V21351" s="100"/>
      <c r="Y21351" s="100"/>
    </row>
    <row r="21352">
      <c r="R21352" s="100"/>
      <c r="V21352" s="100"/>
      <c r="Y21352" s="100"/>
    </row>
    <row r="21353">
      <c r="R21353" s="100"/>
      <c r="V21353" s="100"/>
      <c r="Y21353" s="100"/>
    </row>
    <row r="21354">
      <c r="R21354" s="100"/>
      <c r="V21354" s="100"/>
      <c r="Y21354" s="100"/>
    </row>
    <row r="21355">
      <c r="R21355" s="100"/>
      <c r="V21355" s="100"/>
      <c r="Y21355" s="100"/>
    </row>
    <row r="21356">
      <c r="R21356" s="100"/>
      <c r="V21356" s="100"/>
      <c r="Y21356" s="100"/>
    </row>
    <row r="21357">
      <c r="R21357" s="100"/>
      <c r="V21357" s="100"/>
      <c r="Y21357" s="100"/>
    </row>
    <row r="21358">
      <c r="R21358" s="100"/>
      <c r="V21358" s="100"/>
      <c r="Y21358" s="100"/>
    </row>
    <row r="21359">
      <c r="R21359" s="100"/>
      <c r="V21359" s="100"/>
      <c r="Y21359" s="100"/>
    </row>
    <row r="21360">
      <c r="R21360" s="100"/>
      <c r="V21360" s="100"/>
      <c r="Y21360" s="100"/>
    </row>
    <row r="21361">
      <c r="R21361" s="100"/>
      <c r="V21361" s="100"/>
      <c r="Y21361" s="100"/>
    </row>
    <row r="21362">
      <c r="R21362" s="100"/>
      <c r="V21362" s="100"/>
      <c r="Y21362" s="100"/>
    </row>
    <row r="21363">
      <c r="R21363" s="100"/>
      <c r="V21363" s="100"/>
      <c r="Y21363" s="100"/>
    </row>
    <row r="21364">
      <c r="R21364" s="100"/>
      <c r="V21364" s="100"/>
      <c r="Y21364" s="100"/>
    </row>
    <row r="21365">
      <c r="R21365" s="100"/>
      <c r="V21365" s="100"/>
      <c r="Y21365" s="100"/>
    </row>
    <row r="21366">
      <c r="R21366" s="100"/>
      <c r="V21366" s="100"/>
      <c r="Y21366" s="100"/>
    </row>
    <row r="21367">
      <c r="R21367" s="100"/>
      <c r="V21367" s="100"/>
      <c r="Y21367" s="100"/>
    </row>
    <row r="21368">
      <c r="R21368" s="100"/>
      <c r="V21368" s="100"/>
      <c r="Y21368" s="100"/>
    </row>
    <row r="21369">
      <c r="R21369" s="100"/>
      <c r="V21369" s="100"/>
      <c r="Y21369" s="100"/>
    </row>
    <row r="21370">
      <c r="R21370" s="100"/>
      <c r="V21370" s="100"/>
      <c r="Y21370" s="100"/>
    </row>
    <row r="21371">
      <c r="R21371" s="100"/>
      <c r="V21371" s="100"/>
      <c r="Y21371" s="100"/>
    </row>
    <row r="21372">
      <c r="R21372" s="100"/>
      <c r="V21372" s="100"/>
      <c r="Y21372" s="100"/>
    </row>
    <row r="21373">
      <c r="R21373" s="100"/>
      <c r="V21373" s="100"/>
      <c r="Y21373" s="100"/>
    </row>
    <row r="21374">
      <c r="R21374" s="100"/>
      <c r="V21374" s="100"/>
      <c r="Y21374" s="100"/>
    </row>
    <row r="21375">
      <c r="R21375" s="100"/>
      <c r="V21375" s="100"/>
      <c r="Y21375" s="100"/>
    </row>
    <row r="21376">
      <c r="R21376" s="100"/>
      <c r="V21376" s="100"/>
      <c r="Y21376" s="100"/>
    </row>
    <row r="21377">
      <c r="R21377" s="100"/>
      <c r="V21377" s="100"/>
      <c r="Y21377" s="100"/>
    </row>
    <row r="21378">
      <c r="R21378" s="100"/>
      <c r="V21378" s="100"/>
      <c r="Y21378" s="100"/>
    </row>
    <row r="21379">
      <c r="R21379" s="100"/>
      <c r="V21379" s="100"/>
      <c r="Y21379" s="100"/>
    </row>
    <row r="21380">
      <c r="R21380" s="100"/>
      <c r="V21380" s="100"/>
      <c r="Y21380" s="100"/>
    </row>
    <row r="21381">
      <c r="R21381" s="100"/>
      <c r="V21381" s="100"/>
      <c r="Y21381" s="100"/>
    </row>
    <row r="21382">
      <c r="R21382" s="100"/>
      <c r="V21382" s="100"/>
      <c r="Y21382" s="100"/>
    </row>
    <row r="21383">
      <c r="R21383" s="100"/>
      <c r="V21383" s="100"/>
      <c r="Y21383" s="100"/>
    </row>
    <row r="21384">
      <c r="R21384" s="100"/>
      <c r="V21384" s="100"/>
      <c r="Y21384" s="100"/>
    </row>
    <row r="21385">
      <c r="R21385" s="100"/>
      <c r="V21385" s="100"/>
      <c r="Y21385" s="100"/>
    </row>
    <row r="21386">
      <c r="R21386" s="100"/>
      <c r="V21386" s="100"/>
      <c r="Y21386" s="100"/>
    </row>
    <row r="21387">
      <c r="R21387" s="100"/>
      <c r="V21387" s="100"/>
      <c r="Y21387" s="100"/>
    </row>
    <row r="21388">
      <c r="R21388" s="100"/>
      <c r="V21388" s="100"/>
      <c r="Y21388" s="100"/>
    </row>
    <row r="21389">
      <c r="R21389" s="100"/>
      <c r="V21389" s="100"/>
      <c r="Y21389" s="100"/>
    </row>
    <row r="21390">
      <c r="R21390" s="100"/>
      <c r="V21390" s="100"/>
      <c r="Y21390" s="100"/>
    </row>
    <row r="21391">
      <c r="R21391" s="100"/>
      <c r="V21391" s="100"/>
      <c r="Y21391" s="100"/>
    </row>
    <row r="21392">
      <c r="R21392" s="100"/>
      <c r="V21392" s="100"/>
      <c r="Y21392" s="100"/>
    </row>
    <row r="21393">
      <c r="R21393" s="100"/>
      <c r="V21393" s="100"/>
      <c r="Y21393" s="100"/>
    </row>
    <row r="21394">
      <c r="R21394" s="100"/>
      <c r="V21394" s="100"/>
      <c r="Y21394" s="100"/>
    </row>
    <row r="21395">
      <c r="R21395" s="100"/>
      <c r="V21395" s="100"/>
      <c r="Y21395" s="100"/>
    </row>
    <row r="21396">
      <c r="R21396" s="100"/>
      <c r="V21396" s="100"/>
      <c r="Y21396" s="100"/>
    </row>
    <row r="21397">
      <c r="R21397" s="100"/>
      <c r="V21397" s="100"/>
      <c r="Y21397" s="100"/>
    </row>
    <row r="21398">
      <c r="R21398" s="100"/>
      <c r="V21398" s="100"/>
      <c r="Y21398" s="100"/>
    </row>
    <row r="21399">
      <c r="R21399" s="100"/>
      <c r="V21399" s="100"/>
      <c r="Y21399" s="100"/>
    </row>
    <row r="21400">
      <c r="R21400" s="100"/>
      <c r="V21400" s="100"/>
      <c r="Y21400" s="100"/>
    </row>
    <row r="21401">
      <c r="R21401" s="100"/>
      <c r="V21401" s="100"/>
      <c r="Y21401" s="100"/>
    </row>
    <row r="21402">
      <c r="R21402" s="100"/>
      <c r="V21402" s="100"/>
      <c r="Y21402" s="100"/>
    </row>
    <row r="21403">
      <c r="R21403" s="100"/>
      <c r="V21403" s="100"/>
      <c r="Y21403" s="100"/>
    </row>
    <row r="21404">
      <c r="R21404" s="100"/>
      <c r="V21404" s="100"/>
      <c r="Y21404" s="100"/>
    </row>
    <row r="21405">
      <c r="R21405" s="100"/>
      <c r="V21405" s="100"/>
      <c r="Y21405" s="100"/>
    </row>
    <row r="21406">
      <c r="R21406" s="100"/>
      <c r="V21406" s="100"/>
      <c r="Y21406" s="100"/>
    </row>
    <row r="21407">
      <c r="R21407" s="100"/>
      <c r="V21407" s="100"/>
      <c r="Y21407" s="100"/>
    </row>
    <row r="21408">
      <c r="R21408" s="100"/>
      <c r="V21408" s="100"/>
      <c r="Y21408" s="100"/>
    </row>
    <row r="21409">
      <c r="R21409" s="100"/>
      <c r="V21409" s="100"/>
      <c r="Y21409" s="100"/>
    </row>
    <row r="21410">
      <c r="R21410" s="100"/>
      <c r="V21410" s="100"/>
      <c r="Y21410" s="100"/>
    </row>
    <row r="21411">
      <c r="R21411" s="100"/>
      <c r="V21411" s="100"/>
      <c r="Y21411" s="100"/>
    </row>
    <row r="21412">
      <c r="R21412" s="100"/>
      <c r="V21412" s="100"/>
      <c r="Y21412" s="100"/>
    </row>
    <row r="21413">
      <c r="R21413" s="100"/>
      <c r="V21413" s="100"/>
      <c r="Y21413" s="100"/>
    </row>
    <row r="21414">
      <c r="R21414" s="100"/>
      <c r="V21414" s="100"/>
      <c r="Y21414" s="100"/>
    </row>
    <row r="21415">
      <c r="R21415" s="100"/>
      <c r="V21415" s="100"/>
      <c r="Y21415" s="100"/>
    </row>
    <row r="21416">
      <c r="R21416" s="100"/>
      <c r="V21416" s="100"/>
      <c r="Y21416" s="100"/>
    </row>
    <row r="21417">
      <c r="R21417" s="100"/>
      <c r="V21417" s="100"/>
      <c r="Y21417" s="100"/>
    </row>
    <row r="21418">
      <c r="R21418" s="100"/>
      <c r="V21418" s="100"/>
      <c r="Y21418" s="100"/>
    </row>
    <row r="21419">
      <c r="R21419" s="100"/>
      <c r="V21419" s="100"/>
      <c r="Y21419" s="100"/>
    </row>
    <row r="21420">
      <c r="R21420" s="100"/>
      <c r="V21420" s="100"/>
      <c r="Y21420" s="100"/>
    </row>
    <row r="21421">
      <c r="R21421" s="100"/>
      <c r="V21421" s="100"/>
      <c r="Y21421" s="100"/>
    </row>
    <row r="21422">
      <c r="R21422" s="100"/>
      <c r="V21422" s="100"/>
      <c r="Y21422" s="100"/>
    </row>
    <row r="21423">
      <c r="R21423" s="100"/>
      <c r="V21423" s="100"/>
      <c r="Y21423" s="100"/>
    </row>
    <row r="21424">
      <c r="R21424" s="100"/>
      <c r="V21424" s="100"/>
      <c r="Y21424" s="100"/>
    </row>
    <row r="21425">
      <c r="R21425" s="100"/>
      <c r="V21425" s="100"/>
      <c r="Y21425" s="100"/>
    </row>
    <row r="21426">
      <c r="R21426" s="100"/>
      <c r="V21426" s="100"/>
      <c r="Y21426" s="100"/>
    </row>
    <row r="21427">
      <c r="R21427" s="100"/>
      <c r="V21427" s="100"/>
      <c r="Y21427" s="100"/>
    </row>
    <row r="21428">
      <c r="R21428" s="100"/>
      <c r="V21428" s="100"/>
      <c r="Y21428" s="100"/>
    </row>
    <row r="21429">
      <c r="R21429" s="100"/>
      <c r="V21429" s="100"/>
      <c r="Y21429" s="100"/>
    </row>
    <row r="21430">
      <c r="R21430" s="100"/>
      <c r="V21430" s="100"/>
      <c r="Y21430" s="100"/>
    </row>
    <row r="21431">
      <c r="R21431" s="100"/>
      <c r="V21431" s="100"/>
      <c r="Y21431" s="100"/>
    </row>
    <row r="21432">
      <c r="R21432" s="100"/>
      <c r="V21432" s="100"/>
      <c r="Y21432" s="100"/>
    </row>
    <row r="21433">
      <c r="R21433" s="100"/>
      <c r="V21433" s="100"/>
      <c r="Y21433" s="100"/>
    </row>
    <row r="21434">
      <c r="R21434" s="100"/>
      <c r="V21434" s="100"/>
      <c r="Y21434" s="100"/>
    </row>
    <row r="21435">
      <c r="R21435" s="100"/>
      <c r="V21435" s="100"/>
      <c r="Y21435" s="100"/>
    </row>
    <row r="21436">
      <c r="R21436" s="100"/>
      <c r="V21436" s="100"/>
      <c r="Y21436" s="100"/>
    </row>
    <row r="21437">
      <c r="R21437" s="100"/>
      <c r="V21437" s="100"/>
      <c r="Y21437" s="100"/>
    </row>
    <row r="21438">
      <c r="R21438" s="100"/>
      <c r="V21438" s="100"/>
      <c r="Y21438" s="100"/>
    </row>
    <row r="21439">
      <c r="R21439" s="100"/>
      <c r="V21439" s="100"/>
      <c r="Y21439" s="100"/>
    </row>
    <row r="21440">
      <c r="R21440" s="100"/>
      <c r="V21440" s="100"/>
      <c r="Y21440" s="100"/>
    </row>
    <row r="21441">
      <c r="R21441" s="100"/>
      <c r="V21441" s="100"/>
      <c r="Y21441" s="100"/>
    </row>
    <row r="21442">
      <c r="R21442" s="100"/>
      <c r="V21442" s="100"/>
      <c r="Y21442" s="100"/>
    </row>
    <row r="21443">
      <c r="R21443" s="100"/>
      <c r="V21443" s="100"/>
      <c r="Y21443" s="100"/>
    </row>
    <row r="21444">
      <c r="R21444" s="100"/>
      <c r="V21444" s="100"/>
      <c r="Y21444" s="100"/>
    </row>
    <row r="21445">
      <c r="R21445" s="100"/>
      <c r="V21445" s="100"/>
      <c r="Y21445" s="100"/>
    </row>
    <row r="21446">
      <c r="R21446" s="100"/>
      <c r="V21446" s="100"/>
      <c r="Y21446" s="100"/>
    </row>
    <row r="21447">
      <c r="R21447" s="100"/>
      <c r="V21447" s="100"/>
      <c r="Y21447" s="100"/>
    </row>
    <row r="21448">
      <c r="R21448" s="100"/>
      <c r="V21448" s="100"/>
      <c r="Y21448" s="100"/>
    </row>
    <row r="21449">
      <c r="R21449" s="100"/>
      <c r="V21449" s="100"/>
      <c r="Y21449" s="100"/>
    </row>
    <row r="21450">
      <c r="R21450" s="100"/>
      <c r="V21450" s="100"/>
      <c r="Y21450" s="100"/>
    </row>
    <row r="21451">
      <c r="R21451" s="100"/>
      <c r="V21451" s="100"/>
      <c r="Y21451" s="100"/>
    </row>
    <row r="21452">
      <c r="R21452" s="100"/>
      <c r="V21452" s="100"/>
      <c r="Y21452" s="100"/>
    </row>
    <row r="21453">
      <c r="R21453" s="100"/>
      <c r="V21453" s="100"/>
      <c r="Y21453" s="100"/>
    </row>
    <row r="21454">
      <c r="R21454" s="100"/>
      <c r="V21454" s="100"/>
      <c r="Y21454" s="100"/>
    </row>
    <row r="21455">
      <c r="R21455" s="100"/>
      <c r="V21455" s="100"/>
      <c r="Y21455" s="100"/>
    </row>
    <row r="21456">
      <c r="R21456" s="100"/>
      <c r="V21456" s="100"/>
      <c r="Y21456" s="100"/>
    </row>
    <row r="21457">
      <c r="R21457" s="100"/>
      <c r="V21457" s="100"/>
      <c r="Y21457" s="100"/>
    </row>
    <row r="21458">
      <c r="R21458" s="100"/>
      <c r="V21458" s="100"/>
      <c r="Y21458" s="100"/>
    </row>
    <row r="21459">
      <c r="R21459" s="100"/>
      <c r="V21459" s="100"/>
      <c r="Y21459" s="100"/>
    </row>
    <row r="21460">
      <c r="R21460" s="100"/>
      <c r="V21460" s="100"/>
      <c r="Y21460" s="100"/>
    </row>
    <row r="21461">
      <c r="R21461" s="100"/>
      <c r="V21461" s="100"/>
      <c r="Y21461" s="100"/>
    </row>
    <row r="21462">
      <c r="R21462" s="100"/>
      <c r="V21462" s="100"/>
      <c r="Y21462" s="100"/>
    </row>
    <row r="21463">
      <c r="R21463" s="100"/>
      <c r="V21463" s="100"/>
      <c r="Y21463" s="100"/>
    </row>
    <row r="21464">
      <c r="R21464" s="100"/>
      <c r="V21464" s="100"/>
      <c r="Y21464" s="100"/>
    </row>
    <row r="21465">
      <c r="R21465" s="100"/>
      <c r="V21465" s="100"/>
      <c r="Y21465" s="100"/>
    </row>
    <row r="21466">
      <c r="R21466" s="100"/>
      <c r="V21466" s="100"/>
      <c r="Y21466" s="100"/>
    </row>
    <row r="21467">
      <c r="R21467" s="100"/>
      <c r="V21467" s="100"/>
      <c r="Y21467" s="100"/>
    </row>
    <row r="21468">
      <c r="R21468" s="100"/>
      <c r="V21468" s="100"/>
      <c r="Y21468" s="100"/>
    </row>
    <row r="21469">
      <c r="R21469" s="100"/>
      <c r="V21469" s="100"/>
      <c r="Y21469" s="100"/>
    </row>
    <row r="21470">
      <c r="R21470" s="100"/>
      <c r="V21470" s="100"/>
      <c r="Y21470" s="100"/>
    </row>
    <row r="21471">
      <c r="R21471" s="100"/>
      <c r="V21471" s="100"/>
      <c r="Y21471" s="100"/>
    </row>
    <row r="21472">
      <c r="R21472" s="100"/>
      <c r="V21472" s="100"/>
      <c r="Y21472" s="100"/>
    </row>
    <row r="21473">
      <c r="R21473" s="100"/>
      <c r="V21473" s="100"/>
      <c r="Y21473" s="100"/>
    </row>
    <row r="21474">
      <c r="R21474" s="100"/>
      <c r="V21474" s="100"/>
      <c r="Y21474" s="100"/>
    </row>
    <row r="21475">
      <c r="R21475" s="100"/>
      <c r="V21475" s="100"/>
      <c r="Y21475" s="100"/>
    </row>
    <row r="21476">
      <c r="R21476" s="100"/>
      <c r="V21476" s="100"/>
      <c r="Y21476" s="100"/>
    </row>
    <row r="21477">
      <c r="R21477" s="100"/>
      <c r="V21477" s="100"/>
      <c r="Y21477" s="100"/>
    </row>
    <row r="21478">
      <c r="R21478" s="100"/>
      <c r="V21478" s="100"/>
      <c r="Y21478" s="100"/>
    </row>
    <row r="21479">
      <c r="R21479" s="100"/>
      <c r="V21479" s="100"/>
      <c r="Y21479" s="100"/>
    </row>
    <row r="21480">
      <c r="R21480" s="100"/>
      <c r="V21480" s="100"/>
      <c r="Y21480" s="100"/>
    </row>
    <row r="21481">
      <c r="R21481" s="100"/>
      <c r="V21481" s="100"/>
      <c r="Y21481" s="100"/>
    </row>
    <row r="21482">
      <c r="R21482" s="100"/>
      <c r="V21482" s="100"/>
      <c r="Y21482" s="100"/>
    </row>
    <row r="21483">
      <c r="R21483" s="100"/>
      <c r="V21483" s="100"/>
      <c r="Y21483" s="100"/>
    </row>
    <row r="21484">
      <c r="R21484" s="100"/>
      <c r="V21484" s="100"/>
      <c r="Y21484" s="100"/>
    </row>
    <row r="21485">
      <c r="R21485" s="100"/>
      <c r="V21485" s="100"/>
      <c r="Y21485" s="100"/>
    </row>
    <row r="21486">
      <c r="R21486" s="100"/>
      <c r="V21486" s="100"/>
      <c r="Y21486" s="100"/>
    </row>
    <row r="21487">
      <c r="R21487" s="100"/>
      <c r="V21487" s="100"/>
      <c r="Y21487" s="100"/>
    </row>
    <row r="21488">
      <c r="R21488" s="100"/>
      <c r="V21488" s="100"/>
      <c r="Y21488" s="100"/>
    </row>
    <row r="21489">
      <c r="R21489" s="100"/>
      <c r="V21489" s="100"/>
      <c r="Y21489" s="100"/>
    </row>
    <row r="21490">
      <c r="R21490" s="100"/>
      <c r="V21490" s="100"/>
      <c r="Y21490" s="100"/>
    </row>
    <row r="21491">
      <c r="R21491" s="100"/>
      <c r="V21491" s="100"/>
      <c r="Y21491" s="100"/>
    </row>
    <row r="21492">
      <c r="R21492" s="100"/>
      <c r="V21492" s="100"/>
      <c r="Y21492" s="100"/>
    </row>
    <row r="21493">
      <c r="R21493" s="100"/>
      <c r="V21493" s="100"/>
      <c r="Y21493" s="100"/>
    </row>
    <row r="21494">
      <c r="R21494" s="100"/>
      <c r="V21494" s="100"/>
      <c r="Y21494" s="100"/>
    </row>
    <row r="21495">
      <c r="R21495" s="100"/>
      <c r="V21495" s="100"/>
      <c r="Y21495" s="100"/>
    </row>
    <row r="21496">
      <c r="R21496" s="100"/>
      <c r="V21496" s="100"/>
      <c r="Y21496" s="100"/>
    </row>
    <row r="21497">
      <c r="R21497" s="100"/>
      <c r="V21497" s="100"/>
      <c r="Y21497" s="100"/>
    </row>
    <row r="21498">
      <c r="R21498" s="100"/>
      <c r="V21498" s="100"/>
      <c r="Y21498" s="100"/>
    </row>
    <row r="21499">
      <c r="R21499" s="100"/>
      <c r="V21499" s="100"/>
      <c r="Y21499" s="100"/>
    </row>
    <row r="21500">
      <c r="R21500" s="100"/>
      <c r="V21500" s="100"/>
      <c r="Y21500" s="100"/>
    </row>
    <row r="21501">
      <c r="R21501" s="100"/>
      <c r="V21501" s="100"/>
      <c r="Y21501" s="100"/>
    </row>
    <row r="21502">
      <c r="R21502" s="100"/>
      <c r="V21502" s="100"/>
      <c r="Y21502" s="100"/>
    </row>
    <row r="21503">
      <c r="R21503" s="100"/>
      <c r="V21503" s="100"/>
      <c r="Y21503" s="100"/>
    </row>
    <row r="21504">
      <c r="R21504" s="100"/>
      <c r="V21504" s="100"/>
      <c r="Y21504" s="100"/>
    </row>
    <row r="21505">
      <c r="R21505" s="100"/>
      <c r="V21505" s="100"/>
      <c r="Y21505" s="100"/>
    </row>
    <row r="21506">
      <c r="R21506" s="100"/>
      <c r="V21506" s="100"/>
      <c r="Y21506" s="100"/>
    </row>
    <row r="21507">
      <c r="R21507" s="100"/>
      <c r="V21507" s="100"/>
      <c r="Y21507" s="100"/>
    </row>
    <row r="21508">
      <c r="R21508" s="100"/>
      <c r="V21508" s="100"/>
      <c r="Y21508" s="100"/>
    </row>
    <row r="21509">
      <c r="R21509" s="100"/>
      <c r="V21509" s="100"/>
      <c r="Y21509" s="100"/>
    </row>
    <row r="21510">
      <c r="R21510" s="100"/>
      <c r="V21510" s="100"/>
      <c r="Y21510" s="100"/>
    </row>
    <row r="21511">
      <c r="R21511" s="100"/>
      <c r="V21511" s="100"/>
      <c r="Y21511" s="100"/>
    </row>
    <row r="21512">
      <c r="R21512" s="100"/>
      <c r="V21512" s="100"/>
      <c r="Y21512" s="100"/>
    </row>
    <row r="21513">
      <c r="R21513" s="100"/>
      <c r="V21513" s="100"/>
      <c r="Y21513" s="100"/>
    </row>
    <row r="21514">
      <c r="R21514" s="100"/>
      <c r="V21514" s="100"/>
      <c r="Y21514" s="100"/>
    </row>
    <row r="21515">
      <c r="R21515" s="100"/>
      <c r="V21515" s="100"/>
      <c r="Y21515" s="100"/>
    </row>
    <row r="21516">
      <c r="R21516" s="100"/>
      <c r="V21516" s="100"/>
      <c r="Y21516" s="100"/>
    </row>
    <row r="21517">
      <c r="R21517" s="100"/>
      <c r="V21517" s="100"/>
      <c r="Y21517" s="100"/>
    </row>
    <row r="21518">
      <c r="R21518" s="100"/>
      <c r="V21518" s="100"/>
      <c r="Y21518" s="100"/>
    </row>
    <row r="21519">
      <c r="R21519" s="100"/>
      <c r="V21519" s="100"/>
      <c r="Y21519" s="100"/>
    </row>
    <row r="21520">
      <c r="R21520" s="100"/>
      <c r="V21520" s="100"/>
      <c r="Y21520" s="100"/>
    </row>
    <row r="21521">
      <c r="R21521" s="100"/>
      <c r="V21521" s="100"/>
      <c r="Y21521" s="100"/>
    </row>
    <row r="21522">
      <c r="R21522" s="100"/>
      <c r="V21522" s="100"/>
      <c r="Y21522" s="100"/>
    </row>
    <row r="21523">
      <c r="R21523" s="100"/>
      <c r="V21523" s="100"/>
      <c r="Y21523" s="100"/>
    </row>
    <row r="21524">
      <c r="R21524" s="100"/>
      <c r="V21524" s="100"/>
      <c r="Y21524" s="100"/>
    </row>
    <row r="21525">
      <c r="R21525" s="100"/>
      <c r="V21525" s="100"/>
      <c r="Y21525" s="100"/>
    </row>
    <row r="21526">
      <c r="R21526" s="100"/>
      <c r="V21526" s="100"/>
      <c r="Y21526" s="100"/>
    </row>
    <row r="21527">
      <c r="R21527" s="100"/>
      <c r="V21527" s="100"/>
      <c r="Y21527" s="100"/>
    </row>
    <row r="21528">
      <c r="R21528" s="100"/>
      <c r="V21528" s="100"/>
      <c r="Y21528" s="100"/>
    </row>
    <row r="21529">
      <c r="R21529" s="100"/>
      <c r="V21529" s="100"/>
      <c r="Y21529" s="100"/>
    </row>
    <row r="21530">
      <c r="R21530" s="100"/>
      <c r="V21530" s="100"/>
      <c r="Y21530" s="100"/>
    </row>
    <row r="21531">
      <c r="R21531" s="100"/>
      <c r="V21531" s="100"/>
      <c r="Y21531" s="100"/>
    </row>
    <row r="21532">
      <c r="R21532" s="100"/>
      <c r="V21532" s="100"/>
      <c r="Y21532" s="100"/>
    </row>
    <row r="21533">
      <c r="R21533" s="100"/>
      <c r="V21533" s="100"/>
      <c r="Y21533" s="100"/>
    </row>
    <row r="21534">
      <c r="R21534" s="100"/>
      <c r="V21534" s="100"/>
      <c r="Y21534" s="100"/>
    </row>
    <row r="21535">
      <c r="R21535" s="100"/>
      <c r="V21535" s="100"/>
      <c r="Y21535" s="100"/>
    </row>
    <row r="21536">
      <c r="R21536" s="100"/>
      <c r="V21536" s="100"/>
      <c r="Y21536" s="100"/>
    </row>
    <row r="21537">
      <c r="R21537" s="100"/>
      <c r="V21537" s="100"/>
      <c r="Y21537" s="100"/>
    </row>
    <row r="21538">
      <c r="R21538" s="100"/>
      <c r="V21538" s="100"/>
      <c r="Y21538" s="100"/>
    </row>
    <row r="21539">
      <c r="R21539" s="100"/>
      <c r="V21539" s="100"/>
      <c r="Y21539" s="100"/>
    </row>
    <row r="21540">
      <c r="R21540" s="100"/>
      <c r="V21540" s="100"/>
      <c r="Y21540" s="100"/>
    </row>
    <row r="21541">
      <c r="R21541" s="100"/>
      <c r="V21541" s="100"/>
      <c r="Y21541" s="100"/>
    </row>
    <row r="21542">
      <c r="R21542" s="100"/>
      <c r="V21542" s="100"/>
      <c r="Y21542" s="100"/>
    </row>
    <row r="21543">
      <c r="R21543" s="100"/>
      <c r="V21543" s="100"/>
      <c r="Y21543" s="100"/>
    </row>
    <row r="21544">
      <c r="R21544" s="100"/>
      <c r="V21544" s="100"/>
      <c r="Y21544" s="100"/>
    </row>
    <row r="21545">
      <c r="R21545" s="100"/>
      <c r="V21545" s="100"/>
      <c r="Y21545" s="100"/>
    </row>
    <row r="21546">
      <c r="R21546" s="100"/>
      <c r="V21546" s="100"/>
      <c r="Y21546" s="100"/>
    </row>
    <row r="21547">
      <c r="R21547" s="100"/>
      <c r="V21547" s="100"/>
      <c r="Y21547" s="100"/>
    </row>
    <row r="21548">
      <c r="R21548" s="100"/>
      <c r="V21548" s="100"/>
      <c r="Y21548" s="100"/>
    </row>
    <row r="21549">
      <c r="R21549" s="100"/>
      <c r="V21549" s="100"/>
      <c r="Y21549" s="100"/>
    </row>
    <row r="21550">
      <c r="R21550" s="100"/>
      <c r="V21550" s="100"/>
      <c r="Y21550" s="100"/>
    </row>
    <row r="21551">
      <c r="R21551" s="100"/>
      <c r="V21551" s="100"/>
      <c r="Y21551" s="100"/>
    </row>
    <row r="21552">
      <c r="R21552" s="100"/>
      <c r="V21552" s="100"/>
      <c r="Y21552" s="100"/>
    </row>
    <row r="21553">
      <c r="R21553" s="100"/>
      <c r="V21553" s="100"/>
      <c r="Y21553" s="100"/>
    </row>
    <row r="21554">
      <c r="R21554" s="100"/>
      <c r="V21554" s="100"/>
      <c r="Y21554" s="100"/>
    </row>
    <row r="21555">
      <c r="R21555" s="100"/>
      <c r="V21555" s="100"/>
      <c r="Y21555" s="100"/>
    </row>
    <row r="21556">
      <c r="R21556" s="100"/>
      <c r="V21556" s="100"/>
      <c r="Y21556" s="100"/>
    </row>
    <row r="21557">
      <c r="R21557" s="100"/>
      <c r="V21557" s="100"/>
      <c r="Y21557" s="100"/>
    </row>
    <row r="21558">
      <c r="R21558" s="100"/>
      <c r="V21558" s="100"/>
      <c r="Y21558" s="100"/>
    </row>
    <row r="21559">
      <c r="R21559" s="100"/>
      <c r="V21559" s="100"/>
      <c r="Y21559" s="100"/>
    </row>
    <row r="21560">
      <c r="R21560" s="100"/>
      <c r="V21560" s="100"/>
      <c r="Y21560" s="100"/>
    </row>
    <row r="21561">
      <c r="R21561" s="100"/>
      <c r="V21561" s="100"/>
      <c r="Y21561" s="100"/>
    </row>
    <row r="21562">
      <c r="R21562" s="100"/>
      <c r="V21562" s="100"/>
      <c r="Y21562" s="100"/>
    </row>
    <row r="21563">
      <c r="R21563" s="100"/>
      <c r="V21563" s="100"/>
      <c r="Y21563" s="100"/>
    </row>
    <row r="21564">
      <c r="R21564" s="100"/>
      <c r="V21564" s="100"/>
      <c r="Y21564" s="100"/>
    </row>
    <row r="21565">
      <c r="R21565" s="100"/>
      <c r="V21565" s="100"/>
      <c r="Y21565" s="100"/>
    </row>
    <row r="21566">
      <c r="R21566" s="100"/>
      <c r="V21566" s="100"/>
      <c r="Y21566" s="100"/>
    </row>
    <row r="21567">
      <c r="R21567" s="100"/>
      <c r="V21567" s="100"/>
      <c r="Y21567" s="100"/>
    </row>
    <row r="21568">
      <c r="R21568" s="100"/>
      <c r="V21568" s="100"/>
      <c r="Y21568" s="100"/>
    </row>
    <row r="21569">
      <c r="R21569" s="100"/>
      <c r="V21569" s="100"/>
      <c r="Y21569" s="100"/>
    </row>
    <row r="21570">
      <c r="R21570" s="100"/>
      <c r="V21570" s="100"/>
      <c r="Y21570" s="100"/>
    </row>
    <row r="21571">
      <c r="R21571" s="100"/>
      <c r="V21571" s="100"/>
      <c r="Y21571" s="100"/>
    </row>
    <row r="21572">
      <c r="R21572" s="100"/>
      <c r="V21572" s="100"/>
      <c r="Y21572" s="100"/>
    </row>
    <row r="21573">
      <c r="R21573" s="100"/>
      <c r="V21573" s="100"/>
      <c r="Y21573" s="100"/>
    </row>
    <row r="21574">
      <c r="R21574" s="100"/>
      <c r="V21574" s="100"/>
      <c r="Y21574" s="100"/>
    </row>
    <row r="21575">
      <c r="R21575" s="100"/>
      <c r="V21575" s="100"/>
      <c r="Y21575" s="100"/>
    </row>
    <row r="21576">
      <c r="R21576" s="100"/>
      <c r="V21576" s="100"/>
      <c r="Y21576" s="100"/>
    </row>
    <row r="21577">
      <c r="R21577" s="100"/>
      <c r="V21577" s="100"/>
      <c r="Y21577" s="100"/>
    </row>
    <row r="21578">
      <c r="R21578" s="100"/>
      <c r="V21578" s="100"/>
      <c r="Y21578" s="100"/>
    </row>
    <row r="21579">
      <c r="R21579" s="100"/>
      <c r="V21579" s="100"/>
      <c r="Y21579" s="100"/>
    </row>
    <row r="21580">
      <c r="R21580" s="100"/>
      <c r="V21580" s="100"/>
      <c r="Y21580" s="100"/>
    </row>
    <row r="21581">
      <c r="R21581" s="100"/>
      <c r="V21581" s="100"/>
      <c r="Y21581" s="100"/>
    </row>
    <row r="21582">
      <c r="R21582" s="100"/>
      <c r="V21582" s="100"/>
      <c r="Y21582" s="100"/>
    </row>
    <row r="21583">
      <c r="R21583" s="100"/>
      <c r="V21583" s="100"/>
      <c r="Y21583" s="100"/>
    </row>
    <row r="21584">
      <c r="R21584" s="100"/>
      <c r="V21584" s="100"/>
      <c r="Y21584" s="100"/>
    </row>
    <row r="21585">
      <c r="R21585" s="100"/>
      <c r="V21585" s="100"/>
      <c r="Y21585" s="100"/>
    </row>
    <row r="21586">
      <c r="R21586" s="100"/>
      <c r="V21586" s="100"/>
      <c r="Y21586" s="100"/>
    </row>
    <row r="21587">
      <c r="R21587" s="100"/>
      <c r="V21587" s="100"/>
      <c r="Y21587" s="100"/>
    </row>
    <row r="21588">
      <c r="R21588" s="100"/>
      <c r="V21588" s="100"/>
      <c r="Y21588" s="100"/>
    </row>
    <row r="21589">
      <c r="R21589" s="100"/>
      <c r="V21589" s="100"/>
      <c r="Y21589" s="100"/>
    </row>
    <row r="21590">
      <c r="R21590" s="100"/>
      <c r="V21590" s="100"/>
      <c r="Y21590" s="100"/>
    </row>
    <row r="21591">
      <c r="R21591" s="100"/>
      <c r="V21591" s="100"/>
      <c r="Y21591" s="100"/>
    </row>
    <row r="21592">
      <c r="R21592" s="100"/>
      <c r="V21592" s="100"/>
      <c r="Y21592" s="100"/>
    </row>
    <row r="21593">
      <c r="R21593" s="100"/>
      <c r="V21593" s="100"/>
      <c r="Y21593" s="100"/>
    </row>
    <row r="21594">
      <c r="R21594" s="100"/>
      <c r="V21594" s="100"/>
      <c r="Y21594" s="100"/>
    </row>
    <row r="21595">
      <c r="R21595" s="100"/>
      <c r="V21595" s="100"/>
      <c r="Y21595" s="100"/>
    </row>
    <row r="21596">
      <c r="R21596" s="100"/>
      <c r="V21596" s="100"/>
      <c r="Y21596" s="100"/>
    </row>
    <row r="21597">
      <c r="R21597" s="100"/>
      <c r="V21597" s="100"/>
      <c r="Y21597" s="100"/>
    </row>
    <row r="21598">
      <c r="R21598" s="100"/>
      <c r="V21598" s="100"/>
      <c r="Y21598" s="100"/>
    </row>
    <row r="21599">
      <c r="R21599" s="100"/>
      <c r="V21599" s="100"/>
      <c r="Y21599" s="100"/>
    </row>
    <row r="21600">
      <c r="R21600" s="100"/>
      <c r="V21600" s="100"/>
      <c r="Y21600" s="100"/>
    </row>
    <row r="21601">
      <c r="R21601" s="100"/>
      <c r="V21601" s="100"/>
      <c r="Y21601" s="100"/>
    </row>
    <row r="21602">
      <c r="R21602" s="100"/>
      <c r="V21602" s="100"/>
      <c r="Y21602" s="100"/>
    </row>
    <row r="21603">
      <c r="R21603" s="100"/>
      <c r="V21603" s="100"/>
      <c r="Y21603" s="100"/>
    </row>
    <row r="21604">
      <c r="R21604" s="100"/>
      <c r="V21604" s="100"/>
      <c r="Y21604" s="100"/>
    </row>
    <row r="21605">
      <c r="R21605" s="100"/>
      <c r="V21605" s="100"/>
      <c r="Y21605" s="100"/>
    </row>
    <row r="21606">
      <c r="R21606" s="100"/>
      <c r="V21606" s="100"/>
      <c r="Y21606" s="100"/>
    </row>
    <row r="21607">
      <c r="R21607" s="100"/>
      <c r="V21607" s="100"/>
      <c r="Y21607" s="100"/>
    </row>
    <row r="21608">
      <c r="R21608" s="100"/>
      <c r="V21608" s="100"/>
      <c r="Y21608" s="100"/>
    </row>
    <row r="21609">
      <c r="R21609" s="100"/>
      <c r="V21609" s="100"/>
      <c r="Y21609" s="100"/>
    </row>
    <row r="21610">
      <c r="R21610" s="100"/>
      <c r="V21610" s="100"/>
      <c r="Y21610" s="100"/>
    </row>
    <row r="21611">
      <c r="R21611" s="100"/>
      <c r="V21611" s="100"/>
      <c r="Y21611" s="100"/>
    </row>
    <row r="21612">
      <c r="R21612" s="100"/>
      <c r="V21612" s="100"/>
      <c r="Y21612" s="100"/>
    </row>
    <row r="21613">
      <c r="R21613" s="100"/>
      <c r="V21613" s="100"/>
      <c r="Y21613" s="100"/>
    </row>
    <row r="21614">
      <c r="R21614" s="100"/>
      <c r="V21614" s="100"/>
      <c r="Y21614" s="100"/>
    </row>
    <row r="21615">
      <c r="R21615" s="100"/>
      <c r="V21615" s="100"/>
      <c r="Y21615" s="100"/>
    </row>
    <row r="21616">
      <c r="R21616" s="100"/>
      <c r="V21616" s="100"/>
      <c r="Y21616" s="100"/>
    </row>
    <row r="21617">
      <c r="R21617" s="100"/>
      <c r="V21617" s="100"/>
      <c r="Y21617" s="100"/>
    </row>
    <row r="21618">
      <c r="R21618" s="100"/>
      <c r="V21618" s="100"/>
      <c r="Y21618" s="100"/>
    </row>
    <row r="21619">
      <c r="R21619" s="100"/>
      <c r="V21619" s="100"/>
      <c r="Y21619" s="100"/>
    </row>
    <row r="21620">
      <c r="R21620" s="100"/>
      <c r="V21620" s="100"/>
      <c r="Y21620" s="100"/>
    </row>
    <row r="21621">
      <c r="R21621" s="100"/>
      <c r="V21621" s="100"/>
      <c r="Y21621" s="100"/>
    </row>
    <row r="21622">
      <c r="R21622" s="100"/>
      <c r="V21622" s="100"/>
      <c r="Y21622" s="100"/>
    </row>
    <row r="21623">
      <c r="R21623" s="100"/>
      <c r="V21623" s="100"/>
      <c r="Y21623" s="100"/>
    </row>
    <row r="21624">
      <c r="R21624" s="100"/>
      <c r="V21624" s="100"/>
      <c r="Y21624" s="100"/>
    </row>
    <row r="21625">
      <c r="R21625" s="100"/>
      <c r="V21625" s="100"/>
      <c r="Y21625" s="100"/>
    </row>
    <row r="21626">
      <c r="R21626" s="100"/>
      <c r="V21626" s="100"/>
      <c r="Y21626" s="100"/>
    </row>
    <row r="21627">
      <c r="R21627" s="100"/>
      <c r="V21627" s="100"/>
      <c r="Y21627" s="100"/>
    </row>
    <row r="21628">
      <c r="R21628" s="100"/>
      <c r="V21628" s="100"/>
      <c r="Y21628" s="100"/>
    </row>
    <row r="21629">
      <c r="R21629" s="100"/>
      <c r="V21629" s="100"/>
      <c r="Y21629" s="100"/>
    </row>
    <row r="21630">
      <c r="R21630" s="100"/>
      <c r="V21630" s="100"/>
      <c r="Y21630" s="100"/>
    </row>
    <row r="21631">
      <c r="R21631" s="100"/>
      <c r="V21631" s="100"/>
      <c r="Y21631" s="100"/>
    </row>
    <row r="21632">
      <c r="R21632" s="100"/>
      <c r="V21632" s="100"/>
      <c r="Y21632" s="100"/>
    </row>
    <row r="21633">
      <c r="R21633" s="100"/>
      <c r="V21633" s="100"/>
      <c r="Y21633" s="100"/>
    </row>
    <row r="21634">
      <c r="R21634" s="100"/>
      <c r="V21634" s="100"/>
      <c r="Y21634" s="100"/>
    </row>
    <row r="21635">
      <c r="R21635" s="100"/>
      <c r="V21635" s="100"/>
      <c r="Y21635" s="100"/>
    </row>
    <row r="21636">
      <c r="R21636" s="100"/>
      <c r="V21636" s="100"/>
      <c r="Y21636" s="100"/>
    </row>
    <row r="21637">
      <c r="R21637" s="100"/>
      <c r="V21637" s="100"/>
      <c r="Y21637" s="100"/>
    </row>
    <row r="21638">
      <c r="R21638" s="100"/>
      <c r="V21638" s="100"/>
      <c r="Y21638" s="100"/>
    </row>
    <row r="21639">
      <c r="R21639" s="100"/>
      <c r="V21639" s="100"/>
      <c r="Y21639" s="100"/>
    </row>
    <row r="21640">
      <c r="R21640" s="100"/>
      <c r="V21640" s="100"/>
      <c r="Y21640" s="100"/>
    </row>
    <row r="21641">
      <c r="R21641" s="100"/>
      <c r="V21641" s="100"/>
      <c r="Y21641" s="100"/>
    </row>
    <row r="21642">
      <c r="R21642" s="100"/>
      <c r="V21642" s="100"/>
      <c r="Y21642" s="100"/>
    </row>
    <row r="21643">
      <c r="R21643" s="100"/>
      <c r="V21643" s="100"/>
      <c r="Y21643" s="100"/>
    </row>
    <row r="21644">
      <c r="R21644" s="100"/>
      <c r="V21644" s="100"/>
      <c r="Y21644" s="100"/>
    </row>
    <row r="21645">
      <c r="R21645" s="100"/>
      <c r="V21645" s="100"/>
      <c r="Y21645" s="100"/>
    </row>
    <row r="21646">
      <c r="R21646" s="100"/>
      <c r="V21646" s="100"/>
      <c r="Y21646" s="100"/>
    </row>
    <row r="21647">
      <c r="R21647" s="100"/>
      <c r="V21647" s="100"/>
      <c r="Y21647" s="100"/>
    </row>
    <row r="21648">
      <c r="R21648" s="100"/>
      <c r="V21648" s="100"/>
      <c r="Y21648" s="100"/>
    </row>
    <row r="21649">
      <c r="R21649" s="100"/>
      <c r="V21649" s="100"/>
      <c r="Y21649" s="100"/>
    </row>
    <row r="21650">
      <c r="R21650" s="100"/>
      <c r="V21650" s="100"/>
      <c r="Y21650" s="100"/>
    </row>
    <row r="21651">
      <c r="R21651" s="100"/>
      <c r="V21651" s="100"/>
      <c r="Y21651" s="100"/>
    </row>
    <row r="21652">
      <c r="R21652" s="100"/>
      <c r="V21652" s="100"/>
      <c r="Y21652" s="100"/>
    </row>
    <row r="21653">
      <c r="R21653" s="100"/>
      <c r="V21653" s="100"/>
      <c r="Y21653" s="100"/>
    </row>
    <row r="21654">
      <c r="R21654" s="100"/>
      <c r="V21654" s="100"/>
      <c r="Y21654" s="100"/>
    </row>
    <row r="21655">
      <c r="R21655" s="100"/>
      <c r="V21655" s="100"/>
      <c r="Y21655" s="100"/>
    </row>
    <row r="21656">
      <c r="R21656" s="100"/>
      <c r="V21656" s="100"/>
      <c r="Y21656" s="100"/>
    </row>
    <row r="21657">
      <c r="R21657" s="100"/>
      <c r="V21657" s="100"/>
      <c r="Y21657" s="100"/>
    </row>
    <row r="21658">
      <c r="R21658" s="100"/>
      <c r="V21658" s="100"/>
      <c r="Y21658" s="100"/>
    </row>
    <row r="21659">
      <c r="R21659" s="100"/>
      <c r="V21659" s="100"/>
      <c r="Y21659" s="100"/>
    </row>
    <row r="21660">
      <c r="R21660" s="100"/>
      <c r="V21660" s="100"/>
      <c r="Y21660" s="100"/>
    </row>
    <row r="21661">
      <c r="R21661" s="100"/>
      <c r="V21661" s="100"/>
      <c r="Y21661" s="100"/>
    </row>
    <row r="21662">
      <c r="R21662" s="100"/>
      <c r="V21662" s="100"/>
      <c r="Y21662" s="100"/>
    </row>
    <row r="21663">
      <c r="R21663" s="100"/>
      <c r="V21663" s="100"/>
      <c r="Y21663" s="100"/>
    </row>
    <row r="21664">
      <c r="R21664" s="100"/>
      <c r="V21664" s="100"/>
      <c r="Y21664" s="100"/>
    </row>
    <row r="21665">
      <c r="R21665" s="100"/>
      <c r="V21665" s="100"/>
      <c r="Y21665" s="100"/>
    </row>
    <row r="21666">
      <c r="R21666" s="100"/>
      <c r="V21666" s="100"/>
      <c r="Y21666" s="100"/>
    </row>
    <row r="21667">
      <c r="R21667" s="100"/>
      <c r="V21667" s="100"/>
      <c r="Y21667" s="100"/>
    </row>
    <row r="21668">
      <c r="R21668" s="100"/>
      <c r="V21668" s="100"/>
      <c r="Y21668" s="100"/>
    </row>
    <row r="21669">
      <c r="R21669" s="100"/>
      <c r="V21669" s="100"/>
      <c r="Y21669" s="100"/>
    </row>
    <row r="21670">
      <c r="R21670" s="100"/>
      <c r="V21670" s="100"/>
      <c r="Y21670" s="100"/>
    </row>
    <row r="21671">
      <c r="R21671" s="100"/>
      <c r="V21671" s="100"/>
      <c r="Y21671" s="100"/>
    </row>
    <row r="21672">
      <c r="R21672" s="100"/>
      <c r="V21672" s="100"/>
      <c r="Y21672" s="100"/>
    </row>
    <row r="21673">
      <c r="R21673" s="100"/>
      <c r="V21673" s="100"/>
      <c r="Y21673" s="100"/>
    </row>
    <row r="21674">
      <c r="R21674" s="100"/>
      <c r="V21674" s="100"/>
      <c r="Y21674" s="100"/>
    </row>
    <row r="21675">
      <c r="R21675" s="100"/>
      <c r="V21675" s="100"/>
      <c r="Y21675" s="100"/>
    </row>
    <row r="21676">
      <c r="R21676" s="100"/>
      <c r="V21676" s="100"/>
      <c r="Y21676" s="100"/>
    </row>
    <row r="21677">
      <c r="R21677" s="100"/>
      <c r="V21677" s="100"/>
      <c r="Y21677" s="100"/>
    </row>
    <row r="21678">
      <c r="R21678" s="100"/>
      <c r="V21678" s="100"/>
      <c r="Y21678" s="100"/>
    </row>
    <row r="21679">
      <c r="R21679" s="100"/>
      <c r="V21679" s="100"/>
      <c r="Y21679" s="100"/>
    </row>
    <row r="21680">
      <c r="R21680" s="100"/>
      <c r="V21680" s="100"/>
      <c r="Y21680" s="100"/>
    </row>
    <row r="21681">
      <c r="R21681" s="100"/>
      <c r="V21681" s="100"/>
      <c r="Y21681" s="100"/>
    </row>
    <row r="21682">
      <c r="R21682" s="100"/>
      <c r="V21682" s="100"/>
      <c r="Y21682" s="100"/>
    </row>
    <row r="21683">
      <c r="R21683" s="100"/>
      <c r="V21683" s="100"/>
      <c r="Y21683" s="100"/>
    </row>
    <row r="21684">
      <c r="R21684" s="100"/>
      <c r="V21684" s="100"/>
      <c r="Y21684" s="100"/>
    </row>
    <row r="21685">
      <c r="R21685" s="100"/>
      <c r="V21685" s="100"/>
      <c r="Y21685" s="100"/>
    </row>
    <row r="21686">
      <c r="R21686" s="100"/>
      <c r="V21686" s="100"/>
      <c r="Y21686" s="100"/>
    </row>
    <row r="21687">
      <c r="R21687" s="100"/>
      <c r="V21687" s="100"/>
      <c r="Y21687" s="100"/>
    </row>
    <row r="21688">
      <c r="R21688" s="100"/>
      <c r="V21688" s="100"/>
      <c r="Y21688" s="100"/>
    </row>
    <row r="21689">
      <c r="R21689" s="100"/>
      <c r="V21689" s="100"/>
      <c r="Y21689" s="100"/>
    </row>
    <row r="21690">
      <c r="R21690" s="100"/>
      <c r="V21690" s="100"/>
      <c r="Y21690" s="100"/>
    </row>
    <row r="21691">
      <c r="R21691" s="100"/>
      <c r="V21691" s="100"/>
      <c r="Y21691" s="100"/>
    </row>
    <row r="21692">
      <c r="R21692" s="100"/>
      <c r="V21692" s="100"/>
      <c r="Y21692" s="100"/>
    </row>
    <row r="21693">
      <c r="R21693" s="100"/>
      <c r="V21693" s="100"/>
      <c r="Y21693" s="100"/>
    </row>
    <row r="21694">
      <c r="R21694" s="100"/>
      <c r="V21694" s="100"/>
      <c r="Y21694" s="100"/>
    </row>
    <row r="21695">
      <c r="R21695" s="100"/>
      <c r="V21695" s="100"/>
      <c r="Y21695" s="100"/>
    </row>
    <row r="21696">
      <c r="R21696" s="100"/>
      <c r="V21696" s="100"/>
      <c r="Y21696" s="100"/>
    </row>
    <row r="21697">
      <c r="R21697" s="100"/>
      <c r="V21697" s="100"/>
      <c r="Y21697" s="100"/>
    </row>
    <row r="21698">
      <c r="R21698" s="100"/>
      <c r="V21698" s="100"/>
      <c r="Y21698" s="100"/>
    </row>
    <row r="21699">
      <c r="R21699" s="100"/>
      <c r="V21699" s="100"/>
      <c r="Y21699" s="100"/>
    </row>
    <row r="21700">
      <c r="R21700" s="100"/>
      <c r="V21700" s="100"/>
      <c r="Y21700" s="100"/>
    </row>
    <row r="21701">
      <c r="R21701" s="100"/>
      <c r="V21701" s="100"/>
      <c r="Y21701" s="100"/>
    </row>
    <row r="21702">
      <c r="R21702" s="100"/>
      <c r="V21702" s="100"/>
      <c r="Y21702" s="100"/>
    </row>
    <row r="21703">
      <c r="R21703" s="100"/>
      <c r="V21703" s="100"/>
      <c r="Y21703" s="100"/>
    </row>
    <row r="21704">
      <c r="R21704" s="100"/>
      <c r="V21704" s="100"/>
      <c r="Y21704" s="100"/>
    </row>
    <row r="21705">
      <c r="R21705" s="100"/>
      <c r="V21705" s="100"/>
      <c r="Y21705" s="100"/>
    </row>
    <row r="21706">
      <c r="R21706" s="100"/>
      <c r="V21706" s="100"/>
      <c r="Y21706" s="100"/>
    </row>
    <row r="21707">
      <c r="R21707" s="100"/>
      <c r="V21707" s="100"/>
      <c r="Y21707" s="100"/>
    </row>
    <row r="21708">
      <c r="R21708" s="100"/>
      <c r="V21708" s="100"/>
      <c r="Y21708" s="100"/>
    </row>
    <row r="21709">
      <c r="R21709" s="100"/>
      <c r="V21709" s="100"/>
      <c r="Y21709" s="100"/>
    </row>
    <row r="21710">
      <c r="R21710" s="100"/>
      <c r="V21710" s="100"/>
      <c r="Y21710" s="100"/>
    </row>
    <row r="21711">
      <c r="R21711" s="100"/>
      <c r="V21711" s="100"/>
      <c r="Y21711" s="100"/>
    </row>
    <row r="21712">
      <c r="R21712" s="100"/>
      <c r="V21712" s="100"/>
      <c r="Y21712" s="100"/>
    </row>
    <row r="21713">
      <c r="R21713" s="100"/>
      <c r="V21713" s="100"/>
      <c r="Y21713" s="100"/>
    </row>
    <row r="21714">
      <c r="R21714" s="100"/>
      <c r="V21714" s="100"/>
      <c r="Y21714" s="100"/>
    </row>
    <row r="21715">
      <c r="R21715" s="100"/>
      <c r="V21715" s="100"/>
      <c r="Y21715" s="100"/>
    </row>
    <row r="21716">
      <c r="R21716" s="100"/>
      <c r="V21716" s="100"/>
      <c r="Y21716" s="100"/>
    </row>
    <row r="21717">
      <c r="R21717" s="100"/>
      <c r="V21717" s="100"/>
      <c r="Y21717" s="100"/>
    </row>
    <row r="21718">
      <c r="R21718" s="100"/>
      <c r="V21718" s="100"/>
      <c r="Y21718" s="100"/>
    </row>
    <row r="21719">
      <c r="R21719" s="100"/>
      <c r="V21719" s="100"/>
      <c r="Y21719" s="100"/>
    </row>
    <row r="21720">
      <c r="R21720" s="100"/>
      <c r="V21720" s="100"/>
      <c r="Y21720" s="100"/>
    </row>
    <row r="21721">
      <c r="R21721" s="100"/>
      <c r="V21721" s="100"/>
      <c r="Y21721" s="100"/>
    </row>
    <row r="21722">
      <c r="R21722" s="100"/>
      <c r="V21722" s="100"/>
      <c r="Y21722" s="100"/>
    </row>
    <row r="21723">
      <c r="R21723" s="100"/>
      <c r="V21723" s="100"/>
      <c r="Y21723" s="100"/>
    </row>
    <row r="21724">
      <c r="R21724" s="100"/>
      <c r="V21724" s="100"/>
      <c r="Y21724" s="100"/>
    </row>
    <row r="21725">
      <c r="R21725" s="100"/>
      <c r="V21725" s="100"/>
      <c r="Y21725" s="100"/>
    </row>
    <row r="21726">
      <c r="R21726" s="100"/>
      <c r="V21726" s="100"/>
      <c r="Y21726" s="100"/>
    </row>
    <row r="21727">
      <c r="R21727" s="100"/>
      <c r="V21727" s="100"/>
      <c r="Y21727" s="100"/>
    </row>
    <row r="21728">
      <c r="R21728" s="100"/>
      <c r="V21728" s="100"/>
      <c r="Y21728" s="100"/>
    </row>
    <row r="21729">
      <c r="R21729" s="100"/>
      <c r="V21729" s="100"/>
      <c r="Y21729" s="100"/>
    </row>
    <row r="21730">
      <c r="R21730" s="100"/>
      <c r="V21730" s="100"/>
      <c r="Y21730" s="100"/>
    </row>
    <row r="21731">
      <c r="R21731" s="100"/>
      <c r="V21731" s="100"/>
      <c r="Y21731" s="100"/>
    </row>
    <row r="21732">
      <c r="R21732" s="100"/>
      <c r="V21732" s="100"/>
      <c r="Y21732" s="100"/>
    </row>
    <row r="21733">
      <c r="R21733" s="100"/>
      <c r="V21733" s="100"/>
      <c r="Y21733" s="100"/>
    </row>
    <row r="21734">
      <c r="R21734" s="100"/>
      <c r="V21734" s="100"/>
      <c r="Y21734" s="100"/>
    </row>
    <row r="21735">
      <c r="R21735" s="100"/>
      <c r="V21735" s="100"/>
      <c r="Y21735" s="100"/>
    </row>
    <row r="21736">
      <c r="R21736" s="100"/>
      <c r="V21736" s="100"/>
      <c r="Y21736" s="100"/>
    </row>
    <row r="21737">
      <c r="R21737" s="100"/>
      <c r="V21737" s="100"/>
      <c r="Y21737" s="100"/>
    </row>
    <row r="21738">
      <c r="R21738" s="100"/>
      <c r="V21738" s="100"/>
      <c r="Y21738" s="100"/>
    </row>
    <row r="21739">
      <c r="R21739" s="100"/>
      <c r="V21739" s="100"/>
      <c r="Y21739" s="100"/>
    </row>
    <row r="21740">
      <c r="R21740" s="100"/>
      <c r="V21740" s="100"/>
      <c r="Y21740" s="100"/>
    </row>
    <row r="21741">
      <c r="R21741" s="100"/>
      <c r="V21741" s="100"/>
      <c r="Y21741" s="100"/>
    </row>
    <row r="21742">
      <c r="R21742" s="100"/>
      <c r="V21742" s="100"/>
      <c r="Y21742" s="100"/>
    </row>
    <row r="21743">
      <c r="R21743" s="100"/>
      <c r="V21743" s="100"/>
      <c r="Y21743" s="100"/>
    </row>
    <row r="21744">
      <c r="R21744" s="100"/>
      <c r="V21744" s="100"/>
      <c r="Y21744" s="100"/>
    </row>
    <row r="21745">
      <c r="R21745" s="100"/>
      <c r="V21745" s="100"/>
      <c r="Y21745" s="100"/>
    </row>
    <row r="21746">
      <c r="R21746" s="100"/>
      <c r="V21746" s="100"/>
      <c r="Y21746" s="100"/>
    </row>
    <row r="21747">
      <c r="R21747" s="100"/>
      <c r="V21747" s="100"/>
      <c r="Y21747" s="100"/>
    </row>
    <row r="21748">
      <c r="R21748" s="100"/>
      <c r="V21748" s="100"/>
      <c r="Y21748" s="100"/>
    </row>
    <row r="21749">
      <c r="R21749" s="100"/>
      <c r="V21749" s="100"/>
      <c r="Y21749" s="100"/>
    </row>
    <row r="21750">
      <c r="R21750" s="100"/>
      <c r="V21750" s="100"/>
      <c r="Y21750" s="100"/>
    </row>
    <row r="21751">
      <c r="R21751" s="100"/>
      <c r="V21751" s="100"/>
      <c r="Y21751" s="100"/>
    </row>
    <row r="21752">
      <c r="R21752" s="100"/>
      <c r="V21752" s="100"/>
      <c r="Y21752" s="100"/>
    </row>
    <row r="21753">
      <c r="R21753" s="100"/>
      <c r="V21753" s="100"/>
      <c r="Y21753" s="100"/>
    </row>
    <row r="21754">
      <c r="R21754" s="100"/>
      <c r="V21754" s="100"/>
      <c r="Y21754" s="100"/>
    </row>
    <row r="21755">
      <c r="R21755" s="100"/>
      <c r="V21755" s="100"/>
      <c r="Y21755" s="100"/>
    </row>
    <row r="21756">
      <c r="R21756" s="100"/>
      <c r="V21756" s="100"/>
      <c r="Y21756" s="100"/>
    </row>
    <row r="21757">
      <c r="R21757" s="100"/>
      <c r="V21757" s="100"/>
      <c r="Y21757" s="100"/>
    </row>
    <row r="21758">
      <c r="R21758" s="100"/>
      <c r="V21758" s="100"/>
      <c r="Y21758" s="100"/>
    </row>
    <row r="21759">
      <c r="R21759" s="100"/>
      <c r="V21759" s="100"/>
      <c r="Y21759" s="100"/>
    </row>
    <row r="21760">
      <c r="R21760" s="100"/>
      <c r="V21760" s="100"/>
      <c r="Y21760" s="100"/>
    </row>
    <row r="21761">
      <c r="R21761" s="100"/>
      <c r="V21761" s="100"/>
      <c r="Y21761" s="100"/>
    </row>
    <row r="21762">
      <c r="R21762" s="100"/>
      <c r="V21762" s="100"/>
      <c r="Y21762" s="100"/>
    </row>
    <row r="21763">
      <c r="R21763" s="100"/>
      <c r="V21763" s="100"/>
      <c r="Y21763" s="100"/>
    </row>
    <row r="21764">
      <c r="R21764" s="100"/>
      <c r="V21764" s="100"/>
      <c r="Y21764" s="100"/>
    </row>
    <row r="21765">
      <c r="R21765" s="100"/>
      <c r="V21765" s="100"/>
      <c r="Y21765" s="100"/>
    </row>
    <row r="21766">
      <c r="R21766" s="100"/>
      <c r="V21766" s="100"/>
      <c r="Y21766" s="100"/>
    </row>
    <row r="21767">
      <c r="R21767" s="100"/>
      <c r="V21767" s="100"/>
      <c r="Y21767" s="100"/>
    </row>
    <row r="21768">
      <c r="R21768" s="100"/>
      <c r="V21768" s="100"/>
      <c r="Y21768" s="100"/>
    </row>
    <row r="21769">
      <c r="R21769" s="100"/>
      <c r="V21769" s="100"/>
      <c r="Y21769" s="100"/>
    </row>
    <row r="21770">
      <c r="R21770" s="100"/>
      <c r="V21770" s="100"/>
      <c r="Y21770" s="100"/>
    </row>
    <row r="21771">
      <c r="R21771" s="100"/>
      <c r="V21771" s="100"/>
      <c r="Y21771" s="100"/>
    </row>
    <row r="21772">
      <c r="R21772" s="100"/>
      <c r="V21772" s="100"/>
      <c r="Y21772" s="100"/>
    </row>
    <row r="21773">
      <c r="R21773" s="100"/>
      <c r="V21773" s="100"/>
      <c r="Y21773" s="100"/>
    </row>
    <row r="21774">
      <c r="R21774" s="100"/>
      <c r="V21774" s="100"/>
      <c r="Y21774" s="100"/>
    </row>
    <row r="21775">
      <c r="R21775" s="100"/>
      <c r="V21775" s="100"/>
      <c r="Y21775" s="100"/>
    </row>
    <row r="21776">
      <c r="R21776" s="100"/>
      <c r="V21776" s="100"/>
      <c r="Y21776" s="100"/>
    </row>
    <row r="21777">
      <c r="R21777" s="100"/>
      <c r="V21777" s="100"/>
      <c r="Y21777" s="100"/>
    </row>
    <row r="21778">
      <c r="R21778" s="100"/>
      <c r="V21778" s="100"/>
      <c r="Y21778" s="100"/>
    </row>
    <row r="21779">
      <c r="R21779" s="100"/>
      <c r="V21779" s="100"/>
      <c r="Y21779" s="100"/>
    </row>
    <row r="21780">
      <c r="R21780" s="100"/>
      <c r="V21780" s="100"/>
      <c r="Y21780" s="100"/>
    </row>
    <row r="21781">
      <c r="R21781" s="100"/>
      <c r="V21781" s="100"/>
      <c r="Y21781" s="100"/>
    </row>
    <row r="21782">
      <c r="R21782" s="100"/>
      <c r="V21782" s="100"/>
      <c r="Y21782" s="100"/>
    </row>
    <row r="21783">
      <c r="R21783" s="100"/>
      <c r="V21783" s="100"/>
      <c r="Y21783" s="100"/>
    </row>
    <row r="21784">
      <c r="R21784" s="100"/>
      <c r="V21784" s="100"/>
      <c r="Y21784" s="100"/>
    </row>
    <row r="21785">
      <c r="R21785" s="100"/>
      <c r="V21785" s="100"/>
      <c r="Y21785" s="100"/>
    </row>
    <row r="21786">
      <c r="R21786" s="100"/>
      <c r="V21786" s="100"/>
      <c r="Y21786" s="100"/>
    </row>
    <row r="21787">
      <c r="R21787" s="100"/>
      <c r="V21787" s="100"/>
      <c r="Y21787" s="100"/>
    </row>
    <row r="21788">
      <c r="R21788" s="100"/>
      <c r="V21788" s="100"/>
      <c r="Y21788" s="100"/>
    </row>
    <row r="21789">
      <c r="R21789" s="100"/>
      <c r="V21789" s="100"/>
      <c r="Y21789" s="100"/>
    </row>
    <row r="21790">
      <c r="R21790" s="100"/>
      <c r="V21790" s="100"/>
      <c r="Y21790" s="100"/>
    </row>
    <row r="21791">
      <c r="R21791" s="100"/>
      <c r="V21791" s="100"/>
      <c r="Y21791" s="100"/>
    </row>
    <row r="21792">
      <c r="R21792" s="100"/>
      <c r="V21792" s="100"/>
      <c r="Y21792" s="100"/>
    </row>
    <row r="21793">
      <c r="R21793" s="100"/>
      <c r="V21793" s="100"/>
      <c r="Y21793" s="100"/>
    </row>
    <row r="21794">
      <c r="R21794" s="100"/>
      <c r="V21794" s="100"/>
      <c r="Y21794" s="100"/>
    </row>
    <row r="21795">
      <c r="R21795" s="100"/>
      <c r="V21795" s="100"/>
      <c r="Y21795" s="100"/>
    </row>
    <row r="21796">
      <c r="R21796" s="100"/>
      <c r="V21796" s="100"/>
      <c r="Y21796" s="100"/>
    </row>
    <row r="21797">
      <c r="R21797" s="100"/>
      <c r="V21797" s="100"/>
      <c r="Y21797" s="100"/>
    </row>
    <row r="21798">
      <c r="R21798" s="100"/>
      <c r="V21798" s="100"/>
      <c r="Y21798" s="100"/>
    </row>
    <row r="21799">
      <c r="R21799" s="100"/>
      <c r="V21799" s="100"/>
      <c r="Y21799" s="100"/>
    </row>
    <row r="21800">
      <c r="R21800" s="100"/>
      <c r="V21800" s="100"/>
      <c r="Y21800" s="100"/>
    </row>
    <row r="21801">
      <c r="R21801" s="100"/>
      <c r="V21801" s="100"/>
      <c r="Y21801" s="100"/>
    </row>
    <row r="21802">
      <c r="R21802" s="100"/>
      <c r="V21802" s="100"/>
      <c r="Y21802" s="100"/>
    </row>
    <row r="21803">
      <c r="R21803" s="100"/>
      <c r="V21803" s="100"/>
      <c r="Y21803" s="100"/>
    </row>
    <row r="21804">
      <c r="R21804" s="100"/>
      <c r="V21804" s="100"/>
      <c r="Y21804" s="100"/>
    </row>
    <row r="21805">
      <c r="R21805" s="100"/>
      <c r="V21805" s="100"/>
      <c r="Y21805" s="100"/>
    </row>
    <row r="21806">
      <c r="R21806" s="100"/>
      <c r="V21806" s="100"/>
      <c r="Y21806" s="100"/>
    </row>
    <row r="21807">
      <c r="R21807" s="100"/>
      <c r="V21807" s="100"/>
      <c r="Y21807" s="100"/>
    </row>
    <row r="21808">
      <c r="R21808" s="100"/>
      <c r="V21808" s="100"/>
      <c r="Y21808" s="100"/>
    </row>
    <row r="21809">
      <c r="R21809" s="100"/>
      <c r="V21809" s="100"/>
      <c r="Y21809" s="100"/>
    </row>
    <row r="21810">
      <c r="R21810" s="100"/>
      <c r="V21810" s="100"/>
      <c r="Y21810" s="100"/>
    </row>
    <row r="21811">
      <c r="R21811" s="100"/>
      <c r="V21811" s="100"/>
      <c r="Y21811" s="100"/>
    </row>
    <row r="21812">
      <c r="R21812" s="100"/>
      <c r="V21812" s="100"/>
      <c r="Y21812" s="100"/>
    </row>
    <row r="21813">
      <c r="R21813" s="100"/>
      <c r="V21813" s="100"/>
      <c r="Y21813" s="100"/>
    </row>
    <row r="21814">
      <c r="R21814" s="100"/>
      <c r="V21814" s="100"/>
      <c r="Y21814" s="100"/>
    </row>
    <row r="21815">
      <c r="R21815" s="100"/>
      <c r="V21815" s="100"/>
      <c r="Y21815" s="100"/>
    </row>
    <row r="21816">
      <c r="R21816" s="100"/>
      <c r="V21816" s="100"/>
      <c r="Y21816" s="100"/>
    </row>
    <row r="21817">
      <c r="R21817" s="100"/>
      <c r="V21817" s="100"/>
      <c r="Y21817" s="100"/>
    </row>
    <row r="21818">
      <c r="R21818" s="100"/>
      <c r="V21818" s="100"/>
      <c r="Y21818" s="100"/>
    </row>
    <row r="21819">
      <c r="R21819" s="100"/>
      <c r="V21819" s="100"/>
      <c r="Y21819" s="100"/>
    </row>
    <row r="21820">
      <c r="R21820" s="100"/>
      <c r="V21820" s="100"/>
      <c r="Y21820" s="100"/>
    </row>
    <row r="21821">
      <c r="R21821" s="100"/>
      <c r="V21821" s="100"/>
      <c r="Y21821" s="100"/>
    </row>
    <row r="21822">
      <c r="R21822" s="100"/>
      <c r="V21822" s="100"/>
      <c r="Y21822" s="100"/>
    </row>
    <row r="21823">
      <c r="R21823" s="100"/>
      <c r="V21823" s="100"/>
      <c r="Y21823" s="100"/>
    </row>
    <row r="21824">
      <c r="R21824" s="100"/>
      <c r="V21824" s="100"/>
      <c r="Y21824" s="100"/>
    </row>
    <row r="21825">
      <c r="R21825" s="100"/>
      <c r="V21825" s="100"/>
      <c r="Y21825" s="100"/>
    </row>
    <row r="21826">
      <c r="R21826" s="100"/>
      <c r="V21826" s="100"/>
      <c r="Y21826" s="100"/>
    </row>
    <row r="21827">
      <c r="R21827" s="100"/>
      <c r="V21827" s="100"/>
      <c r="Y21827" s="100"/>
    </row>
    <row r="21828">
      <c r="R21828" s="100"/>
      <c r="V21828" s="100"/>
      <c r="Y21828" s="100"/>
    </row>
    <row r="21829">
      <c r="R21829" s="100"/>
      <c r="V21829" s="100"/>
      <c r="Y21829" s="100"/>
    </row>
    <row r="21830">
      <c r="R21830" s="100"/>
      <c r="V21830" s="100"/>
      <c r="Y21830" s="100"/>
    </row>
    <row r="21831">
      <c r="R21831" s="100"/>
      <c r="V21831" s="100"/>
      <c r="Y21831" s="100"/>
    </row>
    <row r="21832">
      <c r="R21832" s="100"/>
      <c r="V21832" s="100"/>
      <c r="Y21832" s="100"/>
    </row>
    <row r="21833">
      <c r="R21833" s="100"/>
      <c r="V21833" s="100"/>
      <c r="Y21833" s="100"/>
    </row>
    <row r="21834">
      <c r="R21834" s="100"/>
      <c r="V21834" s="100"/>
      <c r="Y21834" s="100"/>
    </row>
    <row r="21835">
      <c r="R21835" s="100"/>
      <c r="V21835" s="100"/>
      <c r="Y21835" s="100"/>
    </row>
    <row r="21836">
      <c r="R21836" s="100"/>
      <c r="V21836" s="100"/>
      <c r="Y21836" s="100"/>
    </row>
    <row r="21837">
      <c r="R21837" s="100"/>
      <c r="V21837" s="100"/>
      <c r="Y21837" s="100"/>
    </row>
    <row r="21838">
      <c r="R21838" s="100"/>
      <c r="V21838" s="100"/>
      <c r="Y21838" s="100"/>
    </row>
    <row r="21839">
      <c r="R21839" s="100"/>
      <c r="V21839" s="100"/>
      <c r="Y21839" s="100"/>
    </row>
    <row r="21840">
      <c r="R21840" s="100"/>
      <c r="V21840" s="100"/>
      <c r="Y21840" s="100"/>
    </row>
    <row r="21841">
      <c r="R21841" s="100"/>
      <c r="V21841" s="100"/>
      <c r="Y21841" s="100"/>
    </row>
    <row r="21842">
      <c r="R21842" s="100"/>
      <c r="V21842" s="100"/>
      <c r="Y21842" s="100"/>
    </row>
    <row r="21843">
      <c r="R21843" s="100"/>
      <c r="V21843" s="100"/>
      <c r="Y21843" s="100"/>
    </row>
    <row r="21844">
      <c r="R21844" s="100"/>
      <c r="V21844" s="100"/>
      <c r="Y21844" s="100"/>
    </row>
    <row r="21845">
      <c r="R21845" s="100"/>
      <c r="V21845" s="100"/>
      <c r="Y21845" s="100"/>
    </row>
    <row r="21846">
      <c r="R21846" s="100"/>
      <c r="V21846" s="100"/>
      <c r="Y21846" s="100"/>
    </row>
    <row r="21847">
      <c r="R21847" s="100"/>
      <c r="V21847" s="100"/>
      <c r="Y21847" s="100"/>
    </row>
    <row r="21848">
      <c r="R21848" s="100"/>
      <c r="V21848" s="100"/>
      <c r="Y21848" s="100"/>
    </row>
    <row r="21849">
      <c r="R21849" s="100"/>
      <c r="V21849" s="100"/>
      <c r="Y21849" s="100"/>
    </row>
    <row r="21850">
      <c r="R21850" s="100"/>
      <c r="V21850" s="100"/>
      <c r="Y21850" s="100"/>
    </row>
    <row r="21851">
      <c r="R21851" s="100"/>
      <c r="V21851" s="100"/>
      <c r="Y21851" s="100"/>
    </row>
    <row r="21852">
      <c r="R21852" s="100"/>
      <c r="V21852" s="100"/>
      <c r="Y21852" s="100"/>
    </row>
    <row r="21853">
      <c r="R21853" s="100"/>
      <c r="V21853" s="100"/>
      <c r="Y21853" s="100"/>
    </row>
    <row r="21854">
      <c r="R21854" s="100"/>
      <c r="V21854" s="100"/>
      <c r="Y21854" s="100"/>
    </row>
    <row r="21855">
      <c r="R21855" s="100"/>
      <c r="V21855" s="100"/>
      <c r="Y21855" s="100"/>
    </row>
    <row r="21856">
      <c r="R21856" s="100"/>
      <c r="V21856" s="100"/>
      <c r="Y21856" s="100"/>
    </row>
    <row r="21857">
      <c r="R21857" s="100"/>
      <c r="V21857" s="100"/>
      <c r="Y21857" s="100"/>
    </row>
    <row r="21858">
      <c r="R21858" s="100"/>
      <c r="V21858" s="100"/>
      <c r="Y21858" s="100"/>
    </row>
    <row r="21859">
      <c r="R21859" s="100"/>
      <c r="V21859" s="100"/>
      <c r="Y21859" s="100"/>
    </row>
    <row r="21860">
      <c r="R21860" s="100"/>
      <c r="V21860" s="100"/>
      <c r="Y21860" s="100"/>
    </row>
    <row r="21861">
      <c r="R21861" s="100"/>
      <c r="V21861" s="100"/>
      <c r="Y21861" s="100"/>
    </row>
    <row r="21862">
      <c r="R21862" s="100"/>
      <c r="V21862" s="100"/>
      <c r="Y21862" s="100"/>
    </row>
    <row r="21863">
      <c r="R21863" s="100"/>
      <c r="V21863" s="100"/>
      <c r="Y21863" s="100"/>
    </row>
    <row r="21864">
      <c r="R21864" s="100"/>
      <c r="V21864" s="100"/>
      <c r="Y21864" s="100"/>
    </row>
    <row r="21865">
      <c r="R21865" s="100"/>
      <c r="V21865" s="100"/>
      <c r="Y21865" s="100"/>
    </row>
    <row r="21866">
      <c r="R21866" s="100"/>
      <c r="V21866" s="100"/>
      <c r="Y21866" s="100"/>
    </row>
    <row r="21867">
      <c r="R21867" s="100"/>
      <c r="V21867" s="100"/>
      <c r="Y21867" s="100"/>
    </row>
    <row r="21868">
      <c r="R21868" s="100"/>
      <c r="V21868" s="100"/>
      <c r="Y21868" s="100"/>
    </row>
    <row r="21869">
      <c r="R21869" s="100"/>
      <c r="V21869" s="100"/>
      <c r="Y21869" s="100"/>
    </row>
    <row r="21870">
      <c r="R21870" s="100"/>
      <c r="V21870" s="100"/>
      <c r="Y21870" s="100"/>
    </row>
    <row r="21871">
      <c r="R21871" s="100"/>
      <c r="V21871" s="100"/>
      <c r="Y21871" s="100"/>
    </row>
    <row r="21872">
      <c r="R21872" s="100"/>
      <c r="V21872" s="100"/>
      <c r="Y21872" s="100"/>
    </row>
    <row r="21873">
      <c r="R21873" s="100"/>
      <c r="V21873" s="100"/>
      <c r="Y21873" s="100"/>
    </row>
    <row r="21874">
      <c r="R21874" s="100"/>
      <c r="V21874" s="100"/>
      <c r="Y21874" s="100"/>
    </row>
    <row r="21875">
      <c r="R21875" s="100"/>
      <c r="V21875" s="100"/>
      <c r="Y21875" s="100"/>
    </row>
    <row r="21876">
      <c r="R21876" s="100"/>
      <c r="V21876" s="100"/>
      <c r="Y21876" s="100"/>
    </row>
    <row r="21877">
      <c r="R21877" s="100"/>
      <c r="V21877" s="100"/>
      <c r="Y21877" s="100"/>
    </row>
    <row r="21878">
      <c r="R21878" s="100"/>
      <c r="V21878" s="100"/>
      <c r="Y21878" s="100"/>
    </row>
    <row r="21879">
      <c r="R21879" s="100"/>
      <c r="V21879" s="100"/>
      <c r="Y21879" s="100"/>
    </row>
    <row r="21880">
      <c r="R21880" s="100"/>
      <c r="V21880" s="100"/>
      <c r="Y21880" s="100"/>
    </row>
    <row r="21881">
      <c r="R21881" s="100"/>
      <c r="V21881" s="100"/>
      <c r="Y21881" s="100"/>
    </row>
    <row r="21882">
      <c r="R21882" s="100"/>
      <c r="V21882" s="100"/>
      <c r="Y21882" s="100"/>
    </row>
    <row r="21883">
      <c r="R21883" s="100"/>
      <c r="V21883" s="100"/>
      <c r="Y21883" s="100"/>
    </row>
    <row r="21884">
      <c r="R21884" s="100"/>
      <c r="V21884" s="100"/>
      <c r="Y21884" s="100"/>
    </row>
    <row r="21885">
      <c r="R21885" s="100"/>
      <c r="V21885" s="100"/>
      <c r="Y21885" s="100"/>
    </row>
    <row r="21886">
      <c r="R21886" s="100"/>
      <c r="V21886" s="100"/>
      <c r="Y21886" s="100"/>
    </row>
    <row r="21887">
      <c r="R21887" s="100"/>
      <c r="V21887" s="100"/>
      <c r="Y21887" s="100"/>
    </row>
    <row r="21888">
      <c r="R21888" s="100"/>
      <c r="V21888" s="100"/>
      <c r="Y21888" s="100"/>
    </row>
    <row r="21889">
      <c r="R21889" s="100"/>
      <c r="V21889" s="100"/>
      <c r="Y21889" s="100"/>
    </row>
    <row r="21890">
      <c r="R21890" s="100"/>
      <c r="V21890" s="100"/>
      <c r="Y21890" s="100"/>
    </row>
    <row r="21891">
      <c r="R21891" s="100"/>
      <c r="V21891" s="100"/>
      <c r="Y21891" s="100"/>
    </row>
    <row r="21892">
      <c r="R21892" s="100"/>
      <c r="V21892" s="100"/>
      <c r="Y21892" s="100"/>
    </row>
    <row r="21893">
      <c r="R21893" s="100"/>
      <c r="V21893" s="100"/>
      <c r="Y21893" s="100"/>
    </row>
    <row r="21894">
      <c r="R21894" s="100"/>
      <c r="V21894" s="100"/>
      <c r="Y21894" s="100"/>
    </row>
    <row r="21895">
      <c r="R21895" s="100"/>
      <c r="V21895" s="100"/>
      <c r="Y21895" s="100"/>
    </row>
    <row r="21896">
      <c r="R21896" s="100"/>
      <c r="V21896" s="100"/>
      <c r="Y21896" s="100"/>
    </row>
    <row r="21897">
      <c r="R21897" s="100"/>
      <c r="V21897" s="100"/>
      <c r="Y21897" s="100"/>
    </row>
    <row r="21898">
      <c r="R21898" s="100"/>
      <c r="V21898" s="100"/>
      <c r="Y21898" s="100"/>
    </row>
    <row r="21899">
      <c r="R21899" s="100"/>
      <c r="V21899" s="100"/>
      <c r="Y21899" s="100"/>
    </row>
    <row r="21900">
      <c r="R21900" s="100"/>
      <c r="V21900" s="100"/>
      <c r="Y21900" s="100"/>
    </row>
    <row r="21901">
      <c r="R21901" s="100"/>
      <c r="V21901" s="100"/>
      <c r="Y21901" s="100"/>
    </row>
    <row r="21902">
      <c r="R21902" s="100"/>
      <c r="V21902" s="100"/>
      <c r="Y21902" s="100"/>
    </row>
    <row r="21903">
      <c r="R21903" s="100"/>
      <c r="V21903" s="100"/>
      <c r="Y21903" s="100"/>
    </row>
    <row r="21904">
      <c r="R21904" s="100"/>
      <c r="V21904" s="100"/>
      <c r="Y21904" s="100"/>
    </row>
    <row r="21905">
      <c r="R21905" s="100"/>
      <c r="V21905" s="100"/>
      <c r="Y21905" s="100"/>
    </row>
    <row r="21906">
      <c r="R21906" s="100"/>
      <c r="V21906" s="100"/>
      <c r="Y21906" s="100"/>
    </row>
    <row r="21907">
      <c r="R21907" s="100"/>
      <c r="V21907" s="100"/>
      <c r="Y21907" s="100"/>
    </row>
    <row r="21908">
      <c r="R21908" s="100"/>
      <c r="V21908" s="100"/>
      <c r="Y21908" s="100"/>
    </row>
    <row r="21909">
      <c r="R21909" s="100"/>
      <c r="V21909" s="100"/>
      <c r="Y21909" s="100"/>
    </row>
    <row r="21910">
      <c r="R21910" s="100"/>
      <c r="V21910" s="100"/>
      <c r="Y21910" s="100"/>
    </row>
    <row r="21911">
      <c r="R21911" s="100"/>
      <c r="V21911" s="100"/>
      <c r="Y21911" s="100"/>
    </row>
    <row r="21912">
      <c r="R21912" s="100"/>
      <c r="V21912" s="100"/>
      <c r="Y21912" s="100"/>
    </row>
    <row r="21913">
      <c r="R21913" s="100"/>
      <c r="V21913" s="100"/>
      <c r="Y21913" s="100"/>
    </row>
    <row r="21914">
      <c r="R21914" s="100"/>
      <c r="V21914" s="100"/>
      <c r="Y21914" s="100"/>
    </row>
    <row r="21915">
      <c r="R21915" s="100"/>
      <c r="V21915" s="100"/>
      <c r="Y21915" s="100"/>
    </row>
    <row r="21916">
      <c r="R21916" s="100"/>
      <c r="V21916" s="100"/>
      <c r="Y21916" s="100"/>
    </row>
    <row r="21917">
      <c r="R21917" s="100"/>
      <c r="V21917" s="100"/>
      <c r="Y21917" s="100"/>
    </row>
    <row r="21918">
      <c r="R21918" s="100"/>
      <c r="V21918" s="100"/>
      <c r="Y21918" s="100"/>
    </row>
    <row r="21919">
      <c r="R21919" s="100"/>
      <c r="V21919" s="100"/>
      <c r="Y21919" s="100"/>
    </row>
    <row r="21920">
      <c r="R21920" s="100"/>
      <c r="V21920" s="100"/>
      <c r="Y21920" s="100"/>
    </row>
    <row r="21921">
      <c r="R21921" s="100"/>
      <c r="V21921" s="100"/>
      <c r="Y21921" s="100"/>
    </row>
    <row r="21922">
      <c r="R21922" s="100"/>
      <c r="V21922" s="100"/>
      <c r="Y21922" s="100"/>
    </row>
    <row r="21923">
      <c r="R21923" s="100"/>
      <c r="V21923" s="100"/>
      <c r="Y21923" s="100"/>
    </row>
    <row r="21924">
      <c r="R21924" s="100"/>
      <c r="V21924" s="100"/>
      <c r="Y21924" s="100"/>
    </row>
    <row r="21925">
      <c r="R21925" s="100"/>
      <c r="V21925" s="100"/>
      <c r="Y21925" s="100"/>
    </row>
    <row r="21926">
      <c r="R21926" s="100"/>
      <c r="V21926" s="100"/>
      <c r="Y21926" s="100"/>
    </row>
    <row r="21927">
      <c r="R21927" s="100"/>
      <c r="V21927" s="100"/>
      <c r="Y21927" s="100"/>
    </row>
    <row r="21928">
      <c r="R21928" s="100"/>
      <c r="V21928" s="100"/>
      <c r="Y21928" s="100"/>
    </row>
    <row r="21929">
      <c r="R21929" s="100"/>
      <c r="V21929" s="100"/>
      <c r="Y21929" s="100"/>
    </row>
    <row r="21930">
      <c r="R21930" s="100"/>
      <c r="V21930" s="100"/>
      <c r="Y21930" s="100"/>
    </row>
    <row r="21931">
      <c r="R21931" s="100"/>
      <c r="V21931" s="100"/>
      <c r="Y21931" s="100"/>
    </row>
    <row r="21932">
      <c r="R21932" s="100"/>
      <c r="V21932" s="100"/>
      <c r="Y21932" s="100"/>
    </row>
    <row r="21933">
      <c r="R21933" s="100"/>
      <c r="V21933" s="100"/>
      <c r="Y21933" s="100"/>
    </row>
    <row r="21934">
      <c r="R21934" s="100"/>
      <c r="V21934" s="100"/>
      <c r="Y21934" s="100"/>
    </row>
    <row r="21935">
      <c r="R21935" s="100"/>
      <c r="V21935" s="100"/>
      <c r="Y21935" s="100"/>
    </row>
    <row r="21936">
      <c r="R21936" s="100"/>
      <c r="V21936" s="100"/>
      <c r="Y21936" s="100"/>
    </row>
    <row r="21937">
      <c r="R21937" s="100"/>
      <c r="V21937" s="100"/>
      <c r="Y21937" s="100"/>
    </row>
    <row r="21938">
      <c r="R21938" s="100"/>
      <c r="V21938" s="100"/>
      <c r="Y21938" s="100"/>
    </row>
    <row r="21939">
      <c r="R21939" s="100"/>
      <c r="V21939" s="100"/>
      <c r="Y21939" s="100"/>
    </row>
    <row r="21940">
      <c r="R21940" s="100"/>
      <c r="V21940" s="100"/>
      <c r="Y21940" s="100"/>
    </row>
    <row r="21941">
      <c r="R21941" s="100"/>
      <c r="V21941" s="100"/>
      <c r="Y21941" s="100"/>
    </row>
    <row r="21942">
      <c r="R21942" s="100"/>
      <c r="V21942" s="100"/>
      <c r="Y21942" s="100"/>
    </row>
    <row r="21943">
      <c r="R21943" s="100"/>
      <c r="V21943" s="100"/>
      <c r="Y21943" s="100"/>
    </row>
    <row r="21944">
      <c r="R21944" s="100"/>
      <c r="V21944" s="100"/>
      <c r="Y21944" s="100"/>
    </row>
    <row r="21945">
      <c r="R21945" s="100"/>
      <c r="V21945" s="100"/>
      <c r="Y21945" s="100"/>
    </row>
    <row r="21946">
      <c r="R21946" s="100"/>
      <c r="V21946" s="100"/>
      <c r="Y21946" s="100"/>
    </row>
    <row r="21947">
      <c r="R21947" s="100"/>
      <c r="V21947" s="100"/>
      <c r="Y21947" s="100"/>
    </row>
    <row r="21948">
      <c r="R21948" s="100"/>
      <c r="V21948" s="100"/>
      <c r="Y21948" s="100"/>
    </row>
    <row r="21949">
      <c r="R21949" s="100"/>
      <c r="V21949" s="100"/>
      <c r="Y21949" s="100"/>
    </row>
    <row r="21950">
      <c r="R21950" s="100"/>
      <c r="V21950" s="100"/>
      <c r="Y21950" s="100"/>
    </row>
    <row r="21951">
      <c r="R21951" s="100"/>
      <c r="V21951" s="100"/>
      <c r="Y21951" s="100"/>
    </row>
    <row r="21952">
      <c r="R21952" s="100"/>
      <c r="V21952" s="100"/>
      <c r="Y21952" s="100"/>
    </row>
    <row r="21953">
      <c r="R21953" s="100"/>
      <c r="V21953" s="100"/>
      <c r="Y21953" s="100"/>
    </row>
    <row r="21954">
      <c r="R21954" s="100"/>
      <c r="V21954" s="100"/>
      <c r="Y21954" s="100"/>
    </row>
    <row r="21955">
      <c r="R21955" s="100"/>
      <c r="V21955" s="100"/>
      <c r="Y21955" s="100"/>
    </row>
    <row r="21956">
      <c r="R21956" s="100"/>
      <c r="V21956" s="100"/>
      <c r="Y21956" s="100"/>
    </row>
    <row r="21957">
      <c r="R21957" s="100"/>
      <c r="V21957" s="100"/>
      <c r="Y21957" s="100"/>
    </row>
    <row r="21958">
      <c r="R21958" s="100"/>
      <c r="V21958" s="100"/>
      <c r="Y21958" s="100"/>
    </row>
    <row r="21959">
      <c r="R21959" s="100"/>
      <c r="V21959" s="100"/>
      <c r="Y21959" s="100"/>
    </row>
    <row r="21960">
      <c r="R21960" s="100"/>
      <c r="V21960" s="100"/>
      <c r="Y21960" s="100"/>
    </row>
    <row r="21961">
      <c r="R21961" s="100"/>
      <c r="V21961" s="100"/>
      <c r="Y21961" s="100"/>
    </row>
    <row r="21962">
      <c r="R21962" s="100"/>
      <c r="V21962" s="100"/>
      <c r="Y21962" s="100"/>
    </row>
    <row r="21963">
      <c r="R21963" s="100"/>
      <c r="V21963" s="100"/>
      <c r="Y21963" s="100"/>
    </row>
    <row r="21964">
      <c r="R21964" s="100"/>
      <c r="V21964" s="100"/>
      <c r="Y21964" s="100"/>
    </row>
    <row r="21965">
      <c r="R21965" s="100"/>
      <c r="V21965" s="100"/>
      <c r="Y21965" s="100"/>
    </row>
    <row r="21966">
      <c r="R21966" s="100"/>
      <c r="V21966" s="100"/>
      <c r="Y21966" s="100"/>
    </row>
    <row r="21967">
      <c r="R21967" s="100"/>
      <c r="V21967" s="100"/>
      <c r="Y21967" s="100"/>
    </row>
    <row r="21968">
      <c r="R21968" s="100"/>
      <c r="V21968" s="100"/>
      <c r="Y21968" s="100"/>
    </row>
    <row r="21969">
      <c r="R21969" s="100"/>
      <c r="V21969" s="100"/>
      <c r="Y21969" s="100"/>
    </row>
    <row r="21970">
      <c r="R21970" s="100"/>
      <c r="V21970" s="100"/>
      <c r="Y21970" s="100"/>
    </row>
    <row r="21971">
      <c r="R21971" s="100"/>
      <c r="V21971" s="100"/>
      <c r="Y21971" s="100"/>
    </row>
    <row r="21972">
      <c r="R21972" s="100"/>
      <c r="V21972" s="100"/>
      <c r="Y21972" s="100"/>
    </row>
    <row r="21973">
      <c r="R21973" s="100"/>
      <c r="V21973" s="100"/>
      <c r="Y21973" s="100"/>
    </row>
    <row r="21974">
      <c r="R21974" s="100"/>
      <c r="V21974" s="100"/>
      <c r="Y21974" s="100"/>
    </row>
    <row r="21975">
      <c r="R21975" s="100"/>
      <c r="V21975" s="100"/>
      <c r="Y21975" s="100"/>
    </row>
    <row r="21976">
      <c r="R21976" s="100"/>
      <c r="V21976" s="100"/>
      <c r="Y21976" s="100"/>
    </row>
    <row r="21977">
      <c r="R21977" s="100"/>
      <c r="V21977" s="100"/>
      <c r="Y21977" s="100"/>
    </row>
    <row r="21978">
      <c r="R21978" s="100"/>
      <c r="V21978" s="100"/>
      <c r="Y21978" s="100"/>
    </row>
    <row r="21979">
      <c r="R21979" s="100"/>
      <c r="V21979" s="100"/>
      <c r="Y21979" s="100"/>
    </row>
    <row r="21980">
      <c r="R21980" s="100"/>
      <c r="V21980" s="100"/>
      <c r="Y21980" s="100"/>
    </row>
    <row r="21981">
      <c r="R21981" s="100"/>
      <c r="V21981" s="100"/>
      <c r="Y21981" s="100"/>
    </row>
    <row r="21982">
      <c r="R21982" s="100"/>
      <c r="V21982" s="100"/>
      <c r="Y21982" s="100"/>
    </row>
    <row r="21983">
      <c r="R21983" s="100"/>
      <c r="V21983" s="100"/>
      <c r="Y21983" s="100"/>
    </row>
    <row r="21984">
      <c r="R21984" s="100"/>
      <c r="V21984" s="100"/>
      <c r="Y21984" s="100"/>
    </row>
    <row r="21985">
      <c r="R21985" s="100"/>
      <c r="V21985" s="100"/>
      <c r="Y21985" s="100"/>
    </row>
    <row r="21986">
      <c r="R21986" s="100"/>
      <c r="V21986" s="100"/>
      <c r="Y21986" s="100"/>
    </row>
    <row r="21987">
      <c r="R21987" s="100"/>
      <c r="V21987" s="100"/>
      <c r="Y21987" s="100"/>
    </row>
    <row r="21988">
      <c r="R21988" s="100"/>
      <c r="V21988" s="100"/>
      <c r="Y21988" s="100"/>
    </row>
    <row r="21989">
      <c r="R21989" s="100"/>
      <c r="V21989" s="100"/>
      <c r="Y21989" s="100"/>
    </row>
    <row r="21990">
      <c r="R21990" s="100"/>
      <c r="V21990" s="100"/>
      <c r="Y21990" s="100"/>
    </row>
    <row r="21991">
      <c r="R21991" s="100"/>
      <c r="V21991" s="100"/>
      <c r="Y21991" s="100"/>
    </row>
    <row r="21992">
      <c r="R21992" s="100"/>
      <c r="V21992" s="100"/>
      <c r="Y21992" s="100"/>
    </row>
    <row r="21993">
      <c r="R21993" s="100"/>
      <c r="V21993" s="100"/>
      <c r="Y21993" s="100"/>
    </row>
    <row r="21994">
      <c r="R21994" s="100"/>
      <c r="V21994" s="100"/>
      <c r="Y21994" s="100"/>
    </row>
    <row r="21995">
      <c r="R21995" s="100"/>
      <c r="V21995" s="100"/>
      <c r="Y21995" s="100"/>
    </row>
    <row r="21996">
      <c r="R21996" s="100"/>
      <c r="V21996" s="100"/>
      <c r="Y21996" s="100"/>
    </row>
    <row r="21997">
      <c r="R21997" s="100"/>
      <c r="V21997" s="100"/>
      <c r="Y21997" s="100"/>
    </row>
    <row r="21998">
      <c r="R21998" s="100"/>
      <c r="V21998" s="100"/>
      <c r="Y21998" s="100"/>
    </row>
    <row r="21999">
      <c r="R21999" s="100"/>
      <c r="V21999" s="100"/>
      <c r="Y21999" s="100"/>
    </row>
    <row r="22000">
      <c r="R22000" s="100"/>
      <c r="V22000" s="100"/>
      <c r="Y22000" s="100"/>
    </row>
    <row r="22001">
      <c r="R22001" s="100"/>
      <c r="V22001" s="100"/>
      <c r="Y22001" s="100"/>
    </row>
    <row r="22002">
      <c r="R22002" s="100"/>
      <c r="V22002" s="100"/>
      <c r="Y22002" s="100"/>
    </row>
    <row r="22003">
      <c r="R22003" s="100"/>
      <c r="V22003" s="100"/>
      <c r="Y22003" s="100"/>
    </row>
    <row r="22004">
      <c r="R22004" s="100"/>
      <c r="V22004" s="100"/>
      <c r="Y22004" s="100"/>
    </row>
    <row r="22005">
      <c r="R22005" s="100"/>
      <c r="V22005" s="100"/>
      <c r="Y22005" s="100"/>
    </row>
    <row r="22006">
      <c r="R22006" s="100"/>
      <c r="V22006" s="100"/>
      <c r="Y22006" s="100"/>
    </row>
    <row r="22007">
      <c r="R22007" s="100"/>
      <c r="V22007" s="100"/>
      <c r="Y22007" s="100"/>
    </row>
    <row r="22008">
      <c r="R22008" s="100"/>
      <c r="V22008" s="100"/>
      <c r="Y22008" s="100"/>
    </row>
    <row r="22009">
      <c r="R22009" s="100"/>
      <c r="V22009" s="100"/>
      <c r="Y22009" s="100"/>
    </row>
    <row r="22010">
      <c r="R22010" s="100"/>
      <c r="V22010" s="100"/>
      <c r="Y22010" s="100"/>
    </row>
    <row r="22011">
      <c r="R22011" s="100"/>
      <c r="V22011" s="100"/>
      <c r="Y22011" s="100"/>
    </row>
    <row r="22012">
      <c r="R22012" s="100"/>
      <c r="V22012" s="100"/>
      <c r="Y22012" s="100"/>
    </row>
    <row r="22013">
      <c r="R22013" s="100"/>
      <c r="V22013" s="100"/>
      <c r="Y22013" s="100"/>
    </row>
    <row r="22014">
      <c r="R22014" s="100"/>
      <c r="V22014" s="100"/>
      <c r="Y22014" s="100"/>
    </row>
    <row r="22015">
      <c r="R22015" s="100"/>
      <c r="V22015" s="100"/>
      <c r="Y22015" s="100"/>
    </row>
    <row r="22016">
      <c r="R22016" s="100"/>
      <c r="V22016" s="100"/>
      <c r="Y22016" s="100"/>
    </row>
    <row r="22017">
      <c r="R22017" s="100"/>
      <c r="V22017" s="100"/>
      <c r="Y22017" s="100"/>
    </row>
    <row r="22018">
      <c r="R22018" s="100"/>
      <c r="V22018" s="100"/>
      <c r="Y22018" s="100"/>
    </row>
    <row r="22019">
      <c r="R22019" s="100"/>
      <c r="V22019" s="100"/>
      <c r="Y22019" s="100"/>
    </row>
    <row r="22020">
      <c r="R22020" s="100"/>
      <c r="V22020" s="100"/>
      <c r="Y22020" s="100"/>
    </row>
    <row r="22021">
      <c r="R22021" s="100"/>
      <c r="V22021" s="100"/>
      <c r="Y22021" s="100"/>
    </row>
    <row r="22022">
      <c r="R22022" s="100"/>
      <c r="V22022" s="100"/>
      <c r="Y22022" s="100"/>
    </row>
    <row r="22023">
      <c r="R22023" s="100"/>
      <c r="V22023" s="100"/>
      <c r="Y22023" s="100"/>
    </row>
    <row r="22024">
      <c r="R22024" s="100"/>
      <c r="V22024" s="100"/>
      <c r="Y22024" s="100"/>
    </row>
    <row r="22025">
      <c r="R22025" s="100"/>
      <c r="V22025" s="100"/>
      <c r="Y22025" s="100"/>
    </row>
    <row r="22026">
      <c r="R22026" s="100"/>
      <c r="V22026" s="100"/>
      <c r="Y22026" s="100"/>
    </row>
    <row r="22027">
      <c r="R22027" s="100"/>
      <c r="V22027" s="100"/>
      <c r="Y22027" s="100"/>
    </row>
    <row r="22028">
      <c r="R22028" s="100"/>
      <c r="V22028" s="100"/>
      <c r="Y22028" s="100"/>
    </row>
    <row r="22029">
      <c r="R22029" s="100"/>
      <c r="V22029" s="100"/>
      <c r="Y22029" s="100"/>
    </row>
    <row r="22030">
      <c r="R22030" s="100"/>
      <c r="V22030" s="100"/>
      <c r="Y22030" s="100"/>
    </row>
    <row r="22031">
      <c r="R22031" s="100"/>
      <c r="V22031" s="100"/>
      <c r="Y22031" s="100"/>
    </row>
    <row r="22032">
      <c r="R22032" s="100"/>
      <c r="V22032" s="100"/>
      <c r="Y22032" s="100"/>
    </row>
    <row r="22033">
      <c r="R22033" s="100"/>
      <c r="V22033" s="100"/>
      <c r="Y22033" s="100"/>
    </row>
    <row r="22034">
      <c r="R22034" s="100"/>
      <c r="V22034" s="100"/>
      <c r="Y22034" s="100"/>
    </row>
    <row r="22035">
      <c r="R22035" s="100"/>
      <c r="V22035" s="100"/>
      <c r="Y22035" s="100"/>
    </row>
    <row r="22036">
      <c r="R22036" s="100"/>
      <c r="V22036" s="100"/>
      <c r="Y22036" s="100"/>
    </row>
    <row r="22037">
      <c r="R22037" s="100"/>
      <c r="V22037" s="100"/>
      <c r="Y22037" s="100"/>
    </row>
    <row r="22038">
      <c r="R22038" s="100"/>
      <c r="V22038" s="100"/>
      <c r="Y22038" s="100"/>
    </row>
    <row r="22039">
      <c r="R22039" s="100"/>
      <c r="V22039" s="100"/>
      <c r="Y22039" s="100"/>
    </row>
    <row r="22040">
      <c r="R22040" s="100"/>
      <c r="V22040" s="100"/>
      <c r="Y22040" s="100"/>
    </row>
    <row r="22041">
      <c r="R22041" s="100"/>
      <c r="V22041" s="100"/>
      <c r="Y22041" s="100"/>
    </row>
    <row r="22042">
      <c r="R22042" s="100"/>
      <c r="V22042" s="100"/>
      <c r="Y22042" s="100"/>
    </row>
    <row r="22043">
      <c r="R22043" s="100"/>
      <c r="V22043" s="100"/>
      <c r="Y22043" s="100"/>
    </row>
    <row r="22044">
      <c r="R22044" s="100"/>
      <c r="V22044" s="100"/>
      <c r="Y22044" s="100"/>
    </row>
    <row r="22045">
      <c r="R22045" s="100"/>
      <c r="V22045" s="100"/>
      <c r="Y22045" s="100"/>
    </row>
    <row r="22046">
      <c r="R22046" s="100"/>
      <c r="V22046" s="100"/>
      <c r="Y22046" s="100"/>
    </row>
    <row r="22047">
      <c r="R22047" s="100"/>
      <c r="V22047" s="100"/>
      <c r="Y22047" s="100"/>
    </row>
    <row r="22048">
      <c r="R22048" s="100"/>
      <c r="V22048" s="100"/>
      <c r="Y22048" s="100"/>
    </row>
    <row r="22049">
      <c r="R22049" s="100"/>
      <c r="V22049" s="100"/>
      <c r="Y22049" s="100"/>
    </row>
    <row r="22050">
      <c r="R22050" s="100"/>
      <c r="V22050" s="100"/>
      <c r="Y22050" s="100"/>
    </row>
    <row r="22051">
      <c r="R22051" s="100"/>
      <c r="V22051" s="100"/>
      <c r="Y22051" s="100"/>
    </row>
    <row r="22052">
      <c r="R22052" s="100"/>
      <c r="V22052" s="100"/>
      <c r="Y22052" s="100"/>
    </row>
    <row r="22053">
      <c r="R22053" s="100"/>
      <c r="V22053" s="100"/>
      <c r="Y22053" s="100"/>
    </row>
    <row r="22054">
      <c r="R22054" s="100"/>
      <c r="V22054" s="100"/>
      <c r="Y22054" s="100"/>
    </row>
    <row r="22055">
      <c r="R22055" s="100"/>
      <c r="V22055" s="100"/>
      <c r="Y22055" s="100"/>
    </row>
    <row r="22056">
      <c r="R22056" s="100"/>
      <c r="V22056" s="100"/>
      <c r="Y22056" s="100"/>
    </row>
    <row r="22057">
      <c r="R22057" s="100"/>
      <c r="V22057" s="100"/>
      <c r="Y22057" s="100"/>
    </row>
    <row r="22058">
      <c r="R22058" s="100"/>
      <c r="V22058" s="100"/>
      <c r="Y22058" s="100"/>
    </row>
    <row r="22059">
      <c r="R22059" s="100"/>
      <c r="V22059" s="100"/>
      <c r="Y22059" s="100"/>
    </row>
    <row r="22060">
      <c r="R22060" s="100"/>
      <c r="V22060" s="100"/>
      <c r="Y22060" s="100"/>
    </row>
    <row r="22061">
      <c r="R22061" s="100"/>
      <c r="V22061" s="100"/>
      <c r="Y22061" s="100"/>
    </row>
    <row r="22062">
      <c r="R22062" s="100"/>
      <c r="V22062" s="100"/>
      <c r="Y22062" s="100"/>
    </row>
    <row r="22063">
      <c r="R22063" s="100"/>
      <c r="V22063" s="100"/>
      <c r="Y22063" s="100"/>
    </row>
    <row r="22064">
      <c r="R22064" s="100"/>
      <c r="V22064" s="100"/>
      <c r="Y22064" s="100"/>
    </row>
    <row r="22065">
      <c r="R22065" s="100"/>
      <c r="V22065" s="100"/>
      <c r="Y22065" s="100"/>
    </row>
    <row r="22066">
      <c r="R22066" s="100"/>
      <c r="V22066" s="100"/>
      <c r="Y22066" s="100"/>
    </row>
    <row r="22067">
      <c r="R22067" s="100"/>
      <c r="V22067" s="100"/>
      <c r="Y22067" s="100"/>
    </row>
    <row r="22068">
      <c r="R22068" s="100"/>
      <c r="V22068" s="100"/>
      <c r="Y22068" s="100"/>
    </row>
    <row r="22069">
      <c r="R22069" s="100"/>
      <c r="V22069" s="100"/>
      <c r="Y22069" s="100"/>
    </row>
    <row r="22070">
      <c r="R22070" s="100"/>
      <c r="V22070" s="100"/>
      <c r="Y22070" s="100"/>
    </row>
    <row r="22071">
      <c r="R22071" s="100"/>
      <c r="V22071" s="100"/>
      <c r="Y22071" s="100"/>
    </row>
    <row r="22072">
      <c r="R22072" s="100"/>
      <c r="V22072" s="100"/>
      <c r="Y22072" s="100"/>
    </row>
    <row r="22073">
      <c r="R22073" s="100"/>
      <c r="V22073" s="100"/>
      <c r="Y22073" s="100"/>
    </row>
    <row r="22074">
      <c r="R22074" s="100"/>
      <c r="V22074" s="100"/>
      <c r="Y22074" s="100"/>
    </row>
    <row r="22075">
      <c r="R22075" s="100"/>
      <c r="V22075" s="100"/>
      <c r="Y22075" s="100"/>
    </row>
    <row r="22076">
      <c r="R22076" s="100"/>
      <c r="V22076" s="100"/>
      <c r="Y22076" s="100"/>
    </row>
    <row r="22077">
      <c r="R22077" s="100"/>
      <c r="V22077" s="100"/>
      <c r="Y22077" s="100"/>
    </row>
    <row r="22078">
      <c r="R22078" s="100"/>
      <c r="V22078" s="100"/>
      <c r="Y22078" s="100"/>
    </row>
    <row r="22079">
      <c r="R22079" s="100"/>
      <c r="V22079" s="100"/>
      <c r="Y22079" s="100"/>
    </row>
    <row r="22080">
      <c r="R22080" s="100"/>
      <c r="V22080" s="100"/>
      <c r="Y22080" s="100"/>
    </row>
    <row r="22081">
      <c r="R22081" s="100"/>
      <c r="V22081" s="100"/>
      <c r="Y22081" s="100"/>
    </row>
    <row r="22082">
      <c r="R22082" s="100"/>
      <c r="V22082" s="100"/>
      <c r="Y22082" s="100"/>
    </row>
    <row r="22083">
      <c r="R22083" s="100"/>
      <c r="V22083" s="100"/>
      <c r="Y22083" s="100"/>
    </row>
    <row r="22084">
      <c r="R22084" s="100"/>
      <c r="V22084" s="100"/>
      <c r="Y22084" s="100"/>
    </row>
    <row r="22085">
      <c r="R22085" s="100"/>
      <c r="V22085" s="100"/>
      <c r="Y22085" s="100"/>
    </row>
    <row r="22086">
      <c r="R22086" s="100"/>
      <c r="V22086" s="100"/>
      <c r="Y22086" s="100"/>
    </row>
    <row r="22087">
      <c r="R22087" s="100"/>
      <c r="V22087" s="100"/>
      <c r="Y22087" s="100"/>
    </row>
    <row r="22088">
      <c r="R22088" s="100"/>
      <c r="V22088" s="100"/>
      <c r="Y22088" s="100"/>
    </row>
    <row r="22089">
      <c r="R22089" s="100"/>
      <c r="V22089" s="100"/>
      <c r="Y22089" s="100"/>
    </row>
    <row r="22090">
      <c r="R22090" s="100"/>
      <c r="V22090" s="100"/>
      <c r="Y22090" s="100"/>
    </row>
    <row r="22091">
      <c r="R22091" s="100"/>
      <c r="V22091" s="100"/>
      <c r="Y22091" s="100"/>
    </row>
    <row r="22092">
      <c r="R22092" s="100"/>
      <c r="V22092" s="100"/>
      <c r="Y22092" s="100"/>
    </row>
    <row r="22093">
      <c r="R22093" s="100"/>
      <c r="V22093" s="100"/>
      <c r="Y22093" s="100"/>
    </row>
    <row r="22094">
      <c r="R22094" s="100"/>
      <c r="V22094" s="100"/>
      <c r="Y22094" s="100"/>
    </row>
    <row r="22095">
      <c r="R22095" s="100"/>
      <c r="V22095" s="100"/>
      <c r="Y22095" s="100"/>
    </row>
    <row r="22096">
      <c r="R22096" s="100"/>
      <c r="V22096" s="100"/>
      <c r="Y22096" s="100"/>
    </row>
    <row r="22097">
      <c r="R22097" s="100"/>
      <c r="V22097" s="100"/>
      <c r="Y22097" s="100"/>
    </row>
    <row r="22098">
      <c r="R22098" s="100"/>
      <c r="V22098" s="100"/>
      <c r="Y22098" s="100"/>
    </row>
    <row r="22099">
      <c r="R22099" s="100"/>
      <c r="V22099" s="100"/>
      <c r="Y22099" s="100"/>
    </row>
    <row r="22100">
      <c r="R22100" s="100"/>
      <c r="V22100" s="100"/>
      <c r="Y22100" s="100"/>
    </row>
    <row r="22101">
      <c r="R22101" s="100"/>
      <c r="V22101" s="100"/>
      <c r="Y22101" s="100"/>
    </row>
    <row r="22102">
      <c r="R22102" s="100"/>
      <c r="V22102" s="100"/>
      <c r="Y22102" s="100"/>
    </row>
    <row r="22103">
      <c r="R22103" s="100"/>
      <c r="V22103" s="100"/>
      <c r="Y22103" s="100"/>
    </row>
    <row r="22104">
      <c r="R22104" s="100"/>
      <c r="V22104" s="100"/>
      <c r="Y22104" s="100"/>
    </row>
    <row r="22105">
      <c r="R22105" s="100"/>
      <c r="V22105" s="100"/>
      <c r="Y22105" s="100"/>
    </row>
    <row r="22106">
      <c r="R22106" s="100"/>
      <c r="V22106" s="100"/>
      <c r="Y22106" s="100"/>
    </row>
    <row r="22107">
      <c r="R22107" s="100"/>
      <c r="V22107" s="100"/>
      <c r="Y22107" s="100"/>
    </row>
    <row r="22108">
      <c r="R22108" s="100"/>
      <c r="V22108" s="100"/>
      <c r="Y22108" s="100"/>
    </row>
    <row r="22109">
      <c r="R22109" s="100"/>
      <c r="V22109" s="100"/>
      <c r="Y22109" s="100"/>
    </row>
    <row r="22110">
      <c r="R22110" s="100"/>
      <c r="V22110" s="100"/>
      <c r="Y22110" s="100"/>
    </row>
    <row r="22111">
      <c r="R22111" s="100"/>
      <c r="V22111" s="100"/>
      <c r="Y22111" s="100"/>
    </row>
    <row r="22112">
      <c r="R22112" s="100"/>
      <c r="V22112" s="100"/>
      <c r="Y22112" s="100"/>
    </row>
    <row r="22113">
      <c r="R22113" s="100"/>
      <c r="V22113" s="100"/>
      <c r="Y22113" s="100"/>
    </row>
    <row r="22114">
      <c r="R22114" s="100"/>
      <c r="V22114" s="100"/>
      <c r="Y22114" s="100"/>
    </row>
    <row r="22115">
      <c r="R22115" s="100"/>
      <c r="V22115" s="100"/>
      <c r="Y22115" s="100"/>
    </row>
    <row r="22116">
      <c r="R22116" s="100"/>
      <c r="V22116" s="100"/>
      <c r="Y22116" s="100"/>
    </row>
    <row r="22117">
      <c r="R22117" s="100"/>
      <c r="V22117" s="100"/>
      <c r="Y22117" s="100"/>
    </row>
    <row r="22118">
      <c r="R22118" s="100"/>
      <c r="V22118" s="100"/>
      <c r="Y22118" s="100"/>
    </row>
    <row r="22119">
      <c r="R22119" s="100"/>
      <c r="V22119" s="100"/>
      <c r="Y22119" s="100"/>
    </row>
    <row r="22120">
      <c r="R22120" s="100"/>
      <c r="V22120" s="100"/>
      <c r="Y22120" s="100"/>
    </row>
    <row r="22121">
      <c r="R22121" s="100"/>
      <c r="V22121" s="100"/>
      <c r="Y22121" s="100"/>
    </row>
    <row r="22122">
      <c r="R22122" s="100"/>
      <c r="V22122" s="100"/>
      <c r="Y22122" s="100"/>
    </row>
    <row r="22123">
      <c r="R22123" s="100"/>
      <c r="V22123" s="100"/>
      <c r="Y22123" s="100"/>
    </row>
    <row r="22124">
      <c r="R22124" s="100"/>
      <c r="V22124" s="100"/>
      <c r="Y22124" s="100"/>
    </row>
    <row r="22125">
      <c r="R22125" s="100"/>
      <c r="V22125" s="100"/>
      <c r="Y22125" s="100"/>
    </row>
    <row r="22126">
      <c r="R22126" s="100"/>
      <c r="V22126" s="100"/>
      <c r="Y22126" s="100"/>
    </row>
    <row r="22127">
      <c r="R22127" s="100"/>
      <c r="V22127" s="100"/>
      <c r="Y22127" s="100"/>
    </row>
    <row r="22128">
      <c r="R22128" s="100"/>
      <c r="V22128" s="100"/>
      <c r="Y22128" s="100"/>
    </row>
    <row r="22129">
      <c r="R22129" s="100"/>
      <c r="V22129" s="100"/>
      <c r="Y22129" s="100"/>
    </row>
    <row r="22130">
      <c r="R22130" s="100"/>
      <c r="V22130" s="100"/>
      <c r="Y22130" s="100"/>
    </row>
    <row r="22131">
      <c r="R22131" s="100"/>
      <c r="V22131" s="100"/>
      <c r="Y22131" s="100"/>
    </row>
    <row r="22132">
      <c r="R22132" s="100"/>
      <c r="V22132" s="100"/>
      <c r="Y22132" s="100"/>
    </row>
    <row r="22133">
      <c r="R22133" s="100"/>
      <c r="V22133" s="100"/>
      <c r="Y22133" s="100"/>
    </row>
    <row r="22134">
      <c r="R22134" s="100"/>
      <c r="V22134" s="100"/>
      <c r="Y22134" s="100"/>
    </row>
    <row r="22135">
      <c r="R22135" s="100"/>
      <c r="V22135" s="100"/>
      <c r="Y22135" s="100"/>
    </row>
    <row r="22136">
      <c r="R22136" s="100"/>
      <c r="V22136" s="100"/>
      <c r="Y22136" s="100"/>
    </row>
    <row r="22137">
      <c r="R22137" s="100"/>
      <c r="V22137" s="100"/>
      <c r="Y22137" s="100"/>
    </row>
    <row r="22138">
      <c r="R22138" s="100"/>
      <c r="V22138" s="100"/>
      <c r="Y22138" s="100"/>
    </row>
    <row r="22139">
      <c r="R22139" s="100"/>
      <c r="V22139" s="100"/>
      <c r="Y22139" s="100"/>
    </row>
    <row r="22140">
      <c r="R22140" s="100"/>
      <c r="V22140" s="100"/>
      <c r="Y22140" s="100"/>
    </row>
    <row r="22141">
      <c r="R22141" s="100"/>
      <c r="V22141" s="100"/>
      <c r="Y22141" s="100"/>
    </row>
    <row r="22142">
      <c r="R22142" s="100"/>
      <c r="V22142" s="100"/>
      <c r="Y22142" s="100"/>
    </row>
    <row r="22143">
      <c r="R22143" s="100"/>
      <c r="V22143" s="100"/>
      <c r="Y22143" s="100"/>
    </row>
    <row r="22144">
      <c r="R22144" s="100"/>
      <c r="V22144" s="100"/>
      <c r="Y22144" s="100"/>
    </row>
    <row r="22145">
      <c r="R22145" s="100"/>
      <c r="V22145" s="100"/>
      <c r="Y22145" s="100"/>
    </row>
    <row r="22146">
      <c r="R22146" s="100"/>
      <c r="V22146" s="100"/>
      <c r="Y22146" s="100"/>
    </row>
    <row r="22147">
      <c r="R22147" s="100"/>
      <c r="V22147" s="100"/>
      <c r="Y22147" s="100"/>
    </row>
    <row r="22148">
      <c r="R22148" s="100"/>
      <c r="V22148" s="100"/>
      <c r="Y22148" s="100"/>
    </row>
    <row r="22149">
      <c r="R22149" s="100"/>
      <c r="V22149" s="100"/>
      <c r="Y22149" s="100"/>
    </row>
    <row r="22150">
      <c r="R22150" s="100"/>
      <c r="V22150" s="100"/>
      <c r="Y22150" s="100"/>
    </row>
    <row r="22151">
      <c r="R22151" s="100"/>
      <c r="V22151" s="100"/>
      <c r="Y22151" s="100"/>
    </row>
    <row r="22152">
      <c r="R22152" s="100"/>
      <c r="V22152" s="100"/>
      <c r="Y22152" s="100"/>
    </row>
    <row r="22153">
      <c r="R22153" s="100"/>
      <c r="V22153" s="100"/>
      <c r="Y22153" s="100"/>
    </row>
    <row r="22154">
      <c r="R22154" s="100"/>
      <c r="V22154" s="100"/>
      <c r="Y22154" s="100"/>
    </row>
    <row r="22155">
      <c r="R22155" s="100"/>
      <c r="V22155" s="100"/>
      <c r="Y22155" s="100"/>
    </row>
    <row r="22156">
      <c r="R22156" s="100"/>
      <c r="V22156" s="100"/>
      <c r="Y22156" s="100"/>
    </row>
    <row r="22157">
      <c r="R22157" s="100"/>
      <c r="V22157" s="100"/>
      <c r="Y22157" s="100"/>
    </row>
    <row r="22158">
      <c r="R22158" s="100"/>
      <c r="V22158" s="100"/>
      <c r="Y22158" s="100"/>
    </row>
    <row r="22159">
      <c r="R22159" s="100"/>
      <c r="V22159" s="100"/>
      <c r="Y22159" s="100"/>
    </row>
    <row r="22160">
      <c r="R22160" s="100"/>
      <c r="V22160" s="100"/>
      <c r="Y22160" s="100"/>
    </row>
    <row r="22161">
      <c r="R22161" s="100"/>
      <c r="V22161" s="100"/>
      <c r="Y22161" s="100"/>
    </row>
    <row r="22162">
      <c r="R22162" s="100"/>
      <c r="V22162" s="100"/>
      <c r="Y22162" s="100"/>
    </row>
    <row r="22163">
      <c r="R22163" s="100"/>
      <c r="V22163" s="100"/>
      <c r="Y22163" s="100"/>
    </row>
    <row r="22164">
      <c r="R22164" s="100"/>
      <c r="V22164" s="100"/>
      <c r="Y22164" s="100"/>
    </row>
    <row r="22165">
      <c r="R22165" s="100"/>
      <c r="V22165" s="100"/>
      <c r="Y22165" s="100"/>
    </row>
    <row r="22166">
      <c r="R22166" s="100"/>
      <c r="V22166" s="100"/>
      <c r="Y22166" s="100"/>
    </row>
    <row r="22167">
      <c r="R22167" s="100"/>
      <c r="V22167" s="100"/>
      <c r="Y22167" s="100"/>
    </row>
    <row r="22168">
      <c r="R22168" s="100"/>
      <c r="V22168" s="100"/>
      <c r="Y22168" s="100"/>
    </row>
    <row r="22169">
      <c r="R22169" s="100"/>
      <c r="V22169" s="100"/>
      <c r="Y22169" s="100"/>
    </row>
    <row r="22170">
      <c r="R22170" s="100"/>
      <c r="V22170" s="100"/>
      <c r="Y22170" s="100"/>
    </row>
    <row r="22171">
      <c r="R22171" s="100"/>
      <c r="V22171" s="100"/>
      <c r="Y22171" s="100"/>
    </row>
    <row r="22172">
      <c r="R22172" s="100"/>
      <c r="V22172" s="100"/>
      <c r="Y22172" s="100"/>
    </row>
    <row r="22173">
      <c r="R22173" s="100"/>
      <c r="V22173" s="100"/>
      <c r="Y22173" s="100"/>
    </row>
    <row r="22174">
      <c r="R22174" s="100"/>
      <c r="V22174" s="100"/>
      <c r="Y22174" s="100"/>
    </row>
    <row r="22175">
      <c r="R22175" s="100"/>
      <c r="V22175" s="100"/>
      <c r="Y22175" s="100"/>
    </row>
    <row r="22176">
      <c r="R22176" s="100"/>
      <c r="V22176" s="100"/>
      <c r="Y22176" s="100"/>
    </row>
    <row r="22177">
      <c r="R22177" s="100"/>
      <c r="V22177" s="100"/>
      <c r="Y22177" s="100"/>
    </row>
    <row r="22178">
      <c r="R22178" s="100"/>
      <c r="V22178" s="100"/>
      <c r="Y22178" s="100"/>
    </row>
    <row r="22179">
      <c r="R22179" s="100"/>
      <c r="V22179" s="100"/>
      <c r="Y22179" s="100"/>
    </row>
    <row r="22180">
      <c r="R22180" s="100"/>
      <c r="V22180" s="100"/>
      <c r="Y22180" s="100"/>
    </row>
    <row r="22181">
      <c r="R22181" s="100"/>
      <c r="V22181" s="100"/>
      <c r="Y22181" s="100"/>
    </row>
    <row r="22182">
      <c r="R22182" s="100"/>
      <c r="V22182" s="100"/>
      <c r="Y22182" s="100"/>
    </row>
    <row r="22183">
      <c r="R22183" s="100"/>
      <c r="V22183" s="100"/>
      <c r="Y22183" s="100"/>
    </row>
    <row r="22184">
      <c r="R22184" s="100"/>
      <c r="V22184" s="100"/>
      <c r="Y22184" s="100"/>
    </row>
    <row r="22185">
      <c r="R22185" s="100"/>
      <c r="V22185" s="100"/>
      <c r="Y22185" s="100"/>
    </row>
    <row r="22186">
      <c r="R22186" s="100"/>
      <c r="V22186" s="100"/>
      <c r="Y22186" s="100"/>
    </row>
    <row r="22187">
      <c r="R22187" s="100"/>
      <c r="V22187" s="100"/>
      <c r="Y22187" s="100"/>
    </row>
    <row r="22188">
      <c r="R22188" s="100"/>
      <c r="V22188" s="100"/>
      <c r="Y22188" s="100"/>
    </row>
    <row r="22189">
      <c r="R22189" s="100"/>
      <c r="V22189" s="100"/>
      <c r="Y22189" s="100"/>
    </row>
    <row r="22190">
      <c r="R22190" s="100"/>
      <c r="V22190" s="100"/>
      <c r="Y22190" s="100"/>
    </row>
    <row r="22191">
      <c r="R22191" s="100"/>
      <c r="V22191" s="100"/>
      <c r="Y22191" s="100"/>
    </row>
    <row r="22192">
      <c r="R22192" s="100"/>
      <c r="V22192" s="100"/>
      <c r="Y22192" s="100"/>
    </row>
    <row r="22193">
      <c r="R22193" s="100"/>
      <c r="V22193" s="100"/>
      <c r="Y22193" s="100"/>
    </row>
    <row r="22194">
      <c r="R22194" s="100"/>
      <c r="V22194" s="100"/>
      <c r="Y22194" s="100"/>
    </row>
    <row r="22195">
      <c r="R22195" s="100"/>
      <c r="V22195" s="100"/>
      <c r="Y22195" s="100"/>
    </row>
    <row r="22196">
      <c r="R22196" s="100"/>
      <c r="V22196" s="100"/>
      <c r="Y22196" s="100"/>
    </row>
    <row r="22197">
      <c r="R22197" s="100"/>
      <c r="V22197" s="100"/>
      <c r="Y22197" s="100"/>
    </row>
    <row r="22198">
      <c r="R22198" s="100"/>
      <c r="V22198" s="100"/>
      <c r="Y22198" s="100"/>
    </row>
    <row r="22199">
      <c r="R22199" s="100"/>
      <c r="V22199" s="100"/>
      <c r="Y22199" s="100"/>
    </row>
    <row r="22200">
      <c r="R22200" s="100"/>
      <c r="V22200" s="100"/>
      <c r="Y22200" s="100"/>
    </row>
    <row r="22201">
      <c r="R22201" s="100"/>
      <c r="V22201" s="100"/>
      <c r="Y22201" s="100"/>
    </row>
    <row r="22202">
      <c r="R22202" s="100"/>
      <c r="V22202" s="100"/>
      <c r="Y22202" s="100"/>
    </row>
    <row r="22203">
      <c r="R22203" s="100"/>
      <c r="V22203" s="100"/>
      <c r="Y22203" s="100"/>
    </row>
    <row r="22204">
      <c r="R22204" s="100"/>
      <c r="V22204" s="100"/>
      <c r="Y22204" s="100"/>
    </row>
    <row r="22205">
      <c r="R22205" s="100"/>
      <c r="V22205" s="100"/>
      <c r="Y22205" s="100"/>
    </row>
    <row r="22206">
      <c r="R22206" s="100"/>
      <c r="V22206" s="100"/>
      <c r="Y22206" s="100"/>
    </row>
    <row r="22207">
      <c r="R22207" s="100"/>
      <c r="V22207" s="100"/>
      <c r="Y22207" s="100"/>
    </row>
    <row r="22208">
      <c r="R22208" s="100"/>
      <c r="V22208" s="100"/>
      <c r="Y22208" s="100"/>
    </row>
    <row r="22209">
      <c r="R22209" s="100"/>
      <c r="V22209" s="100"/>
      <c r="Y22209" s="100"/>
    </row>
    <row r="22210">
      <c r="R22210" s="100"/>
      <c r="V22210" s="100"/>
      <c r="Y22210" s="100"/>
    </row>
    <row r="22211">
      <c r="R22211" s="100"/>
      <c r="V22211" s="100"/>
      <c r="Y22211" s="100"/>
    </row>
    <row r="22212">
      <c r="R22212" s="100"/>
      <c r="V22212" s="100"/>
      <c r="Y22212" s="100"/>
    </row>
    <row r="22213">
      <c r="R22213" s="100"/>
      <c r="V22213" s="100"/>
      <c r="Y22213" s="100"/>
    </row>
    <row r="22214">
      <c r="R22214" s="100"/>
      <c r="V22214" s="100"/>
      <c r="Y22214" s="100"/>
    </row>
    <row r="22215">
      <c r="R22215" s="100"/>
      <c r="V22215" s="100"/>
      <c r="Y22215" s="100"/>
    </row>
    <row r="22216">
      <c r="R22216" s="100"/>
      <c r="V22216" s="100"/>
      <c r="Y22216" s="100"/>
    </row>
    <row r="22217">
      <c r="R22217" s="100"/>
      <c r="V22217" s="100"/>
      <c r="Y22217" s="100"/>
    </row>
    <row r="22218">
      <c r="R22218" s="100"/>
      <c r="V22218" s="100"/>
      <c r="Y22218" s="100"/>
    </row>
    <row r="22219">
      <c r="R22219" s="100"/>
      <c r="V22219" s="100"/>
      <c r="Y22219" s="100"/>
    </row>
    <row r="22220">
      <c r="R22220" s="100"/>
      <c r="V22220" s="100"/>
      <c r="Y22220" s="100"/>
    </row>
    <row r="22221">
      <c r="R22221" s="100"/>
      <c r="V22221" s="100"/>
      <c r="Y22221" s="100"/>
    </row>
    <row r="22222">
      <c r="R22222" s="100"/>
      <c r="V22222" s="100"/>
      <c r="Y22222" s="100"/>
    </row>
    <row r="22223">
      <c r="R22223" s="100"/>
      <c r="V22223" s="100"/>
      <c r="Y22223" s="100"/>
    </row>
    <row r="22224">
      <c r="R22224" s="100"/>
      <c r="V22224" s="100"/>
      <c r="Y22224" s="100"/>
    </row>
    <row r="22225">
      <c r="R22225" s="100"/>
      <c r="V22225" s="100"/>
      <c r="Y22225" s="100"/>
    </row>
    <row r="22226">
      <c r="R22226" s="100"/>
      <c r="V22226" s="100"/>
      <c r="Y22226" s="100"/>
    </row>
    <row r="22227">
      <c r="R22227" s="100"/>
      <c r="V22227" s="100"/>
      <c r="Y22227" s="100"/>
    </row>
    <row r="22228">
      <c r="R22228" s="100"/>
      <c r="V22228" s="100"/>
      <c r="Y22228" s="100"/>
    </row>
    <row r="22229">
      <c r="R22229" s="100"/>
      <c r="V22229" s="100"/>
      <c r="Y22229" s="100"/>
    </row>
    <row r="22230">
      <c r="R22230" s="100"/>
      <c r="V22230" s="100"/>
      <c r="Y22230" s="100"/>
    </row>
    <row r="22231">
      <c r="R22231" s="100"/>
      <c r="V22231" s="100"/>
      <c r="Y22231" s="100"/>
    </row>
    <row r="22232">
      <c r="R22232" s="100"/>
      <c r="V22232" s="100"/>
      <c r="Y22232" s="100"/>
    </row>
    <row r="22233">
      <c r="R22233" s="100"/>
      <c r="V22233" s="100"/>
      <c r="Y22233" s="100"/>
    </row>
    <row r="22234">
      <c r="R22234" s="100"/>
      <c r="V22234" s="100"/>
      <c r="Y22234" s="100"/>
    </row>
    <row r="22235">
      <c r="R22235" s="100"/>
      <c r="V22235" s="100"/>
      <c r="Y22235" s="100"/>
    </row>
    <row r="22236">
      <c r="R22236" s="100"/>
      <c r="V22236" s="100"/>
      <c r="Y22236" s="100"/>
    </row>
    <row r="22237">
      <c r="R22237" s="100"/>
      <c r="V22237" s="100"/>
      <c r="Y22237" s="100"/>
    </row>
    <row r="22238">
      <c r="R22238" s="100"/>
      <c r="V22238" s="100"/>
      <c r="Y22238" s="100"/>
    </row>
    <row r="22239">
      <c r="R22239" s="100"/>
      <c r="V22239" s="100"/>
      <c r="Y22239" s="100"/>
    </row>
    <row r="22240">
      <c r="R22240" s="100"/>
      <c r="V22240" s="100"/>
      <c r="Y22240" s="100"/>
    </row>
    <row r="22241">
      <c r="R22241" s="100"/>
      <c r="V22241" s="100"/>
      <c r="Y22241" s="100"/>
    </row>
    <row r="22242">
      <c r="R22242" s="100"/>
      <c r="V22242" s="100"/>
      <c r="Y22242" s="100"/>
    </row>
    <row r="22243">
      <c r="R22243" s="100"/>
      <c r="V22243" s="100"/>
      <c r="Y22243" s="100"/>
    </row>
    <row r="22244">
      <c r="R22244" s="100"/>
      <c r="V22244" s="100"/>
      <c r="Y22244" s="100"/>
    </row>
    <row r="22245">
      <c r="R22245" s="100"/>
      <c r="V22245" s="100"/>
      <c r="Y22245" s="100"/>
    </row>
    <row r="22246">
      <c r="R22246" s="100"/>
      <c r="V22246" s="100"/>
      <c r="Y22246" s="100"/>
    </row>
    <row r="22247">
      <c r="R22247" s="100"/>
      <c r="V22247" s="100"/>
      <c r="Y22247" s="100"/>
    </row>
    <row r="22248">
      <c r="R22248" s="100"/>
      <c r="V22248" s="100"/>
      <c r="Y22248" s="100"/>
    </row>
    <row r="22249">
      <c r="R22249" s="100"/>
      <c r="V22249" s="100"/>
      <c r="Y22249" s="100"/>
    </row>
    <row r="22250">
      <c r="R22250" s="100"/>
      <c r="V22250" s="100"/>
      <c r="Y22250" s="100"/>
    </row>
    <row r="22251">
      <c r="R22251" s="100"/>
      <c r="V22251" s="100"/>
      <c r="Y22251" s="100"/>
    </row>
    <row r="22252">
      <c r="R22252" s="100"/>
      <c r="V22252" s="100"/>
      <c r="Y22252" s="100"/>
    </row>
    <row r="22253">
      <c r="R22253" s="100"/>
      <c r="V22253" s="100"/>
      <c r="Y22253" s="100"/>
    </row>
    <row r="22254">
      <c r="R22254" s="100"/>
      <c r="V22254" s="100"/>
      <c r="Y22254" s="100"/>
    </row>
    <row r="22255">
      <c r="R22255" s="100"/>
      <c r="V22255" s="100"/>
      <c r="Y22255" s="100"/>
    </row>
    <row r="22256">
      <c r="R22256" s="100"/>
      <c r="V22256" s="100"/>
      <c r="Y22256" s="100"/>
    </row>
    <row r="22257">
      <c r="R22257" s="100"/>
      <c r="V22257" s="100"/>
      <c r="Y22257" s="100"/>
    </row>
    <row r="22258">
      <c r="R22258" s="100"/>
      <c r="V22258" s="100"/>
      <c r="Y22258" s="100"/>
    </row>
    <row r="22259">
      <c r="R22259" s="100"/>
      <c r="V22259" s="100"/>
      <c r="Y22259" s="100"/>
    </row>
    <row r="22260">
      <c r="R22260" s="100"/>
      <c r="V22260" s="100"/>
      <c r="Y22260" s="100"/>
    </row>
    <row r="22261">
      <c r="R22261" s="100"/>
      <c r="V22261" s="100"/>
      <c r="Y22261" s="100"/>
    </row>
    <row r="22262">
      <c r="R22262" s="100"/>
      <c r="V22262" s="100"/>
      <c r="Y22262" s="100"/>
    </row>
    <row r="22263">
      <c r="R22263" s="100"/>
      <c r="V22263" s="100"/>
      <c r="Y22263" s="100"/>
    </row>
    <row r="22264">
      <c r="R22264" s="100"/>
      <c r="V22264" s="100"/>
      <c r="Y22264" s="100"/>
    </row>
    <row r="22265">
      <c r="R22265" s="100"/>
      <c r="V22265" s="100"/>
      <c r="Y22265" s="100"/>
    </row>
    <row r="22266">
      <c r="R22266" s="100"/>
      <c r="V22266" s="100"/>
      <c r="Y22266" s="100"/>
    </row>
    <row r="22267">
      <c r="R22267" s="100"/>
      <c r="V22267" s="100"/>
      <c r="Y22267" s="100"/>
    </row>
    <row r="22268">
      <c r="R22268" s="100"/>
      <c r="V22268" s="100"/>
      <c r="Y22268" s="100"/>
    </row>
    <row r="22269">
      <c r="R22269" s="100"/>
      <c r="V22269" s="100"/>
      <c r="Y22269" s="100"/>
    </row>
    <row r="22270">
      <c r="R22270" s="100"/>
      <c r="V22270" s="100"/>
      <c r="Y22270" s="100"/>
    </row>
    <row r="22271">
      <c r="R22271" s="100"/>
      <c r="V22271" s="100"/>
      <c r="Y22271" s="100"/>
    </row>
    <row r="22272">
      <c r="R22272" s="100"/>
      <c r="V22272" s="100"/>
      <c r="Y22272" s="100"/>
    </row>
    <row r="22273">
      <c r="R22273" s="100"/>
      <c r="V22273" s="100"/>
      <c r="Y22273" s="100"/>
    </row>
    <row r="22274">
      <c r="R22274" s="100"/>
      <c r="V22274" s="100"/>
      <c r="Y22274" s="100"/>
    </row>
    <row r="22275">
      <c r="R22275" s="100"/>
      <c r="V22275" s="100"/>
      <c r="Y22275" s="100"/>
    </row>
    <row r="22276">
      <c r="R22276" s="100"/>
      <c r="V22276" s="100"/>
      <c r="Y22276" s="100"/>
    </row>
    <row r="22277">
      <c r="R22277" s="100"/>
      <c r="V22277" s="100"/>
      <c r="Y22277" s="100"/>
    </row>
    <row r="22278">
      <c r="R22278" s="100"/>
      <c r="V22278" s="100"/>
      <c r="Y22278" s="100"/>
    </row>
    <row r="22279">
      <c r="R22279" s="100"/>
      <c r="V22279" s="100"/>
      <c r="Y22279" s="100"/>
    </row>
    <row r="22280">
      <c r="R22280" s="100"/>
      <c r="V22280" s="100"/>
      <c r="Y22280" s="100"/>
    </row>
    <row r="22281">
      <c r="R22281" s="100"/>
      <c r="V22281" s="100"/>
      <c r="Y22281" s="100"/>
    </row>
    <row r="22282">
      <c r="R22282" s="100"/>
      <c r="V22282" s="100"/>
      <c r="Y22282" s="100"/>
    </row>
    <row r="22283">
      <c r="R22283" s="100"/>
      <c r="V22283" s="100"/>
      <c r="Y22283" s="100"/>
    </row>
    <row r="22284">
      <c r="R22284" s="100"/>
      <c r="V22284" s="100"/>
      <c r="Y22284" s="100"/>
    </row>
    <row r="22285">
      <c r="R22285" s="100"/>
      <c r="V22285" s="100"/>
      <c r="Y22285" s="100"/>
    </row>
    <row r="22286">
      <c r="R22286" s="100"/>
      <c r="V22286" s="100"/>
      <c r="Y22286" s="100"/>
    </row>
    <row r="22287">
      <c r="R22287" s="100"/>
      <c r="V22287" s="100"/>
      <c r="Y22287" s="100"/>
    </row>
    <row r="22288">
      <c r="R22288" s="100"/>
      <c r="V22288" s="100"/>
      <c r="Y22288" s="100"/>
    </row>
    <row r="22289">
      <c r="R22289" s="100"/>
      <c r="V22289" s="100"/>
      <c r="Y22289" s="100"/>
    </row>
    <row r="22290">
      <c r="R22290" s="100"/>
      <c r="V22290" s="100"/>
      <c r="Y22290" s="100"/>
    </row>
    <row r="22291">
      <c r="R22291" s="100"/>
      <c r="V22291" s="100"/>
      <c r="Y22291" s="100"/>
    </row>
    <row r="22292">
      <c r="R22292" s="100"/>
      <c r="V22292" s="100"/>
      <c r="Y22292" s="100"/>
    </row>
    <row r="22293">
      <c r="R22293" s="100"/>
      <c r="V22293" s="100"/>
      <c r="Y22293" s="100"/>
    </row>
    <row r="22294">
      <c r="R22294" s="100"/>
      <c r="V22294" s="100"/>
      <c r="Y22294" s="100"/>
    </row>
    <row r="22295">
      <c r="R22295" s="100"/>
      <c r="V22295" s="100"/>
      <c r="Y22295" s="100"/>
    </row>
    <row r="22296">
      <c r="R22296" s="100"/>
      <c r="V22296" s="100"/>
      <c r="Y22296" s="100"/>
    </row>
    <row r="22297">
      <c r="R22297" s="100"/>
      <c r="V22297" s="100"/>
      <c r="Y22297" s="100"/>
    </row>
    <row r="22298">
      <c r="R22298" s="100"/>
      <c r="V22298" s="100"/>
      <c r="Y22298" s="100"/>
    </row>
    <row r="22299">
      <c r="R22299" s="100"/>
      <c r="V22299" s="100"/>
      <c r="Y22299" s="100"/>
    </row>
    <row r="22300">
      <c r="R22300" s="100"/>
      <c r="V22300" s="100"/>
      <c r="Y22300" s="100"/>
    </row>
    <row r="22301">
      <c r="R22301" s="100"/>
      <c r="V22301" s="100"/>
      <c r="Y22301" s="100"/>
    </row>
    <row r="22302">
      <c r="R22302" s="100"/>
      <c r="V22302" s="100"/>
      <c r="Y22302" s="100"/>
    </row>
    <row r="22303">
      <c r="R22303" s="100"/>
      <c r="V22303" s="100"/>
      <c r="Y22303" s="100"/>
    </row>
    <row r="22304">
      <c r="R22304" s="100"/>
      <c r="V22304" s="100"/>
      <c r="Y22304" s="100"/>
    </row>
    <row r="22305">
      <c r="R22305" s="100"/>
      <c r="V22305" s="100"/>
      <c r="Y22305" s="100"/>
    </row>
    <row r="22306">
      <c r="R22306" s="100"/>
      <c r="V22306" s="100"/>
      <c r="Y22306" s="100"/>
    </row>
    <row r="22307">
      <c r="R22307" s="100"/>
      <c r="V22307" s="100"/>
      <c r="Y22307" s="100"/>
    </row>
    <row r="22308">
      <c r="R22308" s="100"/>
      <c r="V22308" s="100"/>
      <c r="Y22308" s="100"/>
    </row>
    <row r="22309">
      <c r="R22309" s="100"/>
      <c r="V22309" s="100"/>
      <c r="Y22309" s="100"/>
    </row>
    <row r="22310">
      <c r="R22310" s="100"/>
      <c r="V22310" s="100"/>
      <c r="Y22310" s="100"/>
    </row>
    <row r="22311">
      <c r="R22311" s="100"/>
      <c r="V22311" s="100"/>
      <c r="Y22311" s="100"/>
    </row>
    <row r="22312">
      <c r="R22312" s="100"/>
      <c r="V22312" s="100"/>
      <c r="Y22312" s="100"/>
    </row>
    <row r="22313">
      <c r="R22313" s="100"/>
      <c r="V22313" s="100"/>
      <c r="Y22313" s="100"/>
    </row>
    <row r="22314">
      <c r="R22314" s="100"/>
      <c r="V22314" s="100"/>
      <c r="Y22314" s="100"/>
    </row>
    <row r="22315">
      <c r="R22315" s="100"/>
      <c r="V22315" s="100"/>
      <c r="Y22315" s="100"/>
    </row>
    <row r="22316">
      <c r="R22316" s="100"/>
      <c r="V22316" s="100"/>
      <c r="Y22316" s="100"/>
    </row>
    <row r="22317">
      <c r="R22317" s="100"/>
      <c r="V22317" s="100"/>
      <c r="Y22317" s="100"/>
    </row>
    <row r="22318">
      <c r="R22318" s="100"/>
      <c r="V22318" s="100"/>
      <c r="Y22318" s="100"/>
    </row>
    <row r="22319">
      <c r="R22319" s="100"/>
      <c r="V22319" s="100"/>
      <c r="Y22319" s="100"/>
    </row>
    <row r="22320">
      <c r="R22320" s="100"/>
      <c r="V22320" s="100"/>
      <c r="Y22320" s="100"/>
    </row>
    <row r="22321">
      <c r="R22321" s="100"/>
      <c r="V22321" s="100"/>
      <c r="Y22321" s="100"/>
    </row>
    <row r="22322">
      <c r="R22322" s="100"/>
      <c r="V22322" s="100"/>
      <c r="Y22322" s="100"/>
    </row>
    <row r="22323">
      <c r="R22323" s="100"/>
      <c r="V22323" s="100"/>
      <c r="Y22323" s="100"/>
    </row>
    <row r="22324">
      <c r="R22324" s="100"/>
      <c r="V22324" s="100"/>
      <c r="Y22324" s="100"/>
    </row>
    <row r="22325">
      <c r="R22325" s="100"/>
      <c r="V22325" s="100"/>
      <c r="Y22325" s="100"/>
    </row>
    <row r="22326">
      <c r="R22326" s="100"/>
      <c r="V22326" s="100"/>
      <c r="Y22326" s="100"/>
    </row>
    <row r="22327">
      <c r="R22327" s="100"/>
      <c r="V22327" s="100"/>
      <c r="Y22327" s="100"/>
    </row>
    <row r="22328">
      <c r="R22328" s="100"/>
      <c r="V22328" s="100"/>
      <c r="Y22328" s="100"/>
    </row>
    <row r="22329">
      <c r="R22329" s="100"/>
      <c r="V22329" s="100"/>
      <c r="Y22329" s="100"/>
    </row>
    <row r="22330">
      <c r="R22330" s="100"/>
      <c r="V22330" s="100"/>
      <c r="Y22330" s="100"/>
    </row>
    <row r="22331">
      <c r="R22331" s="100"/>
      <c r="V22331" s="100"/>
      <c r="Y22331" s="100"/>
    </row>
    <row r="22332">
      <c r="R22332" s="100"/>
      <c r="V22332" s="100"/>
      <c r="Y22332" s="100"/>
    </row>
    <row r="22333">
      <c r="R22333" s="100"/>
      <c r="V22333" s="100"/>
      <c r="Y22333" s="100"/>
    </row>
    <row r="22334">
      <c r="R22334" s="100"/>
      <c r="V22334" s="100"/>
      <c r="Y22334" s="100"/>
    </row>
    <row r="22335">
      <c r="R22335" s="100"/>
      <c r="V22335" s="100"/>
      <c r="Y22335" s="100"/>
    </row>
    <row r="22336">
      <c r="R22336" s="100"/>
      <c r="V22336" s="100"/>
      <c r="Y22336" s="100"/>
    </row>
    <row r="22337">
      <c r="R22337" s="100"/>
      <c r="V22337" s="100"/>
      <c r="Y22337" s="100"/>
    </row>
    <row r="22338">
      <c r="R22338" s="100"/>
      <c r="V22338" s="100"/>
      <c r="Y22338" s="100"/>
    </row>
    <row r="22339">
      <c r="R22339" s="100"/>
      <c r="V22339" s="100"/>
      <c r="Y22339" s="100"/>
    </row>
    <row r="22340">
      <c r="R22340" s="100"/>
      <c r="V22340" s="100"/>
      <c r="Y22340" s="100"/>
    </row>
    <row r="22341">
      <c r="R22341" s="100"/>
      <c r="V22341" s="100"/>
      <c r="Y22341" s="100"/>
    </row>
    <row r="22342">
      <c r="R22342" s="100"/>
      <c r="V22342" s="100"/>
      <c r="Y22342" s="100"/>
    </row>
    <row r="22343">
      <c r="R22343" s="100"/>
      <c r="V22343" s="100"/>
      <c r="Y22343" s="100"/>
    </row>
    <row r="22344">
      <c r="R22344" s="100"/>
      <c r="V22344" s="100"/>
      <c r="Y22344" s="100"/>
    </row>
    <row r="22345">
      <c r="R22345" s="100"/>
      <c r="V22345" s="100"/>
      <c r="Y22345" s="100"/>
    </row>
    <row r="22346">
      <c r="R22346" s="100"/>
      <c r="V22346" s="100"/>
      <c r="Y22346" s="100"/>
    </row>
    <row r="22347">
      <c r="R22347" s="100"/>
      <c r="V22347" s="100"/>
      <c r="Y22347" s="100"/>
    </row>
    <row r="22348">
      <c r="R22348" s="100"/>
      <c r="V22348" s="100"/>
      <c r="Y22348" s="100"/>
    </row>
    <row r="22349">
      <c r="R22349" s="100"/>
      <c r="V22349" s="100"/>
      <c r="Y22349" s="100"/>
    </row>
    <row r="22350">
      <c r="R22350" s="100"/>
      <c r="V22350" s="100"/>
      <c r="Y22350" s="100"/>
    </row>
    <row r="22351">
      <c r="R22351" s="100"/>
      <c r="V22351" s="100"/>
      <c r="Y22351" s="100"/>
    </row>
    <row r="22352">
      <c r="R22352" s="100"/>
      <c r="V22352" s="100"/>
      <c r="Y22352" s="100"/>
    </row>
    <row r="22353">
      <c r="R22353" s="100"/>
      <c r="V22353" s="100"/>
      <c r="Y22353" s="100"/>
    </row>
    <row r="22354">
      <c r="R22354" s="100"/>
      <c r="V22354" s="100"/>
      <c r="Y22354" s="100"/>
    </row>
    <row r="22355">
      <c r="R22355" s="100"/>
      <c r="V22355" s="100"/>
      <c r="Y22355" s="100"/>
    </row>
    <row r="22356">
      <c r="R22356" s="100"/>
      <c r="V22356" s="100"/>
      <c r="Y22356" s="100"/>
    </row>
    <row r="22357">
      <c r="R22357" s="100"/>
      <c r="V22357" s="100"/>
      <c r="Y22357" s="100"/>
    </row>
    <row r="22358">
      <c r="R22358" s="100"/>
      <c r="V22358" s="100"/>
      <c r="Y22358" s="100"/>
    </row>
    <row r="22359">
      <c r="R22359" s="100"/>
      <c r="V22359" s="100"/>
      <c r="Y22359" s="100"/>
    </row>
    <row r="22360">
      <c r="R22360" s="100"/>
      <c r="V22360" s="100"/>
      <c r="Y22360" s="100"/>
    </row>
    <row r="22361">
      <c r="R22361" s="100"/>
      <c r="V22361" s="100"/>
      <c r="Y22361" s="100"/>
    </row>
    <row r="22362">
      <c r="R22362" s="100"/>
      <c r="V22362" s="100"/>
      <c r="Y22362" s="100"/>
    </row>
    <row r="22363">
      <c r="R22363" s="100"/>
      <c r="V22363" s="100"/>
      <c r="Y22363" s="100"/>
    </row>
    <row r="22364">
      <c r="R22364" s="100"/>
      <c r="V22364" s="100"/>
      <c r="Y22364" s="100"/>
    </row>
    <row r="22365">
      <c r="R22365" s="100"/>
      <c r="V22365" s="100"/>
      <c r="Y22365" s="100"/>
    </row>
    <row r="22366">
      <c r="R22366" s="100"/>
      <c r="V22366" s="100"/>
      <c r="Y22366" s="100"/>
    </row>
    <row r="22367">
      <c r="R22367" s="100"/>
      <c r="V22367" s="100"/>
      <c r="Y22367" s="100"/>
    </row>
    <row r="22368">
      <c r="R22368" s="100"/>
      <c r="V22368" s="100"/>
      <c r="Y22368" s="100"/>
    </row>
    <row r="22369">
      <c r="R22369" s="100"/>
      <c r="V22369" s="100"/>
      <c r="Y22369" s="100"/>
    </row>
    <row r="22370">
      <c r="R22370" s="100"/>
      <c r="V22370" s="100"/>
      <c r="Y22370" s="100"/>
    </row>
    <row r="22371">
      <c r="R22371" s="100"/>
      <c r="V22371" s="100"/>
      <c r="Y22371" s="100"/>
    </row>
    <row r="22372">
      <c r="R22372" s="100"/>
      <c r="V22372" s="100"/>
      <c r="Y22372" s="100"/>
    </row>
    <row r="22373">
      <c r="R22373" s="100"/>
      <c r="V22373" s="100"/>
      <c r="Y22373" s="100"/>
    </row>
    <row r="22374">
      <c r="R22374" s="100"/>
      <c r="V22374" s="100"/>
      <c r="Y22374" s="100"/>
    </row>
    <row r="22375">
      <c r="R22375" s="100"/>
      <c r="V22375" s="100"/>
      <c r="Y22375" s="100"/>
    </row>
    <row r="22376">
      <c r="R22376" s="100"/>
      <c r="V22376" s="100"/>
      <c r="Y22376" s="100"/>
    </row>
    <row r="22377">
      <c r="R22377" s="100"/>
      <c r="V22377" s="100"/>
      <c r="Y22377" s="100"/>
    </row>
    <row r="22378">
      <c r="R22378" s="100"/>
      <c r="V22378" s="100"/>
      <c r="Y22378" s="100"/>
    </row>
    <row r="22379">
      <c r="R22379" s="100"/>
      <c r="V22379" s="100"/>
      <c r="Y22379" s="100"/>
    </row>
    <row r="22380">
      <c r="R22380" s="100"/>
      <c r="V22380" s="100"/>
      <c r="Y22380" s="100"/>
    </row>
    <row r="22381">
      <c r="R22381" s="100"/>
      <c r="V22381" s="100"/>
      <c r="Y22381" s="100"/>
    </row>
    <row r="22382">
      <c r="R22382" s="100"/>
      <c r="V22382" s="100"/>
      <c r="Y22382" s="100"/>
    </row>
    <row r="22383">
      <c r="R22383" s="100"/>
      <c r="V22383" s="100"/>
      <c r="Y22383" s="100"/>
    </row>
    <row r="22384">
      <c r="R22384" s="100"/>
      <c r="V22384" s="100"/>
      <c r="Y22384" s="100"/>
    </row>
    <row r="22385">
      <c r="R22385" s="100"/>
      <c r="V22385" s="100"/>
      <c r="Y22385" s="100"/>
    </row>
    <row r="22386">
      <c r="R22386" s="100"/>
      <c r="V22386" s="100"/>
      <c r="Y22386" s="100"/>
    </row>
    <row r="22387">
      <c r="R22387" s="100"/>
      <c r="V22387" s="100"/>
      <c r="Y22387" s="100"/>
    </row>
    <row r="22388">
      <c r="R22388" s="100"/>
      <c r="V22388" s="100"/>
      <c r="Y22388" s="100"/>
    </row>
    <row r="22389">
      <c r="R22389" s="100"/>
      <c r="V22389" s="100"/>
      <c r="Y22389" s="100"/>
    </row>
    <row r="22390">
      <c r="R22390" s="100"/>
      <c r="V22390" s="100"/>
      <c r="Y22390" s="100"/>
    </row>
    <row r="22391">
      <c r="R22391" s="100"/>
      <c r="V22391" s="100"/>
      <c r="Y22391" s="100"/>
    </row>
    <row r="22392">
      <c r="R22392" s="100"/>
      <c r="V22392" s="100"/>
      <c r="Y22392" s="100"/>
    </row>
    <row r="22393">
      <c r="R22393" s="100"/>
      <c r="V22393" s="100"/>
      <c r="Y22393" s="100"/>
    </row>
    <row r="22394">
      <c r="R22394" s="100"/>
      <c r="V22394" s="100"/>
      <c r="Y22394" s="100"/>
    </row>
    <row r="22395">
      <c r="R22395" s="100"/>
      <c r="V22395" s="100"/>
      <c r="Y22395" s="100"/>
    </row>
    <row r="22396">
      <c r="R22396" s="100"/>
      <c r="V22396" s="100"/>
      <c r="Y22396" s="100"/>
    </row>
    <row r="22397">
      <c r="R22397" s="100"/>
      <c r="V22397" s="100"/>
      <c r="Y22397" s="100"/>
    </row>
    <row r="22398">
      <c r="R22398" s="100"/>
      <c r="V22398" s="100"/>
      <c r="Y22398" s="100"/>
    </row>
    <row r="22399">
      <c r="R22399" s="100"/>
      <c r="V22399" s="100"/>
      <c r="Y22399" s="100"/>
    </row>
    <row r="22400">
      <c r="R22400" s="100"/>
      <c r="V22400" s="100"/>
      <c r="Y22400" s="100"/>
    </row>
    <row r="22401">
      <c r="R22401" s="100"/>
      <c r="V22401" s="100"/>
      <c r="Y22401" s="100"/>
    </row>
    <row r="22402">
      <c r="R22402" s="100"/>
      <c r="V22402" s="100"/>
      <c r="Y22402" s="100"/>
    </row>
    <row r="22403">
      <c r="R22403" s="100"/>
      <c r="V22403" s="100"/>
      <c r="Y22403" s="100"/>
    </row>
    <row r="22404">
      <c r="R22404" s="100"/>
      <c r="V22404" s="100"/>
      <c r="Y22404" s="100"/>
    </row>
    <row r="22405">
      <c r="R22405" s="100"/>
      <c r="V22405" s="100"/>
      <c r="Y22405" s="100"/>
    </row>
    <row r="22406">
      <c r="R22406" s="100"/>
      <c r="V22406" s="100"/>
      <c r="Y22406" s="100"/>
    </row>
    <row r="22407">
      <c r="R22407" s="100"/>
      <c r="V22407" s="100"/>
      <c r="Y22407" s="100"/>
    </row>
    <row r="22408">
      <c r="R22408" s="100"/>
      <c r="V22408" s="100"/>
      <c r="Y22408" s="100"/>
    </row>
    <row r="22409">
      <c r="R22409" s="100"/>
      <c r="V22409" s="100"/>
      <c r="Y22409" s="100"/>
    </row>
    <row r="22410">
      <c r="R22410" s="100"/>
      <c r="V22410" s="100"/>
      <c r="Y22410" s="100"/>
    </row>
    <row r="22411">
      <c r="R22411" s="100"/>
      <c r="V22411" s="100"/>
      <c r="Y22411" s="100"/>
    </row>
    <row r="22412">
      <c r="R22412" s="100"/>
      <c r="V22412" s="100"/>
      <c r="Y22412" s="100"/>
    </row>
    <row r="22413">
      <c r="R22413" s="100"/>
      <c r="V22413" s="100"/>
      <c r="Y22413" s="100"/>
    </row>
    <row r="22414">
      <c r="R22414" s="100"/>
      <c r="V22414" s="100"/>
      <c r="Y22414" s="100"/>
    </row>
    <row r="22415">
      <c r="R22415" s="100"/>
      <c r="V22415" s="100"/>
      <c r="Y22415" s="100"/>
    </row>
    <row r="22416">
      <c r="R22416" s="100"/>
      <c r="V22416" s="100"/>
      <c r="Y22416" s="100"/>
    </row>
    <row r="22417">
      <c r="R22417" s="100"/>
      <c r="V22417" s="100"/>
      <c r="Y22417" s="100"/>
    </row>
    <row r="22418">
      <c r="R22418" s="100"/>
      <c r="V22418" s="100"/>
      <c r="Y22418" s="100"/>
    </row>
    <row r="22419">
      <c r="R22419" s="100"/>
      <c r="V22419" s="100"/>
      <c r="Y22419" s="100"/>
    </row>
    <row r="22420">
      <c r="R22420" s="100"/>
      <c r="V22420" s="100"/>
      <c r="Y22420" s="100"/>
    </row>
    <row r="22421">
      <c r="R22421" s="100"/>
      <c r="V22421" s="100"/>
      <c r="Y22421" s="100"/>
    </row>
    <row r="22422">
      <c r="R22422" s="100"/>
      <c r="V22422" s="100"/>
      <c r="Y22422" s="100"/>
    </row>
    <row r="22423">
      <c r="R22423" s="100"/>
      <c r="V22423" s="100"/>
      <c r="Y22423" s="100"/>
    </row>
    <row r="22424">
      <c r="R22424" s="100"/>
      <c r="V22424" s="100"/>
      <c r="Y22424" s="100"/>
    </row>
    <row r="22425">
      <c r="R22425" s="100"/>
      <c r="V22425" s="100"/>
      <c r="Y22425" s="100"/>
    </row>
    <row r="22426">
      <c r="R22426" s="100"/>
      <c r="V22426" s="100"/>
      <c r="Y22426" s="100"/>
    </row>
    <row r="22427">
      <c r="R22427" s="100"/>
      <c r="V22427" s="100"/>
      <c r="Y22427" s="100"/>
    </row>
    <row r="22428">
      <c r="R22428" s="100"/>
      <c r="V22428" s="100"/>
      <c r="Y22428" s="100"/>
    </row>
    <row r="22429">
      <c r="R22429" s="100"/>
      <c r="V22429" s="100"/>
      <c r="Y22429" s="100"/>
    </row>
    <row r="22430">
      <c r="R22430" s="100"/>
      <c r="V22430" s="100"/>
      <c r="Y22430" s="100"/>
    </row>
    <row r="22431">
      <c r="R22431" s="100"/>
      <c r="V22431" s="100"/>
      <c r="Y22431" s="100"/>
    </row>
    <row r="22432">
      <c r="R22432" s="100"/>
      <c r="V22432" s="100"/>
      <c r="Y22432" s="100"/>
    </row>
    <row r="22433">
      <c r="R22433" s="100"/>
      <c r="V22433" s="100"/>
      <c r="Y22433" s="100"/>
    </row>
    <row r="22434">
      <c r="R22434" s="100"/>
      <c r="V22434" s="100"/>
      <c r="Y22434" s="100"/>
    </row>
    <row r="22435">
      <c r="R22435" s="100"/>
      <c r="V22435" s="100"/>
      <c r="Y22435" s="100"/>
    </row>
    <row r="22436">
      <c r="R22436" s="100"/>
      <c r="V22436" s="100"/>
      <c r="Y22436" s="100"/>
    </row>
    <row r="22437">
      <c r="R22437" s="100"/>
      <c r="V22437" s="100"/>
      <c r="Y22437" s="100"/>
    </row>
    <row r="22438">
      <c r="R22438" s="100"/>
      <c r="V22438" s="100"/>
      <c r="Y22438" s="100"/>
    </row>
    <row r="22439">
      <c r="R22439" s="100"/>
      <c r="V22439" s="100"/>
      <c r="Y22439" s="100"/>
    </row>
    <row r="22440">
      <c r="R22440" s="100"/>
      <c r="V22440" s="100"/>
      <c r="Y22440" s="100"/>
    </row>
    <row r="22441">
      <c r="R22441" s="100"/>
      <c r="V22441" s="100"/>
      <c r="Y22441" s="100"/>
    </row>
    <row r="22442">
      <c r="R22442" s="100"/>
      <c r="V22442" s="100"/>
      <c r="Y22442" s="100"/>
    </row>
    <row r="22443">
      <c r="R22443" s="100"/>
      <c r="V22443" s="100"/>
      <c r="Y22443" s="100"/>
    </row>
    <row r="22444">
      <c r="R22444" s="100"/>
      <c r="V22444" s="100"/>
      <c r="Y22444" s="100"/>
    </row>
    <row r="22445">
      <c r="R22445" s="100"/>
      <c r="V22445" s="100"/>
      <c r="Y22445" s="100"/>
    </row>
    <row r="22446">
      <c r="R22446" s="100"/>
      <c r="V22446" s="100"/>
      <c r="Y22446" s="100"/>
    </row>
    <row r="22447">
      <c r="R22447" s="100"/>
      <c r="V22447" s="100"/>
      <c r="Y22447" s="100"/>
    </row>
    <row r="22448">
      <c r="R22448" s="100"/>
      <c r="V22448" s="100"/>
      <c r="Y22448" s="100"/>
    </row>
    <row r="22449">
      <c r="R22449" s="100"/>
      <c r="V22449" s="100"/>
      <c r="Y22449" s="100"/>
    </row>
    <row r="22450">
      <c r="R22450" s="100"/>
      <c r="V22450" s="100"/>
      <c r="Y22450" s="100"/>
    </row>
    <row r="22451">
      <c r="R22451" s="100"/>
      <c r="V22451" s="100"/>
      <c r="Y22451" s="100"/>
    </row>
    <row r="22452">
      <c r="R22452" s="100"/>
      <c r="V22452" s="100"/>
      <c r="Y22452" s="100"/>
    </row>
    <row r="22453">
      <c r="R22453" s="100"/>
      <c r="V22453" s="100"/>
      <c r="Y22453" s="100"/>
    </row>
    <row r="22454">
      <c r="R22454" s="100"/>
      <c r="V22454" s="100"/>
      <c r="Y22454" s="100"/>
    </row>
    <row r="22455">
      <c r="R22455" s="100"/>
      <c r="V22455" s="100"/>
      <c r="Y22455" s="100"/>
    </row>
    <row r="22456">
      <c r="R22456" s="100"/>
      <c r="V22456" s="100"/>
      <c r="Y22456" s="100"/>
    </row>
    <row r="22457">
      <c r="R22457" s="100"/>
      <c r="V22457" s="100"/>
      <c r="Y22457" s="100"/>
    </row>
    <row r="22458">
      <c r="R22458" s="100"/>
      <c r="V22458" s="100"/>
      <c r="Y22458" s="100"/>
    </row>
    <row r="22459">
      <c r="R22459" s="100"/>
      <c r="V22459" s="100"/>
      <c r="Y22459" s="100"/>
    </row>
    <row r="22460">
      <c r="R22460" s="100"/>
      <c r="V22460" s="100"/>
      <c r="Y22460" s="100"/>
    </row>
    <row r="22461">
      <c r="R22461" s="100"/>
      <c r="V22461" s="100"/>
      <c r="Y22461" s="100"/>
    </row>
    <row r="22462">
      <c r="R22462" s="100"/>
      <c r="V22462" s="100"/>
      <c r="Y22462" s="100"/>
    </row>
    <row r="22463">
      <c r="R22463" s="100"/>
      <c r="V22463" s="100"/>
      <c r="Y22463" s="100"/>
    </row>
    <row r="22464">
      <c r="R22464" s="100"/>
      <c r="V22464" s="100"/>
      <c r="Y22464" s="100"/>
    </row>
    <row r="22465">
      <c r="R22465" s="100"/>
      <c r="V22465" s="100"/>
      <c r="Y22465" s="100"/>
    </row>
    <row r="22466">
      <c r="R22466" s="100"/>
      <c r="V22466" s="100"/>
      <c r="Y22466" s="100"/>
    </row>
    <row r="22467">
      <c r="R22467" s="100"/>
      <c r="V22467" s="100"/>
      <c r="Y22467" s="100"/>
    </row>
    <row r="22468">
      <c r="R22468" s="100"/>
      <c r="V22468" s="100"/>
      <c r="Y22468" s="100"/>
    </row>
    <row r="22469">
      <c r="R22469" s="100"/>
      <c r="V22469" s="100"/>
      <c r="Y22469" s="100"/>
    </row>
    <row r="22470">
      <c r="R22470" s="100"/>
      <c r="V22470" s="100"/>
      <c r="Y22470" s="100"/>
    </row>
    <row r="22471">
      <c r="R22471" s="100"/>
      <c r="V22471" s="100"/>
      <c r="Y22471" s="100"/>
    </row>
    <row r="22472">
      <c r="R22472" s="100"/>
      <c r="V22472" s="100"/>
      <c r="Y22472" s="100"/>
    </row>
    <row r="22473">
      <c r="R22473" s="100"/>
      <c r="V22473" s="100"/>
      <c r="Y22473" s="100"/>
    </row>
    <row r="22474">
      <c r="R22474" s="100"/>
      <c r="V22474" s="100"/>
      <c r="Y22474" s="100"/>
    </row>
    <row r="22475">
      <c r="R22475" s="100"/>
      <c r="V22475" s="100"/>
      <c r="Y22475" s="100"/>
    </row>
    <row r="22476">
      <c r="R22476" s="100"/>
      <c r="V22476" s="100"/>
      <c r="Y22476" s="100"/>
    </row>
    <row r="22477">
      <c r="R22477" s="100"/>
      <c r="V22477" s="100"/>
      <c r="Y22477" s="100"/>
    </row>
    <row r="22478">
      <c r="R22478" s="100"/>
      <c r="V22478" s="100"/>
      <c r="Y22478" s="100"/>
    </row>
    <row r="22479">
      <c r="R22479" s="100"/>
      <c r="V22479" s="100"/>
      <c r="Y22479" s="100"/>
    </row>
    <row r="22480">
      <c r="R22480" s="100"/>
      <c r="V22480" s="100"/>
      <c r="Y22480" s="100"/>
    </row>
    <row r="22481">
      <c r="R22481" s="100"/>
      <c r="V22481" s="100"/>
      <c r="Y22481" s="100"/>
    </row>
    <row r="22482">
      <c r="R22482" s="100"/>
      <c r="V22482" s="100"/>
      <c r="Y22482" s="100"/>
    </row>
    <row r="22483">
      <c r="R22483" s="100"/>
      <c r="V22483" s="100"/>
      <c r="Y22483" s="100"/>
    </row>
    <row r="22484">
      <c r="R22484" s="100"/>
      <c r="V22484" s="100"/>
      <c r="Y22484" s="100"/>
    </row>
    <row r="22485">
      <c r="R22485" s="100"/>
      <c r="V22485" s="100"/>
      <c r="Y22485" s="100"/>
    </row>
    <row r="22486">
      <c r="R22486" s="100"/>
      <c r="V22486" s="100"/>
      <c r="Y22486" s="100"/>
    </row>
    <row r="22487">
      <c r="R22487" s="100"/>
      <c r="V22487" s="100"/>
      <c r="Y22487" s="100"/>
    </row>
    <row r="22488">
      <c r="R22488" s="100"/>
      <c r="V22488" s="100"/>
      <c r="Y22488" s="100"/>
    </row>
    <row r="22489">
      <c r="R22489" s="100"/>
      <c r="V22489" s="100"/>
      <c r="Y22489" s="100"/>
    </row>
    <row r="22490">
      <c r="R22490" s="100"/>
      <c r="V22490" s="100"/>
      <c r="Y22490" s="100"/>
    </row>
    <row r="22491">
      <c r="R22491" s="100"/>
      <c r="V22491" s="100"/>
      <c r="Y22491" s="100"/>
    </row>
    <row r="22492">
      <c r="R22492" s="100"/>
      <c r="V22492" s="100"/>
      <c r="Y22492" s="100"/>
    </row>
    <row r="22493">
      <c r="R22493" s="100"/>
      <c r="V22493" s="100"/>
      <c r="Y22493" s="100"/>
    </row>
    <row r="22494">
      <c r="R22494" s="100"/>
      <c r="V22494" s="100"/>
      <c r="Y22494" s="100"/>
    </row>
    <row r="22495">
      <c r="R22495" s="100"/>
      <c r="V22495" s="100"/>
      <c r="Y22495" s="100"/>
    </row>
    <row r="22496">
      <c r="R22496" s="100"/>
      <c r="V22496" s="100"/>
      <c r="Y22496" s="100"/>
    </row>
    <row r="22497">
      <c r="R22497" s="100"/>
      <c r="V22497" s="100"/>
      <c r="Y22497" s="100"/>
    </row>
    <row r="22498">
      <c r="R22498" s="100"/>
      <c r="V22498" s="100"/>
      <c r="Y22498" s="100"/>
    </row>
    <row r="22499">
      <c r="R22499" s="100"/>
      <c r="V22499" s="100"/>
      <c r="Y22499" s="100"/>
    </row>
    <row r="22500">
      <c r="R22500" s="100"/>
      <c r="V22500" s="100"/>
      <c r="Y22500" s="100"/>
    </row>
    <row r="22501">
      <c r="R22501" s="100"/>
      <c r="V22501" s="100"/>
      <c r="Y22501" s="100"/>
    </row>
    <row r="22502">
      <c r="R22502" s="100"/>
      <c r="V22502" s="100"/>
      <c r="Y22502" s="100"/>
    </row>
    <row r="22503">
      <c r="R22503" s="100"/>
      <c r="V22503" s="100"/>
      <c r="Y22503" s="100"/>
    </row>
    <row r="22504">
      <c r="R22504" s="100"/>
      <c r="V22504" s="100"/>
      <c r="Y22504" s="100"/>
    </row>
    <row r="22505">
      <c r="R22505" s="100"/>
      <c r="V22505" s="100"/>
      <c r="Y22505" s="100"/>
    </row>
    <row r="22506">
      <c r="R22506" s="100"/>
      <c r="V22506" s="100"/>
      <c r="Y22506" s="100"/>
    </row>
    <row r="22507">
      <c r="R22507" s="100"/>
      <c r="V22507" s="100"/>
      <c r="Y22507" s="100"/>
    </row>
    <row r="22508">
      <c r="R22508" s="100"/>
      <c r="V22508" s="100"/>
      <c r="Y22508" s="100"/>
    </row>
    <row r="22509">
      <c r="R22509" s="100"/>
      <c r="V22509" s="100"/>
      <c r="Y22509" s="100"/>
    </row>
    <row r="22510">
      <c r="R22510" s="100"/>
      <c r="V22510" s="100"/>
      <c r="Y22510" s="100"/>
    </row>
    <row r="22511">
      <c r="R22511" s="100"/>
      <c r="V22511" s="100"/>
      <c r="Y22511" s="100"/>
    </row>
    <row r="22512">
      <c r="R22512" s="100"/>
      <c r="V22512" s="100"/>
      <c r="Y22512" s="100"/>
    </row>
    <row r="22513">
      <c r="R22513" s="100"/>
      <c r="V22513" s="100"/>
      <c r="Y22513" s="100"/>
    </row>
    <row r="22514">
      <c r="R22514" s="100"/>
      <c r="V22514" s="100"/>
      <c r="Y22514" s="100"/>
    </row>
    <row r="22515">
      <c r="R22515" s="100"/>
      <c r="V22515" s="100"/>
      <c r="Y22515" s="100"/>
    </row>
    <row r="22516">
      <c r="R22516" s="100"/>
      <c r="V22516" s="100"/>
      <c r="Y22516" s="100"/>
    </row>
    <row r="22517">
      <c r="R22517" s="100"/>
      <c r="V22517" s="100"/>
      <c r="Y22517" s="100"/>
    </row>
    <row r="22518">
      <c r="R22518" s="100"/>
      <c r="V22518" s="100"/>
      <c r="Y22518" s="100"/>
    </row>
    <row r="22519">
      <c r="R22519" s="100"/>
      <c r="V22519" s="100"/>
      <c r="Y22519" s="100"/>
    </row>
    <row r="22520">
      <c r="R22520" s="100"/>
      <c r="V22520" s="100"/>
      <c r="Y22520" s="100"/>
    </row>
    <row r="22521">
      <c r="R22521" s="100"/>
      <c r="V22521" s="100"/>
      <c r="Y22521" s="100"/>
    </row>
    <row r="22522">
      <c r="R22522" s="100"/>
      <c r="V22522" s="100"/>
      <c r="Y22522" s="100"/>
    </row>
    <row r="22523">
      <c r="R22523" s="100"/>
      <c r="V22523" s="100"/>
      <c r="Y22523" s="100"/>
    </row>
    <row r="22524">
      <c r="R22524" s="100"/>
      <c r="V22524" s="100"/>
      <c r="Y22524" s="100"/>
    </row>
    <row r="22525">
      <c r="R22525" s="100"/>
      <c r="V22525" s="100"/>
      <c r="Y22525" s="100"/>
    </row>
    <row r="22526">
      <c r="R22526" s="100"/>
      <c r="V22526" s="100"/>
      <c r="Y22526" s="100"/>
    </row>
    <row r="22527">
      <c r="R22527" s="100"/>
      <c r="V22527" s="100"/>
      <c r="Y22527" s="100"/>
    </row>
    <row r="22528">
      <c r="R22528" s="100"/>
      <c r="V22528" s="100"/>
      <c r="Y22528" s="100"/>
    </row>
    <row r="22529">
      <c r="R22529" s="100"/>
      <c r="V22529" s="100"/>
      <c r="Y22529" s="100"/>
    </row>
    <row r="22530">
      <c r="R22530" s="100"/>
      <c r="V22530" s="100"/>
      <c r="Y22530" s="100"/>
    </row>
    <row r="22531">
      <c r="R22531" s="100"/>
      <c r="V22531" s="100"/>
      <c r="Y22531" s="100"/>
    </row>
    <row r="22532">
      <c r="R22532" s="100"/>
      <c r="V22532" s="100"/>
      <c r="Y22532" s="100"/>
    </row>
    <row r="22533">
      <c r="R22533" s="100"/>
      <c r="V22533" s="100"/>
      <c r="Y22533" s="100"/>
    </row>
    <row r="22534">
      <c r="R22534" s="100"/>
      <c r="V22534" s="100"/>
      <c r="Y22534" s="100"/>
    </row>
    <row r="22535">
      <c r="R22535" s="100"/>
      <c r="V22535" s="100"/>
      <c r="Y22535" s="100"/>
    </row>
    <row r="22536">
      <c r="R22536" s="100"/>
      <c r="V22536" s="100"/>
      <c r="Y22536" s="100"/>
    </row>
    <row r="22537">
      <c r="R22537" s="100"/>
      <c r="V22537" s="100"/>
      <c r="Y22537" s="100"/>
    </row>
    <row r="22538">
      <c r="R22538" s="100"/>
      <c r="V22538" s="100"/>
      <c r="Y22538" s="100"/>
    </row>
    <row r="22539">
      <c r="R22539" s="100"/>
      <c r="V22539" s="100"/>
      <c r="Y22539" s="100"/>
    </row>
    <row r="22540">
      <c r="R22540" s="100"/>
      <c r="V22540" s="100"/>
      <c r="Y22540" s="100"/>
    </row>
    <row r="22541">
      <c r="R22541" s="100"/>
      <c r="V22541" s="100"/>
      <c r="Y22541" s="100"/>
    </row>
    <row r="22542">
      <c r="R22542" s="100"/>
      <c r="V22542" s="100"/>
      <c r="Y22542" s="100"/>
    </row>
    <row r="22543">
      <c r="R22543" s="100"/>
      <c r="V22543" s="100"/>
      <c r="Y22543" s="100"/>
    </row>
    <row r="22544">
      <c r="R22544" s="100"/>
      <c r="V22544" s="100"/>
      <c r="Y22544" s="100"/>
    </row>
    <row r="22545">
      <c r="R22545" s="100"/>
      <c r="V22545" s="100"/>
      <c r="Y22545" s="100"/>
    </row>
    <row r="22546">
      <c r="R22546" s="100"/>
      <c r="V22546" s="100"/>
      <c r="Y22546" s="100"/>
    </row>
    <row r="22547">
      <c r="R22547" s="100"/>
      <c r="V22547" s="100"/>
      <c r="Y22547" s="100"/>
    </row>
    <row r="22548">
      <c r="R22548" s="100"/>
      <c r="V22548" s="100"/>
      <c r="Y22548" s="100"/>
    </row>
    <row r="22549">
      <c r="R22549" s="100"/>
      <c r="V22549" s="100"/>
      <c r="Y22549" s="100"/>
    </row>
    <row r="22550">
      <c r="R22550" s="100"/>
      <c r="V22550" s="100"/>
      <c r="Y22550" s="100"/>
    </row>
    <row r="22551">
      <c r="R22551" s="100"/>
      <c r="V22551" s="100"/>
      <c r="Y22551" s="100"/>
    </row>
    <row r="22552">
      <c r="R22552" s="100"/>
      <c r="V22552" s="100"/>
      <c r="Y22552" s="100"/>
    </row>
    <row r="22553">
      <c r="R22553" s="100"/>
      <c r="V22553" s="100"/>
      <c r="Y22553" s="100"/>
    </row>
    <row r="22554">
      <c r="R22554" s="100"/>
      <c r="V22554" s="100"/>
      <c r="Y22554" s="100"/>
    </row>
    <row r="22555">
      <c r="R22555" s="100"/>
      <c r="V22555" s="100"/>
      <c r="Y22555" s="100"/>
    </row>
    <row r="22556">
      <c r="R22556" s="100"/>
      <c r="V22556" s="100"/>
      <c r="Y22556" s="100"/>
    </row>
    <row r="22557">
      <c r="R22557" s="100"/>
      <c r="V22557" s="100"/>
      <c r="Y22557" s="100"/>
    </row>
    <row r="22558">
      <c r="R22558" s="100"/>
      <c r="V22558" s="100"/>
      <c r="Y22558" s="100"/>
    </row>
    <row r="22559">
      <c r="R22559" s="100"/>
      <c r="V22559" s="100"/>
      <c r="Y22559" s="100"/>
    </row>
    <row r="22560">
      <c r="R22560" s="100"/>
      <c r="V22560" s="100"/>
      <c r="Y22560" s="100"/>
    </row>
    <row r="22561">
      <c r="R22561" s="100"/>
      <c r="V22561" s="100"/>
      <c r="Y22561" s="100"/>
    </row>
    <row r="22562">
      <c r="R22562" s="100"/>
      <c r="V22562" s="100"/>
      <c r="Y22562" s="100"/>
    </row>
    <row r="22563">
      <c r="R22563" s="100"/>
      <c r="V22563" s="100"/>
      <c r="Y22563" s="100"/>
    </row>
    <row r="22564">
      <c r="R22564" s="100"/>
      <c r="V22564" s="100"/>
      <c r="Y22564" s="100"/>
    </row>
    <row r="22565">
      <c r="R22565" s="100"/>
      <c r="V22565" s="100"/>
      <c r="Y22565" s="100"/>
    </row>
    <row r="22566">
      <c r="R22566" s="100"/>
      <c r="V22566" s="100"/>
      <c r="Y22566" s="100"/>
    </row>
    <row r="22567">
      <c r="R22567" s="100"/>
      <c r="V22567" s="100"/>
      <c r="Y22567" s="100"/>
    </row>
    <row r="22568">
      <c r="R22568" s="100"/>
      <c r="V22568" s="100"/>
      <c r="Y22568" s="100"/>
    </row>
    <row r="22569">
      <c r="R22569" s="100"/>
      <c r="V22569" s="100"/>
      <c r="Y22569" s="100"/>
    </row>
    <row r="22570">
      <c r="R22570" s="100"/>
      <c r="V22570" s="100"/>
      <c r="Y22570" s="100"/>
    </row>
    <row r="22571">
      <c r="R22571" s="100"/>
      <c r="V22571" s="100"/>
      <c r="Y22571" s="100"/>
    </row>
    <row r="22572">
      <c r="R22572" s="100"/>
      <c r="V22572" s="100"/>
      <c r="Y22572" s="100"/>
    </row>
    <row r="22573">
      <c r="R22573" s="100"/>
      <c r="V22573" s="100"/>
      <c r="Y22573" s="100"/>
    </row>
    <row r="22574">
      <c r="R22574" s="100"/>
      <c r="V22574" s="100"/>
      <c r="Y22574" s="100"/>
    </row>
    <row r="22575">
      <c r="R22575" s="100"/>
      <c r="V22575" s="100"/>
      <c r="Y22575" s="100"/>
    </row>
    <row r="22576">
      <c r="R22576" s="100"/>
      <c r="V22576" s="100"/>
      <c r="Y22576" s="100"/>
    </row>
    <row r="22577">
      <c r="R22577" s="100"/>
      <c r="V22577" s="100"/>
      <c r="Y22577" s="100"/>
    </row>
    <row r="22578">
      <c r="R22578" s="100"/>
      <c r="V22578" s="100"/>
      <c r="Y22578" s="100"/>
    </row>
    <row r="22579">
      <c r="R22579" s="100"/>
      <c r="V22579" s="100"/>
      <c r="Y22579" s="100"/>
    </row>
    <row r="22580">
      <c r="R22580" s="100"/>
      <c r="V22580" s="100"/>
      <c r="Y22580" s="100"/>
    </row>
    <row r="22581">
      <c r="R22581" s="100"/>
      <c r="V22581" s="100"/>
      <c r="Y22581" s="100"/>
    </row>
    <row r="22582">
      <c r="R22582" s="100"/>
      <c r="V22582" s="100"/>
      <c r="Y22582" s="100"/>
    </row>
    <row r="22583">
      <c r="R22583" s="100"/>
      <c r="V22583" s="100"/>
      <c r="Y22583" s="100"/>
    </row>
    <row r="22584">
      <c r="R22584" s="100"/>
      <c r="V22584" s="100"/>
      <c r="Y22584" s="100"/>
    </row>
    <row r="22585">
      <c r="R22585" s="100"/>
      <c r="V22585" s="100"/>
      <c r="Y22585" s="100"/>
    </row>
    <row r="22586">
      <c r="R22586" s="100"/>
      <c r="V22586" s="100"/>
      <c r="Y22586" s="100"/>
    </row>
    <row r="22587">
      <c r="R22587" s="100"/>
      <c r="V22587" s="100"/>
      <c r="Y22587" s="100"/>
    </row>
    <row r="22588">
      <c r="R22588" s="100"/>
      <c r="V22588" s="100"/>
      <c r="Y22588" s="100"/>
    </row>
    <row r="22589">
      <c r="R22589" s="100"/>
      <c r="V22589" s="100"/>
      <c r="Y22589" s="100"/>
    </row>
    <row r="22590">
      <c r="R22590" s="100"/>
      <c r="V22590" s="100"/>
      <c r="Y22590" s="100"/>
    </row>
    <row r="22591">
      <c r="R22591" s="100"/>
      <c r="V22591" s="100"/>
      <c r="Y22591" s="100"/>
    </row>
    <row r="22592">
      <c r="R22592" s="100"/>
      <c r="V22592" s="100"/>
      <c r="Y22592" s="100"/>
    </row>
    <row r="22593">
      <c r="R22593" s="100"/>
      <c r="V22593" s="100"/>
      <c r="Y22593" s="100"/>
    </row>
    <row r="22594">
      <c r="R22594" s="100"/>
      <c r="V22594" s="100"/>
      <c r="Y22594" s="100"/>
    </row>
    <row r="22595">
      <c r="R22595" s="100"/>
      <c r="V22595" s="100"/>
      <c r="Y22595" s="100"/>
    </row>
    <row r="22596">
      <c r="R22596" s="100"/>
      <c r="V22596" s="100"/>
      <c r="Y22596" s="100"/>
    </row>
    <row r="22597">
      <c r="R22597" s="100"/>
      <c r="V22597" s="100"/>
      <c r="Y22597" s="100"/>
    </row>
    <row r="22598">
      <c r="R22598" s="100"/>
      <c r="V22598" s="100"/>
      <c r="Y22598" s="100"/>
    </row>
    <row r="22599">
      <c r="R22599" s="100"/>
      <c r="V22599" s="100"/>
      <c r="Y22599" s="100"/>
    </row>
    <row r="22600">
      <c r="R22600" s="100"/>
      <c r="V22600" s="100"/>
      <c r="Y22600" s="100"/>
    </row>
    <row r="22601">
      <c r="R22601" s="100"/>
      <c r="V22601" s="100"/>
      <c r="Y22601" s="100"/>
    </row>
    <row r="22602">
      <c r="R22602" s="100"/>
      <c r="V22602" s="100"/>
      <c r="Y22602" s="100"/>
    </row>
    <row r="22603">
      <c r="R22603" s="100"/>
      <c r="V22603" s="100"/>
      <c r="Y22603" s="100"/>
    </row>
    <row r="22604">
      <c r="R22604" s="100"/>
      <c r="V22604" s="100"/>
      <c r="Y22604" s="100"/>
    </row>
    <row r="22605">
      <c r="R22605" s="100"/>
      <c r="V22605" s="100"/>
      <c r="Y22605" s="100"/>
    </row>
    <row r="22606">
      <c r="R22606" s="100"/>
      <c r="V22606" s="100"/>
      <c r="Y22606" s="100"/>
    </row>
    <row r="22607">
      <c r="R22607" s="100"/>
      <c r="V22607" s="100"/>
      <c r="Y22607" s="100"/>
    </row>
    <row r="22608">
      <c r="R22608" s="100"/>
      <c r="V22608" s="100"/>
      <c r="Y22608" s="100"/>
    </row>
    <row r="22609">
      <c r="R22609" s="100"/>
      <c r="V22609" s="100"/>
      <c r="Y22609" s="100"/>
    </row>
    <row r="22610">
      <c r="R22610" s="100"/>
      <c r="V22610" s="100"/>
      <c r="Y22610" s="100"/>
    </row>
    <row r="22611">
      <c r="R22611" s="100"/>
      <c r="V22611" s="100"/>
      <c r="Y22611" s="100"/>
    </row>
    <row r="22612">
      <c r="R22612" s="100"/>
      <c r="V22612" s="100"/>
      <c r="Y22612" s="100"/>
    </row>
    <row r="22613">
      <c r="R22613" s="100"/>
      <c r="V22613" s="100"/>
      <c r="Y22613" s="100"/>
    </row>
    <row r="22614">
      <c r="R22614" s="100"/>
      <c r="V22614" s="100"/>
      <c r="Y22614" s="100"/>
    </row>
    <row r="22615">
      <c r="R22615" s="100"/>
      <c r="V22615" s="100"/>
      <c r="Y22615" s="100"/>
    </row>
    <row r="22616">
      <c r="R22616" s="100"/>
      <c r="V22616" s="100"/>
      <c r="Y22616" s="100"/>
    </row>
    <row r="22617">
      <c r="R22617" s="100"/>
      <c r="V22617" s="100"/>
      <c r="Y22617" s="100"/>
    </row>
    <row r="22618">
      <c r="R22618" s="100"/>
      <c r="V22618" s="100"/>
      <c r="Y22618" s="100"/>
    </row>
    <row r="22619">
      <c r="R22619" s="100"/>
      <c r="V22619" s="100"/>
      <c r="Y22619" s="100"/>
    </row>
    <row r="22620">
      <c r="R22620" s="100"/>
      <c r="V22620" s="100"/>
      <c r="Y22620" s="100"/>
    </row>
    <row r="22621">
      <c r="R22621" s="100"/>
      <c r="V22621" s="100"/>
      <c r="Y22621" s="100"/>
    </row>
    <row r="22622">
      <c r="R22622" s="100"/>
      <c r="V22622" s="100"/>
      <c r="Y22622" s="100"/>
    </row>
    <row r="22623">
      <c r="R22623" s="100"/>
      <c r="V22623" s="100"/>
      <c r="Y22623" s="100"/>
    </row>
    <row r="22624">
      <c r="R22624" s="100"/>
      <c r="V22624" s="100"/>
      <c r="Y22624" s="100"/>
    </row>
    <row r="22625">
      <c r="R22625" s="100"/>
      <c r="V22625" s="100"/>
      <c r="Y22625" s="100"/>
    </row>
    <row r="22626">
      <c r="R22626" s="100"/>
      <c r="V22626" s="100"/>
      <c r="Y22626" s="100"/>
    </row>
    <row r="22627">
      <c r="R22627" s="100"/>
      <c r="V22627" s="100"/>
      <c r="Y22627" s="100"/>
    </row>
    <row r="22628">
      <c r="R22628" s="100"/>
      <c r="V22628" s="100"/>
      <c r="Y22628" s="100"/>
    </row>
    <row r="22629">
      <c r="R22629" s="100"/>
      <c r="V22629" s="100"/>
      <c r="Y22629" s="100"/>
    </row>
    <row r="22630">
      <c r="R22630" s="100"/>
      <c r="V22630" s="100"/>
      <c r="Y22630" s="100"/>
    </row>
    <row r="22631">
      <c r="R22631" s="100"/>
      <c r="V22631" s="100"/>
      <c r="Y22631" s="100"/>
    </row>
    <row r="22632">
      <c r="R22632" s="100"/>
      <c r="V22632" s="100"/>
      <c r="Y22632" s="100"/>
    </row>
    <row r="22633">
      <c r="R22633" s="100"/>
      <c r="V22633" s="100"/>
      <c r="Y22633" s="100"/>
    </row>
    <row r="22634">
      <c r="R22634" s="100"/>
      <c r="V22634" s="100"/>
      <c r="Y22634" s="100"/>
    </row>
    <row r="22635">
      <c r="R22635" s="100"/>
      <c r="V22635" s="100"/>
      <c r="Y22635" s="100"/>
    </row>
    <row r="22636">
      <c r="R22636" s="100"/>
      <c r="V22636" s="100"/>
      <c r="Y22636" s="100"/>
    </row>
    <row r="22637">
      <c r="R22637" s="100"/>
      <c r="V22637" s="100"/>
      <c r="Y22637" s="100"/>
    </row>
    <row r="22638">
      <c r="R22638" s="100"/>
      <c r="V22638" s="100"/>
      <c r="Y22638" s="100"/>
    </row>
    <row r="22639">
      <c r="R22639" s="100"/>
      <c r="V22639" s="100"/>
      <c r="Y22639" s="100"/>
    </row>
    <row r="22640">
      <c r="R22640" s="100"/>
      <c r="V22640" s="100"/>
      <c r="Y22640" s="100"/>
    </row>
    <row r="22641">
      <c r="R22641" s="100"/>
      <c r="V22641" s="100"/>
      <c r="Y22641" s="100"/>
    </row>
    <row r="22642">
      <c r="R22642" s="100"/>
      <c r="V22642" s="100"/>
      <c r="Y22642" s="100"/>
    </row>
    <row r="22643">
      <c r="R22643" s="100"/>
      <c r="V22643" s="100"/>
      <c r="Y22643" s="100"/>
    </row>
    <row r="22644">
      <c r="R22644" s="100"/>
      <c r="V22644" s="100"/>
      <c r="Y22644" s="100"/>
    </row>
    <row r="22645">
      <c r="R22645" s="100"/>
      <c r="V22645" s="100"/>
      <c r="Y22645" s="100"/>
    </row>
    <row r="22646">
      <c r="R22646" s="100"/>
      <c r="V22646" s="100"/>
      <c r="Y22646" s="100"/>
    </row>
    <row r="22647">
      <c r="R22647" s="100"/>
      <c r="V22647" s="100"/>
      <c r="Y22647" s="100"/>
    </row>
    <row r="22648">
      <c r="R22648" s="100"/>
      <c r="V22648" s="100"/>
      <c r="Y22648" s="100"/>
    </row>
    <row r="22649">
      <c r="R22649" s="100"/>
      <c r="V22649" s="100"/>
      <c r="Y22649" s="100"/>
    </row>
    <row r="22650">
      <c r="R22650" s="100"/>
      <c r="V22650" s="100"/>
      <c r="Y22650" s="100"/>
    </row>
    <row r="22651">
      <c r="R22651" s="100"/>
      <c r="V22651" s="100"/>
      <c r="Y22651" s="100"/>
    </row>
    <row r="22652">
      <c r="R22652" s="100"/>
      <c r="V22652" s="100"/>
      <c r="Y22652" s="100"/>
    </row>
    <row r="22653">
      <c r="R22653" s="100"/>
      <c r="V22653" s="100"/>
      <c r="Y22653" s="100"/>
    </row>
    <row r="22654">
      <c r="R22654" s="100"/>
      <c r="V22654" s="100"/>
      <c r="Y22654" s="100"/>
    </row>
    <row r="22655">
      <c r="R22655" s="100"/>
      <c r="V22655" s="100"/>
      <c r="Y22655" s="100"/>
    </row>
    <row r="22656">
      <c r="R22656" s="100"/>
      <c r="V22656" s="100"/>
      <c r="Y22656" s="100"/>
    </row>
    <row r="22657">
      <c r="R22657" s="100"/>
      <c r="V22657" s="100"/>
      <c r="Y22657" s="100"/>
    </row>
    <row r="22658">
      <c r="R22658" s="100"/>
      <c r="V22658" s="100"/>
      <c r="Y22658" s="100"/>
    </row>
    <row r="22659">
      <c r="R22659" s="100"/>
      <c r="V22659" s="100"/>
      <c r="Y22659" s="100"/>
    </row>
    <row r="22660">
      <c r="R22660" s="100"/>
      <c r="V22660" s="100"/>
      <c r="Y22660" s="100"/>
    </row>
    <row r="22661">
      <c r="R22661" s="100"/>
      <c r="V22661" s="100"/>
      <c r="Y22661" s="100"/>
    </row>
    <row r="22662">
      <c r="R22662" s="100"/>
      <c r="V22662" s="100"/>
      <c r="Y22662" s="100"/>
    </row>
    <row r="22663">
      <c r="R22663" s="100"/>
      <c r="V22663" s="100"/>
      <c r="Y22663" s="100"/>
    </row>
    <row r="22664">
      <c r="R22664" s="100"/>
      <c r="V22664" s="100"/>
      <c r="Y22664" s="100"/>
    </row>
    <row r="22665">
      <c r="R22665" s="100"/>
      <c r="V22665" s="100"/>
      <c r="Y22665" s="100"/>
    </row>
    <row r="22666">
      <c r="R22666" s="100"/>
      <c r="V22666" s="100"/>
      <c r="Y22666" s="100"/>
    </row>
    <row r="22667">
      <c r="R22667" s="100"/>
      <c r="V22667" s="100"/>
      <c r="Y22667" s="100"/>
    </row>
    <row r="22668">
      <c r="R22668" s="100"/>
      <c r="V22668" s="100"/>
      <c r="Y22668" s="100"/>
    </row>
    <row r="22669">
      <c r="R22669" s="100"/>
      <c r="V22669" s="100"/>
      <c r="Y22669" s="100"/>
    </row>
    <row r="22670">
      <c r="R22670" s="100"/>
      <c r="V22670" s="100"/>
      <c r="Y22670" s="100"/>
    </row>
    <row r="22671">
      <c r="R22671" s="100"/>
      <c r="V22671" s="100"/>
      <c r="Y22671" s="100"/>
    </row>
    <row r="22672">
      <c r="R22672" s="100"/>
      <c r="V22672" s="100"/>
      <c r="Y22672" s="100"/>
    </row>
    <row r="22673">
      <c r="R22673" s="100"/>
      <c r="V22673" s="100"/>
      <c r="Y22673" s="100"/>
    </row>
    <row r="22674">
      <c r="R22674" s="100"/>
      <c r="V22674" s="100"/>
      <c r="Y22674" s="100"/>
    </row>
    <row r="22675">
      <c r="R22675" s="100"/>
      <c r="V22675" s="100"/>
      <c r="Y22675" s="100"/>
    </row>
    <row r="22676">
      <c r="R22676" s="100"/>
      <c r="V22676" s="100"/>
      <c r="Y22676" s="100"/>
    </row>
    <row r="22677">
      <c r="R22677" s="100"/>
      <c r="V22677" s="100"/>
      <c r="Y22677" s="100"/>
    </row>
    <row r="22678">
      <c r="R22678" s="100"/>
      <c r="V22678" s="100"/>
      <c r="Y22678" s="100"/>
    </row>
    <row r="22679">
      <c r="R22679" s="100"/>
      <c r="V22679" s="100"/>
      <c r="Y22679" s="100"/>
    </row>
    <row r="22680">
      <c r="R22680" s="100"/>
      <c r="V22680" s="100"/>
      <c r="Y22680" s="100"/>
    </row>
    <row r="22681">
      <c r="R22681" s="100"/>
      <c r="V22681" s="100"/>
      <c r="Y22681" s="100"/>
    </row>
    <row r="22682">
      <c r="R22682" s="100"/>
      <c r="V22682" s="100"/>
      <c r="Y22682" s="100"/>
    </row>
    <row r="22683">
      <c r="R22683" s="100"/>
      <c r="V22683" s="100"/>
      <c r="Y22683" s="100"/>
    </row>
    <row r="22684">
      <c r="R22684" s="100"/>
      <c r="V22684" s="100"/>
      <c r="Y22684" s="100"/>
    </row>
    <row r="22685">
      <c r="R22685" s="100"/>
      <c r="V22685" s="100"/>
      <c r="Y22685" s="100"/>
    </row>
    <row r="22686">
      <c r="R22686" s="100"/>
      <c r="V22686" s="100"/>
      <c r="Y22686" s="100"/>
    </row>
    <row r="22687">
      <c r="R22687" s="100"/>
      <c r="V22687" s="100"/>
      <c r="Y22687" s="100"/>
    </row>
    <row r="22688">
      <c r="R22688" s="100"/>
      <c r="V22688" s="100"/>
      <c r="Y22688" s="100"/>
    </row>
    <row r="22689">
      <c r="R22689" s="100"/>
      <c r="V22689" s="100"/>
      <c r="Y22689" s="100"/>
    </row>
    <row r="22690">
      <c r="R22690" s="100"/>
      <c r="V22690" s="100"/>
      <c r="Y22690" s="100"/>
    </row>
    <row r="22691">
      <c r="R22691" s="100"/>
      <c r="V22691" s="100"/>
      <c r="Y22691" s="100"/>
    </row>
    <row r="22692">
      <c r="R22692" s="100"/>
      <c r="V22692" s="100"/>
      <c r="Y22692" s="100"/>
    </row>
    <row r="22693">
      <c r="R22693" s="100"/>
      <c r="V22693" s="100"/>
      <c r="Y22693" s="100"/>
    </row>
    <row r="22694">
      <c r="R22694" s="100"/>
      <c r="V22694" s="100"/>
      <c r="Y22694" s="100"/>
    </row>
    <row r="22695">
      <c r="R22695" s="100"/>
      <c r="V22695" s="100"/>
      <c r="Y22695" s="100"/>
    </row>
    <row r="22696">
      <c r="R22696" s="100"/>
      <c r="V22696" s="100"/>
      <c r="Y22696" s="100"/>
    </row>
    <row r="22697">
      <c r="R22697" s="100"/>
      <c r="V22697" s="100"/>
      <c r="Y22697" s="100"/>
    </row>
    <row r="22698">
      <c r="R22698" s="100"/>
      <c r="V22698" s="100"/>
      <c r="Y22698" s="100"/>
    </row>
    <row r="22699">
      <c r="R22699" s="100"/>
      <c r="V22699" s="100"/>
      <c r="Y22699" s="100"/>
    </row>
    <row r="22700">
      <c r="R22700" s="100"/>
      <c r="V22700" s="100"/>
      <c r="Y22700" s="100"/>
    </row>
    <row r="22701">
      <c r="R22701" s="100"/>
      <c r="V22701" s="100"/>
      <c r="Y22701" s="100"/>
    </row>
    <row r="22702">
      <c r="R22702" s="100"/>
      <c r="V22702" s="100"/>
      <c r="Y22702" s="100"/>
    </row>
    <row r="22703">
      <c r="R22703" s="100"/>
      <c r="V22703" s="100"/>
      <c r="Y22703" s="100"/>
    </row>
    <row r="22704">
      <c r="R22704" s="100"/>
      <c r="V22704" s="100"/>
      <c r="Y22704" s="100"/>
    </row>
    <row r="22705">
      <c r="R22705" s="100"/>
      <c r="V22705" s="100"/>
      <c r="Y22705" s="100"/>
    </row>
    <row r="22706">
      <c r="R22706" s="100"/>
      <c r="V22706" s="100"/>
      <c r="Y22706" s="100"/>
    </row>
    <row r="22707">
      <c r="R22707" s="100"/>
      <c r="V22707" s="100"/>
      <c r="Y22707" s="100"/>
    </row>
    <row r="22708">
      <c r="R22708" s="100"/>
      <c r="V22708" s="100"/>
      <c r="Y22708" s="100"/>
    </row>
    <row r="22709">
      <c r="R22709" s="100"/>
      <c r="V22709" s="100"/>
      <c r="Y22709" s="100"/>
    </row>
    <row r="22710">
      <c r="R22710" s="100"/>
      <c r="V22710" s="100"/>
      <c r="Y22710" s="100"/>
    </row>
    <row r="22711">
      <c r="R22711" s="100"/>
      <c r="V22711" s="100"/>
      <c r="Y22711" s="100"/>
    </row>
    <row r="22712">
      <c r="R22712" s="100"/>
      <c r="V22712" s="100"/>
      <c r="Y22712" s="100"/>
    </row>
    <row r="22713">
      <c r="R22713" s="100"/>
      <c r="V22713" s="100"/>
      <c r="Y22713" s="100"/>
    </row>
    <row r="22714">
      <c r="R22714" s="100"/>
      <c r="V22714" s="100"/>
      <c r="Y22714" s="100"/>
    </row>
    <row r="22715">
      <c r="R22715" s="100"/>
      <c r="V22715" s="100"/>
      <c r="Y22715" s="100"/>
    </row>
    <row r="22716">
      <c r="R22716" s="100"/>
      <c r="V22716" s="100"/>
      <c r="Y22716" s="100"/>
    </row>
    <row r="22717">
      <c r="R22717" s="100"/>
      <c r="V22717" s="100"/>
      <c r="Y22717" s="100"/>
    </row>
    <row r="22718">
      <c r="R22718" s="100"/>
      <c r="V22718" s="100"/>
      <c r="Y22718" s="100"/>
    </row>
    <row r="22719">
      <c r="R22719" s="100"/>
      <c r="V22719" s="100"/>
      <c r="Y22719" s="100"/>
    </row>
    <row r="22720">
      <c r="R22720" s="100"/>
      <c r="V22720" s="100"/>
      <c r="Y22720" s="100"/>
    </row>
    <row r="22721">
      <c r="R22721" s="100"/>
      <c r="V22721" s="100"/>
      <c r="Y22721" s="100"/>
    </row>
    <row r="22722">
      <c r="R22722" s="100"/>
      <c r="V22722" s="100"/>
      <c r="Y22722" s="100"/>
    </row>
    <row r="22723">
      <c r="R22723" s="100"/>
      <c r="V22723" s="100"/>
      <c r="Y22723" s="100"/>
    </row>
    <row r="22724">
      <c r="R22724" s="100"/>
      <c r="V22724" s="100"/>
      <c r="Y22724" s="100"/>
    </row>
    <row r="22725">
      <c r="R22725" s="100"/>
      <c r="V22725" s="100"/>
      <c r="Y22725" s="100"/>
    </row>
    <row r="22726">
      <c r="R22726" s="100"/>
      <c r="V22726" s="100"/>
      <c r="Y22726" s="100"/>
    </row>
    <row r="22727">
      <c r="R22727" s="100"/>
      <c r="V22727" s="100"/>
      <c r="Y22727" s="100"/>
    </row>
    <row r="22728">
      <c r="R22728" s="100"/>
      <c r="V22728" s="100"/>
      <c r="Y22728" s="100"/>
    </row>
    <row r="22729">
      <c r="R22729" s="100"/>
      <c r="V22729" s="100"/>
      <c r="Y22729" s="100"/>
    </row>
    <row r="22730">
      <c r="R22730" s="100"/>
      <c r="V22730" s="100"/>
      <c r="Y22730" s="100"/>
    </row>
    <row r="22731">
      <c r="R22731" s="100"/>
      <c r="V22731" s="100"/>
      <c r="Y22731" s="100"/>
    </row>
    <row r="22732">
      <c r="R22732" s="100"/>
      <c r="V22732" s="100"/>
      <c r="Y22732" s="100"/>
    </row>
    <row r="22733">
      <c r="R22733" s="100"/>
      <c r="V22733" s="100"/>
      <c r="Y22733" s="100"/>
    </row>
    <row r="22734">
      <c r="R22734" s="100"/>
      <c r="V22734" s="100"/>
      <c r="Y22734" s="100"/>
    </row>
    <row r="22735">
      <c r="R22735" s="100"/>
      <c r="V22735" s="100"/>
      <c r="Y22735" s="100"/>
    </row>
    <row r="22736">
      <c r="R22736" s="100"/>
      <c r="V22736" s="100"/>
      <c r="Y22736" s="100"/>
    </row>
    <row r="22737">
      <c r="R22737" s="100"/>
      <c r="V22737" s="100"/>
      <c r="Y22737" s="100"/>
    </row>
    <row r="22738">
      <c r="R22738" s="100"/>
      <c r="V22738" s="100"/>
      <c r="Y22738" s="100"/>
    </row>
    <row r="22739">
      <c r="R22739" s="100"/>
      <c r="V22739" s="100"/>
      <c r="Y22739" s="100"/>
    </row>
    <row r="22740">
      <c r="R22740" s="100"/>
      <c r="V22740" s="100"/>
      <c r="Y22740" s="100"/>
    </row>
    <row r="22741">
      <c r="R22741" s="100"/>
      <c r="V22741" s="100"/>
      <c r="Y22741" s="100"/>
    </row>
    <row r="22742">
      <c r="R22742" s="100"/>
      <c r="V22742" s="100"/>
      <c r="Y22742" s="100"/>
    </row>
    <row r="22743">
      <c r="R22743" s="100"/>
      <c r="V22743" s="100"/>
      <c r="Y22743" s="100"/>
    </row>
    <row r="22744">
      <c r="R22744" s="100"/>
      <c r="V22744" s="100"/>
      <c r="Y22744" s="100"/>
    </row>
    <row r="22745">
      <c r="R22745" s="100"/>
      <c r="V22745" s="100"/>
      <c r="Y22745" s="100"/>
    </row>
    <row r="22746">
      <c r="R22746" s="100"/>
      <c r="V22746" s="100"/>
      <c r="Y22746" s="100"/>
    </row>
    <row r="22747">
      <c r="R22747" s="100"/>
      <c r="V22747" s="100"/>
      <c r="Y22747" s="100"/>
    </row>
    <row r="22748">
      <c r="R22748" s="100"/>
      <c r="V22748" s="100"/>
      <c r="Y22748" s="100"/>
    </row>
    <row r="22749">
      <c r="R22749" s="100"/>
      <c r="V22749" s="100"/>
      <c r="Y22749" s="100"/>
    </row>
    <row r="22750">
      <c r="R22750" s="100"/>
      <c r="V22750" s="100"/>
      <c r="Y22750" s="100"/>
    </row>
    <row r="22751">
      <c r="R22751" s="100"/>
      <c r="V22751" s="100"/>
      <c r="Y22751" s="100"/>
    </row>
    <row r="22752">
      <c r="R22752" s="100"/>
      <c r="V22752" s="100"/>
      <c r="Y22752" s="100"/>
    </row>
    <row r="22753">
      <c r="R22753" s="100"/>
      <c r="V22753" s="100"/>
      <c r="Y22753" s="100"/>
    </row>
    <row r="22754">
      <c r="R22754" s="100"/>
      <c r="V22754" s="100"/>
      <c r="Y22754" s="100"/>
    </row>
    <row r="22755">
      <c r="R22755" s="100"/>
      <c r="V22755" s="100"/>
      <c r="Y22755" s="100"/>
    </row>
    <row r="22756">
      <c r="R22756" s="100"/>
      <c r="V22756" s="100"/>
      <c r="Y22756" s="100"/>
    </row>
    <row r="22757">
      <c r="R22757" s="100"/>
      <c r="V22757" s="100"/>
      <c r="Y22757" s="100"/>
    </row>
    <row r="22758">
      <c r="R22758" s="100"/>
      <c r="V22758" s="100"/>
      <c r="Y22758" s="100"/>
    </row>
    <row r="22759">
      <c r="R22759" s="100"/>
      <c r="V22759" s="100"/>
      <c r="Y22759" s="100"/>
    </row>
    <row r="22760">
      <c r="R22760" s="100"/>
      <c r="V22760" s="100"/>
      <c r="Y22760" s="100"/>
    </row>
    <row r="22761">
      <c r="R22761" s="100"/>
      <c r="V22761" s="100"/>
      <c r="Y22761" s="100"/>
    </row>
    <row r="22762">
      <c r="R22762" s="100"/>
      <c r="V22762" s="100"/>
      <c r="Y22762" s="100"/>
    </row>
    <row r="22763">
      <c r="R22763" s="100"/>
      <c r="V22763" s="100"/>
      <c r="Y22763" s="100"/>
    </row>
    <row r="22764">
      <c r="R22764" s="100"/>
      <c r="V22764" s="100"/>
      <c r="Y22764" s="100"/>
    </row>
    <row r="22765">
      <c r="R22765" s="100"/>
      <c r="V22765" s="100"/>
      <c r="Y22765" s="100"/>
    </row>
    <row r="22766">
      <c r="R22766" s="100"/>
      <c r="V22766" s="100"/>
      <c r="Y22766" s="100"/>
    </row>
    <row r="22767">
      <c r="R22767" s="100"/>
      <c r="V22767" s="100"/>
      <c r="Y22767" s="100"/>
    </row>
    <row r="22768">
      <c r="R22768" s="100"/>
      <c r="V22768" s="100"/>
      <c r="Y22768" s="100"/>
    </row>
    <row r="22769">
      <c r="R22769" s="100"/>
      <c r="V22769" s="100"/>
      <c r="Y22769" s="100"/>
    </row>
    <row r="22770">
      <c r="R22770" s="100"/>
      <c r="V22770" s="100"/>
      <c r="Y22770" s="100"/>
    </row>
    <row r="22771">
      <c r="R22771" s="100"/>
      <c r="V22771" s="100"/>
      <c r="Y22771" s="100"/>
    </row>
    <row r="22772">
      <c r="R22772" s="100"/>
      <c r="V22772" s="100"/>
      <c r="Y22772" s="100"/>
    </row>
    <row r="22773">
      <c r="R22773" s="100"/>
      <c r="V22773" s="100"/>
      <c r="Y22773" s="100"/>
    </row>
    <row r="22774">
      <c r="R22774" s="100"/>
      <c r="V22774" s="100"/>
      <c r="Y22774" s="100"/>
    </row>
    <row r="22775">
      <c r="R22775" s="100"/>
      <c r="V22775" s="100"/>
      <c r="Y22775" s="100"/>
    </row>
    <row r="22776">
      <c r="R22776" s="100"/>
      <c r="V22776" s="100"/>
      <c r="Y22776" s="100"/>
    </row>
    <row r="22777">
      <c r="R22777" s="100"/>
      <c r="V22777" s="100"/>
      <c r="Y22777" s="100"/>
    </row>
    <row r="22778">
      <c r="R22778" s="100"/>
      <c r="V22778" s="100"/>
      <c r="Y22778" s="100"/>
    </row>
    <row r="22779">
      <c r="R22779" s="100"/>
      <c r="V22779" s="100"/>
      <c r="Y22779" s="100"/>
    </row>
    <row r="22780">
      <c r="R22780" s="100"/>
      <c r="V22780" s="100"/>
      <c r="Y22780" s="100"/>
    </row>
    <row r="22781">
      <c r="R22781" s="100"/>
      <c r="V22781" s="100"/>
      <c r="Y22781" s="100"/>
    </row>
    <row r="22782">
      <c r="R22782" s="100"/>
      <c r="V22782" s="100"/>
      <c r="Y22782" s="100"/>
    </row>
    <row r="22783">
      <c r="R22783" s="100"/>
      <c r="V22783" s="100"/>
      <c r="Y22783" s="100"/>
    </row>
    <row r="22784">
      <c r="R22784" s="100"/>
      <c r="V22784" s="100"/>
      <c r="Y22784" s="100"/>
    </row>
    <row r="22785">
      <c r="R22785" s="100"/>
      <c r="V22785" s="100"/>
      <c r="Y22785" s="100"/>
    </row>
    <row r="22786">
      <c r="R22786" s="100"/>
      <c r="V22786" s="100"/>
      <c r="Y22786" s="100"/>
    </row>
    <row r="22787">
      <c r="R22787" s="100"/>
      <c r="V22787" s="100"/>
      <c r="Y22787" s="100"/>
    </row>
    <row r="22788">
      <c r="R22788" s="100"/>
      <c r="V22788" s="100"/>
      <c r="Y22788" s="100"/>
    </row>
    <row r="22789">
      <c r="R22789" s="100"/>
      <c r="V22789" s="100"/>
      <c r="Y22789" s="100"/>
    </row>
    <row r="22790">
      <c r="R22790" s="100"/>
      <c r="V22790" s="100"/>
      <c r="Y22790" s="100"/>
    </row>
    <row r="22791">
      <c r="R22791" s="100"/>
      <c r="V22791" s="100"/>
      <c r="Y22791" s="100"/>
    </row>
    <row r="22792">
      <c r="R22792" s="100"/>
      <c r="V22792" s="100"/>
      <c r="Y22792" s="100"/>
    </row>
    <row r="22793">
      <c r="R22793" s="100"/>
      <c r="V22793" s="100"/>
      <c r="Y22793" s="100"/>
    </row>
    <row r="22794">
      <c r="R22794" s="100"/>
      <c r="V22794" s="100"/>
      <c r="Y22794" s="100"/>
    </row>
    <row r="22795">
      <c r="R22795" s="100"/>
      <c r="V22795" s="100"/>
      <c r="Y22795" s="100"/>
    </row>
    <row r="22796">
      <c r="R22796" s="100"/>
      <c r="V22796" s="100"/>
      <c r="Y22796" s="100"/>
    </row>
    <row r="22797">
      <c r="R22797" s="100"/>
      <c r="V22797" s="100"/>
      <c r="Y22797" s="100"/>
    </row>
    <row r="22798">
      <c r="R22798" s="100"/>
      <c r="V22798" s="100"/>
      <c r="Y22798" s="100"/>
    </row>
    <row r="22799">
      <c r="R22799" s="100"/>
      <c r="V22799" s="100"/>
      <c r="Y22799" s="100"/>
    </row>
    <row r="22800">
      <c r="R22800" s="100"/>
      <c r="V22800" s="100"/>
      <c r="Y22800" s="100"/>
    </row>
    <row r="22801">
      <c r="R22801" s="100"/>
      <c r="V22801" s="100"/>
      <c r="Y22801" s="100"/>
    </row>
    <row r="22802">
      <c r="R22802" s="100"/>
      <c r="V22802" s="100"/>
      <c r="Y22802" s="100"/>
    </row>
    <row r="22803">
      <c r="R22803" s="100"/>
      <c r="V22803" s="100"/>
      <c r="Y22803" s="100"/>
    </row>
    <row r="22804">
      <c r="R22804" s="100"/>
      <c r="V22804" s="100"/>
      <c r="Y22804" s="100"/>
    </row>
    <row r="22805">
      <c r="R22805" s="100"/>
      <c r="V22805" s="100"/>
      <c r="Y22805" s="100"/>
    </row>
    <row r="22806">
      <c r="R22806" s="100"/>
      <c r="V22806" s="100"/>
      <c r="Y22806" s="100"/>
    </row>
    <row r="22807">
      <c r="R22807" s="100"/>
      <c r="V22807" s="100"/>
      <c r="Y22807" s="100"/>
    </row>
    <row r="22808">
      <c r="R22808" s="100"/>
      <c r="V22808" s="100"/>
      <c r="Y22808" s="100"/>
    </row>
    <row r="22809">
      <c r="R22809" s="100"/>
      <c r="V22809" s="100"/>
      <c r="Y22809" s="100"/>
    </row>
    <row r="22810">
      <c r="R22810" s="100"/>
      <c r="V22810" s="100"/>
      <c r="Y22810" s="100"/>
    </row>
    <row r="22811">
      <c r="R22811" s="100"/>
      <c r="V22811" s="100"/>
      <c r="Y22811" s="100"/>
    </row>
    <row r="22812">
      <c r="R22812" s="100"/>
      <c r="V22812" s="100"/>
      <c r="Y22812" s="100"/>
    </row>
    <row r="22813">
      <c r="R22813" s="100"/>
      <c r="V22813" s="100"/>
      <c r="Y22813" s="100"/>
    </row>
    <row r="22814">
      <c r="R22814" s="100"/>
      <c r="V22814" s="100"/>
      <c r="Y22814" s="100"/>
    </row>
    <row r="22815">
      <c r="R22815" s="100"/>
      <c r="V22815" s="100"/>
      <c r="Y22815" s="100"/>
    </row>
    <row r="22816">
      <c r="R22816" s="100"/>
      <c r="V22816" s="100"/>
      <c r="Y22816" s="100"/>
    </row>
    <row r="22817">
      <c r="R22817" s="100"/>
      <c r="V22817" s="100"/>
      <c r="Y22817" s="100"/>
    </row>
    <row r="22818">
      <c r="R22818" s="100"/>
      <c r="V22818" s="100"/>
      <c r="Y22818" s="100"/>
    </row>
    <row r="22819">
      <c r="R22819" s="100"/>
      <c r="V22819" s="100"/>
      <c r="Y22819" s="100"/>
    </row>
    <row r="22820">
      <c r="R22820" s="100"/>
      <c r="V22820" s="100"/>
      <c r="Y22820" s="100"/>
    </row>
    <row r="22821">
      <c r="R22821" s="100"/>
      <c r="V22821" s="100"/>
      <c r="Y22821" s="100"/>
    </row>
    <row r="22822">
      <c r="R22822" s="100"/>
      <c r="V22822" s="100"/>
      <c r="Y22822" s="100"/>
    </row>
    <row r="22823">
      <c r="R22823" s="100"/>
      <c r="V22823" s="100"/>
      <c r="Y22823" s="100"/>
    </row>
    <row r="22824">
      <c r="R22824" s="100"/>
      <c r="V22824" s="100"/>
      <c r="Y22824" s="100"/>
    </row>
    <row r="22825">
      <c r="R22825" s="100"/>
      <c r="V22825" s="100"/>
      <c r="Y22825" s="100"/>
    </row>
    <row r="22826">
      <c r="R22826" s="100"/>
      <c r="V22826" s="100"/>
      <c r="Y22826" s="100"/>
    </row>
    <row r="22827">
      <c r="R22827" s="100"/>
      <c r="V22827" s="100"/>
      <c r="Y22827" s="100"/>
    </row>
    <row r="22828">
      <c r="R22828" s="100"/>
      <c r="V22828" s="100"/>
      <c r="Y22828" s="100"/>
    </row>
    <row r="22829">
      <c r="R22829" s="100"/>
      <c r="V22829" s="100"/>
      <c r="Y22829" s="100"/>
    </row>
    <row r="22830">
      <c r="R22830" s="100"/>
      <c r="V22830" s="100"/>
      <c r="Y22830" s="100"/>
    </row>
    <row r="22831">
      <c r="R22831" s="100"/>
      <c r="V22831" s="100"/>
      <c r="Y22831" s="100"/>
    </row>
    <row r="22832">
      <c r="R22832" s="100"/>
      <c r="V22832" s="100"/>
      <c r="Y22832" s="100"/>
    </row>
    <row r="22833">
      <c r="R22833" s="100"/>
      <c r="V22833" s="100"/>
      <c r="Y22833" s="100"/>
    </row>
    <row r="22834">
      <c r="R22834" s="100"/>
      <c r="V22834" s="100"/>
      <c r="Y22834" s="100"/>
    </row>
    <row r="22835">
      <c r="R22835" s="100"/>
      <c r="V22835" s="100"/>
      <c r="Y22835" s="100"/>
    </row>
    <row r="22836">
      <c r="R22836" s="100"/>
      <c r="V22836" s="100"/>
      <c r="Y22836" s="100"/>
    </row>
    <row r="22837">
      <c r="R22837" s="100"/>
      <c r="V22837" s="100"/>
      <c r="Y22837" s="100"/>
    </row>
    <row r="22838">
      <c r="R22838" s="100"/>
      <c r="V22838" s="100"/>
      <c r="Y22838" s="100"/>
    </row>
    <row r="22839">
      <c r="R22839" s="100"/>
      <c r="V22839" s="100"/>
      <c r="Y22839" s="100"/>
    </row>
    <row r="22840">
      <c r="R22840" s="100"/>
      <c r="V22840" s="100"/>
      <c r="Y22840" s="100"/>
    </row>
    <row r="22841">
      <c r="R22841" s="100"/>
      <c r="V22841" s="100"/>
      <c r="Y22841" s="100"/>
    </row>
    <row r="22842">
      <c r="R22842" s="100"/>
      <c r="V22842" s="100"/>
      <c r="Y22842" s="100"/>
    </row>
    <row r="22843">
      <c r="R22843" s="100"/>
      <c r="V22843" s="100"/>
      <c r="Y22843" s="100"/>
    </row>
    <row r="22844">
      <c r="R22844" s="100"/>
      <c r="V22844" s="100"/>
      <c r="Y22844" s="100"/>
    </row>
    <row r="22845">
      <c r="R22845" s="100"/>
      <c r="V22845" s="100"/>
      <c r="Y22845" s="100"/>
    </row>
    <row r="22846">
      <c r="R22846" s="100"/>
      <c r="V22846" s="100"/>
      <c r="Y22846" s="100"/>
    </row>
    <row r="22847">
      <c r="R22847" s="100"/>
      <c r="V22847" s="100"/>
      <c r="Y22847" s="100"/>
    </row>
    <row r="22848">
      <c r="R22848" s="100"/>
      <c r="V22848" s="100"/>
      <c r="Y22848" s="100"/>
    </row>
    <row r="22849">
      <c r="R22849" s="100"/>
      <c r="V22849" s="100"/>
      <c r="Y22849" s="100"/>
    </row>
    <row r="22850">
      <c r="R22850" s="100"/>
      <c r="V22850" s="100"/>
      <c r="Y22850" s="100"/>
    </row>
    <row r="22851">
      <c r="R22851" s="100"/>
      <c r="V22851" s="100"/>
      <c r="Y22851" s="100"/>
    </row>
    <row r="22852">
      <c r="R22852" s="100"/>
      <c r="V22852" s="100"/>
      <c r="Y22852" s="100"/>
    </row>
    <row r="22853">
      <c r="R22853" s="100"/>
      <c r="V22853" s="100"/>
      <c r="Y22853" s="100"/>
    </row>
    <row r="22854">
      <c r="R22854" s="100"/>
      <c r="V22854" s="100"/>
      <c r="Y22854" s="100"/>
    </row>
    <row r="22855">
      <c r="R22855" s="100"/>
      <c r="V22855" s="100"/>
      <c r="Y22855" s="100"/>
    </row>
    <row r="22856">
      <c r="R22856" s="100"/>
      <c r="V22856" s="100"/>
      <c r="Y22856" s="100"/>
    </row>
    <row r="22857">
      <c r="R22857" s="100"/>
      <c r="V22857" s="100"/>
      <c r="Y22857" s="100"/>
    </row>
    <row r="22858">
      <c r="R22858" s="100"/>
      <c r="V22858" s="100"/>
      <c r="Y22858" s="100"/>
    </row>
    <row r="22859">
      <c r="R22859" s="100"/>
      <c r="V22859" s="100"/>
      <c r="Y22859" s="100"/>
    </row>
    <row r="22860">
      <c r="R22860" s="100"/>
      <c r="V22860" s="100"/>
      <c r="Y22860" s="100"/>
    </row>
    <row r="22861">
      <c r="R22861" s="100"/>
      <c r="V22861" s="100"/>
      <c r="Y22861" s="100"/>
    </row>
    <row r="22862">
      <c r="R22862" s="100"/>
      <c r="V22862" s="100"/>
      <c r="Y22862" s="100"/>
    </row>
    <row r="22863">
      <c r="R22863" s="100"/>
      <c r="V22863" s="100"/>
      <c r="Y22863" s="100"/>
    </row>
    <row r="22864">
      <c r="R22864" s="100"/>
      <c r="V22864" s="100"/>
      <c r="Y22864" s="100"/>
    </row>
    <row r="22865">
      <c r="R22865" s="100"/>
      <c r="V22865" s="100"/>
      <c r="Y22865" s="100"/>
    </row>
    <row r="22866">
      <c r="R22866" s="100"/>
      <c r="V22866" s="100"/>
      <c r="Y22866" s="100"/>
    </row>
    <row r="22867">
      <c r="R22867" s="100"/>
      <c r="V22867" s="100"/>
      <c r="Y22867" s="100"/>
    </row>
    <row r="22868">
      <c r="R22868" s="100"/>
      <c r="V22868" s="100"/>
      <c r="Y22868" s="100"/>
    </row>
    <row r="22869">
      <c r="R22869" s="100"/>
      <c r="V22869" s="100"/>
      <c r="Y22869" s="100"/>
    </row>
    <row r="22870">
      <c r="R22870" s="100"/>
      <c r="V22870" s="100"/>
      <c r="Y22870" s="100"/>
    </row>
    <row r="22871">
      <c r="R22871" s="100"/>
      <c r="V22871" s="100"/>
      <c r="Y22871" s="100"/>
    </row>
    <row r="22872">
      <c r="R22872" s="100"/>
      <c r="V22872" s="100"/>
      <c r="Y22872" s="100"/>
    </row>
    <row r="22873">
      <c r="R22873" s="100"/>
      <c r="V22873" s="100"/>
      <c r="Y22873" s="100"/>
    </row>
    <row r="22874">
      <c r="R22874" s="100"/>
      <c r="V22874" s="100"/>
      <c r="Y22874" s="100"/>
    </row>
    <row r="22875">
      <c r="R22875" s="100"/>
      <c r="V22875" s="100"/>
      <c r="Y22875" s="100"/>
    </row>
    <row r="22876">
      <c r="R22876" s="100"/>
      <c r="V22876" s="100"/>
      <c r="Y22876" s="100"/>
    </row>
    <row r="22877">
      <c r="R22877" s="100"/>
      <c r="V22877" s="100"/>
      <c r="Y22877" s="100"/>
    </row>
    <row r="22878">
      <c r="R22878" s="100"/>
      <c r="V22878" s="100"/>
      <c r="Y22878" s="100"/>
    </row>
    <row r="22879">
      <c r="R22879" s="100"/>
      <c r="V22879" s="100"/>
      <c r="Y22879" s="100"/>
    </row>
    <row r="22880">
      <c r="R22880" s="100"/>
      <c r="V22880" s="100"/>
      <c r="Y22880" s="100"/>
    </row>
    <row r="22881">
      <c r="R22881" s="100"/>
      <c r="V22881" s="100"/>
      <c r="Y22881" s="100"/>
    </row>
    <row r="22882">
      <c r="R22882" s="100"/>
      <c r="V22882" s="100"/>
      <c r="Y22882" s="100"/>
    </row>
    <row r="22883">
      <c r="R22883" s="100"/>
      <c r="V22883" s="100"/>
      <c r="Y22883" s="100"/>
    </row>
    <row r="22884">
      <c r="R22884" s="100"/>
      <c r="V22884" s="100"/>
      <c r="Y22884" s="100"/>
    </row>
    <row r="22885">
      <c r="R22885" s="100"/>
      <c r="V22885" s="100"/>
      <c r="Y22885" s="100"/>
    </row>
    <row r="22886">
      <c r="R22886" s="100"/>
      <c r="V22886" s="100"/>
      <c r="Y22886" s="100"/>
    </row>
    <row r="22887">
      <c r="R22887" s="100"/>
      <c r="V22887" s="100"/>
      <c r="Y22887" s="100"/>
    </row>
    <row r="22888">
      <c r="R22888" s="100"/>
      <c r="V22888" s="100"/>
      <c r="Y22888" s="100"/>
    </row>
    <row r="22889">
      <c r="R22889" s="100"/>
      <c r="V22889" s="100"/>
      <c r="Y22889" s="100"/>
    </row>
    <row r="22890">
      <c r="R22890" s="100"/>
      <c r="V22890" s="100"/>
      <c r="Y22890" s="100"/>
    </row>
    <row r="22891">
      <c r="R22891" s="100"/>
      <c r="V22891" s="100"/>
      <c r="Y22891" s="100"/>
    </row>
    <row r="22892">
      <c r="R22892" s="100"/>
      <c r="V22892" s="100"/>
      <c r="Y22892" s="100"/>
    </row>
    <row r="22893">
      <c r="R22893" s="100"/>
      <c r="V22893" s="100"/>
      <c r="Y22893" s="100"/>
    </row>
    <row r="22894">
      <c r="R22894" s="100"/>
      <c r="V22894" s="100"/>
      <c r="Y22894" s="100"/>
    </row>
    <row r="22895">
      <c r="R22895" s="100"/>
      <c r="V22895" s="100"/>
      <c r="Y22895" s="100"/>
    </row>
    <row r="22896">
      <c r="R22896" s="100"/>
      <c r="V22896" s="100"/>
      <c r="Y22896" s="100"/>
    </row>
    <row r="22897">
      <c r="R22897" s="100"/>
      <c r="V22897" s="100"/>
      <c r="Y22897" s="100"/>
    </row>
    <row r="22898">
      <c r="R22898" s="100"/>
      <c r="V22898" s="100"/>
      <c r="Y22898" s="100"/>
    </row>
    <row r="22899">
      <c r="R22899" s="100"/>
      <c r="V22899" s="100"/>
      <c r="Y22899" s="100"/>
    </row>
    <row r="22900">
      <c r="R22900" s="100"/>
      <c r="V22900" s="100"/>
      <c r="Y22900" s="100"/>
    </row>
    <row r="22901">
      <c r="R22901" s="100"/>
      <c r="V22901" s="100"/>
      <c r="Y22901" s="100"/>
    </row>
    <row r="22902">
      <c r="R22902" s="100"/>
      <c r="V22902" s="100"/>
      <c r="Y22902" s="100"/>
    </row>
    <row r="22903">
      <c r="R22903" s="100"/>
      <c r="V22903" s="100"/>
      <c r="Y22903" s="100"/>
    </row>
    <row r="22904">
      <c r="R22904" s="100"/>
      <c r="V22904" s="100"/>
      <c r="Y22904" s="100"/>
    </row>
    <row r="22905">
      <c r="R22905" s="100"/>
      <c r="V22905" s="100"/>
      <c r="Y22905" s="100"/>
    </row>
    <row r="22906">
      <c r="R22906" s="100"/>
      <c r="V22906" s="100"/>
      <c r="Y22906" s="100"/>
    </row>
    <row r="22907">
      <c r="R22907" s="100"/>
      <c r="V22907" s="100"/>
      <c r="Y22907" s="100"/>
    </row>
    <row r="22908">
      <c r="R22908" s="100"/>
      <c r="V22908" s="100"/>
      <c r="Y22908" s="100"/>
    </row>
    <row r="22909">
      <c r="R22909" s="100"/>
      <c r="V22909" s="100"/>
      <c r="Y22909" s="100"/>
    </row>
    <row r="22910">
      <c r="R22910" s="100"/>
      <c r="V22910" s="100"/>
      <c r="Y22910" s="100"/>
    </row>
    <row r="22911">
      <c r="R22911" s="100"/>
      <c r="V22911" s="100"/>
      <c r="Y22911" s="100"/>
    </row>
    <row r="22912">
      <c r="R22912" s="100"/>
      <c r="V22912" s="100"/>
      <c r="Y22912" s="100"/>
    </row>
    <row r="22913">
      <c r="R22913" s="100"/>
      <c r="V22913" s="100"/>
      <c r="Y22913" s="100"/>
    </row>
    <row r="22914">
      <c r="R22914" s="100"/>
      <c r="V22914" s="100"/>
      <c r="Y22914" s="100"/>
    </row>
    <row r="22915">
      <c r="R22915" s="100"/>
      <c r="V22915" s="100"/>
      <c r="Y22915" s="100"/>
    </row>
    <row r="22916">
      <c r="R22916" s="100"/>
      <c r="V22916" s="100"/>
      <c r="Y22916" s="100"/>
    </row>
    <row r="22917">
      <c r="R22917" s="100"/>
      <c r="V22917" s="100"/>
      <c r="Y22917" s="100"/>
    </row>
    <row r="22918">
      <c r="R22918" s="100"/>
      <c r="V22918" s="100"/>
      <c r="Y22918" s="100"/>
    </row>
    <row r="22919">
      <c r="R22919" s="100"/>
      <c r="V22919" s="100"/>
      <c r="Y22919" s="100"/>
    </row>
    <row r="22920">
      <c r="R22920" s="100"/>
      <c r="V22920" s="100"/>
      <c r="Y22920" s="100"/>
    </row>
    <row r="22921">
      <c r="R22921" s="100"/>
      <c r="V22921" s="100"/>
      <c r="Y22921" s="100"/>
    </row>
    <row r="22922">
      <c r="R22922" s="100"/>
      <c r="V22922" s="100"/>
      <c r="Y22922" s="100"/>
    </row>
    <row r="22923">
      <c r="R22923" s="100"/>
      <c r="V22923" s="100"/>
      <c r="Y22923" s="100"/>
    </row>
    <row r="22924">
      <c r="R22924" s="100"/>
      <c r="V22924" s="100"/>
      <c r="Y22924" s="100"/>
    </row>
    <row r="22925">
      <c r="R22925" s="100"/>
      <c r="V22925" s="100"/>
      <c r="Y22925" s="100"/>
    </row>
    <row r="22926">
      <c r="R22926" s="100"/>
      <c r="V22926" s="100"/>
      <c r="Y22926" s="100"/>
    </row>
    <row r="22927">
      <c r="R22927" s="100"/>
      <c r="V22927" s="100"/>
      <c r="Y22927" s="100"/>
    </row>
    <row r="22928">
      <c r="R22928" s="100"/>
      <c r="V22928" s="100"/>
      <c r="Y22928" s="100"/>
    </row>
    <row r="22929">
      <c r="R22929" s="100"/>
      <c r="V22929" s="100"/>
      <c r="Y22929" s="100"/>
    </row>
    <row r="22930">
      <c r="R22930" s="100"/>
      <c r="V22930" s="100"/>
      <c r="Y22930" s="100"/>
    </row>
    <row r="22931">
      <c r="R22931" s="100"/>
      <c r="V22931" s="100"/>
      <c r="Y22931" s="100"/>
    </row>
    <row r="22932">
      <c r="R22932" s="100"/>
      <c r="V22932" s="100"/>
      <c r="Y22932" s="100"/>
    </row>
    <row r="22933">
      <c r="R22933" s="100"/>
      <c r="V22933" s="100"/>
      <c r="Y22933" s="100"/>
    </row>
    <row r="22934">
      <c r="R22934" s="100"/>
      <c r="V22934" s="100"/>
      <c r="Y22934" s="100"/>
    </row>
    <row r="22935">
      <c r="R22935" s="100"/>
      <c r="V22935" s="100"/>
      <c r="Y22935" s="100"/>
    </row>
    <row r="22936">
      <c r="R22936" s="100"/>
      <c r="V22936" s="100"/>
      <c r="Y22936" s="100"/>
    </row>
    <row r="22937">
      <c r="R22937" s="100"/>
      <c r="V22937" s="100"/>
      <c r="Y22937" s="100"/>
    </row>
    <row r="22938">
      <c r="R22938" s="100"/>
      <c r="V22938" s="100"/>
      <c r="Y22938" s="100"/>
    </row>
    <row r="22939">
      <c r="R22939" s="100"/>
      <c r="V22939" s="100"/>
      <c r="Y22939" s="100"/>
    </row>
    <row r="22940">
      <c r="R22940" s="100"/>
      <c r="V22940" s="100"/>
      <c r="Y22940" s="100"/>
    </row>
    <row r="22941">
      <c r="R22941" s="100"/>
      <c r="V22941" s="100"/>
      <c r="Y22941" s="100"/>
    </row>
    <row r="22942">
      <c r="R22942" s="100"/>
      <c r="V22942" s="100"/>
      <c r="Y22942" s="100"/>
    </row>
    <row r="22943">
      <c r="R22943" s="100"/>
      <c r="V22943" s="100"/>
      <c r="Y22943" s="100"/>
    </row>
    <row r="22944">
      <c r="R22944" s="100"/>
      <c r="V22944" s="100"/>
      <c r="Y22944" s="100"/>
    </row>
    <row r="22945">
      <c r="R22945" s="100"/>
      <c r="V22945" s="100"/>
      <c r="Y22945" s="100"/>
    </row>
    <row r="22946">
      <c r="R22946" s="100"/>
      <c r="V22946" s="100"/>
      <c r="Y22946" s="100"/>
    </row>
    <row r="22947">
      <c r="R22947" s="100"/>
      <c r="V22947" s="100"/>
      <c r="Y22947" s="100"/>
    </row>
    <row r="22948">
      <c r="R22948" s="100"/>
      <c r="V22948" s="100"/>
      <c r="Y22948" s="100"/>
    </row>
    <row r="22949">
      <c r="R22949" s="100"/>
      <c r="V22949" s="100"/>
      <c r="Y22949" s="100"/>
    </row>
    <row r="22950">
      <c r="R22950" s="100"/>
      <c r="V22950" s="100"/>
      <c r="Y22950" s="100"/>
    </row>
    <row r="22951">
      <c r="R22951" s="100"/>
      <c r="V22951" s="100"/>
      <c r="Y22951" s="100"/>
    </row>
    <row r="22952">
      <c r="R22952" s="100"/>
      <c r="V22952" s="100"/>
      <c r="Y22952" s="100"/>
    </row>
    <row r="22953">
      <c r="R22953" s="100"/>
      <c r="V22953" s="100"/>
      <c r="Y22953" s="100"/>
    </row>
    <row r="22954">
      <c r="R22954" s="100"/>
      <c r="V22954" s="100"/>
      <c r="Y22954" s="100"/>
    </row>
    <row r="22955">
      <c r="R22955" s="100"/>
      <c r="V22955" s="100"/>
      <c r="Y22955" s="100"/>
    </row>
    <row r="22956">
      <c r="R22956" s="100"/>
      <c r="V22956" s="100"/>
      <c r="Y22956" s="100"/>
    </row>
    <row r="22957">
      <c r="R22957" s="100"/>
      <c r="V22957" s="100"/>
      <c r="Y22957" s="100"/>
    </row>
    <row r="22958">
      <c r="R22958" s="100"/>
      <c r="V22958" s="100"/>
      <c r="Y22958" s="100"/>
    </row>
    <row r="22959">
      <c r="R22959" s="100"/>
      <c r="V22959" s="100"/>
      <c r="Y22959" s="100"/>
    </row>
    <row r="22960">
      <c r="R22960" s="100"/>
      <c r="V22960" s="100"/>
      <c r="Y22960" s="100"/>
    </row>
    <row r="22961">
      <c r="R22961" s="100"/>
      <c r="V22961" s="100"/>
      <c r="Y22961" s="100"/>
    </row>
    <row r="22962">
      <c r="R22962" s="100"/>
      <c r="V22962" s="100"/>
      <c r="Y22962" s="100"/>
    </row>
    <row r="22963">
      <c r="R22963" s="100"/>
      <c r="V22963" s="100"/>
      <c r="Y22963" s="100"/>
    </row>
    <row r="22964">
      <c r="R22964" s="100"/>
      <c r="V22964" s="100"/>
      <c r="Y22964" s="100"/>
    </row>
    <row r="22965">
      <c r="R22965" s="100"/>
      <c r="V22965" s="100"/>
      <c r="Y22965" s="100"/>
    </row>
    <row r="22966">
      <c r="R22966" s="100"/>
      <c r="V22966" s="100"/>
      <c r="Y22966" s="100"/>
    </row>
    <row r="22967">
      <c r="R22967" s="100"/>
      <c r="V22967" s="100"/>
      <c r="Y22967" s="100"/>
    </row>
    <row r="22968">
      <c r="R22968" s="100"/>
      <c r="V22968" s="100"/>
      <c r="Y22968" s="100"/>
    </row>
    <row r="22969">
      <c r="R22969" s="100"/>
      <c r="V22969" s="100"/>
      <c r="Y22969" s="100"/>
    </row>
    <row r="22970">
      <c r="R22970" s="100"/>
      <c r="V22970" s="100"/>
      <c r="Y22970" s="100"/>
    </row>
    <row r="22971">
      <c r="R22971" s="100"/>
      <c r="V22971" s="100"/>
      <c r="Y22971" s="100"/>
    </row>
    <row r="22972">
      <c r="R22972" s="100"/>
      <c r="V22972" s="100"/>
      <c r="Y22972" s="100"/>
    </row>
    <row r="22973">
      <c r="R22973" s="100"/>
      <c r="V22973" s="100"/>
      <c r="Y22973" s="100"/>
    </row>
    <row r="22974">
      <c r="R22974" s="100"/>
      <c r="V22974" s="100"/>
      <c r="Y22974" s="100"/>
    </row>
    <row r="22975">
      <c r="R22975" s="100"/>
      <c r="V22975" s="100"/>
      <c r="Y22975" s="100"/>
    </row>
    <row r="22976">
      <c r="R22976" s="100"/>
      <c r="V22976" s="100"/>
      <c r="Y22976" s="100"/>
    </row>
    <row r="22977">
      <c r="R22977" s="100"/>
      <c r="V22977" s="100"/>
      <c r="Y22977" s="100"/>
    </row>
    <row r="22978">
      <c r="R22978" s="100"/>
      <c r="V22978" s="100"/>
      <c r="Y22978" s="100"/>
    </row>
    <row r="22979">
      <c r="R22979" s="100"/>
      <c r="V22979" s="100"/>
      <c r="Y22979" s="100"/>
    </row>
    <row r="22980">
      <c r="R22980" s="100"/>
      <c r="V22980" s="100"/>
      <c r="Y22980" s="100"/>
    </row>
    <row r="22981">
      <c r="R22981" s="100"/>
      <c r="V22981" s="100"/>
      <c r="Y22981" s="100"/>
    </row>
    <row r="22982">
      <c r="R22982" s="100"/>
      <c r="V22982" s="100"/>
      <c r="Y22982" s="100"/>
    </row>
    <row r="22983">
      <c r="R22983" s="100"/>
      <c r="V22983" s="100"/>
      <c r="Y22983" s="100"/>
    </row>
    <row r="22984">
      <c r="R22984" s="100"/>
      <c r="V22984" s="100"/>
      <c r="Y22984" s="100"/>
    </row>
    <row r="22985">
      <c r="R22985" s="100"/>
      <c r="V22985" s="100"/>
      <c r="Y22985" s="100"/>
    </row>
    <row r="22986">
      <c r="R22986" s="100"/>
      <c r="V22986" s="100"/>
      <c r="Y22986" s="100"/>
    </row>
    <row r="22987">
      <c r="R22987" s="100"/>
      <c r="V22987" s="100"/>
      <c r="Y22987" s="100"/>
    </row>
    <row r="22988">
      <c r="R22988" s="100"/>
      <c r="V22988" s="100"/>
      <c r="Y22988" s="100"/>
    </row>
    <row r="22989">
      <c r="R22989" s="100"/>
      <c r="V22989" s="100"/>
      <c r="Y22989" s="100"/>
    </row>
    <row r="22990">
      <c r="R22990" s="100"/>
      <c r="V22990" s="100"/>
      <c r="Y22990" s="100"/>
    </row>
    <row r="22991">
      <c r="R22991" s="100"/>
      <c r="V22991" s="100"/>
      <c r="Y22991" s="100"/>
    </row>
    <row r="22992">
      <c r="R22992" s="100"/>
      <c r="V22992" s="100"/>
      <c r="Y22992" s="100"/>
    </row>
    <row r="22993">
      <c r="R22993" s="100"/>
      <c r="V22993" s="100"/>
      <c r="Y22993" s="100"/>
    </row>
    <row r="22994">
      <c r="R22994" s="100"/>
      <c r="V22994" s="100"/>
      <c r="Y22994" s="100"/>
    </row>
    <row r="22995">
      <c r="R22995" s="100"/>
      <c r="V22995" s="100"/>
      <c r="Y22995" s="100"/>
    </row>
    <row r="22996">
      <c r="R22996" s="100"/>
      <c r="V22996" s="100"/>
      <c r="Y22996" s="100"/>
    </row>
    <row r="22997">
      <c r="R22997" s="100"/>
      <c r="V22997" s="100"/>
      <c r="Y22997" s="100"/>
    </row>
    <row r="22998">
      <c r="R22998" s="100"/>
      <c r="V22998" s="100"/>
      <c r="Y22998" s="100"/>
    </row>
    <row r="22999">
      <c r="R22999" s="100"/>
      <c r="V22999" s="100"/>
      <c r="Y22999" s="100"/>
    </row>
    <row r="23000">
      <c r="R23000" s="100"/>
      <c r="V23000" s="100"/>
      <c r="Y23000" s="100"/>
    </row>
    <row r="23001">
      <c r="R23001" s="100"/>
      <c r="V23001" s="100"/>
      <c r="Y23001" s="100"/>
    </row>
    <row r="23002">
      <c r="R23002" s="100"/>
      <c r="V23002" s="100"/>
      <c r="Y23002" s="100"/>
    </row>
    <row r="23003">
      <c r="R23003" s="100"/>
      <c r="V23003" s="100"/>
      <c r="Y23003" s="100"/>
    </row>
    <row r="23004">
      <c r="R23004" s="100"/>
      <c r="V23004" s="100"/>
      <c r="Y23004" s="100"/>
    </row>
    <row r="23005">
      <c r="R23005" s="100"/>
      <c r="V23005" s="100"/>
      <c r="Y23005" s="100"/>
    </row>
    <row r="23006">
      <c r="R23006" s="100"/>
      <c r="V23006" s="100"/>
      <c r="Y23006" s="100"/>
    </row>
    <row r="23007">
      <c r="R23007" s="100"/>
      <c r="V23007" s="100"/>
      <c r="Y23007" s="100"/>
    </row>
    <row r="23008">
      <c r="R23008" s="100"/>
      <c r="V23008" s="100"/>
      <c r="Y23008" s="100"/>
    </row>
    <row r="23009">
      <c r="R23009" s="100"/>
      <c r="V23009" s="100"/>
      <c r="Y23009" s="100"/>
    </row>
    <row r="23010">
      <c r="R23010" s="100"/>
      <c r="V23010" s="100"/>
      <c r="Y23010" s="100"/>
    </row>
    <row r="23011">
      <c r="R23011" s="100"/>
      <c r="V23011" s="100"/>
      <c r="Y23011" s="100"/>
    </row>
    <row r="23012">
      <c r="R23012" s="100"/>
      <c r="V23012" s="100"/>
      <c r="Y23012" s="100"/>
    </row>
    <row r="23013">
      <c r="R23013" s="100"/>
      <c r="V23013" s="100"/>
      <c r="Y23013" s="100"/>
    </row>
    <row r="23014">
      <c r="R23014" s="100"/>
      <c r="V23014" s="100"/>
      <c r="Y23014" s="100"/>
    </row>
    <row r="23015">
      <c r="R23015" s="100"/>
      <c r="V23015" s="100"/>
      <c r="Y23015" s="100"/>
    </row>
    <row r="23016">
      <c r="R23016" s="100"/>
      <c r="V23016" s="100"/>
      <c r="Y23016" s="100"/>
    </row>
    <row r="23017">
      <c r="R23017" s="100"/>
      <c r="V23017" s="100"/>
      <c r="Y23017" s="100"/>
    </row>
    <row r="23018">
      <c r="R23018" s="100"/>
      <c r="V23018" s="100"/>
      <c r="Y23018" s="100"/>
    </row>
    <row r="23019">
      <c r="R23019" s="100"/>
      <c r="V23019" s="100"/>
      <c r="Y23019" s="100"/>
    </row>
    <row r="23020">
      <c r="R23020" s="100"/>
      <c r="V23020" s="100"/>
      <c r="Y23020" s="100"/>
    </row>
    <row r="23021">
      <c r="R23021" s="100"/>
      <c r="V23021" s="100"/>
      <c r="Y23021" s="100"/>
    </row>
    <row r="23022">
      <c r="R23022" s="100"/>
      <c r="V23022" s="100"/>
      <c r="Y23022" s="100"/>
    </row>
    <row r="23023">
      <c r="R23023" s="100"/>
      <c r="V23023" s="100"/>
      <c r="Y23023" s="100"/>
    </row>
    <row r="23024">
      <c r="R23024" s="100"/>
      <c r="V23024" s="100"/>
      <c r="Y23024" s="100"/>
    </row>
    <row r="23025">
      <c r="R23025" s="100"/>
      <c r="V23025" s="100"/>
      <c r="Y23025" s="100"/>
    </row>
    <row r="23026">
      <c r="R23026" s="100"/>
      <c r="V23026" s="100"/>
      <c r="Y23026" s="100"/>
    </row>
    <row r="23027">
      <c r="R23027" s="100"/>
      <c r="V23027" s="100"/>
      <c r="Y23027" s="100"/>
    </row>
    <row r="23028">
      <c r="R23028" s="100"/>
      <c r="V23028" s="100"/>
      <c r="Y23028" s="100"/>
    </row>
    <row r="23029">
      <c r="R23029" s="100"/>
      <c r="V23029" s="100"/>
      <c r="Y23029" s="100"/>
    </row>
    <row r="23030">
      <c r="R23030" s="100"/>
      <c r="V23030" s="100"/>
      <c r="Y23030" s="100"/>
    </row>
    <row r="23031">
      <c r="R23031" s="100"/>
      <c r="V23031" s="100"/>
      <c r="Y23031" s="100"/>
    </row>
    <row r="23032">
      <c r="R23032" s="100"/>
      <c r="V23032" s="100"/>
      <c r="Y23032" s="100"/>
    </row>
    <row r="23033">
      <c r="R23033" s="100"/>
      <c r="V23033" s="100"/>
      <c r="Y23033" s="100"/>
    </row>
    <row r="23034">
      <c r="R23034" s="100"/>
      <c r="V23034" s="100"/>
      <c r="Y23034" s="100"/>
    </row>
    <row r="23035">
      <c r="R23035" s="100"/>
      <c r="V23035" s="100"/>
      <c r="Y23035" s="100"/>
    </row>
    <row r="23036">
      <c r="R23036" s="100"/>
      <c r="V23036" s="100"/>
      <c r="Y23036" s="100"/>
    </row>
    <row r="23037">
      <c r="R23037" s="100"/>
      <c r="V23037" s="100"/>
      <c r="Y23037" s="100"/>
    </row>
    <row r="23038">
      <c r="R23038" s="100"/>
      <c r="V23038" s="100"/>
      <c r="Y23038" s="100"/>
    </row>
    <row r="23039">
      <c r="R23039" s="100"/>
      <c r="V23039" s="100"/>
      <c r="Y23039" s="100"/>
    </row>
    <row r="23040">
      <c r="R23040" s="100"/>
      <c r="V23040" s="100"/>
      <c r="Y23040" s="100"/>
    </row>
    <row r="23041">
      <c r="R23041" s="100"/>
      <c r="V23041" s="100"/>
      <c r="Y23041" s="100"/>
    </row>
    <row r="23042">
      <c r="R23042" s="100"/>
      <c r="V23042" s="100"/>
      <c r="Y23042" s="100"/>
    </row>
    <row r="23043">
      <c r="R23043" s="100"/>
      <c r="V23043" s="100"/>
      <c r="Y23043" s="100"/>
    </row>
    <row r="23044">
      <c r="R23044" s="100"/>
      <c r="V23044" s="100"/>
      <c r="Y23044" s="100"/>
    </row>
    <row r="23045">
      <c r="R23045" s="100"/>
      <c r="V23045" s="100"/>
      <c r="Y23045" s="100"/>
    </row>
    <row r="23046">
      <c r="R23046" s="100"/>
      <c r="V23046" s="100"/>
      <c r="Y23046" s="100"/>
    </row>
    <row r="23047">
      <c r="R23047" s="100"/>
      <c r="V23047" s="100"/>
      <c r="Y23047" s="100"/>
    </row>
    <row r="23048">
      <c r="R23048" s="100"/>
      <c r="V23048" s="100"/>
      <c r="Y23048" s="100"/>
    </row>
    <row r="23049">
      <c r="R23049" s="100"/>
      <c r="V23049" s="100"/>
      <c r="Y23049" s="100"/>
    </row>
    <row r="23050">
      <c r="R23050" s="100"/>
      <c r="V23050" s="100"/>
      <c r="Y23050" s="100"/>
    </row>
    <row r="23051">
      <c r="R23051" s="100"/>
      <c r="V23051" s="100"/>
      <c r="Y23051" s="100"/>
    </row>
    <row r="23052">
      <c r="R23052" s="100"/>
      <c r="V23052" s="100"/>
      <c r="Y23052" s="100"/>
    </row>
    <row r="23053">
      <c r="R23053" s="100"/>
      <c r="V23053" s="100"/>
      <c r="Y23053" s="100"/>
    </row>
    <row r="23054">
      <c r="R23054" s="100"/>
      <c r="V23054" s="100"/>
      <c r="Y23054" s="100"/>
    </row>
    <row r="23055">
      <c r="R23055" s="100"/>
      <c r="V23055" s="100"/>
      <c r="Y23055" s="100"/>
    </row>
    <row r="23056">
      <c r="R23056" s="100"/>
      <c r="V23056" s="100"/>
      <c r="Y23056" s="100"/>
    </row>
    <row r="23057">
      <c r="R23057" s="100"/>
      <c r="V23057" s="100"/>
      <c r="Y23057" s="100"/>
    </row>
    <row r="23058">
      <c r="R23058" s="100"/>
      <c r="V23058" s="100"/>
      <c r="Y23058" s="100"/>
    </row>
    <row r="23059">
      <c r="R23059" s="100"/>
      <c r="V23059" s="100"/>
      <c r="Y23059" s="100"/>
    </row>
    <row r="23060">
      <c r="R23060" s="100"/>
      <c r="V23060" s="100"/>
      <c r="Y23060" s="100"/>
    </row>
    <row r="23061">
      <c r="R23061" s="100"/>
      <c r="V23061" s="100"/>
      <c r="Y23061" s="100"/>
    </row>
    <row r="23062">
      <c r="R23062" s="100"/>
      <c r="V23062" s="100"/>
      <c r="Y23062" s="100"/>
    </row>
    <row r="23063">
      <c r="R23063" s="100"/>
      <c r="V23063" s="100"/>
      <c r="Y23063" s="100"/>
    </row>
    <row r="23064">
      <c r="R23064" s="100"/>
      <c r="V23064" s="100"/>
      <c r="Y23064" s="100"/>
    </row>
    <row r="23065">
      <c r="R23065" s="100"/>
      <c r="V23065" s="100"/>
      <c r="Y23065" s="100"/>
    </row>
    <row r="23066">
      <c r="R23066" s="100"/>
      <c r="V23066" s="100"/>
      <c r="Y23066" s="100"/>
    </row>
    <row r="23067">
      <c r="R23067" s="100"/>
      <c r="V23067" s="100"/>
      <c r="Y23067" s="100"/>
    </row>
    <row r="23068">
      <c r="R23068" s="100"/>
      <c r="V23068" s="100"/>
      <c r="Y23068" s="100"/>
    </row>
    <row r="23069">
      <c r="R23069" s="100"/>
      <c r="V23069" s="100"/>
      <c r="Y23069" s="100"/>
    </row>
    <row r="23070">
      <c r="R23070" s="100"/>
      <c r="V23070" s="100"/>
      <c r="Y23070" s="100"/>
    </row>
    <row r="23071">
      <c r="R23071" s="100"/>
      <c r="V23071" s="100"/>
      <c r="Y23071" s="100"/>
    </row>
    <row r="23072">
      <c r="R23072" s="100"/>
      <c r="V23072" s="100"/>
      <c r="Y23072" s="100"/>
    </row>
    <row r="23073">
      <c r="R23073" s="100"/>
      <c r="V23073" s="100"/>
      <c r="Y23073" s="100"/>
    </row>
    <row r="23074">
      <c r="R23074" s="100"/>
      <c r="V23074" s="100"/>
      <c r="Y23074" s="100"/>
    </row>
    <row r="23075">
      <c r="R23075" s="100"/>
      <c r="V23075" s="100"/>
      <c r="Y23075" s="100"/>
    </row>
    <row r="23076">
      <c r="R23076" s="100"/>
      <c r="V23076" s="100"/>
      <c r="Y23076" s="100"/>
    </row>
    <row r="23077">
      <c r="R23077" s="100"/>
      <c r="V23077" s="100"/>
      <c r="Y23077" s="100"/>
    </row>
    <row r="23078">
      <c r="R23078" s="100"/>
      <c r="V23078" s="100"/>
      <c r="Y23078" s="100"/>
    </row>
    <row r="23079">
      <c r="R23079" s="100"/>
      <c r="V23079" s="100"/>
      <c r="Y23079" s="100"/>
    </row>
    <row r="23080">
      <c r="R23080" s="100"/>
      <c r="V23080" s="100"/>
      <c r="Y23080" s="100"/>
    </row>
    <row r="23081">
      <c r="R23081" s="100"/>
      <c r="V23081" s="100"/>
      <c r="Y23081" s="100"/>
    </row>
    <row r="23082">
      <c r="R23082" s="100"/>
      <c r="V23082" s="100"/>
      <c r="Y23082" s="100"/>
    </row>
    <row r="23083">
      <c r="R23083" s="100"/>
      <c r="V23083" s="100"/>
      <c r="Y23083" s="100"/>
    </row>
    <row r="23084">
      <c r="R23084" s="100"/>
      <c r="V23084" s="100"/>
      <c r="Y23084" s="100"/>
    </row>
    <row r="23085">
      <c r="R23085" s="100"/>
      <c r="V23085" s="100"/>
      <c r="Y23085" s="100"/>
    </row>
    <row r="23086">
      <c r="R23086" s="100"/>
      <c r="V23086" s="100"/>
      <c r="Y23086" s="100"/>
    </row>
    <row r="23087">
      <c r="R23087" s="100"/>
      <c r="V23087" s="100"/>
      <c r="Y23087" s="100"/>
    </row>
    <row r="23088">
      <c r="R23088" s="100"/>
      <c r="V23088" s="100"/>
      <c r="Y23088" s="100"/>
    </row>
    <row r="23089">
      <c r="R23089" s="100"/>
      <c r="V23089" s="100"/>
      <c r="Y23089" s="100"/>
    </row>
    <row r="23090">
      <c r="R23090" s="100"/>
      <c r="V23090" s="100"/>
      <c r="Y23090" s="100"/>
    </row>
    <row r="23091">
      <c r="R23091" s="100"/>
      <c r="V23091" s="100"/>
      <c r="Y23091" s="100"/>
    </row>
    <row r="23092">
      <c r="R23092" s="100"/>
      <c r="V23092" s="100"/>
      <c r="Y23092" s="100"/>
    </row>
    <row r="23093">
      <c r="R23093" s="100"/>
      <c r="V23093" s="100"/>
      <c r="Y23093" s="100"/>
    </row>
    <row r="23094">
      <c r="R23094" s="100"/>
      <c r="V23094" s="100"/>
      <c r="Y23094" s="100"/>
    </row>
    <row r="23095">
      <c r="R23095" s="100"/>
      <c r="V23095" s="100"/>
      <c r="Y23095" s="100"/>
    </row>
    <row r="23096">
      <c r="R23096" s="100"/>
      <c r="V23096" s="100"/>
      <c r="Y23096" s="100"/>
    </row>
    <row r="23097">
      <c r="R23097" s="100"/>
      <c r="V23097" s="100"/>
      <c r="Y23097" s="100"/>
    </row>
    <row r="23098">
      <c r="R23098" s="100"/>
      <c r="V23098" s="100"/>
      <c r="Y23098" s="100"/>
    </row>
    <row r="23099">
      <c r="R23099" s="100"/>
      <c r="V23099" s="100"/>
      <c r="Y23099" s="100"/>
    </row>
    <row r="23100">
      <c r="R23100" s="100"/>
      <c r="V23100" s="100"/>
      <c r="Y23100" s="100"/>
    </row>
    <row r="23101">
      <c r="R23101" s="100"/>
      <c r="V23101" s="100"/>
      <c r="Y23101" s="100"/>
    </row>
    <row r="23102">
      <c r="R23102" s="100"/>
      <c r="V23102" s="100"/>
      <c r="Y23102" s="100"/>
    </row>
    <row r="23103">
      <c r="R23103" s="100"/>
      <c r="V23103" s="100"/>
      <c r="Y23103" s="100"/>
    </row>
    <row r="23104">
      <c r="R23104" s="100"/>
      <c r="V23104" s="100"/>
      <c r="Y23104" s="100"/>
    </row>
    <row r="23105">
      <c r="R23105" s="100"/>
      <c r="V23105" s="100"/>
      <c r="Y23105" s="100"/>
    </row>
    <row r="23106">
      <c r="R23106" s="100"/>
      <c r="V23106" s="100"/>
      <c r="Y23106" s="100"/>
    </row>
    <row r="23107">
      <c r="R23107" s="100"/>
      <c r="V23107" s="100"/>
      <c r="Y23107" s="100"/>
    </row>
    <row r="23108">
      <c r="R23108" s="100"/>
      <c r="V23108" s="100"/>
      <c r="Y23108" s="100"/>
    </row>
    <row r="23109">
      <c r="R23109" s="100"/>
      <c r="V23109" s="100"/>
      <c r="Y23109" s="100"/>
    </row>
    <row r="23110">
      <c r="R23110" s="100"/>
      <c r="V23110" s="100"/>
      <c r="Y23110" s="100"/>
    </row>
    <row r="23111">
      <c r="R23111" s="100"/>
      <c r="V23111" s="100"/>
      <c r="Y23111" s="100"/>
    </row>
    <row r="23112">
      <c r="R23112" s="100"/>
      <c r="V23112" s="100"/>
      <c r="Y23112" s="100"/>
    </row>
    <row r="23113">
      <c r="R23113" s="100"/>
      <c r="V23113" s="100"/>
      <c r="Y23113" s="100"/>
    </row>
    <row r="23114">
      <c r="R23114" s="100"/>
      <c r="V23114" s="100"/>
      <c r="Y23114" s="100"/>
    </row>
    <row r="23115">
      <c r="R23115" s="100"/>
      <c r="V23115" s="100"/>
      <c r="Y23115" s="100"/>
    </row>
    <row r="23116">
      <c r="R23116" s="100"/>
      <c r="V23116" s="100"/>
      <c r="Y23116" s="100"/>
    </row>
    <row r="23117">
      <c r="R23117" s="100"/>
      <c r="V23117" s="100"/>
      <c r="Y23117" s="100"/>
    </row>
    <row r="23118">
      <c r="R23118" s="100"/>
      <c r="V23118" s="100"/>
      <c r="Y23118" s="100"/>
    </row>
    <row r="23119">
      <c r="R23119" s="100"/>
      <c r="V23119" s="100"/>
      <c r="Y23119" s="100"/>
    </row>
    <row r="23120">
      <c r="R23120" s="100"/>
      <c r="V23120" s="100"/>
      <c r="Y23120" s="100"/>
    </row>
    <row r="23121">
      <c r="R23121" s="100"/>
      <c r="V23121" s="100"/>
      <c r="Y23121" s="100"/>
    </row>
    <row r="23122">
      <c r="R23122" s="100"/>
      <c r="V23122" s="100"/>
      <c r="Y23122" s="100"/>
    </row>
    <row r="23123">
      <c r="R23123" s="100"/>
      <c r="V23123" s="100"/>
      <c r="Y23123" s="100"/>
    </row>
    <row r="23124">
      <c r="R23124" s="100"/>
      <c r="V23124" s="100"/>
      <c r="Y23124" s="100"/>
    </row>
    <row r="23125">
      <c r="R23125" s="100"/>
      <c r="V23125" s="100"/>
      <c r="Y23125" s="100"/>
    </row>
    <row r="23126">
      <c r="R23126" s="100"/>
      <c r="V23126" s="100"/>
      <c r="Y23126" s="100"/>
    </row>
    <row r="23127">
      <c r="R23127" s="100"/>
      <c r="V23127" s="100"/>
      <c r="Y23127" s="100"/>
    </row>
    <row r="23128">
      <c r="R23128" s="100"/>
      <c r="V23128" s="100"/>
      <c r="Y23128" s="100"/>
    </row>
    <row r="23129">
      <c r="R23129" s="100"/>
      <c r="V23129" s="100"/>
      <c r="Y23129" s="100"/>
    </row>
    <row r="23130">
      <c r="R23130" s="100"/>
      <c r="V23130" s="100"/>
      <c r="Y23130" s="100"/>
    </row>
    <row r="23131">
      <c r="R23131" s="100"/>
      <c r="V23131" s="100"/>
      <c r="Y23131" s="100"/>
    </row>
    <row r="23132">
      <c r="R23132" s="100"/>
      <c r="V23132" s="100"/>
      <c r="Y23132" s="100"/>
    </row>
    <row r="23133">
      <c r="R23133" s="100"/>
      <c r="V23133" s="100"/>
      <c r="Y23133" s="100"/>
    </row>
    <row r="23134">
      <c r="R23134" s="100"/>
      <c r="V23134" s="100"/>
      <c r="Y23134" s="100"/>
    </row>
    <row r="23135">
      <c r="R23135" s="100"/>
      <c r="V23135" s="100"/>
      <c r="Y23135" s="100"/>
    </row>
    <row r="23136">
      <c r="R23136" s="100"/>
      <c r="V23136" s="100"/>
      <c r="Y23136" s="100"/>
    </row>
    <row r="23137">
      <c r="R23137" s="100"/>
      <c r="V23137" s="100"/>
      <c r="Y23137" s="100"/>
    </row>
    <row r="23138">
      <c r="R23138" s="100"/>
      <c r="V23138" s="100"/>
      <c r="Y23138" s="100"/>
    </row>
    <row r="23139">
      <c r="R23139" s="100"/>
      <c r="V23139" s="100"/>
      <c r="Y23139" s="100"/>
    </row>
    <row r="23140">
      <c r="R23140" s="100"/>
      <c r="V23140" s="100"/>
      <c r="Y23140" s="100"/>
    </row>
    <row r="23141">
      <c r="R23141" s="100"/>
      <c r="V23141" s="100"/>
      <c r="Y23141" s="100"/>
    </row>
    <row r="23142">
      <c r="R23142" s="100"/>
      <c r="V23142" s="100"/>
      <c r="Y23142" s="100"/>
    </row>
    <row r="23143">
      <c r="R23143" s="100"/>
      <c r="V23143" s="100"/>
      <c r="Y23143" s="100"/>
    </row>
    <row r="23144">
      <c r="R23144" s="100"/>
      <c r="V23144" s="100"/>
      <c r="Y23144" s="100"/>
    </row>
    <row r="23145">
      <c r="R23145" s="100"/>
      <c r="V23145" s="100"/>
      <c r="Y23145" s="100"/>
    </row>
    <row r="23146">
      <c r="R23146" s="100"/>
      <c r="V23146" s="100"/>
      <c r="Y23146" s="100"/>
    </row>
    <row r="23147">
      <c r="R23147" s="100"/>
      <c r="V23147" s="100"/>
      <c r="Y23147" s="100"/>
    </row>
    <row r="23148">
      <c r="R23148" s="100"/>
      <c r="V23148" s="100"/>
      <c r="Y23148" s="100"/>
    </row>
    <row r="23149">
      <c r="R23149" s="100"/>
      <c r="V23149" s="100"/>
      <c r="Y23149" s="100"/>
    </row>
    <row r="23150">
      <c r="R23150" s="100"/>
      <c r="V23150" s="100"/>
      <c r="Y23150" s="100"/>
    </row>
    <row r="23151">
      <c r="R23151" s="100"/>
      <c r="V23151" s="100"/>
      <c r="Y23151" s="100"/>
    </row>
    <row r="23152">
      <c r="R23152" s="100"/>
      <c r="V23152" s="100"/>
      <c r="Y23152" s="100"/>
    </row>
    <row r="23153">
      <c r="R23153" s="100"/>
      <c r="V23153" s="100"/>
      <c r="Y23153" s="100"/>
    </row>
    <row r="23154">
      <c r="R23154" s="100"/>
      <c r="V23154" s="100"/>
      <c r="Y23154" s="100"/>
    </row>
    <row r="23155">
      <c r="R23155" s="100"/>
      <c r="V23155" s="100"/>
      <c r="Y23155" s="100"/>
    </row>
    <row r="23156">
      <c r="R23156" s="100"/>
      <c r="V23156" s="100"/>
      <c r="Y23156" s="100"/>
    </row>
    <row r="23157">
      <c r="R23157" s="100"/>
      <c r="V23157" s="100"/>
      <c r="Y23157" s="100"/>
    </row>
    <row r="23158">
      <c r="R23158" s="100"/>
      <c r="V23158" s="100"/>
      <c r="Y23158" s="100"/>
    </row>
    <row r="23159">
      <c r="R23159" s="100"/>
      <c r="V23159" s="100"/>
      <c r="Y23159" s="100"/>
    </row>
    <row r="23160">
      <c r="R23160" s="100"/>
      <c r="V23160" s="100"/>
      <c r="Y23160" s="100"/>
    </row>
    <row r="23161">
      <c r="R23161" s="100"/>
      <c r="V23161" s="100"/>
      <c r="Y23161" s="100"/>
    </row>
    <row r="23162">
      <c r="R23162" s="100"/>
      <c r="V23162" s="100"/>
      <c r="Y23162" s="100"/>
    </row>
    <row r="23163">
      <c r="R23163" s="100"/>
      <c r="V23163" s="100"/>
      <c r="Y23163" s="100"/>
    </row>
    <row r="23164">
      <c r="R23164" s="100"/>
      <c r="V23164" s="100"/>
      <c r="Y23164" s="100"/>
    </row>
    <row r="23165">
      <c r="R23165" s="100"/>
      <c r="V23165" s="100"/>
      <c r="Y23165" s="100"/>
    </row>
    <row r="23166">
      <c r="R23166" s="100"/>
      <c r="V23166" s="100"/>
      <c r="Y23166" s="100"/>
    </row>
    <row r="23167">
      <c r="R23167" s="100"/>
      <c r="V23167" s="100"/>
      <c r="Y23167" s="100"/>
    </row>
    <row r="23168">
      <c r="R23168" s="100"/>
      <c r="V23168" s="100"/>
      <c r="Y23168" s="100"/>
    </row>
    <row r="23169">
      <c r="R23169" s="100"/>
      <c r="V23169" s="100"/>
      <c r="Y23169" s="100"/>
    </row>
    <row r="23170">
      <c r="R23170" s="100"/>
      <c r="V23170" s="100"/>
      <c r="Y23170" s="100"/>
    </row>
    <row r="23171">
      <c r="R23171" s="100"/>
      <c r="V23171" s="100"/>
      <c r="Y23171" s="100"/>
    </row>
    <row r="23172">
      <c r="R23172" s="100"/>
      <c r="V23172" s="100"/>
      <c r="Y23172" s="100"/>
    </row>
    <row r="23173">
      <c r="R23173" s="100"/>
      <c r="V23173" s="100"/>
      <c r="Y23173" s="100"/>
    </row>
    <row r="23174">
      <c r="R23174" s="100"/>
      <c r="V23174" s="100"/>
      <c r="Y23174" s="100"/>
    </row>
    <row r="23175">
      <c r="R23175" s="100"/>
      <c r="V23175" s="100"/>
      <c r="Y23175" s="100"/>
    </row>
    <row r="23176">
      <c r="R23176" s="100"/>
      <c r="V23176" s="100"/>
      <c r="Y23176" s="100"/>
    </row>
    <row r="23177">
      <c r="R23177" s="100"/>
      <c r="V23177" s="100"/>
      <c r="Y23177" s="100"/>
    </row>
    <row r="23178">
      <c r="R23178" s="100"/>
      <c r="V23178" s="100"/>
      <c r="Y23178" s="100"/>
    </row>
    <row r="23179">
      <c r="R23179" s="100"/>
      <c r="V23179" s="100"/>
      <c r="Y23179" s="100"/>
    </row>
    <row r="23180">
      <c r="R23180" s="100"/>
      <c r="V23180" s="100"/>
      <c r="Y23180" s="100"/>
    </row>
    <row r="23181">
      <c r="R23181" s="100"/>
      <c r="V23181" s="100"/>
      <c r="Y23181" s="100"/>
    </row>
    <row r="23182">
      <c r="R23182" s="100"/>
      <c r="V23182" s="100"/>
      <c r="Y23182" s="100"/>
    </row>
    <row r="23183">
      <c r="R23183" s="100"/>
      <c r="V23183" s="100"/>
      <c r="Y23183" s="100"/>
    </row>
    <row r="23184">
      <c r="R23184" s="100"/>
      <c r="V23184" s="100"/>
      <c r="Y23184" s="100"/>
    </row>
    <row r="23185">
      <c r="R23185" s="100"/>
      <c r="V23185" s="100"/>
      <c r="Y23185" s="100"/>
    </row>
    <row r="23186">
      <c r="R23186" s="100"/>
      <c r="V23186" s="100"/>
      <c r="Y23186" s="100"/>
    </row>
    <row r="23187">
      <c r="R23187" s="100"/>
      <c r="V23187" s="100"/>
      <c r="Y23187" s="100"/>
    </row>
    <row r="23188">
      <c r="R23188" s="100"/>
      <c r="V23188" s="100"/>
      <c r="Y23188" s="100"/>
    </row>
    <row r="23189">
      <c r="R23189" s="100"/>
      <c r="V23189" s="100"/>
      <c r="Y23189" s="100"/>
    </row>
    <row r="23190">
      <c r="R23190" s="100"/>
      <c r="V23190" s="100"/>
      <c r="Y23190" s="100"/>
    </row>
    <row r="23191">
      <c r="R23191" s="100"/>
      <c r="V23191" s="100"/>
      <c r="Y23191" s="100"/>
    </row>
    <row r="23192">
      <c r="R23192" s="100"/>
      <c r="V23192" s="100"/>
      <c r="Y23192" s="100"/>
    </row>
    <row r="23193">
      <c r="R23193" s="100"/>
      <c r="V23193" s="100"/>
      <c r="Y23193" s="100"/>
    </row>
    <row r="23194">
      <c r="R23194" s="100"/>
      <c r="V23194" s="100"/>
      <c r="Y23194" s="100"/>
    </row>
    <row r="23195">
      <c r="R23195" s="100"/>
      <c r="V23195" s="100"/>
      <c r="Y23195" s="100"/>
    </row>
    <row r="23196">
      <c r="R23196" s="100"/>
      <c r="V23196" s="100"/>
      <c r="Y23196" s="100"/>
    </row>
    <row r="23197">
      <c r="R23197" s="100"/>
      <c r="V23197" s="100"/>
      <c r="Y23197" s="100"/>
    </row>
    <row r="23198">
      <c r="R23198" s="100"/>
      <c r="V23198" s="100"/>
      <c r="Y23198" s="100"/>
    </row>
    <row r="23199">
      <c r="R23199" s="100"/>
      <c r="V23199" s="100"/>
      <c r="Y23199" s="100"/>
    </row>
    <row r="23200">
      <c r="R23200" s="100"/>
      <c r="V23200" s="100"/>
      <c r="Y23200" s="100"/>
    </row>
    <row r="23201">
      <c r="R23201" s="100"/>
      <c r="V23201" s="100"/>
      <c r="Y23201" s="100"/>
    </row>
    <row r="23202">
      <c r="R23202" s="100"/>
      <c r="V23202" s="100"/>
      <c r="Y23202" s="100"/>
    </row>
    <row r="23203">
      <c r="R23203" s="100"/>
      <c r="V23203" s="100"/>
      <c r="Y23203" s="100"/>
    </row>
    <row r="23204">
      <c r="R23204" s="100"/>
      <c r="V23204" s="100"/>
      <c r="Y23204" s="100"/>
    </row>
    <row r="23205">
      <c r="R23205" s="100"/>
      <c r="V23205" s="100"/>
      <c r="Y23205" s="100"/>
    </row>
    <row r="23206">
      <c r="R23206" s="100"/>
      <c r="V23206" s="100"/>
      <c r="Y23206" s="100"/>
    </row>
    <row r="23207">
      <c r="R23207" s="100"/>
      <c r="V23207" s="100"/>
      <c r="Y23207" s="100"/>
    </row>
    <row r="23208">
      <c r="R23208" s="100"/>
      <c r="V23208" s="100"/>
      <c r="Y23208" s="100"/>
    </row>
    <row r="23209">
      <c r="R23209" s="100"/>
      <c r="V23209" s="100"/>
      <c r="Y23209" s="100"/>
    </row>
    <row r="23210">
      <c r="R23210" s="100"/>
      <c r="V23210" s="100"/>
      <c r="Y23210" s="100"/>
    </row>
    <row r="23211">
      <c r="R23211" s="100"/>
      <c r="V23211" s="100"/>
      <c r="Y23211" s="100"/>
    </row>
    <row r="23212">
      <c r="R23212" s="100"/>
      <c r="V23212" s="100"/>
      <c r="Y23212" s="100"/>
    </row>
    <row r="23213">
      <c r="R23213" s="100"/>
      <c r="V23213" s="100"/>
      <c r="Y23213" s="100"/>
    </row>
    <row r="23214">
      <c r="R23214" s="100"/>
      <c r="V23214" s="100"/>
      <c r="Y23214" s="100"/>
    </row>
    <row r="23215">
      <c r="R23215" s="100"/>
      <c r="V23215" s="100"/>
      <c r="Y23215" s="100"/>
    </row>
    <row r="23216">
      <c r="R23216" s="100"/>
      <c r="V23216" s="100"/>
      <c r="Y23216" s="100"/>
    </row>
    <row r="23217">
      <c r="R23217" s="100"/>
      <c r="V23217" s="100"/>
      <c r="Y23217" s="100"/>
    </row>
    <row r="23218">
      <c r="R23218" s="100"/>
      <c r="V23218" s="100"/>
      <c r="Y23218" s="100"/>
    </row>
    <row r="23219">
      <c r="R23219" s="100"/>
      <c r="V23219" s="100"/>
      <c r="Y23219" s="100"/>
    </row>
    <row r="23220">
      <c r="R23220" s="100"/>
      <c r="V23220" s="100"/>
      <c r="Y23220" s="100"/>
    </row>
    <row r="23221">
      <c r="R23221" s="100"/>
      <c r="V23221" s="100"/>
      <c r="Y23221" s="100"/>
    </row>
    <row r="23222">
      <c r="R23222" s="100"/>
      <c r="V23222" s="100"/>
      <c r="Y23222" s="100"/>
    </row>
    <row r="23223">
      <c r="R23223" s="100"/>
      <c r="V23223" s="100"/>
      <c r="Y23223" s="100"/>
    </row>
    <row r="23224">
      <c r="R23224" s="100"/>
      <c r="V23224" s="100"/>
      <c r="Y23224" s="100"/>
    </row>
    <row r="23225">
      <c r="R23225" s="100"/>
      <c r="V23225" s="100"/>
      <c r="Y23225" s="100"/>
    </row>
    <row r="23226">
      <c r="R23226" s="100"/>
      <c r="V23226" s="100"/>
      <c r="Y23226" s="100"/>
    </row>
    <row r="23227">
      <c r="R23227" s="100"/>
      <c r="V23227" s="100"/>
      <c r="Y23227" s="100"/>
    </row>
    <row r="23228">
      <c r="R23228" s="100"/>
      <c r="V23228" s="100"/>
      <c r="Y23228" s="100"/>
    </row>
    <row r="23229">
      <c r="R23229" s="100"/>
      <c r="V23229" s="100"/>
      <c r="Y23229" s="100"/>
    </row>
    <row r="23230">
      <c r="R23230" s="100"/>
      <c r="V23230" s="100"/>
      <c r="Y23230" s="100"/>
    </row>
    <row r="23231">
      <c r="R23231" s="100"/>
      <c r="V23231" s="100"/>
      <c r="Y23231" s="100"/>
    </row>
    <row r="23232">
      <c r="R23232" s="100"/>
      <c r="V23232" s="100"/>
      <c r="Y23232" s="100"/>
    </row>
    <row r="23233">
      <c r="R23233" s="100"/>
      <c r="V23233" s="100"/>
      <c r="Y23233" s="100"/>
    </row>
    <row r="23234">
      <c r="R23234" s="100"/>
      <c r="V23234" s="100"/>
      <c r="Y23234" s="100"/>
    </row>
    <row r="23235">
      <c r="R23235" s="100"/>
      <c r="V23235" s="100"/>
      <c r="Y23235" s="100"/>
    </row>
    <row r="23236">
      <c r="R23236" s="100"/>
      <c r="V23236" s="100"/>
      <c r="Y23236" s="100"/>
    </row>
    <row r="23237">
      <c r="R23237" s="100"/>
      <c r="V23237" s="100"/>
      <c r="Y23237" s="100"/>
    </row>
    <row r="23238">
      <c r="R23238" s="100"/>
      <c r="V23238" s="100"/>
      <c r="Y23238" s="100"/>
    </row>
    <row r="23239">
      <c r="R23239" s="100"/>
      <c r="V23239" s="100"/>
      <c r="Y23239" s="100"/>
    </row>
    <row r="23240">
      <c r="R23240" s="100"/>
      <c r="V23240" s="100"/>
      <c r="Y23240" s="100"/>
    </row>
    <row r="23241">
      <c r="R23241" s="100"/>
      <c r="V23241" s="100"/>
      <c r="Y23241" s="100"/>
    </row>
    <row r="23242">
      <c r="R23242" s="100"/>
      <c r="V23242" s="100"/>
      <c r="Y23242" s="100"/>
    </row>
    <row r="23243">
      <c r="R23243" s="100"/>
      <c r="V23243" s="100"/>
      <c r="Y23243" s="100"/>
    </row>
    <row r="23244">
      <c r="R23244" s="100"/>
      <c r="V23244" s="100"/>
      <c r="Y23244" s="100"/>
    </row>
    <row r="23245">
      <c r="R23245" s="100"/>
      <c r="V23245" s="100"/>
      <c r="Y23245" s="100"/>
    </row>
    <row r="23246">
      <c r="R23246" s="100"/>
      <c r="V23246" s="100"/>
      <c r="Y23246" s="100"/>
    </row>
    <row r="23247">
      <c r="R23247" s="100"/>
      <c r="V23247" s="100"/>
      <c r="Y23247" s="100"/>
    </row>
    <row r="23248">
      <c r="R23248" s="100"/>
      <c r="V23248" s="100"/>
      <c r="Y23248" s="100"/>
    </row>
    <row r="23249">
      <c r="R23249" s="100"/>
      <c r="V23249" s="100"/>
      <c r="Y23249" s="100"/>
    </row>
    <row r="23250">
      <c r="R23250" s="100"/>
      <c r="V23250" s="100"/>
      <c r="Y23250" s="100"/>
    </row>
    <row r="23251">
      <c r="R23251" s="100"/>
      <c r="V23251" s="100"/>
      <c r="Y23251" s="100"/>
    </row>
    <row r="23252">
      <c r="R23252" s="100"/>
      <c r="V23252" s="100"/>
      <c r="Y23252" s="100"/>
    </row>
    <row r="23253">
      <c r="R23253" s="100"/>
      <c r="V23253" s="100"/>
      <c r="Y23253" s="100"/>
    </row>
    <row r="23254">
      <c r="R23254" s="100"/>
      <c r="V23254" s="100"/>
      <c r="Y23254" s="100"/>
    </row>
    <row r="23255">
      <c r="R23255" s="100"/>
      <c r="V23255" s="100"/>
      <c r="Y23255" s="100"/>
    </row>
    <row r="23256">
      <c r="R23256" s="100"/>
      <c r="V23256" s="100"/>
      <c r="Y23256" s="100"/>
    </row>
    <row r="23257">
      <c r="R23257" s="100"/>
      <c r="V23257" s="100"/>
      <c r="Y23257" s="100"/>
    </row>
    <row r="23258">
      <c r="R23258" s="100"/>
      <c r="V23258" s="100"/>
      <c r="Y23258" s="100"/>
    </row>
    <row r="23259">
      <c r="R23259" s="100"/>
      <c r="V23259" s="100"/>
      <c r="Y23259" s="100"/>
    </row>
    <row r="23260">
      <c r="R23260" s="100"/>
      <c r="V23260" s="100"/>
      <c r="Y23260" s="100"/>
    </row>
    <row r="23261">
      <c r="R23261" s="100"/>
      <c r="V23261" s="100"/>
      <c r="Y23261" s="100"/>
    </row>
    <row r="23262">
      <c r="R23262" s="100"/>
      <c r="V23262" s="100"/>
      <c r="Y23262" s="100"/>
    </row>
    <row r="23263">
      <c r="R23263" s="100"/>
      <c r="V23263" s="100"/>
      <c r="Y23263" s="100"/>
    </row>
    <row r="23264">
      <c r="R23264" s="100"/>
      <c r="V23264" s="100"/>
      <c r="Y23264" s="100"/>
    </row>
    <row r="23265">
      <c r="R23265" s="100"/>
      <c r="V23265" s="100"/>
      <c r="Y23265" s="100"/>
    </row>
    <row r="23266">
      <c r="R23266" s="100"/>
      <c r="V23266" s="100"/>
      <c r="Y23266" s="100"/>
    </row>
    <row r="23267">
      <c r="R23267" s="100"/>
      <c r="V23267" s="100"/>
      <c r="Y23267" s="100"/>
    </row>
    <row r="23268">
      <c r="R23268" s="100"/>
      <c r="V23268" s="100"/>
      <c r="Y23268" s="100"/>
    </row>
    <row r="23269">
      <c r="R23269" s="100"/>
      <c r="V23269" s="100"/>
      <c r="Y23269" s="100"/>
    </row>
    <row r="23270">
      <c r="R23270" s="100"/>
      <c r="V23270" s="100"/>
      <c r="Y23270" s="100"/>
    </row>
    <row r="23271">
      <c r="R23271" s="100"/>
      <c r="V23271" s="100"/>
      <c r="Y23271" s="100"/>
    </row>
    <row r="23272">
      <c r="R23272" s="100"/>
      <c r="V23272" s="100"/>
      <c r="Y23272" s="100"/>
    </row>
    <row r="23273">
      <c r="R23273" s="100"/>
      <c r="V23273" s="100"/>
      <c r="Y23273" s="100"/>
    </row>
    <row r="23274">
      <c r="R23274" s="100"/>
      <c r="V23274" s="100"/>
      <c r="Y23274" s="100"/>
    </row>
    <row r="23275">
      <c r="R23275" s="100"/>
      <c r="V23275" s="100"/>
      <c r="Y23275" s="100"/>
    </row>
    <row r="23276">
      <c r="R23276" s="100"/>
      <c r="V23276" s="100"/>
      <c r="Y23276" s="100"/>
    </row>
    <row r="23277">
      <c r="R23277" s="100"/>
      <c r="V23277" s="100"/>
      <c r="Y23277" s="100"/>
    </row>
    <row r="23278">
      <c r="R23278" s="100"/>
      <c r="V23278" s="100"/>
      <c r="Y23278" s="100"/>
    </row>
    <row r="23279">
      <c r="R23279" s="100"/>
      <c r="V23279" s="100"/>
      <c r="Y23279" s="100"/>
    </row>
    <row r="23280">
      <c r="R23280" s="100"/>
      <c r="V23280" s="100"/>
      <c r="Y23280" s="100"/>
    </row>
    <row r="23281">
      <c r="R23281" s="100"/>
      <c r="V23281" s="100"/>
      <c r="Y23281" s="100"/>
    </row>
    <row r="23282">
      <c r="R23282" s="100"/>
      <c r="V23282" s="100"/>
      <c r="Y23282" s="100"/>
    </row>
    <row r="23283">
      <c r="R23283" s="100"/>
      <c r="V23283" s="100"/>
      <c r="Y23283" s="100"/>
    </row>
    <row r="23284">
      <c r="R23284" s="100"/>
      <c r="V23284" s="100"/>
      <c r="Y23284" s="100"/>
    </row>
    <row r="23285">
      <c r="R23285" s="100"/>
      <c r="V23285" s="100"/>
      <c r="Y23285" s="100"/>
    </row>
    <row r="23286">
      <c r="R23286" s="100"/>
      <c r="V23286" s="100"/>
      <c r="Y23286" s="100"/>
    </row>
    <row r="23287">
      <c r="R23287" s="100"/>
      <c r="V23287" s="100"/>
      <c r="Y23287" s="100"/>
    </row>
    <row r="23288">
      <c r="R23288" s="100"/>
      <c r="V23288" s="100"/>
      <c r="Y23288" s="100"/>
    </row>
    <row r="23289">
      <c r="R23289" s="100"/>
      <c r="V23289" s="100"/>
      <c r="Y23289" s="100"/>
    </row>
    <row r="23290">
      <c r="R23290" s="100"/>
      <c r="V23290" s="100"/>
      <c r="Y23290" s="100"/>
    </row>
    <row r="23291">
      <c r="R23291" s="100"/>
      <c r="V23291" s="100"/>
      <c r="Y23291" s="100"/>
    </row>
    <row r="23292">
      <c r="R23292" s="100"/>
      <c r="V23292" s="100"/>
      <c r="Y23292" s="100"/>
    </row>
    <row r="23293">
      <c r="R23293" s="100"/>
      <c r="V23293" s="100"/>
      <c r="Y23293" s="100"/>
    </row>
    <row r="23294">
      <c r="R23294" s="100"/>
      <c r="V23294" s="100"/>
      <c r="Y23294" s="100"/>
    </row>
    <row r="23295">
      <c r="R23295" s="100"/>
      <c r="V23295" s="100"/>
      <c r="Y23295" s="100"/>
    </row>
    <row r="23296">
      <c r="R23296" s="100"/>
      <c r="V23296" s="100"/>
      <c r="Y23296" s="100"/>
    </row>
    <row r="23297">
      <c r="R23297" s="100"/>
      <c r="V23297" s="100"/>
      <c r="Y23297" s="100"/>
    </row>
    <row r="23298">
      <c r="R23298" s="100"/>
      <c r="V23298" s="100"/>
      <c r="Y23298" s="100"/>
    </row>
    <row r="23299">
      <c r="R23299" s="100"/>
      <c r="V23299" s="100"/>
      <c r="Y23299" s="100"/>
    </row>
    <row r="23300">
      <c r="R23300" s="100"/>
      <c r="V23300" s="100"/>
      <c r="Y23300" s="100"/>
    </row>
    <row r="23301">
      <c r="R23301" s="100"/>
      <c r="V23301" s="100"/>
      <c r="Y23301" s="100"/>
    </row>
    <row r="23302">
      <c r="R23302" s="100"/>
      <c r="V23302" s="100"/>
      <c r="Y23302" s="100"/>
    </row>
    <row r="23303">
      <c r="R23303" s="100"/>
      <c r="V23303" s="100"/>
      <c r="Y23303" s="100"/>
    </row>
    <row r="23304">
      <c r="R23304" s="100"/>
      <c r="V23304" s="100"/>
      <c r="Y23304" s="100"/>
    </row>
    <row r="23305">
      <c r="R23305" s="100"/>
      <c r="V23305" s="100"/>
      <c r="Y23305" s="100"/>
    </row>
    <row r="23306">
      <c r="R23306" s="100"/>
      <c r="V23306" s="100"/>
      <c r="Y23306" s="100"/>
    </row>
    <row r="23307">
      <c r="R23307" s="100"/>
      <c r="V23307" s="100"/>
      <c r="Y23307" s="100"/>
    </row>
    <row r="23308">
      <c r="R23308" s="100"/>
      <c r="V23308" s="100"/>
      <c r="Y23308" s="100"/>
    </row>
    <row r="23309">
      <c r="R23309" s="100"/>
      <c r="V23309" s="100"/>
      <c r="Y23309" s="100"/>
    </row>
    <row r="23310">
      <c r="R23310" s="100"/>
      <c r="V23310" s="100"/>
      <c r="Y23310" s="100"/>
    </row>
    <row r="23311">
      <c r="R23311" s="100"/>
      <c r="V23311" s="100"/>
      <c r="Y23311" s="100"/>
    </row>
    <row r="23312">
      <c r="R23312" s="100"/>
      <c r="V23312" s="100"/>
      <c r="Y23312" s="100"/>
    </row>
    <row r="23313">
      <c r="R23313" s="100"/>
      <c r="V23313" s="100"/>
      <c r="Y23313" s="100"/>
    </row>
    <row r="23314">
      <c r="R23314" s="100"/>
      <c r="V23314" s="100"/>
      <c r="Y23314" s="100"/>
    </row>
    <row r="23315">
      <c r="R23315" s="100"/>
      <c r="V23315" s="100"/>
      <c r="Y23315" s="100"/>
    </row>
    <row r="23316">
      <c r="R23316" s="100"/>
      <c r="V23316" s="100"/>
      <c r="Y23316" s="100"/>
    </row>
    <row r="23317">
      <c r="R23317" s="100"/>
      <c r="V23317" s="100"/>
      <c r="Y23317" s="100"/>
    </row>
    <row r="23318">
      <c r="R23318" s="100"/>
      <c r="V23318" s="100"/>
      <c r="Y23318" s="100"/>
    </row>
    <row r="23319">
      <c r="R23319" s="100"/>
      <c r="V23319" s="100"/>
      <c r="Y23319" s="100"/>
    </row>
    <row r="23320">
      <c r="R23320" s="100"/>
      <c r="V23320" s="100"/>
      <c r="Y23320" s="100"/>
    </row>
    <row r="23321">
      <c r="R23321" s="100"/>
      <c r="V23321" s="100"/>
      <c r="Y23321" s="100"/>
    </row>
    <row r="23322">
      <c r="R23322" s="100"/>
      <c r="V23322" s="100"/>
      <c r="Y23322" s="100"/>
    </row>
    <row r="23323">
      <c r="R23323" s="100"/>
      <c r="V23323" s="100"/>
      <c r="Y23323" s="100"/>
    </row>
    <row r="23324">
      <c r="R23324" s="100"/>
      <c r="V23324" s="100"/>
      <c r="Y23324" s="100"/>
    </row>
    <row r="23325">
      <c r="R23325" s="100"/>
      <c r="V23325" s="100"/>
      <c r="Y23325" s="100"/>
    </row>
    <row r="23326">
      <c r="R23326" s="100"/>
      <c r="V23326" s="100"/>
      <c r="Y23326" s="100"/>
    </row>
    <row r="23327">
      <c r="R23327" s="100"/>
      <c r="V23327" s="100"/>
      <c r="Y23327" s="100"/>
    </row>
    <row r="23328">
      <c r="R23328" s="100"/>
      <c r="V23328" s="100"/>
      <c r="Y23328" s="100"/>
    </row>
    <row r="23329">
      <c r="R23329" s="100"/>
      <c r="V23329" s="100"/>
      <c r="Y23329" s="100"/>
    </row>
    <row r="23330">
      <c r="R23330" s="100"/>
      <c r="V23330" s="100"/>
      <c r="Y23330" s="100"/>
    </row>
    <row r="23331">
      <c r="R23331" s="100"/>
      <c r="V23331" s="100"/>
      <c r="Y23331" s="100"/>
    </row>
    <row r="23332">
      <c r="R23332" s="100"/>
      <c r="V23332" s="100"/>
      <c r="Y23332" s="100"/>
    </row>
    <row r="23333">
      <c r="R23333" s="100"/>
      <c r="V23333" s="100"/>
      <c r="Y23333" s="100"/>
    </row>
    <row r="23334">
      <c r="R23334" s="100"/>
      <c r="V23334" s="100"/>
      <c r="Y23334" s="100"/>
    </row>
    <row r="23335">
      <c r="R23335" s="100"/>
      <c r="V23335" s="100"/>
      <c r="Y23335" s="100"/>
    </row>
    <row r="23336">
      <c r="R23336" s="100"/>
      <c r="V23336" s="100"/>
      <c r="Y23336" s="100"/>
    </row>
    <row r="23337">
      <c r="R23337" s="100"/>
      <c r="V23337" s="100"/>
      <c r="Y23337" s="100"/>
    </row>
    <row r="23338">
      <c r="R23338" s="100"/>
      <c r="V23338" s="100"/>
      <c r="Y23338" s="100"/>
    </row>
    <row r="23339">
      <c r="R23339" s="100"/>
      <c r="V23339" s="100"/>
      <c r="Y23339" s="100"/>
    </row>
    <row r="23340">
      <c r="R23340" s="100"/>
      <c r="V23340" s="100"/>
      <c r="Y23340" s="100"/>
    </row>
    <row r="23341">
      <c r="R23341" s="100"/>
      <c r="V23341" s="100"/>
      <c r="Y23341" s="100"/>
    </row>
    <row r="23342">
      <c r="R23342" s="100"/>
      <c r="V23342" s="100"/>
      <c r="Y23342" s="100"/>
    </row>
    <row r="23343">
      <c r="R23343" s="100"/>
      <c r="V23343" s="100"/>
      <c r="Y23343" s="100"/>
    </row>
    <row r="23344">
      <c r="R23344" s="100"/>
      <c r="V23344" s="100"/>
      <c r="Y23344" s="100"/>
    </row>
    <row r="23345">
      <c r="R23345" s="100"/>
      <c r="V23345" s="100"/>
      <c r="Y23345" s="100"/>
    </row>
    <row r="23346">
      <c r="R23346" s="100"/>
      <c r="V23346" s="100"/>
      <c r="Y23346" s="100"/>
    </row>
    <row r="23347">
      <c r="R23347" s="100"/>
      <c r="V23347" s="100"/>
      <c r="Y23347" s="100"/>
    </row>
    <row r="23348">
      <c r="R23348" s="100"/>
      <c r="V23348" s="100"/>
      <c r="Y23348" s="100"/>
    </row>
    <row r="23349">
      <c r="R23349" s="100"/>
      <c r="V23349" s="100"/>
      <c r="Y23349" s="100"/>
    </row>
    <row r="23350">
      <c r="R23350" s="100"/>
      <c r="V23350" s="100"/>
      <c r="Y23350" s="100"/>
    </row>
    <row r="23351">
      <c r="R23351" s="100"/>
      <c r="V23351" s="100"/>
      <c r="Y23351" s="100"/>
    </row>
    <row r="23352">
      <c r="R23352" s="100"/>
      <c r="V23352" s="100"/>
      <c r="Y23352" s="100"/>
    </row>
    <row r="23353">
      <c r="R23353" s="100"/>
      <c r="V23353" s="100"/>
      <c r="Y23353" s="100"/>
    </row>
    <row r="23354">
      <c r="R23354" s="100"/>
      <c r="V23354" s="100"/>
      <c r="Y23354" s="100"/>
    </row>
    <row r="23355">
      <c r="R23355" s="100"/>
      <c r="V23355" s="100"/>
      <c r="Y23355" s="100"/>
    </row>
    <row r="23356">
      <c r="R23356" s="100"/>
      <c r="V23356" s="100"/>
      <c r="Y23356" s="100"/>
    </row>
    <row r="23357">
      <c r="R23357" s="100"/>
      <c r="V23357" s="100"/>
      <c r="Y23357" s="100"/>
    </row>
    <row r="23358">
      <c r="R23358" s="100"/>
      <c r="V23358" s="100"/>
      <c r="Y23358" s="100"/>
    </row>
    <row r="23359">
      <c r="R23359" s="100"/>
      <c r="V23359" s="100"/>
      <c r="Y23359" s="100"/>
    </row>
    <row r="23360">
      <c r="R23360" s="100"/>
      <c r="V23360" s="100"/>
      <c r="Y23360" s="100"/>
    </row>
    <row r="23361">
      <c r="R23361" s="100"/>
      <c r="V23361" s="100"/>
      <c r="Y23361" s="100"/>
    </row>
    <row r="23362">
      <c r="R23362" s="100"/>
      <c r="V23362" s="100"/>
      <c r="Y23362" s="100"/>
    </row>
    <row r="23363">
      <c r="R23363" s="100"/>
      <c r="V23363" s="100"/>
      <c r="Y23363" s="100"/>
    </row>
    <row r="23364">
      <c r="R23364" s="100"/>
      <c r="V23364" s="100"/>
      <c r="Y23364" s="100"/>
    </row>
    <row r="23365">
      <c r="R23365" s="100"/>
      <c r="V23365" s="100"/>
      <c r="Y23365" s="100"/>
    </row>
    <row r="23366">
      <c r="R23366" s="100"/>
      <c r="V23366" s="100"/>
      <c r="Y23366" s="100"/>
    </row>
    <row r="23367">
      <c r="R23367" s="100"/>
      <c r="V23367" s="100"/>
      <c r="Y23367" s="100"/>
    </row>
    <row r="23368">
      <c r="R23368" s="100"/>
      <c r="V23368" s="100"/>
      <c r="Y23368" s="100"/>
    </row>
    <row r="23369">
      <c r="R23369" s="100"/>
      <c r="V23369" s="100"/>
      <c r="Y23369" s="100"/>
    </row>
    <row r="23370">
      <c r="R23370" s="100"/>
      <c r="V23370" s="100"/>
      <c r="Y23370" s="100"/>
    </row>
    <row r="23371">
      <c r="R23371" s="100"/>
      <c r="V23371" s="100"/>
      <c r="Y23371" s="100"/>
    </row>
    <row r="23372">
      <c r="R23372" s="100"/>
      <c r="V23372" s="100"/>
      <c r="Y23372" s="100"/>
    </row>
    <row r="23373">
      <c r="R23373" s="100"/>
      <c r="V23373" s="100"/>
      <c r="Y23373" s="100"/>
    </row>
    <row r="23374">
      <c r="R23374" s="100"/>
      <c r="V23374" s="100"/>
      <c r="Y23374" s="100"/>
    </row>
    <row r="23375">
      <c r="R23375" s="100"/>
      <c r="V23375" s="100"/>
      <c r="Y23375" s="100"/>
    </row>
    <row r="23376">
      <c r="R23376" s="100"/>
      <c r="V23376" s="100"/>
      <c r="Y23376" s="100"/>
    </row>
    <row r="23377">
      <c r="R23377" s="100"/>
      <c r="V23377" s="100"/>
      <c r="Y23377" s="100"/>
    </row>
    <row r="23378">
      <c r="R23378" s="100"/>
      <c r="V23378" s="100"/>
      <c r="Y23378" s="100"/>
    </row>
    <row r="23379">
      <c r="R23379" s="100"/>
      <c r="V23379" s="100"/>
      <c r="Y23379" s="100"/>
    </row>
    <row r="23380">
      <c r="R23380" s="100"/>
      <c r="V23380" s="100"/>
      <c r="Y23380" s="100"/>
    </row>
    <row r="23381">
      <c r="R23381" s="100"/>
      <c r="V23381" s="100"/>
      <c r="Y23381" s="100"/>
    </row>
    <row r="23382">
      <c r="R23382" s="100"/>
      <c r="V23382" s="100"/>
      <c r="Y23382" s="100"/>
    </row>
    <row r="23383">
      <c r="R23383" s="100"/>
      <c r="V23383" s="100"/>
      <c r="Y23383" s="100"/>
    </row>
    <row r="23384">
      <c r="R23384" s="100"/>
      <c r="V23384" s="100"/>
      <c r="Y23384" s="100"/>
    </row>
    <row r="23385">
      <c r="R23385" s="100"/>
      <c r="V23385" s="100"/>
      <c r="Y23385" s="100"/>
    </row>
    <row r="23386">
      <c r="R23386" s="100"/>
      <c r="V23386" s="100"/>
      <c r="Y23386" s="100"/>
    </row>
    <row r="23387">
      <c r="R23387" s="100"/>
      <c r="V23387" s="100"/>
      <c r="Y23387" s="100"/>
    </row>
    <row r="23388">
      <c r="R23388" s="100"/>
      <c r="V23388" s="100"/>
      <c r="Y23388" s="100"/>
    </row>
    <row r="23389">
      <c r="R23389" s="100"/>
      <c r="V23389" s="100"/>
      <c r="Y23389" s="100"/>
    </row>
    <row r="23390">
      <c r="R23390" s="100"/>
      <c r="V23390" s="100"/>
      <c r="Y23390" s="100"/>
    </row>
    <row r="23391">
      <c r="R23391" s="100"/>
      <c r="V23391" s="100"/>
      <c r="Y23391" s="100"/>
    </row>
    <row r="23392">
      <c r="R23392" s="100"/>
      <c r="V23392" s="100"/>
      <c r="Y23392" s="100"/>
    </row>
    <row r="23393">
      <c r="R23393" s="100"/>
      <c r="V23393" s="100"/>
      <c r="Y23393" s="100"/>
    </row>
    <row r="23394">
      <c r="R23394" s="100"/>
      <c r="V23394" s="100"/>
      <c r="Y23394" s="100"/>
    </row>
    <row r="23395">
      <c r="R23395" s="100"/>
      <c r="V23395" s="100"/>
      <c r="Y23395" s="100"/>
    </row>
    <row r="23396">
      <c r="R23396" s="100"/>
      <c r="V23396" s="100"/>
      <c r="Y23396" s="100"/>
    </row>
    <row r="23397">
      <c r="R23397" s="100"/>
      <c r="V23397" s="100"/>
      <c r="Y23397" s="100"/>
    </row>
    <row r="23398">
      <c r="R23398" s="100"/>
      <c r="V23398" s="100"/>
      <c r="Y23398" s="100"/>
    </row>
    <row r="23399">
      <c r="R23399" s="100"/>
      <c r="V23399" s="100"/>
      <c r="Y23399" s="100"/>
    </row>
    <row r="23400">
      <c r="R23400" s="100"/>
      <c r="V23400" s="100"/>
      <c r="Y23400" s="100"/>
    </row>
    <row r="23401">
      <c r="R23401" s="100"/>
      <c r="V23401" s="100"/>
      <c r="Y23401" s="100"/>
    </row>
    <row r="23402">
      <c r="R23402" s="100"/>
      <c r="V23402" s="100"/>
      <c r="Y23402" s="100"/>
    </row>
    <row r="23403">
      <c r="R23403" s="100"/>
      <c r="V23403" s="100"/>
      <c r="Y23403" s="100"/>
    </row>
    <row r="23404">
      <c r="R23404" s="100"/>
      <c r="V23404" s="100"/>
      <c r="Y23404" s="100"/>
    </row>
    <row r="23405">
      <c r="R23405" s="100"/>
      <c r="V23405" s="100"/>
      <c r="Y23405" s="100"/>
    </row>
    <row r="23406">
      <c r="R23406" s="100"/>
      <c r="V23406" s="100"/>
      <c r="Y23406" s="100"/>
    </row>
    <row r="23407">
      <c r="R23407" s="100"/>
      <c r="V23407" s="100"/>
      <c r="Y23407" s="100"/>
    </row>
    <row r="23408">
      <c r="R23408" s="100"/>
      <c r="V23408" s="100"/>
      <c r="Y23408" s="100"/>
    </row>
    <row r="23409">
      <c r="R23409" s="100"/>
      <c r="V23409" s="100"/>
      <c r="Y23409" s="100"/>
    </row>
    <row r="23410">
      <c r="R23410" s="100"/>
      <c r="V23410" s="100"/>
      <c r="Y23410" s="100"/>
    </row>
    <row r="23411">
      <c r="R23411" s="100"/>
      <c r="V23411" s="100"/>
      <c r="Y23411" s="100"/>
    </row>
    <row r="23412">
      <c r="R23412" s="100"/>
      <c r="V23412" s="100"/>
      <c r="Y23412" s="100"/>
    </row>
    <row r="23413">
      <c r="R23413" s="100"/>
      <c r="V23413" s="100"/>
      <c r="Y23413" s="100"/>
    </row>
    <row r="23414">
      <c r="R23414" s="100"/>
      <c r="V23414" s="100"/>
      <c r="Y23414" s="100"/>
    </row>
    <row r="23415">
      <c r="R23415" s="100"/>
      <c r="V23415" s="100"/>
      <c r="Y23415" s="100"/>
    </row>
    <row r="23416">
      <c r="R23416" s="100"/>
      <c r="V23416" s="100"/>
      <c r="Y23416" s="100"/>
    </row>
    <row r="23417">
      <c r="R23417" s="100"/>
      <c r="V23417" s="100"/>
      <c r="Y23417" s="100"/>
    </row>
    <row r="23418">
      <c r="R23418" s="100"/>
      <c r="V23418" s="100"/>
      <c r="Y23418" s="100"/>
    </row>
    <row r="23419">
      <c r="R23419" s="100"/>
      <c r="V23419" s="100"/>
      <c r="Y23419" s="100"/>
    </row>
    <row r="23420">
      <c r="R23420" s="100"/>
      <c r="V23420" s="100"/>
      <c r="Y23420" s="100"/>
    </row>
    <row r="23421">
      <c r="R23421" s="100"/>
      <c r="V23421" s="100"/>
      <c r="Y23421" s="100"/>
    </row>
    <row r="23422">
      <c r="R23422" s="100"/>
      <c r="V23422" s="100"/>
      <c r="Y23422" s="100"/>
    </row>
    <row r="23423">
      <c r="R23423" s="100"/>
      <c r="V23423" s="100"/>
      <c r="Y23423" s="100"/>
    </row>
    <row r="23424">
      <c r="R23424" s="100"/>
      <c r="V23424" s="100"/>
      <c r="Y23424" s="100"/>
    </row>
    <row r="23425">
      <c r="R23425" s="100"/>
      <c r="V23425" s="100"/>
      <c r="Y23425" s="100"/>
    </row>
    <row r="23426">
      <c r="R23426" s="100"/>
      <c r="V23426" s="100"/>
      <c r="Y23426" s="100"/>
    </row>
    <row r="23427">
      <c r="R23427" s="100"/>
      <c r="V23427" s="100"/>
      <c r="Y23427" s="100"/>
    </row>
    <row r="23428">
      <c r="R23428" s="100"/>
      <c r="V23428" s="100"/>
      <c r="Y23428" s="100"/>
    </row>
    <row r="23429">
      <c r="R23429" s="100"/>
      <c r="V23429" s="100"/>
      <c r="Y23429" s="100"/>
    </row>
    <row r="23430">
      <c r="R23430" s="100"/>
      <c r="V23430" s="100"/>
      <c r="Y23430" s="100"/>
    </row>
    <row r="23431">
      <c r="R23431" s="100"/>
      <c r="V23431" s="100"/>
      <c r="Y23431" s="100"/>
    </row>
    <row r="23432">
      <c r="R23432" s="100"/>
      <c r="V23432" s="100"/>
      <c r="Y23432" s="100"/>
    </row>
    <row r="23433">
      <c r="R23433" s="100"/>
      <c r="V23433" s="100"/>
      <c r="Y23433" s="100"/>
    </row>
    <row r="23434">
      <c r="R23434" s="100"/>
      <c r="V23434" s="100"/>
      <c r="Y23434" s="100"/>
    </row>
    <row r="23435">
      <c r="R23435" s="100"/>
      <c r="V23435" s="100"/>
      <c r="Y23435" s="100"/>
    </row>
    <row r="23436">
      <c r="R23436" s="100"/>
      <c r="V23436" s="100"/>
      <c r="Y23436" s="100"/>
    </row>
    <row r="23437">
      <c r="R23437" s="100"/>
      <c r="V23437" s="100"/>
      <c r="Y23437" s="100"/>
    </row>
    <row r="23438">
      <c r="R23438" s="100"/>
      <c r="V23438" s="100"/>
      <c r="Y23438" s="100"/>
    </row>
    <row r="23439">
      <c r="R23439" s="100"/>
      <c r="V23439" s="100"/>
      <c r="Y23439" s="100"/>
    </row>
    <row r="23440">
      <c r="R23440" s="100"/>
      <c r="V23440" s="100"/>
      <c r="Y23440" s="100"/>
    </row>
    <row r="23441">
      <c r="R23441" s="100"/>
      <c r="V23441" s="100"/>
      <c r="Y23441" s="100"/>
    </row>
    <row r="23442">
      <c r="R23442" s="100"/>
      <c r="V23442" s="100"/>
      <c r="Y23442" s="100"/>
    </row>
    <row r="23443">
      <c r="R23443" s="100"/>
      <c r="V23443" s="100"/>
      <c r="Y23443" s="100"/>
    </row>
    <row r="23444">
      <c r="R23444" s="100"/>
      <c r="V23444" s="100"/>
      <c r="Y23444" s="100"/>
    </row>
    <row r="23445">
      <c r="R23445" s="100"/>
      <c r="V23445" s="100"/>
      <c r="Y23445" s="100"/>
    </row>
    <row r="23446">
      <c r="R23446" s="100"/>
      <c r="V23446" s="100"/>
      <c r="Y23446" s="100"/>
    </row>
    <row r="23447">
      <c r="R23447" s="100"/>
      <c r="V23447" s="100"/>
      <c r="Y23447" s="100"/>
    </row>
    <row r="23448">
      <c r="R23448" s="100"/>
      <c r="V23448" s="100"/>
      <c r="Y23448" s="100"/>
    </row>
    <row r="23449">
      <c r="R23449" s="100"/>
      <c r="V23449" s="100"/>
      <c r="Y23449" s="100"/>
    </row>
    <row r="23450">
      <c r="R23450" s="100"/>
      <c r="V23450" s="100"/>
      <c r="Y23450" s="100"/>
    </row>
    <row r="23451">
      <c r="R23451" s="100"/>
      <c r="V23451" s="100"/>
      <c r="Y23451" s="100"/>
    </row>
    <row r="23452">
      <c r="R23452" s="100"/>
      <c r="V23452" s="100"/>
      <c r="Y23452" s="100"/>
    </row>
    <row r="23453">
      <c r="R23453" s="100"/>
      <c r="V23453" s="100"/>
      <c r="Y23453" s="100"/>
    </row>
    <row r="23454">
      <c r="R23454" s="100"/>
      <c r="V23454" s="100"/>
      <c r="Y23454" s="100"/>
    </row>
    <row r="23455">
      <c r="R23455" s="100"/>
      <c r="V23455" s="100"/>
      <c r="Y23455" s="100"/>
    </row>
    <row r="23456">
      <c r="R23456" s="100"/>
      <c r="V23456" s="100"/>
      <c r="Y23456" s="100"/>
    </row>
    <row r="23457">
      <c r="R23457" s="100"/>
      <c r="V23457" s="100"/>
      <c r="Y23457" s="100"/>
    </row>
    <row r="23458">
      <c r="R23458" s="100"/>
      <c r="V23458" s="100"/>
      <c r="Y23458" s="100"/>
    </row>
    <row r="23459">
      <c r="R23459" s="100"/>
      <c r="V23459" s="100"/>
      <c r="Y23459" s="100"/>
    </row>
    <row r="23460">
      <c r="R23460" s="100"/>
      <c r="V23460" s="100"/>
      <c r="Y23460" s="100"/>
    </row>
    <row r="23461">
      <c r="R23461" s="100"/>
      <c r="V23461" s="100"/>
      <c r="Y23461" s="100"/>
    </row>
    <row r="23462">
      <c r="R23462" s="100"/>
      <c r="V23462" s="100"/>
      <c r="Y23462" s="100"/>
    </row>
    <row r="23463">
      <c r="R23463" s="100"/>
      <c r="V23463" s="100"/>
      <c r="Y23463" s="100"/>
    </row>
    <row r="23464">
      <c r="R23464" s="100"/>
      <c r="V23464" s="100"/>
      <c r="Y23464" s="100"/>
    </row>
    <row r="23465">
      <c r="R23465" s="100"/>
      <c r="V23465" s="100"/>
      <c r="Y23465" s="100"/>
    </row>
    <row r="23466">
      <c r="R23466" s="100"/>
      <c r="V23466" s="100"/>
      <c r="Y23466" s="100"/>
    </row>
    <row r="23467">
      <c r="R23467" s="100"/>
      <c r="V23467" s="100"/>
      <c r="Y23467" s="100"/>
    </row>
    <row r="23468">
      <c r="R23468" s="100"/>
      <c r="V23468" s="100"/>
      <c r="Y23468" s="100"/>
    </row>
    <row r="23469">
      <c r="R23469" s="100"/>
      <c r="V23469" s="100"/>
      <c r="Y23469" s="100"/>
    </row>
    <row r="23470">
      <c r="R23470" s="100"/>
      <c r="V23470" s="100"/>
      <c r="Y23470" s="100"/>
    </row>
    <row r="23471">
      <c r="R23471" s="100"/>
      <c r="V23471" s="100"/>
      <c r="Y23471" s="100"/>
    </row>
    <row r="23472">
      <c r="R23472" s="100"/>
      <c r="V23472" s="100"/>
      <c r="Y23472" s="100"/>
    </row>
    <row r="23473">
      <c r="R23473" s="100"/>
      <c r="V23473" s="100"/>
      <c r="Y23473" s="100"/>
    </row>
    <row r="23474">
      <c r="R23474" s="100"/>
      <c r="V23474" s="100"/>
      <c r="Y23474" s="100"/>
    </row>
    <row r="23475">
      <c r="R23475" s="100"/>
      <c r="V23475" s="100"/>
      <c r="Y23475" s="100"/>
    </row>
    <row r="23476">
      <c r="R23476" s="100"/>
      <c r="V23476" s="100"/>
      <c r="Y23476" s="100"/>
    </row>
    <row r="23477">
      <c r="R23477" s="100"/>
      <c r="V23477" s="100"/>
      <c r="Y23477" s="100"/>
    </row>
    <row r="23478">
      <c r="R23478" s="100"/>
      <c r="V23478" s="100"/>
      <c r="Y23478" s="100"/>
    </row>
    <row r="23479">
      <c r="R23479" s="100"/>
      <c r="V23479" s="100"/>
      <c r="Y23479" s="100"/>
    </row>
    <row r="23480">
      <c r="R23480" s="100"/>
      <c r="V23480" s="100"/>
      <c r="Y23480" s="100"/>
    </row>
    <row r="23481">
      <c r="R23481" s="100"/>
      <c r="V23481" s="100"/>
      <c r="Y23481" s="100"/>
    </row>
    <row r="23482">
      <c r="R23482" s="100"/>
      <c r="V23482" s="100"/>
      <c r="Y23482" s="100"/>
    </row>
    <row r="23483">
      <c r="R23483" s="100"/>
      <c r="V23483" s="100"/>
      <c r="Y23483" s="100"/>
    </row>
    <row r="23484">
      <c r="R23484" s="100"/>
      <c r="V23484" s="100"/>
      <c r="Y23484" s="100"/>
    </row>
    <row r="23485">
      <c r="R23485" s="100"/>
      <c r="V23485" s="100"/>
      <c r="Y23485" s="100"/>
    </row>
    <row r="23486">
      <c r="R23486" s="100"/>
      <c r="V23486" s="100"/>
      <c r="Y23486" s="100"/>
    </row>
    <row r="23487">
      <c r="R23487" s="100"/>
      <c r="V23487" s="100"/>
      <c r="Y23487" s="100"/>
    </row>
    <row r="23488">
      <c r="R23488" s="100"/>
      <c r="V23488" s="100"/>
      <c r="Y23488" s="100"/>
    </row>
    <row r="23489">
      <c r="R23489" s="100"/>
      <c r="V23489" s="100"/>
      <c r="Y23489" s="100"/>
    </row>
    <row r="23490">
      <c r="R23490" s="100"/>
      <c r="V23490" s="100"/>
      <c r="Y23490" s="100"/>
    </row>
    <row r="23491">
      <c r="R23491" s="100"/>
      <c r="V23491" s="100"/>
      <c r="Y23491" s="100"/>
    </row>
    <row r="23492">
      <c r="R23492" s="100"/>
      <c r="V23492" s="100"/>
      <c r="Y23492" s="100"/>
    </row>
    <row r="23493">
      <c r="R23493" s="100"/>
      <c r="V23493" s="100"/>
      <c r="Y23493" s="100"/>
    </row>
    <row r="23494">
      <c r="R23494" s="100"/>
      <c r="V23494" s="100"/>
      <c r="Y23494" s="100"/>
    </row>
    <row r="23495">
      <c r="R23495" s="100"/>
      <c r="V23495" s="100"/>
      <c r="Y23495" s="100"/>
    </row>
    <row r="23496">
      <c r="R23496" s="100"/>
      <c r="V23496" s="100"/>
      <c r="Y23496" s="100"/>
    </row>
    <row r="23497">
      <c r="R23497" s="100"/>
      <c r="V23497" s="100"/>
      <c r="Y23497" s="100"/>
    </row>
    <row r="23498">
      <c r="R23498" s="100"/>
      <c r="V23498" s="100"/>
      <c r="Y23498" s="100"/>
    </row>
    <row r="23499">
      <c r="R23499" s="100"/>
      <c r="V23499" s="100"/>
      <c r="Y23499" s="100"/>
    </row>
    <row r="23500">
      <c r="R23500" s="100"/>
      <c r="V23500" s="100"/>
      <c r="Y23500" s="100"/>
    </row>
    <row r="23501">
      <c r="R23501" s="100"/>
      <c r="V23501" s="100"/>
      <c r="Y23501" s="100"/>
    </row>
    <row r="23502">
      <c r="R23502" s="100"/>
      <c r="V23502" s="100"/>
      <c r="Y23502" s="100"/>
    </row>
    <row r="23503">
      <c r="R23503" s="100"/>
      <c r="V23503" s="100"/>
      <c r="Y23503" s="100"/>
    </row>
    <row r="23504">
      <c r="R23504" s="100"/>
      <c r="V23504" s="100"/>
      <c r="Y23504" s="100"/>
    </row>
    <row r="23505">
      <c r="R23505" s="100"/>
      <c r="V23505" s="100"/>
      <c r="Y23505" s="100"/>
    </row>
    <row r="23506">
      <c r="R23506" s="100"/>
      <c r="V23506" s="100"/>
      <c r="Y23506" s="100"/>
    </row>
    <row r="23507">
      <c r="R23507" s="100"/>
      <c r="V23507" s="100"/>
      <c r="Y23507" s="100"/>
    </row>
    <row r="23508">
      <c r="R23508" s="100"/>
      <c r="V23508" s="100"/>
      <c r="Y23508" s="100"/>
    </row>
    <row r="23509">
      <c r="R23509" s="100"/>
      <c r="V23509" s="100"/>
      <c r="Y23509" s="100"/>
    </row>
    <row r="23510">
      <c r="R23510" s="100"/>
      <c r="V23510" s="100"/>
      <c r="Y23510" s="100"/>
    </row>
    <row r="23511">
      <c r="R23511" s="100"/>
      <c r="V23511" s="100"/>
      <c r="Y23511" s="100"/>
    </row>
    <row r="23512">
      <c r="R23512" s="100"/>
      <c r="V23512" s="100"/>
      <c r="Y23512" s="100"/>
    </row>
    <row r="23513">
      <c r="R23513" s="100"/>
      <c r="V23513" s="100"/>
      <c r="Y23513" s="100"/>
    </row>
    <row r="23514">
      <c r="R23514" s="100"/>
      <c r="V23514" s="100"/>
      <c r="Y23514" s="100"/>
    </row>
    <row r="23515">
      <c r="R23515" s="100"/>
      <c r="V23515" s="100"/>
      <c r="Y23515" s="100"/>
    </row>
    <row r="23516">
      <c r="R23516" s="100"/>
      <c r="V23516" s="100"/>
      <c r="Y23516" s="100"/>
    </row>
    <row r="23517">
      <c r="R23517" s="100"/>
      <c r="V23517" s="100"/>
      <c r="Y23517" s="100"/>
    </row>
    <row r="23518">
      <c r="R23518" s="100"/>
      <c r="V23518" s="100"/>
      <c r="Y23518" s="100"/>
    </row>
    <row r="23519">
      <c r="R23519" s="100"/>
      <c r="V23519" s="100"/>
      <c r="Y23519" s="100"/>
    </row>
    <row r="23520">
      <c r="R23520" s="100"/>
      <c r="V23520" s="100"/>
      <c r="Y23520" s="100"/>
    </row>
    <row r="23521">
      <c r="R23521" s="100"/>
      <c r="V23521" s="100"/>
      <c r="Y23521" s="100"/>
    </row>
    <row r="23522">
      <c r="R23522" s="100"/>
      <c r="V23522" s="100"/>
      <c r="Y23522" s="100"/>
    </row>
    <row r="23523">
      <c r="R23523" s="100"/>
      <c r="V23523" s="100"/>
      <c r="Y23523" s="100"/>
    </row>
    <row r="23524">
      <c r="R23524" s="100"/>
      <c r="V23524" s="100"/>
      <c r="Y23524" s="100"/>
    </row>
    <row r="23525">
      <c r="R23525" s="100"/>
      <c r="V23525" s="100"/>
      <c r="Y23525" s="100"/>
    </row>
    <row r="23526">
      <c r="R23526" s="100"/>
      <c r="V23526" s="100"/>
      <c r="Y23526" s="100"/>
    </row>
    <row r="23527">
      <c r="R23527" s="100"/>
      <c r="V23527" s="100"/>
      <c r="Y23527" s="100"/>
    </row>
    <row r="23528">
      <c r="R23528" s="100"/>
      <c r="V23528" s="100"/>
      <c r="Y23528" s="100"/>
    </row>
    <row r="23529">
      <c r="R23529" s="100"/>
      <c r="V23529" s="100"/>
      <c r="Y23529" s="100"/>
    </row>
    <row r="23530">
      <c r="R23530" s="100"/>
      <c r="V23530" s="100"/>
      <c r="Y23530" s="100"/>
    </row>
    <row r="23531">
      <c r="R23531" s="100"/>
      <c r="V23531" s="100"/>
      <c r="Y23531" s="100"/>
    </row>
    <row r="23532">
      <c r="R23532" s="100"/>
      <c r="V23532" s="100"/>
      <c r="Y23532" s="100"/>
    </row>
    <row r="23533">
      <c r="R23533" s="100"/>
      <c r="V23533" s="100"/>
      <c r="Y23533" s="100"/>
    </row>
    <row r="23534">
      <c r="R23534" s="100"/>
      <c r="V23534" s="100"/>
      <c r="Y23534" s="100"/>
    </row>
    <row r="23535">
      <c r="R23535" s="100"/>
      <c r="V23535" s="100"/>
      <c r="Y23535" s="100"/>
    </row>
    <row r="23536">
      <c r="R23536" s="100"/>
      <c r="V23536" s="100"/>
      <c r="Y23536" s="100"/>
    </row>
    <row r="23537">
      <c r="R23537" s="100"/>
      <c r="V23537" s="100"/>
      <c r="Y23537" s="100"/>
    </row>
    <row r="23538">
      <c r="R23538" s="100"/>
      <c r="V23538" s="100"/>
      <c r="Y23538" s="100"/>
    </row>
    <row r="23539">
      <c r="R23539" s="100"/>
      <c r="V23539" s="100"/>
      <c r="Y23539" s="100"/>
    </row>
    <row r="23540">
      <c r="R23540" s="100"/>
      <c r="V23540" s="100"/>
      <c r="Y23540" s="100"/>
    </row>
    <row r="23541">
      <c r="R23541" s="100"/>
      <c r="V23541" s="100"/>
      <c r="Y23541" s="100"/>
    </row>
    <row r="23542">
      <c r="R23542" s="100"/>
      <c r="V23542" s="100"/>
      <c r="Y23542" s="100"/>
    </row>
    <row r="23543">
      <c r="R23543" s="100"/>
      <c r="V23543" s="100"/>
      <c r="Y23543" s="100"/>
    </row>
    <row r="23544">
      <c r="R23544" s="100"/>
      <c r="V23544" s="100"/>
      <c r="Y23544" s="100"/>
    </row>
    <row r="23545">
      <c r="R23545" s="100"/>
      <c r="V23545" s="100"/>
      <c r="Y23545" s="100"/>
    </row>
    <row r="23546">
      <c r="R23546" s="100"/>
      <c r="V23546" s="100"/>
      <c r="Y23546" s="100"/>
    </row>
    <row r="23547">
      <c r="R23547" s="100"/>
      <c r="V23547" s="100"/>
      <c r="Y23547" s="100"/>
    </row>
    <row r="23548">
      <c r="R23548" s="100"/>
      <c r="V23548" s="100"/>
      <c r="Y23548" s="100"/>
    </row>
    <row r="23549">
      <c r="R23549" s="100"/>
      <c r="V23549" s="100"/>
      <c r="Y23549" s="100"/>
    </row>
    <row r="23550">
      <c r="R23550" s="100"/>
      <c r="V23550" s="100"/>
      <c r="Y23550" s="100"/>
    </row>
    <row r="23551">
      <c r="R23551" s="100"/>
      <c r="V23551" s="100"/>
      <c r="Y23551" s="100"/>
    </row>
    <row r="23552">
      <c r="R23552" s="100"/>
      <c r="V23552" s="100"/>
      <c r="Y23552" s="100"/>
    </row>
    <row r="23553">
      <c r="R23553" s="100"/>
      <c r="V23553" s="100"/>
      <c r="Y23553" s="100"/>
    </row>
    <row r="23554">
      <c r="R23554" s="100"/>
      <c r="V23554" s="100"/>
      <c r="Y23554" s="100"/>
    </row>
    <row r="23555">
      <c r="R23555" s="100"/>
      <c r="V23555" s="100"/>
      <c r="Y23555" s="100"/>
    </row>
    <row r="23556">
      <c r="R23556" s="100"/>
      <c r="V23556" s="100"/>
      <c r="Y23556" s="100"/>
    </row>
    <row r="23557">
      <c r="R23557" s="100"/>
      <c r="V23557" s="100"/>
      <c r="Y23557" s="100"/>
    </row>
    <row r="23558">
      <c r="R23558" s="100"/>
      <c r="V23558" s="100"/>
      <c r="Y23558" s="100"/>
    </row>
    <row r="23559">
      <c r="R23559" s="100"/>
      <c r="V23559" s="100"/>
      <c r="Y23559" s="100"/>
    </row>
    <row r="23560">
      <c r="R23560" s="100"/>
      <c r="V23560" s="100"/>
      <c r="Y23560" s="100"/>
    </row>
    <row r="23561">
      <c r="R23561" s="100"/>
      <c r="V23561" s="100"/>
      <c r="Y23561" s="100"/>
    </row>
    <row r="23562">
      <c r="R23562" s="100"/>
      <c r="V23562" s="100"/>
      <c r="Y23562" s="100"/>
    </row>
    <row r="23563">
      <c r="R23563" s="100"/>
      <c r="V23563" s="100"/>
      <c r="Y23563" s="100"/>
    </row>
    <row r="23564">
      <c r="R23564" s="100"/>
      <c r="V23564" s="100"/>
      <c r="Y23564" s="100"/>
    </row>
    <row r="23565">
      <c r="R23565" s="100"/>
      <c r="V23565" s="100"/>
      <c r="Y23565" s="100"/>
    </row>
    <row r="23566">
      <c r="R23566" s="100"/>
      <c r="V23566" s="100"/>
      <c r="Y23566" s="100"/>
    </row>
    <row r="23567">
      <c r="R23567" s="100"/>
      <c r="V23567" s="100"/>
      <c r="Y23567" s="100"/>
    </row>
    <row r="23568">
      <c r="R23568" s="100"/>
      <c r="V23568" s="100"/>
      <c r="Y23568" s="100"/>
    </row>
    <row r="23569">
      <c r="R23569" s="100"/>
      <c r="V23569" s="100"/>
      <c r="Y23569" s="100"/>
    </row>
    <row r="23570">
      <c r="R23570" s="100"/>
      <c r="V23570" s="100"/>
      <c r="Y23570" s="100"/>
    </row>
    <row r="23571">
      <c r="R23571" s="100"/>
      <c r="V23571" s="100"/>
      <c r="Y23571" s="100"/>
    </row>
    <row r="23572">
      <c r="R23572" s="100"/>
      <c r="V23572" s="100"/>
      <c r="Y23572" s="100"/>
    </row>
    <row r="23573">
      <c r="R23573" s="100"/>
      <c r="V23573" s="100"/>
      <c r="Y23573" s="100"/>
    </row>
    <row r="23574">
      <c r="R23574" s="100"/>
      <c r="V23574" s="100"/>
      <c r="Y23574" s="100"/>
    </row>
    <row r="23575">
      <c r="R23575" s="100"/>
      <c r="V23575" s="100"/>
      <c r="Y23575" s="100"/>
    </row>
    <row r="23576">
      <c r="R23576" s="100"/>
      <c r="V23576" s="100"/>
      <c r="Y23576" s="100"/>
    </row>
    <row r="23577">
      <c r="R23577" s="100"/>
      <c r="V23577" s="100"/>
      <c r="Y23577" s="100"/>
    </row>
    <row r="23578">
      <c r="R23578" s="100"/>
      <c r="V23578" s="100"/>
      <c r="Y23578" s="100"/>
    </row>
    <row r="23579">
      <c r="R23579" s="100"/>
      <c r="V23579" s="100"/>
      <c r="Y23579" s="100"/>
    </row>
    <row r="23580">
      <c r="R23580" s="100"/>
      <c r="V23580" s="100"/>
      <c r="Y23580" s="100"/>
    </row>
    <row r="23581">
      <c r="R23581" s="100"/>
      <c r="V23581" s="100"/>
      <c r="Y23581" s="100"/>
    </row>
    <row r="23582">
      <c r="R23582" s="100"/>
      <c r="V23582" s="100"/>
      <c r="Y23582" s="100"/>
    </row>
    <row r="23583">
      <c r="R23583" s="100"/>
      <c r="V23583" s="100"/>
      <c r="Y23583" s="100"/>
    </row>
    <row r="23584">
      <c r="R23584" s="100"/>
      <c r="V23584" s="100"/>
      <c r="Y23584" s="100"/>
    </row>
    <row r="23585">
      <c r="R23585" s="100"/>
      <c r="V23585" s="100"/>
      <c r="Y23585" s="100"/>
    </row>
    <row r="23586">
      <c r="R23586" s="100"/>
      <c r="V23586" s="100"/>
      <c r="Y23586" s="100"/>
    </row>
    <row r="23587">
      <c r="R23587" s="100"/>
      <c r="V23587" s="100"/>
      <c r="Y23587" s="100"/>
    </row>
    <row r="23588">
      <c r="R23588" s="100"/>
      <c r="V23588" s="100"/>
      <c r="Y23588" s="100"/>
    </row>
    <row r="23589">
      <c r="R23589" s="100"/>
      <c r="V23589" s="100"/>
      <c r="Y23589" s="100"/>
    </row>
    <row r="23590">
      <c r="R23590" s="100"/>
      <c r="V23590" s="100"/>
      <c r="Y23590" s="100"/>
    </row>
    <row r="23591">
      <c r="R23591" s="100"/>
      <c r="V23591" s="100"/>
      <c r="Y23591" s="100"/>
    </row>
    <row r="23592">
      <c r="R23592" s="100"/>
      <c r="V23592" s="100"/>
      <c r="Y23592" s="100"/>
    </row>
    <row r="23593">
      <c r="R23593" s="100"/>
      <c r="V23593" s="100"/>
      <c r="Y23593" s="100"/>
    </row>
    <row r="23594">
      <c r="R23594" s="100"/>
      <c r="V23594" s="100"/>
      <c r="Y23594" s="100"/>
    </row>
    <row r="23595">
      <c r="R23595" s="100"/>
      <c r="V23595" s="100"/>
      <c r="Y23595" s="100"/>
    </row>
    <row r="23596">
      <c r="R23596" s="100"/>
      <c r="V23596" s="100"/>
      <c r="Y23596" s="100"/>
    </row>
    <row r="23597">
      <c r="R23597" s="100"/>
      <c r="V23597" s="100"/>
      <c r="Y23597" s="100"/>
    </row>
    <row r="23598">
      <c r="R23598" s="100"/>
      <c r="V23598" s="100"/>
      <c r="Y23598" s="100"/>
    </row>
    <row r="23599">
      <c r="R23599" s="100"/>
      <c r="V23599" s="100"/>
      <c r="Y23599" s="100"/>
    </row>
    <row r="23600">
      <c r="R23600" s="100"/>
      <c r="V23600" s="100"/>
      <c r="Y23600" s="100"/>
    </row>
    <row r="23601">
      <c r="R23601" s="100"/>
      <c r="V23601" s="100"/>
      <c r="Y23601" s="100"/>
    </row>
    <row r="23602">
      <c r="R23602" s="100"/>
      <c r="V23602" s="100"/>
      <c r="Y23602" s="100"/>
    </row>
    <row r="23603">
      <c r="R23603" s="100"/>
      <c r="V23603" s="100"/>
      <c r="Y23603" s="100"/>
    </row>
    <row r="23604">
      <c r="R23604" s="100"/>
      <c r="V23604" s="100"/>
      <c r="Y23604" s="100"/>
    </row>
    <row r="23605">
      <c r="R23605" s="100"/>
      <c r="V23605" s="100"/>
      <c r="Y23605" s="100"/>
    </row>
    <row r="23606">
      <c r="R23606" s="100"/>
      <c r="V23606" s="100"/>
      <c r="Y23606" s="100"/>
    </row>
    <row r="23607">
      <c r="R23607" s="100"/>
      <c r="V23607" s="100"/>
      <c r="Y23607" s="100"/>
    </row>
    <row r="23608">
      <c r="R23608" s="100"/>
      <c r="V23608" s="100"/>
      <c r="Y23608" s="100"/>
    </row>
    <row r="23609">
      <c r="R23609" s="100"/>
      <c r="V23609" s="100"/>
      <c r="Y23609" s="100"/>
    </row>
    <row r="23610">
      <c r="R23610" s="100"/>
      <c r="V23610" s="100"/>
      <c r="Y23610" s="100"/>
    </row>
    <row r="23611">
      <c r="R23611" s="100"/>
      <c r="V23611" s="100"/>
      <c r="Y23611" s="100"/>
    </row>
    <row r="23612">
      <c r="R23612" s="100"/>
      <c r="V23612" s="100"/>
      <c r="Y23612" s="100"/>
    </row>
    <row r="23613">
      <c r="R23613" s="100"/>
      <c r="V23613" s="100"/>
      <c r="Y23613" s="100"/>
    </row>
    <row r="23614">
      <c r="R23614" s="100"/>
      <c r="V23614" s="100"/>
      <c r="Y23614" s="100"/>
    </row>
    <row r="23615">
      <c r="R23615" s="100"/>
      <c r="V23615" s="100"/>
      <c r="Y23615" s="100"/>
    </row>
    <row r="23616">
      <c r="R23616" s="100"/>
      <c r="V23616" s="100"/>
      <c r="Y23616" s="100"/>
    </row>
    <row r="23617">
      <c r="R23617" s="100"/>
      <c r="V23617" s="100"/>
      <c r="Y23617" s="100"/>
    </row>
    <row r="23618">
      <c r="R23618" s="100"/>
      <c r="V23618" s="100"/>
      <c r="Y23618" s="100"/>
    </row>
    <row r="23619">
      <c r="R23619" s="100"/>
      <c r="V23619" s="100"/>
      <c r="Y23619" s="100"/>
    </row>
    <row r="23620">
      <c r="R23620" s="100"/>
      <c r="V23620" s="100"/>
      <c r="Y23620" s="100"/>
    </row>
    <row r="23621">
      <c r="R23621" s="100"/>
      <c r="V23621" s="100"/>
      <c r="Y23621" s="100"/>
    </row>
    <row r="23622">
      <c r="R23622" s="100"/>
      <c r="V23622" s="100"/>
      <c r="Y23622" s="100"/>
    </row>
    <row r="23623">
      <c r="R23623" s="100"/>
      <c r="V23623" s="100"/>
      <c r="Y23623" s="100"/>
    </row>
    <row r="23624">
      <c r="R23624" s="100"/>
      <c r="V23624" s="100"/>
      <c r="Y23624" s="100"/>
    </row>
    <row r="23625">
      <c r="R23625" s="100"/>
      <c r="V23625" s="100"/>
      <c r="Y23625" s="100"/>
    </row>
    <row r="23626">
      <c r="R23626" s="100"/>
      <c r="V23626" s="100"/>
      <c r="Y23626" s="100"/>
    </row>
    <row r="23627">
      <c r="R23627" s="100"/>
      <c r="V23627" s="100"/>
      <c r="Y23627" s="100"/>
    </row>
    <row r="23628">
      <c r="R23628" s="100"/>
      <c r="V23628" s="100"/>
      <c r="Y23628" s="100"/>
    </row>
    <row r="23629">
      <c r="R23629" s="100"/>
      <c r="V23629" s="100"/>
      <c r="Y23629" s="100"/>
    </row>
    <row r="23630">
      <c r="R23630" s="100"/>
      <c r="V23630" s="100"/>
      <c r="Y23630" s="100"/>
    </row>
    <row r="23631">
      <c r="R23631" s="100"/>
      <c r="V23631" s="100"/>
      <c r="Y23631" s="100"/>
    </row>
    <row r="23632">
      <c r="R23632" s="100"/>
      <c r="V23632" s="100"/>
      <c r="Y23632" s="100"/>
    </row>
    <row r="23633">
      <c r="R23633" s="100"/>
      <c r="V23633" s="100"/>
      <c r="Y23633" s="100"/>
    </row>
    <row r="23634">
      <c r="R23634" s="100"/>
      <c r="V23634" s="100"/>
      <c r="Y23634" s="100"/>
    </row>
    <row r="23635">
      <c r="R23635" s="100"/>
      <c r="V23635" s="100"/>
      <c r="Y23635" s="100"/>
    </row>
    <row r="23636">
      <c r="R23636" s="100"/>
      <c r="V23636" s="100"/>
      <c r="Y23636" s="100"/>
    </row>
    <row r="23637">
      <c r="R23637" s="100"/>
      <c r="V23637" s="100"/>
      <c r="Y23637" s="100"/>
    </row>
    <row r="23638">
      <c r="R23638" s="100"/>
      <c r="V23638" s="100"/>
      <c r="Y23638" s="100"/>
    </row>
    <row r="23639">
      <c r="R23639" s="100"/>
      <c r="V23639" s="100"/>
      <c r="Y23639" s="100"/>
    </row>
    <row r="23640">
      <c r="R23640" s="100"/>
      <c r="V23640" s="100"/>
      <c r="Y23640" s="100"/>
    </row>
    <row r="23641">
      <c r="R23641" s="100"/>
      <c r="V23641" s="100"/>
      <c r="Y23641" s="100"/>
    </row>
    <row r="23642">
      <c r="R23642" s="100"/>
      <c r="V23642" s="100"/>
      <c r="Y23642" s="100"/>
    </row>
    <row r="23643">
      <c r="R23643" s="100"/>
      <c r="V23643" s="100"/>
      <c r="Y23643" s="100"/>
    </row>
    <row r="23644">
      <c r="R23644" s="100"/>
      <c r="V23644" s="100"/>
      <c r="Y23644" s="100"/>
    </row>
    <row r="23645">
      <c r="R23645" s="100"/>
      <c r="V23645" s="100"/>
      <c r="Y23645" s="100"/>
    </row>
    <row r="23646">
      <c r="R23646" s="100"/>
      <c r="V23646" s="100"/>
      <c r="Y23646" s="100"/>
    </row>
    <row r="23647">
      <c r="R23647" s="100"/>
      <c r="V23647" s="100"/>
      <c r="Y23647" s="100"/>
    </row>
    <row r="23648">
      <c r="R23648" s="100"/>
      <c r="V23648" s="100"/>
      <c r="Y23648" s="100"/>
    </row>
    <row r="23649">
      <c r="R23649" s="100"/>
      <c r="V23649" s="100"/>
      <c r="Y23649" s="100"/>
    </row>
    <row r="23650">
      <c r="R23650" s="100"/>
      <c r="V23650" s="100"/>
      <c r="Y23650" s="100"/>
    </row>
    <row r="23651">
      <c r="R23651" s="100"/>
      <c r="V23651" s="100"/>
      <c r="Y23651" s="100"/>
    </row>
    <row r="23652">
      <c r="R23652" s="100"/>
      <c r="V23652" s="100"/>
      <c r="Y23652" s="100"/>
    </row>
    <row r="23653">
      <c r="R23653" s="100"/>
      <c r="V23653" s="100"/>
      <c r="Y23653" s="100"/>
    </row>
    <row r="23654">
      <c r="R23654" s="100"/>
      <c r="V23654" s="100"/>
      <c r="Y23654" s="100"/>
    </row>
    <row r="23655">
      <c r="R23655" s="100"/>
      <c r="V23655" s="100"/>
      <c r="Y23655" s="100"/>
    </row>
    <row r="23656">
      <c r="R23656" s="100"/>
      <c r="V23656" s="100"/>
      <c r="Y23656" s="100"/>
    </row>
    <row r="23657">
      <c r="R23657" s="100"/>
      <c r="V23657" s="100"/>
      <c r="Y23657" s="100"/>
    </row>
    <row r="23658">
      <c r="R23658" s="100"/>
      <c r="V23658" s="100"/>
      <c r="Y23658" s="100"/>
    </row>
    <row r="23659">
      <c r="R23659" s="100"/>
      <c r="V23659" s="100"/>
      <c r="Y23659" s="100"/>
    </row>
    <row r="23660">
      <c r="R23660" s="100"/>
      <c r="V23660" s="100"/>
      <c r="Y23660" s="100"/>
    </row>
    <row r="23661">
      <c r="R23661" s="100"/>
      <c r="V23661" s="100"/>
      <c r="Y23661" s="100"/>
    </row>
    <row r="23662">
      <c r="R23662" s="100"/>
      <c r="V23662" s="100"/>
      <c r="Y23662" s="100"/>
    </row>
    <row r="23663">
      <c r="R23663" s="100"/>
      <c r="V23663" s="100"/>
      <c r="Y23663" s="100"/>
    </row>
    <row r="23664">
      <c r="R23664" s="100"/>
      <c r="V23664" s="100"/>
      <c r="Y23664" s="100"/>
    </row>
    <row r="23665">
      <c r="R23665" s="100"/>
      <c r="V23665" s="100"/>
      <c r="Y23665" s="100"/>
    </row>
    <row r="23666">
      <c r="R23666" s="100"/>
      <c r="V23666" s="100"/>
      <c r="Y23666" s="100"/>
    </row>
    <row r="23667">
      <c r="R23667" s="100"/>
      <c r="V23667" s="100"/>
      <c r="Y23667" s="100"/>
    </row>
    <row r="23668">
      <c r="R23668" s="100"/>
      <c r="V23668" s="100"/>
      <c r="Y23668" s="100"/>
    </row>
    <row r="23669">
      <c r="R23669" s="100"/>
      <c r="V23669" s="100"/>
      <c r="Y23669" s="100"/>
    </row>
    <row r="23670">
      <c r="R23670" s="100"/>
      <c r="V23670" s="100"/>
      <c r="Y23670" s="100"/>
    </row>
    <row r="23671">
      <c r="R23671" s="100"/>
      <c r="V23671" s="100"/>
      <c r="Y23671" s="100"/>
    </row>
    <row r="23672">
      <c r="R23672" s="100"/>
      <c r="V23672" s="100"/>
      <c r="Y23672" s="100"/>
    </row>
    <row r="23673">
      <c r="R23673" s="100"/>
      <c r="V23673" s="100"/>
      <c r="Y23673" s="100"/>
    </row>
    <row r="23674">
      <c r="R23674" s="100"/>
      <c r="V23674" s="100"/>
      <c r="Y23674" s="100"/>
    </row>
    <row r="23675">
      <c r="R23675" s="100"/>
      <c r="V23675" s="100"/>
      <c r="Y23675" s="100"/>
    </row>
    <row r="23676">
      <c r="R23676" s="100"/>
      <c r="V23676" s="100"/>
      <c r="Y23676" s="100"/>
    </row>
    <row r="23677">
      <c r="R23677" s="100"/>
      <c r="V23677" s="100"/>
      <c r="Y23677" s="100"/>
    </row>
    <row r="23678">
      <c r="R23678" s="100"/>
      <c r="V23678" s="100"/>
      <c r="Y23678" s="100"/>
    </row>
    <row r="23679">
      <c r="R23679" s="100"/>
      <c r="V23679" s="100"/>
      <c r="Y23679" s="100"/>
    </row>
    <row r="23680">
      <c r="R23680" s="100"/>
      <c r="V23680" s="100"/>
      <c r="Y23680" s="100"/>
    </row>
    <row r="23681">
      <c r="R23681" s="100"/>
      <c r="V23681" s="100"/>
      <c r="Y23681" s="100"/>
    </row>
    <row r="23682">
      <c r="R23682" s="100"/>
      <c r="V23682" s="100"/>
      <c r="Y23682" s="100"/>
    </row>
    <row r="23683">
      <c r="R23683" s="100"/>
      <c r="V23683" s="100"/>
      <c r="Y23683" s="100"/>
    </row>
    <row r="23684">
      <c r="R23684" s="100"/>
      <c r="V23684" s="100"/>
      <c r="Y23684" s="100"/>
    </row>
    <row r="23685">
      <c r="R23685" s="100"/>
      <c r="V23685" s="100"/>
      <c r="Y23685" s="100"/>
    </row>
    <row r="23686">
      <c r="R23686" s="100"/>
      <c r="V23686" s="100"/>
      <c r="Y23686" s="100"/>
    </row>
    <row r="23687">
      <c r="R23687" s="100"/>
      <c r="V23687" s="100"/>
      <c r="Y23687" s="100"/>
    </row>
    <row r="23688">
      <c r="R23688" s="100"/>
      <c r="V23688" s="100"/>
      <c r="Y23688" s="100"/>
    </row>
    <row r="23689">
      <c r="R23689" s="100"/>
      <c r="V23689" s="100"/>
      <c r="Y23689" s="100"/>
    </row>
    <row r="23690">
      <c r="R23690" s="100"/>
      <c r="V23690" s="100"/>
      <c r="Y23690" s="100"/>
    </row>
    <row r="23691">
      <c r="R23691" s="100"/>
      <c r="V23691" s="100"/>
      <c r="Y23691" s="100"/>
    </row>
    <row r="23692">
      <c r="R23692" s="100"/>
      <c r="V23692" s="100"/>
      <c r="Y23692" s="100"/>
    </row>
    <row r="23693">
      <c r="R23693" s="100"/>
      <c r="V23693" s="100"/>
      <c r="Y23693" s="100"/>
    </row>
    <row r="23694">
      <c r="R23694" s="100"/>
      <c r="V23694" s="100"/>
      <c r="Y23694" s="100"/>
    </row>
    <row r="23695">
      <c r="R23695" s="100"/>
      <c r="V23695" s="100"/>
      <c r="Y23695" s="100"/>
    </row>
    <row r="23696">
      <c r="R23696" s="100"/>
      <c r="V23696" s="100"/>
      <c r="Y23696" s="100"/>
    </row>
    <row r="23697">
      <c r="R23697" s="100"/>
      <c r="V23697" s="100"/>
      <c r="Y23697" s="100"/>
    </row>
    <row r="23698">
      <c r="R23698" s="100"/>
      <c r="V23698" s="100"/>
      <c r="Y23698" s="100"/>
    </row>
    <row r="23699">
      <c r="R23699" s="100"/>
      <c r="V23699" s="100"/>
      <c r="Y23699" s="100"/>
    </row>
    <row r="23700">
      <c r="R23700" s="100"/>
      <c r="V23700" s="100"/>
      <c r="Y23700" s="100"/>
    </row>
    <row r="23701">
      <c r="R23701" s="100"/>
      <c r="V23701" s="100"/>
      <c r="Y23701" s="100"/>
    </row>
    <row r="23702">
      <c r="R23702" s="100"/>
      <c r="V23702" s="100"/>
      <c r="Y23702" s="100"/>
    </row>
    <row r="23703">
      <c r="R23703" s="100"/>
      <c r="V23703" s="100"/>
      <c r="Y23703" s="100"/>
    </row>
    <row r="23704">
      <c r="R23704" s="100"/>
      <c r="V23704" s="100"/>
      <c r="Y23704" s="100"/>
    </row>
    <row r="23705">
      <c r="R23705" s="100"/>
      <c r="V23705" s="100"/>
      <c r="Y23705" s="100"/>
    </row>
    <row r="23706">
      <c r="R23706" s="100"/>
      <c r="V23706" s="100"/>
      <c r="Y23706" s="100"/>
    </row>
    <row r="23707">
      <c r="R23707" s="100"/>
      <c r="V23707" s="100"/>
      <c r="Y23707" s="100"/>
    </row>
    <row r="23708">
      <c r="R23708" s="100"/>
      <c r="V23708" s="100"/>
      <c r="Y23708" s="100"/>
    </row>
    <row r="23709">
      <c r="R23709" s="100"/>
      <c r="V23709" s="100"/>
      <c r="Y23709" s="100"/>
    </row>
    <row r="23710">
      <c r="R23710" s="100"/>
      <c r="V23710" s="100"/>
      <c r="Y23710" s="100"/>
    </row>
    <row r="23711">
      <c r="R23711" s="100"/>
      <c r="V23711" s="100"/>
      <c r="Y23711" s="100"/>
    </row>
    <row r="23712">
      <c r="R23712" s="100"/>
      <c r="V23712" s="100"/>
      <c r="Y23712" s="100"/>
    </row>
    <row r="23713">
      <c r="R23713" s="100"/>
      <c r="V23713" s="100"/>
      <c r="Y23713" s="100"/>
    </row>
    <row r="23714">
      <c r="R23714" s="100"/>
      <c r="V23714" s="100"/>
      <c r="Y23714" s="100"/>
    </row>
    <row r="23715">
      <c r="R23715" s="100"/>
      <c r="V23715" s="100"/>
      <c r="Y23715" s="100"/>
    </row>
    <row r="23716">
      <c r="R23716" s="100"/>
      <c r="V23716" s="100"/>
      <c r="Y23716" s="100"/>
    </row>
    <row r="23717">
      <c r="R23717" s="100"/>
      <c r="V23717" s="100"/>
      <c r="Y23717" s="100"/>
    </row>
    <row r="23718">
      <c r="R23718" s="100"/>
      <c r="V23718" s="100"/>
      <c r="Y23718" s="100"/>
    </row>
    <row r="23719">
      <c r="R23719" s="100"/>
      <c r="V23719" s="100"/>
      <c r="Y23719" s="100"/>
    </row>
    <row r="23720">
      <c r="R23720" s="100"/>
      <c r="V23720" s="100"/>
      <c r="Y23720" s="100"/>
    </row>
    <row r="23721">
      <c r="R23721" s="100"/>
      <c r="V23721" s="100"/>
      <c r="Y23721" s="100"/>
    </row>
    <row r="23722">
      <c r="R23722" s="100"/>
      <c r="V23722" s="100"/>
      <c r="Y23722" s="100"/>
    </row>
    <row r="23723">
      <c r="R23723" s="100"/>
      <c r="V23723" s="100"/>
      <c r="Y23723" s="100"/>
    </row>
    <row r="23724">
      <c r="R23724" s="100"/>
      <c r="V23724" s="100"/>
      <c r="Y23724" s="100"/>
    </row>
    <row r="23725">
      <c r="R23725" s="100"/>
      <c r="V23725" s="100"/>
      <c r="Y23725" s="100"/>
    </row>
    <row r="23726">
      <c r="R23726" s="100"/>
      <c r="V23726" s="100"/>
      <c r="Y23726" s="100"/>
    </row>
    <row r="23727">
      <c r="R23727" s="100"/>
      <c r="V23727" s="100"/>
      <c r="Y23727" s="100"/>
    </row>
    <row r="23728">
      <c r="R23728" s="100"/>
      <c r="V23728" s="100"/>
      <c r="Y23728" s="100"/>
    </row>
    <row r="23729">
      <c r="R23729" s="100"/>
      <c r="V23729" s="100"/>
      <c r="Y23729" s="100"/>
    </row>
    <row r="23730">
      <c r="R23730" s="100"/>
      <c r="V23730" s="100"/>
      <c r="Y23730" s="100"/>
    </row>
    <row r="23731">
      <c r="R23731" s="100"/>
      <c r="V23731" s="100"/>
      <c r="Y23731" s="100"/>
    </row>
    <row r="23732">
      <c r="R23732" s="100"/>
      <c r="V23732" s="100"/>
      <c r="Y23732" s="100"/>
    </row>
    <row r="23733">
      <c r="R23733" s="100"/>
      <c r="V23733" s="100"/>
      <c r="Y23733" s="100"/>
    </row>
    <row r="23734">
      <c r="R23734" s="100"/>
      <c r="V23734" s="100"/>
      <c r="Y23734" s="100"/>
    </row>
    <row r="23735">
      <c r="R23735" s="100"/>
      <c r="V23735" s="100"/>
      <c r="Y23735" s="100"/>
    </row>
    <row r="23736">
      <c r="R23736" s="100"/>
      <c r="V23736" s="100"/>
      <c r="Y23736" s="100"/>
    </row>
    <row r="23737">
      <c r="R23737" s="100"/>
      <c r="V23737" s="100"/>
      <c r="Y23737" s="100"/>
    </row>
    <row r="23738">
      <c r="R23738" s="100"/>
      <c r="V23738" s="100"/>
      <c r="Y23738" s="100"/>
    </row>
    <row r="23739">
      <c r="R23739" s="100"/>
      <c r="V23739" s="100"/>
      <c r="Y23739" s="100"/>
    </row>
    <row r="23740">
      <c r="R23740" s="100"/>
      <c r="V23740" s="100"/>
      <c r="Y23740" s="100"/>
    </row>
    <row r="23741">
      <c r="R23741" s="100"/>
      <c r="V23741" s="100"/>
      <c r="Y23741" s="100"/>
    </row>
    <row r="23742">
      <c r="R23742" s="100"/>
      <c r="V23742" s="100"/>
      <c r="Y23742" s="100"/>
    </row>
    <row r="23743">
      <c r="R23743" s="100"/>
      <c r="V23743" s="100"/>
      <c r="Y23743" s="100"/>
    </row>
    <row r="23744">
      <c r="R23744" s="100"/>
      <c r="V23744" s="100"/>
      <c r="Y23744" s="100"/>
    </row>
    <row r="23745">
      <c r="R23745" s="100"/>
      <c r="V23745" s="100"/>
      <c r="Y23745" s="100"/>
    </row>
    <row r="23746">
      <c r="R23746" s="100"/>
      <c r="V23746" s="100"/>
      <c r="Y23746" s="100"/>
    </row>
    <row r="23747">
      <c r="R23747" s="100"/>
      <c r="V23747" s="100"/>
      <c r="Y23747" s="100"/>
    </row>
    <row r="23748">
      <c r="R23748" s="100"/>
      <c r="V23748" s="100"/>
      <c r="Y23748" s="100"/>
    </row>
    <row r="23749">
      <c r="R23749" s="100"/>
      <c r="V23749" s="100"/>
      <c r="Y23749" s="100"/>
    </row>
    <row r="23750">
      <c r="R23750" s="100"/>
      <c r="V23750" s="100"/>
      <c r="Y23750" s="100"/>
    </row>
    <row r="23751">
      <c r="R23751" s="100"/>
      <c r="V23751" s="100"/>
      <c r="Y23751" s="100"/>
    </row>
    <row r="23752">
      <c r="R23752" s="100"/>
      <c r="V23752" s="100"/>
      <c r="Y23752" s="100"/>
    </row>
    <row r="23753">
      <c r="R23753" s="100"/>
      <c r="V23753" s="100"/>
      <c r="Y23753" s="100"/>
    </row>
    <row r="23754">
      <c r="R23754" s="100"/>
      <c r="V23754" s="100"/>
      <c r="Y23754" s="100"/>
    </row>
    <row r="23755">
      <c r="R23755" s="100"/>
      <c r="V23755" s="100"/>
      <c r="Y23755" s="100"/>
    </row>
    <row r="23756">
      <c r="R23756" s="100"/>
      <c r="V23756" s="100"/>
      <c r="Y23756" s="100"/>
    </row>
    <row r="23757">
      <c r="R23757" s="100"/>
      <c r="V23757" s="100"/>
      <c r="Y23757" s="100"/>
    </row>
    <row r="23758">
      <c r="R23758" s="100"/>
      <c r="V23758" s="100"/>
      <c r="Y23758" s="100"/>
    </row>
    <row r="23759">
      <c r="R23759" s="100"/>
      <c r="V23759" s="100"/>
      <c r="Y23759" s="100"/>
    </row>
    <row r="23760">
      <c r="R23760" s="100"/>
      <c r="V23760" s="100"/>
      <c r="Y23760" s="100"/>
    </row>
    <row r="23761">
      <c r="R23761" s="100"/>
      <c r="V23761" s="100"/>
      <c r="Y23761" s="100"/>
    </row>
    <row r="23762">
      <c r="R23762" s="100"/>
      <c r="V23762" s="100"/>
      <c r="Y23762" s="100"/>
    </row>
    <row r="23763">
      <c r="R23763" s="100"/>
      <c r="V23763" s="100"/>
      <c r="Y23763" s="100"/>
    </row>
    <row r="23764">
      <c r="R23764" s="100"/>
      <c r="V23764" s="100"/>
      <c r="Y23764" s="100"/>
    </row>
    <row r="23765">
      <c r="R23765" s="100"/>
      <c r="V23765" s="100"/>
      <c r="Y23765" s="100"/>
    </row>
    <row r="23766">
      <c r="R23766" s="100"/>
      <c r="V23766" s="100"/>
      <c r="Y23766" s="100"/>
    </row>
    <row r="23767">
      <c r="R23767" s="100"/>
      <c r="V23767" s="100"/>
      <c r="Y23767" s="100"/>
    </row>
    <row r="23768">
      <c r="R23768" s="100"/>
      <c r="V23768" s="100"/>
      <c r="Y23768" s="100"/>
    </row>
    <row r="23769">
      <c r="R23769" s="100"/>
      <c r="V23769" s="100"/>
      <c r="Y23769" s="100"/>
    </row>
    <row r="23770">
      <c r="R23770" s="100"/>
      <c r="V23770" s="100"/>
      <c r="Y23770" s="100"/>
    </row>
    <row r="23771">
      <c r="R23771" s="100"/>
      <c r="V23771" s="100"/>
      <c r="Y23771" s="100"/>
    </row>
    <row r="23772">
      <c r="R23772" s="100"/>
      <c r="V23772" s="100"/>
      <c r="Y23772" s="100"/>
    </row>
    <row r="23773">
      <c r="R23773" s="100"/>
      <c r="V23773" s="100"/>
      <c r="Y23773" s="100"/>
    </row>
    <row r="23774">
      <c r="R23774" s="100"/>
      <c r="V23774" s="100"/>
      <c r="Y23774" s="100"/>
    </row>
    <row r="23775">
      <c r="R23775" s="100"/>
      <c r="V23775" s="100"/>
      <c r="Y23775" s="100"/>
    </row>
    <row r="23776">
      <c r="R23776" s="100"/>
      <c r="V23776" s="100"/>
      <c r="Y23776" s="100"/>
    </row>
    <row r="23777">
      <c r="R23777" s="100"/>
      <c r="V23777" s="100"/>
      <c r="Y23777" s="100"/>
    </row>
    <row r="23778">
      <c r="R23778" s="100"/>
      <c r="V23778" s="100"/>
      <c r="Y23778" s="100"/>
    </row>
    <row r="23779">
      <c r="R23779" s="100"/>
      <c r="V23779" s="100"/>
      <c r="Y23779" s="100"/>
    </row>
    <row r="23780">
      <c r="R23780" s="100"/>
      <c r="V23780" s="100"/>
      <c r="Y23780" s="100"/>
    </row>
    <row r="23781">
      <c r="R23781" s="100"/>
      <c r="V23781" s="100"/>
      <c r="Y23781" s="100"/>
    </row>
    <row r="23782">
      <c r="R23782" s="100"/>
      <c r="V23782" s="100"/>
      <c r="Y23782" s="100"/>
    </row>
    <row r="23783">
      <c r="R23783" s="100"/>
      <c r="V23783" s="100"/>
      <c r="Y23783" s="100"/>
    </row>
    <row r="23784">
      <c r="R23784" s="100"/>
      <c r="V23784" s="100"/>
      <c r="Y23784" s="100"/>
    </row>
    <row r="23785">
      <c r="R23785" s="100"/>
      <c r="V23785" s="100"/>
      <c r="Y23785" s="100"/>
    </row>
    <row r="23786">
      <c r="R23786" s="100"/>
      <c r="V23786" s="100"/>
      <c r="Y23786" s="100"/>
    </row>
    <row r="23787">
      <c r="R23787" s="100"/>
      <c r="V23787" s="100"/>
      <c r="Y23787" s="100"/>
    </row>
    <row r="23788">
      <c r="R23788" s="100"/>
      <c r="V23788" s="100"/>
      <c r="Y23788" s="100"/>
    </row>
    <row r="23789">
      <c r="R23789" s="100"/>
      <c r="V23789" s="100"/>
      <c r="Y23789" s="100"/>
    </row>
    <row r="23790">
      <c r="R23790" s="100"/>
      <c r="V23790" s="100"/>
      <c r="Y23790" s="100"/>
    </row>
    <row r="23791">
      <c r="R23791" s="100"/>
      <c r="V23791" s="100"/>
      <c r="Y23791" s="100"/>
    </row>
    <row r="23792">
      <c r="R23792" s="100"/>
      <c r="V23792" s="100"/>
      <c r="Y23792" s="100"/>
    </row>
    <row r="23793">
      <c r="R23793" s="100"/>
      <c r="V23793" s="100"/>
      <c r="Y23793" s="100"/>
    </row>
    <row r="23794">
      <c r="R23794" s="100"/>
      <c r="V23794" s="100"/>
      <c r="Y23794" s="100"/>
    </row>
    <row r="23795">
      <c r="R23795" s="100"/>
      <c r="V23795" s="100"/>
      <c r="Y23795" s="100"/>
    </row>
    <row r="23796">
      <c r="R23796" s="100"/>
      <c r="V23796" s="100"/>
      <c r="Y23796" s="100"/>
    </row>
    <row r="23797">
      <c r="R23797" s="100"/>
      <c r="V23797" s="100"/>
      <c r="Y23797" s="100"/>
    </row>
    <row r="23798">
      <c r="R23798" s="100"/>
      <c r="V23798" s="100"/>
      <c r="Y23798" s="100"/>
    </row>
    <row r="23799">
      <c r="R23799" s="100"/>
      <c r="V23799" s="100"/>
      <c r="Y23799" s="100"/>
    </row>
    <row r="23800">
      <c r="R23800" s="100"/>
      <c r="V23800" s="100"/>
      <c r="Y23800" s="100"/>
    </row>
    <row r="23801">
      <c r="R23801" s="100"/>
      <c r="V23801" s="100"/>
      <c r="Y23801" s="100"/>
    </row>
    <row r="23802">
      <c r="R23802" s="100"/>
      <c r="V23802" s="100"/>
      <c r="Y23802" s="100"/>
    </row>
    <row r="23803">
      <c r="R23803" s="100"/>
      <c r="V23803" s="100"/>
      <c r="Y23803" s="100"/>
    </row>
    <row r="23804">
      <c r="R23804" s="100"/>
      <c r="V23804" s="100"/>
      <c r="Y23804" s="100"/>
    </row>
    <row r="23805">
      <c r="R23805" s="100"/>
      <c r="V23805" s="100"/>
      <c r="Y23805" s="100"/>
    </row>
    <row r="23806">
      <c r="R23806" s="100"/>
      <c r="V23806" s="100"/>
      <c r="Y23806" s="100"/>
    </row>
    <row r="23807">
      <c r="R23807" s="100"/>
      <c r="V23807" s="100"/>
      <c r="Y23807" s="100"/>
    </row>
    <row r="23808">
      <c r="R23808" s="100"/>
      <c r="V23808" s="100"/>
      <c r="Y23808" s="100"/>
    </row>
    <row r="23809">
      <c r="R23809" s="100"/>
      <c r="V23809" s="100"/>
      <c r="Y23809" s="100"/>
    </row>
    <row r="23810">
      <c r="R23810" s="100"/>
      <c r="V23810" s="100"/>
      <c r="Y23810" s="100"/>
    </row>
    <row r="23811">
      <c r="R23811" s="100"/>
      <c r="V23811" s="100"/>
      <c r="Y23811" s="100"/>
    </row>
    <row r="23812">
      <c r="R23812" s="100"/>
      <c r="V23812" s="100"/>
      <c r="Y23812" s="100"/>
    </row>
    <row r="23813">
      <c r="R23813" s="100"/>
      <c r="V23813" s="100"/>
      <c r="Y23813" s="100"/>
    </row>
    <row r="23814">
      <c r="R23814" s="100"/>
      <c r="V23814" s="100"/>
      <c r="Y23814" s="100"/>
    </row>
    <row r="23815">
      <c r="R23815" s="100"/>
      <c r="V23815" s="100"/>
      <c r="Y23815" s="100"/>
    </row>
    <row r="23816">
      <c r="R23816" s="100"/>
      <c r="V23816" s="100"/>
      <c r="Y23816" s="100"/>
    </row>
    <row r="23817">
      <c r="R23817" s="100"/>
      <c r="V23817" s="100"/>
      <c r="Y23817" s="100"/>
    </row>
    <row r="23818">
      <c r="R23818" s="100"/>
      <c r="V23818" s="100"/>
      <c r="Y23818" s="100"/>
    </row>
    <row r="23819">
      <c r="R23819" s="100"/>
      <c r="V23819" s="100"/>
      <c r="Y23819" s="100"/>
    </row>
    <row r="23820">
      <c r="R23820" s="100"/>
      <c r="V23820" s="100"/>
      <c r="Y23820" s="100"/>
    </row>
    <row r="23821">
      <c r="R23821" s="100"/>
      <c r="V23821" s="100"/>
      <c r="Y23821" s="100"/>
    </row>
    <row r="23822">
      <c r="R23822" s="100"/>
      <c r="V23822" s="100"/>
      <c r="Y23822" s="100"/>
    </row>
    <row r="23823">
      <c r="R23823" s="100"/>
      <c r="V23823" s="100"/>
      <c r="Y23823" s="100"/>
    </row>
    <row r="23824">
      <c r="R23824" s="100"/>
      <c r="V23824" s="100"/>
      <c r="Y23824" s="100"/>
    </row>
    <row r="23825">
      <c r="R23825" s="100"/>
      <c r="V23825" s="100"/>
      <c r="Y23825" s="100"/>
    </row>
    <row r="23826">
      <c r="R23826" s="100"/>
      <c r="V23826" s="100"/>
      <c r="Y23826" s="100"/>
    </row>
    <row r="23827">
      <c r="R23827" s="100"/>
      <c r="V23827" s="100"/>
      <c r="Y23827" s="100"/>
    </row>
    <row r="23828">
      <c r="R23828" s="100"/>
      <c r="V23828" s="100"/>
      <c r="Y23828" s="100"/>
    </row>
    <row r="23829">
      <c r="R23829" s="100"/>
      <c r="V23829" s="100"/>
      <c r="Y23829" s="100"/>
    </row>
    <row r="23830">
      <c r="R23830" s="100"/>
      <c r="V23830" s="100"/>
      <c r="Y23830" s="100"/>
    </row>
    <row r="23831">
      <c r="R23831" s="100"/>
      <c r="V23831" s="100"/>
      <c r="Y23831" s="100"/>
    </row>
    <row r="23832">
      <c r="R23832" s="100"/>
      <c r="V23832" s="100"/>
      <c r="Y23832" s="100"/>
    </row>
    <row r="23833">
      <c r="R23833" s="100"/>
      <c r="V23833" s="100"/>
      <c r="Y23833" s="100"/>
    </row>
    <row r="23834">
      <c r="R23834" s="100"/>
      <c r="V23834" s="100"/>
      <c r="Y23834" s="100"/>
    </row>
    <row r="23835">
      <c r="R23835" s="100"/>
      <c r="V23835" s="100"/>
      <c r="Y23835" s="100"/>
    </row>
    <row r="23836">
      <c r="R23836" s="100"/>
      <c r="V23836" s="100"/>
      <c r="Y23836" s="100"/>
    </row>
    <row r="23837">
      <c r="R23837" s="100"/>
      <c r="V23837" s="100"/>
      <c r="Y23837" s="100"/>
    </row>
    <row r="23838">
      <c r="R23838" s="100"/>
      <c r="V23838" s="100"/>
      <c r="Y23838" s="100"/>
    </row>
    <row r="23839">
      <c r="R23839" s="100"/>
      <c r="V23839" s="100"/>
      <c r="Y23839" s="100"/>
    </row>
    <row r="23840">
      <c r="R23840" s="100"/>
      <c r="V23840" s="100"/>
      <c r="Y23840" s="100"/>
    </row>
    <row r="23841">
      <c r="R23841" s="100"/>
      <c r="V23841" s="100"/>
      <c r="Y23841" s="100"/>
    </row>
    <row r="23842">
      <c r="R23842" s="100"/>
      <c r="V23842" s="100"/>
      <c r="Y23842" s="100"/>
    </row>
    <row r="23843">
      <c r="R23843" s="100"/>
      <c r="V23843" s="100"/>
      <c r="Y23843" s="100"/>
    </row>
    <row r="23844">
      <c r="R23844" s="100"/>
      <c r="V23844" s="100"/>
      <c r="Y23844" s="100"/>
    </row>
    <row r="23845">
      <c r="R23845" s="100"/>
      <c r="V23845" s="100"/>
      <c r="Y23845" s="100"/>
    </row>
    <row r="23846">
      <c r="R23846" s="100"/>
      <c r="V23846" s="100"/>
      <c r="Y23846" s="100"/>
    </row>
    <row r="23847">
      <c r="R23847" s="100"/>
      <c r="V23847" s="100"/>
      <c r="Y23847" s="100"/>
    </row>
    <row r="23848">
      <c r="R23848" s="100"/>
      <c r="V23848" s="100"/>
      <c r="Y23848" s="100"/>
    </row>
    <row r="23849">
      <c r="R23849" s="100"/>
      <c r="V23849" s="100"/>
      <c r="Y23849" s="100"/>
    </row>
    <row r="23850">
      <c r="R23850" s="100"/>
      <c r="V23850" s="100"/>
      <c r="Y23850" s="100"/>
    </row>
    <row r="23851">
      <c r="R23851" s="100"/>
      <c r="V23851" s="100"/>
      <c r="Y23851" s="100"/>
    </row>
    <row r="23852">
      <c r="R23852" s="100"/>
      <c r="V23852" s="100"/>
      <c r="Y23852" s="100"/>
    </row>
    <row r="23853">
      <c r="R23853" s="100"/>
      <c r="V23853" s="100"/>
      <c r="Y23853" s="100"/>
    </row>
    <row r="23854">
      <c r="R23854" s="100"/>
      <c r="V23854" s="100"/>
      <c r="Y23854" s="100"/>
    </row>
    <row r="23855">
      <c r="R23855" s="100"/>
      <c r="V23855" s="100"/>
      <c r="Y23855" s="100"/>
    </row>
    <row r="23856">
      <c r="R23856" s="100"/>
      <c r="V23856" s="100"/>
      <c r="Y23856" s="100"/>
    </row>
    <row r="23857">
      <c r="R23857" s="100"/>
      <c r="V23857" s="100"/>
      <c r="Y23857" s="100"/>
    </row>
    <row r="23858">
      <c r="R23858" s="100"/>
      <c r="V23858" s="100"/>
      <c r="Y23858" s="100"/>
    </row>
    <row r="23859">
      <c r="R23859" s="100"/>
      <c r="V23859" s="100"/>
      <c r="Y23859" s="100"/>
    </row>
    <row r="23860">
      <c r="R23860" s="100"/>
      <c r="V23860" s="100"/>
      <c r="Y23860" s="100"/>
    </row>
    <row r="23861">
      <c r="R23861" s="100"/>
      <c r="V23861" s="100"/>
      <c r="Y23861" s="100"/>
    </row>
    <row r="23862">
      <c r="R23862" s="100"/>
      <c r="V23862" s="100"/>
      <c r="Y23862" s="100"/>
    </row>
    <row r="23863">
      <c r="R23863" s="100"/>
      <c r="V23863" s="100"/>
      <c r="Y23863" s="100"/>
    </row>
    <row r="23864">
      <c r="R23864" s="100"/>
      <c r="V23864" s="100"/>
      <c r="Y23864" s="100"/>
    </row>
    <row r="23865">
      <c r="R23865" s="100"/>
      <c r="V23865" s="100"/>
      <c r="Y23865" s="100"/>
    </row>
    <row r="23866">
      <c r="R23866" s="100"/>
      <c r="V23866" s="100"/>
      <c r="Y23866" s="100"/>
    </row>
    <row r="23867">
      <c r="R23867" s="100"/>
      <c r="V23867" s="100"/>
      <c r="Y23867" s="100"/>
    </row>
    <row r="23868">
      <c r="R23868" s="100"/>
      <c r="V23868" s="100"/>
      <c r="Y23868" s="100"/>
    </row>
    <row r="23869">
      <c r="R23869" s="100"/>
      <c r="V23869" s="100"/>
      <c r="Y23869" s="100"/>
    </row>
    <row r="23870">
      <c r="R23870" s="100"/>
      <c r="V23870" s="100"/>
      <c r="Y23870" s="100"/>
    </row>
    <row r="23871">
      <c r="R23871" s="100"/>
      <c r="V23871" s="100"/>
      <c r="Y23871" s="100"/>
    </row>
    <row r="23872">
      <c r="R23872" s="100"/>
      <c r="V23872" s="100"/>
      <c r="Y23872" s="100"/>
    </row>
    <row r="23873">
      <c r="R23873" s="100"/>
      <c r="V23873" s="100"/>
      <c r="Y23873" s="100"/>
    </row>
    <row r="23874">
      <c r="R23874" s="100"/>
      <c r="V23874" s="100"/>
      <c r="Y23874" s="100"/>
    </row>
    <row r="23875">
      <c r="R23875" s="100"/>
      <c r="V23875" s="100"/>
      <c r="Y23875" s="100"/>
    </row>
    <row r="23876">
      <c r="R23876" s="100"/>
      <c r="V23876" s="100"/>
      <c r="Y23876" s="100"/>
    </row>
    <row r="23877">
      <c r="R23877" s="100"/>
      <c r="V23877" s="100"/>
      <c r="Y23877" s="100"/>
    </row>
    <row r="23878">
      <c r="R23878" s="100"/>
      <c r="V23878" s="100"/>
      <c r="Y23878" s="100"/>
    </row>
    <row r="23879">
      <c r="R23879" s="100"/>
      <c r="V23879" s="100"/>
      <c r="Y23879" s="100"/>
    </row>
    <row r="23880">
      <c r="R23880" s="100"/>
      <c r="V23880" s="100"/>
      <c r="Y23880" s="100"/>
    </row>
    <row r="23881">
      <c r="R23881" s="100"/>
      <c r="V23881" s="100"/>
      <c r="Y23881" s="100"/>
    </row>
    <row r="23882">
      <c r="R23882" s="100"/>
      <c r="V23882" s="100"/>
      <c r="Y23882" s="100"/>
    </row>
    <row r="23883">
      <c r="R23883" s="100"/>
      <c r="V23883" s="100"/>
      <c r="Y23883" s="100"/>
    </row>
    <row r="23884">
      <c r="R23884" s="100"/>
      <c r="V23884" s="100"/>
      <c r="Y23884" s="100"/>
    </row>
    <row r="23885">
      <c r="R23885" s="100"/>
      <c r="V23885" s="100"/>
      <c r="Y23885" s="100"/>
    </row>
    <row r="23886">
      <c r="R23886" s="100"/>
      <c r="V23886" s="100"/>
      <c r="Y23886" s="100"/>
    </row>
    <row r="23887">
      <c r="R23887" s="100"/>
      <c r="V23887" s="100"/>
      <c r="Y23887" s="100"/>
    </row>
    <row r="23888">
      <c r="R23888" s="100"/>
      <c r="V23888" s="100"/>
      <c r="Y23888" s="100"/>
    </row>
    <row r="23889">
      <c r="R23889" s="100"/>
      <c r="V23889" s="100"/>
      <c r="Y23889" s="100"/>
    </row>
    <row r="23890">
      <c r="R23890" s="100"/>
      <c r="V23890" s="100"/>
      <c r="Y23890" s="100"/>
    </row>
    <row r="23891">
      <c r="R23891" s="100"/>
      <c r="V23891" s="100"/>
      <c r="Y23891" s="100"/>
    </row>
    <row r="23892">
      <c r="R23892" s="100"/>
      <c r="V23892" s="100"/>
      <c r="Y23892" s="100"/>
    </row>
    <row r="23893">
      <c r="R23893" s="100"/>
      <c r="V23893" s="100"/>
      <c r="Y23893" s="100"/>
    </row>
    <row r="23894">
      <c r="R23894" s="100"/>
      <c r="V23894" s="100"/>
      <c r="Y23894" s="100"/>
    </row>
    <row r="23895">
      <c r="R23895" s="100"/>
      <c r="V23895" s="100"/>
      <c r="Y23895" s="100"/>
    </row>
    <row r="23896">
      <c r="R23896" s="100"/>
      <c r="V23896" s="100"/>
      <c r="Y23896" s="100"/>
    </row>
    <row r="23897">
      <c r="R23897" s="100"/>
      <c r="V23897" s="100"/>
      <c r="Y23897" s="100"/>
    </row>
    <row r="23898">
      <c r="R23898" s="100"/>
      <c r="V23898" s="100"/>
      <c r="Y23898" s="100"/>
    </row>
    <row r="23899">
      <c r="R23899" s="100"/>
      <c r="V23899" s="100"/>
      <c r="Y23899" s="100"/>
    </row>
    <row r="23900">
      <c r="R23900" s="100"/>
      <c r="V23900" s="100"/>
      <c r="Y23900" s="100"/>
    </row>
    <row r="23901">
      <c r="R23901" s="100"/>
      <c r="V23901" s="100"/>
      <c r="Y23901" s="100"/>
    </row>
    <row r="23902">
      <c r="R23902" s="100"/>
      <c r="V23902" s="100"/>
      <c r="Y23902" s="100"/>
    </row>
    <row r="23903">
      <c r="R23903" s="100"/>
      <c r="V23903" s="100"/>
      <c r="Y23903" s="100"/>
    </row>
    <row r="23904">
      <c r="R23904" s="100"/>
      <c r="V23904" s="100"/>
      <c r="Y23904" s="100"/>
    </row>
    <row r="23905">
      <c r="R23905" s="100"/>
      <c r="V23905" s="100"/>
      <c r="Y23905" s="100"/>
    </row>
    <row r="23906">
      <c r="R23906" s="100"/>
      <c r="V23906" s="100"/>
      <c r="Y23906" s="100"/>
    </row>
    <row r="23907">
      <c r="R23907" s="100"/>
      <c r="V23907" s="100"/>
      <c r="Y23907" s="100"/>
    </row>
    <row r="23908">
      <c r="R23908" s="100"/>
      <c r="V23908" s="100"/>
      <c r="Y23908" s="100"/>
    </row>
    <row r="23909">
      <c r="R23909" s="100"/>
      <c r="V23909" s="100"/>
      <c r="Y23909" s="100"/>
    </row>
    <row r="23910">
      <c r="R23910" s="100"/>
      <c r="V23910" s="100"/>
      <c r="Y23910" s="100"/>
    </row>
    <row r="23911">
      <c r="R23911" s="100"/>
      <c r="V23911" s="100"/>
      <c r="Y23911" s="100"/>
    </row>
    <row r="23912">
      <c r="R23912" s="100"/>
      <c r="V23912" s="100"/>
      <c r="Y23912" s="100"/>
    </row>
    <row r="23913">
      <c r="R23913" s="100"/>
      <c r="V23913" s="100"/>
      <c r="Y23913" s="100"/>
    </row>
    <row r="23914">
      <c r="R23914" s="100"/>
      <c r="V23914" s="100"/>
      <c r="Y23914" s="100"/>
    </row>
    <row r="23915">
      <c r="R23915" s="100"/>
      <c r="V23915" s="100"/>
      <c r="Y23915" s="100"/>
    </row>
    <row r="23916">
      <c r="R23916" s="100"/>
      <c r="V23916" s="100"/>
      <c r="Y23916" s="100"/>
    </row>
    <row r="23917">
      <c r="R23917" s="100"/>
      <c r="V23917" s="100"/>
      <c r="Y23917" s="100"/>
    </row>
    <row r="23918">
      <c r="R23918" s="100"/>
      <c r="V23918" s="100"/>
      <c r="Y23918" s="100"/>
    </row>
  </sheetData>
  <mergeCells count="4">
    <mergeCell ref="D1:H1"/>
    <mergeCell ref="AC1:AE1"/>
    <mergeCell ref="AF1:AH1"/>
    <mergeCell ref="AJ1:AK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3" max="3" width="9.38"/>
    <col customWidth="1" min="9" max="9" width="18.38"/>
  </cols>
  <sheetData>
    <row r="1">
      <c r="A1" s="365" t="str">
        <f>IFERROR(__xludf.DUMMYFUNCTION("IMPORTRANGE(""https://docs.google.com/spreadsheets/d/1ntB07RoH2wD6-G4-AX4R7Q3xEvtq8VjZWMc4karr0uw/edit?gid=1037672915#gid=1037672915"",""Eployee Information!BG:BG"")"),"")</f>
        <v/>
      </c>
      <c r="B1" s="365" t="str">
        <f>IFERROR(__xludf.DUMMYFUNCTION("IMPORTRANGE(""https://docs.google.com/spreadsheets/d/1ntB07RoH2wD6-G4-AX4R7Q3xEvtq8VjZWMc4karr0uw/edit?gid=1037672915#gid=1037672915"",""Eployee Information!BF:BF"")"),"")</f>
        <v/>
      </c>
      <c r="C1" s="365"/>
      <c r="D1" s="365" t="str">
        <f>IFERROR(__xludf.DUMMYFUNCTION("IMPORTRANGE(""https://docs.google.com/spreadsheets/d/1ntB07RoH2wD6-G4-AX4R7Q3xEvtq8VjZWMc4karr0uw/edit?gid=1037672915#gid=1037672915"",""Eployee Information!A:H"")"),"Viettel Construction Myanmar Co., Ltd
")</f>
        <v>Viettel Construction Myanmar Co., Ltd
</v>
      </c>
      <c r="E1" s="365"/>
      <c r="F1" s="366"/>
      <c r="G1" s="365"/>
      <c r="H1" s="365"/>
      <c r="I1" s="365"/>
      <c r="J1" s="365"/>
      <c r="K1" s="365"/>
      <c r="L1" s="365"/>
      <c r="M1" s="365"/>
      <c r="N1" s="365"/>
      <c r="O1" s="365"/>
      <c r="P1" s="365"/>
      <c r="Q1" s="365"/>
      <c r="R1" s="365"/>
      <c r="S1" s="365"/>
      <c r="T1" s="365"/>
      <c r="U1" s="365"/>
      <c r="V1" s="365"/>
      <c r="W1" s="365"/>
      <c r="X1" s="365"/>
      <c r="Y1" s="365"/>
      <c r="Z1" s="365"/>
      <c r="AA1" s="365"/>
      <c r="AB1" s="365"/>
      <c r="AC1" s="365"/>
      <c r="AD1" s="365"/>
      <c r="AE1" s="365"/>
      <c r="AF1" s="365"/>
      <c r="AG1" s="365"/>
      <c r="AH1" s="365"/>
      <c r="AI1" s="365"/>
      <c r="AJ1" s="365"/>
      <c r="AK1" s="365"/>
      <c r="AL1" s="365"/>
      <c r="AM1" s="365"/>
      <c r="AN1" s="365"/>
      <c r="AO1" s="365"/>
      <c r="AP1" s="365"/>
      <c r="AQ1" s="365"/>
      <c r="AR1" s="365"/>
      <c r="AS1" s="365"/>
      <c r="AT1" s="365"/>
      <c r="AU1" s="365"/>
      <c r="AV1" s="365"/>
      <c r="AW1" s="365"/>
      <c r="AX1" s="365"/>
      <c r="AY1" s="365"/>
      <c r="AZ1" s="365"/>
      <c r="BA1" s="365"/>
      <c r="BB1" s="365"/>
      <c r="BC1" s="365"/>
      <c r="BD1" s="365"/>
      <c r="BE1" s="365"/>
      <c r="BF1" s="365"/>
      <c r="BG1" s="365"/>
      <c r="BH1" s="365"/>
      <c r="BI1" s="365"/>
      <c r="BJ1" s="365"/>
      <c r="BK1" s="365"/>
      <c r="BL1" s="365"/>
      <c r="BM1" s="365"/>
      <c r="BN1" s="365"/>
      <c r="BO1" s="365"/>
      <c r="BP1" s="365"/>
      <c r="BQ1" s="365"/>
    </row>
    <row r="2">
      <c r="A2" s="98" t="str">
        <f>IFERROR(__xludf.DUMMYFUNCTION("""COMPUTED_VALUE"""),"Telegram ID")</f>
        <v>Telegram ID</v>
      </c>
      <c r="B2" s="98" t="str">
        <f>IFERROR(__xludf.DUMMYFUNCTION("""COMPUTED_VALUE"""),"Check P Mytel: 1")</f>
        <v>Check P Mytel: 1</v>
      </c>
      <c r="D2" s="98" t="str">
        <f>IFERROR(__xludf.DUMMYFUNCTION("""COMPUTED_VALUE"""),"No")</f>
        <v>No</v>
      </c>
      <c r="E2" s="98" t="str">
        <f>IFERROR(__xludf.DUMMYFUNCTION("""COMPUTED_VALUE"""),"VCM-Mlytel")</f>
        <v>VCM-Mlytel</v>
      </c>
      <c r="F2" s="99"/>
      <c r="G2" s="98" t="str">
        <f>IFERROR(__xludf.DUMMYFUNCTION("""COMPUTED_VALUE"""),"VCM Code")</f>
        <v>VCM Code</v>
      </c>
      <c r="H2" s="98" t="str">
        <f>IFERROR(__xludf.DUMMYFUNCTION("""COMPUTED_VALUE"""),"VMY Code GNOC")</f>
        <v>VMY Code GNOC</v>
      </c>
      <c r="I2" s="98" t="str">
        <f>IFERROR(__xludf.DUMMYFUNCTION("""COMPUTED_VALUE"""),"O &amp; M- Construction")</f>
        <v>O &amp; M- Construction</v>
      </c>
      <c r="J2" s="98" t="str">
        <f>IFERROR(__xludf.DUMMYFUNCTION("""COMPUTED_VALUE"""),"Branch")</f>
        <v>Branch</v>
      </c>
      <c r="K2" s="98" t="str">
        <f>IFERROR(__xludf.DUMMYFUNCTION("""COMPUTED_VALUE"""),"Dep")</f>
        <v>Dep</v>
      </c>
    </row>
    <row r="3">
      <c r="A3" s="98"/>
      <c r="B3" s="98"/>
      <c r="D3" s="98"/>
      <c r="E3" s="98"/>
      <c r="F3" s="99"/>
      <c r="G3" s="98"/>
      <c r="H3" s="98"/>
      <c r="I3" s="367"/>
      <c r="J3" s="98"/>
      <c r="K3" s="98"/>
    </row>
    <row r="4">
      <c r="A4" s="98"/>
      <c r="B4" s="98" t="str">
        <f>IFERROR(__xludf.DUMMYFUNCTION("""COMPUTED_VALUE"""),"-")</f>
        <v>-</v>
      </c>
      <c r="D4" s="98">
        <f>IFERROR(__xludf.DUMMYFUNCTION("""COMPUTED_VALUE"""),0.0)</f>
        <v>0</v>
      </c>
      <c r="E4" s="98" t="str">
        <f>IFERROR(__xludf.DUMMYFUNCTION("""COMPUTED_VALUE"""),"VCM")</f>
        <v>VCM</v>
      </c>
      <c r="F4" s="98" t="str">
        <f>IFERROR(__xludf.DUMMYFUNCTION("""COMPUTED_VALUE"""),"Thurein Minn Myo")</f>
        <v>Thurein Minn Myo</v>
      </c>
      <c r="G4" s="98" t="str">
        <f>IFERROR(__xludf.DUMMYFUNCTION("""COMPUTED_VALUE"""),"VCM855859")</f>
        <v>VCM855859</v>
      </c>
      <c r="H4" s="98"/>
      <c r="I4" s="98" t="str">
        <f>IFERROR(__xludf.DUMMYFUNCTION("""COMPUTED_VALUE"""),"O&amp;M")</f>
        <v>O&amp;M</v>
      </c>
      <c r="J4" s="98" t="str">
        <f>IFERROR(__xludf.DUMMYFUNCTION("""COMPUTED_VALUE"""),"TNI")</f>
        <v>TNI</v>
      </c>
      <c r="K4" s="98" t="str">
        <f>IFERROR(__xludf.DUMMYFUNCTION("""COMPUTED_VALUE"""),"Admin Department")</f>
        <v>Admin Department</v>
      </c>
    </row>
    <row r="5">
      <c r="A5" s="98"/>
      <c r="B5" s="98" t="str">
        <f>IFERROR(__xludf.DUMMYFUNCTION("""COMPUTED_VALUE"""),"-")</f>
        <v>-</v>
      </c>
      <c r="D5" s="98">
        <f>IFERROR(__xludf.DUMMYFUNCTION("""COMPUTED_VALUE"""),0.0)</f>
        <v>0</v>
      </c>
      <c r="E5" s="98" t="str">
        <f>IFERROR(__xludf.DUMMYFUNCTION("""COMPUTED_VALUE"""),"VCM")</f>
        <v>VCM</v>
      </c>
      <c r="F5" s="98" t="str">
        <f>IFERROR(__xludf.DUMMYFUNCTION("""COMPUTED_VALUE"""),"Wai Yan Tun")</f>
        <v>Wai Yan Tun</v>
      </c>
      <c r="G5" s="98" t="str">
        <f>IFERROR(__xludf.DUMMYFUNCTION("""COMPUTED_VALUE"""),"VCM860082")</f>
        <v>VCM860082</v>
      </c>
      <c r="H5" s="98"/>
      <c r="I5" s="98" t="str">
        <f>IFERROR(__xludf.DUMMYFUNCTION("""COMPUTED_VALUE"""),"O&amp;M")</f>
        <v>O&amp;M</v>
      </c>
      <c r="J5" s="98" t="str">
        <f>IFERROR(__xludf.DUMMYFUNCTION("""COMPUTED_VALUE"""),"TNI")</f>
        <v>TNI</v>
      </c>
      <c r="K5" s="98" t="str">
        <f>IFERROR(__xludf.DUMMYFUNCTION("""COMPUTED_VALUE"""),"Business Department")</f>
        <v>Business Department</v>
      </c>
    </row>
    <row r="6">
      <c r="A6" s="98">
        <f>IFERROR(__xludf.DUMMYFUNCTION("""COMPUTED_VALUE"""),1.728528589E9)</f>
        <v>1728528589</v>
      </c>
      <c r="B6" s="98" t="str">
        <f>IFERROR(__xludf.DUMMYFUNCTION("""COMPUTED_VALUE"""),"09661815768")</f>
        <v>09661815768</v>
      </c>
      <c r="D6" s="98">
        <f>IFERROR(__xludf.DUMMYFUNCTION("""COMPUTED_VALUE"""),0.0)</f>
        <v>0</v>
      </c>
      <c r="E6" s="98" t="str">
        <f>IFERROR(__xludf.DUMMYFUNCTION("""COMPUTED_VALUE"""),"VCM")</f>
        <v>VCM</v>
      </c>
      <c r="F6" s="98" t="str">
        <f>IFERROR(__xludf.DUMMYFUNCTION("""COMPUTED_VALUE"""),"Shing Wutt Hmone Oo")</f>
        <v>Shing Wutt Hmone Oo</v>
      </c>
      <c r="G6" s="98" t="str">
        <f>IFERROR(__xludf.DUMMYFUNCTION("""COMPUTED_VALUE"""),"VCM825419")</f>
        <v>VCM825419</v>
      </c>
      <c r="H6" s="98"/>
      <c r="I6" s="98" t="str">
        <f>IFERROR(__xludf.DUMMYFUNCTION("""COMPUTED_VALUE"""),"O&amp;M")</f>
        <v>O&amp;M</v>
      </c>
      <c r="J6" s="98" t="str">
        <f>IFERROR(__xludf.DUMMYFUNCTION("""COMPUTED_VALUE"""),"TNI")</f>
        <v>TNI</v>
      </c>
      <c r="K6" s="368" t="str">
        <f>IFERROR(__xludf.DUMMYFUNCTION("""COMPUTED_VALUE"""),"Technical Department")</f>
        <v>Technical Department</v>
      </c>
    </row>
    <row r="7">
      <c r="A7" s="98">
        <f>IFERROR(__xludf.DUMMYFUNCTION("""COMPUTED_VALUE"""),1.956489617E9)</f>
        <v>1956489617</v>
      </c>
      <c r="B7" s="98" t="str">
        <f>IFERROR(__xludf.DUMMYFUNCTION("""COMPUTED_VALUE"""),"09693355233")</f>
        <v>09693355233</v>
      </c>
      <c r="D7" s="98">
        <f>IFERROR(__xludf.DUMMYFUNCTION("""COMPUTED_VALUE"""),0.0)</f>
        <v>0</v>
      </c>
      <c r="E7" s="98" t="str">
        <f>IFERROR(__xludf.DUMMYFUNCTION("""COMPUTED_VALUE"""),"VCM")</f>
        <v>VCM</v>
      </c>
      <c r="F7" s="98" t="str">
        <f>IFERROR(__xludf.DUMMYFUNCTION("""COMPUTED_VALUE"""),"Hlaing Pyae Phyo")</f>
        <v>Hlaing Pyae Phyo</v>
      </c>
      <c r="G7" s="98" t="str">
        <f>IFERROR(__xludf.DUMMYFUNCTION("""COMPUTED_VALUE"""),"VCM812621")</f>
        <v>VCM812621</v>
      </c>
      <c r="H7" s="98"/>
      <c r="I7" s="98" t="str">
        <f>IFERROR(__xludf.DUMMYFUNCTION("""COMPUTED_VALUE"""),"O&amp;M")</f>
        <v>O&amp;M</v>
      </c>
      <c r="J7" s="98" t="str">
        <f>IFERROR(__xludf.DUMMYFUNCTION("""COMPUTED_VALUE"""),"TNI")</f>
        <v>TNI</v>
      </c>
      <c r="K7" s="368" t="str">
        <f>IFERROR(__xludf.DUMMYFUNCTION("""COMPUTED_VALUE"""),"Admin Department")</f>
        <v>Admin Department</v>
      </c>
    </row>
    <row r="8">
      <c r="A8" s="98">
        <f>IFERROR(__xludf.DUMMYFUNCTION("""COMPUTED_VALUE"""),7.822653479E9)</f>
        <v>7822653479</v>
      </c>
      <c r="B8" s="98" t="str">
        <f>IFERROR(__xludf.DUMMYFUNCTION("""COMPUTED_VALUE"""),"09661512987")</f>
        <v>09661512987</v>
      </c>
      <c r="D8" s="98">
        <f>IFERROR(__xludf.DUMMYFUNCTION("""COMPUTED_VALUE"""),0.0)</f>
        <v>0</v>
      </c>
      <c r="E8" s="98" t="str">
        <f>IFERROR(__xludf.DUMMYFUNCTION("""COMPUTED_VALUE"""),"VCM")</f>
        <v>VCM</v>
      </c>
      <c r="F8" s="98" t="str">
        <f>IFERROR(__xludf.DUMMYFUNCTION("""COMPUTED_VALUE"""),"Poe Hmyin Thoun")</f>
        <v>Poe Hmyin Thoun</v>
      </c>
      <c r="G8" s="98" t="str">
        <f>IFERROR(__xludf.DUMMYFUNCTION("""COMPUTED_VALUE"""),"VCM852311")</f>
        <v>VCM852311</v>
      </c>
      <c r="H8" s="98"/>
      <c r="I8" s="98" t="str">
        <f>IFERROR(__xludf.DUMMYFUNCTION("""COMPUTED_VALUE"""),"Infrastructure")</f>
        <v>Infrastructure</v>
      </c>
      <c r="J8" s="98" t="str">
        <f>IFERROR(__xludf.DUMMYFUNCTION("""COMPUTED_VALUE"""),"TNI")</f>
        <v>TNI</v>
      </c>
      <c r="K8" s="368" t="str">
        <f>IFERROR(__xludf.DUMMYFUNCTION("""COMPUTED_VALUE"""),"Infrastructure Department")</f>
        <v>Infrastructure Department</v>
      </c>
    </row>
    <row r="9">
      <c r="A9" s="98">
        <f>IFERROR(__xludf.DUMMYFUNCTION("""COMPUTED_VALUE"""),7.237034356E9)</f>
        <v>7237034356</v>
      </c>
      <c r="B9" s="98" t="str">
        <f>IFERROR(__xludf.DUMMYFUNCTION("""COMPUTED_VALUE"""),"09698456060")</f>
        <v>09698456060</v>
      </c>
      <c r="D9" s="98">
        <f>IFERROR(__xludf.DUMMYFUNCTION("""COMPUTED_VALUE"""),0.0)</f>
        <v>0</v>
      </c>
      <c r="E9" s="98" t="str">
        <f>IFERROR(__xludf.DUMMYFUNCTION("""COMPUTED_VALUE"""),"VCM")</f>
        <v>VCM</v>
      </c>
      <c r="F9" s="98" t="str">
        <f>IFERROR(__xludf.DUMMYFUNCTION("""COMPUTED_VALUE"""),"Hein Nanda")</f>
        <v>Hein Nanda</v>
      </c>
      <c r="G9" s="98" t="str">
        <f>IFERROR(__xludf.DUMMYFUNCTION("""COMPUTED_VALUE"""),"VCM427677")</f>
        <v>VCM427677</v>
      </c>
      <c r="H9" s="98"/>
      <c r="I9" s="98" t="str">
        <f>IFERROR(__xludf.DUMMYFUNCTION("""COMPUTED_VALUE"""),"O&amp;M")</f>
        <v>O&amp;M</v>
      </c>
      <c r="J9" s="98" t="str">
        <f>IFERROR(__xludf.DUMMYFUNCTION("""COMPUTED_VALUE"""),"TNI")</f>
        <v>TNI</v>
      </c>
      <c r="K9" s="98" t="str">
        <f>IFERROR(__xludf.DUMMYFUNCTION("""COMPUTED_VALUE"""),"Technical Department")</f>
        <v>Technical Department</v>
      </c>
    </row>
    <row r="10">
      <c r="A10" s="98">
        <f>IFERROR(__xludf.DUMMYFUNCTION("""COMPUTED_VALUE"""),8.261210151E9)</f>
        <v>8261210151</v>
      </c>
      <c r="B10" s="98" t="str">
        <f>IFERROR(__xludf.DUMMYFUNCTION("""COMPUTED_VALUE"""),"09677462225")</f>
        <v>09677462225</v>
      </c>
      <c r="D10" s="98">
        <f>IFERROR(__xludf.DUMMYFUNCTION("""COMPUTED_VALUE"""),0.0)</f>
        <v>0</v>
      </c>
      <c r="E10" s="98" t="str">
        <f>IFERROR(__xludf.DUMMYFUNCTION("""COMPUTED_VALUE"""),"VCM")</f>
        <v>VCM</v>
      </c>
      <c r="F10" s="98" t="str">
        <f>IFERROR(__xludf.DUMMYFUNCTION("""COMPUTED_VALUE"""),"Naw Oh Nyaw")</f>
        <v>Naw Oh Nyaw</v>
      </c>
      <c r="G10" s="98" t="str">
        <f>IFERROR(__xludf.DUMMYFUNCTION("""COMPUTED_VALUE"""),"VCM808990")</f>
        <v>VCM808990</v>
      </c>
      <c r="H10" s="98"/>
      <c r="I10" s="98" t="str">
        <f>IFERROR(__xludf.DUMMYFUNCTION("""COMPUTED_VALUE"""),"O&amp;M")</f>
        <v>O&amp;M</v>
      </c>
      <c r="J10" s="98" t="str">
        <f>IFERROR(__xludf.DUMMYFUNCTION("""COMPUTED_VALUE"""),"TNI")</f>
        <v>TNI</v>
      </c>
      <c r="K10" s="98" t="str">
        <f>IFERROR(__xludf.DUMMYFUNCTION("""COMPUTED_VALUE"""),"Technical Department")</f>
        <v>Technical Department</v>
      </c>
    </row>
    <row r="11">
      <c r="A11" s="98">
        <f>IFERROR(__xludf.DUMMYFUNCTION("""COMPUTED_VALUE"""),6.135125663E9)</f>
        <v>6135125663</v>
      </c>
      <c r="B11" s="98" t="str">
        <f>IFERROR(__xludf.DUMMYFUNCTION("""COMPUTED_VALUE"""),"09679713600")</f>
        <v>09679713600</v>
      </c>
      <c r="D11" s="98">
        <f>IFERROR(__xludf.DUMMYFUNCTION("""COMPUTED_VALUE"""),0.0)</f>
        <v>0</v>
      </c>
      <c r="E11" s="98" t="str">
        <f>IFERROR(__xludf.DUMMYFUNCTION("""COMPUTED_VALUE"""),"VCM")</f>
        <v>VCM</v>
      </c>
      <c r="F11" s="98" t="str">
        <f>IFERROR(__xludf.DUMMYFUNCTION("""COMPUTED_VALUE"""),"Bone Myat Naing")</f>
        <v>Bone Myat Naing</v>
      </c>
      <c r="G11" s="98" t="str">
        <f>IFERROR(__xludf.DUMMYFUNCTION("""COMPUTED_VALUE"""),"VCM850207")</f>
        <v>VCM850207</v>
      </c>
      <c r="H11" s="98" t="str">
        <f>IFERROR(__xludf.DUMMYFUNCTION("""COMPUTED_VALUE"""),"myt_bonemyat.naing1")</f>
        <v>myt_bonemyat.naing1</v>
      </c>
      <c r="I11" s="98" t="str">
        <f>IFERROR(__xludf.DUMMYFUNCTION("""COMPUTED_VALUE"""),"O&amp;M")</f>
        <v>O&amp;M</v>
      </c>
      <c r="J11" s="98" t="str">
        <f>IFERROR(__xludf.DUMMYFUNCTION("""COMPUTED_VALUE"""),"TNI")</f>
        <v>TNI</v>
      </c>
      <c r="K11" s="368" t="str">
        <f>IFERROR(__xludf.DUMMYFUNCTION("""COMPUTED_VALUE"""),"Technical Team")</f>
        <v>Technical Team</v>
      </c>
    </row>
    <row r="12">
      <c r="A12" s="98">
        <f>IFERROR(__xludf.DUMMYFUNCTION("""COMPUTED_VALUE"""),8.540261626E9)</f>
        <v>8540261626</v>
      </c>
      <c r="B12" s="98" t="str">
        <f>IFERROR(__xludf.DUMMYFUNCTION("""COMPUTED_VALUE"""),"09667877277")</f>
        <v>09667877277</v>
      </c>
      <c r="D12" s="98">
        <f>IFERROR(__xludf.DUMMYFUNCTION("""COMPUTED_VALUE"""),0.0)</f>
        <v>0</v>
      </c>
      <c r="E12" s="98" t="str">
        <f>IFERROR(__xludf.DUMMYFUNCTION("""COMPUTED_VALUE"""),"VCM")</f>
        <v>VCM</v>
      </c>
      <c r="F12" s="98" t="str">
        <f>IFERROR(__xludf.DUMMYFUNCTION("""COMPUTED_VALUE"""),"Bhone Htet Aung")</f>
        <v>Bhone Htet Aung</v>
      </c>
      <c r="G12" s="98" t="str">
        <f>IFERROR(__xludf.DUMMYFUNCTION("""COMPUTED_VALUE"""),"VCM855517")</f>
        <v>VCM855517</v>
      </c>
      <c r="H12" s="98" t="str">
        <f>IFERROR(__xludf.DUMMYFUNCTION("""COMPUTED_VALUE"""),"myt_bhonehtet.aung")</f>
        <v>myt_bhonehtet.aung</v>
      </c>
      <c r="I12" s="98" t="str">
        <f>IFERROR(__xludf.DUMMYFUNCTION("""COMPUTED_VALUE"""),"O&amp;M")</f>
        <v>O&amp;M</v>
      </c>
      <c r="J12" s="98" t="str">
        <f>IFERROR(__xludf.DUMMYFUNCTION("""COMPUTED_VALUE"""),"TNI")</f>
        <v>TNI</v>
      </c>
      <c r="K12" s="368" t="str">
        <f>IFERROR(__xludf.DUMMYFUNCTION("""COMPUTED_VALUE"""),"Technical Team")</f>
        <v>Technical Team</v>
      </c>
    </row>
    <row r="13">
      <c r="A13" s="98">
        <f>IFERROR(__xludf.DUMMYFUNCTION("""COMPUTED_VALUE"""),5.779222454E9)</f>
        <v>5779222454</v>
      </c>
      <c r="B13" s="98" t="str">
        <f>IFERROR(__xludf.DUMMYFUNCTION("""COMPUTED_VALUE"""),"09667416762")</f>
        <v>09667416762</v>
      </c>
      <c r="D13" s="98">
        <f>IFERROR(__xludf.DUMMYFUNCTION("""COMPUTED_VALUE"""),0.0)</f>
        <v>0</v>
      </c>
      <c r="E13" s="98" t="str">
        <f>IFERROR(__xludf.DUMMYFUNCTION("""COMPUTED_VALUE"""),"VCM")</f>
        <v>VCM</v>
      </c>
      <c r="F13" s="98" t="str">
        <f>IFERROR(__xludf.DUMMYFUNCTION("""COMPUTED_VALUE"""),"Aung Lwin Phyo")</f>
        <v>Aung Lwin Phyo</v>
      </c>
      <c r="G13" s="98" t="str">
        <f>IFERROR(__xludf.DUMMYFUNCTION("""COMPUTED_VALUE"""),"VCM856060")</f>
        <v>VCM856060</v>
      </c>
      <c r="H13" s="98" t="str">
        <f>IFERROR(__xludf.DUMMYFUNCTION("""COMPUTED_VALUE"""),"myt_aunglwin.phyo")</f>
        <v>myt_aunglwin.phyo</v>
      </c>
      <c r="I13" s="98" t="str">
        <f>IFERROR(__xludf.DUMMYFUNCTION("""COMPUTED_VALUE"""),"O&amp;M")</f>
        <v>O&amp;M</v>
      </c>
      <c r="J13" s="98" t="str">
        <f>IFERROR(__xludf.DUMMYFUNCTION("""COMPUTED_VALUE"""),"TNI")</f>
        <v>TNI</v>
      </c>
      <c r="K13" s="98" t="str">
        <f>IFERROR(__xludf.DUMMYFUNCTION("""COMPUTED_VALUE"""),"Technical Team")</f>
        <v>Technical Team</v>
      </c>
    </row>
    <row r="14">
      <c r="A14" s="98"/>
      <c r="B14" s="98" t="str">
        <f>IFERROR(__xludf.DUMMYFUNCTION("""COMPUTED_VALUE"""),"-")</f>
        <v>-</v>
      </c>
      <c r="D14" s="98">
        <f>IFERROR(__xludf.DUMMYFUNCTION("""COMPUTED_VALUE"""),0.0)</f>
        <v>0</v>
      </c>
      <c r="E14" s="98" t="str">
        <f>IFERROR(__xludf.DUMMYFUNCTION("""COMPUTED_VALUE"""),"VCM")</f>
        <v>VCM</v>
      </c>
      <c r="F14" s="98" t="str">
        <f>IFERROR(__xludf.DUMMYFUNCTION("""COMPUTED_VALUE"""),"Phyo Ko Ko")</f>
        <v>Phyo Ko Ko</v>
      </c>
      <c r="G14" s="98" t="str">
        <f>IFERROR(__xludf.DUMMYFUNCTION("""COMPUTED_VALUE"""),"VCM859325")</f>
        <v>VCM859325</v>
      </c>
      <c r="H14" s="98"/>
      <c r="I14" s="98" t="str">
        <f>IFERROR(__xludf.DUMMYFUNCTION("""COMPUTED_VALUE"""),"O&amp;M")</f>
        <v>O&amp;M</v>
      </c>
      <c r="J14" s="98" t="str">
        <f>IFERROR(__xludf.DUMMYFUNCTION("""COMPUTED_VALUE"""),"TNI")</f>
        <v>TNI</v>
      </c>
      <c r="K14" s="98" t="str">
        <f>IFERROR(__xludf.DUMMYFUNCTION("""COMPUTED_VALUE"""),"Technical Team")</f>
        <v>Technical Team</v>
      </c>
    </row>
    <row r="15">
      <c r="A15" s="98">
        <f>IFERROR(__xludf.DUMMYFUNCTION("""COMPUTED_VALUE"""),6.132505154E9)</f>
        <v>6132505154</v>
      </c>
      <c r="B15" s="98" t="str">
        <f>IFERROR(__xludf.DUMMYFUNCTION("""COMPUTED_VALUE"""),"09683231133")</f>
        <v>09683231133</v>
      </c>
      <c r="D15" s="98">
        <f>IFERROR(__xludf.DUMMYFUNCTION("""COMPUTED_VALUE"""),0.0)</f>
        <v>0</v>
      </c>
      <c r="E15" s="98" t="str">
        <f>IFERROR(__xludf.DUMMYFUNCTION("""COMPUTED_VALUE"""),"VCM")</f>
        <v>VCM</v>
      </c>
      <c r="F15" s="98" t="str">
        <f>IFERROR(__xludf.DUMMYFUNCTION("""COMPUTED_VALUE"""),"Thar Htoo Aung")</f>
        <v>Thar Htoo Aung</v>
      </c>
      <c r="G15" s="98" t="str">
        <f>IFERROR(__xludf.DUMMYFUNCTION("""COMPUTED_VALUE"""),"VCM818107")</f>
        <v>VCM818107</v>
      </c>
      <c r="H15" s="98" t="str">
        <f>IFERROR(__xludf.DUMMYFUNCTION("""COMPUTED_VALUE"""),"myt_tharhtoo.aung11")</f>
        <v>myt_tharhtoo.aung11</v>
      </c>
      <c r="I15" s="98" t="str">
        <f>IFERROR(__xludf.DUMMYFUNCTION("""COMPUTED_VALUE"""),"O&amp;M")</f>
        <v>O&amp;M</v>
      </c>
      <c r="J15" s="98" t="str">
        <f>IFERROR(__xludf.DUMMYFUNCTION("""COMPUTED_VALUE"""),"TNI")</f>
        <v>TNI</v>
      </c>
      <c r="K15" s="98" t="str">
        <f>IFERROR(__xludf.DUMMYFUNCTION("""COMPUTED_VALUE"""),"Technical Team")</f>
        <v>Technical Team</v>
      </c>
    </row>
    <row r="16">
      <c r="A16" s="98"/>
      <c r="B16" s="98" t="str">
        <f>IFERROR(__xludf.DUMMYFUNCTION("""COMPUTED_VALUE"""),"-")</f>
        <v>-</v>
      </c>
      <c r="D16" s="98">
        <f>IFERROR(__xludf.DUMMYFUNCTION("""COMPUTED_VALUE"""),0.0)</f>
        <v>0</v>
      </c>
      <c r="E16" s="98" t="str">
        <f>IFERROR(__xludf.DUMMYFUNCTION("""COMPUTED_VALUE"""),"VCM")</f>
        <v>VCM</v>
      </c>
      <c r="F16" s="98" t="str">
        <f>IFERROR(__xludf.DUMMYFUNCTION("""COMPUTED_VALUE"""),"Myo Thant Htoo")</f>
        <v>Myo Thant Htoo</v>
      </c>
      <c r="G16" s="98" t="str">
        <f>IFERROR(__xludf.DUMMYFUNCTION("""COMPUTED_VALUE"""),"VCM859702")</f>
        <v>VCM859702</v>
      </c>
      <c r="H16" s="98"/>
      <c r="I16" s="98" t="str">
        <f>IFERROR(__xludf.DUMMYFUNCTION("""COMPUTED_VALUE"""),"O&amp;M")</f>
        <v>O&amp;M</v>
      </c>
      <c r="J16" s="98" t="str">
        <f>IFERROR(__xludf.DUMMYFUNCTION("""COMPUTED_VALUE"""),"TNI")</f>
        <v>TNI</v>
      </c>
      <c r="K16" s="98" t="str">
        <f>IFERROR(__xludf.DUMMYFUNCTION("""COMPUTED_VALUE"""),"Technical Team")</f>
        <v>Technical Team</v>
      </c>
    </row>
    <row r="17">
      <c r="A17" s="98"/>
      <c r="B17" s="98" t="str">
        <f>IFERROR(__xludf.DUMMYFUNCTION("""COMPUTED_VALUE"""),"-")</f>
        <v>-</v>
      </c>
      <c r="D17" s="98">
        <f>IFERROR(__xludf.DUMMYFUNCTION("""COMPUTED_VALUE"""),0.0)</f>
        <v>0</v>
      </c>
      <c r="E17" s="98" t="str">
        <f>IFERROR(__xludf.DUMMYFUNCTION("""COMPUTED_VALUE"""),"VCM")</f>
        <v>VCM</v>
      </c>
      <c r="F17" s="98" t="str">
        <f>IFERROR(__xludf.DUMMYFUNCTION("""COMPUTED_VALUE"""),"Thura Aung")</f>
        <v>Thura Aung</v>
      </c>
      <c r="G17" s="98" t="str">
        <f>IFERROR(__xludf.DUMMYFUNCTION("""COMPUTED_VALUE"""),"VCM825509")</f>
        <v>VCM825509</v>
      </c>
      <c r="H17" s="98"/>
      <c r="I17" s="98" t="str">
        <f>IFERROR(__xludf.DUMMYFUNCTION("""COMPUTED_VALUE"""),"O&amp;M")</f>
        <v>O&amp;M</v>
      </c>
      <c r="J17" s="98" t="str">
        <f>IFERROR(__xludf.DUMMYFUNCTION("""COMPUTED_VALUE"""),"TNI")</f>
        <v>TNI</v>
      </c>
      <c r="K17" s="368" t="str">
        <f>IFERROR(__xludf.DUMMYFUNCTION("""COMPUTED_VALUE"""),"Technical Team")</f>
        <v>Technical Team</v>
      </c>
    </row>
    <row r="18">
      <c r="A18" s="98"/>
      <c r="B18" s="98" t="str">
        <f>IFERROR(__xludf.DUMMYFUNCTION("""COMPUTED_VALUE"""),"09679473734")</f>
        <v>09679473734</v>
      </c>
      <c r="D18" s="98">
        <f>IFERROR(__xludf.DUMMYFUNCTION("""COMPUTED_VALUE"""),0.0)</f>
        <v>0</v>
      </c>
      <c r="E18" s="98" t="str">
        <f>IFERROR(__xludf.DUMMYFUNCTION("""COMPUTED_VALUE"""),"VCM")</f>
        <v>VCM</v>
      </c>
      <c r="F18" s="98" t="str">
        <f>IFERROR(__xludf.DUMMYFUNCTION("""COMPUTED_VALUE"""),"Aung Thin Myat")</f>
        <v>Aung Thin Myat</v>
      </c>
      <c r="G18" s="98" t="str">
        <f>IFERROR(__xludf.DUMMYFUNCTION("""COMPUTED_VALUE"""),"VCM825430")</f>
        <v>VCM825430</v>
      </c>
      <c r="H18" s="98" t="str">
        <f>IFERROR(__xludf.DUMMYFUNCTION("""COMPUTED_VALUE"""),"myt_aungthin.mya")</f>
        <v>myt_aungthin.mya</v>
      </c>
      <c r="I18" s="98" t="str">
        <f>IFERROR(__xludf.DUMMYFUNCTION("""COMPUTED_VALUE"""),"O&amp;M")</f>
        <v>O&amp;M</v>
      </c>
      <c r="J18" s="98" t="str">
        <f>IFERROR(__xludf.DUMMYFUNCTION("""COMPUTED_VALUE"""),"TNI")</f>
        <v>TNI</v>
      </c>
      <c r="K18" s="368" t="str">
        <f>IFERROR(__xludf.DUMMYFUNCTION("""COMPUTED_VALUE"""),"Technical Team")</f>
        <v>Technical Team</v>
      </c>
    </row>
    <row r="19">
      <c r="A19" s="98">
        <f>IFERROR(__xludf.DUMMYFUNCTION("""COMPUTED_VALUE"""),8.296243972E9)</f>
        <v>8296243972</v>
      </c>
      <c r="B19" s="98" t="str">
        <f>IFERROR(__xludf.DUMMYFUNCTION("""COMPUTED_VALUE"""),"09699011167")</f>
        <v>09699011167</v>
      </c>
      <c r="D19" s="98">
        <f>IFERROR(__xludf.DUMMYFUNCTION("""COMPUTED_VALUE"""),0.0)</f>
        <v>0</v>
      </c>
      <c r="E19" s="98" t="str">
        <f>IFERROR(__xludf.DUMMYFUNCTION("""COMPUTED_VALUE"""),"VCM")</f>
        <v>VCM</v>
      </c>
      <c r="F19" s="98" t="str">
        <f>IFERROR(__xludf.DUMMYFUNCTION("""COMPUTED_VALUE"""),"Win Htet Aung")</f>
        <v>Win Htet Aung</v>
      </c>
      <c r="G19" s="98" t="str">
        <f>IFERROR(__xludf.DUMMYFUNCTION("""COMPUTED_VALUE"""),"VCM860513")</f>
        <v>VCM860513</v>
      </c>
      <c r="H19" s="98" t="str">
        <f>IFERROR(__xludf.DUMMYFUNCTION("""COMPUTED_VALUE"""),"myt_myothant.htoo")</f>
        <v>myt_myothant.htoo</v>
      </c>
      <c r="I19" s="98" t="str">
        <f>IFERROR(__xludf.DUMMYFUNCTION("""COMPUTED_VALUE"""),"O&amp;M")</f>
        <v>O&amp;M</v>
      </c>
      <c r="J19" s="98" t="str">
        <f>IFERROR(__xludf.DUMMYFUNCTION("""COMPUTED_VALUE"""),"TNI")</f>
        <v>TNI</v>
      </c>
      <c r="K19" s="98" t="str">
        <f>IFERROR(__xludf.DUMMYFUNCTION("""COMPUTED_VALUE"""),"Technical Team")</f>
        <v>Technical Team</v>
      </c>
    </row>
    <row r="20">
      <c r="A20" s="98">
        <f>IFERROR(__xludf.DUMMYFUNCTION("""COMPUTED_VALUE"""),6.555381983E9)</f>
        <v>6555381983</v>
      </c>
      <c r="B20" s="98" t="str">
        <f>IFERROR(__xludf.DUMMYFUNCTION("""COMPUTED_VALUE"""),"09672809127")</f>
        <v>09672809127</v>
      </c>
      <c r="D20" s="98">
        <f>IFERROR(__xludf.DUMMYFUNCTION("""COMPUTED_VALUE"""),0.0)</f>
        <v>0</v>
      </c>
      <c r="E20" s="98" t="str">
        <f>IFERROR(__xludf.DUMMYFUNCTION("""COMPUTED_VALUE"""),"VCM")</f>
        <v>VCM</v>
      </c>
      <c r="F20" s="98" t="str">
        <f>IFERROR(__xludf.DUMMYFUNCTION("""COMPUTED_VALUE"""),"Maung Maung")</f>
        <v>Maung Maung</v>
      </c>
      <c r="G20" s="98" t="str">
        <f>IFERROR(__xludf.DUMMYFUNCTION("""COMPUTED_VALUE"""),"VCM289631")</f>
        <v>VCM289631</v>
      </c>
      <c r="H20" s="98" t="str">
        <f>IFERROR(__xludf.DUMMYFUNCTION("""COMPUTED_VALUE"""),"myt_maung.maung11")</f>
        <v>myt_maung.maung11</v>
      </c>
      <c r="I20" s="98" t="str">
        <f>IFERROR(__xludf.DUMMYFUNCTION("""COMPUTED_VALUE"""),"O&amp;M")</f>
        <v>O&amp;M</v>
      </c>
      <c r="J20" s="98" t="str">
        <f>IFERROR(__xludf.DUMMYFUNCTION("""COMPUTED_VALUE"""),"TNI")</f>
        <v>TNI</v>
      </c>
      <c r="K20" s="98" t="str">
        <f>IFERROR(__xludf.DUMMYFUNCTION("""COMPUTED_VALUE"""),"Technical Team")</f>
        <v>Technical Team</v>
      </c>
    </row>
    <row r="21">
      <c r="A21" s="98">
        <f>IFERROR(__xludf.DUMMYFUNCTION("""COMPUTED_VALUE"""),6.234932607E9)</f>
        <v>6234932607</v>
      </c>
      <c r="B21" s="98" t="str">
        <f>IFERROR(__xludf.DUMMYFUNCTION("""COMPUTED_VALUE"""),"09692016722")</f>
        <v>09692016722</v>
      </c>
      <c r="D21" s="98">
        <f>IFERROR(__xludf.DUMMYFUNCTION("""COMPUTED_VALUE"""),0.0)</f>
        <v>0</v>
      </c>
      <c r="E21" s="98" t="str">
        <f>IFERROR(__xludf.DUMMYFUNCTION("""COMPUTED_VALUE"""),"VCM")</f>
        <v>VCM</v>
      </c>
      <c r="F21" s="98" t="str">
        <f>IFERROR(__xludf.DUMMYFUNCTION("""COMPUTED_VALUE"""),"Pyi Kyaw Aung")</f>
        <v>Pyi Kyaw Aung</v>
      </c>
      <c r="G21" s="98" t="str">
        <f>IFERROR(__xludf.DUMMYFUNCTION("""COMPUTED_VALUE"""),"VCM818105")</f>
        <v>VCM818105</v>
      </c>
      <c r="H21" s="98" t="str">
        <f>IFERROR(__xludf.DUMMYFUNCTION("""COMPUTED_VALUE"""),"myt_pyikyaw.aung")</f>
        <v>myt_pyikyaw.aung</v>
      </c>
      <c r="I21" s="98" t="str">
        <f>IFERROR(__xludf.DUMMYFUNCTION("""COMPUTED_VALUE"""),"O&amp;M")</f>
        <v>O&amp;M</v>
      </c>
      <c r="J21" s="98" t="str">
        <f>IFERROR(__xludf.DUMMYFUNCTION("""COMPUTED_VALUE"""),"TNI")</f>
        <v>TNI</v>
      </c>
      <c r="K21" s="98" t="str">
        <f>IFERROR(__xludf.DUMMYFUNCTION("""COMPUTED_VALUE"""),"Technical Team")</f>
        <v>Technical Team</v>
      </c>
    </row>
    <row r="22">
      <c r="A22" s="98">
        <f>IFERROR(__xludf.DUMMYFUNCTION("""COMPUTED_VALUE"""),2.01081058E9)</f>
        <v>2010810580</v>
      </c>
      <c r="B22" s="98" t="str">
        <f>IFERROR(__xludf.DUMMYFUNCTION("""COMPUTED_VALUE"""),"09687906307")</f>
        <v>09687906307</v>
      </c>
      <c r="D22" s="98">
        <f>IFERROR(__xludf.DUMMYFUNCTION("""COMPUTED_VALUE"""),0.0)</f>
        <v>0</v>
      </c>
      <c r="E22" s="98" t="str">
        <f>IFERROR(__xludf.DUMMYFUNCTION("""COMPUTED_VALUE"""),"VCM")</f>
        <v>VCM</v>
      </c>
      <c r="F22" s="98" t="str">
        <f>IFERROR(__xludf.DUMMYFUNCTION("""COMPUTED_VALUE"""),"Wanna Oo")</f>
        <v>Wanna Oo</v>
      </c>
      <c r="G22" s="98" t="str">
        <f>IFERROR(__xludf.DUMMYFUNCTION("""COMPUTED_VALUE"""),"VCM846818")</f>
        <v>VCM846818</v>
      </c>
      <c r="H22" s="98" t="str">
        <f>IFERROR(__xludf.DUMMYFUNCTION("""COMPUTED_VALUE"""),"myt_wanna.oo2")</f>
        <v>myt_wanna.oo2</v>
      </c>
      <c r="I22" s="98" t="str">
        <f>IFERROR(__xludf.DUMMYFUNCTION("""COMPUTED_VALUE"""),"O&amp;M")</f>
        <v>O&amp;M</v>
      </c>
      <c r="J22" s="98" t="str">
        <f>IFERROR(__xludf.DUMMYFUNCTION("""COMPUTED_VALUE"""),"TNI")</f>
        <v>TNI</v>
      </c>
      <c r="K22" s="98" t="str">
        <f>IFERROR(__xludf.DUMMYFUNCTION("""COMPUTED_VALUE"""),"Technical Team")</f>
        <v>Technical Team</v>
      </c>
    </row>
    <row r="23">
      <c r="A23" s="98"/>
      <c r="B23" s="98" t="str">
        <f>IFERROR(__xludf.DUMMYFUNCTION("""COMPUTED_VALUE"""),"-")</f>
        <v>-</v>
      </c>
      <c r="D23" s="98">
        <f>IFERROR(__xludf.DUMMYFUNCTION("""COMPUTED_VALUE"""),0.0)</f>
        <v>0</v>
      </c>
      <c r="E23" s="98" t="str">
        <f>IFERROR(__xludf.DUMMYFUNCTION("""COMPUTED_VALUE"""),"VCM")</f>
        <v>VCM</v>
      </c>
      <c r="F23" s="98" t="str">
        <f>IFERROR(__xludf.DUMMYFUNCTION("""COMPUTED_VALUE"""),"Zaw Myo Paing")</f>
        <v>Zaw Myo Paing</v>
      </c>
      <c r="G23" s="98" t="str">
        <f>IFERROR(__xludf.DUMMYFUNCTION("""COMPUTED_VALUE"""),"VCM848426")</f>
        <v>VCM848426</v>
      </c>
      <c r="H23" s="98"/>
      <c r="I23" s="98" t="str">
        <f>IFERROR(__xludf.DUMMYFUNCTION("""COMPUTED_VALUE"""),"O&amp;M")</f>
        <v>O&amp;M</v>
      </c>
      <c r="J23" s="98" t="str">
        <f>IFERROR(__xludf.DUMMYFUNCTION("""COMPUTED_VALUE"""),"TNI")</f>
        <v>TNI</v>
      </c>
      <c r="K23" s="368" t="str">
        <f>IFERROR(__xludf.DUMMYFUNCTION("""COMPUTED_VALUE"""),"Admin Department")</f>
        <v>Admin Department</v>
      </c>
    </row>
    <row r="24">
      <c r="A24" s="98">
        <f>IFERROR(__xludf.DUMMYFUNCTION("""COMPUTED_VALUE"""),5.60223739E9)</f>
        <v>5602237390</v>
      </c>
      <c r="B24" s="98" t="str">
        <f>IFERROR(__xludf.DUMMYFUNCTION("""COMPUTED_VALUE"""),"09666669338")</f>
        <v>09666669338</v>
      </c>
      <c r="D24" s="98">
        <f>IFERROR(__xludf.DUMMYFUNCTION("""COMPUTED_VALUE"""),0.0)</f>
        <v>0</v>
      </c>
      <c r="E24" s="98" t="str">
        <f>IFERROR(__xludf.DUMMYFUNCTION("""COMPUTED_VALUE"""),"VCM")</f>
        <v>VCM</v>
      </c>
      <c r="F24" s="98" t="str">
        <f>IFERROR(__xludf.DUMMYFUNCTION("""COMPUTED_VALUE"""),"Zin Min Shein")</f>
        <v>Zin Min Shein</v>
      </c>
      <c r="G24" s="98" t="str">
        <f>IFERROR(__xludf.DUMMYFUNCTION("""COMPUTED_VALUE"""),"VCM856046")</f>
        <v>VCM856046</v>
      </c>
      <c r="H24" s="98" t="str">
        <f>IFERROR(__xludf.DUMMYFUNCTION("""COMPUTED_VALUE"""),"myt_zinmin.shein")</f>
        <v>myt_zinmin.shein</v>
      </c>
      <c r="I24" s="98" t="str">
        <f>IFERROR(__xludf.DUMMYFUNCTION("""COMPUTED_VALUE"""),"O&amp;M")</f>
        <v>O&amp;M</v>
      </c>
      <c r="J24" s="98" t="str">
        <f>IFERROR(__xludf.DUMMYFUNCTION("""COMPUTED_VALUE"""),"TNI")</f>
        <v>TNI</v>
      </c>
      <c r="K24" s="368" t="str">
        <f>IFERROR(__xludf.DUMMYFUNCTION("""COMPUTED_VALUE"""),"Technical Team")</f>
        <v>Technical Team</v>
      </c>
    </row>
    <row r="25">
      <c r="A25" s="98"/>
      <c r="B25" s="98" t="str">
        <f>IFERROR(__xludf.DUMMYFUNCTION("""COMPUTED_VALUE"""),"-")</f>
        <v>-</v>
      </c>
      <c r="D25" s="98">
        <f>IFERROR(__xludf.DUMMYFUNCTION("""COMPUTED_VALUE"""),0.0)</f>
        <v>0</v>
      </c>
      <c r="E25" s="98" t="str">
        <f>IFERROR(__xludf.DUMMYFUNCTION("""COMPUTED_VALUE"""),"VCM")</f>
        <v>VCM</v>
      </c>
      <c r="F25" s="98" t="str">
        <f>IFERROR(__xludf.DUMMYFUNCTION("""COMPUTED_VALUE"""),"Nay Thurain Oo")</f>
        <v>Nay Thurain Oo</v>
      </c>
      <c r="G25" s="98" t="str">
        <f>IFERROR(__xludf.DUMMYFUNCTION("""COMPUTED_VALUE"""),"VCM831070")</f>
        <v>VCM831070</v>
      </c>
      <c r="H25" s="98"/>
      <c r="I25" s="98" t="str">
        <f>IFERROR(__xludf.DUMMYFUNCTION("""COMPUTED_VALUE"""),"O&amp;M")</f>
        <v>O&amp;M</v>
      </c>
      <c r="J25" s="98" t="str">
        <f>IFERROR(__xludf.DUMMYFUNCTION("""COMPUTED_VALUE"""),"TNI")</f>
        <v>TNI</v>
      </c>
      <c r="K25" s="98" t="str">
        <f>IFERROR(__xludf.DUMMYFUNCTION("""COMPUTED_VALUE"""),"Technical Team")</f>
        <v>Technical Team</v>
      </c>
    </row>
    <row r="26">
      <c r="A26" s="98">
        <f>IFERROR(__xludf.DUMMYFUNCTION("""COMPUTED_VALUE"""),7.423623114E9)</f>
        <v>7423623114</v>
      </c>
      <c r="B26" s="98" t="str">
        <f>IFERROR(__xludf.DUMMYFUNCTION("""COMPUTED_VALUE"""),"09677553749")</f>
        <v>09677553749</v>
      </c>
      <c r="D26" s="98">
        <f>IFERROR(__xludf.DUMMYFUNCTION("""COMPUTED_VALUE"""),0.0)</f>
        <v>0</v>
      </c>
      <c r="E26" s="98" t="str">
        <f>IFERROR(__xludf.DUMMYFUNCTION("""COMPUTED_VALUE"""),"VCM")</f>
        <v>VCM</v>
      </c>
      <c r="F26" s="98" t="str">
        <f>IFERROR(__xludf.DUMMYFUNCTION("""COMPUTED_VALUE"""),"Ye Lin")</f>
        <v>Ye Lin</v>
      </c>
      <c r="G26" s="98" t="str">
        <f>IFERROR(__xludf.DUMMYFUNCTION("""COMPUTED_VALUE"""),"VCM818129")</f>
        <v>VCM818129</v>
      </c>
      <c r="H26" s="98" t="str">
        <f>IFERROR(__xludf.DUMMYFUNCTION("""COMPUTED_VALUE"""),"myt_ye.lin22")</f>
        <v>myt_ye.lin22</v>
      </c>
      <c r="I26" s="98" t="str">
        <f>IFERROR(__xludf.DUMMYFUNCTION("""COMPUTED_VALUE"""),"O&amp;M")</f>
        <v>O&amp;M</v>
      </c>
      <c r="J26" s="98" t="str">
        <f>IFERROR(__xludf.DUMMYFUNCTION("""COMPUTED_VALUE"""),"TNI")</f>
        <v>TNI</v>
      </c>
      <c r="K26" s="98" t="str">
        <f>IFERROR(__xludf.DUMMYFUNCTION("""COMPUTED_VALUE"""),"Technical Team")</f>
        <v>Technical Team</v>
      </c>
    </row>
    <row r="27">
      <c r="A27" s="98"/>
      <c r="B27" s="98" t="str">
        <f>IFERROR(__xludf.DUMMYFUNCTION("""COMPUTED_VALUE"""),"-")</f>
        <v>-</v>
      </c>
      <c r="D27" s="98">
        <f>IFERROR(__xludf.DUMMYFUNCTION("""COMPUTED_VALUE"""),0.0)</f>
        <v>0</v>
      </c>
      <c r="E27" s="98" t="str">
        <f>IFERROR(__xludf.DUMMYFUNCTION("""COMPUTED_VALUE"""),"VCM")</f>
        <v>VCM</v>
      </c>
      <c r="F27" s="98" t="str">
        <f>IFERROR(__xludf.DUMMYFUNCTION("""COMPUTED_VALUE"""),"Arkar Moemyint")</f>
        <v>Arkar Moemyint</v>
      </c>
      <c r="G27" s="98" t="str">
        <f>IFERROR(__xludf.DUMMYFUNCTION("""COMPUTED_VALUE"""),"VCM853923")</f>
        <v>VCM853923</v>
      </c>
      <c r="H27" s="98"/>
      <c r="I27" s="98" t="str">
        <f>IFERROR(__xludf.DUMMYFUNCTION("""COMPUTED_VALUE"""),"O&amp;M")</f>
        <v>O&amp;M</v>
      </c>
      <c r="J27" s="98" t="str">
        <f>IFERROR(__xludf.DUMMYFUNCTION("""COMPUTED_VALUE"""),"TNI")</f>
        <v>TNI</v>
      </c>
      <c r="K27" s="368" t="str">
        <f>IFERROR(__xludf.DUMMYFUNCTION("""COMPUTED_VALUE"""),"Technical Team")</f>
        <v>Technical Team</v>
      </c>
    </row>
    <row r="28">
      <c r="A28" s="98">
        <f>IFERROR(__xludf.DUMMYFUNCTION("""COMPUTED_VALUE"""),1.957172852E9)</f>
        <v>1957172852</v>
      </c>
      <c r="B28" s="98" t="str">
        <f>IFERROR(__xludf.DUMMYFUNCTION("""COMPUTED_VALUE"""),"09693031909")</f>
        <v>09693031909</v>
      </c>
      <c r="D28" s="98">
        <f>IFERROR(__xludf.DUMMYFUNCTION("""COMPUTED_VALUE"""),0.0)</f>
        <v>0</v>
      </c>
      <c r="E28" s="98" t="str">
        <f>IFERROR(__xludf.DUMMYFUNCTION("""COMPUTED_VALUE"""),"VCM")</f>
        <v>VCM</v>
      </c>
      <c r="F28" s="98" t="str">
        <f>IFERROR(__xludf.DUMMYFUNCTION("""COMPUTED_VALUE"""),"Nay Myo Thu")</f>
        <v>Nay Myo Thu</v>
      </c>
      <c r="G28" s="98" t="str">
        <f>IFERROR(__xludf.DUMMYFUNCTION("""COMPUTED_VALUE"""),"VCM289610")</f>
        <v>VCM289610</v>
      </c>
      <c r="H28" s="98" t="str">
        <f>IFERROR(__xludf.DUMMYFUNCTION("""COMPUTED_VALUE"""),"myt_naymyo.thu")</f>
        <v>myt_naymyo.thu</v>
      </c>
      <c r="I28" s="98" t="str">
        <f>IFERROR(__xludf.DUMMYFUNCTION("""COMPUTED_VALUE"""),"O&amp;M")</f>
        <v>O&amp;M</v>
      </c>
      <c r="J28" s="98" t="str">
        <f>IFERROR(__xludf.DUMMYFUNCTION("""COMPUTED_VALUE"""),"TNI")</f>
        <v>TNI</v>
      </c>
      <c r="K28" s="98" t="str">
        <f>IFERROR(__xludf.DUMMYFUNCTION("""COMPUTED_VALUE"""),"Technical Team")</f>
        <v>Technical Team</v>
      </c>
    </row>
    <row r="29">
      <c r="A29" s="98">
        <f>IFERROR(__xludf.DUMMYFUNCTION("""COMPUTED_VALUE"""),8.363411386E9)</f>
        <v>8363411386</v>
      </c>
      <c r="B29" s="98" t="str">
        <f>IFERROR(__xludf.DUMMYFUNCTION("""COMPUTED_VALUE"""),"09650149222")</f>
        <v>09650149222</v>
      </c>
      <c r="D29" s="98">
        <f>IFERROR(__xludf.DUMMYFUNCTION("""COMPUTED_VALUE"""),0.0)</f>
        <v>0</v>
      </c>
      <c r="E29" s="98" t="str">
        <f>IFERROR(__xludf.DUMMYFUNCTION("""COMPUTED_VALUE"""),"VCM")</f>
        <v>VCM</v>
      </c>
      <c r="F29" s="98" t="str">
        <f>IFERROR(__xludf.DUMMYFUNCTION("""COMPUTED_VALUE"""),"Si Thu Htun")</f>
        <v>Si Thu Htun</v>
      </c>
      <c r="G29" s="98" t="str">
        <f>IFERROR(__xludf.DUMMYFUNCTION("""COMPUTED_VALUE"""),"VCM289635")</f>
        <v>VCM289635</v>
      </c>
      <c r="H29" s="98" t="str">
        <f>IFERROR(__xludf.DUMMYFUNCTION("""COMPUTED_VALUE"""),"myt_sithu.htun")</f>
        <v>myt_sithu.htun</v>
      </c>
      <c r="I29" s="98" t="str">
        <f>IFERROR(__xludf.DUMMYFUNCTION("""COMPUTED_VALUE"""),"O&amp;M")</f>
        <v>O&amp;M</v>
      </c>
      <c r="J29" s="98" t="str">
        <f>IFERROR(__xludf.DUMMYFUNCTION("""COMPUTED_VALUE"""),"TNI")</f>
        <v>TNI</v>
      </c>
      <c r="K29" s="368" t="str">
        <f>IFERROR(__xludf.DUMMYFUNCTION("""COMPUTED_VALUE"""),"Technical Team")</f>
        <v>Technical Team</v>
      </c>
    </row>
    <row r="30">
      <c r="A30" s="98">
        <f>IFERROR(__xludf.DUMMYFUNCTION("""COMPUTED_VALUE"""),8.724936487E9)</f>
        <v>8724936487</v>
      </c>
      <c r="B30" s="98" t="str">
        <f>IFERROR(__xludf.DUMMYFUNCTION("""COMPUTED_VALUE"""),"09698177034")</f>
        <v>09698177034</v>
      </c>
      <c r="D30" s="98">
        <f>IFERROR(__xludf.DUMMYFUNCTION("""COMPUTED_VALUE"""),0.0)</f>
        <v>0</v>
      </c>
      <c r="E30" s="98" t="str">
        <f>IFERROR(__xludf.DUMMYFUNCTION("""COMPUTED_VALUE"""),"VCM")</f>
        <v>VCM</v>
      </c>
      <c r="F30" s="98" t="str">
        <f>IFERROR(__xludf.DUMMYFUNCTION("""COMPUTED_VALUE"""),"Tin Naing Lin")</f>
        <v>Tin Naing Lin</v>
      </c>
      <c r="G30" s="98" t="str">
        <f>IFERROR(__xludf.DUMMYFUNCTION("""COMPUTED_VALUE"""),"VCM852892")</f>
        <v>VCM852892</v>
      </c>
      <c r="H30" s="98" t="str">
        <f>IFERROR(__xludf.DUMMYFUNCTION("""COMPUTED_VALUE"""),"myt_tinnaing.lin11")</f>
        <v>myt_tinnaing.lin11</v>
      </c>
      <c r="I30" s="98" t="str">
        <f>IFERROR(__xludf.DUMMYFUNCTION("""COMPUTED_VALUE"""),"O&amp;M")</f>
        <v>O&amp;M</v>
      </c>
      <c r="J30" s="98" t="str">
        <f>IFERROR(__xludf.DUMMYFUNCTION("""COMPUTED_VALUE"""),"TNI")</f>
        <v>TNI</v>
      </c>
      <c r="K30" s="368" t="str">
        <f>IFERROR(__xludf.DUMMYFUNCTION("""COMPUTED_VALUE"""),"Technical Team")</f>
        <v>Technical Team</v>
      </c>
    </row>
    <row r="31">
      <c r="A31" s="98">
        <f>IFERROR(__xludf.DUMMYFUNCTION("""COMPUTED_VALUE"""),1.83227873E9)</f>
        <v>1832278730</v>
      </c>
      <c r="B31" s="98" t="str">
        <f>IFERROR(__xludf.DUMMYFUNCTION("""COMPUTED_VALUE"""),"09678278066")</f>
        <v>09678278066</v>
      </c>
      <c r="D31" s="98">
        <f>IFERROR(__xludf.DUMMYFUNCTION("""COMPUTED_VALUE"""),0.0)</f>
        <v>0</v>
      </c>
      <c r="E31" s="98" t="str">
        <f>IFERROR(__xludf.DUMMYFUNCTION("""COMPUTED_VALUE"""),"VCM")</f>
        <v>VCM</v>
      </c>
      <c r="F31" s="98" t="str">
        <f>IFERROR(__xludf.DUMMYFUNCTION("""COMPUTED_VALUE"""),"Pyae Phyo Zaw")</f>
        <v>Pyae Phyo Zaw</v>
      </c>
      <c r="G31" s="98" t="str">
        <f>IFERROR(__xludf.DUMMYFUNCTION("""COMPUTED_VALUE"""),"VCM276675")</f>
        <v>VCM276675</v>
      </c>
      <c r="H31" s="98" t="str">
        <f>IFERROR(__xludf.DUMMYFUNCTION("""COMPUTED_VALUE"""),"myt_pyaephyo.zaw")</f>
        <v>myt_pyaephyo.zaw</v>
      </c>
      <c r="I31" s="98" t="str">
        <f>IFERROR(__xludf.DUMMYFUNCTION("""COMPUTED_VALUE"""),"O&amp;M")</f>
        <v>O&amp;M</v>
      </c>
      <c r="J31" s="98" t="str">
        <f>IFERROR(__xludf.DUMMYFUNCTION("""COMPUTED_VALUE"""),"TNI")</f>
        <v>TNI</v>
      </c>
      <c r="K31" s="98" t="str">
        <f>IFERROR(__xludf.DUMMYFUNCTION("""COMPUTED_VALUE"""),"Technical Team")</f>
        <v>Technical Team</v>
      </c>
    </row>
    <row r="32">
      <c r="A32" s="98" t="str">
        <f>IFERROR(__xludf.DUMMYFUNCTION("""COMPUTED_VALUE"""),"have")</f>
        <v>have</v>
      </c>
      <c r="B32" s="98" t="str">
        <f>IFERROR(__xludf.DUMMYFUNCTION("""COMPUTED_VALUE"""),"-")</f>
        <v>-</v>
      </c>
      <c r="D32" s="98">
        <f>IFERROR(__xludf.DUMMYFUNCTION("""COMPUTED_VALUE"""),0.0)</f>
        <v>0</v>
      </c>
      <c r="E32" s="98" t="str">
        <f>IFERROR(__xludf.DUMMYFUNCTION("""COMPUTED_VALUE"""),"VCM")</f>
        <v>VCM</v>
      </c>
      <c r="F32" s="98" t="str">
        <f>IFERROR(__xludf.DUMMYFUNCTION("""COMPUTED_VALUE"""),"Arkar Phyo")</f>
        <v>Arkar Phyo</v>
      </c>
      <c r="G32" s="98" t="str">
        <f>IFERROR(__xludf.DUMMYFUNCTION("""COMPUTED_VALUE"""),"VCM289638")</f>
        <v>VCM289638</v>
      </c>
      <c r="H32" s="98"/>
      <c r="I32" s="98" t="str">
        <f>IFERROR(__xludf.DUMMYFUNCTION("""COMPUTED_VALUE"""),"O&amp;M")</f>
        <v>O&amp;M</v>
      </c>
      <c r="J32" s="98" t="str">
        <f>IFERROR(__xludf.DUMMYFUNCTION("""COMPUTED_VALUE"""),"TNI")</f>
        <v>TNI</v>
      </c>
      <c r="K32" s="98" t="str">
        <f>IFERROR(__xludf.DUMMYFUNCTION("""COMPUTED_VALUE"""),"Technical Team")</f>
        <v>Technical Team</v>
      </c>
    </row>
    <row r="33">
      <c r="A33" s="98">
        <f>IFERROR(__xludf.DUMMYFUNCTION("""COMPUTED_VALUE"""),6.681796896E9)</f>
        <v>6681796896</v>
      </c>
      <c r="B33" s="98" t="str">
        <f>IFERROR(__xludf.DUMMYFUNCTION("""COMPUTED_VALUE"""),"09691325891")</f>
        <v>09691325891</v>
      </c>
      <c r="D33" s="98">
        <f>IFERROR(__xludf.DUMMYFUNCTION("""COMPUTED_VALUE"""),0.0)</f>
        <v>0</v>
      </c>
      <c r="E33" s="98" t="str">
        <f>IFERROR(__xludf.DUMMYFUNCTION("""COMPUTED_VALUE"""),"VCM")</f>
        <v>VCM</v>
      </c>
      <c r="F33" s="98" t="str">
        <f>IFERROR(__xludf.DUMMYFUNCTION("""COMPUTED_VALUE"""),"Myint Ko Ko Aung")</f>
        <v>Myint Ko Ko Aung</v>
      </c>
      <c r="G33" s="98" t="str">
        <f>IFERROR(__xludf.DUMMYFUNCTION("""COMPUTED_VALUE"""),"VCM816540")</f>
        <v>VCM816540</v>
      </c>
      <c r="H33" s="98" t="str">
        <f>IFERROR(__xludf.DUMMYFUNCTION("""COMPUTED_VALUE"""),"myt_myintkoko.aung")</f>
        <v>myt_myintkoko.aung</v>
      </c>
      <c r="I33" s="98" t="str">
        <f>IFERROR(__xludf.DUMMYFUNCTION("""COMPUTED_VALUE"""),"O&amp;M")</f>
        <v>O&amp;M</v>
      </c>
      <c r="J33" s="98" t="str">
        <f>IFERROR(__xludf.DUMMYFUNCTION("""COMPUTED_VALUE"""),"TNI")</f>
        <v>TNI</v>
      </c>
      <c r="K33" s="368" t="str">
        <f>IFERROR(__xludf.DUMMYFUNCTION("""COMPUTED_VALUE"""),"Technical Team")</f>
        <v>Technical Team</v>
      </c>
    </row>
    <row r="34">
      <c r="A34" s="98">
        <f>IFERROR(__xludf.DUMMYFUNCTION("""COMPUTED_VALUE"""),7.772056124E9)</f>
        <v>7772056124</v>
      </c>
      <c r="B34" s="98" t="str">
        <f>IFERROR(__xludf.DUMMYFUNCTION("""COMPUTED_VALUE"""),"09692245565")</f>
        <v>09692245565</v>
      </c>
      <c r="D34" s="98">
        <f>IFERROR(__xludf.DUMMYFUNCTION("""COMPUTED_VALUE"""),0.0)</f>
        <v>0</v>
      </c>
      <c r="E34" s="98" t="str">
        <f>IFERROR(__xludf.DUMMYFUNCTION("""COMPUTED_VALUE"""),"VCM")</f>
        <v>VCM</v>
      </c>
      <c r="F34" s="98" t="str">
        <f>IFERROR(__xludf.DUMMYFUNCTION("""COMPUTED_VALUE"""),"Tin Maung Win")</f>
        <v>Tin Maung Win</v>
      </c>
      <c r="G34" s="98" t="str">
        <f>IFERROR(__xludf.DUMMYFUNCTION("""COMPUTED_VALUE"""),"VCM818134")</f>
        <v>VCM818134</v>
      </c>
      <c r="H34" s="98" t="str">
        <f>IFERROR(__xludf.DUMMYFUNCTION("""COMPUTED_VALUE"""),"myt_tinmaung.win")</f>
        <v>myt_tinmaung.win</v>
      </c>
      <c r="I34" s="98" t="str">
        <f>IFERROR(__xludf.DUMMYFUNCTION("""COMPUTED_VALUE"""),"O&amp;M")</f>
        <v>O&amp;M</v>
      </c>
      <c r="J34" s="98" t="str">
        <f>IFERROR(__xludf.DUMMYFUNCTION("""COMPUTED_VALUE"""),"TNI")</f>
        <v>TNI</v>
      </c>
      <c r="K34" s="98" t="str">
        <f>IFERROR(__xludf.DUMMYFUNCTION("""COMPUTED_VALUE"""),"Technical Team")</f>
        <v>Technical Team</v>
      </c>
    </row>
    <row r="35">
      <c r="A35" s="98"/>
      <c r="B35" s="98" t="str">
        <f>IFERROR(__xludf.DUMMYFUNCTION("""COMPUTED_VALUE"""),"-")</f>
        <v>-</v>
      </c>
      <c r="D35" s="98">
        <f>IFERROR(__xludf.DUMMYFUNCTION("""COMPUTED_VALUE"""),0.0)</f>
        <v>0</v>
      </c>
      <c r="E35" s="98" t="str">
        <f>IFERROR(__xludf.DUMMYFUNCTION("""COMPUTED_VALUE"""),"VCM")</f>
        <v>VCM</v>
      </c>
      <c r="F35" s="98" t="str">
        <f>IFERROR(__xludf.DUMMYFUNCTION("""COMPUTED_VALUE"""),"Kyaw Nyein Thu")</f>
        <v>Kyaw Nyein Thu</v>
      </c>
      <c r="G35" s="98" t="str">
        <f>IFERROR(__xludf.DUMMYFUNCTION("""COMPUTED_VALUE"""),"VCM859332")</f>
        <v>VCM859332</v>
      </c>
      <c r="H35" s="98"/>
      <c r="I35" s="98" t="str">
        <f>IFERROR(__xludf.DUMMYFUNCTION("""COMPUTED_VALUE"""),"O&amp;M")</f>
        <v>O&amp;M</v>
      </c>
      <c r="J35" s="98" t="str">
        <f>IFERROR(__xludf.DUMMYFUNCTION("""COMPUTED_VALUE"""),"TNI")</f>
        <v>TNI</v>
      </c>
      <c r="K35" s="98" t="str">
        <f>IFERROR(__xludf.DUMMYFUNCTION("""COMPUTED_VALUE"""),"Technical Team")</f>
        <v>Technical Team</v>
      </c>
    </row>
    <row r="36">
      <c r="A36" s="98">
        <f>IFERROR(__xludf.DUMMYFUNCTION("""COMPUTED_VALUE"""),6.361576236E9)</f>
        <v>6361576236</v>
      </c>
      <c r="B36" s="98" t="str">
        <f>IFERROR(__xludf.DUMMYFUNCTION("""COMPUTED_VALUE"""),"09677337705")</f>
        <v>09677337705</v>
      </c>
      <c r="D36" s="98">
        <f>IFERROR(__xludf.DUMMYFUNCTION("""COMPUTED_VALUE"""),0.0)</f>
        <v>0</v>
      </c>
      <c r="E36" s="98" t="str">
        <f>IFERROR(__xludf.DUMMYFUNCTION("""COMPUTED_VALUE"""),"VCM")</f>
        <v>VCM</v>
      </c>
      <c r="F36" s="98" t="str">
        <f>IFERROR(__xludf.DUMMYFUNCTION("""COMPUTED_VALUE"""),"Khant Chaw Nyo")</f>
        <v>Khant Chaw Nyo</v>
      </c>
      <c r="G36" s="98" t="str">
        <f>IFERROR(__xludf.DUMMYFUNCTION("""COMPUTED_VALUE"""),"VCM859716")</f>
        <v>VCM859716</v>
      </c>
      <c r="H36" s="98" t="str">
        <f>IFERROR(__xludf.DUMMYFUNCTION("""COMPUTED_VALUE"""),"myt_khantchaw.nyo")</f>
        <v>myt_khantchaw.nyo</v>
      </c>
      <c r="I36" s="98" t="str">
        <f>IFERROR(__xludf.DUMMYFUNCTION("""COMPUTED_VALUE"""),"O&amp;M")</f>
        <v>O&amp;M</v>
      </c>
      <c r="J36" s="98" t="str">
        <f>IFERROR(__xludf.DUMMYFUNCTION("""COMPUTED_VALUE"""),"TNI")</f>
        <v>TNI</v>
      </c>
      <c r="K36" s="98" t="str">
        <f>IFERROR(__xludf.DUMMYFUNCTION("""COMPUTED_VALUE"""),"Technical Team")</f>
        <v>Technical Team</v>
      </c>
    </row>
    <row r="37">
      <c r="A37" s="98">
        <f>IFERROR(__xludf.DUMMYFUNCTION("""COMPUTED_VALUE"""),6.558915011E9)</f>
        <v>6558915011</v>
      </c>
      <c r="B37" s="98" t="str">
        <f>IFERROR(__xludf.DUMMYFUNCTION("""COMPUTED_VALUE"""),"09691051525")</f>
        <v>09691051525</v>
      </c>
      <c r="D37" s="98">
        <f>IFERROR(__xludf.DUMMYFUNCTION("""COMPUTED_VALUE"""),0.0)</f>
        <v>0</v>
      </c>
      <c r="E37" s="98" t="str">
        <f>IFERROR(__xludf.DUMMYFUNCTION("""COMPUTED_VALUE"""),"VCM")</f>
        <v>VCM</v>
      </c>
      <c r="F37" s="98" t="str">
        <f>IFERROR(__xludf.DUMMYFUNCTION("""COMPUTED_VALUE"""),"Naing Myo Htun")</f>
        <v>Naing Myo Htun</v>
      </c>
      <c r="G37" s="98" t="str">
        <f>IFERROR(__xludf.DUMMYFUNCTION("""COMPUTED_VALUE"""),"VCM277678")</f>
        <v>VCM277678</v>
      </c>
      <c r="H37" s="98" t="str">
        <f>IFERROR(__xludf.DUMMYFUNCTION("""COMPUTED_VALUE"""),"myt_naingmyo.htun")</f>
        <v>myt_naingmyo.htun</v>
      </c>
      <c r="I37" s="98" t="str">
        <f>IFERROR(__xludf.DUMMYFUNCTION("""COMPUTED_VALUE"""),"O&amp;M")</f>
        <v>O&amp;M</v>
      </c>
      <c r="J37" s="98" t="str">
        <f>IFERROR(__xludf.DUMMYFUNCTION("""COMPUTED_VALUE"""),"TNI")</f>
        <v>TNI</v>
      </c>
      <c r="K37" s="98" t="str">
        <f>IFERROR(__xludf.DUMMYFUNCTION("""COMPUTED_VALUE"""),"Technical Team")</f>
        <v>Technical Team</v>
      </c>
    </row>
    <row r="38">
      <c r="A38" s="98"/>
      <c r="B38" s="98" t="str">
        <f>IFERROR(__xludf.DUMMYFUNCTION("""COMPUTED_VALUE"""),"09695495763")</f>
        <v>09695495763</v>
      </c>
      <c r="D38" s="98">
        <f>IFERROR(__xludf.DUMMYFUNCTION("""COMPUTED_VALUE"""),0.0)</f>
        <v>0</v>
      </c>
      <c r="E38" s="98" t="str">
        <f>IFERROR(__xludf.DUMMYFUNCTION("""COMPUTED_VALUE"""),"VCM")</f>
        <v>VCM</v>
      </c>
      <c r="F38" s="98" t="str">
        <f>IFERROR(__xludf.DUMMYFUNCTION("""COMPUTED_VALUE"""),"Aung Myint Myat")</f>
        <v>Aung Myint Myat</v>
      </c>
      <c r="G38" s="98" t="str">
        <f>IFERROR(__xludf.DUMMYFUNCTION("""COMPUTED_VALUE"""),"VCM862920")</f>
        <v>VCM862920</v>
      </c>
      <c r="H38" s="98" t="str">
        <f>IFERROR(__xludf.DUMMYFUNCTION("""COMPUTED_VALUE"""),"myt_aungkyaw.latt")</f>
        <v>myt_aungkyaw.latt</v>
      </c>
      <c r="I38" s="98" t="str">
        <f>IFERROR(__xludf.DUMMYFUNCTION("""COMPUTED_VALUE"""),"O&amp;M")</f>
        <v>O&amp;M</v>
      </c>
      <c r="J38" s="98" t="str">
        <f>IFERROR(__xludf.DUMMYFUNCTION("""COMPUTED_VALUE"""),"TNI")</f>
        <v>TNI</v>
      </c>
      <c r="K38" s="98" t="str">
        <f>IFERROR(__xludf.DUMMYFUNCTION("""COMPUTED_VALUE"""),"Technical Team")</f>
        <v>Technical Team</v>
      </c>
    </row>
    <row r="39">
      <c r="A39" s="98">
        <f>IFERROR(__xludf.DUMMYFUNCTION("""COMPUTED_VALUE"""),6.663540096E9)</f>
        <v>6663540096</v>
      </c>
      <c r="B39" s="98" t="str">
        <f>IFERROR(__xludf.DUMMYFUNCTION("""COMPUTED_VALUE"""),"09687922272")</f>
        <v>09687922272</v>
      </c>
      <c r="D39" s="98">
        <f>IFERROR(__xludf.DUMMYFUNCTION("""COMPUTED_VALUE"""),1.0)</f>
        <v>1</v>
      </c>
      <c r="E39" s="98" t="str">
        <f>IFERROR(__xludf.DUMMYFUNCTION("""COMPUTED_VALUE"""),"VCM")</f>
        <v>VCM</v>
      </c>
      <c r="F39" s="98" t="str">
        <f>IFERROR(__xludf.DUMMYFUNCTION("""COMPUTED_VALUE"""),"Min Paing Oo")</f>
        <v>Min Paing Oo</v>
      </c>
      <c r="G39" s="98" t="str">
        <f>IFERROR(__xludf.DUMMYFUNCTION("""COMPUTED_VALUE"""),"VCM290207")</f>
        <v>VCM290207</v>
      </c>
      <c r="H39" s="98" t="str">
        <f>IFERROR(__xludf.DUMMYFUNCTION("""COMPUTED_VALUE"""),"myt_minpaing.oo")</f>
        <v>myt_minpaing.oo</v>
      </c>
      <c r="I39" s="98" t="str">
        <f>IFERROR(__xludf.DUMMYFUNCTION("""COMPUTED_VALUE"""),"O&amp;M")</f>
        <v>O&amp;M</v>
      </c>
      <c r="J39" s="98" t="str">
        <f>IFERROR(__xludf.DUMMYFUNCTION("""COMPUTED_VALUE"""),"TNI")</f>
        <v>TNI</v>
      </c>
      <c r="K39" s="98" t="str">
        <f>IFERROR(__xludf.DUMMYFUNCTION("""COMPUTED_VALUE"""),"Technical Team")</f>
        <v>Technical Team</v>
      </c>
    </row>
    <row r="40">
      <c r="A40" s="98"/>
      <c r="B40" s="98" t="str">
        <f>IFERROR(__xludf.DUMMYFUNCTION("""COMPUTED_VALUE"""),"-")</f>
        <v>-</v>
      </c>
      <c r="D40" s="98">
        <f>IFERROR(__xludf.DUMMYFUNCTION("""COMPUTED_VALUE"""),1.0)</f>
        <v>1</v>
      </c>
      <c r="E40" s="98" t="str">
        <f>IFERROR(__xludf.DUMMYFUNCTION("""COMPUTED_VALUE"""),"VCM")</f>
        <v>VCM</v>
      </c>
      <c r="F40" s="98" t="str">
        <f>IFERROR(__xludf.DUMMYFUNCTION("""COMPUTED_VALUE"""),"Aye Min Soe")</f>
        <v>Aye Min Soe</v>
      </c>
      <c r="G40" s="98" t="str">
        <f>IFERROR(__xludf.DUMMYFUNCTION("""COMPUTED_VALUE"""),"VCM855518")</f>
        <v>VCM855518</v>
      </c>
      <c r="H40" s="98"/>
      <c r="I40" s="98" t="str">
        <f>IFERROR(__xludf.DUMMYFUNCTION("""COMPUTED_VALUE"""),"O&amp;M")</f>
        <v>O&amp;M</v>
      </c>
      <c r="J40" s="98" t="str">
        <f>IFERROR(__xludf.DUMMYFUNCTION("""COMPUTED_VALUE"""),"TNI")</f>
        <v>TNI</v>
      </c>
      <c r="K40" s="98" t="str">
        <f>IFERROR(__xludf.DUMMYFUNCTION("""COMPUTED_VALUE"""),"Technical Team")</f>
        <v>Technical Team</v>
      </c>
    </row>
    <row r="41">
      <c r="A41" s="98"/>
      <c r="B41" s="98" t="str">
        <f>IFERROR(__xludf.DUMMYFUNCTION("""COMPUTED_VALUE"""),"-")</f>
        <v>-</v>
      </c>
      <c r="D41" s="98">
        <f>IFERROR(__xludf.DUMMYFUNCTION("""COMPUTED_VALUE"""),1.0)</f>
        <v>1</v>
      </c>
      <c r="E41" s="98" t="str">
        <f>IFERROR(__xludf.DUMMYFUNCTION("""COMPUTED_VALUE"""),"VCM")</f>
        <v>VCM</v>
      </c>
      <c r="F41" s="98" t="str">
        <f>IFERROR(__xludf.DUMMYFUNCTION("""COMPUTED_VALUE"""),"
Aung Ko Ko")</f>
        <v>
Aung Ko Ko</v>
      </c>
      <c r="G41" s="98" t="str">
        <f>IFERROR(__xludf.DUMMYFUNCTION("""COMPUTED_VALUE"""),"VCM289230")</f>
        <v>VCM289230</v>
      </c>
      <c r="H41" s="98" t="str">
        <f>IFERROR(__xludf.DUMMYFUNCTION("""COMPUTED_VALUE"""),"VMY002669")</f>
        <v>VMY002669</v>
      </c>
      <c r="I41" s="98" t="str">
        <f>IFERROR(__xludf.DUMMYFUNCTION("""COMPUTED_VALUE"""),"O&amp;M")</f>
        <v>O&amp;M</v>
      </c>
      <c r="J41" s="98" t="str">
        <f>IFERROR(__xludf.DUMMYFUNCTION("""COMPUTED_VALUE"""),"TNI")</f>
        <v>TNI</v>
      </c>
      <c r="K41" s="98" t="str">
        <f>IFERROR(__xludf.DUMMYFUNCTION("""COMPUTED_VALUE"""),"Technical Department")</f>
        <v>Technical Department</v>
      </c>
    </row>
    <row r="42">
      <c r="A42" s="98"/>
      <c r="B42" s="98" t="str">
        <f>IFERROR(__xludf.DUMMYFUNCTION("""COMPUTED_VALUE"""),"-")</f>
        <v>-</v>
      </c>
      <c r="D42" s="98">
        <f>IFERROR(__xludf.DUMMYFUNCTION("""COMPUTED_VALUE"""),1.0)</f>
        <v>1</v>
      </c>
      <c r="E42" s="98" t="str">
        <f>IFERROR(__xludf.DUMMYFUNCTION("""COMPUTED_VALUE"""),"VCM")</f>
        <v>VCM</v>
      </c>
      <c r="F42" s="98" t="str">
        <f>IFERROR(__xludf.DUMMYFUNCTION("""COMPUTED_VALUE"""),"Aung Kyaw Latt")</f>
        <v>Aung Kyaw Latt</v>
      </c>
      <c r="G42" s="98" t="str">
        <f>IFERROR(__xludf.DUMMYFUNCTION("""COMPUTED_VALUE"""),"VCM811568")</f>
        <v>VCM811568</v>
      </c>
      <c r="H42" s="98"/>
      <c r="I42" s="98" t="str">
        <f>IFERROR(__xludf.DUMMYFUNCTION("""COMPUTED_VALUE"""),"O&amp;M")</f>
        <v>O&amp;M</v>
      </c>
      <c r="J42" s="98" t="str">
        <f>IFERROR(__xludf.DUMMYFUNCTION("""COMPUTED_VALUE"""),"TNI")</f>
        <v>TNI</v>
      </c>
      <c r="K42" s="98" t="str">
        <f>IFERROR(__xludf.DUMMYFUNCTION("""COMPUTED_VALUE"""),"Technical Team")</f>
        <v>Technical Team</v>
      </c>
    </row>
    <row r="43">
      <c r="A43" s="98">
        <f>IFERROR(__xludf.DUMMYFUNCTION("""COMPUTED_VALUE"""),5.291733181E9)</f>
        <v>5291733181</v>
      </c>
      <c r="B43" s="98" t="str">
        <f>IFERROR(__xludf.DUMMYFUNCTION("""COMPUTED_VALUE"""),"09666625857")</f>
        <v>09666625857</v>
      </c>
      <c r="D43" s="98">
        <f>IFERROR(__xludf.DUMMYFUNCTION("""COMPUTED_VALUE"""),1.0)</f>
        <v>1</v>
      </c>
      <c r="E43" s="98" t="str">
        <f>IFERROR(__xludf.DUMMYFUNCTION("""COMPUTED_VALUE"""),"VCM")</f>
        <v>VCM</v>
      </c>
      <c r="F43" s="98" t="str">
        <f>IFERROR(__xludf.DUMMYFUNCTION("""COMPUTED_VALUE"""),"Paing Aung Soe")</f>
        <v>Paing Aung Soe</v>
      </c>
      <c r="G43" s="98" t="str">
        <f>IFERROR(__xludf.DUMMYFUNCTION("""COMPUTED_VALUE"""),"VCM278437")</f>
        <v>VCM278437</v>
      </c>
      <c r="H43" s="98"/>
      <c r="I43" s="98" t="str">
        <f>IFERROR(__xludf.DUMMYFUNCTION("""COMPUTED_VALUE"""),"O&amp;M")</f>
        <v>O&amp;M</v>
      </c>
      <c r="J43" s="98" t="str">
        <f>IFERROR(__xludf.DUMMYFUNCTION("""COMPUTED_VALUE"""),"TNI")</f>
        <v>TNI</v>
      </c>
      <c r="K43" s="98" t="str">
        <f>IFERROR(__xludf.DUMMYFUNCTION("""COMPUTED_VALUE"""),"Technical Team")</f>
        <v>Technical Team</v>
      </c>
    </row>
    <row r="44">
      <c r="A44" s="98">
        <f>IFERROR(__xludf.DUMMYFUNCTION("""COMPUTED_VALUE"""),8.019126203E9)</f>
        <v>8019126203</v>
      </c>
      <c r="B44" s="98" t="str">
        <f>IFERROR(__xludf.DUMMYFUNCTION("""COMPUTED_VALUE"""),"-")</f>
        <v>-</v>
      </c>
      <c r="D44" s="98">
        <f>IFERROR(__xludf.DUMMYFUNCTION("""COMPUTED_VALUE"""),1.0)</f>
        <v>1</v>
      </c>
      <c r="E44" s="98" t="str">
        <f>IFERROR(__xludf.DUMMYFUNCTION("""COMPUTED_VALUE"""),"VCM")</f>
        <v>VCM</v>
      </c>
      <c r="F44" s="98" t="str">
        <f>IFERROR(__xludf.DUMMYFUNCTION("""COMPUTED_VALUE"""),"Aye Aye Phyo")</f>
        <v>Aye Aye Phyo</v>
      </c>
      <c r="G44" s="98" t="str">
        <f>IFERROR(__xludf.DUMMYFUNCTION("""COMPUTED_VALUE"""),"VCM865234")</f>
        <v>VCM865234</v>
      </c>
      <c r="H44" s="98"/>
      <c r="I44" s="98" t="str">
        <f>IFERROR(__xludf.DUMMYFUNCTION("""COMPUTED_VALUE"""),"O&amp;M")</f>
        <v>O&amp;M</v>
      </c>
      <c r="J44" s="98" t="str">
        <f>IFERROR(__xludf.DUMMYFUNCTION("""COMPUTED_VALUE"""),"TNI")</f>
        <v>TNI</v>
      </c>
      <c r="K44" s="98" t="str">
        <f>IFERROR(__xludf.DUMMYFUNCTION("""COMPUTED_VALUE"""),"Admin Department")</f>
        <v>Admin Department</v>
      </c>
    </row>
    <row r="45">
      <c r="A45" s="98"/>
      <c r="B45" s="98" t="str">
        <f>IFERROR(__xludf.DUMMYFUNCTION("""COMPUTED_VALUE"""),"-")</f>
        <v>-</v>
      </c>
      <c r="D45" s="98">
        <f>IFERROR(__xludf.DUMMYFUNCTION("""COMPUTED_VALUE"""),1.0)</f>
        <v>1</v>
      </c>
      <c r="E45" s="98" t="str">
        <f>IFERROR(__xludf.DUMMYFUNCTION("""COMPUTED_VALUE"""),"VCM")</f>
        <v>VCM</v>
      </c>
      <c r="F45" s="98" t="str">
        <f>IFERROR(__xludf.DUMMYFUNCTION("""COMPUTED_VALUE"""),"Arkar Hein")</f>
        <v>Arkar Hein</v>
      </c>
      <c r="G45" s="98" t="str">
        <f>IFERROR(__xludf.DUMMYFUNCTION("""COMPUTED_VALUE"""),"VCM865235")</f>
        <v>VCM865235</v>
      </c>
      <c r="H45" s="98"/>
      <c r="I45" s="98" t="str">
        <f>IFERROR(__xludf.DUMMYFUNCTION("""COMPUTED_VALUE"""),"O&amp;M")</f>
        <v>O&amp;M</v>
      </c>
      <c r="J45" s="98" t="str">
        <f>IFERROR(__xludf.DUMMYFUNCTION("""COMPUTED_VALUE"""),"TNI")</f>
        <v>TNI</v>
      </c>
      <c r="K45" s="98" t="str">
        <f>IFERROR(__xludf.DUMMYFUNCTION("""COMPUTED_VALUE"""),"Technical Team")</f>
        <v>Technical Team</v>
      </c>
    </row>
    <row r="46">
      <c r="A46" s="98">
        <f>IFERROR(__xludf.DUMMYFUNCTION("""COMPUTED_VALUE"""),1.672525126E9)</f>
        <v>1672525126</v>
      </c>
      <c r="B46" s="98" t="str">
        <f>IFERROR(__xludf.DUMMYFUNCTION("""COMPUTED_VALUE"""),"09698806742")</f>
        <v>09698806742</v>
      </c>
      <c r="D46" s="98">
        <f>IFERROR(__xludf.DUMMYFUNCTION("""COMPUTED_VALUE"""),1.0)</f>
        <v>1</v>
      </c>
      <c r="E46" s="98" t="str">
        <f>IFERROR(__xludf.DUMMYFUNCTION("""COMPUTED_VALUE"""),"VCM")</f>
        <v>VCM</v>
      </c>
      <c r="F46" s="98" t="str">
        <f>IFERROR(__xludf.DUMMYFUNCTION("""COMPUTED_VALUE"""),"Thu Rain Niang")</f>
        <v>Thu Rain Niang</v>
      </c>
      <c r="G46" s="98" t="str">
        <f>IFERROR(__xludf.DUMMYFUNCTION("""COMPUTED_VALUE"""),"VCM01")</f>
        <v>VCM01</v>
      </c>
      <c r="H46" s="98" t="str">
        <f>IFERROR(__xludf.DUMMYFUNCTION("""COMPUTED_VALUE"""),"Thu Rain Niang")</f>
        <v>Thu Rain Niang</v>
      </c>
      <c r="I46" s="98" t="str">
        <f>IFERROR(__xludf.DUMMYFUNCTION("""COMPUTED_VALUE"""),"O&amp;M")</f>
        <v>O&amp;M</v>
      </c>
      <c r="J46" s="98" t="str">
        <f>IFERROR(__xludf.DUMMYFUNCTION("""COMPUTED_VALUE"""),"TNI")</f>
        <v>TNI</v>
      </c>
      <c r="K46" s="98" t="str">
        <f>IFERROR(__xludf.DUMMYFUNCTION("""COMPUTED_VALUE"""),"Technical Team")</f>
        <v>Technical Team</v>
      </c>
    </row>
    <row r="47">
      <c r="A47" s="98">
        <f>IFERROR(__xludf.DUMMYFUNCTION("""COMPUTED_VALUE"""),8.653753857E9)</f>
        <v>8653753857</v>
      </c>
      <c r="B47" s="98" t="str">
        <f>IFERROR(__xludf.DUMMYFUNCTION("""COMPUTED_VALUE"""),"09651315321")</f>
        <v>09651315321</v>
      </c>
      <c r="D47" s="98">
        <f>IFERROR(__xludf.DUMMYFUNCTION("""COMPUTED_VALUE"""),1.0)</f>
        <v>1</v>
      </c>
      <c r="E47" s="98" t="str">
        <f>IFERROR(__xludf.DUMMYFUNCTION("""COMPUTED_VALUE"""),"VCM")</f>
        <v>VCM</v>
      </c>
      <c r="F47" s="98" t="str">
        <f>IFERROR(__xludf.DUMMYFUNCTION("""COMPUTED_VALUE"""),"Phyo Ko Ko")</f>
        <v>Phyo Ko Ko</v>
      </c>
      <c r="G47" s="98" t="str">
        <f>IFERROR(__xludf.DUMMYFUNCTION("""COMPUTED_VALUE"""),"VCM02")</f>
        <v>VCM02</v>
      </c>
      <c r="H47" s="98" t="str">
        <f>IFERROR(__xludf.DUMMYFUNCTION("""COMPUTED_VALUE"""),"myt_phyoko.ko44")</f>
        <v>myt_phyoko.ko44</v>
      </c>
      <c r="I47" s="98" t="str">
        <f>IFERROR(__xludf.DUMMYFUNCTION("""COMPUTED_VALUE"""),"O&amp;M")</f>
        <v>O&amp;M</v>
      </c>
      <c r="J47" s="98" t="str">
        <f>IFERROR(__xludf.DUMMYFUNCTION("""COMPUTED_VALUE"""),"TNI")</f>
        <v>TNI</v>
      </c>
      <c r="K47" s="98" t="str">
        <f>IFERROR(__xludf.DUMMYFUNCTION("""COMPUTED_VALUE"""),"Technical Team")</f>
        <v>Technical Team</v>
      </c>
    </row>
    <row r="48">
      <c r="A48" s="98">
        <f>IFERROR(__xludf.DUMMYFUNCTION("""COMPUTED_VALUE"""),7.717490963E9)</f>
        <v>7717490963</v>
      </c>
      <c r="B48" s="98" t="str">
        <f>IFERROR(__xludf.DUMMYFUNCTION("""COMPUTED_VALUE"""),"09677573391")</f>
        <v>09677573391</v>
      </c>
      <c r="D48" s="98">
        <f>IFERROR(__xludf.DUMMYFUNCTION("""COMPUTED_VALUE"""),1.0)</f>
        <v>1</v>
      </c>
      <c r="E48" s="98" t="str">
        <f>IFERROR(__xludf.DUMMYFUNCTION("""COMPUTED_VALUE"""),"VCM")</f>
        <v>VCM</v>
      </c>
      <c r="F48" s="98" t="str">
        <f>IFERROR(__xludf.DUMMYFUNCTION("""COMPUTED_VALUE"""),"Khant Si Thu")</f>
        <v>Khant Si Thu</v>
      </c>
      <c r="G48" s="98" t="str">
        <f>IFERROR(__xludf.DUMMYFUNCTION("""COMPUTED_VALUE"""),"VCM03")</f>
        <v>VCM03</v>
      </c>
      <c r="H48" s="98" t="str">
        <f>IFERROR(__xludf.DUMMYFUNCTION("""COMPUTED_VALUE"""),"Khant Si Thu")</f>
        <v>Khant Si Thu</v>
      </c>
      <c r="I48" s="98" t="str">
        <f>IFERROR(__xludf.DUMMYFUNCTION("""COMPUTED_VALUE"""),"O&amp;M")</f>
        <v>O&amp;M</v>
      </c>
      <c r="J48" s="98" t="str">
        <f>IFERROR(__xludf.DUMMYFUNCTION("""COMPUTED_VALUE"""),"TNI")</f>
        <v>TNI</v>
      </c>
      <c r="K48" s="98" t="str">
        <f>IFERROR(__xludf.DUMMYFUNCTION("""COMPUTED_VALUE"""),"Technical Team")</f>
        <v>Technical Team</v>
      </c>
    </row>
    <row r="49">
      <c r="A49" s="98">
        <f>IFERROR(__xludf.DUMMYFUNCTION("""COMPUTED_VALUE"""),7.892490731E9)</f>
        <v>7892490731</v>
      </c>
      <c r="B49" s="98" t="str">
        <f>IFERROR(__xludf.DUMMYFUNCTION("""COMPUTED_VALUE"""),"09697253756")</f>
        <v>09697253756</v>
      </c>
      <c r="D49" s="98">
        <f>IFERROR(__xludf.DUMMYFUNCTION("""COMPUTED_VALUE"""),33.0)</f>
        <v>33</v>
      </c>
      <c r="E49" s="98" t="str">
        <f>IFERROR(__xludf.DUMMYFUNCTION("""COMPUTED_VALUE"""),"VCM")</f>
        <v>VCM</v>
      </c>
      <c r="F49" s="98" t="str">
        <f>IFERROR(__xludf.DUMMYFUNCTION("""COMPUTED_VALUE"""),"Aung Myo Wai ")</f>
        <v>Aung Myo Wai </v>
      </c>
      <c r="G49" s="98" t="str">
        <f>IFERROR(__xludf.DUMMYFUNCTION("""COMPUTED_VALUE"""),"VCM04")</f>
        <v>VCM04</v>
      </c>
      <c r="H49" s="98" t="str">
        <f>IFERROR(__xludf.DUMMYFUNCTION("""COMPUTED_VALUE"""),"Aung Myo Wai ")</f>
        <v>Aung Myo Wai </v>
      </c>
      <c r="I49" s="98" t="str">
        <f>IFERROR(__xludf.DUMMYFUNCTION("""COMPUTED_VALUE"""),"O&amp;M")</f>
        <v>O&amp;M</v>
      </c>
      <c r="J49" s="98" t="str">
        <f>IFERROR(__xludf.DUMMYFUNCTION("""COMPUTED_VALUE"""),"TNI")</f>
        <v>TNI</v>
      </c>
      <c r="K49" s="98" t="str">
        <f>IFERROR(__xludf.DUMMYFUNCTION("""COMPUTED_VALUE"""),"Technical Team")</f>
        <v>Technical Team</v>
      </c>
    </row>
    <row r="50">
      <c r="A50" s="98">
        <f>IFERROR(__xludf.DUMMYFUNCTION("""COMPUTED_VALUE"""),8.736422145E9)</f>
        <v>8736422145</v>
      </c>
      <c r="B50" s="98" t="str">
        <f>IFERROR(__xludf.DUMMYFUNCTION("""COMPUTED_VALUE"""),"09692346384")</f>
        <v>09692346384</v>
      </c>
      <c r="D50" s="98">
        <f>IFERROR(__xludf.DUMMYFUNCTION("""COMPUTED_VALUE"""),34.0)</f>
        <v>34</v>
      </c>
      <c r="E50" s="98" t="str">
        <f>IFERROR(__xludf.DUMMYFUNCTION("""COMPUTED_VALUE"""),"VCM")</f>
        <v>VCM</v>
      </c>
      <c r="F50" s="98" t="str">
        <f>IFERROR(__xludf.DUMMYFUNCTION("""COMPUTED_VALUE"""),"Thiha Aung")</f>
        <v>Thiha Aung</v>
      </c>
      <c r="G50" s="98" t="str">
        <f>IFERROR(__xludf.DUMMYFUNCTION("""COMPUTED_VALUE"""),"VCM05")</f>
        <v>VCM05</v>
      </c>
      <c r="H50" s="98"/>
      <c r="I50" s="98" t="str">
        <f>IFERROR(__xludf.DUMMYFUNCTION("""COMPUTED_VALUE"""),"O&amp;M")</f>
        <v>O&amp;M</v>
      </c>
      <c r="J50" s="98" t="str">
        <f>IFERROR(__xludf.DUMMYFUNCTION("""COMPUTED_VALUE"""),"TNI")</f>
        <v>TNI</v>
      </c>
      <c r="K50" s="368" t="str">
        <f>IFERROR(__xludf.DUMMYFUNCTION("""COMPUTED_VALUE"""),"Technical Department")</f>
        <v>Technical Department</v>
      </c>
    </row>
    <row r="51">
      <c r="A51" s="98">
        <f>IFERROR(__xludf.DUMMYFUNCTION("""COMPUTED_VALUE"""),8.101548354E9)</f>
        <v>8101548354</v>
      </c>
      <c r="B51" s="98" t="str">
        <f>IFERROR(__xludf.DUMMYFUNCTION("""COMPUTED_VALUE"""),"09663202252")</f>
        <v>09663202252</v>
      </c>
      <c r="D51" s="98">
        <f>IFERROR(__xludf.DUMMYFUNCTION("""COMPUTED_VALUE"""),35.0)</f>
        <v>35</v>
      </c>
      <c r="E51" s="98" t="str">
        <f>IFERROR(__xludf.DUMMYFUNCTION("""COMPUTED_VALUE"""),"VCM")</f>
        <v>VCM</v>
      </c>
      <c r="F51" s="98" t="str">
        <f>IFERROR(__xludf.DUMMYFUNCTION("""COMPUTED_VALUE"""),"Sai Kar Kar Myo")</f>
        <v>Sai Kar Kar Myo</v>
      </c>
      <c r="G51" s="98" t="str">
        <f>IFERROR(__xludf.DUMMYFUNCTION("""COMPUTED_VALUE"""),"VCM06")</f>
        <v>VCM06</v>
      </c>
      <c r="H51" s="98" t="str">
        <f>IFERROR(__xludf.DUMMYFUNCTION("""COMPUTED_VALUE"""),"Sai Kar Kar Myo")</f>
        <v>Sai Kar Kar Myo</v>
      </c>
      <c r="I51" s="98" t="str">
        <f>IFERROR(__xludf.DUMMYFUNCTION("""COMPUTED_VALUE"""),"O&amp;M")</f>
        <v>O&amp;M</v>
      </c>
      <c r="J51" s="98" t="str">
        <f>IFERROR(__xludf.DUMMYFUNCTION("""COMPUTED_VALUE"""),"O&amp;M")</f>
        <v>O&amp;M</v>
      </c>
      <c r="K51" s="98" t="str">
        <f>IFERROR(__xludf.DUMMYFUNCTION("""COMPUTED_VALUE"""),"Technical Team")</f>
        <v>Technical Team</v>
      </c>
    </row>
    <row r="52">
      <c r="A52" s="98"/>
      <c r="B52" s="98" t="str">
        <f>IFERROR(__xludf.DUMMYFUNCTION("""COMPUTED_VALUE"""),"-")</f>
        <v>-</v>
      </c>
      <c r="D52" s="98">
        <f>IFERROR(__xludf.DUMMYFUNCTION("""COMPUTED_VALUE"""),36.0)</f>
        <v>36</v>
      </c>
      <c r="E52" s="98" t="str">
        <f>IFERROR(__xludf.DUMMYFUNCTION("""COMPUTED_VALUE"""),"VCM")</f>
        <v>VCM</v>
      </c>
      <c r="F52" s="98" t="str">
        <f>IFERROR(__xludf.DUMMYFUNCTION("""COMPUTED_VALUE"""),"Wai Paing Oo")</f>
        <v>Wai Paing Oo</v>
      </c>
      <c r="G52" s="98" t="str">
        <f>IFERROR(__xludf.DUMMYFUNCTION("""COMPUTED_VALUE"""),"VCM07")</f>
        <v>VCM07</v>
      </c>
      <c r="H52" s="98"/>
      <c r="I52" s="98" t="str">
        <f>IFERROR(__xludf.DUMMYFUNCTION("""COMPUTED_VALUE"""),"O&amp;M")</f>
        <v>O&amp;M</v>
      </c>
      <c r="J52" s="98" t="str">
        <f>IFERROR(__xludf.DUMMYFUNCTION("""COMPUTED_VALUE"""),"O&amp;M")</f>
        <v>O&amp;M</v>
      </c>
      <c r="K52" s="98" t="str">
        <f>IFERROR(__xludf.DUMMYFUNCTION("""COMPUTED_VALUE"""),"Technical Team")</f>
        <v>Technical Team</v>
      </c>
    </row>
    <row r="53">
      <c r="A53" s="98">
        <f>IFERROR(__xludf.DUMMYFUNCTION("""COMPUTED_VALUE"""),1.760645053E9)</f>
        <v>1760645053</v>
      </c>
      <c r="B53" s="98" t="str">
        <f>IFERROR(__xludf.DUMMYFUNCTION("""COMPUTED_VALUE"""),"-")</f>
        <v>-</v>
      </c>
      <c r="D53" s="98">
        <f>IFERROR(__xludf.DUMMYFUNCTION("""COMPUTED_VALUE"""),37.0)</f>
        <v>37</v>
      </c>
      <c r="E53" s="98" t="str">
        <f>IFERROR(__xludf.DUMMYFUNCTION("""COMPUTED_VALUE"""),"VCM")</f>
        <v>VCM</v>
      </c>
      <c r="F53" s="98" t="str">
        <f>IFERROR(__xludf.DUMMYFUNCTION("""COMPUTED_VALUE"""),"Htet Nay Lin")</f>
        <v>Htet Nay Lin</v>
      </c>
      <c r="G53" s="98" t="str">
        <f>IFERROR(__xludf.DUMMYFUNCTION("""COMPUTED_VALUE"""),"VCM08")</f>
        <v>VCM08</v>
      </c>
      <c r="H53" s="98"/>
      <c r="I53" s="98" t="str">
        <f>IFERROR(__xludf.DUMMYFUNCTION("""COMPUTED_VALUE"""),"O&amp;M")</f>
        <v>O&amp;M</v>
      </c>
      <c r="J53" s="98" t="str">
        <f>IFERROR(__xludf.DUMMYFUNCTION("""COMPUTED_VALUE"""),"O&amp;M")</f>
        <v>O&amp;M</v>
      </c>
      <c r="K53" s="98" t="str">
        <f>IFERROR(__xludf.DUMMYFUNCTION("""COMPUTED_VALUE"""),"Technical Team")</f>
        <v>Technical Team</v>
      </c>
    </row>
    <row r="54">
      <c r="A54" s="98">
        <f>IFERROR(__xludf.DUMMYFUNCTION("""COMPUTED_VALUE"""),7.841929216E9)</f>
        <v>7841929216</v>
      </c>
      <c r="B54" s="98" t="str">
        <f>IFERROR(__xludf.DUMMYFUNCTION("""COMPUTED_VALUE"""),"1 Not Mytel")</f>
        <v>1 Not Mytel</v>
      </c>
      <c r="D54" s="98">
        <f>IFERROR(__xludf.DUMMYFUNCTION("""COMPUTED_VALUE"""),36.0)</f>
        <v>36</v>
      </c>
      <c r="E54" s="98" t="str">
        <f>IFERROR(__xludf.DUMMYFUNCTION("""COMPUTED_VALUE"""),"VCM")</f>
        <v>VCM</v>
      </c>
      <c r="F54" s="98" t="str">
        <f>IFERROR(__xludf.DUMMYFUNCTION("""COMPUTED_VALUE"""),"Aye Min Soe")</f>
        <v>Aye Min Soe</v>
      </c>
      <c r="G54" s="98" t="str">
        <f>IFERROR(__xludf.DUMMYFUNCTION("""COMPUTED_VALUE"""),"VCM09")</f>
        <v>VCM09</v>
      </c>
      <c r="H54" s="98" t="str">
        <f>IFERROR(__xludf.DUMMYFUNCTION("""COMPUTED_VALUE"""),"Aye Min Soe")</f>
        <v>Aye Min Soe</v>
      </c>
      <c r="I54" s="98" t="str">
        <f>IFERROR(__xludf.DUMMYFUNCTION("""COMPUTED_VALUE"""),"O&amp;M")</f>
        <v>O&amp;M</v>
      </c>
      <c r="J54" s="98" t="str">
        <f>IFERROR(__xludf.DUMMYFUNCTION("""COMPUTED_VALUE"""),"TNI")</f>
        <v>TNI</v>
      </c>
      <c r="K54" s="98" t="str">
        <f>IFERROR(__xludf.DUMMYFUNCTION("""COMPUTED_VALUE"""),"Technical Team")</f>
        <v>Technical Team</v>
      </c>
    </row>
    <row r="55">
      <c r="A55" s="98">
        <f>IFERROR(__xludf.DUMMYFUNCTION("""COMPUTED_VALUE"""),5.883329989E9)</f>
        <v>5883329989</v>
      </c>
      <c r="B55" s="98" t="str">
        <f>IFERROR(__xludf.DUMMYFUNCTION("""COMPUTED_VALUE"""),"09676116447")</f>
        <v>09676116447</v>
      </c>
      <c r="D55" s="98">
        <f>IFERROR(__xludf.DUMMYFUNCTION("""COMPUTED_VALUE"""),37.0)</f>
        <v>37</v>
      </c>
      <c r="E55" s="98" t="str">
        <f>IFERROR(__xludf.DUMMYFUNCTION("""COMPUTED_VALUE"""),"VCM")</f>
        <v>VCM</v>
      </c>
      <c r="F55" s="98" t="str">
        <f>IFERROR(__xludf.DUMMYFUNCTION("""COMPUTED_VALUE"""),"Phyo Htet Aung")</f>
        <v>Phyo Htet Aung</v>
      </c>
      <c r="G55" s="98" t="str">
        <f>IFERROR(__xludf.DUMMYFUNCTION("""COMPUTED_VALUE"""),"VCM10")</f>
        <v>VCM10</v>
      </c>
      <c r="H55" s="98"/>
      <c r="I55" s="98" t="str">
        <f>IFERROR(__xludf.DUMMYFUNCTION("""COMPUTED_VALUE"""),"O&amp;M")</f>
        <v>O&amp;M</v>
      </c>
      <c r="J55" s="98" t="str">
        <f>IFERROR(__xludf.DUMMYFUNCTION("""COMPUTED_VALUE"""),"TNI")</f>
        <v>TNI</v>
      </c>
      <c r="K55" s="98" t="str">
        <f>IFERROR(__xludf.DUMMYFUNCTION("""COMPUTED_VALUE"""),"Technical Team")</f>
        <v>Technical Team</v>
      </c>
    </row>
    <row r="56">
      <c r="A56" s="98">
        <f>IFERROR(__xludf.DUMMYFUNCTION("""COMPUTED_VALUE"""),5.97754012E9)</f>
        <v>5977540120</v>
      </c>
      <c r="B56" s="98" t="str">
        <f>IFERROR(__xludf.DUMMYFUNCTION("""COMPUTED_VALUE"""),"09684002111")</f>
        <v>09684002111</v>
      </c>
      <c r="D56" s="98">
        <f>IFERROR(__xludf.DUMMYFUNCTION("""COMPUTED_VALUE"""),38.0)</f>
        <v>38</v>
      </c>
      <c r="E56" s="98" t="str">
        <f>IFERROR(__xludf.DUMMYFUNCTION("""COMPUTED_VALUE"""),"VCM")</f>
        <v>VCM</v>
      </c>
      <c r="F56" s="98" t="str">
        <f>IFERROR(__xludf.DUMMYFUNCTION("""COMPUTED_VALUE"""),"Ye Lwin")</f>
        <v>Ye Lwin</v>
      </c>
      <c r="G56" s="98" t="str">
        <f>IFERROR(__xludf.DUMMYFUNCTION("""COMPUTED_VALUE"""),"VCM11")</f>
        <v>VCM11</v>
      </c>
      <c r="H56" s="98"/>
      <c r="I56" s="98" t="str">
        <f>IFERROR(__xludf.DUMMYFUNCTION("""COMPUTED_VALUE"""),"O&amp;M")</f>
        <v>O&amp;M</v>
      </c>
      <c r="J56" s="98" t="str">
        <f>IFERROR(__xludf.DUMMYFUNCTION("""COMPUTED_VALUE"""),"TNI")</f>
        <v>TNI</v>
      </c>
      <c r="K56" s="368" t="str">
        <f>IFERROR(__xludf.DUMMYFUNCTION("""COMPUTED_VALUE"""),"Technical Department")</f>
        <v>Technical Department</v>
      </c>
    </row>
    <row r="57">
      <c r="A57" s="98"/>
      <c r="B57" s="98" t="str">
        <f>IFERROR(__xludf.DUMMYFUNCTION("""COMPUTED_VALUE"""),"09685641808")</f>
        <v>09685641808</v>
      </c>
      <c r="D57" s="98">
        <f>IFERROR(__xludf.DUMMYFUNCTION("""COMPUTED_VALUE"""),39.0)</f>
        <v>39</v>
      </c>
      <c r="E57" s="98" t="str">
        <f>IFERROR(__xludf.DUMMYFUNCTION("""COMPUTED_VALUE"""),"VCM")</f>
        <v>VCM</v>
      </c>
      <c r="F57" s="98" t="str">
        <f>IFERROR(__xludf.DUMMYFUNCTION("""COMPUTED_VALUE"""),"Si Thu Ye Htun")</f>
        <v>Si Thu Ye Htun</v>
      </c>
      <c r="G57" s="98" t="str">
        <f>IFERROR(__xludf.DUMMYFUNCTION("""COMPUTED_VALUE"""),"VCM12")</f>
        <v>VCM12</v>
      </c>
      <c r="H57" s="98"/>
      <c r="I57" s="98" t="str">
        <f>IFERROR(__xludf.DUMMYFUNCTION("""COMPUTED_VALUE"""),"O&amp;M")</f>
        <v>O&amp;M</v>
      </c>
      <c r="J57" s="98" t="str">
        <f>IFERROR(__xludf.DUMMYFUNCTION("""COMPUTED_VALUE"""),"TNI")</f>
        <v>TNI</v>
      </c>
      <c r="K57" s="98" t="str">
        <f>IFERROR(__xludf.DUMMYFUNCTION("""COMPUTED_VALUE"""),"Technical Team")</f>
        <v>Technical Team</v>
      </c>
    </row>
    <row r="58">
      <c r="A58" s="98"/>
      <c r="B58" s="98"/>
      <c r="D58" s="98"/>
      <c r="E58" s="98"/>
      <c r="F58" s="98"/>
      <c r="G58" s="98"/>
      <c r="H58" s="98"/>
      <c r="I58" s="98"/>
      <c r="J58" s="98"/>
      <c r="K58" s="98"/>
    </row>
    <row r="59">
      <c r="A59" s="98"/>
      <c r="B59" s="98"/>
      <c r="D59" s="98"/>
      <c r="E59" s="98"/>
      <c r="F59" s="98"/>
      <c r="G59" s="98"/>
      <c r="H59" s="98"/>
      <c r="I59" s="98"/>
      <c r="J59" s="98"/>
      <c r="K59" s="98"/>
    </row>
    <row r="60">
      <c r="A60" s="98"/>
      <c r="B60" s="98"/>
      <c r="D60" s="98"/>
      <c r="E60" s="98"/>
      <c r="F60" s="98"/>
      <c r="G60" s="98"/>
      <c r="H60" s="98"/>
      <c r="I60" s="98"/>
      <c r="J60" s="98"/>
      <c r="K60" s="98"/>
    </row>
    <row r="61">
      <c r="A61" s="98"/>
      <c r="B61" s="98"/>
      <c r="D61" s="98"/>
      <c r="E61" s="98"/>
      <c r="F61" s="98"/>
      <c r="G61" s="98"/>
      <c r="H61" s="98"/>
      <c r="I61" s="98"/>
      <c r="J61" s="98"/>
      <c r="K61" s="98"/>
    </row>
    <row r="62">
      <c r="A62" s="98"/>
      <c r="B62" s="98"/>
      <c r="D62" s="98"/>
      <c r="E62" s="98"/>
      <c r="F62" s="98"/>
      <c r="G62" s="98"/>
      <c r="H62" s="98"/>
      <c r="I62" s="98"/>
      <c r="J62" s="98"/>
      <c r="K62" s="98"/>
    </row>
    <row r="63">
      <c r="A63" s="98"/>
      <c r="B63" s="98"/>
      <c r="D63" s="98"/>
      <c r="E63" s="98"/>
      <c r="F63" s="98"/>
      <c r="G63" s="98"/>
      <c r="H63" s="98"/>
      <c r="I63" s="98"/>
      <c r="J63" s="98"/>
      <c r="K63" s="98"/>
    </row>
    <row r="64">
      <c r="A64" s="98"/>
      <c r="B64" s="98"/>
      <c r="D64" s="98"/>
      <c r="E64" s="98"/>
      <c r="F64" s="98"/>
      <c r="G64" s="98"/>
      <c r="H64" s="98"/>
      <c r="I64" s="98"/>
      <c r="J64" s="98"/>
      <c r="K64" s="98"/>
    </row>
    <row r="65">
      <c r="A65" s="98"/>
      <c r="B65" s="98"/>
      <c r="D65" s="98"/>
      <c r="E65" s="98"/>
      <c r="F65" s="98"/>
      <c r="G65" s="98"/>
      <c r="H65" s="98"/>
      <c r="I65" s="98"/>
      <c r="J65" s="98"/>
      <c r="K65" s="98"/>
    </row>
    <row r="66">
      <c r="A66" s="98"/>
      <c r="B66" s="98"/>
      <c r="D66" s="98"/>
      <c r="E66" s="98"/>
      <c r="F66" s="98"/>
      <c r="G66" s="98"/>
      <c r="H66" s="98"/>
      <c r="I66" s="98"/>
      <c r="J66" s="98"/>
      <c r="K66" s="98"/>
    </row>
    <row r="67">
      <c r="A67" s="98"/>
      <c r="B67" s="98"/>
      <c r="D67" s="98"/>
      <c r="E67" s="98"/>
      <c r="F67" s="98"/>
      <c r="G67" s="98"/>
      <c r="H67" s="98"/>
      <c r="I67" s="98"/>
      <c r="J67" s="98"/>
      <c r="K67" s="98"/>
    </row>
    <row r="68">
      <c r="A68" s="98"/>
      <c r="B68" s="98"/>
      <c r="D68" s="98"/>
      <c r="E68" s="98"/>
      <c r="F68" s="98"/>
      <c r="G68" s="98"/>
      <c r="H68" s="98"/>
      <c r="I68" s="98"/>
      <c r="J68" s="98"/>
      <c r="K68" s="98"/>
    </row>
    <row r="69">
      <c r="A69" s="98"/>
      <c r="B69" s="98"/>
      <c r="D69" s="98"/>
      <c r="E69" s="98"/>
      <c r="F69" s="98"/>
      <c r="G69" s="98"/>
      <c r="H69" s="98"/>
      <c r="I69" s="98"/>
      <c r="J69" s="98"/>
      <c r="K69" s="98"/>
    </row>
    <row r="70">
      <c r="A70" s="98"/>
      <c r="B70" s="98"/>
      <c r="D70" s="98"/>
      <c r="E70" s="98"/>
      <c r="F70" s="98"/>
      <c r="G70" s="98"/>
      <c r="H70" s="98"/>
      <c r="I70" s="98"/>
      <c r="J70" s="98"/>
      <c r="K70" s="98"/>
    </row>
    <row r="71">
      <c r="A71" s="98"/>
      <c r="B71" s="98"/>
      <c r="D71" s="98"/>
      <c r="E71" s="98"/>
      <c r="F71" s="98"/>
      <c r="G71" s="98"/>
      <c r="H71" s="98"/>
      <c r="I71" s="98"/>
      <c r="J71" s="98"/>
      <c r="K71" s="98"/>
    </row>
    <row r="72">
      <c r="A72" s="98"/>
      <c r="B72" s="98"/>
      <c r="D72" s="98"/>
      <c r="E72" s="98"/>
      <c r="F72" s="98"/>
      <c r="G72" s="98"/>
      <c r="H72" s="98"/>
      <c r="I72" s="98"/>
      <c r="J72" s="98"/>
      <c r="K72" s="98"/>
    </row>
    <row r="73">
      <c r="A73" s="98"/>
      <c r="B73" s="98"/>
      <c r="D73" s="98"/>
      <c r="E73" s="98"/>
      <c r="F73" s="98"/>
      <c r="G73" s="98"/>
      <c r="H73" s="98"/>
      <c r="I73" s="98"/>
      <c r="J73" s="98"/>
      <c r="K73" s="98"/>
    </row>
    <row r="74">
      <c r="A74" s="98"/>
      <c r="B74" s="98"/>
      <c r="D74" s="98"/>
      <c r="E74" s="98"/>
      <c r="F74" s="98"/>
      <c r="G74" s="98"/>
      <c r="H74" s="98"/>
      <c r="I74" s="98"/>
      <c r="J74" s="98"/>
      <c r="K74" s="98"/>
    </row>
    <row r="75">
      <c r="A75" s="98"/>
      <c r="B75" s="98"/>
      <c r="D75" s="98"/>
      <c r="E75" s="98"/>
      <c r="F75" s="98"/>
      <c r="G75" s="98"/>
      <c r="H75" s="98"/>
      <c r="I75" s="98"/>
      <c r="J75" s="98"/>
      <c r="K75" s="98"/>
    </row>
    <row r="76">
      <c r="A76" s="98"/>
      <c r="B76" s="98"/>
      <c r="D76" s="98"/>
      <c r="E76" s="98"/>
      <c r="F76" s="98"/>
      <c r="G76" s="98"/>
      <c r="H76" s="98"/>
      <c r="I76" s="98"/>
      <c r="J76" s="98"/>
      <c r="K76" s="98"/>
    </row>
    <row r="77">
      <c r="A77" s="98"/>
      <c r="B77" s="98"/>
      <c r="D77" s="98"/>
      <c r="E77" s="98"/>
      <c r="F77" s="98"/>
      <c r="G77" s="98"/>
      <c r="H77" s="98"/>
      <c r="I77" s="98"/>
      <c r="J77" s="98"/>
      <c r="K77" s="98"/>
    </row>
    <row r="78">
      <c r="A78" s="98"/>
      <c r="B78" s="98"/>
      <c r="D78" s="98"/>
      <c r="E78" s="98"/>
      <c r="F78" s="98"/>
      <c r="G78" s="98"/>
      <c r="H78" s="98"/>
      <c r="I78" s="98"/>
      <c r="J78" s="98"/>
      <c r="K78" s="98"/>
    </row>
    <row r="79">
      <c r="A79" s="98"/>
      <c r="B79" s="98"/>
      <c r="D79" s="98"/>
      <c r="E79" s="98"/>
      <c r="F79" s="98"/>
      <c r="G79" s="98"/>
      <c r="H79" s="98"/>
      <c r="I79" s="98"/>
      <c r="J79" s="98"/>
      <c r="K79" s="98"/>
    </row>
    <row r="80">
      <c r="A80" s="98"/>
      <c r="B80" s="98"/>
      <c r="D80" s="98"/>
      <c r="E80" s="98"/>
      <c r="F80" s="98"/>
      <c r="G80" s="98"/>
      <c r="H80" s="98"/>
      <c r="I80" s="98"/>
      <c r="J80" s="98"/>
      <c r="K80" s="98"/>
    </row>
    <row r="81">
      <c r="A81" s="98"/>
      <c r="B81" s="98"/>
      <c r="D81" s="98"/>
      <c r="E81" s="98"/>
      <c r="F81" s="98"/>
      <c r="G81" s="98"/>
      <c r="H81" s="98"/>
      <c r="I81" s="98"/>
      <c r="J81" s="98"/>
      <c r="K81" s="98"/>
    </row>
    <row r="82">
      <c r="A82" s="98"/>
      <c r="B82" s="98"/>
      <c r="D82" s="98"/>
      <c r="E82" s="98"/>
      <c r="F82" s="98"/>
      <c r="G82" s="98"/>
      <c r="H82" s="98"/>
      <c r="I82" s="98"/>
      <c r="J82" s="98"/>
      <c r="K82" s="98"/>
    </row>
    <row r="83">
      <c r="A83" s="98"/>
      <c r="B83" s="98"/>
      <c r="D83" s="98"/>
      <c r="E83" s="98"/>
      <c r="F83" s="98"/>
      <c r="G83" s="98"/>
      <c r="H83" s="98"/>
      <c r="I83" s="98"/>
      <c r="J83" s="98"/>
      <c r="K83" s="98"/>
    </row>
    <row r="84">
      <c r="A84" s="98"/>
      <c r="B84" s="98"/>
      <c r="D84" s="98"/>
      <c r="E84" s="98"/>
      <c r="F84" s="98"/>
      <c r="G84" s="98"/>
      <c r="H84" s="98"/>
      <c r="I84" s="98"/>
      <c r="J84" s="98"/>
      <c r="K84" s="98"/>
    </row>
    <row r="85">
      <c r="A85" s="98"/>
      <c r="B85" s="98"/>
      <c r="D85" s="98"/>
      <c r="E85" s="98"/>
      <c r="F85" s="98"/>
      <c r="G85" s="98"/>
      <c r="H85" s="98"/>
      <c r="I85" s="98"/>
      <c r="J85" s="98"/>
      <c r="K85" s="98"/>
    </row>
    <row r="86">
      <c r="A86" s="98"/>
      <c r="B86" s="98"/>
      <c r="D86" s="98"/>
      <c r="E86" s="98"/>
      <c r="F86" s="98"/>
      <c r="G86" s="98"/>
      <c r="H86" s="98"/>
      <c r="I86" s="98"/>
      <c r="J86" s="98"/>
      <c r="K86" s="98"/>
    </row>
    <row r="87">
      <c r="A87" s="98"/>
      <c r="B87" s="98"/>
      <c r="D87" s="98"/>
      <c r="E87" s="98"/>
      <c r="F87" s="98"/>
      <c r="G87" s="98"/>
      <c r="H87" s="98"/>
      <c r="I87" s="98"/>
      <c r="J87" s="98"/>
      <c r="K87" s="98"/>
    </row>
    <row r="88">
      <c r="A88" s="98"/>
      <c r="B88" s="98"/>
      <c r="D88" s="98"/>
      <c r="E88" s="98"/>
      <c r="F88" s="98"/>
      <c r="G88" s="98"/>
      <c r="H88" s="98"/>
      <c r="I88" s="98"/>
      <c r="J88" s="98"/>
      <c r="K88" s="98"/>
    </row>
    <row r="89">
      <c r="A89" s="98"/>
      <c r="B89" s="98"/>
      <c r="D89" s="98"/>
      <c r="E89" s="98"/>
      <c r="F89" s="98"/>
      <c r="G89" s="98"/>
      <c r="H89" s="98"/>
      <c r="I89" s="98"/>
      <c r="J89" s="98"/>
      <c r="K89" s="98"/>
    </row>
    <row r="90">
      <c r="A90" s="98"/>
      <c r="B90" s="98"/>
      <c r="D90" s="98"/>
      <c r="E90" s="98"/>
      <c r="F90" s="98"/>
      <c r="G90" s="98"/>
      <c r="H90" s="98"/>
      <c r="I90" s="98"/>
      <c r="J90" s="98"/>
      <c r="K90" s="98"/>
    </row>
    <row r="91">
      <c r="A91" s="98"/>
      <c r="B91" s="98"/>
      <c r="D91" s="98"/>
      <c r="E91" s="98"/>
      <c r="F91" s="98"/>
      <c r="G91" s="98"/>
      <c r="H91" s="98"/>
      <c r="I91" s="98"/>
      <c r="J91" s="98"/>
      <c r="K91" s="98"/>
    </row>
    <row r="92">
      <c r="A92" s="98"/>
      <c r="B92" s="98"/>
      <c r="D92" s="98"/>
      <c r="E92" s="98"/>
      <c r="F92" s="98"/>
      <c r="G92" s="98"/>
      <c r="H92" s="98"/>
      <c r="I92" s="98"/>
      <c r="J92" s="98"/>
      <c r="K92" s="98"/>
    </row>
    <row r="93">
      <c r="A93" s="98"/>
      <c r="B93" s="98"/>
      <c r="D93" s="98"/>
      <c r="E93" s="98"/>
      <c r="F93" s="98"/>
      <c r="G93" s="98"/>
      <c r="H93" s="98"/>
      <c r="I93" s="98"/>
      <c r="J93" s="98"/>
      <c r="K93" s="98"/>
    </row>
    <row r="94">
      <c r="A94" s="98"/>
      <c r="B94" s="98"/>
      <c r="D94" s="98"/>
      <c r="E94" s="98"/>
      <c r="F94" s="98"/>
      <c r="G94" s="98"/>
      <c r="H94" s="98"/>
      <c r="I94" s="98"/>
      <c r="J94" s="98"/>
      <c r="K94" s="98"/>
    </row>
    <row r="95">
      <c r="A95" s="98"/>
      <c r="B95" s="98"/>
      <c r="D95" s="98"/>
      <c r="E95" s="98"/>
      <c r="F95" s="98"/>
      <c r="G95" s="98"/>
      <c r="H95" s="98"/>
      <c r="I95" s="98"/>
      <c r="J95" s="98"/>
      <c r="K95" s="98"/>
    </row>
    <row r="96">
      <c r="A96" s="98"/>
      <c r="B96" s="98"/>
      <c r="D96" s="98"/>
      <c r="E96" s="98"/>
      <c r="F96" s="98"/>
      <c r="G96" s="98"/>
      <c r="H96" s="98"/>
      <c r="I96" s="98"/>
      <c r="J96" s="98"/>
      <c r="K96" s="98"/>
    </row>
    <row r="97">
      <c r="A97" s="98"/>
      <c r="B97" s="98"/>
      <c r="D97" s="98"/>
      <c r="E97" s="98"/>
      <c r="F97" s="98"/>
      <c r="G97" s="98"/>
      <c r="H97" s="98"/>
      <c r="I97" s="98"/>
      <c r="J97" s="98"/>
      <c r="K97" s="98"/>
    </row>
    <row r="98">
      <c r="A98" s="98"/>
      <c r="B98" s="98"/>
      <c r="D98" s="98"/>
      <c r="E98" s="98"/>
      <c r="F98" s="98"/>
      <c r="G98" s="98"/>
      <c r="H98" s="98"/>
      <c r="I98" s="98"/>
      <c r="J98" s="98"/>
      <c r="K98" s="98"/>
    </row>
    <row r="99">
      <c r="A99" s="98"/>
      <c r="B99" s="98"/>
      <c r="D99" s="98"/>
      <c r="E99" s="98"/>
      <c r="F99" s="98"/>
      <c r="G99" s="98"/>
      <c r="H99" s="98"/>
      <c r="I99" s="98"/>
      <c r="J99" s="98"/>
      <c r="K99" s="98"/>
    </row>
    <row r="100">
      <c r="A100" s="98"/>
      <c r="B100" s="98"/>
      <c r="D100" s="98"/>
      <c r="E100" s="98"/>
      <c r="F100" s="98"/>
      <c r="G100" s="98"/>
      <c r="H100" s="98"/>
      <c r="I100" s="98"/>
      <c r="J100" s="98"/>
      <c r="K100" s="98"/>
    </row>
    <row r="101">
      <c r="A101" s="98"/>
      <c r="B101" s="98"/>
      <c r="D101" s="98"/>
      <c r="E101" s="98"/>
      <c r="F101" s="98"/>
      <c r="G101" s="98"/>
      <c r="H101" s="98"/>
      <c r="I101" s="98"/>
      <c r="J101" s="98"/>
      <c r="K101" s="98"/>
    </row>
    <row r="102">
      <c r="A102" s="98"/>
      <c r="B102" s="98"/>
      <c r="D102" s="98"/>
      <c r="E102" s="98"/>
      <c r="F102" s="98"/>
      <c r="G102" s="98"/>
      <c r="H102" s="98"/>
      <c r="I102" s="98"/>
      <c r="J102" s="98"/>
      <c r="K102" s="98"/>
    </row>
    <row r="103">
      <c r="A103" s="98"/>
      <c r="B103" s="98"/>
      <c r="D103" s="98"/>
      <c r="E103" s="98"/>
      <c r="F103" s="98"/>
      <c r="G103" s="98"/>
      <c r="H103" s="98"/>
      <c r="I103" s="98"/>
      <c r="J103" s="98"/>
      <c r="K103" s="98"/>
    </row>
    <row r="104">
      <c r="A104" s="98"/>
      <c r="B104" s="98"/>
      <c r="D104" s="98"/>
      <c r="E104" s="98"/>
      <c r="F104" s="98"/>
      <c r="G104" s="98"/>
      <c r="H104" s="98"/>
      <c r="I104" s="98"/>
      <c r="J104" s="98"/>
      <c r="K104" s="98"/>
    </row>
    <row r="105">
      <c r="A105" s="98"/>
      <c r="B105" s="98"/>
      <c r="D105" s="98"/>
      <c r="E105" s="98"/>
      <c r="F105" s="98"/>
      <c r="G105" s="98"/>
      <c r="H105" s="98"/>
      <c r="I105" s="98"/>
      <c r="J105" s="98"/>
      <c r="K105" s="98"/>
    </row>
    <row r="106">
      <c r="A106" s="98"/>
      <c r="B106" s="98"/>
      <c r="D106" s="98"/>
      <c r="E106" s="98"/>
      <c r="F106" s="98"/>
      <c r="G106" s="98"/>
      <c r="H106" s="98"/>
      <c r="I106" s="98"/>
      <c r="J106" s="98"/>
      <c r="K106" s="98"/>
    </row>
    <row r="107">
      <c r="A107" s="98"/>
      <c r="B107" s="98"/>
      <c r="D107" s="98"/>
      <c r="E107" s="98"/>
      <c r="F107" s="98"/>
      <c r="G107" s="98"/>
      <c r="H107" s="98"/>
      <c r="I107" s="98"/>
      <c r="J107" s="98"/>
      <c r="K107" s="98"/>
    </row>
    <row r="108">
      <c r="A108" s="98"/>
      <c r="B108" s="98"/>
      <c r="D108" s="98"/>
      <c r="E108" s="98"/>
      <c r="F108" s="98"/>
      <c r="G108" s="98"/>
      <c r="H108" s="98"/>
      <c r="I108" s="98"/>
      <c r="J108" s="98"/>
      <c r="K108" s="98"/>
    </row>
    <row r="109">
      <c r="A109" s="98"/>
      <c r="B109" s="98"/>
      <c r="D109" s="98"/>
      <c r="E109" s="98"/>
      <c r="F109" s="98"/>
      <c r="G109" s="98"/>
      <c r="H109" s="98"/>
      <c r="I109" s="98"/>
      <c r="J109" s="98"/>
      <c r="K109" s="98"/>
    </row>
    <row r="110">
      <c r="A110" s="98"/>
      <c r="B110" s="98"/>
      <c r="D110" s="98"/>
      <c r="E110" s="98"/>
      <c r="F110" s="98"/>
      <c r="G110" s="98"/>
      <c r="H110" s="98"/>
      <c r="I110" s="98"/>
      <c r="J110" s="98"/>
      <c r="K110" s="98"/>
    </row>
    <row r="111">
      <c r="A111" s="98"/>
      <c r="B111" s="98"/>
      <c r="D111" s="98"/>
      <c r="E111" s="98"/>
      <c r="F111" s="98"/>
      <c r="G111" s="98"/>
      <c r="H111" s="98"/>
      <c r="I111" s="98"/>
      <c r="J111" s="98"/>
      <c r="K111" s="98"/>
    </row>
    <row r="112">
      <c r="A112" s="98"/>
      <c r="B112" s="98"/>
      <c r="D112" s="98"/>
      <c r="E112" s="98"/>
      <c r="F112" s="98"/>
      <c r="G112" s="98"/>
      <c r="H112" s="98"/>
      <c r="I112" s="98"/>
      <c r="J112" s="98"/>
      <c r="K112" s="98"/>
    </row>
    <row r="113">
      <c r="A113" s="98"/>
      <c r="B113" s="98"/>
      <c r="D113" s="98"/>
      <c r="E113" s="98"/>
      <c r="F113" s="98"/>
      <c r="G113" s="98"/>
      <c r="H113" s="98"/>
      <c r="I113" s="98"/>
      <c r="J113" s="98"/>
      <c r="K113" s="98"/>
    </row>
    <row r="114">
      <c r="A114" s="98"/>
      <c r="B114" s="98"/>
      <c r="D114" s="98"/>
      <c r="E114" s="98"/>
      <c r="F114" s="98"/>
      <c r="G114" s="98"/>
      <c r="H114" s="98"/>
      <c r="I114" s="98"/>
      <c r="J114" s="98"/>
      <c r="K114" s="98"/>
    </row>
    <row r="115">
      <c r="A115" s="98"/>
      <c r="B115" s="98"/>
      <c r="D115" s="98"/>
      <c r="E115" s="98"/>
      <c r="F115" s="98"/>
      <c r="G115" s="98"/>
      <c r="H115" s="98"/>
      <c r="I115" s="98"/>
      <c r="J115" s="98"/>
      <c r="K115" s="98"/>
    </row>
    <row r="116">
      <c r="A116" s="98"/>
      <c r="B116" s="98"/>
      <c r="D116" s="98"/>
      <c r="E116" s="98"/>
      <c r="F116" s="98"/>
      <c r="G116" s="98"/>
      <c r="H116" s="98"/>
      <c r="I116" s="98"/>
      <c r="J116" s="98"/>
      <c r="K116" s="98"/>
    </row>
    <row r="117">
      <c r="A117" s="98"/>
      <c r="B117" s="98"/>
      <c r="D117" s="98"/>
      <c r="E117" s="98"/>
      <c r="F117" s="98"/>
      <c r="G117" s="98"/>
      <c r="H117" s="98"/>
      <c r="I117" s="98"/>
      <c r="J117" s="98"/>
      <c r="K117" s="98"/>
    </row>
    <row r="118">
      <c r="A118" s="98"/>
      <c r="B118" s="98"/>
      <c r="D118" s="98"/>
      <c r="E118" s="98"/>
      <c r="F118" s="98"/>
      <c r="G118" s="98"/>
      <c r="H118" s="98"/>
      <c r="I118" s="98"/>
      <c r="J118" s="98"/>
      <c r="K118" s="98"/>
    </row>
    <row r="119">
      <c r="A119" s="98"/>
      <c r="B119" s="98"/>
      <c r="D119" s="98"/>
      <c r="E119" s="98"/>
      <c r="F119" s="98"/>
      <c r="G119" s="98"/>
      <c r="H119" s="98"/>
      <c r="I119" s="98"/>
      <c r="J119" s="98"/>
      <c r="K119" s="98"/>
    </row>
    <row r="120">
      <c r="A120" s="98"/>
      <c r="B120" s="98"/>
      <c r="D120" s="98"/>
      <c r="E120" s="98"/>
      <c r="F120" s="98"/>
      <c r="G120" s="98"/>
      <c r="H120" s="98"/>
      <c r="I120" s="98"/>
      <c r="J120" s="98"/>
      <c r="K120" s="98"/>
    </row>
    <row r="121">
      <c r="A121" s="98"/>
      <c r="B121" s="98"/>
      <c r="D121" s="98"/>
      <c r="E121" s="98"/>
      <c r="F121" s="98"/>
      <c r="G121" s="98"/>
      <c r="H121" s="98"/>
      <c r="I121" s="98"/>
      <c r="J121" s="98"/>
      <c r="K121" s="98"/>
    </row>
    <row r="122">
      <c r="A122" s="98"/>
      <c r="B122" s="98"/>
      <c r="D122" s="98"/>
      <c r="E122" s="98"/>
      <c r="F122" s="98"/>
      <c r="G122" s="98"/>
      <c r="H122" s="98"/>
      <c r="I122" s="98"/>
      <c r="J122" s="98"/>
      <c r="K122" s="98"/>
    </row>
    <row r="123">
      <c r="A123" s="98"/>
      <c r="B123" s="98"/>
      <c r="D123" s="98"/>
      <c r="E123" s="98"/>
      <c r="F123" s="98"/>
      <c r="G123" s="98"/>
      <c r="H123" s="98"/>
      <c r="I123" s="98"/>
      <c r="J123" s="98"/>
      <c r="K123" s="98"/>
    </row>
    <row r="124">
      <c r="A124" s="98"/>
      <c r="B124" s="98"/>
      <c r="D124" s="98"/>
      <c r="E124" s="98"/>
      <c r="F124" s="98"/>
      <c r="G124" s="98"/>
      <c r="H124" s="98"/>
      <c r="I124" s="98"/>
      <c r="J124" s="98"/>
      <c r="K124" s="98"/>
    </row>
    <row r="125">
      <c r="A125" s="98"/>
      <c r="B125" s="98"/>
      <c r="D125" s="98"/>
      <c r="E125" s="98"/>
      <c r="F125" s="98"/>
      <c r="G125" s="98"/>
      <c r="H125" s="98"/>
      <c r="I125" s="98"/>
      <c r="J125" s="98"/>
      <c r="K125" s="98"/>
    </row>
    <row r="126">
      <c r="A126" s="98"/>
      <c r="B126" s="98"/>
      <c r="D126" s="98"/>
      <c r="E126" s="98"/>
      <c r="F126" s="98"/>
      <c r="G126" s="98"/>
      <c r="H126" s="98"/>
      <c r="I126" s="98"/>
      <c r="J126" s="98"/>
      <c r="K126" s="98"/>
    </row>
    <row r="127">
      <c r="A127" s="98"/>
      <c r="B127" s="98"/>
      <c r="D127" s="98"/>
      <c r="E127" s="98"/>
      <c r="F127" s="98"/>
      <c r="G127" s="98"/>
      <c r="H127" s="98"/>
      <c r="I127" s="98"/>
      <c r="J127" s="98"/>
      <c r="K127" s="98"/>
    </row>
    <row r="128">
      <c r="A128" s="98"/>
      <c r="B128" s="98"/>
      <c r="D128" s="98"/>
      <c r="E128" s="98"/>
      <c r="F128" s="98"/>
      <c r="G128" s="98"/>
      <c r="H128" s="98"/>
      <c r="I128" s="98"/>
      <c r="J128" s="98"/>
      <c r="K128" s="98"/>
    </row>
    <row r="129">
      <c r="A129" s="98"/>
      <c r="B129" s="98"/>
      <c r="D129" s="98"/>
      <c r="E129" s="98"/>
      <c r="F129" s="98"/>
      <c r="G129" s="98"/>
      <c r="H129" s="98"/>
      <c r="I129" s="98"/>
      <c r="J129" s="98"/>
      <c r="K129" s="98"/>
    </row>
    <row r="130">
      <c r="A130" s="98"/>
      <c r="B130" s="98"/>
      <c r="D130" s="98"/>
      <c r="E130" s="98"/>
      <c r="F130" s="98"/>
      <c r="G130" s="98"/>
      <c r="H130" s="98"/>
      <c r="I130" s="98"/>
      <c r="J130" s="98"/>
      <c r="K130" s="98"/>
    </row>
    <row r="131">
      <c r="A131" s="98"/>
      <c r="B131" s="98"/>
      <c r="D131" s="98"/>
      <c r="E131" s="98"/>
      <c r="F131" s="98"/>
      <c r="G131" s="98"/>
      <c r="H131" s="98"/>
      <c r="I131" s="98"/>
      <c r="J131" s="98"/>
      <c r="K131" s="98"/>
    </row>
    <row r="132">
      <c r="A132" s="98"/>
      <c r="B132" s="98"/>
      <c r="D132" s="98"/>
      <c r="E132" s="98"/>
      <c r="F132" s="98"/>
      <c r="G132" s="98"/>
      <c r="H132" s="98"/>
      <c r="I132" s="98"/>
      <c r="J132" s="98"/>
      <c r="K132" s="98"/>
    </row>
    <row r="133">
      <c r="A133" s="98"/>
      <c r="B133" s="98"/>
      <c r="D133" s="98"/>
      <c r="E133" s="98"/>
      <c r="F133" s="98"/>
      <c r="G133" s="98"/>
      <c r="H133" s="98"/>
      <c r="I133" s="98"/>
      <c r="J133" s="98"/>
      <c r="K133" s="98"/>
    </row>
    <row r="134">
      <c r="A134" s="98"/>
      <c r="B134" s="98"/>
      <c r="D134" s="98"/>
      <c r="E134" s="98"/>
      <c r="F134" s="98"/>
      <c r="G134" s="98"/>
      <c r="H134" s="98"/>
      <c r="I134" s="98"/>
      <c r="J134" s="98"/>
      <c r="K134" s="98"/>
    </row>
    <row r="135">
      <c r="A135" s="98"/>
      <c r="B135" s="98"/>
      <c r="D135" s="98"/>
      <c r="E135" s="98"/>
      <c r="F135" s="98"/>
      <c r="G135" s="98"/>
      <c r="H135" s="98"/>
      <c r="I135" s="98"/>
      <c r="J135" s="98"/>
      <c r="K135" s="98"/>
    </row>
    <row r="136">
      <c r="A136" s="98"/>
      <c r="B136" s="98"/>
      <c r="D136" s="98"/>
      <c r="E136" s="98"/>
      <c r="F136" s="98"/>
      <c r="G136" s="98"/>
      <c r="H136" s="98"/>
      <c r="I136" s="98"/>
      <c r="J136" s="98"/>
      <c r="K136" s="98"/>
    </row>
    <row r="137">
      <c r="A137" s="98"/>
      <c r="B137" s="98"/>
      <c r="D137" s="98"/>
      <c r="E137" s="98"/>
      <c r="F137" s="98"/>
      <c r="G137" s="98"/>
      <c r="H137" s="98"/>
      <c r="I137" s="98"/>
      <c r="J137" s="98"/>
      <c r="K137" s="98"/>
    </row>
    <row r="138">
      <c r="A138" s="98"/>
      <c r="B138" s="98"/>
      <c r="D138" s="98"/>
      <c r="E138" s="98"/>
      <c r="F138" s="98"/>
      <c r="G138" s="98"/>
      <c r="H138" s="98"/>
      <c r="I138" s="98"/>
      <c r="J138" s="98"/>
      <c r="K138" s="98"/>
    </row>
    <row r="139">
      <c r="A139" s="98"/>
      <c r="B139" s="98"/>
      <c r="D139" s="98"/>
      <c r="E139" s="98"/>
      <c r="F139" s="98"/>
      <c r="G139" s="98"/>
      <c r="H139" s="98"/>
      <c r="I139" s="98"/>
      <c r="J139" s="98"/>
      <c r="K139" s="98"/>
    </row>
    <row r="140">
      <c r="A140" s="98"/>
      <c r="B140" s="98"/>
      <c r="D140" s="98"/>
      <c r="E140" s="98"/>
      <c r="F140" s="98"/>
      <c r="G140" s="98"/>
      <c r="H140" s="98"/>
      <c r="I140" s="98"/>
      <c r="J140" s="98"/>
      <c r="K140" s="98"/>
    </row>
    <row r="141">
      <c r="A141" s="98"/>
      <c r="B141" s="98"/>
      <c r="D141" s="98"/>
      <c r="E141" s="98"/>
      <c r="F141" s="98"/>
      <c r="G141" s="98"/>
      <c r="H141" s="98"/>
      <c r="I141" s="98"/>
      <c r="J141" s="98"/>
      <c r="K141" s="98"/>
    </row>
    <row r="142">
      <c r="A142" s="98"/>
      <c r="B142" s="98"/>
      <c r="D142" s="98"/>
      <c r="E142" s="98"/>
      <c r="F142" s="98"/>
      <c r="G142" s="98"/>
      <c r="H142" s="98"/>
      <c r="I142" s="98"/>
      <c r="J142" s="98"/>
      <c r="K142" s="98"/>
    </row>
    <row r="143">
      <c r="A143" s="98"/>
      <c r="B143" s="98"/>
      <c r="D143" s="98"/>
      <c r="E143" s="98"/>
      <c r="F143" s="98"/>
      <c r="G143" s="98"/>
      <c r="H143" s="98"/>
      <c r="I143" s="98"/>
      <c r="J143" s="98"/>
      <c r="K143" s="98"/>
    </row>
    <row r="144">
      <c r="A144" s="98"/>
      <c r="B144" s="98"/>
      <c r="D144" s="98"/>
      <c r="E144" s="98"/>
      <c r="F144" s="98"/>
      <c r="G144" s="98"/>
      <c r="H144" s="98"/>
      <c r="I144" s="98"/>
      <c r="J144" s="98"/>
      <c r="K144" s="98"/>
    </row>
    <row r="145">
      <c r="A145" s="98"/>
      <c r="B145" s="98"/>
      <c r="D145" s="98"/>
      <c r="E145" s="98"/>
      <c r="F145" s="98"/>
      <c r="G145" s="98"/>
      <c r="H145" s="98"/>
      <c r="I145" s="98"/>
      <c r="J145" s="98"/>
      <c r="K145" s="98"/>
    </row>
    <row r="146">
      <c r="A146" s="98"/>
      <c r="B146" s="98"/>
      <c r="D146" s="98"/>
      <c r="E146" s="98"/>
      <c r="F146" s="98"/>
      <c r="G146" s="98"/>
      <c r="H146" s="98"/>
      <c r="I146" s="98"/>
      <c r="J146" s="98"/>
      <c r="K146" s="98"/>
    </row>
    <row r="147">
      <c r="A147" s="98"/>
      <c r="B147" s="98"/>
      <c r="D147" s="98"/>
      <c r="E147" s="98"/>
      <c r="F147" s="98"/>
      <c r="G147" s="98"/>
      <c r="H147" s="98"/>
      <c r="I147" s="98"/>
      <c r="J147" s="98"/>
      <c r="K147" s="98"/>
    </row>
    <row r="148">
      <c r="A148" s="98"/>
      <c r="B148" s="98"/>
      <c r="D148" s="98"/>
      <c r="E148" s="98"/>
      <c r="F148" s="98"/>
      <c r="G148" s="98"/>
      <c r="H148" s="98"/>
      <c r="I148" s="98"/>
      <c r="J148" s="98"/>
      <c r="K148" s="98"/>
    </row>
    <row r="149">
      <c r="A149" s="98"/>
      <c r="B149" s="98"/>
      <c r="D149" s="98"/>
      <c r="E149" s="98"/>
      <c r="F149" s="98"/>
      <c r="G149" s="98"/>
      <c r="H149" s="98"/>
      <c r="I149" s="98"/>
      <c r="J149" s="98"/>
      <c r="K149" s="98"/>
    </row>
    <row r="150">
      <c r="A150" s="98"/>
      <c r="B150" s="98"/>
      <c r="D150" s="98"/>
      <c r="E150" s="98"/>
      <c r="F150" s="98"/>
      <c r="G150" s="98"/>
      <c r="H150" s="98"/>
      <c r="I150" s="98"/>
      <c r="J150" s="98"/>
      <c r="K150" s="98"/>
    </row>
    <row r="151">
      <c r="A151" s="98"/>
      <c r="B151" s="98"/>
      <c r="D151" s="98"/>
      <c r="E151" s="98"/>
      <c r="F151" s="98"/>
      <c r="G151" s="98"/>
      <c r="H151" s="98"/>
      <c r="I151" s="98"/>
      <c r="J151" s="98"/>
      <c r="K151" s="98"/>
    </row>
    <row r="152">
      <c r="A152" s="98"/>
      <c r="B152" s="98"/>
      <c r="D152" s="98"/>
      <c r="E152" s="98"/>
      <c r="F152" s="98"/>
      <c r="G152" s="98"/>
      <c r="H152" s="98"/>
      <c r="I152" s="98"/>
      <c r="J152" s="98"/>
      <c r="K152" s="98"/>
    </row>
    <row r="153">
      <c r="A153" s="98"/>
      <c r="B153" s="98"/>
      <c r="D153" s="98"/>
      <c r="E153" s="98"/>
      <c r="F153" s="98"/>
      <c r="G153" s="98"/>
      <c r="H153" s="98"/>
      <c r="I153" s="98"/>
      <c r="J153" s="98"/>
      <c r="K153" s="98"/>
    </row>
    <row r="154">
      <c r="A154" s="98"/>
      <c r="B154" s="98"/>
      <c r="D154" s="98"/>
      <c r="E154" s="98"/>
      <c r="F154" s="98"/>
      <c r="G154" s="98"/>
      <c r="H154" s="98"/>
      <c r="I154" s="98"/>
      <c r="J154" s="98"/>
      <c r="K154" s="98"/>
    </row>
    <row r="155">
      <c r="A155" s="98"/>
      <c r="B155" s="98"/>
      <c r="D155" s="98"/>
      <c r="E155" s="98"/>
      <c r="F155" s="98"/>
      <c r="G155" s="98"/>
      <c r="H155" s="98"/>
      <c r="I155" s="98"/>
      <c r="J155" s="98"/>
      <c r="K155" s="98"/>
    </row>
    <row r="156">
      <c r="A156" s="98"/>
      <c r="B156" s="98"/>
      <c r="D156" s="98"/>
      <c r="E156" s="98"/>
      <c r="F156" s="98"/>
      <c r="G156" s="98"/>
      <c r="H156" s="98"/>
      <c r="I156" s="98"/>
      <c r="J156" s="98"/>
      <c r="K156" s="98"/>
    </row>
    <row r="157">
      <c r="A157" s="98"/>
      <c r="B157" s="98"/>
      <c r="D157" s="98"/>
      <c r="E157" s="98"/>
      <c r="F157" s="98"/>
      <c r="G157" s="98"/>
      <c r="H157" s="98"/>
      <c r="I157" s="98"/>
      <c r="J157" s="98"/>
      <c r="K157" s="98"/>
    </row>
    <row r="158">
      <c r="A158" s="98"/>
      <c r="B158" s="98"/>
      <c r="D158" s="98"/>
      <c r="E158" s="98"/>
      <c r="F158" s="98"/>
      <c r="G158" s="98"/>
      <c r="H158" s="98"/>
      <c r="I158" s="98"/>
      <c r="J158" s="98"/>
      <c r="K158" s="98"/>
    </row>
    <row r="159">
      <c r="A159" s="98"/>
      <c r="B159" s="98"/>
      <c r="D159" s="98"/>
      <c r="E159" s="98"/>
      <c r="F159" s="98"/>
      <c r="G159" s="98"/>
      <c r="H159" s="98"/>
      <c r="I159" s="98"/>
      <c r="J159" s="98"/>
      <c r="K159" s="98"/>
    </row>
    <row r="160">
      <c r="A160" s="98"/>
      <c r="B160" s="98"/>
      <c r="D160" s="98"/>
      <c r="E160" s="98"/>
      <c r="F160" s="98"/>
      <c r="G160" s="98"/>
      <c r="H160" s="98"/>
      <c r="I160" s="98"/>
      <c r="J160" s="98"/>
      <c r="K160" s="98"/>
    </row>
    <row r="161">
      <c r="A161" s="98"/>
      <c r="B161" s="98"/>
      <c r="D161" s="98"/>
      <c r="E161" s="98"/>
      <c r="F161" s="98"/>
      <c r="G161" s="98"/>
      <c r="H161" s="98"/>
      <c r="I161" s="98"/>
      <c r="J161" s="98"/>
      <c r="K161" s="98"/>
    </row>
    <row r="162">
      <c r="A162" s="98"/>
      <c r="B162" s="98"/>
      <c r="D162" s="98"/>
      <c r="E162" s="98"/>
      <c r="F162" s="98"/>
      <c r="G162" s="98"/>
      <c r="H162" s="98"/>
      <c r="I162" s="98"/>
      <c r="J162" s="98"/>
      <c r="K162" s="98"/>
    </row>
    <row r="163">
      <c r="A163" s="98"/>
      <c r="B163" s="98"/>
      <c r="D163" s="98"/>
      <c r="E163" s="98"/>
      <c r="F163" s="98"/>
      <c r="G163" s="98"/>
      <c r="H163" s="98"/>
      <c r="I163" s="98"/>
      <c r="J163" s="98"/>
      <c r="K163" s="98"/>
    </row>
    <row r="164">
      <c r="A164" s="98"/>
      <c r="B164" s="98"/>
      <c r="D164" s="98"/>
      <c r="E164" s="98"/>
      <c r="F164" s="98"/>
      <c r="G164" s="98"/>
      <c r="H164" s="98"/>
      <c r="I164" s="98"/>
      <c r="J164" s="98"/>
      <c r="K164" s="98"/>
    </row>
    <row r="165">
      <c r="A165" s="98"/>
      <c r="B165" s="98"/>
      <c r="D165" s="98"/>
      <c r="E165" s="98"/>
      <c r="F165" s="98"/>
      <c r="G165" s="98"/>
      <c r="H165" s="98"/>
      <c r="I165" s="98"/>
      <c r="J165" s="98"/>
      <c r="K165" s="98"/>
    </row>
    <row r="166">
      <c r="A166" s="98"/>
      <c r="B166" s="98"/>
      <c r="D166" s="98"/>
      <c r="E166" s="98"/>
      <c r="F166" s="98"/>
      <c r="G166" s="98"/>
      <c r="H166" s="98"/>
      <c r="I166" s="98"/>
      <c r="J166" s="98"/>
      <c r="K166" s="98"/>
    </row>
    <row r="167">
      <c r="A167" s="98"/>
      <c r="B167" s="98"/>
      <c r="D167" s="98"/>
      <c r="E167" s="98"/>
      <c r="F167" s="98"/>
      <c r="G167" s="98"/>
      <c r="H167" s="98"/>
      <c r="I167" s="98"/>
      <c r="J167" s="98"/>
      <c r="K167" s="98"/>
    </row>
    <row r="168">
      <c r="A168" s="98"/>
      <c r="B168" s="98"/>
      <c r="D168" s="98"/>
      <c r="E168" s="98"/>
      <c r="F168" s="98"/>
      <c r="G168" s="98"/>
      <c r="H168" s="98"/>
      <c r="I168" s="98"/>
      <c r="J168" s="98"/>
      <c r="K168" s="98"/>
    </row>
    <row r="169">
      <c r="A169" s="98"/>
      <c r="B169" s="98"/>
      <c r="D169" s="98"/>
      <c r="E169" s="98"/>
      <c r="F169" s="98"/>
      <c r="G169" s="98"/>
      <c r="H169" s="98"/>
      <c r="I169" s="98"/>
      <c r="J169" s="98"/>
      <c r="K169" s="98"/>
    </row>
    <row r="170">
      <c r="A170" s="98"/>
      <c r="B170" s="98"/>
      <c r="D170" s="98"/>
      <c r="E170" s="98"/>
      <c r="F170" s="98"/>
      <c r="G170" s="98"/>
      <c r="H170" s="98"/>
      <c r="I170" s="98"/>
      <c r="J170" s="98"/>
      <c r="K170" s="98"/>
    </row>
    <row r="171">
      <c r="A171" s="98"/>
      <c r="B171" s="98"/>
      <c r="D171" s="98"/>
      <c r="E171" s="98"/>
      <c r="F171" s="98"/>
      <c r="G171" s="98"/>
      <c r="H171" s="98"/>
      <c r="I171" s="98"/>
      <c r="J171" s="98"/>
      <c r="K171" s="98"/>
    </row>
    <row r="172">
      <c r="A172" s="98"/>
      <c r="B172" s="98"/>
      <c r="D172" s="98"/>
      <c r="E172" s="98"/>
      <c r="F172" s="98"/>
      <c r="G172" s="98"/>
      <c r="H172" s="98"/>
      <c r="I172" s="98"/>
      <c r="J172" s="98"/>
      <c r="K172" s="98"/>
    </row>
    <row r="173">
      <c r="A173" s="98"/>
      <c r="B173" s="98"/>
      <c r="D173" s="98"/>
      <c r="E173" s="98"/>
      <c r="F173" s="98"/>
      <c r="G173" s="98"/>
      <c r="H173" s="98"/>
      <c r="I173" s="98"/>
      <c r="J173" s="98"/>
      <c r="K173" s="98"/>
    </row>
    <row r="174">
      <c r="A174" s="98"/>
      <c r="B174" s="98"/>
      <c r="D174" s="98"/>
      <c r="E174" s="98"/>
      <c r="F174" s="98"/>
      <c r="G174" s="98"/>
      <c r="H174" s="98"/>
      <c r="I174" s="98"/>
      <c r="J174" s="98"/>
      <c r="K174" s="98"/>
    </row>
    <row r="175">
      <c r="A175" s="98"/>
      <c r="B175" s="98"/>
      <c r="D175" s="98"/>
      <c r="E175" s="98"/>
      <c r="F175" s="98"/>
      <c r="G175" s="98"/>
      <c r="H175" s="98"/>
      <c r="I175" s="98"/>
      <c r="J175" s="98"/>
      <c r="K175" s="98"/>
    </row>
    <row r="176">
      <c r="A176" s="98"/>
      <c r="B176" s="98"/>
      <c r="D176" s="98"/>
      <c r="E176" s="98"/>
      <c r="F176" s="98"/>
      <c r="G176" s="98"/>
      <c r="H176" s="98"/>
      <c r="I176" s="98"/>
      <c r="J176" s="98"/>
      <c r="K176" s="98"/>
    </row>
    <row r="177">
      <c r="A177" s="98"/>
      <c r="B177" s="98"/>
      <c r="D177" s="98"/>
      <c r="E177" s="98"/>
      <c r="F177" s="98"/>
      <c r="G177" s="98"/>
      <c r="H177" s="98"/>
      <c r="I177" s="98"/>
      <c r="J177" s="98"/>
      <c r="K177" s="98"/>
    </row>
    <row r="178">
      <c r="A178" s="98"/>
      <c r="B178" s="98"/>
      <c r="D178" s="98"/>
      <c r="E178" s="98"/>
      <c r="F178" s="98"/>
      <c r="G178" s="98"/>
      <c r="H178" s="98"/>
      <c r="I178" s="98"/>
      <c r="J178" s="98"/>
      <c r="K178" s="98"/>
    </row>
    <row r="179">
      <c r="A179" s="98"/>
      <c r="B179" s="98"/>
      <c r="D179" s="98"/>
      <c r="E179" s="98"/>
      <c r="F179" s="98"/>
      <c r="G179" s="98"/>
      <c r="H179" s="98"/>
      <c r="I179" s="98"/>
      <c r="J179" s="98"/>
      <c r="K179" s="98"/>
    </row>
    <row r="180">
      <c r="A180" s="98"/>
      <c r="B180" s="98"/>
      <c r="D180" s="98"/>
      <c r="E180" s="98"/>
      <c r="F180" s="98"/>
      <c r="G180" s="98"/>
      <c r="H180" s="98"/>
      <c r="I180" s="98"/>
      <c r="J180" s="98"/>
      <c r="K180" s="98"/>
    </row>
    <row r="181">
      <c r="A181" s="98"/>
      <c r="B181" s="98"/>
      <c r="D181" s="98"/>
      <c r="E181" s="98"/>
      <c r="F181" s="98"/>
      <c r="G181" s="98"/>
      <c r="H181" s="98"/>
      <c r="I181" s="98"/>
      <c r="J181" s="98"/>
      <c r="K181" s="98"/>
    </row>
    <row r="182">
      <c r="A182" s="98"/>
      <c r="B182" s="98"/>
      <c r="D182" s="98"/>
      <c r="E182" s="98"/>
      <c r="F182" s="98"/>
      <c r="G182" s="98"/>
      <c r="H182" s="98"/>
      <c r="I182" s="98"/>
      <c r="J182" s="98"/>
      <c r="K182" s="98"/>
    </row>
    <row r="183">
      <c r="A183" s="98"/>
      <c r="B183" s="98"/>
      <c r="D183" s="98"/>
      <c r="E183" s="98"/>
      <c r="F183" s="98"/>
      <c r="G183" s="98"/>
      <c r="H183" s="98"/>
      <c r="I183" s="98"/>
      <c r="J183" s="98"/>
      <c r="K183" s="98"/>
    </row>
    <row r="184">
      <c r="A184" s="98"/>
      <c r="B184" s="98"/>
      <c r="D184" s="98"/>
      <c r="E184" s="98"/>
      <c r="F184" s="98"/>
      <c r="G184" s="98"/>
      <c r="H184" s="98"/>
      <c r="I184" s="98"/>
      <c r="J184" s="98"/>
      <c r="K184" s="98"/>
    </row>
    <row r="185">
      <c r="A185" s="98"/>
      <c r="B185" s="98"/>
      <c r="D185" s="98"/>
      <c r="E185" s="98"/>
      <c r="F185" s="98"/>
      <c r="G185" s="98"/>
      <c r="H185" s="98"/>
      <c r="I185" s="98"/>
      <c r="J185" s="98"/>
      <c r="K185" s="98"/>
    </row>
    <row r="186">
      <c r="A186" s="98"/>
      <c r="B186" s="98"/>
      <c r="D186" s="98"/>
      <c r="E186" s="98"/>
      <c r="F186" s="98"/>
      <c r="G186" s="98"/>
      <c r="H186" s="98"/>
      <c r="I186" s="98"/>
      <c r="J186" s="98"/>
      <c r="K186" s="98"/>
    </row>
    <row r="187">
      <c r="A187" s="98"/>
      <c r="B187" s="98"/>
      <c r="D187" s="98"/>
      <c r="E187" s="98"/>
      <c r="F187" s="98"/>
      <c r="G187" s="98"/>
      <c r="H187" s="98"/>
      <c r="I187" s="98"/>
      <c r="J187" s="98"/>
      <c r="K187" s="98"/>
    </row>
    <row r="188">
      <c r="A188" s="98"/>
      <c r="B188" s="98"/>
      <c r="D188" s="98"/>
      <c r="E188" s="98"/>
      <c r="F188" s="98"/>
      <c r="G188" s="98"/>
      <c r="H188" s="98"/>
      <c r="I188" s="98"/>
      <c r="J188" s="98"/>
      <c r="K188" s="98"/>
    </row>
    <row r="189">
      <c r="A189" s="98"/>
      <c r="B189" s="98"/>
      <c r="D189" s="98"/>
      <c r="E189" s="98"/>
      <c r="F189" s="98"/>
      <c r="G189" s="98"/>
      <c r="H189" s="98"/>
      <c r="I189" s="98"/>
      <c r="J189" s="98"/>
      <c r="K189" s="98"/>
    </row>
    <row r="190">
      <c r="A190" s="98"/>
      <c r="B190" s="98"/>
      <c r="D190" s="98"/>
      <c r="E190" s="98"/>
      <c r="F190" s="98"/>
      <c r="G190" s="98"/>
      <c r="H190" s="98"/>
      <c r="I190" s="98"/>
      <c r="J190" s="98"/>
      <c r="K190" s="98"/>
    </row>
    <row r="191">
      <c r="A191" s="98"/>
      <c r="B191" s="98"/>
      <c r="D191" s="98"/>
      <c r="E191" s="98"/>
      <c r="F191" s="98"/>
      <c r="G191" s="98"/>
      <c r="H191" s="98"/>
      <c r="I191" s="98"/>
      <c r="J191" s="98"/>
      <c r="K191" s="98"/>
    </row>
    <row r="192">
      <c r="A192" s="98"/>
      <c r="B192" s="98"/>
      <c r="D192" s="98"/>
      <c r="E192" s="98"/>
      <c r="F192" s="98"/>
      <c r="G192" s="98"/>
      <c r="H192" s="98"/>
      <c r="I192" s="98"/>
      <c r="J192" s="98"/>
      <c r="K192" s="98"/>
    </row>
    <row r="193">
      <c r="A193" s="98"/>
      <c r="B193" s="98"/>
      <c r="D193" s="98"/>
      <c r="E193" s="98"/>
      <c r="F193" s="98"/>
      <c r="G193" s="98"/>
      <c r="H193" s="98"/>
      <c r="I193" s="98"/>
      <c r="J193" s="98"/>
      <c r="K193" s="98"/>
    </row>
    <row r="194">
      <c r="A194" s="98"/>
      <c r="B194" s="98"/>
      <c r="D194" s="98"/>
      <c r="E194" s="98"/>
      <c r="F194" s="98"/>
      <c r="G194" s="98"/>
      <c r="H194" s="98"/>
      <c r="I194" s="98"/>
      <c r="J194" s="98"/>
      <c r="K194" s="98"/>
    </row>
    <row r="195">
      <c r="A195" s="98"/>
      <c r="B195" s="98"/>
      <c r="D195" s="98"/>
      <c r="E195" s="98"/>
      <c r="F195" s="98"/>
      <c r="G195" s="98"/>
      <c r="H195" s="98"/>
      <c r="I195" s="98"/>
      <c r="J195" s="98"/>
      <c r="K195" s="98"/>
    </row>
    <row r="196">
      <c r="A196" s="98"/>
      <c r="B196" s="98"/>
      <c r="D196" s="98"/>
      <c r="E196" s="98"/>
      <c r="F196" s="98"/>
      <c r="G196" s="98"/>
      <c r="H196" s="98"/>
      <c r="I196" s="98"/>
      <c r="J196" s="98"/>
      <c r="K196" s="98"/>
    </row>
    <row r="197">
      <c r="A197" s="98"/>
      <c r="B197" s="98"/>
      <c r="D197" s="98"/>
      <c r="E197" s="98"/>
      <c r="F197" s="98"/>
      <c r="G197" s="98"/>
      <c r="H197" s="98"/>
      <c r="I197" s="98"/>
      <c r="J197" s="98"/>
      <c r="K197" s="98"/>
    </row>
    <row r="198">
      <c r="A198" s="98"/>
      <c r="B198" s="98"/>
      <c r="D198" s="98"/>
      <c r="E198" s="98"/>
      <c r="F198" s="98"/>
      <c r="G198" s="98"/>
      <c r="H198" s="98"/>
      <c r="I198" s="98"/>
      <c r="J198" s="98"/>
      <c r="K198" s="98"/>
    </row>
    <row r="199">
      <c r="A199" s="98"/>
      <c r="B199" s="98"/>
      <c r="D199" s="98"/>
      <c r="E199" s="98"/>
      <c r="F199" s="98"/>
      <c r="G199" s="98"/>
      <c r="H199" s="98"/>
      <c r="I199" s="98"/>
      <c r="J199" s="98"/>
      <c r="K199" s="98"/>
    </row>
    <row r="200">
      <c r="A200" s="98"/>
      <c r="B200" s="98"/>
      <c r="D200" s="98"/>
      <c r="E200" s="98"/>
      <c r="F200" s="98"/>
      <c r="G200" s="98"/>
      <c r="H200" s="98"/>
      <c r="I200" s="98"/>
      <c r="J200" s="98"/>
      <c r="K200" s="98"/>
    </row>
    <row r="201">
      <c r="A201" s="98"/>
      <c r="B201" s="98"/>
      <c r="D201" s="98"/>
      <c r="E201" s="98"/>
      <c r="F201" s="98"/>
      <c r="G201" s="98"/>
      <c r="H201" s="98"/>
      <c r="I201" s="98"/>
      <c r="J201" s="98"/>
      <c r="K201" s="98"/>
    </row>
    <row r="202">
      <c r="A202" s="98"/>
      <c r="B202" s="98"/>
      <c r="D202" s="98"/>
      <c r="E202" s="98"/>
      <c r="F202" s="98"/>
      <c r="G202" s="98"/>
      <c r="H202" s="98"/>
      <c r="I202" s="98"/>
      <c r="J202" s="98"/>
      <c r="K202" s="98"/>
    </row>
    <row r="203">
      <c r="A203" s="98"/>
      <c r="B203" s="98"/>
      <c r="D203" s="98"/>
      <c r="E203" s="98"/>
      <c r="F203" s="98"/>
      <c r="G203" s="98"/>
      <c r="H203" s="98"/>
      <c r="I203" s="98"/>
      <c r="J203" s="98"/>
      <c r="K203" s="98"/>
    </row>
    <row r="204">
      <c r="A204" s="98"/>
      <c r="B204" s="98"/>
      <c r="D204" s="98"/>
      <c r="E204" s="98"/>
      <c r="F204" s="98"/>
      <c r="G204" s="98"/>
      <c r="H204" s="98"/>
      <c r="I204" s="98"/>
      <c r="J204" s="98"/>
      <c r="K204" s="98"/>
    </row>
    <row r="205">
      <c r="A205" s="98"/>
      <c r="B205" s="98"/>
      <c r="D205" s="98"/>
      <c r="E205" s="98"/>
      <c r="F205" s="98"/>
      <c r="G205" s="98"/>
      <c r="H205" s="98"/>
      <c r="I205" s="98"/>
      <c r="J205" s="98"/>
      <c r="K205" s="98"/>
    </row>
    <row r="206">
      <c r="A206" s="98"/>
      <c r="B206" s="98"/>
      <c r="D206" s="98"/>
      <c r="E206" s="98"/>
      <c r="F206" s="98"/>
      <c r="G206" s="98"/>
      <c r="H206" s="98"/>
      <c r="I206" s="98"/>
      <c r="J206" s="98"/>
      <c r="K206" s="98"/>
    </row>
    <row r="207">
      <c r="A207" s="98"/>
      <c r="B207" s="98"/>
      <c r="D207" s="98"/>
      <c r="E207" s="98"/>
      <c r="F207" s="98"/>
      <c r="G207" s="98"/>
      <c r="H207" s="98"/>
      <c r="I207" s="98"/>
      <c r="J207" s="98"/>
      <c r="K207" s="98"/>
    </row>
    <row r="208">
      <c r="A208" s="98"/>
      <c r="B208" s="98"/>
      <c r="D208" s="98"/>
      <c r="E208" s="98"/>
      <c r="F208" s="98"/>
      <c r="G208" s="98"/>
      <c r="H208" s="98"/>
      <c r="I208" s="98"/>
      <c r="J208" s="98"/>
      <c r="K208" s="98"/>
    </row>
    <row r="209">
      <c r="A209" s="98"/>
      <c r="B209" s="98"/>
      <c r="D209" s="98"/>
      <c r="E209" s="98"/>
      <c r="F209" s="98"/>
      <c r="G209" s="98"/>
      <c r="H209" s="98"/>
      <c r="I209" s="98"/>
      <c r="J209" s="98"/>
      <c r="K209" s="98"/>
    </row>
    <row r="210">
      <c r="A210" s="98"/>
      <c r="B210" s="98"/>
      <c r="D210" s="98"/>
      <c r="E210" s="98"/>
      <c r="F210" s="98"/>
      <c r="G210" s="98"/>
      <c r="H210" s="98"/>
      <c r="I210" s="98"/>
      <c r="J210" s="98"/>
      <c r="K210" s="98"/>
    </row>
    <row r="211">
      <c r="A211" s="98"/>
      <c r="B211" s="98"/>
      <c r="D211" s="98"/>
      <c r="E211" s="98"/>
      <c r="F211" s="98"/>
      <c r="G211" s="98"/>
      <c r="H211" s="98"/>
      <c r="I211" s="98"/>
      <c r="J211" s="98"/>
      <c r="K211" s="98"/>
    </row>
    <row r="212">
      <c r="A212" s="98"/>
      <c r="B212" s="98"/>
      <c r="D212" s="98"/>
      <c r="E212" s="98"/>
      <c r="F212" s="98"/>
      <c r="G212" s="98"/>
      <c r="H212" s="98"/>
      <c r="I212" s="98"/>
      <c r="J212" s="98"/>
      <c r="K212" s="98"/>
    </row>
    <row r="213">
      <c r="A213" s="98"/>
      <c r="B213" s="98"/>
      <c r="D213" s="98"/>
      <c r="E213" s="98"/>
      <c r="F213" s="98"/>
      <c r="G213" s="98"/>
      <c r="H213" s="98"/>
      <c r="I213" s="98"/>
      <c r="J213" s="98"/>
      <c r="K213" s="98"/>
    </row>
    <row r="214">
      <c r="A214" s="98"/>
      <c r="B214" s="98"/>
      <c r="D214" s="98"/>
      <c r="E214" s="98"/>
      <c r="F214" s="98"/>
      <c r="G214" s="98"/>
      <c r="H214" s="98"/>
      <c r="I214" s="98"/>
      <c r="J214" s="98"/>
      <c r="K214" s="98"/>
    </row>
    <row r="215">
      <c r="A215" s="98"/>
      <c r="B215" s="98"/>
      <c r="D215" s="98"/>
      <c r="E215" s="98"/>
      <c r="F215" s="98"/>
      <c r="G215" s="98"/>
      <c r="H215" s="98"/>
      <c r="I215" s="98"/>
      <c r="J215" s="98"/>
      <c r="K215" s="98"/>
    </row>
    <row r="216">
      <c r="A216" s="98"/>
      <c r="B216" s="98"/>
      <c r="D216" s="98"/>
      <c r="E216" s="98"/>
      <c r="F216" s="98"/>
      <c r="G216" s="98"/>
      <c r="H216" s="98"/>
      <c r="I216" s="98"/>
      <c r="J216" s="98"/>
      <c r="K216" s="98"/>
    </row>
    <row r="217">
      <c r="A217" s="98"/>
      <c r="B217" s="98"/>
      <c r="D217" s="98"/>
      <c r="E217" s="98"/>
      <c r="F217" s="98"/>
      <c r="G217" s="98"/>
      <c r="H217" s="98"/>
      <c r="I217" s="98"/>
      <c r="J217" s="98"/>
      <c r="K217" s="98"/>
    </row>
    <row r="218">
      <c r="A218" s="98"/>
      <c r="B218" s="98"/>
      <c r="D218" s="98"/>
      <c r="E218" s="98"/>
      <c r="F218" s="98"/>
      <c r="G218" s="98"/>
      <c r="H218" s="98"/>
      <c r="I218" s="98"/>
      <c r="J218" s="98"/>
      <c r="K218" s="98"/>
    </row>
    <row r="219">
      <c r="A219" s="98"/>
      <c r="B219" s="98"/>
      <c r="D219" s="98"/>
      <c r="E219" s="98"/>
      <c r="F219" s="98"/>
      <c r="G219" s="98"/>
      <c r="H219" s="98"/>
      <c r="I219" s="98"/>
      <c r="J219" s="98"/>
      <c r="K219" s="98"/>
    </row>
    <row r="220">
      <c r="A220" s="98"/>
      <c r="B220" s="98"/>
      <c r="D220" s="98"/>
      <c r="E220" s="98"/>
      <c r="F220" s="98"/>
      <c r="G220" s="98"/>
      <c r="H220" s="98"/>
      <c r="I220" s="98"/>
      <c r="J220" s="98"/>
      <c r="K220" s="98"/>
    </row>
    <row r="221">
      <c r="A221" s="98"/>
      <c r="B221" s="98"/>
      <c r="D221" s="98"/>
      <c r="E221" s="98"/>
      <c r="F221" s="98"/>
      <c r="G221" s="98"/>
      <c r="H221" s="98"/>
      <c r="I221" s="98"/>
      <c r="J221" s="98"/>
      <c r="K221" s="98"/>
    </row>
    <row r="222">
      <c r="A222" s="98"/>
      <c r="B222" s="98"/>
      <c r="D222" s="98"/>
      <c r="E222" s="98"/>
      <c r="F222" s="98"/>
      <c r="G222" s="98"/>
      <c r="H222" s="98"/>
      <c r="I222" s="98"/>
      <c r="J222" s="98"/>
      <c r="K222" s="98"/>
    </row>
    <row r="223">
      <c r="A223" s="98"/>
      <c r="B223" s="98"/>
      <c r="D223" s="98"/>
      <c r="E223" s="98"/>
      <c r="F223" s="98"/>
      <c r="G223" s="98"/>
      <c r="H223" s="98"/>
      <c r="I223" s="98"/>
      <c r="J223" s="98"/>
      <c r="K223" s="98"/>
    </row>
    <row r="224">
      <c r="A224" s="98"/>
      <c r="B224" s="98"/>
      <c r="D224" s="98"/>
      <c r="E224" s="98"/>
      <c r="F224" s="98"/>
      <c r="G224" s="98"/>
      <c r="H224" s="98"/>
      <c r="I224" s="98"/>
      <c r="J224" s="98"/>
      <c r="K224" s="98"/>
    </row>
    <row r="225">
      <c r="A225" s="98"/>
      <c r="B225" s="98"/>
      <c r="D225" s="98"/>
      <c r="E225" s="98"/>
      <c r="F225" s="98"/>
      <c r="G225" s="98"/>
      <c r="H225" s="98"/>
      <c r="I225" s="98"/>
      <c r="J225" s="98"/>
      <c r="K225" s="98"/>
    </row>
    <row r="226">
      <c r="A226" s="98"/>
      <c r="B226" s="98"/>
      <c r="D226" s="98"/>
      <c r="E226" s="98"/>
      <c r="F226" s="98"/>
      <c r="G226" s="98"/>
      <c r="H226" s="98"/>
      <c r="I226" s="98"/>
      <c r="J226" s="98"/>
      <c r="K226" s="98"/>
    </row>
    <row r="227">
      <c r="A227" s="98"/>
      <c r="B227" s="98"/>
      <c r="D227" s="98"/>
      <c r="E227" s="98"/>
      <c r="F227" s="98"/>
      <c r="G227" s="98"/>
      <c r="H227" s="98"/>
      <c r="I227" s="98"/>
      <c r="J227" s="98"/>
      <c r="K227" s="98"/>
    </row>
    <row r="228">
      <c r="A228" s="98"/>
      <c r="B228" s="98"/>
      <c r="D228" s="98"/>
      <c r="E228" s="98"/>
      <c r="F228" s="98"/>
      <c r="G228" s="98"/>
      <c r="H228" s="98"/>
      <c r="I228" s="98"/>
      <c r="J228" s="98"/>
      <c r="K228" s="98"/>
    </row>
    <row r="229">
      <c r="A229" s="98"/>
      <c r="B229" s="98"/>
      <c r="D229" s="98"/>
      <c r="E229" s="98"/>
      <c r="F229" s="98"/>
      <c r="G229" s="98"/>
      <c r="H229" s="98"/>
      <c r="I229" s="98"/>
      <c r="J229" s="98"/>
      <c r="K229" s="98"/>
    </row>
    <row r="230">
      <c r="A230" s="98"/>
      <c r="B230" s="98"/>
      <c r="D230" s="98"/>
      <c r="E230" s="98"/>
      <c r="F230" s="98"/>
      <c r="G230" s="98"/>
      <c r="H230" s="98"/>
      <c r="I230" s="98"/>
      <c r="J230" s="98"/>
      <c r="K230" s="98"/>
    </row>
    <row r="231">
      <c r="A231" s="98"/>
      <c r="B231" s="98"/>
      <c r="D231" s="98"/>
      <c r="E231" s="98"/>
      <c r="F231" s="98"/>
      <c r="G231" s="98"/>
      <c r="H231" s="98"/>
      <c r="I231" s="98"/>
      <c r="J231" s="98"/>
      <c r="K231" s="98"/>
    </row>
    <row r="232">
      <c r="A232" s="98"/>
      <c r="B232" s="98"/>
      <c r="D232" s="98"/>
      <c r="E232" s="98"/>
      <c r="F232" s="98"/>
      <c r="G232" s="98"/>
      <c r="H232" s="98"/>
      <c r="I232" s="98"/>
      <c r="J232" s="98"/>
      <c r="K232" s="98"/>
    </row>
    <row r="233">
      <c r="A233" s="98"/>
      <c r="B233" s="98"/>
      <c r="D233" s="98"/>
      <c r="E233" s="98"/>
      <c r="F233" s="98"/>
      <c r="G233" s="98"/>
      <c r="H233" s="98"/>
      <c r="I233" s="98"/>
      <c r="J233" s="98"/>
      <c r="K233" s="98"/>
    </row>
    <row r="234">
      <c r="A234" s="98"/>
      <c r="B234" s="98"/>
      <c r="D234" s="98"/>
      <c r="E234" s="98"/>
      <c r="F234" s="98"/>
      <c r="G234" s="98"/>
      <c r="H234" s="98"/>
      <c r="I234" s="98"/>
      <c r="J234" s="98"/>
      <c r="K234" s="98"/>
    </row>
    <row r="235">
      <c r="A235" s="98"/>
      <c r="B235" s="98"/>
      <c r="D235" s="98"/>
      <c r="E235" s="98"/>
      <c r="F235" s="98"/>
      <c r="G235" s="98"/>
      <c r="H235" s="98"/>
      <c r="I235" s="98"/>
      <c r="J235" s="98"/>
      <c r="K235" s="98"/>
    </row>
    <row r="236">
      <c r="A236" s="98"/>
      <c r="B236" s="98"/>
      <c r="D236" s="98"/>
      <c r="E236" s="98"/>
      <c r="F236" s="98"/>
      <c r="G236" s="98"/>
      <c r="H236" s="98"/>
      <c r="I236" s="98"/>
      <c r="J236" s="98"/>
      <c r="K236" s="98"/>
    </row>
    <row r="237">
      <c r="A237" s="98"/>
      <c r="B237" s="98"/>
      <c r="D237" s="98"/>
      <c r="E237" s="98"/>
      <c r="F237" s="98"/>
      <c r="G237" s="98"/>
      <c r="H237" s="98"/>
      <c r="I237" s="98"/>
      <c r="J237" s="98"/>
      <c r="K237" s="98"/>
    </row>
    <row r="238">
      <c r="A238" s="98"/>
      <c r="B238" s="98"/>
      <c r="D238" s="98"/>
      <c r="E238" s="98"/>
      <c r="F238" s="98"/>
      <c r="G238" s="98"/>
      <c r="H238" s="98"/>
      <c r="I238" s="98"/>
      <c r="J238" s="98"/>
      <c r="K238" s="98"/>
    </row>
    <row r="239">
      <c r="A239" s="98"/>
      <c r="B239" s="98"/>
      <c r="D239" s="98"/>
      <c r="E239" s="98"/>
      <c r="F239" s="98"/>
      <c r="G239" s="98"/>
      <c r="H239" s="98"/>
      <c r="I239" s="98"/>
      <c r="J239" s="98"/>
      <c r="K239" s="98"/>
    </row>
    <row r="240">
      <c r="A240" s="98"/>
      <c r="B240" s="98"/>
      <c r="D240" s="98"/>
      <c r="E240" s="98"/>
      <c r="F240" s="98"/>
      <c r="G240" s="98"/>
      <c r="H240" s="98"/>
      <c r="I240" s="98"/>
      <c r="J240" s="98"/>
      <c r="K240" s="98"/>
    </row>
    <row r="241">
      <c r="A241" s="98"/>
      <c r="B241" s="98"/>
      <c r="D241" s="98"/>
      <c r="E241" s="98"/>
      <c r="F241" s="98"/>
      <c r="G241" s="98"/>
      <c r="H241" s="98"/>
      <c r="I241" s="98"/>
      <c r="J241" s="98"/>
      <c r="K241" s="98"/>
    </row>
    <row r="242">
      <c r="A242" s="98"/>
      <c r="B242" s="98"/>
      <c r="D242" s="98"/>
      <c r="E242" s="98"/>
      <c r="F242" s="98"/>
      <c r="G242" s="98"/>
      <c r="H242" s="98"/>
      <c r="I242" s="98"/>
      <c r="J242" s="98"/>
      <c r="K242" s="98"/>
    </row>
    <row r="243">
      <c r="A243" s="98"/>
      <c r="B243" s="98"/>
      <c r="D243" s="98"/>
      <c r="E243" s="98"/>
      <c r="F243" s="98"/>
      <c r="G243" s="98"/>
      <c r="H243" s="98"/>
      <c r="I243" s="98"/>
      <c r="J243" s="98"/>
      <c r="K243" s="98"/>
    </row>
    <row r="244">
      <c r="A244" s="98"/>
      <c r="B244" s="98"/>
      <c r="D244" s="98"/>
      <c r="E244" s="98"/>
      <c r="F244" s="98"/>
      <c r="G244" s="98"/>
      <c r="H244" s="98"/>
      <c r="I244" s="98"/>
      <c r="J244" s="98"/>
      <c r="K244" s="98"/>
    </row>
    <row r="245">
      <c r="A245" s="98"/>
      <c r="B245" s="98"/>
      <c r="D245" s="98"/>
      <c r="E245" s="98"/>
      <c r="F245" s="98"/>
      <c r="G245" s="98"/>
      <c r="H245" s="98"/>
      <c r="I245" s="98"/>
      <c r="J245" s="98"/>
      <c r="K245" s="98"/>
    </row>
    <row r="246">
      <c r="A246" s="98"/>
      <c r="B246" s="98"/>
      <c r="D246" s="98"/>
      <c r="E246" s="98"/>
      <c r="F246" s="98"/>
      <c r="G246" s="98"/>
      <c r="H246" s="98"/>
      <c r="I246" s="98"/>
      <c r="J246" s="98"/>
      <c r="K246" s="98"/>
    </row>
    <row r="247">
      <c r="A247" s="98"/>
      <c r="B247" s="98"/>
      <c r="D247" s="98"/>
      <c r="E247" s="98"/>
      <c r="F247" s="98"/>
      <c r="G247" s="98"/>
      <c r="H247" s="98"/>
      <c r="I247" s="98"/>
      <c r="J247" s="98"/>
      <c r="K247" s="98"/>
    </row>
    <row r="248">
      <c r="A248" s="98"/>
      <c r="B248" s="98"/>
      <c r="D248" s="98"/>
      <c r="E248" s="98"/>
      <c r="F248" s="98"/>
      <c r="G248" s="98"/>
      <c r="H248" s="98"/>
      <c r="I248" s="98"/>
      <c r="J248" s="98"/>
      <c r="K248" s="98"/>
    </row>
    <row r="249">
      <c r="A249" s="98"/>
      <c r="B249" s="98"/>
      <c r="D249" s="98"/>
      <c r="E249" s="98"/>
      <c r="F249" s="98"/>
      <c r="G249" s="98"/>
      <c r="H249" s="98"/>
      <c r="I249" s="98"/>
      <c r="J249" s="98"/>
      <c r="K249" s="98"/>
    </row>
    <row r="250">
      <c r="A250" s="98"/>
      <c r="B250" s="98"/>
      <c r="D250" s="98"/>
      <c r="E250" s="98"/>
      <c r="F250" s="98"/>
      <c r="G250" s="98"/>
      <c r="H250" s="98"/>
      <c r="I250" s="98"/>
      <c r="J250" s="98"/>
      <c r="K250" s="98"/>
    </row>
    <row r="251">
      <c r="A251" s="98"/>
      <c r="B251" s="98"/>
      <c r="D251" s="98"/>
      <c r="E251" s="98"/>
      <c r="F251" s="98"/>
      <c r="G251" s="98"/>
      <c r="H251" s="98"/>
      <c r="I251" s="98"/>
      <c r="J251" s="98"/>
      <c r="K251" s="98"/>
    </row>
    <row r="252">
      <c r="A252" s="98"/>
      <c r="B252" s="98"/>
      <c r="D252" s="98"/>
      <c r="E252" s="98"/>
      <c r="F252" s="98"/>
      <c r="G252" s="98"/>
      <c r="H252" s="98"/>
      <c r="I252" s="98"/>
      <c r="J252" s="98"/>
      <c r="K252" s="98"/>
    </row>
    <row r="253">
      <c r="A253" s="98"/>
      <c r="B253" s="98"/>
      <c r="D253" s="98"/>
      <c r="E253" s="98"/>
      <c r="F253" s="98"/>
      <c r="G253" s="98"/>
      <c r="H253" s="98"/>
      <c r="I253" s="98"/>
      <c r="J253" s="98"/>
      <c r="K253" s="98"/>
    </row>
    <row r="254">
      <c r="A254" s="98"/>
      <c r="B254" s="98"/>
      <c r="D254" s="98"/>
      <c r="E254" s="98"/>
      <c r="F254" s="98"/>
      <c r="G254" s="98"/>
      <c r="H254" s="98"/>
      <c r="I254" s="98"/>
      <c r="J254" s="98"/>
      <c r="K254" s="98"/>
    </row>
    <row r="255">
      <c r="A255" s="98"/>
      <c r="B255" s="98"/>
      <c r="D255" s="98"/>
      <c r="E255" s="98"/>
      <c r="F255" s="98"/>
      <c r="G255" s="98"/>
      <c r="H255" s="98"/>
      <c r="I255" s="98"/>
      <c r="J255" s="98"/>
      <c r="K255" s="98"/>
    </row>
    <row r="256">
      <c r="A256" s="98"/>
      <c r="B256" s="98"/>
      <c r="D256" s="98"/>
      <c r="E256" s="98"/>
      <c r="F256" s="98"/>
      <c r="G256" s="98"/>
      <c r="H256" s="98"/>
      <c r="I256" s="98"/>
      <c r="J256" s="98"/>
      <c r="K256" s="98"/>
    </row>
    <row r="257">
      <c r="A257" s="98"/>
      <c r="B257" s="98"/>
      <c r="D257" s="98"/>
      <c r="E257" s="98"/>
      <c r="F257" s="98"/>
      <c r="G257" s="98"/>
      <c r="H257" s="98"/>
      <c r="I257" s="98"/>
      <c r="J257" s="98"/>
      <c r="K257" s="98"/>
    </row>
    <row r="258">
      <c r="A258" s="98"/>
      <c r="B258" s="98"/>
      <c r="D258" s="98"/>
      <c r="E258" s="98"/>
      <c r="F258" s="98"/>
      <c r="G258" s="98"/>
      <c r="H258" s="98"/>
      <c r="I258" s="98"/>
      <c r="J258" s="98"/>
      <c r="K258" s="98"/>
    </row>
    <row r="259">
      <c r="A259" s="98"/>
      <c r="B259" s="98"/>
      <c r="D259" s="98"/>
      <c r="E259" s="98"/>
      <c r="F259" s="98"/>
      <c r="G259" s="98"/>
      <c r="H259" s="98"/>
      <c r="I259" s="98"/>
      <c r="J259" s="98"/>
      <c r="K259" s="98"/>
    </row>
    <row r="260">
      <c r="A260" s="98"/>
      <c r="B260" s="98"/>
      <c r="D260" s="98"/>
      <c r="E260" s="98"/>
      <c r="F260" s="98"/>
      <c r="G260" s="98"/>
      <c r="H260" s="98"/>
      <c r="I260" s="98"/>
      <c r="J260" s="98"/>
      <c r="K260" s="98"/>
    </row>
    <row r="261">
      <c r="A261" s="98"/>
      <c r="B261" s="98"/>
      <c r="D261" s="98"/>
      <c r="E261" s="98"/>
      <c r="F261" s="98"/>
      <c r="G261" s="98"/>
      <c r="H261" s="98"/>
      <c r="I261" s="98"/>
      <c r="J261" s="98"/>
      <c r="K261" s="98"/>
    </row>
    <row r="262">
      <c r="A262" s="98"/>
      <c r="B262" s="98"/>
      <c r="D262" s="98"/>
      <c r="E262" s="98"/>
      <c r="F262" s="98"/>
      <c r="G262" s="98"/>
      <c r="H262" s="98"/>
      <c r="I262" s="98"/>
      <c r="J262" s="98"/>
      <c r="K262" s="98"/>
    </row>
    <row r="263">
      <c r="A263" s="98"/>
      <c r="B263" s="98"/>
      <c r="D263" s="98"/>
      <c r="E263" s="98"/>
      <c r="F263" s="98"/>
      <c r="G263" s="98"/>
      <c r="H263" s="98"/>
      <c r="I263" s="98"/>
      <c r="J263" s="98"/>
      <c r="K263" s="98"/>
    </row>
    <row r="264">
      <c r="A264" s="98"/>
      <c r="B264" s="98"/>
      <c r="D264" s="98"/>
      <c r="E264" s="98"/>
      <c r="F264" s="98"/>
      <c r="G264" s="98"/>
      <c r="H264" s="98"/>
      <c r="I264" s="98"/>
      <c r="J264" s="98"/>
      <c r="K264" s="98"/>
    </row>
    <row r="265">
      <c r="A265" s="98"/>
      <c r="B265" s="98"/>
      <c r="D265" s="98"/>
      <c r="E265" s="98"/>
      <c r="F265" s="98"/>
      <c r="G265" s="98"/>
      <c r="H265" s="98"/>
      <c r="I265" s="98"/>
      <c r="J265" s="98"/>
      <c r="K265" s="98"/>
    </row>
    <row r="266">
      <c r="A266" s="98"/>
      <c r="B266" s="98"/>
      <c r="D266" s="98"/>
      <c r="E266" s="98"/>
      <c r="F266" s="98"/>
      <c r="G266" s="98"/>
      <c r="H266" s="98"/>
      <c r="I266" s="98"/>
      <c r="J266" s="98"/>
      <c r="K266" s="98"/>
    </row>
    <row r="267">
      <c r="A267" s="98"/>
      <c r="B267" s="98"/>
      <c r="D267" s="98"/>
      <c r="E267" s="98"/>
      <c r="F267" s="98"/>
      <c r="G267" s="98"/>
      <c r="H267" s="98"/>
      <c r="I267" s="98"/>
      <c r="J267" s="98"/>
      <c r="K267" s="98"/>
    </row>
    <row r="268">
      <c r="A268" s="98"/>
      <c r="B268" s="98"/>
      <c r="D268" s="98"/>
      <c r="E268" s="98"/>
      <c r="F268" s="98"/>
      <c r="G268" s="98"/>
      <c r="H268" s="98"/>
      <c r="I268" s="98"/>
      <c r="J268" s="98"/>
      <c r="K268" s="98"/>
    </row>
    <row r="269">
      <c r="A269" s="98"/>
      <c r="B269" s="98"/>
      <c r="D269" s="98"/>
      <c r="E269" s="98"/>
      <c r="F269" s="98"/>
      <c r="G269" s="98"/>
      <c r="H269" s="98"/>
      <c r="I269" s="98"/>
      <c r="J269" s="98"/>
      <c r="K269" s="98"/>
    </row>
    <row r="270">
      <c r="A270" s="98"/>
      <c r="B270" s="98"/>
      <c r="D270" s="98"/>
      <c r="E270" s="98"/>
      <c r="F270" s="98"/>
      <c r="G270" s="98"/>
      <c r="H270" s="98"/>
      <c r="I270" s="98"/>
      <c r="J270" s="98"/>
      <c r="K270" s="98"/>
    </row>
    <row r="271">
      <c r="A271" s="98"/>
      <c r="B271" s="98"/>
      <c r="D271" s="98"/>
      <c r="E271" s="98"/>
      <c r="F271" s="98"/>
      <c r="G271" s="98"/>
      <c r="H271" s="98"/>
      <c r="I271" s="98"/>
      <c r="J271" s="98"/>
      <c r="K271" s="98"/>
    </row>
    <row r="272">
      <c r="A272" s="98"/>
      <c r="B272" s="98"/>
      <c r="D272" s="98"/>
      <c r="E272" s="98"/>
      <c r="F272" s="98"/>
      <c r="G272" s="98"/>
      <c r="H272" s="98"/>
      <c r="I272" s="98"/>
      <c r="J272" s="98"/>
      <c r="K272" s="98"/>
    </row>
    <row r="273">
      <c r="A273" s="98"/>
      <c r="B273" s="98"/>
      <c r="D273" s="98"/>
      <c r="E273" s="98"/>
      <c r="F273" s="98"/>
      <c r="G273" s="98"/>
      <c r="H273" s="98"/>
      <c r="I273" s="98"/>
      <c r="J273" s="98"/>
      <c r="K273" s="98"/>
    </row>
    <row r="274">
      <c r="A274" s="98"/>
      <c r="B274" s="98"/>
      <c r="D274" s="98"/>
      <c r="E274" s="98"/>
      <c r="F274" s="98"/>
      <c r="G274" s="98"/>
      <c r="H274" s="98"/>
      <c r="I274" s="98"/>
      <c r="J274" s="98"/>
      <c r="K274" s="98"/>
    </row>
    <row r="275">
      <c r="A275" s="98"/>
      <c r="B275" s="98"/>
      <c r="D275" s="98"/>
      <c r="E275" s="98"/>
      <c r="F275" s="98"/>
      <c r="G275" s="98"/>
      <c r="H275" s="98"/>
      <c r="I275" s="98"/>
      <c r="J275" s="98"/>
      <c r="K275" s="98"/>
    </row>
    <row r="276">
      <c r="A276" s="98"/>
      <c r="B276" s="98"/>
      <c r="D276" s="98"/>
      <c r="E276" s="98"/>
      <c r="F276" s="98"/>
      <c r="G276" s="98"/>
      <c r="H276" s="98"/>
      <c r="I276" s="98"/>
      <c r="J276" s="98"/>
      <c r="K276" s="98"/>
    </row>
    <row r="277">
      <c r="A277" s="98"/>
      <c r="B277" s="98"/>
      <c r="D277" s="98"/>
      <c r="E277" s="98"/>
      <c r="F277" s="98"/>
      <c r="G277" s="98"/>
      <c r="H277" s="98"/>
      <c r="I277" s="98"/>
      <c r="J277" s="98"/>
      <c r="K277" s="98"/>
    </row>
    <row r="278">
      <c r="A278" s="98"/>
      <c r="B278" s="98"/>
      <c r="D278" s="98"/>
      <c r="E278" s="98"/>
      <c r="F278" s="98"/>
      <c r="G278" s="98"/>
      <c r="H278" s="98"/>
      <c r="I278" s="98"/>
      <c r="J278" s="98"/>
      <c r="K278" s="98"/>
    </row>
    <row r="279">
      <c r="A279" s="98"/>
      <c r="B279" s="98"/>
      <c r="D279" s="98"/>
      <c r="E279" s="98"/>
      <c r="F279" s="98"/>
      <c r="G279" s="98"/>
      <c r="H279" s="98"/>
      <c r="I279" s="98"/>
      <c r="J279" s="98"/>
      <c r="K279" s="98"/>
    </row>
    <row r="280">
      <c r="A280" s="98"/>
      <c r="B280" s="98"/>
      <c r="D280" s="98"/>
      <c r="E280" s="98"/>
      <c r="F280" s="98"/>
      <c r="G280" s="98"/>
      <c r="H280" s="98"/>
      <c r="I280" s="98"/>
      <c r="J280" s="98"/>
      <c r="K280" s="98"/>
    </row>
    <row r="281">
      <c r="A281" s="98"/>
      <c r="B281" s="98"/>
      <c r="D281" s="98"/>
      <c r="E281" s="98"/>
      <c r="F281" s="98"/>
      <c r="G281" s="98"/>
      <c r="H281" s="98"/>
      <c r="I281" s="98"/>
      <c r="J281" s="98"/>
      <c r="K281" s="98"/>
    </row>
    <row r="282">
      <c r="A282" s="98"/>
      <c r="B282" s="98"/>
      <c r="D282" s="98"/>
      <c r="E282" s="98"/>
      <c r="F282" s="98"/>
      <c r="G282" s="98"/>
      <c r="H282" s="98"/>
      <c r="I282" s="98"/>
      <c r="J282" s="98"/>
      <c r="K282" s="98"/>
    </row>
    <row r="283">
      <c r="A283" s="98"/>
      <c r="B283" s="98"/>
      <c r="D283" s="98"/>
      <c r="E283" s="98"/>
      <c r="F283" s="98"/>
      <c r="G283" s="98"/>
      <c r="H283" s="98"/>
      <c r="I283" s="98"/>
      <c r="J283" s="98"/>
      <c r="K283" s="98"/>
    </row>
    <row r="284">
      <c r="A284" s="98"/>
      <c r="B284" s="98"/>
      <c r="D284" s="98"/>
      <c r="E284" s="98"/>
      <c r="F284" s="98"/>
      <c r="G284" s="98"/>
      <c r="H284" s="98"/>
      <c r="I284" s="98"/>
      <c r="J284" s="98"/>
      <c r="K284" s="98"/>
    </row>
    <row r="285">
      <c r="A285" s="98"/>
      <c r="B285" s="98"/>
      <c r="D285" s="98"/>
      <c r="E285" s="98"/>
      <c r="F285" s="98"/>
      <c r="G285" s="98"/>
      <c r="H285" s="98"/>
      <c r="I285" s="98"/>
      <c r="J285" s="98"/>
      <c r="K285" s="98"/>
    </row>
    <row r="286">
      <c r="A286" s="98"/>
      <c r="B286" s="98"/>
      <c r="D286" s="98"/>
      <c r="E286" s="98"/>
      <c r="F286" s="98"/>
      <c r="G286" s="98"/>
      <c r="H286" s="98"/>
      <c r="I286" s="98"/>
      <c r="J286" s="98"/>
      <c r="K286" s="98"/>
    </row>
    <row r="287">
      <c r="A287" s="98"/>
      <c r="B287" s="98"/>
      <c r="D287" s="98"/>
      <c r="E287" s="98"/>
      <c r="F287" s="98"/>
      <c r="G287" s="98"/>
      <c r="H287" s="98"/>
      <c r="I287" s="98"/>
      <c r="J287" s="98"/>
      <c r="K287" s="98"/>
    </row>
    <row r="288">
      <c r="A288" s="98"/>
      <c r="B288" s="98"/>
      <c r="D288" s="98"/>
      <c r="E288" s="98"/>
      <c r="F288" s="98"/>
      <c r="G288" s="98"/>
      <c r="H288" s="98"/>
      <c r="I288" s="98"/>
      <c r="J288" s="98"/>
      <c r="K288" s="98"/>
    </row>
    <row r="289">
      <c r="A289" s="98"/>
      <c r="B289" s="98"/>
      <c r="D289" s="98"/>
      <c r="E289" s="98"/>
      <c r="F289" s="98"/>
      <c r="G289" s="98"/>
      <c r="H289" s="98"/>
      <c r="I289" s="98"/>
      <c r="J289" s="98"/>
      <c r="K289" s="98"/>
    </row>
    <row r="290">
      <c r="A290" s="98"/>
      <c r="B290" s="98"/>
      <c r="D290" s="98"/>
      <c r="E290" s="98"/>
      <c r="F290" s="98"/>
      <c r="G290" s="98"/>
      <c r="H290" s="98"/>
      <c r="I290" s="98"/>
      <c r="J290" s="98"/>
      <c r="K290" s="98"/>
    </row>
    <row r="291">
      <c r="A291" s="98"/>
      <c r="B291" s="98"/>
      <c r="D291" s="98"/>
      <c r="E291" s="98"/>
      <c r="F291" s="98"/>
      <c r="G291" s="98"/>
      <c r="H291" s="98"/>
      <c r="I291" s="98"/>
      <c r="J291" s="98"/>
      <c r="K291" s="98"/>
    </row>
    <row r="292">
      <c r="A292" s="98"/>
      <c r="B292" s="98"/>
      <c r="D292" s="98"/>
      <c r="E292" s="98"/>
      <c r="F292" s="98"/>
      <c r="G292" s="98"/>
      <c r="H292" s="98"/>
      <c r="I292" s="98"/>
      <c r="J292" s="98"/>
      <c r="K292" s="98"/>
    </row>
    <row r="293">
      <c r="A293" s="98"/>
      <c r="B293" s="98"/>
      <c r="D293" s="98"/>
      <c r="E293" s="98"/>
      <c r="F293" s="98"/>
      <c r="G293" s="98"/>
      <c r="H293" s="98"/>
      <c r="I293" s="98"/>
      <c r="J293" s="98"/>
      <c r="K293" s="98"/>
    </row>
    <row r="294">
      <c r="A294" s="98"/>
      <c r="B294" s="98"/>
      <c r="D294" s="98"/>
      <c r="E294" s="98"/>
      <c r="F294" s="98"/>
      <c r="G294" s="98"/>
      <c r="H294" s="98"/>
      <c r="I294" s="98"/>
      <c r="J294" s="98"/>
      <c r="K294" s="98"/>
    </row>
    <row r="295">
      <c r="A295" s="98"/>
      <c r="B295" s="98"/>
      <c r="D295" s="98"/>
      <c r="E295" s="98"/>
      <c r="F295" s="98"/>
      <c r="G295" s="98"/>
      <c r="H295" s="98"/>
      <c r="I295" s="98"/>
      <c r="J295" s="98"/>
      <c r="K295" s="98"/>
    </row>
    <row r="296">
      <c r="A296" s="98"/>
      <c r="B296" s="98"/>
      <c r="D296" s="98"/>
      <c r="E296" s="98"/>
      <c r="F296" s="98"/>
      <c r="G296" s="98"/>
      <c r="H296" s="98"/>
      <c r="I296" s="98"/>
      <c r="J296" s="98"/>
      <c r="K296" s="98"/>
    </row>
    <row r="297">
      <c r="A297" s="98"/>
      <c r="B297" s="98"/>
      <c r="D297" s="98"/>
      <c r="E297" s="98"/>
      <c r="F297" s="98"/>
      <c r="G297" s="98"/>
      <c r="H297" s="98"/>
      <c r="I297" s="98"/>
      <c r="J297" s="98"/>
      <c r="K297" s="98"/>
    </row>
    <row r="298">
      <c r="A298" s="98"/>
      <c r="B298" s="98"/>
      <c r="D298" s="98"/>
      <c r="E298" s="98"/>
      <c r="F298" s="98"/>
      <c r="G298" s="98"/>
      <c r="H298" s="98"/>
      <c r="I298" s="98"/>
      <c r="J298" s="98"/>
      <c r="K298" s="98"/>
    </row>
    <row r="299">
      <c r="A299" s="98"/>
      <c r="B299" s="98"/>
      <c r="D299" s="98"/>
      <c r="E299" s="98"/>
      <c r="F299" s="98"/>
      <c r="G299" s="98"/>
      <c r="H299" s="98"/>
      <c r="I299" s="98"/>
      <c r="J299" s="98"/>
      <c r="K299" s="98"/>
    </row>
    <row r="300">
      <c r="A300" s="98"/>
      <c r="B300" s="98"/>
      <c r="D300" s="98"/>
      <c r="E300" s="98"/>
      <c r="F300" s="98"/>
      <c r="G300" s="98"/>
      <c r="H300" s="98"/>
      <c r="I300" s="98"/>
      <c r="J300" s="98"/>
      <c r="K300" s="98"/>
    </row>
    <row r="301">
      <c r="A301" s="98"/>
      <c r="B301" s="98"/>
      <c r="D301" s="98"/>
      <c r="E301" s="98"/>
      <c r="F301" s="98"/>
      <c r="G301" s="98"/>
      <c r="H301" s="98"/>
      <c r="I301" s="98"/>
      <c r="J301" s="98"/>
      <c r="K301" s="98"/>
    </row>
    <row r="302">
      <c r="A302" s="98"/>
      <c r="B302" s="98"/>
      <c r="D302" s="98"/>
      <c r="E302" s="98"/>
      <c r="F302" s="98"/>
      <c r="G302" s="98"/>
      <c r="H302" s="98"/>
      <c r="I302" s="98"/>
      <c r="J302" s="98"/>
      <c r="K302" s="98"/>
    </row>
    <row r="303">
      <c r="A303" s="98"/>
      <c r="B303" s="98"/>
      <c r="D303" s="98"/>
      <c r="E303" s="98"/>
      <c r="F303" s="98"/>
      <c r="G303" s="98"/>
      <c r="H303" s="98"/>
      <c r="I303" s="98"/>
      <c r="J303" s="98"/>
      <c r="K303" s="98"/>
    </row>
    <row r="304">
      <c r="A304" s="98"/>
      <c r="B304" s="98"/>
      <c r="D304" s="98"/>
      <c r="E304" s="98"/>
      <c r="F304" s="98"/>
      <c r="G304" s="98"/>
      <c r="H304" s="98"/>
      <c r="I304" s="98"/>
      <c r="J304" s="98"/>
      <c r="K304" s="98"/>
    </row>
    <row r="305">
      <c r="A305" s="98"/>
      <c r="B305" s="98"/>
      <c r="D305" s="98"/>
      <c r="E305" s="98"/>
      <c r="F305" s="98"/>
      <c r="G305" s="98"/>
      <c r="H305" s="98"/>
      <c r="I305" s="98"/>
      <c r="J305" s="98"/>
      <c r="K305" s="98"/>
    </row>
    <row r="306">
      <c r="A306" s="98"/>
      <c r="B306" s="98"/>
      <c r="D306" s="98"/>
      <c r="E306" s="98"/>
      <c r="F306" s="98"/>
      <c r="G306" s="98"/>
      <c r="H306" s="98"/>
      <c r="I306" s="98"/>
      <c r="J306" s="98"/>
      <c r="K306" s="98"/>
    </row>
    <row r="307">
      <c r="A307" s="98"/>
      <c r="B307" s="98"/>
      <c r="D307" s="98"/>
      <c r="E307" s="98"/>
      <c r="F307" s="98"/>
      <c r="G307" s="98"/>
      <c r="H307" s="98"/>
      <c r="I307" s="98"/>
      <c r="J307" s="98"/>
      <c r="K307" s="98"/>
    </row>
    <row r="308">
      <c r="A308" s="98"/>
      <c r="B308" s="98"/>
      <c r="D308" s="98"/>
      <c r="E308" s="98"/>
      <c r="F308" s="98"/>
      <c r="G308" s="98"/>
      <c r="H308" s="98"/>
      <c r="I308" s="98"/>
      <c r="J308" s="98"/>
      <c r="K308" s="98"/>
    </row>
    <row r="309">
      <c r="A309" s="98"/>
      <c r="B309" s="98"/>
      <c r="D309" s="98"/>
      <c r="E309" s="98"/>
      <c r="F309" s="98"/>
      <c r="G309" s="98"/>
      <c r="H309" s="98"/>
      <c r="I309" s="98"/>
      <c r="J309" s="98"/>
      <c r="K309" s="98"/>
    </row>
    <row r="310">
      <c r="A310" s="98"/>
      <c r="B310" s="98"/>
      <c r="D310" s="98"/>
      <c r="E310" s="98"/>
      <c r="F310" s="98"/>
      <c r="G310" s="98"/>
      <c r="H310" s="98"/>
      <c r="I310" s="98"/>
      <c r="J310" s="98"/>
      <c r="K310" s="98"/>
    </row>
    <row r="311">
      <c r="A311" s="98"/>
      <c r="B311" s="98"/>
      <c r="D311" s="98"/>
      <c r="E311" s="98"/>
      <c r="F311" s="98"/>
      <c r="G311" s="98"/>
      <c r="H311" s="98"/>
      <c r="I311" s="98"/>
      <c r="J311" s="98"/>
      <c r="K311" s="98"/>
    </row>
    <row r="312">
      <c r="A312" s="98"/>
      <c r="B312" s="98"/>
      <c r="D312" s="98"/>
      <c r="E312" s="98"/>
      <c r="F312" s="98"/>
      <c r="G312" s="98"/>
      <c r="H312" s="98"/>
      <c r="I312" s="98"/>
      <c r="J312" s="98"/>
      <c r="K312" s="98"/>
    </row>
    <row r="313">
      <c r="A313" s="98"/>
      <c r="B313" s="98"/>
      <c r="D313" s="98"/>
      <c r="E313" s="98"/>
      <c r="F313" s="98"/>
      <c r="G313" s="98"/>
      <c r="H313" s="98"/>
      <c r="I313" s="98"/>
      <c r="J313" s="98"/>
      <c r="K313" s="98"/>
    </row>
    <row r="314">
      <c r="A314" s="98"/>
      <c r="B314" s="98"/>
      <c r="D314" s="98"/>
      <c r="E314" s="98"/>
      <c r="F314" s="98"/>
      <c r="G314" s="98"/>
      <c r="H314" s="98"/>
      <c r="I314" s="98"/>
      <c r="J314" s="98"/>
      <c r="K314" s="98"/>
    </row>
    <row r="315">
      <c r="A315" s="98"/>
      <c r="B315" s="98"/>
      <c r="D315" s="98"/>
      <c r="E315" s="98"/>
      <c r="F315" s="98"/>
      <c r="G315" s="98"/>
      <c r="H315" s="98"/>
      <c r="I315" s="98"/>
      <c r="J315" s="98"/>
      <c r="K315" s="98"/>
    </row>
    <row r="316">
      <c r="A316" s="98"/>
      <c r="B316" s="98"/>
      <c r="D316" s="98"/>
      <c r="E316" s="98"/>
      <c r="F316" s="98"/>
      <c r="G316" s="98"/>
      <c r="H316" s="98"/>
      <c r="I316" s="98"/>
      <c r="J316" s="98"/>
      <c r="K316" s="98"/>
    </row>
    <row r="317">
      <c r="A317" s="98"/>
      <c r="B317" s="98"/>
      <c r="D317" s="98"/>
      <c r="E317" s="98"/>
      <c r="F317" s="98"/>
      <c r="G317" s="98"/>
      <c r="H317" s="98"/>
      <c r="I317" s="98"/>
      <c r="J317" s="98"/>
      <c r="K317" s="98"/>
    </row>
    <row r="318">
      <c r="A318" s="98"/>
      <c r="B318" s="98"/>
      <c r="D318" s="98"/>
      <c r="E318" s="98"/>
      <c r="F318" s="98"/>
      <c r="G318" s="98"/>
      <c r="H318" s="98"/>
      <c r="I318" s="98"/>
      <c r="J318" s="98"/>
      <c r="K318" s="98"/>
    </row>
    <row r="319">
      <c r="A319" s="98"/>
      <c r="B319" s="98"/>
      <c r="D319" s="98"/>
      <c r="E319" s="98"/>
      <c r="F319" s="98"/>
      <c r="G319" s="98"/>
      <c r="H319" s="98"/>
      <c r="I319" s="98"/>
      <c r="J319" s="98"/>
      <c r="K319" s="98"/>
    </row>
    <row r="320">
      <c r="A320" s="98"/>
      <c r="B320" s="98"/>
      <c r="D320" s="98"/>
      <c r="E320" s="98"/>
      <c r="F320" s="98"/>
      <c r="G320" s="98"/>
      <c r="H320" s="98"/>
      <c r="I320" s="98"/>
      <c r="J320" s="98"/>
      <c r="K320" s="98"/>
    </row>
    <row r="321">
      <c r="A321" s="98"/>
      <c r="B321" s="98"/>
      <c r="D321" s="98"/>
      <c r="E321" s="98"/>
      <c r="F321" s="98"/>
      <c r="G321" s="98"/>
      <c r="H321" s="98"/>
      <c r="I321" s="98"/>
      <c r="J321" s="98"/>
      <c r="K321" s="98"/>
    </row>
    <row r="322">
      <c r="A322" s="98"/>
      <c r="B322" s="98"/>
      <c r="D322" s="98"/>
      <c r="E322" s="98"/>
      <c r="F322" s="98"/>
      <c r="G322" s="98"/>
      <c r="H322" s="98"/>
      <c r="I322" s="98"/>
      <c r="J322" s="98"/>
      <c r="K322" s="98"/>
    </row>
    <row r="323">
      <c r="A323" s="98"/>
      <c r="B323" s="98"/>
      <c r="D323" s="98"/>
      <c r="E323" s="98"/>
      <c r="F323" s="98"/>
      <c r="G323" s="98"/>
      <c r="H323" s="98"/>
      <c r="I323" s="98"/>
      <c r="J323" s="98"/>
      <c r="K323" s="98"/>
    </row>
    <row r="324">
      <c r="A324" s="98"/>
      <c r="B324" s="98"/>
      <c r="D324" s="98"/>
      <c r="E324" s="98"/>
      <c r="F324" s="98"/>
      <c r="G324" s="98"/>
      <c r="H324" s="98"/>
      <c r="I324" s="98"/>
      <c r="J324" s="98"/>
      <c r="K324" s="98"/>
    </row>
    <row r="325">
      <c r="A325" s="98"/>
      <c r="B325" s="98"/>
      <c r="D325" s="98"/>
      <c r="E325" s="98"/>
      <c r="F325" s="98"/>
      <c r="G325" s="98"/>
      <c r="H325" s="98"/>
      <c r="I325" s="98"/>
      <c r="J325" s="98"/>
      <c r="K325" s="98"/>
    </row>
    <row r="326">
      <c r="A326" s="98"/>
      <c r="B326" s="98"/>
      <c r="D326" s="98"/>
      <c r="E326" s="98"/>
      <c r="F326" s="98"/>
      <c r="G326" s="98"/>
      <c r="H326" s="98"/>
      <c r="I326" s="98"/>
      <c r="J326" s="98"/>
      <c r="K326" s="98"/>
    </row>
    <row r="327">
      <c r="A327" s="98"/>
      <c r="B327" s="98"/>
      <c r="D327" s="98"/>
      <c r="E327" s="98"/>
      <c r="F327" s="98"/>
      <c r="G327" s="98"/>
      <c r="H327" s="98"/>
      <c r="I327" s="98"/>
      <c r="J327" s="98"/>
      <c r="K327" s="98"/>
    </row>
    <row r="328">
      <c r="A328" s="98"/>
      <c r="B328" s="98"/>
      <c r="D328" s="98"/>
      <c r="E328" s="98"/>
      <c r="F328" s="98"/>
      <c r="G328" s="98"/>
      <c r="H328" s="98"/>
      <c r="I328" s="98"/>
      <c r="J328" s="98"/>
      <c r="K328" s="98"/>
    </row>
    <row r="329">
      <c r="A329" s="98"/>
      <c r="B329" s="98"/>
      <c r="D329" s="98"/>
      <c r="E329" s="98"/>
      <c r="F329" s="98"/>
      <c r="G329" s="98"/>
      <c r="H329" s="98"/>
      <c r="I329" s="98"/>
      <c r="J329" s="98"/>
      <c r="K329" s="98"/>
    </row>
    <row r="330">
      <c r="A330" s="98"/>
      <c r="B330" s="98"/>
      <c r="D330" s="98"/>
      <c r="E330" s="98"/>
      <c r="F330" s="98"/>
      <c r="G330" s="98"/>
      <c r="H330" s="98"/>
      <c r="I330" s="98"/>
      <c r="J330" s="98"/>
      <c r="K330" s="98"/>
    </row>
    <row r="331">
      <c r="A331" s="98"/>
      <c r="B331" s="98"/>
      <c r="D331" s="98"/>
      <c r="E331" s="98"/>
      <c r="F331" s="98"/>
      <c r="G331" s="98"/>
      <c r="H331" s="98"/>
      <c r="I331" s="98"/>
      <c r="J331" s="98"/>
      <c r="K331" s="98"/>
    </row>
    <row r="332">
      <c r="A332" s="98"/>
      <c r="B332" s="98"/>
      <c r="D332" s="98"/>
      <c r="E332" s="98"/>
      <c r="F332" s="98"/>
      <c r="G332" s="98"/>
      <c r="H332" s="98"/>
      <c r="I332" s="98"/>
      <c r="J332" s="98"/>
      <c r="K332" s="98"/>
    </row>
    <row r="333">
      <c r="A333" s="98"/>
      <c r="B333" s="98"/>
      <c r="D333" s="98"/>
      <c r="E333" s="98"/>
      <c r="F333" s="98"/>
      <c r="G333" s="98"/>
      <c r="H333" s="98"/>
      <c r="I333" s="98"/>
      <c r="J333" s="98"/>
      <c r="K333" s="98"/>
    </row>
    <row r="334">
      <c r="A334" s="98"/>
      <c r="B334" s="98"/>
      <c r="D334" s="98"/>
      <c r="E334" s="98"/>
      <c r="F334" s="98"/>
      <c r="G334" s="98"/>
      <c r="H334" s="98"/>
      <c r="I334" s="98"/>
      <c r="J334" s="98"/>
      <c r="K334" s="98"/>
    </row>
    <row r="335">
      <c r="A335" s="98"/>
      <c r="B335" s="98"/>
      <c r="D335" s="98"/>
      <c r="E335" s="98"/>
      <c r="F335" s="98"/>
      <c r="G335" s="98"/>
      <c r="H335" s="98"/>
      <c r="I335" s="98"/>
      <c r="J335" s="98"/>
      <c r="K335" s="98"/>
    </row>
    <row r="336">
      <c r="A336" s="98"/>
      <c r="B336" s="98"/>
      <c r="D336" s="98"/>
      <c r="E336" s="98"/>
      <c r="F336" s="98"/>
      <c r="G336" s="98"/>
      <c r="H336" s="98"/>
      <c r="I336" s="98"/>
      <c r="J336" s="98"/>
      <c r="K336" s="98"/>
    </row>
    <row r="337">
      <c r="A337" s="98"/>
      <c r="B337" s="98"/>
      <c r="D337" s="98"/>
      <c r="E337" s="98"/>
      <c r="F337" s="98"/>
      <c r="G337" s="98"/>
      <c r="H337" s="98"/>
      <c r="I337" s="98"/>
      <c r="J337" s="98"/>
      <c r="K337" s="98"/>
    </row>
    <row r="338">
      <c r="A338" s="98"/>
      <c r="B338" s="98"/>
      <c r="D338" s="98"/>
      <c r="E338" s="98"/>
      <c r="F338" s="98"/>
      <c r="G338" s="98"/>
      <c r="H338" s="98"/>
      <c r="I338" s="98"/>
      <c r="J338" s="98"/>
      <c r="K338" s="98"/>
    </row>
    <row r="339">
      <c r="A339" s="98"/>
      <c r="B339" s="98"/>
      <c r="D339" s="98"/>
      <c r="E339" s="98"/>
      <c r="F339" s="98"/>
      <c r="G339" s="98"/>
      <c r="H339" s="98"/>
      <c r="I339" s="98"/>
      <c r="J339" s="98"/>
      <c r="K339" s="98"/>
    </row>
    <row r="340">
      <c r="A340" s="98"/>
      <c r="B340" s="98"/>
      <c r="D340" s="98"/>
      <c r="E340" s="98"/>
      <c r="F340" s="98"/>
      <c r="G340" s="98"/>
      <c r="H340" s="98"/>
      <c r="I340" s="98"/>
      <c r="J340" s="98"/>
      <c r="K340" s="98"/>
    </row>
    <row r="341">
      <c r="A341" s="98"/>
      <c r="B341" s="98"/>
      <c r="D341" s="98"/>
      <c r="E341" s="98"/>
      <c r="F341" s="98"/>
      <c r="G341" s="98"/>
      <c r="H341" s="98"/>
      <c r="I341" s="98"/>
      <c r="J341" s="98"/>
      <c r="K341" s="98"/>
    </row>
    <row r="342">
      <c r="A342" s="98"/>
      <c r="B342" s="98"/>
      <c r="D342" s="98"/>
      <c r="E342" s="98"/>
      <c r="F342" s="98"/>
      <c r="G342" s="98"/>
      <c r="H342" s="98"/>
      <c r="I342" s="98"/>
      <c r="J342" s="98"/>
      <c r="K342" s="98"/>
    </row>
    <row r="343">
      <c r="A343" s="98"/>
      <c r="B343" s="98"/>
      <c r="D343" s="98"/>
      <c r="E343" s="98"/>
      <c r="F343" s="98"/>
      <c r="G343" s="98"/>
      <c r="H343" s="98"/>
      <c r="I343" s="98"/>
      <c r="J343" s="98"/>
      <c r="K343" s="98"/>
    </row>
    <row r="344">
      <c r="A344" s="98"/>
      <c r="B344" s="98"/>
      <c r="D344" s="98"/>
      <c r="E344" s="98"/>
      <c r="F344" s="98"/>
      <c r="G344" s="98"/>
      <c r="H344" s="98"/>
      <c r="I344" s="98"/>
      <c r="J344" s="98"/>
      <c r="K344" s="98"/>
    </row>
    <row r="345">
      <c r="A345" s="98"/>
      <c r="B345" s="98"/>
      <c r="D345" s="98"/>
      <c r="E345" s="98"/>
      <c r="F345" s="98"/>
      <c r="G345" s="98"/>
      <c r="H345" s="98"/>
      <c r="I345" s="98"/>
      <c r="J345" s="98"/>
      <c r="K345" s="98"/>
    </row>
    <row r="346">
      <c r="A346" s="98"/>
      <c r="B346" s="98"/>
      <c r="D346" s="98"/>
      <c r="E346" s="98"/>
      <c r="F346" s="98"/>
      <c r="G346" s="98"/>
      <c r="H346" s="98"/>
      <c r="I346" s="98"/>
      <c r="J346" s="98"/>
      <c r="K346" s="98"/>
    </row>
    <row r="347">
      <c r="A347" s="98"/>
      <c r="B347" s="98"/>
      <c r="D347" s="98"/>
      <c r="E347" s="98"/>
      <c r="F347" s="98"/>
      <c r="G347" s="98"/>
      <c r="H347" s="98"/>
      <c r="I347" s="98"/>
      <c r="J347" s="98"/>
      <c r="K347" s="98"/>
    </row>
    <row r="348">
      <c r="A348" s="98"/>
      <c r="B348" s="98"/>
      <c r="D348" s="98"/>
      <c r="E348" s="98"/>
      <c r="F348" s="98"/>
      <c r="G348" s="98"/>
      <c r="H348" s="98"/>
      <c r="I348" s="98"/>
      <c r="J348" s="98"/>
      <c r="K348" s="98"/>
    </row>
    <row r="349">
      <c r="A349" s="98"/>
      <c r="B349" s="98"/>
      <c r="D349" s="98"/>
      <c r="E349" s="98"/>
      <c r="F349" s="98"/>
      <c r="G349" s="98"/>
      <c r="H349" s="98"/>
      <c r="I349" s="98"/>
      <c r="J349" s="98"/>
      <c r="K349" s="98"/>
    </row>
    <row r="350">
      <c r="A350" s="98"/>
      <c r="B350" s="98"/>
      <c r="D350" s="98"/>
      <c r="E350" s="98"/>
      <c r="F350" s="98"/>
      <c r="G350" s="98"/>
      <c r="H350" s="98"/>
      <c r="I350" s="98"/>
      <c r="J350" s="98"/>
      <c r="K350" s="98"/>
    </row>
    <row r="351">
      <c r="A351" s="98"/>
      <c r="B351" s="98"/>
      <c r="D351" s="98"/>
      <c r="E351" s="98"/>
      <c r="F351" s="98"/>
      <c r="G351" s="98"/>
      <c r="H351" s="98"/>
      <c r="I351" s="98"/>
      <c r="J351" s="98"/>
      <c r="K351" s="98"/>
    </row>
    <row r="352">
      <c r="A352" s="98"/>
      <c r="B352" s="98"/>
      <c r="D352" s="98"/>
      <c r="E352" s="98"/>
      <c r="F352" s="98"/>
      <c r="G352" s="98"/>
      <c r="H352" s="98"/>
      <c r="I352" s="98"/>
      <c r="J352" s="98"/>
      <c r="K352" s="98"/>
    </row>
    <row r="353">
      <c r="A353" s="98"/>
      <c r="B353" s="98"/>
      <c r="D353" s="98"/>
      <c r="E353" s="98"/>
      <c r="F353" s="98"/>
      <c r="G353" s="98"/>
      <c r="H353" s="98"/>
      <c r="I353" s="98"/>
      <c r="J353" s="98"/>
      <c r="K353" s="98"/>
    </row>
    <row r="354">
      <c r="A354" s="98"/>
      <c r="B354" s="98"/>
      <c r="D354" s="98"/>
      <c r="E354" s="98"/>
      <c r="F354" s="98"/>
      <c r="G354" s="98"/>
      <c r="H354" s="98"/>
      <c r="I354" s="98"/>
      <c r="J354" s="98"/>
      <c r="K354" s="98"/>
    </row>
    <row r="355">
      <c r="A355" s="98"/>
      <c r="B355" s="98"/>
      <c r="D355" s="98"/>
      <c r="E355" s="98"/>
      <c r="F355" s="98"/>
      <c r="G355" s="98"/>
      <c r="H355" s="98"/>
      <c r="I355" s="98"/>
      <c r="J355" s="98"/>
      <c r="K355" s="98"/>
    </row>
    <row r="356">
      <c r="A356" s="98"/>
      <c r="B356" s="98"/>
      <c r="D356" s="98"/>
      <c r="E356" s="98"/>
      <c r="F356" s="98"/>
      <c r="G356" s="98"/>
      <c r="H356" s="98"/>
      <c r="I356" s="98"/>
      <c r="J356" s="98"/>
      <c r="K356" s="98"/>
    </row>
    <row r="357">
      <c r="A357" s="98"/>
      <c r="B357" s="98"/>
      <c r="D357" s="98"/>
      <c r="E357" s="98"/>
      <c r="F357" s="98"/>
      <c r="G357" s="98"/>
      <c r="H357" s="98"/>
      <c r="I357" s="98"/>
      <c r="J357" s="98"/>
      <c r="K357" s="98"/>
    </row>
    <row r="358">
      <c r="A358" s="98"/>
      <c r="B358" s="98"/>
      <c r="D358" s="98"/>
      <c r="E358" s="98"/>
      <c r="F358" s="98"/>
      <c r="G358" s="98"/>
      <c r="H358" s="98"/>
      <c r="I358" s="98"/>
      <c r="J358" s="98"/>
      <c r="K358" s="98"/>
    </row>
    <row r="359">
      <c r="A359" s="98"/>
      <c r="B359" s="98"/>
      <c r="D359" s="98"/>
      <c r="E359" s="98"/>
      <c r="F359" s="98"/>
      <c r="G359" s="98"/>
      <c r="H359" s="98"/>
      <c r="I359" s="98"/>
      <c r="J359" s="98"/>
      <c r="K359" s="98"/>
    </row>
    <row r="360">
      <c r="A360" s="98"/>
      <c r="B360" s="98"/>
      <c r="D360" s="98"/>
      <c r="E360" s="98"/>
      <c r="F360" s="98"/>
      <c r="G360" s="98"/>
      <c r="H360" s="98"/>
      <c r="I360" s="98"/>
      <c r="J360" s="98"/>
      <c r="K360" s="98"/>
    </row>
    <row r="361">
      <c r="A361" s="98"/>
      <c r="B361" s="98"/>
      <c r="D361" s="98"/>
      <c r="E361" s="98"/>
      <c r="F361" s="98"/>
      <c r="G361" s="98"/>
      <c r="H361" s="98"/>
      <c r="I361" s="98"/>
      <c r="J361" s="98"/>
      <c r="K361" s="98"/>
    </row>
    <row r="362">
      <c r="A362" s="98"/>
      <c r="B362" s="98"/>
      <c r="D362" s="98"/>
      <c r="E362" s="98"/>
      <c r="F362" s="98"/>
      <c r="G362" s="98"/>
      <c r="H362" s="98"/>
      <c r="I362" s="98"/>
      <c r="J362" s="98"/>
      <c r="K362" s="98"/>
    </row>
    <row r="363">
      <c r="A363" s="98"/>
      <c r="B363" s="98"/>
      <c r="D363" s="98"/>
      <c r="E363" s="98"/>
      <c r="F363" s="98"/>
      <c r="G363" s="98"/>
      <c r="H363" s="98"/>
      <c r="I363" s="98"/>
      <c r="J363" s="98"/>
      <c r="K363" s="98"/>
    </row>
    <row r="364">
      <c r="A364" s="98"/>
      <c r="B364" s="98"/>
      <c r="D364" s="98"/>
      <c r="E364" s="98"/>
      <c r="F364" s="98"/>
      <c r="G364" s="98"/>
      <c r="H364" s="98"/>
      <c r="I364" s="98"/>
      <c r="J364" s="98"/>
      <c r="K364" s="98"/>
    </row>
    <row r="365">
      <c r="A365" s="98"/>
      <c r="B365" s="98"/>
      <c r="D365" s="98"/>
      <c r="E365" s="98"/>
      <c r="F365" s="98"/>
      <c r="G365" s="98"/>
      <c r="H365" s="98"/>
      <c r="I365" s="98"/>
      <c r="J365" s="98"/>
      <c r="K365" s="98"/>
    </row>
    <row r="366">
      <c r="A366" s="98"/>
      <c r="B366" s="98"/>
      <c r="D366" s="98"/>
      <c r="E366" s="98"/>
      <c r="F366" s="98"/>
      <c r="G366" s="98"/>
      <c r="H366" s="98"/>
      <c r="I366" s="98"/>
      <c r="J366" s="98"/>
      <c r="K366" s="98"/>
    </row>
    <row r="367">
      <c r="A367" s="98"/>
      <c r="B367" s="98"/>
      <c r="D367" s="98"/>
      <c r="E367" s="98"/>
      <c r="F367" s="98"/>
      <c r="G367" s="98"/>
      <c r="H367" s="98"/>
      <c r="I367" s="98"/>
      <c r="J367" s="98"/>
      <c r="K367" s="98"/>
    </row>
    <row r="368">
      <c r="A368" s="98"/>
      <c r="B368" s="98"/>
      <c r="D368" s="98"/>
      <c r="E368" s="98"/>
      <c r="F368" s="98"/>
      <c r="G368" s="98"/>
      <c r="H368" s="98"/>
      <c r="I368" s="98"/>
      <c r="J368" s="98"/>
      <c r="K368" s="98"/>
    </row>
    <row r="369">
      <c r="A369" s="98"/>
      <c r="B369" s="98"/>
      <c r="D369" s="98"/>
      <c r="E369" s="98"/>
      <c r="F369" s="98"/>
      <c r="G369" s="98"/>
      <c r="H369" s="98"/>
      <c r="I369" s="98"/>
      <c r="J369" s="98"/>
      <c r="K369" s="98"/>
    </row>
    <row r="370">
      <c r="A370" s="98"/>
      <c r="B370" s="98"/>
      <c r="D370" s="98"/>
      <c r="E370" s="98"/>
      <c r="F370" s="98"/>
      <c r="G370" s="98"/>
      <c r="H370" s="98"/>
      <c r="I370" s="98"/>
      <c r="J370" s="98"/>
      <c r="K370" s="98"/>
    </row>
    <row r="371">
      <c r="A371" s="98"/>
      <c r="B371" s="98"/>
      <c r="D371" s="98"/>
      <c r="E371" s="98"/>
      <c r="F371" s="98"/>
      <c r="G371" s="98"/>
      <c r="H371" s="98"/>
      <c r="I371" s="98"/>
      <c r="J371" s="98"/>
      <c r="K371" s="98"/>
    </row>
    <row r="372">
      <c r="A372" s="98"/>
      <c r="B372" s="98"/>
      <c r="D372" s="98"/>
      <c r="E372" s="98"/>
      <c r="F372" s="98"/>
      <c r="G372" s="98"/>
      <c r="H372" s="98"/>
      <c r="I372" s="98"/>
      <c r="J372" s="98"/>
      <c r="K372" s="98"/>
    </row>
    <row r="373">
      <c r="A373" s="98"/>
      <c r="B373" s="98"/>
      <c r="D373" s="98"/>
      <c r="E373" s="98"/>
      <c r="F373" s="98"/>
      <c r="G373" s="98"/>
      <c r="H373" s="98"/>
      <c r="I373" s="98"/>
      <c r="J373" s="98"/>
      <c r="K373" s="98"/>
    </row>
    <row r="374">
      <c r="A374" s="98"/>
      <c r="B374" s="98"/>
      <c r="D374" s="98"/>
      <c r="E374" s="98"/>
      <c r="F374" s="98"/>
      <c r="G374" s="98"/>
      <c r="H374" s="98"/>
      <c r="I374" s="98"/>
      <c r="J374" s="98"/>
      <c r="K374" s="98"/>
    </row>
    <row r="375">
      <c r="A375" s="98"/>
      <c r="B375" s="98"/>
      <c r="D375" s="98"/>
      <c r="E375" s="98"/>
      <c r="F375" s="98"/>
      <c r="G375" s="98"/>
      <c r="H375" s="98"/>
      <c r="I375" s="98"/>
      <c r="J375" s="98"/>
      <c r="K375" s="98"/>
    </row>
    <row r="376">
      <c r="A376" s="98"/>
      <c r="B376" s="98"/>
      <c r="D376" s="98"/>
      <c r="E376" s="98"/>
      <c r="F376" s="98"/>
      <c r="G376" s="98"/>
      <c r="H376" s="98"/>
      <c r="I376" s="98"/>
      <c r="J376" s="98"/>
      <c r="K376" s="98"/>
    </row>
    <row r="377">
      <c r="A377" s="98"/>
      <c r="B377" s="98"/>
      <c r="D377" s="98"/>
      <c r="E377" s="98"/>
      <c r="F377" s="98"/>
      <c r="G377" s="98"/>
      <c r="H377" s="98"/>
      <c r="I377" s="98"/>
      <c r="J377" s="98"/>
      <c r="K377" s="98"/>
    </row>
    <row r="378">
      <c r="A378" s="98"/>
      <c r="B378" s="98"/>
      <c r="D378" s="98"/>
      <c r="E378" s="98"/>
      <c r="F378" s="98"/>
      <c r="G378" s="98"/>
      <c r="H378" s="98"/>
      <c r="I378" s="98"/>
      <c r="J378" s="98"/>
      <c r="K378" s="98"/>
    </row>
    <row r="379">
      <c r="A379" s="98"/>
      <c r="B379" s="98"/>
      <c r="D379" s="98"/>
      <c r="E379" s="98"/>
      <c r="F379" s="98"/>
      <c r="G379" s="98"/>
      <c r="H379" s="98"/>
      <c r="I379" s="98"/>
      <c r="J379" s="98"/>
      <c r="K379" s="98"/>
    </row>
    <row r="380">
      <c r="A380" s="98"/>
      <c r="B380" s="98"/>
      <c r="D380" s="98"/>
      <c r="E380" s="98"/>
      <c r="F380" s="98"/>
      <c r="G380" s="98"/>
      <c r="H380" s="98"/>
      <c r="I380" s="98"/>
      <c r="J380" s="98"/>
      <c r="K380" s="98"/>
    </row>
    <row r="381">
      <c r="A381" s="98"/>
      <c r="B381" s="98"/>
      <c r="D381" s="98"/>
      <c r="E381" s="98"/>
      <c r="F381" s="98"/>
      <c r="G381" s="98"/>
      <c r="H381" s="98"/>
      <c r="I381" s="98"/>
      <c r="J381" s="98"/>
      <c r="K381" s="98"/>
    </row>
    <row r="382">
      <c r="A382" s="98"/>
      <c r="B382" s="98"/>
      <c r="D382" s="98"/>
      <c r="E382" s="98"/>
      <c r="F382" s="98"/>
      <c r="G382" s="98"/>
      <c r="H382" s="98"/>
      <c r="I382" s="98"/>
      <c r="J382" s="98"/>
      <c r="K382" s="98"/>
    </row>
    <row r="383">
      <c r="A383" s="98"/>
      <c r="B383" s="98"/>
      <c r="D383" s="98"/>
      <c r="E383" s="98"/>
      <c r="F383" s="98"/>
      <c r="G383" s="98"/>
      <c r="H383" s="98"/>
      <c r="I383" s="98"/>
      <c r="J383" s="98"/>
      <c r="K383" s="98"/>
    </row>
    <row r="384">
      <c r="A384" s="98"/>
      <c r="B384" s="98"/>
      <c r="D384" s="98"/>
      <c r="E384" s="98"/>
      <c r="F384" s="98"/>
      <c r="G384" s="98"/>
      <c r="H384" s="98"/>
      <c r="I384" s="98"/>
      <c r="J384" s="98"/>
      <c r="K384" s="98"/>
    </row>
    <row r="385">
      <c r="A385" s="98"/>
      <c r="B385" s="98"/>
      <c r="D385" s="98"/>
      <c r="E385" s="98"/>
      <c r="F385" s="98"/>
      <c r="G385" s="98"/>
      <c r="H385" s="98"/>
      <c r="I385" s="98"/>
      <c r="J385" s="98"/>
      <c r="K385" s="98"/>
    </row>
    <row r="386">
      <c r="A386" s="98"/>
      <c r="B386" s="98"/>
      <c r="D386" s="98"/>
      <c r="E386" s="98"/>
      <c r="F386" s="98"/>
      <c r="G386" s="98"/>
      <c r="H386" s="98"/>
      <c r="I386" s="98"/>
      <c r="J386" s="98"/>
      <c r="K386" s="98"/>
    </row>
    <row r="387">
      <c r="A387" s="98"/>
      <c r="B387" s="98"/>
      <c r="D387" s="98"/>
      <c r="E387" s="98"/>
      <c r="F387" s="98"/>
      <c r="G387" s="98"/>
      <c r="H387" s="98"/>
      <c r="I387" s="98"/>
      <c r="J387" s="98"/>
      <c r="K387" s="98"/>
    </row>
    <row r="388">
      <c r="A388" s="98"/>
      <c r="B388" s="98"/>
      <c r="D388" s="98"/>
      <c r="E388" s="98"/>
      <c r="F388" s="98"/>
      <c r="G388" s="98"/>
      <c r="H388" s="98"/>
      <c r="I388" s="98"/>
      <c r="J388" s="98"/>
      <c r="K388" s="98"/>
    </row>
    <row r="389">
      <c r="A389" s="98"/>
      <c r="B389" s="98"/>
      <c r="D389" s="98"/>
      <c r="E389" s="98"/>
      <c r="F389" s="98"/>
      <c r="G389" s="98"/>
      <c r="H389" s="98"/>
      <c r="I389" s="98"/>
      <c r="J389" s="98"/>
      <c r="K389" s="98"/>
    </row>
    <row r="390">
      <c r="A390" s="98"/>
      <c r="B390" s="98"/>
      <c r="D390" s="98"/>
      <c r="E390" s="98"/>
      <c r="F390" s="98"/>
      <c r="G390" s="98"/>
      <c r="H390" s="98"/>
      <c r="I390" s="98"/>
      <c r="J390" s="98"/>
      <c r="K390" s="98"/>
    </row>
    <row r="391">
      <c r="A391" s="98"/>
      <c r="B391" s="98"/>
      <c r="D391" s="98"/>
      <c r="E391" s="98"/>
      <c r="F391" s="98"/>
      <c r="G391" s="98"/>
      <c r="H391" s="98"/>
      <c r="I391" s="98"/>
      <c r="J391" s="98"/>
      <c r="K391" s="98"/>
    </row>
    <row r="392">
      <c r="A392" s="98"/>
      <c r="B392" s="98"/>
      <c r="D392" s="98"/>
      <c r="E392" s="98"/>
      <c r="F392" s="98"/>
      <c r="G392" s="98"/>
      <c r="H392" s="98"/>
      <c r="I392" s="98"/>
      <c r="J392" s="98"/>
      <c r="K392" s="98"/>
    </row>
    <row r="393">
      <c r="A393" s="98"/>
      <c r="B393" s="98"/>
      <c r="D393" s="98"/>
      <c r="E393" s="98"/>
      <c r="F393" s="98"/>
      <c r="G393" s="98"/>
      <c r="H393" s="98"/>
      <c r="I393" s="98"/>
      <c r="J393" s="98"/>
      <c r="K393" s="98"/>
    </row>
    <row r="394">
      <c r="A394" s="98"/>
      <c r="B394" s="98"/>
      <c r="D394" s="98"/>
      <c r="E394" s="98"/>
      <c r="F394" s="98"/>
      <c r="G394" s="98"/>
      <c r="H394" s="98"/>
      <c r="I394" s="98"/>
      <c r="J394" s="98"/>
      <c r="K394" s="98"/>
    </row>
    <row r="395">
      <c r="A395" s="98"/>
      <c r="B395" s="98"/>
      <c r="D395" s="98"/>
      <c r="E395" s="98"/>
      <c r="F395" s="98"/>
      <c r="G395" s="98"/>
      <c r="H395" s="98"/>
      <c r="I395" s="98"/>
      <c r="J395" s="98"/>
      <c r="K395" s="98"/>
    </row>
    <row r="396">
      <c r="A396" s="98"/>
      <c r="B396" s="98"/>
      <c r="D396" s="98"/>
      <c r="E396" s="98"/>
      <c r="F396" s="98"/>
      <c r="G396" s="98"/>
      <c r="H396" s="98"/>
      <c r="I396" s="98"/>
      <c r="J396" s="98"/>
      <c r="K396" s="98"/>
    </row>
    <row r="397">
      <c r="A397" s="98"/>
      <c r="B397" s="98"/>
      <c r="D397" s="98"/>
      <c r="E397" s="98"/>
      <c r="F397" s="98"/>
      <c r="G397" s="98"/>
      <c r="H397" s="98"/>
      <c r="I397" s="98"/>
      <c r="J397" s="98"/>
      <c r="K397" s="98"/>
    </row>
    <row r="398">
      <c r="A398" s="98"/>
      <c r="B398" s="98"/>
      <c r="D398" s="98"/>
      <c r="E398" s="98"/>
      <c r="F398" s="98"/>
      <c r="G398" s="98"/>
      <c r="H398" s="98"/>
      <c r="I398" s="98"/>
      <c r="J398" s="98"/>
      <c r="K398" s="98"/>
    </row>
    <row r="399">
      <c r="A399" s="98"/>
      <c r="B399" s="98"/>
      <c r="D399" s="98"/>
      <c r="E399" s="98"/>
      <c r="F399" s="98"/>
      <c r="G399" s="98"/>
      <c r="H399" s="98"/>
      <c r="I399" s="98"/>
      <c r="J399" s="98"/>
      <c r="K399" s="98"/>
    </row>
    <row r="400">
      <c r="A400" s="98"/>
      <c r="B400" s="98"/>
      <c r="D400" s="98"/>
      <c r="E400" s="98"/>
      <c r="F400" s="98"/>
      <c r="G400" s="98"/>
      <c r="H400" s="98"/>
      <c r="I400" s="98"/>
      <c r="J400" s="98"/>
      <c r="K400" s="98"/>
    </row>
    <row r="401">
      <c r="A401" s="98"/>
      <c r="B401" s="98"/>
      <c r="D401" s="98"/>
      <c r="E401" s="98"/>
      <c r="F401" s="98"/>
      <c r="G401" s="98"/>
      <c r="H401" s="98"/>
      <c r="I401" s="98"/>
      <c r="J401" s="98"/>
      <c r="K401" s="98"/>
    </row>
    <row r="402">
      <c r="A402" s="98"/>
      <c r="B402" s="98"/>
      <c r="D402" s="98"/>
      <c r="E402" s="98"/>
      <c r="F402" s="98"/>
      <c r="G402" s="98"/>
      <c r="H402" s="98"/>
      <c r="I402" s="98"/>
      <c r="J402" s="98"/>
      <c r="K402" s="98"/>
    </row>
    <row r="403">
      <c r="A403" s="98"/>
      <c r="B403" s="98"/>
      <c r="D403" s="98"/>
      <c r="E403" s="98"/>
      <c r="F403" s="98"/>
      <c r="G403" s="98"/>
      <c r="H403" s="98"/>
      <c r="I403" s="98"/>
      <c r="J403" s="98"/>
      <c r="K403" s="98"/>
    </row>
    <row r="404">
      <c r="A404" s="98"/>
      <c r="B404" s="98"/>
      <c r="D404" s="98"/>
      <c r="E404" s="98"/>
      <c r="F404" s="98"/>
      <c r="G404" s="98"/>
      <c r="H404" s="98"/>
      <c r="I404" s="98"/>
      <c r="J404" s="98"/>
      <c r="K404" s="98"/>
    </row>
    <row r="405">
      <c r="A405" s="98"/>
      <c r="B405" s="98"/>
      <c r="D405" s="98"/>
      <c r="E405" s="98"/>
      <c r="F405" s="98"/>
      <c r="G405" s="98"/>
      <c r="H405" s="98"/>
      <c r="I405" s="98"/>
      <c r="J405" s="98"/>
      <c r="K405" s="98"/>
    </row>
    <row r="406">
      <c r="A406" s="98"/>
      <c r="B406" s="98"/>
      <c r="D406" s="98"/>
      <c r="E406" s="98"/>
      <c r="F406" s="98"/>
      <c r="G406" s="98"/>
      <c r="H406" s="98"/>
      <c r="I406" s="98"/>
      <c r="J406" s="98"/>
      <c r="K406" s="98"/>
    </row>
    <row r="407">
      <c r="A407" s="98"/>
      <c r="B407" s="98"/>
      <c r="D407" s="98"/>
      <c r="E407" s="98"/>
      <c r="F407" s="98"/>
      <c r="G407" s="98"/>
      <c r="H407" s="98"/>
      <c r="I407" s="98"/>
      <c r="J407" s="98"/>
      <c r="K407" s="98"/>
    </row>
    <row r="408">
      <c r="A408" s="98"/>
      <c r="B408" s="98"/>
      <c r="D408" s="98"/>
      <c r="E408" s="98"/>
      <c r="F408" s="98"/>
      <c r="G408" s="98"/>
      <c r="H408" s="98"/>
      <c r="I408" s="98"/>
      <c r="J408" s="98"/>
      <c r="K408" s="98"/>
    </row>
    <row r="409">
      <c r="A409" s="98"/>
      <c r="B409" s="98"/>
      <c r="D409" s="98"/>
      <c r="E409" s="98"/>
      <c r="F409" s="98"/>
      <c r="G409" s="98"/>
      <c r="H409" s="98"/>
      <c r="I409" s="98"/>
      <c r="J409" s="98"/>
      <c r="K409" s="98"/>
    </row>
    <row r="410">
      <c r="A410" s="98"/>
      <c r="B410" s="98"/>
      <c r="D410" s="98"/>
      <c r="E410" s="98"/>
      <c r="F410" s="98"/>
      <c r="G410" s="98"/>
      <c r="H410" s="98"/>
      <c r="I410" s="98"/>
      <c r="J410" s="98"/>
      <c r="K410" s="98"/>
    </row>
    <row r="411">
      <c r="A411" s="98"/>
      <c r="B411" s="98"/>
      <c r="D411" s="98"/>
      <c r="E411" s="98"/>
      <c r="F411" s="98"/>
      <c r="G411" s="98"/>
      <c r="H411" s="98"/>
      <c r="I411" s="98"/>
      <c r="J411" s="98"/>
      <c r="K411" s="98"/>
    </row>
    <row r="412">
      <c r="A412" s="98"/>
      <c r="B412" s="98"/>
      <c r="D412" s="98"/>
      <c r="E412" s="98"/>
      <c r="F412" s="98"/>
      <c r="G412" s="98"/>
      <c r="H412" s="98"/>
      <c r="I412" s="98"/>
      <c r="J412" s="98"/>
      <c r="K412" s="98"/>
    </row>
    <row r="413">
      <c r="A413" s="98"/>
      <c r="B413" s="98"/>
      <c r="D413" s="98"/>
      <c r="E413" s="98"/>
      <c r="F413" s="98"/>
      <c r="G413" s="98"/>
      <c r="H413" s="98"/>
      <c r="I413" s="98"/>
      <c r="J413" s="98"/>
      <c r="K413" s="98"/>
    </row>
    <row r="414">
      <c r="A414" s="98"/>
      <c r="B414" s="98"/>
      <c r="D414" s="98"/>
      <c r="E414" s="98"/>
      <c r="F414" s="98"/>
      <c r="G414" s="98"/>
      <c r="H414" s="98"/>
      <c r="I414" s="98"/>
      <c r="J414" s="98"/>
      <c r="K414" s="98"/>
    </row>
    <row r="415">
      <c r="A415" s="98"/>
      <c r="B415" s="98"/>
      <c r="D415" s="98"/>
      <c r="E415" s="98"/>
      <c r="F415" s="98"/>
      <c r="G415" s="98"/>
      <c r="H415" s="98"/>
      <c r="I415" s="98"/>
      <c r="J415" s="98"/>
      <c r="K415" s="98"/>
    </row>
    <row r="416">
      <c r="A416" s="98"/>
      <c r="B416" s="98"/>
      <c r="D416" s="98"/>
      <c r="E416" s="98"/>
      <c r="F416" s="98"/>
      <c r="G416" s="98"/>
      <c r="H416" s="98"/>
      <c r="I416" s="98"/>
      <c r="J416" s="98"/>
      <c r="K416" s="98"/>
    </row>
    <row r="417">
      <c r="A417" s="98"/>
      <c r="B417" s="98"/>
      <c r="D417" s="98"/>
      <c r="E417" s="98"/>
      <c r="F417" s="98"/>
      <c r="G417" s="98"/>
      <c r="H417" s="98"/>
      <c r="I417" s="98"/>
      <c r="J417" s="98"/>
      <c r="K417" s="98"/>
    </row>
    <row r="418">
      <c r="A418" s="98"/>
      <c r="B418" s="98"/>
      <c r="D418" s="98"/>
      <c r="E418" s="98"/>
      <c r="F418" s="98"/>
      <c r="G418" s="98"/>
      <c r="H418" s="98"/>
      <c r="I418" s="98"/>
      <c r="J418" s="98"/>
      <c r="K418" s="98"/>
    </row>
    <row r="419">
      <c r="A419" s="98"/>
      <c r="B419" s="98"/>
      <c r="D419" s="98"/>
      <c r="E419" s="98"/>
      <c r="F419" s="98"/>
      <c r="G419" s="98"/>
      <c r="H419" s="98"/>
      <c r="I419" s="98"/>
      <c r="J419" s="98"/>
      <c r="K419" s="98"/>
    </row>
    <row r="420">
      <c r="A420" s="98"/>
      <c r="B420" s="98"/>
      <c r="D420" s="98"/>
      <c r="E420" s="98"/>
      <c r="F420" s="98"/>
      <c r="G420" s="98"/>
      <c r="H420" s="98"/>
      <c r="I420" s="98"/>
      <c r="J420" s="98"/>
      <c r="K420" s="98"/>
    </row>
    <row r="421">
      <c r="A421" s="98"/>
      <c r="B421" s="98"/>
      <c r="D421" s="98"/>
      <c r="E421" s="98"/>
      <c r="F421" s="98"/>
      <c r="G421" s="98"/>
      <c r="H421" s="98"/>
      <c r="I421" s="98"/>
      <c r="J421" s="98"/>
      <c r="K421" s="98"/>
    </row>
    <row r="422">
      <c r="A422" s="98"/>
      <c r="B422" s="98"/>
      <c r="D422" s="98"/>
      <c r="E422" s="98"/>
      <c r="F422" s="98"/>
      <c r="G422" s="98"/>
      <c r="H422" s="98"/>
      <c r="I422" s="98"/>
      <c r="J422" s="98"/>
      <c r="K422" s="98"/>
    </row>
    <row r="423">
      <c r="A423" s="98"/>
      <c r="B423" s="98"/>
      <c r="D423" s="98"/>
      <c r="E423" s="98"/>
      <c r="F423" s="98"/>
      <c r="G423" s="98"/>
      <c r="H423" s="98"/>
      <c r="I423" s="98"/>
      <c r="J423" s="98"/>
      <c r="K423" s="98"/>
    </row>
    <row r="424">
      <c r="A424" s="98"/>
      <c r="B424" s="98"/>
      <c r="D424" s="98"/>
      <c r="E424" s="98"/>
      <c r="F424" s="98"/>
      <c r="G424" s="98"/>
      <c r="H424" s="98"/>
      <c r="I424" s="98"/>
      <c r="J424" s="98"/>
      <c r="K424" s="98"/>
    </row>
    <row r="425">
      <c r="A425" s="98"/>
      <c r="B425" s="98"/>
      <c r="D425" s="98"/>
      <c r="E425" s="98"/>
      <c r="F425" s="98"/>
      <c r="G425" s="98"/>
      <c r="H425" s="98"/>
      <c r="I425" s="98"/>
      <c r="J425" s="98"/>
      <c r="K425" s="98"/>
    </row>
    <row r="426">
      <c r="A426" s="98"/>
      <c r="B426" s="98"/>
      <c r="D426" s="98"/>
      <c r="E426" s="98"/>
      <c r="F426" s="98"/>
      <c r="G426" s="98"/>
      <c r="H426" s="98"/>
      <c r="I426" s="98"/>
      <c r="J426" s="98"/>
      <c r="K426" s="98"/>
    </row>
    <row r="427">
      <c r="A427" s="98"/>
      <c r="B427" s="98"/>
      <c r="D427" s="98"/>
      <c r="E427" s="98"/>
      <c r="F427" s="98"/>
      <c r="G427" s="98"/>
      <c r="H427" s="98"/>
      <c r="I427" s="98"/>
      <c r="J427" s="98"/>
      <c r="K427" s="98"/>
    </row>
    <row r="428">
      <c r="A428" s="98"/>
      <c r="B428" s="98"/>
      <c r="D428" s="98"/>
      <c r="E428" s="98"/>
      <c r="F428" s="98"/>
      <c r="G428" s="98"/>
      <c r="H428" s="98"/>
      <c r="I428" s="98"/>
      <c r="J428" s="98"/>
      <c r="K428" s="98"/>
    </row>
    <row r="429">
      <c r="A429" s="98"/>
      <c r="B429" s="98"/>
      <c r="D429" s="98"/>
      <c r="E429" s="98"/>
      <c r="F429" s="98"/>
      <c r="G429" s="98"/>
      <c r="H429" s="98"/>
      <c r="I429" s="98"/>
      <c r="J429" s="98"/>
      <c r="K429" s="98"/>
    </row>
    <row r="430">
      <c r="A430" s="98"/>
      <c r="B430" s="98"/>
      <c r="D430" s="98"/>
      <c r="E430" s="98"/>
      <c r="F430" s="98"/>
      <c r="G430" s="98"/>
      <c r="H430" s="98"/>
      <c r="I430" s="98"/>
      <c r="J430" s="98"/>
      <c r="K430" s="98"/>
    </row>
    <row r="431">
      <c r="A431" s="98"/>
      <c r="B431" s="98"/>
      <c r="D431" s="98"/>
      <c r="E431" s="98"/>
      <c r="F431" s="98"/>
      <c r="G431" s="98"/>
      <c r="H431" s="98"/>
      <c r="I431" s="98"/>
      <c r="J431" s="98"/>
      <c r="K431" s="98"/>
    </row>
    <row r="432">
      <c r="A432" s="98"/>
      <c r="B432" s="98"/>
      <c r="D432" s="98"/>
      <c r="E432" s="98"/>
      <c r="F432" s="98"/>
      <c r="G432" s="98"/>
      <c r="H432" s="98"/>
      <c r="I432" s="98"/>
      <c r="J432" s="98"/>
      <c r="K432" s="98"/>
    </row>
    <row r="433">
      <c r="A433" s="98"/>
      <c r="B433" s="98"/>
      <c r="D433" s="98"/>
      <c r="E433" s="98"/>
      <c r="F433" s="98"/>
      <c r="G433" s="98"/>
      <c r="H433" s="98"/>
      <c r="I433" s="98"/>
      <c r="J433" s="98"/>
      <c r="K433" s="98"/>
    </row>
    <row r="434">
      <c r="A434" s="98"/>
      <c r="B434" s="98"/>
      <c r="D434" s="98"/>
      <c r="E434" s="98"/>
      <c r="F434" s="98"/>
      <c r="G434" s="98"/>
      <c r="H434" s="98"/>
      <c r="I434" s="98"/>
      <c r="J434" s="98"/>
      <c r="K434" s="98"/>
    </row>
    <row r="435">
      <c r="A435" s="98"/>
      <c r="B435" s="98"/>
      <c r="D435" s="98"/>
      <c r="E435" s="98"/>
      <c r="F435" s="98"/>
      <c r="G435" s="98"/>
      <c r="H435" s="98"/>
      <c r="I435" s="98"/>
      <c r="J435" s="98"/>
      <c r="K435" s="98"/>
    </row>
    <row r="436">
      <c r="A436" s="98"/>
      <c r="B436" s="98"/>
      <c r="D436" s="98"/>
      <c r="E436" s="98"/>
      <c r="F436" s="98"/>
      <c r="G436" s="98"/>
      <c r="H436" s="98"/>
      <c r="I436" s="98"/>
      <c r="J436" s="98"/>
      <c r="K436" s="98"/>
    </row>
    <row r="437">
      <c r="A437" s="98"/>
      <c r="B437" s="98"/>
      <c r="D437" s="98"/>
      <c r="E437" s="98"/>
      <c r="F437" s="98"/>
      <c r="G437" s="98"/>
      <c r="H437" s="98"/>
      <c r="I437" s="98"/>
      <c r="J437" s="98"/>
      <c r="K437" s="98"/>
    </row>
    <row r="438">
      <c r="A438" s="98"/>
      <c r="B438" s="98"/>
      <c r="D438" s="98"/>
      <c r="E438" s="98"/>
      <c r="F438" s="98"/>
      <c r="G438" s="98"/>
      <c r="H438" s="98"/>
      <c r="I438" s="98"/>
      <c r="J438" s="98"/>
      <c r="K438" s="98"/>
    </row>
    <row r="439">
      <c r="A439" s="98"/>
      <c r="B439" s="98"/>
      <c r="D439" s="98"/>
      <c r="E439" s="98"/>
      <c r="F439" s="98"/>
      <c r="G439" s="98"/>
      <c r="H439" s="98"/>
      <c r="I439" s="98"/>
      <c r="J439" s="98"/>
      <c r="K439" s="98"/>
    </row>
    <row r="440">
      <c r="A440" s="98"/>
      <c r="B440" s="98"/>
      <c r="D440" s="98"/>
      <c r="E440" s="98"/>
      <c r="F440" s="98"/>
      <c r="G440" s="98"/>
      <c r="H440" s="98"/>
      <c r="I440" s="98"/>
      <c r="J440" s="98"/>
      <c r="K440" s="98"/>
    </row>
    <row r="441">
      <c r="A441" s="98"/>
      <c r="B441" s="98"/>
      <c r="D441" s="98"/>
      <c r="E441" s="98"/>
      <c r="F441" s="98"/>
      <c r="G441" s="98"/>
      <c r="H441" s="98"/>
      <c r="I441" s="98"/>
      <c r="J441" s="98"/>
      <c r="K441" s="98"/>
    </row>
    <row r="442">
      <c r="A442" s="98"/>
      <c r="B442" s="98"/>
      <c r="D442" s="98"/>
      <c r="E442" s="98"/>
      <c r="F442" s="98"/>
      <c r="G442" s="98"/>
      <c r="H442" s="98"/>
      <c r="I442" s="98"/>
      <c r="J442" s="98"/>
      <c r="K442" s="98"/>
    </row>
    <row r="443">
      <c r="A443" s="98"/>
      <c r="B443" s="98"/>
      <c r="D443" s="98"/>
      <c r="E443" s="98"/>
      <c r="F443" s="98"/>
      <c r="G443" s="98"/>
      <c r="H443" s="98"/>
      <c r="I443" s="98"/>
      <c r="J443" s="98"/>
      <c r="K443" s="98"/>
    </row>
    <row r="444">
      <c r="A444" s="98"/>
      <c r="B444" s="98"/>
      <c r="D444" s="98"/>
      <c r="E444" s="98"/>
      <c r="F444" s="98"/>
      <c r="G444" s="98"/>
      <c r="H444" s="98"/>
      <c r="I444" s="98"/>
      <c r="J444" s="98"/>
      <c r="K444" s="98"/>
    </row>
    <row r="445">
      <c r="A445" s="98"/>
      <c r="B445" s="98"/>
      <c r="D445" s="98"/>
      <c r="E445" s="98"/>
      <c r="F445" s="98"/>
      <c r="G445" s="98"/>
      <c r="H445" s="98"/>
      <c r="I445" s="98"/>
      <c r="J445" s="98"/>
      <c r="K445" s="98"/>
    </row>
    <row r="446">
      <c r="A446" s="98"/>
      <c r="B446" s="98"/>
      <c r="D446" s="98"/>
      <c r="E446" s="98"/>
      <c r="F446" s="98"/>
      <c r="G446" s="98"/>
      <c r="H446" s="98"/>
      <c r="I446" s="98"/>
      <c r="J446" s="98"/>
      <c r="K446" s="98"/>
    </row>
    <row r="447">
      <c r="A447" s="98"/>
      <c r="B447" s="98"/>
      <c r="D447" s="98"/>
      <c r="E447" s="98"/>
      <c r="F447" s="98"/>
      <c r="G447" s="98"/>
      <c r="H447" s="98"/>
      <c r="I447" s="98"/>
      <c r="J447" s="98"/>
      <c r="K447" s="98"/>
    </row>
    <row r="448">
      <c r="A448" s="98"/>
      <c r="B448" s="98"/>
      <c r="D448" s="98"/>
      <c r="E448" s="98"/>
      <c r="F448" s="98"/>
      <c r="G448" s="98"/>
      <c r="H448" s="98"/>
      <c r="I448" s="98"/>
      <c r="J448" s="98"/>
      <c r="K448" s="98"/>
    </row>
    <row r="449">
      <c r="A449" s="98"/>
      <c r="B449" s="98"/>
      <c r="D449" s="98"/>
      <c r="E449" s="98"/>
      <c r="F449" s="98"/>
      <c r="G449" s="98"/>
      <c r="H449" s="98"/>
      <c r="I449" s="98"/>
      <c r="J449" s="98"/>
      <c r="K449" s="98"/>
    </row>
    <row r="450">
      <c r="A450" s="98"/>
      <c r="B450" s="98"/>
      <c r="D450" s="98"/>
      <c r="E450" s="98"/>
      <c r="F450" s="98"/>
      <c r="G450" s="98"/>
      <c r="H450" s="98"/>
      <c r="I450" s="98"/>
      <c r="J450" s="98"/>
      <c r="K450" s="98"/>
    </row>
    <row r="451">
      <c r="A451" s="98"/>
      <c r="B451" s="98"/>
      <c r="D451" s="98"/>
      <c r="E451" s="98"/>
      <c r="F451" s="98"/>
      <c r="G451" s="98"/>
      <c r="H451" s="98"/>
      <c r="I451" s="98"/>
      <c r="J451" s="98"/>
      <c r="K451" s="98"/>
    </row>
    <row r="452">
      <c r="A452" s="98"/>
      <c r="B452" s="98"/>
      <c r="D452" s="98"/>
      <c r="E452" s="98"/>
      <c r="F452" s="98"/>
      <c r="G452" s="98"/>
      <c r="H452" s="98"/>
      <c r="I452" s="98"/>
      <c r="J452" s="98"/>
      <c r="K452" s="98"/>
    </row>
    <row r="453">
      <c r="A453" s="98"/>
      <c r="B453" s="98"/>
      <c r="D453" s="98"/>
      <c r="E453" s="98"/>
      <c r="F453" s="98"/>
      <c r="G453" s="98"/>
      <c r="H453" s="98"/>
      <c r="I453" s="98"/>
      <c r="J453" s="98"/>
      <c r="K453" s="98"/>
    </row>
    <row r="454">
      <c r="A454" s="98"/>
      <c r="B454" s="98"/>
      <c r="D454" s="98"/>
      <c r="E454" s="98"/>
      <c r="F454" s="98"/>
      <c r="G454" s="98"/>
      <c r="H454" s="98"/>
      <c r="I454" s="98"/>
      <c r="J454" s="98"/>
      <c r="K454" s="98"/>
    </row>
    <row r="455">
      <c r="A455" s="98"/>
      <c r="B455" s="98"/>
      <c r="D455" s="98"/>
      <c r="E455" s="98"/>
      <c r="F455" s="98"/>
      <c r="G455" s="98"/>
      <c r="H455" s="98"/>
      <c r="I455" s="98"/>
      <c r="J455" s="98"/>
      <c r="K455" s="98"/>
    </row>
    <row r="456">
      <c r="A456" s="98"/>
      <c r="B456" s="98"/>
      <c r="D456" s="98"/>
      <c r="E456" s="98"/>
      <c r="F456" s="98"/>
      <c r="G456" s="98"/>
      <c r="H456" s="98"/>
      <c r="I456" s="98"/>
      <c r="J456" s="98"/>
      <c r="K456" s="98"/>
    </row>
    <row r="457">
      <c r="A457" s="98"/>
      <c r="B457" s="98"/>
      <c r="D457" s="98"/>
      <c r="E457" s="98"/>
      <c r="F457" s="98"/>
      <c r="G457" s="98"/>
      <c r="H457" s="98"/>
      <c r="I457" s="98"/>
      <c r="J457" s="98"/>
      <c r="K457" s="98"/>
    </row>
    <row r="458">
      <c r="A458" s="98"/>
      <c r="B458" s="98"/>
      <c r="D458" s="98"/>
      <c r="E458" s="98"/>
      <c r="F458" s="98"/>
      <c r="G458" s="98"/>
      <c r="H458" s="98"/>
      <c r="I458" s="98"/>
      <c r="J458" s="98"/>
      <c r="K458" s="98"/>
    </row>
    <row r="459">
      <c r="A459" s="98"/>
      <c r="B459" s="98"/>
      <c r="D459" s="98"/>
      <c r="E459" s="98"/>
      <c r="F459" s="98"/>
      <c r="G459" s="98"/>
      <c r="H459" s="98"/>
      <c r="I459" s="98"/>
      <c r="J459" s="98"/>
      <c r="K459" s="98"/>
    </row>
    <row r="460">
      <c r="A460" s="98"/>
      <c r="B460" s="98"/>
      <c r="D460" s="98"/>
      <c r="E460" s="98"/>
      <c r="F460" s="98"/>
      <c r="G460" s="98"/>
      <c r="H460" s="98"/>
      <c r="I460" s="98"/>
      <c r="J460" s="98"/>
      <c r="K460" s="98"/>
    </row>
    <row r="461">
      <c r="A461" s="98"/>
      <c r="B461" s="98"/>
      <c r="D461" s="98"/>
      <c r="E461" s="98"/>
      <c r="F461" s="98"/>
      <c r="G461" s="98"/>
      <c r="H461" s="98"/>
      <c r="I461" s="98"/>
      <c r="J461" s="98"/>
      <c r="K461" s="98"/>
    </row>
    <row r="462">
      <c r="A462" s="98"/>
      <c r="B462" s="98"/>
      <c r="D462" s="98"/>
      <c r="E462" s="98"/>
      <c r="F462" s="98"/>
      <c r="G462" s="98"/>
      <c r="H462" s="98"/>
      <c r="I462" s="98"/>
      <c r="J462" s="98"/>
      <c r="K462" s="98"/>
    </row>
    <row r="463">
      <c r="A463" s="98"/>
      <c r="B463" s="98"/>
      <c r="D463" s="98"/>
      <c r="E463" s="98"/>
      <c r="F463" s="98"/>
      <c r="G463" s="98"/>
      <c r="H463" s="98"/>
      <c r="I463" s="98"/>
      <c r="J463" s="98"/>
      <c r="K463" s="98"/>
    </row>
    <row r="464">
      <c r="A464" s="98"/>
      <c r="B464" s="98"/>
      <c r="D464" s="98"/>
      <c r="E464" s="98"/>
      <c r="F464" s="98"/>
      <c r="G464" s="98"/>
      <c r="H464" s="98"/>
      <c r="I464" s="98"/>
      <c r="J464" s="98"/>
      <c r="K464" s="98"/>
    </row>
    <row r="465">
      <c r="A465" s="98"/>
      <c r="B465" s="98"/>
      <c r="D465" s="98"/>
      <c r="E465" s="98"/>
      <c r="F465" s="98"/>
      <c r="G465" s="98"/>
      <c r="H465" s="98"/>
      <c r="I465" s="98"/>
      <c r="J465" s="98"/>
      <c r="K465" s="98"/>
    </row>
    <row r="466">
      <c r="A466" s="98"/>
      <c r="B466" s="98"/>
      <c r="D466" s="98"/>
      <c r="E466" s="98"/>
      <c r="F466" s="98"/>
      <c r="G466" s="98"/>
      <c r="H466" s="98"/>
      <c r="I466" s="98"/>
      <c r="J466" s="98"/>
      <c r="K466" s="98"/>
    </row>
    <row r="467">
      <c r="A467" s="98"/>
      <c r="B467" s="98"/>
      <c r="D467" s="98"/>
      <c r="E467" s="98"/>
      <c r="F467" s="98"/>
      <c r="G467" s="98"/>
      <c r="H467" s="98"/>
      <c r="I467" s="98"/>
      <c r="J467" s="98"/>
      <c r="K467" s="98"/>
    </row>
    <row r="468">
      <c r="A468" s="98"/>
      <c r="B468" s="98"/>
      <c r="D468" s="98"/>
      <c r="E468" s="98"/>
      <c r="F468" s="98"/>
      <c r="G468" s="98"/>
      <c r="H468" s="98"/>
      <c r="I468" s="98"/>
      <c r="J468" s="98"/>
      <c r="K468" s="98"/>
    </row>
    <row r="469">
      <c r="A469" s="98"/>
      <c r="B469" s="98"/>
      <c r="D469" s="98"/>
      <c r="E469" s="98"/>
      <c r="F469" s="98"/>
      <c r="G469" s="98"/>
      <c r="H469" s="98"/>
      <c r="I469" s="98"/>
      <c r="J469" s="98"/>
      <c r="K469" s="98"/>
    </row>
    <row r="470">
      <c r="A470" s="98"/>
      <c r="B470" s="98"/>
      <c r="D470" s="98"/>
      <c r="E470" s="98"/>
      <c r="F470" s="98"/>
      <c r="G470" s="98"/>
      <c r="H470" s="98"/>
      <c r="I470" s="98"/>
      <c r="J470" s="98"/>
      <c r="K470" s="98"/>
    </row>
    <row r="471">
      <c r="A471" s="98"/>
      <c r="B471" s="98"/>
      <c r="D471" s="98"/>
      <c r="E471" s="98"/>
      <c r="F471" s="98"/>
      <c r="G471" s="98"/>
      <c r="H471" s="98"/>
      <c r="I471" s="98"/>
      <c r="J471" s="98"/>
      <c r="K471" s="98"/>
    </row>
    <row r="472">
      <c r="A472" s="98"/>
      <c r="B472" s="98"/>
      <c r="D472" s="98"/>
      <c r="E472" s="98"/>
      <c r="F472" s="98"/>
      <c r="G472" s="98"/>
      <c r="H472" s="98"/>
      <c r="I472" s="98"/>
      <c r="J472" s="98"/>
      <c r="K472" s="98"/>
    </row>
    <row r="473">
      <c r="A473" s="98"/>
      <c r="B473" s="98"/>
      <c r="D473" s="98"/>
      <c r="E473" s="98"/>
      <c r="F473" s="98"/>
      <c r="G473" s="98"/>
      <c r="H473" s="98"/>
      <c r="I473" s="98"/>
      <c r="J473" s="98"/>
      <c r="K473" s="98"/>
    </row>
    <row r="474">
      <c r="A474" s="98"/>
      <c r="B474" s="98"/>
      <c r="D474" s="98"/>
      <c r="E474" s="98"/>
      <c r="F474" s="98"/>
      <c r="G474" s="98"/>
      <c r="H474" s="98"/>
      <c r="I474" s="98"/>
      <c r="J474" s="98"/>
      <c r="K474" s="98"/>
    </row>
    <row r="475">
      <c r="A475" s="98"/>
      <c r="B475" s="98"/>
      <c r="D475" s="98"/>
      <c r="E475" s="98"/>
      <c r="F475" s="98"/>
      <c r="G475" s="98"/>
      <c r="H475" s="98"/>
      <c r="I475" s="98"/>
      <c r="J475" s="98"/>
      <c r="K475" s="98"/>
    </row>
    <row r="476">
      <c r="A476" s="98"/>
      <c r="B476" s="98"/>
      <c r="D476" s="98"/>
      <c r="E476" s="98"/>
      <c r="F476" s="98"/>
      <c r="G476" s="98"/>
      <c r="H476" s="98"/>
      <c r="I476" s="98"/>
      <c r="J476" s="98"/>
      <c r="K476" s="98"/>
    </row>
    <row r="477">
      <c r="A477" s="98"/>
      <c r="B477" s="98"/>
      <c r="D477" s="98"/>
      <c r="E477" s="98"/>
      <c r="F477" s="98"/>
      <c r="G477" s="98"/>
      <c r="H477" s="98"/>
      <c r="I477" s="98"/>
      <c r="J477" s="98"/>
      <c r="K477" s="98"/>
    </row>
    <row r="478">
      <c r="A478" s="98"/>
      <c r="B478" s="98"/>
      <c r="D478" s="98"/>
      <c r="E478" s="98"/>
      <c r="F478" s="98"/>
      <c r="G478" s="98"/>
      <c r="H478" s="98"/>
      <c r="I478" s="98"/>
      <c r="J478" s="98"/>
      <c r="K478" s="98"/>
    </row>
    <row r="479">
      <c r="A479" s="98"/>
      <c r="B479" s="98"/>
      <c r="D479" s="98"/>
      <c r="E479" s="98"/>
      <c r="F479" s="98"/>
      <c r="G479" s="98"/>
      <c r="H479" s="98"/>
      <c r="I479" s="98"/>
      <c r="J479" s="98"/>
      <c r="K479" s="98"/>
    </row>
    <row r="480">
      <c r="A480" s="98"/>
      <c r="B480" s="98"/>
      <c r="D480" s="98"/>
      <c r="E480" s="98"/>
      <c r="F480" s="98"/>
      <c r="G480" s="98"/>
      <c r="H480" s="98"/>
      <c r="I480" s="98"/>
      <c r="J480" s="98"/>
      <c r="K480" s="98"/>
    </row>
    <row r="481">
      <c r="A481" s="98"/>
      <c r="B481" s="98"/>
      <c r="D481" s="98"/>
      <c r="E481" s="98"/>
      <c r="F481" s="98"/>
      <c r="G481" s="98"/>
      <c r="H481" s="98"/>
      <c r="I481" s="98"/>
      <c r="J481" s="98"/>
      <c r="K481" s="98"/>
    </row>
    <row r="482">
      <c r="A482" s="98"/>
      <c r="B482" s="98"/>
      <c r="D482" s="98"/>
      <c r="E482" s="98"/>
      <c r="F482" s="98"/>
      <c r="G482" s="98"/>
      <c r="H482" s="98"/>
      <c r="I482" s="98"/>
      <c r="J482" s="98"/>
      <c r="K482" s="98"/>
    </row>
    <row r="483">
      <c r="A483" s="98"/>
      <c r="B483" s="98"/>
      <c r="D483" s="98"/>
      <c r="E483" s="98"/>
      <c r="F483" s="98"/>
      <c r="G483" s="98"/>
      <c r="H483" s="98"/>
      <c r="I483" s="98"/>
      <c r="J483" s="98"/>
      <c r="K483" s="98"/>
    </row>
    <row r="484">
      <c r="A484" s="98"/>
      <c r="B484" s="98"/>
      <c r="D484" s="98"/>
      <c r="E484" s="98"/>
      <c r="F484" s="98"/>
      <c r="G484" s="98"/>
      <c r="H484" s="98"/>
      <c r="I484" s="98"/>
      <c r="J484" s="98"/>
      <c r="K484" s="98"/>
    </row>
    <row r="485">
      <c r="A485" s="98"/>
      <c r="B485" s="98"/>
      <c r="D485" s="98"/>
      <c r="E485" s="98"/>
      <c r="F485" s="98"/>
      <c r="G485" s="98"/>
      <c r="H485" s="98"/>
      <c r="I485" s="98"/>
      <c r="J485" s="98"/>
      <c r="K485" s="98"/>
    </row>
    <row r="486">
      <c r="A486" s="98"/>
      <c r="B486" s="98"/>
      <c r="D486" s="98"/>
      <c r="E486" s="98"/>
      <c r="F486" s="98"/>
      <c r="G486" s="98"/>
      <c r="H486" s="98"/>
      <c r="I486" s="98"/>
      <c r="J486" s="98"/>
      <c r="K486" s="98"/>
    </row>
    <row r="487">
      <c r="A487" s="98"/>
      <c r="B487" s="98"/>
      <c r="D487" s="98"/>
      <c r="E487" s="98"/>
      <c r="F487" s="98"/>
      <c r="G487" s="98"/>
      <c r="H487" s="98"/>
      <c r="I487" s="98"/>
      <c r="J487" s="98"/>
      <c r="K487" s="98"/>
    </row>
    <row r="488">
      <c r="A488" s="98"/>
      <c r="B488" s="98"/>
      <c r="D488" s="98"/>
      <c r="E488" s="98"/>
      <c r="F488" s="98"/>
      <c r="G488" s="98"/>
      <c r="H488" s="98"/>
      <c r="I488" s="98"/>
      <c r="J488" s="98"/>
      <c r="K488" s="98"/>
    </row>
    <row r="489">
      <c r="A489" s="98"/>
      <c r="B489" s="98"/>
      <c r="D489" s="98"/>
      <c r="E489" s="98"/>
      <c r="F489" s="98"/>
      <c r="G489" s="98"/>
      <c r="H489" s="98"/>
      <c r="I489" s="98"/>
      <c r="J489" s="98"/>
      <c r="K489" s="98"/>
    </row>
    <row r="490">
      <c r="A490" s="98"/>
      <c r="B490" s="98"/>
      <c r="D490" s="98"/>
      <c r="E490" s="98"/>
      <c r="F490" s="98"/>
      <c r="G490" s="98"/>
      <c r="H490" s="98"/>
      <c r="I490" s="98"/>
      <c r="J490" s="98"/>
      <c r="K490" s="98"/>
    </row>
    <row r="491">
      <c r="A491" s="98"/>
      <c r="B491" s="98"/>
      <c r="D491" s="98"/>
      <c r="E491" s="98"/>
      <c r="F491" s="98"/>
      <c r="G491" s="98"/>
      <c r="H491" s="98"/>
      <c r="I491" s="98"/>
      <c r="J491" s="98"/>
      <c r="K491" s="98"/>
    </row>
    <row r="492">
      <c r="A492" s="98"/>
      <c r="B492" s="98"/>
      <c r="D492" s="98"/>
      <c r="E492" s="98"/>
      <c r="F492" s="98"/>
      <c r="G492" s="98"/>
      <c r="H492" s="98"/>
      <c r="I492" s="98"/>
      <c r="J492" s="98"/>
      <c r="K492" s="98"/>
    </row>
    <row r="493">
      <c r="A493" s="98"/>
      <c r="B493" s="98"/>
      <c r="D493" s="98"/>
      <c r="E493" s="98"/>
      <c r="F493" s="98"/>
      <c r="G493" s="98"/>
      <c r="H493" s="98"/>
      <c r="I493" s="98"/>
      <c r="J493" s="98"/>
      <c r="K493" s="98"/>
    </row>
    <row r="494">
      <c r="A494" s="98"/>
      <c r="B494" s="98"/>
      <c r="D494" s="98"/>
      <c r="E494" s="98"/>
      <c r="F494" s="98"/>
      <c r="G494" s="98"/>
      <c r="H494" s="98"/>
      <c r="I494" s="98"/>
      <c r="J494" s="98"/>
      <c r="K494" s="98"/>
    </row>
    <row r="495">
      <c r="A495" s="98"/>
      <c r="B495" s="98"/>
      <c r="D495" s="98"/>
      <c r="E495" s="98"/>
      <c r="F495" s="98"/>
      <c r="G495" s="98"/>
      <c r="H495" s="98"/>
      <c r="I495" s="98"/>
      <c r="J495" s="98"/>
      <c r="K495" s="98"/>
    </row>
    <row r="496">
      <c r="A496" s="98"/>
      <c r="B496" s="98"/>
      <c r="D496" s="98"/>
      <c r="E496" s="98"/>
      <c r="F496" s="98"/>
      <c r="G496" s="98"/>
      <c r="H496" s="98"/>
      <c r="I496" s="98"/>
      <c r="J496" s="98"/>
      <c r="K496" s="98"/>
    </row>
    <row r="497">
      <c r="A497" s="98"/>
      <c r="B497" s="98"/>
      <c r="D497" s="98"/>
      <c r="E497" s="98"/>
      <c r="F497" s="98"/>
      <c r="G497" s="98"/>
      <c r="H497" s="98"/>
      <c r="I497" s="98"/>
      <c r="J497" s="98"/>
      <c r="K497" s="98"/>
    </row>
    <row r="498">
      <c r="A498" s="98"/>
      <c r="B498" s="98"/>
      <c r="D498" s="98"/>
      <c r="E498" s="98"/>
      <c r="F498" s="98"/>
      <c r="G498" s="98"/>
      <c r="H498" s="98"/>
      <c r="I498" s="98"/>
      <c r="J498" s="98"/>
      <c r="K498" s="98"/>
    </row>
    <row r="499">
      <c r="A499" s="98"/>
      <c r="B499" s="98"/>
      <c r="D499" s="98"/>
      <c r="E499" s="98"/>
      <c r="F499" s="98"/>
      <c r="G499" s="98"/>
      <c r="H499" s="98"/>
      <c r="I499" s="98"/>
      <c r="J499" s="98"/>
      <c r="K499" s="98"/>
    </row>
    <row r="500">
      <c r="A500" s="98"/>
      <c r="B500" s="98"/>
      <c r="D500" s="98"/>
      <c r="E500" s="98"/>
      <c r="F500" s="98"/>
      <c r="G500" s="98"/>
      <c r="H500" s="98"/>
      <c r="I500" s="98"/>
      <c r="J500" s="98"/>
      <c r="K500" s="98"/>
    </row>
    <row r="501">
      <c r="A501" s="98"/>
      <c r="B501" s="98"/>
      <c r="D501" s="98"/>
      <c r="E501" s="98"/>
      <c r="F501" s="98"/>
      <c r="G501" s="98"/>
      <c r="H501" s="98"/>
      <c r="I501" s="98"/>
      <c r="J501" s="98"/>
      <c r="K501" s="98"/>
    </row>
    <row r="502">
      <c r="A502" s="98"/>
      <c r="B502" s="98"/>
      <c r="D502" s="98"/>
      <c r="E502" s="98"/>
      <c r="F502" s="98"/>
      <c r="G502" s="98"/>
      <c r="H502" s="98"/>
      <c r="I502" s="98"/>
      <c r="J502" s="98"/>
      <c r="K502" s="98"/>
    </row>
    <row r="503">
      <c r="A503" s="98"/>
      <c r="B503" s="98"/>
      <c r="D503" s="98"/>
      <c r="E503" s="98"/>
      <c r="F503" s="98"/>
      <c r="G503" s="98"/>
      <c r="H503" s="98"/>
      <c r="I503" s="98"/>
      <c r="J503" s="98"/>
      <c r="K503" s="98"/>
    </row>
    <row r="504">
      <c r="A504" s="98"/>
      <c r="B504" s="98"/>
      <c r="D504" s="98"/>
      <c r="E504" s="98"/>
      <c r="F504" s="98"/>
      <c r="G504" s="98"/>
      <c r="H504" s="98"/>
      <c r="I504" s="98"/>
      <c r="J504" s="98"/>
      <c r="K504" s="98"/>
    </row>
    <row r="505">
      <c r="A505" s="98"/>
      <c r="B505" s="98"/>
      <c r="D505" s="98"/>
      <c r="E505" s="98"/>
      <c r="F505" s="98"/>
      <c r="G505" s="98"/>
      <c r="H505" s="98"/>
      <c r="I505" s="98"/>
      <c r="J505" s="98"/>
      <c r="K505" s="98"/>
    </row>
    <row r="506">
      <c r="A506" s="98"/>
      <c r="B506" s="98"/>
      <c r="D506" s="98"/>
      <c r="E506" s="98"/>
      <c r="F506" s="98"/>
      <c r="G506" s="98"/>
      <c r="H506" s="98"/>
      <c r="I506" s="98"/>
      <c r="J506" s="98"/>
      <c r="K506" s="98"/>
    </row>
    <row r="507">
      <c r="A507" s="98"/>
      <c r="B507" s="98"/>
      <c r="D507" s="98"/>
      <c r="E507" s="98"/>
      <c r="F507" s="98"/>
      <c r="G507" s="98"/>
      <c r="H507" s="98"/>
      <c r="I507" s="98"/>
      <c r="J507" s="98"/>
      <c r="K507" s="98"/>
    </row>
    <row r="508">
      <c r="A508" s="98"/>
      <c r="B508" s="98"/>
      <c r="D508" s="98"/>
      <c r="E508" s="98"/>
      <c r="F508" s="98"/>
      <c r="G508" s="98"/>
      <c r="H508" s="98"/>
      <c r="I508" s="98"/>
      <c r="J508" s="98"/>
      <c r="K508" s="98"/>
    </row>
    <row r="509">
      <c r="A509" s="98"/>
      <c r="B509" s="98"/>
      <c r="D509" s="98"/>
      <c r="E509" s="98"/>
      <c r="F509" s="98"/>
      <c r="G509" s="98"/>
      <c r="H509" s="98"/>
      <c r="I509" s="98"/>
      <c r="J509" s="98"/>
      <c r="K509" s="98"/>
    </row>
    <row r="510">
      <c r="A510" s="98"/>
      <c r="B510" s="98"/>
      <c r="D510" s="98"/>
      <c r="E510" s="98"/>
      <c r="F510" s="98"/>
      <c r="G510" s="98"/>
      <c r="H510" s="98"/>
      <c r="I510" s="98"/>
      <c r="J510" s="98"/>
      <c r="K510" s="98"/>
    </row>
    <row r="511">
      <c r="A511" s="98"/>
      <c r="B511" s="98"/>
      <c r="D511" s="98"/>
      <c r="E511" s="98"/>
      <c r="F511" s="98"/>
      <c r="G511" s="98"/>
      <c r="H511" s="98"/>
      <c r="I511" s="98"/>
      <c r="J511" s="98"/>
      <c r="K511" s="98"/>
    </row>
    <row r="512">
      <c r="A512" s="98"/>
      <c r="B512" s="98"/>
      <c r="D512" s="98"/>
      <c r="E512" s="98"/>
      <c r="F512" s="98"/>
      <c r="G512" s="98"/>
      <c r="H512" s="98"/>
      <c r="I512" s="98"/>
      <c r="J512" s="98"/>
      <c r="K512" s="98"/>
    </row>
    <row r="513">
      <c r="A513" s="98"/>
      <c r="B513" s="98"/>
      <c r="D513" s="98"/>
      <c r="E513" s="98"/>
      <c r="F513" s="98"/>
      <c r="G513" s="98"/>
      <c r="H513" s="98"/>
      <c r="I513" s="98"/>
      <c r="J513" s="98"/>
      <c r="K513" s="98"/>
    </row>
    <row r="514">
      <c r="A514" s="98"/>
      <c r="B514" s="98"/>
      <c r="D514" s="98"/>
      <c r="E514" s="98"/>
      <c r="F514" s="98"/>
      <c r="G514" s="98"/>
      <c r="H514" s="98"/>
      <c r="I514" s="98"/>
      <c r="J514" s="98"/>
      <c r="K514" s="98"/>
    </row>
    <row r="515">
      <c r="A515" s="98"/>
      <c r="B515" s="98"/>
      <c r="D515" s="98"/>
      <c r="E515" s="98"/>
      <c r="F515" s="98"/>
      <c r="G515" s="98"/>
      <c r="H515" s="98"/>
      <c r="I515" s="98"/>
      <c r="J515" s="98"/>
      <c r="K515" s="98"/>
    </row>
    <row r="516">
      <c r="A516" s="98"/>
      <c r="B516" s="98"/>
      <c r="D516" s="98"/>
      <c r="E516" s="98"/>
      <c r="F516" s="98"/>
      <c r="G516" s="98"/>
      <c r="H516" s="98"/>
      <c r="I516" s="98"/>
      <c r="J516" s="98"/>
      <c r="K516" s="98"/>
    </row>
    <row r="517">
      <c r="A517" s="98"/>
      <c r="B517" s="98"/>
      <c r="D517" s="98"/>
      <c r="E517" s="98"/>
      <c r="F517" s="98"/>
      <c r="G517" s="98"/>
      <c r="H517" s="98"/>
      <c r="I517" s="98"/>
      <c r="J517" s="98"/>
      <c r="K517" s="98"/>
    </row>
    <row r="518">
      <c r="A518" s="98"/>
      <c r="B518" s="98"/>
      <c r="D518" s="98"/>
      <c r="E518" s="98"/>
      <c r="F518" s="98"/>
      <c r="G518" s="98"/>
      <c r="H518" s="98"/>
      <c r="I518" s="98"/>
      <c r="J518" s="98"/>
      <c r="K518" s="98"/>
    </row>
    <row r="519">
      <c r="A519" s="98"/>
      <c r="B519" s="98"/>
      <c r="D519" s="98"/>
      <c r="E519" s="98"/>
      <c r="F519" s="98"/>
      <c r="G519" s="98"/>
      <c r="H519" s="98"/>
      <c r="I519" s="98"/>
      <c r="J519" s="98"/>
      <c r="K519" s="98"/>
    </row>
    <row r="520">
      <c r="A520" s="98"/>
      <c r="B520" s="98"/>
      <c r="D520" s="98"/>
      <c r="E520" s="98"/>
      <c r="F520" s="98"/>
      <c r="G520" s="98"/>
      <c r="H520" s="98"/>
      <c r="I520" s="98"/>
      <c r="J520" s="98"/>
      <c r="K520" s="98"/>
    </row>
    <row r="521">
      <c r="A521" s="98"/>
      <c r="B521" s="98"/>
      <c r="D521" s="98"/>
      <c r="E521" s="98"/>
      <c r="F521" s="98"/>
      <c r="G521" s="98"/>
      <c r="H521" s="98"/>
      <c r="I521" s="98"/>
      <c r="J521" s="98"/>
      <c r="K521" s="98"/>
    </row>
    <row r="522">
      <c r="A522" s="98"/>
      <c r="B522" s="98"/>
      <c r="D522" s="98"/>
      <c r="E522" s="98"/>
      <c r="F522" s="98"/>
      <c r="G522" s="98"/>
      <c r="H522" s="98"/>
      <c r="I522" s="98"/>
      <c r="J522" s="98"/>
      <c r="K522" s="98"/>
    </row>
    <row r="523">
      <c r="A523" s="98"/>
      <c r="B523" s="98"/>
      <c r="D523" s="98"/>
      <c r="E523" s="98"/>
      <c r="F523" s="98"/>
      <c r="G523" s="98"/>
      <c r="H523" s="98"/>
      <c r="I523" s="98"/>
      <c r="J523" s="98"/>
      <c r="K523" s="98"/>
    </row>
    <row r="524">
      <c r="A524" s="98"/>
      <c r="B524" s="98"/>
      <c r="D524" s="98"/>
      <c r="E524" s="98"/>
      <c r="F524" s="98"/>
      <c r="G524" s="98"/>
      <c r="H524" s="98"/>
      <c r="I524" s="98"/>
      <c r="J524" s="98"/>
      <c r="K524" s="98"/>
    </row>
    <row r="525">
      <c r="A525" s="98"/>
      <c r="B525" s="98"/>
      <c r="D525" s="98"/>
      <c r="E525" s="98"/>
      <c r="F525" s="98"/>
      <c r="G525" s="98"/>
      <c r="H525" s="98"/>
      <c r="I525" s="98"/>
      <c r="J525" s="98"/>
      <c r="K525" s="98"/>
    </row>
    <row r="526">
      <c r="A526" s="98"/>
      <c r="B526" s="98"/>
      <c r="D526" s="98"/>
      <c r="E526" s="98"/>
      <c r="F526" s="98"/>
      <c r="G526" s="98"/>
      <c r="H526" s="98"/>
      <c r="I526" s="98"/>
      <c r="J526" s="98"/>
      <c r="K526" s="98"/>
    </row>
    <row r="527">
      <c r="A527" s="98"/>
      <c r="B527" s="98"/>
      <c r="D527" s="98"/>
      <c r="E527" s="98"/>
      <c r="F527" s="98"/>
      <c r="G527" s="98"/>
      <c r="H527" s="98"/>
      <c r="I527" s="98"/>
      <c r="J527" s="98"/>
      <c r="K527" s="98"/>
    </row>
    <row r="528">
      <c r="A528" s="98"/>
      <c r="B528" s="98"/>
      <c r="D528" s="98"/>
      <c r="E528" s="98"/>
      <c r="F528" s="98"/>
      <c r="G528" s="98"/>
      <c r="H528" s="98"/>
      <c r="I528" s="98"/>
      <c r="J528" s="98"/>
      <c r="K528" s="98"/>
    </row>
    <row r="529">
      <c r="A529" s="98"/>
      <c r="B529" s="98"/>
      <c r="D529" s="98"/>
      <c r="E529" s="98"/>
      <c r="F529" s="98"/>
      <c r="G529" s="98"/>
      <c r="H529" s="98"/>
      <c r="I529" s="98"/>
      <c r="J529" s="98"/>
      <c r="K529" s="98"/>
    </row>
    <row r="530">
      <c r="A530" s="98"/>
      <c r="B530" s="98"/>
      <c r="D530" s="98"/>
      <c r="E530" s="98"/>
      <c r="F530" s="98"/>
      <c r="G530" s="98"/>
      <c r="H530" s="98"/>
      <c r="I530" s="98"/>
      <c r="J530" s="98"/>
      <c r="K530" s="98"/>
    </row>
    <row r="531">
      <c r="A531" s="98"/>
      <c r="B531" s="98"/>
      <c r="D531" s="98"/>
      <c r="E531" s="98"/>
      <c r="F531" s="98"/>
      <c r="G531" s="98"/>
      <c r="H531" s="98"/>
      <c r="I531" s="98"/>
      <c r="J531" s="98"/>
      <c r="K531" s="98"/>
    </row>
    <row r="532">
      <c r="A532" s="98"/>
      <c r="B532" s="98"/>
      <c r="D532" s="98"/>
      <c r="E532" s="98"/>
      <c r="F532" s="98"/>
      <c r="G532" s="98"/>
      <c r="H532" s="98"/>
      <c r="I532" s="98"/>
      <c r="J532" s="98"/>
      <c r="K532" s="98"/>
    </row>
    <row r="533">
      <c r="A533" s="98"/>
      <c r="B533" s="98"/>
      <c r="D533" s="98"/>
      <c r="E533" s="98"/>
      <c r="F533" s="98"/>
      <c r="G533" s="98"/>
      <c r="H533" s="98"/>
      <c r="I533" s="98"/>
      <c r="J533" s="98"/>
      <c r="K533" s="98"/>
    </row>
    <row r="534">
      <c r="A534" s="98"/>
      <c r="B534" s="98"/>
      <c r="D534" s="98"/>
      <c r="E534" s="98"/>
      <c r="F534" s="98"/>
      <c r="G534" s="98"/>
      <c r="H534" s="98"/>
      <c r="I534" s="98"/>
      <c r="J534" s="98"/>
      <c r="K534" s="98"/>
    </row>
    <row r="535">
      <c r="A535" s="98"/>
      <c r="B535" s="98"/>
      <c r="D535" s="98"/>
      <c r="E535" s="98"/>
      <c r="F535" s="98"/>
      <c r="G535" s="98"/>
      <c r="H535" s="98"/>
      <c r="I535" s="98"/>
      <c r="J535" s="98"/>
      <c r="K535" s="98"/>
    </row>
    <row r="536">
      <c r="A536" s="98"/>
      <c r="B536" s="98"/>
      <c r="D536" s="98"/>
      <c r="E536" s="98"/>
      <c r="F536" s="98"/>
      <c r="G536" s="98"/>
      <c r="H536" s="98"/>
      <c r="I536" s="98"/>
      <c r="J536" s="98"/>
      <c r="K536" s="98"/>
    </row>
    <row r="537">
      <c r="A537" s="98"/>
      <c r="B537" s="98"/>
      <c r="D537" s="98"/>
      <c r="E537" s="98"/>
      <c r="F537" s="98"/>
      <c r="G537" s="98"/>
      <c r="H537" s="98"/>
      <c r="I537" s="98"/>
      <c r="J537" s="98"/>
      <c r="K537" s="98"/>
    </row>
    <row r="538">
      <c r="A538" s="98"/>
      <c r="B538" s="98"/>
      <c r="D538" s="98"/>
      <c r="E538" s="98"/>
      <c r="F538" s="98"/>
      <c r="G538" s="98"/>
      <c r="H538" s="98"/>
      <c r="I538" s="98"/>
      <c r="J538" s="98"/>
      <c r="K538" s="98"/>
    </row>
    <row r="539">
      <c r="A539" s="98"/>
      <c r="B539" s="98"/>
      <c r="D539" s="98"/>
      <c r="E539" s="98"/>
      <c r="F539" s="98"/>
      <c r="G539" s="98"/>
      <c r="H539" s="98"/>
      <c r="I539" s="98"/>
      <c r="J539" s="98"/>
      <c r="K539" s="98"/>
    </row>
    <row r="540">
      <c r="A540" s="98"/>
      <c r="B540" s="98"/>
      <c r="D540" s="98"/>
      <c r="E540" s="98"/>
      <c r="F540" s="98"/>
      <c r="G540" s="98"/>
      <c r="H540" s="98"/>
      <c r="I540" s="98"/>
      <c r="J540" s="98"/>
      <c r="K540" s="98"/>
    </row>
    <row r="541">
      <c r="A541" s="98"/>
      <c r="B541" s="98"/>
      <c r="D541" s="98"/>
      <c r="E541" s="98"/>
      <c r="F541" s="98"/>
      <c r="G541" s="98"/>
      <c r="H541" s="98"/>
      <c r="I541" s="98"/>
      <c r="J541" s="98"/>
      <c r="K541" s="98"/>
    </row>
    <row r="542">
      <c r="A542" s="98"/>
      <c r="B542" s="98"/>
      <c r="D542" s="98"/>
      <c r="E542" s="98"/>
      <c r="F542" s="98"/>
      <c r="G542" s="98"/>
      <c r="H542" s="98"/>
      <c r="I542" s="98"/>
      <c r="J542" s="98"/>
      <c r="K542" s="98"/>
    </row>
    <row r="543">
      <c r="A543" s="98"/>
      <c r="B543" s="98"/>
      <c r="D543" s="98"/>
      <c r="E543" s="98"/>
      <c r="F543" s="98"/>
      <c r="G543" s="98"/>
      <c r="H543" s="98"/>
      <c r="I543" s="98"/>
      <c r="J543" s="98"/>
      <c r="K543" s="98"/>
    </row>
    <row r="544">
      <c r="A544" s="98"/>
      <c r="B544" s="98"/>
      <c r="D544" s="98"/>
      <c r="E544" s="98"/>
      <c r="F544" s="98"/>
      <c r="G544" s="98"/>
      <c r="H544" s="98"/>
      <c r="I544" s="98"/>
      <c r="J544" s="98"/>
      <c r="K544" s="98"/>
    </row>
    <row r="545">
      <c r="A545" s="98"/>
      <c r="B545" s="98"/>
      <c r="D545" s="98"/>
      <c r="E545" s="98"/>
      <c r="F545" s="98"/>
      <c r="G545" s="98"/>
      <c r="H545" s="98"/>
      <c r="I545" s="98"/>
      <c r="J545" s="98"/>
      <c r="K545" s="98"/>
    </row>
    <row r="546">
      <c r="A546" s="98"/>
      <c r="B546" s="98"/>
      <c r="D546" s="98"/>
      <c r="E546" s="98"/>
      <c r="F546" s="98"/>
      <c r="G546" s="98"/>
      <c r="H546" s="98"/>
      <c r="I546" s="98"/>
      <c r="J546" s="98"/>
      <c r="K546" s="98"/>
    </row>
    <row r="547">
      <c r="A547" s="98"/>
      <c r="B547" s="98"/>
      <c r="D547" s="98"/>
      <c r="E547" s="98"/>
      <c r="F547" s="98"/>
      <c r="G547" s="98"/>
      <c r="H547" s="98"/>
      <c r="I547" s="98"/>
      <c r="J547" s="98"/>
      <c r="K547" s="98"/>
    </row>
    <row r="548">
      <c r="A548" s="98"/>
      <c r="B548" s="98"/>
      <c r="D548" s="98"/>
      <c r="E548" s="98"/>
      <c r="F548" s="98"/>
      <c r="G548" s="98"/>
      <c r="H548" s="98"/>
      <c r="I548" s="98"/>
      <c r="J548" s="98"/>
      <c r="K548" s="98"/>
    </row>
    <row r="549">
      <c r="A549" s="98"/>
      <c r="B549" s="98"/>
      <c r="D549" s="98"/>
      <c r="E549" s="98"/>
      <c r="F549" s="98"/>
      <c r="G549" s="98"/>
      <c r="H549" s="98"/>
      <c r="I549" s="98"/>
      <c r="J549" s="98"/>
      <c r="K549" s="98"/>
    </row>
    <row r="550">
      <c r="A550" s="98"/>
      <c r="B550" s="98"/>
      <c r="D550" s="98"/>
      <c r="E550" s="98"/>
      <c r="F550" s="98"/>
      <c r="G550" s="98"/>
      <c r="H550" s="98"/>
      <c r="I550" s="98"/>
      <c r="J550" s="98"/>
      <c r="K550" s="98"/>
    </row>
    <row r="551">
      <c r="A551" s="98"/>
      <c r="B551" s="98"/>
      <c r="D551" s="98"/>
      <c r="E551" s="98"/>
      <c r="F551" s="98"/>
      <c r="G551" s="98"/>
      <c r="H551" s="98"/>
      <c r="I551" s="98"/>
      <c r="J551" s="98"/>
      <c r="K551" s="98"/>
    </row>
    <row r="552">
      <c r="A552" s="98"/>
      <c r="B552" s="98"/>
      <c r="D552" s="98"/>
      <c r="E552" s="98"/>
      <c r="F552" s="98"/>
      <c r="G552" s="98"/>
      <c r="H552" s="98"/>
      <c r="I552" s="98"/>
      <c r="J552" s="98"/>
      <c r="K552" s="98"/>
    </row>
    <row r="553">
      <c r="A553" s="98"/>
      <c r="B553" s="98"/>
      <c r="D553" s="98"/>
      <c r="E553" s="98"/>
      <c r="F553" s="98"/>
      <c r="G553" s="98"/>
      <c r="H553" s="98"/>
      <c r="I553" s="98"/>
      <c r="J553" s="98"/>
      <c r="K553" s="98"/>
    </row>
    <row r="554">
      <c r="A554" s="98"/>
      <c r="B554" s="98"/>
      <c r="D554" s="98"/>
      <c r="E554" s="98"/>
      <c r="F554" s="98"/>
      <c r="G554" s="98"/>
      <c r="H554" s="98"/>
      <c r="I554" s="98"/>
      <c r="J554" s="98"/>
      <c r="K554" s="98"/>
    </row>
    <row r="555">
      <c r="A555" s="98"/>
      <c r="B555" s="98"/>
      <c r="D555" s="98"/>
      <c r="E555" s="98"/>
      <c r="F555" s="98"/>
      <c r="G555" s="98"/>
      <c r="H555" s="98"/>
      <c r="I555" s="98"/>
      <c r="J555" s="98"/>
      <c r="K555" s="98"/>
    </row>
    <row r="556">
      <c r="A556" s="98"/>
      <c r="B556" s="98"/>
      <c r="D556" s="98"/>
      <c r="E556" s="98"/>
      <c r="F556" s="98"/>
      <c r="G556" s="98"/>
      <c r="H556" s="98"/>
      <c r="I556" s="98"/>
      <c r="J556" s="98"/>
      <c r="K556" s="98"/>
    </row>
    <row r="557">
      <c r="A557" s="98"/>
      <c r="B557" s="98"/>
      <c r="D557" s="98"/>
      <c r="E557" s="98"/>
      <c r="F557" s="98"/>
      <c r="G557" s="98"/>
      <c r="H557" s="98"/>
      <c r="I557" s="98"/>
      <c r="J557" s="98"/>
      <c r="K557" s="98"/>
    </row>
    <row r="558">
      <c r="A558" s="98"/>
      <c r="B558" s="98"/>
      <c r="D558" s="98"/>
      <c r="E558" s="98"/>
      <c r="F558" s="98"/>
      <c r="G558" s="98"/>
      <c r="H558" s="98"/>
      <c r="I558" s="98"/>
      <c r="J558" s="98"/>
      <c r="K558" s="98"/>
    </row>
    <row r="559">
      <c r="A559" s="98"/>
      <c r="B559" s="98"/>
      <c r="D559" s="98"/>
      <c r="E559" s="98"/>
      <c r="F559" s="98"/>
      <c r="G559" s="98"/>
      <c r="H559" s="98"/>
      <c r="I559" s="98"/>
      <c r="J559" s="98"/>
      <c r="K559" s="98"/>
    </row>
    <row r="560">
      <c r="A560" s="98"/>
      <c r="B560" s="98"/>
      <c r="D560" s="98"/>
      <c r="E560" s="98"/>
      <c r="F560" s="98"/>
      <c r="G560" s="98"/>
      <c r="H560" s="98"/>
      <c r="I560" s="98"/>
      <c r="J560" s="98"/>
      <c r="K560" s="98"/>
    </row>
    <row r="561">
      <c r="A561" s="98"/>
      <c r="B561" s="98"/>
      <c r="D561" s="98"/>
      <c r="E561" s="98"/>
      <c r="F561" s="98"/>
      <c r="G561" s="98"/>
      <c r="H561" s="98"/>
      <c r="I561" s="98"/>
      <c r="J561" s="98"/>
      <c r="K561" s="98"/>
    </row>
    <row r="562">
      <c r="A562" s="98"/>
      <c r="B562" s="98"/>
      <c r="D562" s="98"/>
      <c r="E562" s="98"/>
      <c r="F562" s="98"/>
      <c r="G562" s="98"/>
      <c r="H562" s="98"/>
      <c r="I562" s="98"/>
      <c r="J562" s="98"/>
      <c r="K562" s="98"/>
    </row>
    <row r="563">
      <c r="A563" s="98"/>
      <c r="B563" s="98"/>
      <c r="D563" s="98"/>
      <c r="E563" s="98"/>
      <c r="F563" s="98"/>
      <c r="G563" s="98"/>
      <c r="H563" s="98"/>
      <c r="I563" s="98"/>
      <c r="J563" s="98"/>
      <c r="K563" s="98"/>
    </row>
    <row r="564">
      <c r="A564" s="98"/>
      <c r="B564" s="98"/>
      <c r="D564" s="98"/>
      <c r="E564" s="98"/>
      <c r="F564" s="98"/>
      <c r="G564" s="98"/>
      <c r="H564" s="98"/>
      <c r="I564" s="98"/>
      <c r="J564" s="98"/>
      <c r="K564" s="98"/>
    </row>
    <row r="565">
      <c r="A565" s="98"/>
      <c r="B565" s="98"/>
      <c r="D565" s="98"/>
      <c r="E565" s="98"/>
      <c r="F565" s="98"/>
      <c r="G565" s="98"/>
      <c r="H565" s="98"/>
      <c r="I565" s="98"/>
      <c r="J565" s="98"/>
      <c r="K565" s="98"/>
    </row>
    <row r="566">
      <c r="A566" s="98"/>
      <c r="B566" s="98"/>
      <c r="D566" s="98"/>
      <c r="E566" s="98"/>
      <c r="F566" s="98"/>
      <c r="G566" s="98"/>
      <c r="H566" s="98"/>
      <c r="I566" s="98"/>
      <c r="J566" s="98"/>
      <c r="K566" s="98"/>
    </row>
    <row r="567">
      <c r="A567" s="98"/>
      <c r="B567" s="98"/>
      <c r="D567" s="98"/>
      <c r="E567" s="98"/>
      <c r="F567" s="98"/>
      <c r="G567" s="98"/>
      <c r="H567" s="98"/>
      <c r="I567" s="98"/>
      <c r="J567" s="98"/>
      <c r="K567" s="98"/>
    </row>
    <row r="568">
      <c r="A568" s="98"/>
      <c r="B568" s="98"/>
      <c r="D568" s="98"/>
      <c r="E568" s="98"/>
      <c r="F568" s="98"/>
      <c r="G568" s="98"/>
      <c r="H568" s="98"/>
      <c r="I568" s="98"/>
      <c r="J568" s="98"/>
      <c r="K568" s="98"/>
    </row>
    <row r="569">
      <c r="A569" s="98"/>
      <c r="B569" s="98"/>
      <c r="D569" s="98"/>
      <c r="E569" s="98"/>
      <c r="F569" s="98"/>
      <c r="G569" s="98"/>
      <c r="H569" s="98"/>
      <c r="I569" s="98"/>
      <c r="J569" s="98"/>
      <c r="K569" s="98"/>
    </row>
    <row r="570">
      <c r="A570" s="98"/>
      <c r="B570" s="98"/>
      <c r="D570" s="98"/>
      <c r="E570" s="98"/>
      <c r="F570" s="98"/>
      <c r="G570" s="98"/>
      <c r="H570" s="98"/>
      <c r="I570" s="98"/>
      <c r="J570" s="98"/>
      <c r="K570" s="98"/>
    </row>
    <row r="571">
      <c r="A571" s="98"/>
      <c r="B571" s="98"/>
      <c r="D571" s="98"/>
      <c r="E571" s="98"/>
      <c r="F571" s="98"/>
      <c r="G571" s="98"/>
      <c r="H571" s="98"/>
      <c r="I571" s="98"/>
      <c r="J571" s="98"/>
      <c r="K571" s="98"/>
    </row>
    <row r="572">
      <c r="A572" s="98"/>
      <c r="B572" s="98"/>
      <c r="D572" s="98"/>
      <c r="E572" s="98"/>
      <c r="F572" s="98"/>
      <c r="G572" s="98"/>
      <c r="H572" s="98"/>
      <c r="I572" s="98"/>
      <c r="J572" s="98"/>
      <c r="K572" s="98"/>
    </row>
    <row r="573">
      <c r="A573" s="98"/>
      <c r="B573" s="98"/>
      <c r="D573" s="98"/>
      <c r="E573" s="98"/>
      <c r="F573" s="98"/>
      <c r="G573" s="98"/>
      <c r="H573" s="98"/>
      <c r="I573" s="98"/>
      <c r="J573" s="98"/>
      <c r="K573" s="98"/>
    </row>
    <row r="574">
      <c r="A574" s="98"/>
      <c r="B574" s="98"/>
      <c r="D574" s="98"/>
      <c r="E574" s="98"/>
      <c r="F574" s="98"/>
      <c r="G574" s="98"/>
      <c r="H574" s="98"/>
      <c r="I574" s="98"/>
      <c r="J574" s="98"/>
      <c r="K574" s="98"/>
    </row>
    <row r="575">
      <c r="A575" s="98"/>
      <c r="B575" s="98"/>
      <c r="D575" s="98"/>
      <c r="E575" s="98"/>
      <c r="F575" s="98"/>
      <c r="G575" s="98"/>
      <c r="H575" s="98"/>
      <c r="I575" s="98"/>
      <c r="J575" s="98"/>
      <c r="K575" s="98"/>
    </row>
    <row r="576">
      <c r="A576" s="98"/>
      <c r="B576" s="98"/>
      <c r="D576" s="98"/>
      <c r="E576" s="98"/>
      <c r="F576" s="98"/>
      <c r="G576" s="98"/>
      <c r="H576" s="98"/>
      <c r="I576" s="98"/>
      <c r="J576" s="98"/>
      <c r="K576" s="98"/>
    </row>
    <row r="577">
      <c r="A577" s="98"/>
      <c r="B577" s="98"/>
      <c r="D577" s="98"/>
      <c r="E577" s="98"/>
      <c r="F577" s="98"/>
      <c r="G577" s="98"/>
      <c r="H577" s="98"/>
      <c r="I577" s="98"/>
      <c r="J577" s="98"/>
      <c r="K577" s="98"/>
    </row>
    <row r="578">
      <c r="A578" s="98"/>
      <c r="B578" s="98"/>
      <c r="D578" s="98"/>
      <c r="E578" s="98"/>
      <c r="F578" s="98"/>
      <c r="G578" s="98"/>
      <c r="H578" s="98"/>
      <c r="I578" s="98"/>
      <c r="J578" s="98"/>
      <c r="K578" s="98"/>
    </row>
    <row r="579">
      <c r="A579" s="98"/>
      <c r="B579" s="98"/>
      <c r="D579" s="98"/>
      <c r="E579" s="98"/>
      <c r="F579" s="98"/>
      <c r="G579" s="98"/>
      <c r="H579" s="98"/>
      <c r="I579" s="98"/>
      <c r="J579" s="98"/>
      <c r="K579" s="98"/>
    </row>
    <row r="580">
      <c r="A580" s="98"/>
      <c r="B580" s="98"/>
      <c r="D580" s="98"/>
      <c r="E580" s="98"/>
      <c r="F580" s="98"/>
      <c r="G580" s="98"/>
      <c r="H580" s="98"/>
      <c r="I580" s="98"/>
      <c r="J580" s="98"/>
      <c r="K580" s="98"/>
    </row>
    <row r="581">
      <c r="A581" s="98"/>
      <c r="B581" s="98"/>
      <c r="D581" s="98"/>
      <c r="E581" s="98"/>
      <c r="F581" s="98"/>
      <c r="G581" s="98"/>
      <c r="H581" s="98"/>
      <c r="I581" s="98"/>
      <c r="J581" s="98"/>
      <c r="K581" s="98"/>
    </row>
    <row r="582">
      <c r="A582" s="98"/>
      <c r="B582" s="98"/>
      <c r="D582" s="98"/>
      <c r="E582" s="98"/>
      <c r="F582" s="98"/>
      <c r="G582" s="98"/>
      <c r="H582" s="98"/>
      <c r="I582" s="98"/>
      <c r="J582" s="98"/>
      <c r="K582" s="98"/>
    </row>
    <row r="583">
      <c r="A583" s="98"/>
      <c r="B583" s="98"/>
      <c r="D583" s="98"/>
      <c r="E583" s="98"/>
      <c r="F583" s="98"/>
      <c r="G583" s="98"/>
      <c r="H583" s="98"/>
      <c r="I583" s="98"/>
      <c r="J583" s="98"/>
      <c r="K583" s="98"/>
    </row>
    <row r="584">
      <c r="A584" s="98"/>
      <c r="B584" s="98"/>
      <c r="D584" s="98"/>
      <c r="E584" s="98"/>
      <c r="F584" s="98"/>
      <c r="G584" s="98"/>
      <c r="H584" s="98"/>
      <c r="I584" s="98"/>
      <c r="J584" s="98"/>
      <c r="K584" s="98"/>
    </row>
    <row r="585">
      <c r="A585" s="98"/>
      <c r="B585" s="98"/>
      <c r="D585" s="98"/>
      <c r="E585" s="98"/>
      <c r="F585" s="98"/>
      <c r="G585" s="98"/>
      <c r="H585" s="98"/>
      <c r="I585" s="98"/>
      <c r="J585" s="98"/>
      <c r="K585" s="98"/>
    </row>
    <row r="586">
      <c r="A586" s="98"/>
      <c r="B586" s="98"/>
      <c r="D586" s="98"/>
      <c r="E586" s="98"/>
      <c r="F586" s="98"/>
      <c r="G586" s="98"/>
      <c r="H586" s="98"/>
      <c r="I586" s="98"/>
      <c r="J586" s="98"/>
      <c r="K586" s="98"/>
    </row>
    <row r="587">
      <c r="A587" s="98"/>
      <c r="B587" s="98"/>
      <c r="D587" s="98"/>
      <c r="E587" s="98"/>
      <c r="F587" s="98"/>
      <c r="G587" s="98"/>
      <c r="H587" s="98"/>
      <c r="I587" s="98"/>
      <c r="J587" s="98"/>
      <c r="K587" s="98"/>
    </row>
    <row r="588">
      <c r="A588" s="98"/>
      <c r="B588" s="98"/>
      <c r="D588" s="98"/>
      <c r="E588" s="98"/>
      <c r="F588" s="98"/>
      <c r="G588" s="98"/>
      <c r="H588" s="98"/>
      <c r="I588" s="98"/>
      <c r="J588" s="98"/>
      <c r="K588" s="98"/>
    </row>
    <row r="589">
      <c r="A589" s="98"/>
      <c r="B589" s="98"/>
      <c r="D589" s="98"/>
      <c r="E589" s="98"/>
      <c r="F589" s="98"/>
      <c r="G589" s="98"/>
      <c r="H589" s="98"/>
      <c r="I589" s="98"/>
      <c r="J589" s="98"/>
      <c r="K589" s="98"/>
    </row>
    <row r="590">
      <c r="A590" s="98"/>
      <c r="B590" s="98"/>
      <c r="D590" s="98"/>
      <c r="E590" s="98"/>
      <c r="F590" s="98"/>
      <c r="G590" s="98"/>
      <c r="H590" s="98"/>
      <c r="I590" s="98"/>
      <c r="J590" s="98"/>
      <c r="K590" s="98"/>
    </row>
    <row r="591">
      <c r="A591" s="98"/>
      <c r="B591" s="98"/>
      <c r="D591" s="98"/>
      <c r="E591" s="98"/>
      <c r="F591" s="98"/>
      <c r="G591" s="98"/>
      <c r="H591" s="98"/>
      <c r="I591" s="98"/>
      <c r="J591" s="98"/>
      <c r="K591" s="98"/>
    </row>
    <row r="592">
      <c r="A592" s="98"/>
      <c r="B592" s="98"/>
      <c r="D592" s="98"/>
      <c r="E592" s="98"/>
      <c r="F592" s="98"/>
      <c r="G592" s="98"/>
      <c r="H592" s="98"/>
      <c r="I592" s="98"/>
      <c r="J592" s="98"/>
      <c r="K592" s="98"/>
    </row>
    <row r="593">
      <c r="A593" s="98"/>
      <c r="B593" s="98"/>
      <c r="D593" s="98"/>
      <c r="E593" s="98"/>
      <c r="F593" s="98"/>
      <c r="G593" s="98"/>
      <c r="H593" s="98"/>
      <c r="I593" s="98"/>
      <c r="J593" s="98"/>
      <c r="K593" s="98"/>
    </row>
    <row r="594">
      <c r="A594" s="98"/>
      <c r="B594" s="98"/>
      <c r="D594" s="98"/>
      <c r="E594" s="98"/>
      <c r="F594" s="98"/>
      <c r="G594" s="98"/>
      <c r="H594" s="98"/>
      <c r="I594" s="98"/>
      <c r="J594" s="98"/>
      <c r="K594" s="98"/>
    </row>
    <row r="595">
      <c r="A595" s="98"/>
      <c r="B595" s="98"/>
      <c r="D595" s="98"/>
      <c r="E595" s="98"/>
      <c r="F595" s="98"/>
      <c r="G595" s="98"/>
      <c r="H595" s="98"/>
      <c r="I595" s="98"/>
      <c r="J595" s="98"/>
      <c r="K595" s="98"/>
    </row>
    <row r="596">
      <c r="A596" s="98"/>
      <c r="B596" s="98"/>
      <c r="D596" s="98"/>
      <c r="E596" s="98"/>
      <c r="F596" s="98"/>
      <c r="G596" s="98"/>
      <c r="H596" s="98"/>
      <c r="I596" s="98"/>
      <c r="J596" s="98"/>
      <c r="K596" s="98"/>
    </row>
    <row r="597">
      <c r="A597" s="98"/>
      <c r="B597" s="98"/>
      <c r="D597" s="98"/>
      <c r="E597" s="98"/>
      <c r="F597" s="98"/>
      <c r="G597" s="98"/>
      <c r="H597" s="98"/>
      <c r="I597" s="98"/>
      <c r="J597" s="98"/>
      <c r="K597" s="98"/>
    </row>
    <row r="598">
      <c r="A598" s="98"/>
      <c r="B598" s="98"/>
      <c r="D598" s="98"/>
      <c r="E598" s="98"/>
      <c r="F598" s="98"/>
      <c r="G598" s="98"/>
      <c r="H598" s="98"/>
      <c r="I598" s="98"/>
      <c r="J598" s="98"/>
      <c r="K598" s="98"/>
    </row>
    <row r="599">
      <c r="A599" s="98"/>
      <c r="B599" s="98"/>
      <c r="D599" s="98"/>
      <c r="E599" s="98"/>
      <c r="F599" s="98"/>
      <c r="G599" s="98"/>
      <c r="H599" s="98"/>
      <c r="I599" s="98"/>
      <c r="J599" s="98"/>
      <c r="K599" s="98"/>
    </row>
    <row r="600">
      <c r="A600" s="98"/>
      <c r="B600" s="98"/>
      <c r="D600" s="98"/>
      <c r="E600" s="98"/>
      <c r="F600" s="98"/>
      <c r="G600" s="98"/>
      <c r="H600" s="98"/>
      <c r="I600" s="98"/>
      <c r="J600" s="98"/>
      <c r="K600" s="98"/>
    </row>
    <row r="601">
      <c r="A601" s="98"/>
      <c r="B601" s="98"/>
      <c r="D601" s="98"/>
      <c r="E601" s="98"/>
      <c r="F601" s="98"/>
      <c r="G601" s="98"/>
      <c r="H601" s="98"/>
      <c r="I601" s="98"/>
      <c r="J601" s="98"/>
      <c r="K601" s="98"/>
    </row>
    <row r="602">
      <c r="A602" s="98"/>
      <c r="B602" s="98"/>
      <c r="D602" s="98"/>
      <c r="E602" s="98"/>
      <c r="F602" s="98"/>
      <c r="G602" s="98"/>
      <c r="H602" s="98"/>
      <c r="I602" s="98"/>
      <c r="J602" s="98"/>
      <c r="K602" s="98"/>
    </row>
    <row r="603">
      <c r="A603" s="98"/>
      <c r="B603" s="98"/>
      <c r="D603" s="98"/>
      <c r="E603" s="98"/>
      <c r="F603" s="98"/>
      <c r="G603" s="98"/>
      <c r="H603" s="98"/>
      <c r="I603" s="98"/>
      <c r="J603" s="98"/>
      <c r="K603" s="98"/>
    </row>
    <row r="604">
      <c r="A604" s="98"/>
      <c r="B604" s="98"/>
      <c r="D604" s="98"/>
      <c r="E604" s="98"/>
      <c r="F604" s="98"/>
      <c r="G604" s="98"/>
      <c r="H604" s="98"/>
      <c r="I604" s="98"/>
      <c r="J604" s="98"/>
      <c r="K604" s="98"/>
    </row>
    <row r="605">
      <c r="A605" s="98"/>
      <c r="B605" s="98"/>
      <c r="D605" s="98"/>
      <c r="E605" s="98"/>
      <c r="F605" s="98"/>
      <c r="G605" s="98"/>
      <c r="H605" s="98"/>
      <c r="I605" s="98"/>
      <c r="J605" s="98"/>
      <c r="K605" s="98"/>
    </row>
    <row r="606">
      <c r="A606" s="98"/>
      <c r="B606" s="98"/>
      <c r="D606" s="98"/>
      <c r="E606" s="98"/>
      <c r="F606" s="98"/>
      <c r="G606" s="98"/>
      <c r="H606" s="98"/>
      <c r="I606" s="98"/>
      <c r="J606" s="98"/>
      <c r="K606" s="98"/>
    </row>
    <row r="607">
      <c r="A607" s="98"/>
      <c r="B607" s="98"/>
      <c r="D607" s="98"/>
      <c r="E607" s="98"/>
      <c r="F607" s="98"/>
      <c r="G607" s="98"/>
      <c r="H607" s="98"/>
      <c r="I607" s="98"/>
      <c r="J607" s="98"/>
      <c r="K607" s="98"/>
    </row>
    <row r="608">
      <c r="A608" s="98"/>
      <c r="B608" s="98"/>
      <c r="D608" s="98"/>
      <c r="E608" s="98"/>
      <c r="F608" s="98"/>
      <c r="G608" s="98"/>
      <c r="H608" s="98"/>
      <c r="I608" s="98"/>
      <c r="J608" s="98"/>
      <c r="K608" s="98"/>
    </row>
    <row r="609">
      <c r="A609" s="98"/>
      <c r="B609" s="98"/>
      <c r="D609" s="98"/>
      <c r="E609" s="98"/>
      <c r="F609" s="98"/>
      <c r="G609" s="98"/>
      <c r="H609" s="98"/>
      <c r="I609" s="98"/>
      <c r="J609" s="98"/>
      <c r="K609" s="98"/>
    </row>
    <row r="610">
      <c r="A610" s="98"/>
      <c r="B610" s="98"/>
      <c r="D610" s="98"/>
      <c r="E610" s="98"/>
      <c r="F610" s="98"/>
      <c r="G610" s="98"/>
      <c r="H610" s="98"/>
      <c r="I610" s="98"/>
      <c r="J610" s="98"/>
      <c r="K610" s="98"/>
    </row>
    <row r="611">
      <c r="A611" s="98"/>
      <c r="B611" s="98"/>
      <c r="D611" s="98"/>
      <c r="E611" s="98"/>
      <c r="F611" s="98"/>
      <c r="G611" s="98"/>
      <c r="H611" s="98"/>
      <c r="I611" s="98"/>
      <c r="J611" s="98"/>
      <c r="K611" s="98"/>
    </row>
    <row r="612">
      <c r="A612" s="98"/>
      <c r="B612" s="98"/>
      <c r="D612" s="98"/>
      <c r="E612" s="98"/>
      <c r="F612" s="98"/>
      <c r="G612" s="98"/>
      <c r="H612" s="98"/>
      <c r="I612" s="98"/>
      <c r="J612" s="98"/>
      <c r="K612" s="98"/>
    </row>
    <row r="613">
      <c r="A613" s="98"/>
      <c r="B613" s="98"/>
      <c r="D613" s="98"/>
      <c r="E613" s="98"/>
      <c r="F613" s="98"/>
      <c r="G613" s="98"/>
      <c r="H613" s="98"/>
      <c r="I613" s="98"/>
      <c r="J613" s="98"/>
      <c r="K613" s="98"/>
    </row>
    <row r="614">
      <c r="A614" s="98"/>
      <c r="B614" s="98"/>
      <c r="D614" s="98"/>
      <c r="E614" s="98"/>
      <c r="F614" s="98"/>
      <c r="G614" s="98"/>
      <c r="H614" s="98"/>
      <c r="I614" s="98"/>
      <c r="J614" s="98"/>
      <c r="K614" s="98"/>
    </row>
    <row r="615">
      <c r="A615" s="98"/>
      <c r="B615" s="98"/>
      <c r="D615" s="98"/>
      <c r="E615" s="98"/>
      <c r="F615" s="98"/>
      <c r="G615" s="98"/>
      <c r="H615" s="98"/>
      <c r="I615" s="98"/>
      <c r="J615" s="98"/>
      <c r="K615" s="98"/>
    </row>
    <row r="616">
      <c r="A616" s="98"/>
      <c r="B616" s="98"/>
      <c r="D616" s="98"/>
      <c r="E616" s="98"/>
      <c r="F616" s="98"/>
      <c r="G616" s="98"/>
      <c r="H616" s="98"/>
      <c r="I616" s="98"/>
      <c r="J616" s="98"/>
      <c r="K616" s="98"/>
    </row>
    <row r="617">
      <c r="A617" s="98"/>
      <c r="B617" s="98"/>
      <c r="D617" s="98"/>
      <c r="E617" s="98"/>
      <c r="F617" s="98"/>
      <c r="G617" s="98"/>
      <c r="H617" s="98"/>
      <c r="I617" s="98"/>
      <c r="J617" s="98"/>
      <c r="K617" s="98"/>
    </row>
    <row r="618">
      <c r="A618" s="98"/>
      <c r="B618" s="98"/>
      <c r="D618" s="98"/>
      <c r="E618" s="98"/>
      <c r="F618" s="98"/>
      <c r="G618" s="98"/>
      <c r="H618" s="98"/>
      <c r="I618" s="98"/>
      <c r="J618" s="98"/>
      <c r="K618" s="98"/>
    </row>
    <row r="619">
      <c r="A619" s="98"/>
      <c r="B619" s="98"/>
      <c r="D619" s="98"/>
      <c r="E619" s="98"/>
      <c r="F619" s="98"/>
      <c r="G619" s="98"/>
      <c r="H619" s="98"/>
      <c r="I619" s="98"/>
      <c r="J619" s="98"/>
      <c r="K619" s="98"/>
    </row>
    <row r="620">
      <c r="A620" s="98"/>
      <c r="B620" s="98"/>
      <c r="D620" s="98"/>
      <c r="E620" s="98"/>
      <c r="F620" s="98"/>
      <c r="G620" s="98"/>
      <c r="H620" s="98"/>
      <c r="I620" s="98"/>
      <c r="J620" s="98"/>
      <c r="K620" s="98"/>
    </row>
    <row r="621">
      <c r="A621" s="98"/>
      <c r="B621" s="98"/>
      <c r="D621" s="98"/>
      <c r="E621" s="98"/>
      <c r="F621" s="98"/>
      <c r="G621" s="98"/>
      <c r="H621" s="98"/>
      <c r="I621" s="98"/>
      <c r="J621" s="98"/>
      <c r="K621" s="98"/>
    </row>
    <row r="622">
      <c r="A622" s="98"/>
      <c r="B622" s="98"/>
      <c r="D622" s="98"/>
      <c r="E622" s="98"/>
      <c r="F622" s="98"/>
      <c r="G622" s="98"/>
      <c r="H622" s="98"/>
      <c r="I622" s="98"/>
      <c r="J622" s="98"/>
      <c r="K622" s="98"/>
    </row>
    <row r="623">
      <c r="A623" s="98"/>
      <c r="B623" s="98"/>
      <c r="D623" s="98"/>
      <c r="E623" s="98"/>
      <c r="F623" s="98"/>
      <c r="G623" s="98"/>
      <c r="H623" s="98"/>
      <c r="I623" s="98"/>
      <c r="J623" s="98"/>
      <c r="K623" s="98"/>
    </row>
    <row r="624">
      <c r="A624" s="98"/>
      <c r="B624" s="98"/>
      <c r="D624" s="98"/>
      <c r="E624" s="98"/>
      <c r="F624" s="98"/>
      <c r="G624" s="98"/>
      <c r="H624" s="98"/>
      <c r="I624" s="98"/>
      <c r="J624" s="98"/>
      <c r="K624" s="98"/>
    </row>
    <row r="625">
      <c r="A625" s="98"/>
      <c r="B625" s="98"/>
      <c r="D625" s="98"/>
      <c r="E625" s="98"/>
      <c r="F625" s="98"/>
      <c r="G625" s="98"/>
      <c r="H625" s="98"/>
      <c r="I625" s="98"/>
      <c r="J625" s="98"/>
      <c r="K625" s="98"/>
    </row>
    <row r="626">
      <c r="A626" s="98"/>
      <c r="B626" s="98"/>
      <c r="D626" s="98"/>
      <c r="E626" s="98"/>
      <c r="F626" s="98"/>
      <c r="G626" s="98"/>
      <c r="H626" s="98"/>
      <c r="I626" s="98"/>
      <c r="J626" s="98"/>
      <c r="K626" s="98"/>
    </row>
    <row r="627">
      <c r="A627" s="98"/>
      <c r="B627" s="98"/>
      <c r="D627" s="98"/>
      <c r="E627" s="98"/>
      <c r="F627" s="98"/>
      <c r="G627" s="98"/>
      <c r="H627" s="98"/>
      <c r="I627" s="98"/>
      <c r="J627" s="98"/>
      <c r="K627" s="98"/>
    </row>
    <row r="628">
      <c r="A628" s="98"/>
      <c r="B628" s="98"/>
      <c r="D628" s="98"/>
      <c r="E628" s="98"/>
      <c r="F628" s="98"/>
      <c r="G628" s="98"/>
      <c r="H628" s="98"/>
      <c r="I628" s="98"/>
      <c r="J628" s="98"/>
      <c r="K628" s="98"/>
    </row>
    <row r="629">
      <c r="A629" s="98"/>
      <c r="B629" s="98"/>
      <c r="D629" s="98"/>
      <c r="E629" s="98"/>
      <c r="F629" s="98"/>
      <c r="G629" s="98"/>
      <c r="H629" s="98"/>
      <c r="I629" s="98"/>
      <c r="J629" s="98"/>
      <c r="K629" s="98"/>
    </row>
    <row r="630">
      <c r="A630" s="98"/>
      <c r="B630" s="98"/>
      <c r="D630" s="98"/>
      <c r="E630" s="98"/>
      <c r="F630" s="98"/>
      <c r="G630" s="98"/>
      <c r="H630" s="98"/>
      <c r="I630" s="98"/>
      <c r="J630" s="98"/>
      <c r="K630" s="98"/>
    </row>
    <row r="631">
      <c r="A631" s="98"/>
      <c r="B631" s="98"/>
      <c r="D631" s="98"/>
      <c r="E631" s="98"/>
      <c r="F631" s="98"/>
      <c r="G631" s="98"/>
      <c r="H631" s="98"/>
      <c r="I631" s="98"/>
      <c r="J631" s="98"/>
      <c r="K631" s="98"/>
    </row>
    <row r="632">
      <c r="A632" s="98"/>
      <c r="B632" s="98"/>
      <c r="D632" s="98"/>
      <c r="E632" s="98"/>
      <c r="F632" s="98"/>
      <c r="G632" s="98"/>
      <c r="H632" s="98"/>
      <c r="I632" s="98"/>
      <c r="J632" s="98"/>
      <c r="K632" s="98"/>
    </row>
    <row r="633">
      <c r="A633" s="98"/>
      <c r="B633" s="98"/>
      <c r="D633" s="98"/>
      <c r="E633" s="98"/>
      <c r="F633" s="98"/>
      <c r="G633" s="98"/>
      <c r="H633" s="98"/>
      <c r="I633" s="98"/>
      <c r="J633" s="98"/>
      <c r="K633" s="98"/>
    </row>
    <row r="634">
      <c r="A634" s="98"/>
      <c r="B634" s="98"/>
      <c r="D634" s="98"/>
      <c r="E634" s="98"/>
      <c r="F634" s="98"/>
      <c r="G634" s="98"/>
      <c r="H634" s="98"/>
      <c r="I634" s="98"/>
      <c r="J634" s="98"/>
      <c r="K634" s="98"/>
    </row>
    <row r="635">
      <c r="A635" s="98"/>
      <c r="B635" s="98"/>
      <c r="D635" s="98"/>
      <c r="E635" s="98"/>
      <c r="F635" s="98"/>
      <c r="G635" s="98"/>
      <c r="H635" s="98"/>
      <c r="I635" s="98"/>
      <c r="J635" s="98"/>
      <c r="K635" s="98"/>
    </row>
    <row r="636">
      <c r="A636" s="98"/>
      <c r="B636" s="98"/>
      <c r="D636" s="98"/>
      <c r="E636" s="98"/>
      <c r="F636" s="98"/>
      <c r="G636" s="98"/>
      <c r="H636" s="98"/>
      <c r="I636" s="98"/>
      <c r="J636" s="98"/>
      <c r="K636" s="98"/>
    </row>
    <row r="637">
      <c r="A637" s="98"/>
      <c r="B637" s="98"/>
      <c r="D637" s="98"/>
      <c r="E637" s="98"/>
      <c r="F637" s="98"/>
      <c r="G637" s="98"/>
      <c r="H637" s="98"/>
      <c r="I637" s="98"/>
      <c r="J637" s="98"/>
      <c r="K637" s="98"/>
    </row>
    <row r="638">
      <c r="A638" s="98"/>
      <c r="B638" s="98"/>
      <c r="D638" s="98"/>
      <c r="E638" s="98"/>
      <c r="F638" s="98"/>
      <c r="G638" s="98"/>
      <c r="H638" s="98"/>
      <c r="I638" s="98"/>
      <c r="J638" s="98"/>
      <c r="K638" s="98"/>
    </row>
    <row r="639">
      <c r="A639" s="98"/>
      <c r="B639" s="98"/>
      <c r="D639" s="98"/>
      <c r="E639" s="98"/>
      <c r="F639" s="98"/>
      <c r="G639" s="98"/>
      <c r="H639" s="98"/>
      <c r="I639" s="98"/>
      <c r="J639" s="98"/>
      <c r="K639" s="98"/>
    </row>
    <row r="640">
      <c r="A640" s="98"/>
      <c r="B640" s="98"/>
      <c r="D640" s="98"/>
      <c r="E640" s="98"/>
      <c r="F640" s="98"/>
      <c r="G640" s="98"/>
      <c r="H640" s="98"/>
      <c r="I640" s="98"/>
      <c r="J640" s="98"/>
      <c r="K640" s="98"/>
    </row>
    <row r="641">
      <c r="A641" s="98"/>
      <c r="B641" s="98"/>
      <c r="D641" s="98"/>
      <c r="E641" s="98"/>
      <c r="F641" s="98"/>
      <c r="G641" s="98"/>
      <c r="H641" s="98"/>
      <c r="I641" s="98"/>
      <c r="J641" s="98"/>
      <c r="K641" s="98"/>
    </row>
    <row r="642">
      <c r="A642" s="98"/>
      <c r="B642" s="98"/>
      <c r="D642" s="98"/>
      <c r="E642" s="98"/>
      <c r="F642" s="98"/>
      <c r="G642" s="98"/>
      <c r="H642" s="98"/>
      <c r="I642" s="98"/>
      <c r="J642" s="98"/>
      <c r="K642" s="98"/>
    </row>
    <row r="643">
      <c r="A643" s="98"/>
      <c r="B643" s="98"/>
      <c r="D643" s="98"/>
      <c r="E643" s="98"/>
      <c r="F643" s="98"/>
      <c r="G643" s="98"/>
      <c r="H643" s="98"/>
      <c r="I643" s="98"/>
      <c r="J643" s="98"/>
      <c r="K643" s="98"/>
    </row>
    <row r="644">
      <c r="A644" s="98"/>
      <c r="B644" s="98"/>
      <c r="D644" s="98"/>
      <c r="E644" s="98"/>
      <c r="F644" s="98"/>
      <c r="G644" s="98"/>
      <c r="H644" s="98"/>
      <c r="I644" s="98"/>
      <c r="J644" s="98"/>
      <c r="K644" s="98"/>
    </row>
    <row r="645">
      <c r="A645" s="98"/>
      <c r="B645" s="98"/>
      <c r="D645" s="98"/>
      <c r="E645" s="98"/>
      <c r="F645" s="98"/>
      <c r="G645" s="98"/>
      <c r="H645" s="98"/>
      <c r="I645" s="98"/>
      <c r="J645" s="98"/>
      <c r="K645" s="98"/>
    </row>
    <row r="646">
      <c r="A646" s="98"/>
      <c r="B646" s="98"/>
      <c r="D646" s="98"/>
      <c r="E646" s="98"/>
      <c r="F646" s="98"/>
      <c r="G646" s="98"/>
      <c r="H646" s="98"/>
      <c r="I646" s="98"/>
      <c r="J646" s="98"/>
      <c r="K646" s="98"/>
    </row>
    <row r="647">
      <c r="A647" s="98"/>
      <c r="B647" s="98"/>
      <c r="D647" s="98"/>
      <c r="E647" s="98"/>
      <c r="F647" s="98"/>
      <c r="G647" s="98"/>
      <c r="H647" s="98"/>
      <c r="I647" s="98"/>
      <c r="J647" s="98"/>
      <c r="K647" s="98"/>
    </row>
    <row r="648">
      <c r="A648" s="98"/>
      <c r="B648" s="98"/>
      <c r="D648" s="98"/>
      <c r="E648" s="98"/>
      <c r="F648" s="98"/>
      <c r="G648" s="98"/>
      <c r="H648" s="98"/>
      <c r="I648" s="98"/>
      <c r="J648" s="98"/>
      <c r="K648" s="98"/>
    </row>
    <row r="649">
      <c r="A649" s="98"/>
      <c r="B649" s="98"/>
      <c r="D649" s="98"/>
      <c r="E649" s="98"/>
      <c r="F649" s="98"/>
      <c r="G649" s="98"/>
      <c r="H649" s="98"/>
      <c r="I649" s="98"/>
      <c r="J649" s="98"/>
      <c r="K649" s="98"/>
    </row>
    <row r="650">
      <c r="A650" s="98"/>
      <c r="B650" s="98"/>
      <c r="D650" s="98"/>
      <c r="E650" s="98"/>
      <c r="F650" s="98"/>
      <c r="G650" s="98"/>
      <c r="H650" s="98"/>
      <c r="I650" s="98"/>
      <c r="J650" s="98"/>
      <c r="K650" s="98"/>
    </row>
    <row r="651">
      <c r="A651" s="98"/>
      <c r="B651" s="98"/>
      <c r="D651" s="98"/>
      <c r="E651" s="98"/>
      <c r="F651" s="98"/>
      <c r="G651" s="98"/>
      <c r="H651" s="98"/>
      <c r="I651" s="98"/>
      <c r="J651" s="98"/>
      <c r="K651" s="98"/>
    </row>
    <row r="652">
      <c r="A652" s="98"/>
      <c r="B652" s="98"/>
      <c r="D652" s="98"/>
      <c r="E652" s="98"/>
      <c r="F652" s="98"/>
      <c r="G652" s="98"/>
      <c r="H652" s="98"/>
      <c r="I652" s="98"/>
      <c r="J652" s="98"/>
      <c r="K652" s="98"/>
    </row>
    <row r="653">
      <c r="A653" s="98"/>
      <c r="B653" s="98"/>
      <c r="D653" s="98"/>
      <c r="E653" s="98"/>
      <c r="F653" s="98"/>
      <c r="G653" s="98"/>
      <c r="H653" s="98"/>
      <c r="I653" s="98"/>
      <c r="J653" s="98"/>
      <c r="K653" s="98"/>
    </row>
    <row r="654">
      <c r="A654" s="98"/>
      <c r="B654" s="98"/>
      <c r="D654" s="98"/>
      <c r="E654" s="98"/>
      <c r="F654" s="98"/>
      <c r="G654" s="98"/>
      <c r="H654" s="98"/>
      <c r="I654" s="98"/>
      <c r="J654" s="98"/>
      <c r="K654" s="98"/>
    </row>
    <row r="655">
      <c r="A655" s="98"/>
      <c r="B655" s="98"/>
      <c r="D655" s="98"/>
      <c r="E655" s="98"/>
      <c r="F655" s="98"/>
      <c r="G655" s="98"/>
      <c r="H655" s="98"/>
      <c r="I655" s="98"/>
      <c r="J655" s="98"/>
      <c r="K655" s="98"/>
    </row>
    <row r="656">
      <c r="A656" s="98"/>
      <c r="B656" s="98"/>
      <c r="D656" s="98"/>
      <c r="E656" s="98"/>
      <c r="F656" s="98"/>
      <c r="G656" s="98"/>
      <c r="H656" s="98"/>
      <c r="I656" s="98"/>
      <c r="J656" s="98"/>
      <c r="K656" s="98"/>
    </row>
    <row r="657">
      <c r="A657" s="98"/>
      <c r="B657" s="98"/>
      <c r="D657" s="98"/>
      <c r="E657" s="98"/>
      <c r="F657" s="98"/>
      <c r="G657" s="98"/>
      <c r="H657" s="98"/>
      <c r="I657" s="98"/>
      <c r="J657" s="98"/>
      <c r="K657" s="98"/>
    </row>
    <row r="658">
      <c r="A658" s="98"/>
      <c r="B658" s="98"/>
      <c r="D658" s="98"/>
      <c r="E658" s="98"/>
      <c r="F658" s="98"/>
      <c r="G658" s="98"/>
      <c r="H658" s="98"/>
      <c r="I658" s="98"/>
      <c r="J658" s="98"/>
      <c r="K658" s="98"/>
    </row>
    <row r="659">
      <c r="A659" s="98"/>
      <c r="B659" s="98"/>
      <c r="D659" s="98"/>
      <c r="E659" s="98"/>
      <c r="F659" s="98"/>
      <c r="G659" s="98"/>
      <c r="H659" s="98"/>
      <c r="I659" s="98"/>
      <c r="J659" s="98"/>
      <c r="K659" s="98"/>
    </row>
    <row r="660">
      <c r="A660" s="98"/>
      <c r="B660" s="98"/>
      <c r="D660" s="98"/>
      <c r="E660" s="98"/>
      <c r="F660" s="98"/>
      <c r="G660" s="98"/>
      <c r="H660" s="98"/>
      <c r="I660" s="98"/>
      <c r="J660" s="98"/>
      <c r="K660" s="98"/>
    </row>
    <row r="661">
      <c r="A661" s="98"/>
      <c r="B661" s="98"/>
      <c r="D661" s="98"/>
      <c r="E661" s="98"/>
      <c r="F661" s="98"/>
      <c r="G661" s="98"/>
      <c r="H661" s="98"/>
      <c r="I661" s="98"/>
      <c r="J661" s="98"/>
      <c r="K661" s="98"/>
    </row>
    <row r="662">
      <c r="A662" s="98"/>
      <c r="B662" s="98"/>
      <c r="D662" s="98"/>
      <c r="E662" s="98"/>
      <c r="F662" s="98"/>
      <c r="G662" s="98"/>
      <c r="H662" s="98"/>
      <c r="I662" s="98"/>
      <c r="J662" s="98"/>
      <c r="K662" s="98"/>
    </row>
    <row r="663">
      <c r="A663" s="98"/>
      <c r="B663" s="98"/>
      <c r="D663" s="98"/>
      <c r="E663" s="98"/>
      <c r="F663" s="98"/>
      <c r="G663" s="98"/>
      <c r="H663" s="98"/>
      <c r="I663" s="98"/>
      <c r="J663" s="98"/>
      <c r="K663" s="98"/>
    </row>
    <row r="664">
      <c r="A664" s="98"/>
      <c r="B664" s="98"/>
      <c r="D664" s="98"/>
      <c r="E664" s="98"/>
      <c r="F664" s="98"/>
      <c r="G664" s="98"/>
      <c r="H664" s="98"/>
      <c r="I664" s="98"/>
      <c r="J664" s="98"/>
      <c r="K664" s="98"/>
    </row>
    <row r="665">
      <c r="A665" s="98"/>
      <c r="B665" s="98"/>
      <c r="D665" s="98"/>
      <c r="E665" s="98"/>
      <c r="F665" s="98"/>
      <c r="G665" s="98"/>
      <c r="H665" s="98"/>
      <c r="I665" s="98"/>
      <c r="J665" s="98"/>
      <c r="K665" s="98"/>
    </row>
    <row r="666">
      <c r="A666" s="98"/>
      <c r="B666" s="98"/>
      <c r="D666" s="98"/>
      <c r="E666" s="98"/>
      <c r="F666" s="98"/>
      <c r="G666" s="98"/>
      <c r="H666" s="98"/>
      <c r="I666" s="98"/>
      <c r="J666" s="98"/>
      <c r="K666" s="98"/>
    </row>
    <row r="667">
      <c r="A667" s="98"/>
      <c r="B667" s="98"/>
      <c r="D667" s="98"/>
      <c r="E667" s="98"/>
      <c r="F667" s="98"/>
      <c r="G667" s="98"/>
      <c r="H667" s="98"/>
      <c r="I667" s="98"/>
      <c r="J667" s="98"/>
      <c r="K667" s="98"/>
    </row>
    <row r="668">
      <c r="A668" s="98"/>
      <c r="B668" s="98"/>
      <c r="D668" s="98"/>
      <c r="E668" s="98"/>
      <c r="F668" s="98"/>
      <c r="G668" s="98"/>
      <c r="H668" s="98"/>
      <c r="I668" s="98"/>
      <c r="J668" s="98"/>
      <c r="K668" s="98"/>
    </row>
    <row r="669">
      <c r="A669" s="98"/>
      <c r="B669" s="98"/>
      <c r="D669" s="98"/>
      <c r="E669" s="98"/>
      <c r="F669" s="98"/>
      <c r="G669" s="98"/>
      <c r="H669" s="98"/>
      <c r="I669" s="98"/>
      <c r="J669" s="98"/>
      <c r="K669" s="98"/>
    </row>
    <row r="670">
      <c r="A670" s="98"/>
      <c r="B670" s="98"/>
      <c r="D670" s="98"/>
      <c r="E670" s="98"/>
      <c r="F670" s="98"/>
      <c r="G670" s="98"/>
      <c r="H670" s="98"/>
      <c r="I670" s="98"/>
      <c r="J670" s="98"/>
      <c r="K670" s="98"/>
    </row>
    <row r="671">
      <c r="A671" s="98"/>
      <c r="B671" s="98"/>
      <c r="D671" s="98"/>
      <c r="E671" s="98"/>
      <c r="F671" s="98"/>
      <c r="G671" s="98"/>
      <c r="H671" s="98"/>
      <c r="I671" s="98"/>
      <c r="J671" s="98"/>
      <c r="K671" s="98"/>
    </row>
    <row r="672">
      <c r="A672" s="98"/>
      <c r="B672" s="98"/>
      <c r="D672" s="98"/>
      <c r="E672" s="98"/>
      <c r="F672" s="98"/>
      <c r="G672" s="98"/>
      <c r="H672" s="98"/>
      <c r="I672" s="98"/>
      <c r="J672" s="98"/>
      <c r="K672" s="98"/>
    </row>
    <row r="673">
      <c r="A673" s="98"/>
      <c r="B673" s="98"/>
      <c r="D673" s="98"/>
      <c r="E673" s="98"/>
      <c r="F673" s="98"/>
      <c r="G673" s="98"/>
      <c r="H673" s="98"/>
      <c r="I673" s="98"/>
      <c r="J673" s="98"/>
      <c r="K673" s="98"/>
    </row>
    <row r="674">
      <c r="A674" s="98"/>
      <c r="B674" s="98"/>
      <c r="D674" s="98"/>
      <c r="E674" s="98"/>
      <c r="F674" s="98"/>
      <c r="G674" s="98"/>
      <c r="H674" s="98"/>
      <c r="I674" s="98"/>
      <c r="J674" s="98"/>
      <c r="K674" s="98"/>
    </row>
    <row r="675">
      <c r="A675" s="98"/>
      <c r="B675" s="98"/>
      <c r="D675" s="98"/>
      <c r="E675" s="98"/>
      <c r="F675" s="98"/>
      <c r="G675" s="98"/>
      <c r="H675" s="98"/>
      <c r="I675" s="98"/>
      <c r="J675" s="98"/>
      <c r="K675" s="98"/>
    </row>
    <row r="676">
      <c r="A676" s="98"/>
      <c r="B676" s="98"/>
      <c r="D676" s="98"/>
      <c r="E676" s="98"/>
      <c r="F676" s="98"/>
      <c r="G676" s="98"/>
      <c r="H676" s="98"/>
      <c r="I676" s="98"/>
      <c r="J676" s="98"/>
      <c r="K676" s="98"/>
    </row>
    <row r="677">
      <c r="A677" s="98"/>
      <c r="B677" s="98"/>
      <c r="D677" s="98"/>
      <c r="E677" s="98"/>
      <c r="F677" s="98"/>
      <c r="G677" s="98"/>
      <c r="H677" s="98"/>
      <c r="I677" s="98"/>
      <c r="J677" s="98"/>
      <c r="K677" s="98"/>
    </row>
    <row r="678">
      <c r="A678" s="98"/>
      <c r="B678" s="98"/>
      <c r="D678" s="98"/>
      <c r="E678" s="98"/>
      <c r="F678" s="98"/>
      <c r="G678" s="98"/>
      <c r="H678" s="98"/>
      <c r="I678" s="98"/>
      <c r="J678" s="98"/>
      <c r="K678" s="98"/>
    </row>
    <row r="679">
      <c r="A679" s="98"/>
      <c r="B679" s="98"/>
      <c r="D679" s="98"/>
      <c r="E679" s="98"/>
      <c r="F679" s="98"/>
      <c r="G679" s="98"/>
      <c r="H679" s="98"/>
      <c r="I679" s="98"/>
      <c r="J679" s="98"/>
      <c r="K679" s="98"/>
    </row>
    <row r="680">
      <c r="A680" s="98"/>
      <c r="B680" s="98"/>
      <c r="D680" s="98"/>
      <c r="E680" s="98"/>
      <c r="F680" s="98"/>
      <c r="G680" s="98"/>
      <c r="H680" s="98"/>
      <c r="I680" s="98"/>
      <c r="J680" s="98"/>
      <c r="K680" s="98"/>
    </row>
    <row r="681">
      <c r="A681" s="98"/>
      <c r="B681" s="98"/>
      <c r="D681" s="98"/>
      <c r="E681" s="98"/>
      <c r="F681" s="98"/>
      <c r="G681" s="98"/>
      <c r="H681" s="98"/>
      <c r="I681" s="98"/>
      <c r="J681" s="98"/>
      <c r="K681" s="98"/>
    </row>
    <row r="682">
      <c r="A682" s="98"/>
      <c r="B682" s="98"/>
      <c r="D682" s="98"/>
      <c r="E682" s="98"/>
      <c r="F682" s="98"/>
      <c r="G682" s="98"/>
      <c r="H682" s="98"/>
      <c r="I682" s="98"/>
      <c r="J682" s="98"/>
      <c r="K682" s="98"/>
    </row>
    <row r="683">
      <c r="A683" s="98"/>
      <c r="B683" s="98"/>
      <c r="D683" s="98"/>
      <c r="E683" s="98"/>
      <c r="F683" s="98"/>
      <c r="G683" s="98"/>
      <c r="H683" s="98"/>
      <c r="I683" s="98"/>
      <c r="J683" s="98"/>
      <c r="K683" s="98"/>
    </row>
    <row r="684">
      <c r="A684" s="98"/>
      <c r="B684" s="98"/>
      <c r="D684" s="98"/>
      <c r="E684" s="98"/>
      <c r="F684" s="98"/>
      <c r="G684" s="98"/>
      <c r="H684" s="98"/>
      <c r="I684" s="98"/>
      <c r="J684" s="98"/>
      <c r="K684" s="98"/>
    </row>
    <row r="685">
      <c r="A685" s="98"/>
      <c r="B685" s="98"/>
      <c r="D685" s="98"/>
      <c r="E685" s="98"/>
      <c r="F685" s="98"/>
      <c r="G685" s="98"/>
      <c r="H685" s="98"/>
      <c r="I685" s="98"/>
      <c r="J685" s="98"/>
      <c r="K685" s="98"/>
    </row>
    <row r="686">
      <c r="A686" s="98"/>
      <c r="B686" s="98"/>
      <c r="D686" s="98"/>
      <c r="E686" s="98"/>
      <c r="F686" s="98"/>
      <c r="G686" s="98"/>
      <c r="H686" s="98"/>
      <c r="I686" s="98"/>
      <c r="J686" s="98"/>
      <c r="K686" s="98"/>
    </row>
    <row r="687">
      <c r="A687" s="98"/>
      <c r="B687" s="98"/>
      <c r="D687" s="98"/>
      <c r="E687" s="98"/>
      <c r="F687" s="98"/>
      <c r="G687" s="98"/>
      <c r="H687" s="98"/>
      <c r="I687" s="98"/>
      <c r="J687" s="98"/>
      <c r="K687" s="98"/>
    </row>
    <row r="688">
      <c r="A688" s="98"/>
      <c r="B688" s="98"/>
      <c r="D688" s="98"/>
      <c r="E688" s="98"/>
      <c r="F688" s="98"/>
      <c r="G688" s="98"/>
      <c r="H688" s="98"/>
      <c r="I688" s="98"/>
      <c r="J688" s="98"/>
      <c r="K688" s="98"/>
    </row>
    <row r="689">
      <c r="A689" s="98"/>
      <c r="B689" s="98"/>
      <c r="D689" s="98"/>
      <c r="E689" s="98"/>
      <c r="F689" s="98"/>
      <c r="G689" s="98"/>
      <c r="H689" s="98"/>
      <c r="I689" s="98"/>
      <c r="J689" s="98"/>
      <c r="K689" s="98"/>
    </row>
    <row r="690">
      <c r="A690" s="98"/>
      <c r="B690" s="98"/>
      <c r="D690" s="98"/>
      <c r="E690" s="98"/>
      <c r="F690" s="98"/>
      <c r="G690" s="98"/>
      <c r="H690" s="98"/>
      <c r="I690" s="98"/>
      <c r="J690" s="98"/>
      <c r="K690" s="98"/>
    </row>
    <row r="691">
      <c r="A691" s="98"/>
      <c r="B691" s="98"/>
      <c r="D691" s="98"/>
      <c r="E691" s="98"/>
      <c r="F691" s="98"/>
      <c r="G691" s="98"/>
      <c r="H691" s="98"/>
      <c r="I691" s="98"/>
      <c r="J691" s="98"/>
      <c r="K691" s="98"/>
    </row>
    <row r="692">
      <c r="A692" s="98"/>
      <c r="B692" s="98"/>
      <c r="D692" s="98"/>
      <c r="E692" s="98"/>
      <c r="F692" s="98"/>
      <c r="G692" s="98"/>
      <c r="H692" s="98"/>
      <c r="I692" s="98"/>
      <c r="J692" s="98"/>
      <c r="K692" s="98"/>
    </row>
    <row r="693">
      <c r="A693" s="98"/>
      <c r="B693" s="98"/>
      <c r="D693" s="98"/>
      <c r="E693" s="98"/>
      <c r="F693" s="98"/>
      <c r="G693" s="98"/>
      <c r="H693" s="98"/>
      <c r="I693" s="98"/>
      <c r="J693" s="98"/>
      <c r="K693" s="98"/>
    </row>
    <row r="694">
      <c r="A694" s="98"/>
      <c r="B694" s="98"/>
      <c r="D694" s="98"/>
      <c r="E694" s="98"/>
      <c r="F694" s="98"/>
      <c r="G694" s="98"/>
      <c r="H694" s="98"/>
      <c r="I694" s="98"/>
      <c r="J694" s="98"/>
      <c r="K694" s="98"/>
    </row>
    <row r="695">
      <c r="A695" s="98"/>
      <c r="B695" s="98"/>
      <c r="D695" s="98"/>
      <c r="E695" s="98"/>
      <c r="F695" s="98"/>
      <c r="G695" s="98"/>
      <c r="H695" s="98"/>
      <c r="I695" s="98"/>
      <c r="J695" s="98"/>
      <c r="K695" s="98"/>
    </row>
    <row r="696">
      <c r="A696" s="98"/>
      <c r="B696" s="98"/>
      <c r="D696" s="98"/>
      <c r="E696" s="98"/>
      <c r="F696" s="98"/>
      <c r="G696" s="98"/>
      <c r="H696" s="98"/>
      <c r="I696" s="98"/>
      <c r="J696" s="98"/>
      <c r="K696" s="98"/>
    </row>
    <row r="697">
      <c r="A697" s="98"/>
      <c r="B697" s="98"/>
      <c r="D697" s="98"/>
      <c r="E697" s="98"/>
      <c r="F697" s="98"/>
      <c r="G697" s="98"/>
      <c r="H697" s="98"/>
      <c r="I697" s="98"/>
      <c r="J697" s="98"/>
      <c r="K697" s="98"/>
    </row>
    <row r="698">
      <c r="A698" s="98"/>
      <c r="B698" s="98"/>
      <c r="D698" s="98"/>
      <c r="E698" s="98"/>
      <c r="F698" s="98"/>
      <c r="G698" s="98"/>
      <c r="H698" s="98"/>
      <c r="I698" s="98"/>
      <c r="J698" s="98"/>
      <c r="K698" s="98"/>
    </row>
    <row r="699">
      <c r="A699" s="98"/>
      <c r="B699" s="98"/>
      <c r="D699" s="98"/>
      <c r="E699" s="98"/>
      <c r="F699" s="98"/>
      <c r="G699" s="98"/>
      <c r="H699" s="98"/>
      <c r="I699" s="98"/>
      <c r="J699" s="98"/>
      <c r="K699" s="98"/>
    </row>
    <row r="700">
      <c r="A700" s="98"/>
      <c r="B700" s="98"/>
      <c r="D700" s="98"/>
      <c r="E700" s="98"/>
      <c r="F700" s="98"/>
      <c r="G700" s="98"/>
      <c r="H700" s="98"/>
      <c r="I700" s="98"/>
      <c r="J700" s="98"/>
      <c r="K700" s="98"/>
    </row>
    <row r="701">
      <c r="A701" s="98"/>
      <c r="B701" s="98"/>
      <c r="D701" s="98"/>
      <c r="E701" s="98"/>
      <c r="F701" s="98"/>
      <c r="G701" s="98"/>
      <c r="H701" s="98"/>
      <c r="I701" s="98"/>
      <c r="J701" s="98"/>
      <c r="K701" s="98"/>
    </row>
    <row r="702">
      <c r="A702" s="98"/>
      <c r="B702" s="98"/>
      <c r="D702" s="98"/>
      <c r="E702" s="98"/>
      <c r="F702" s="98"/>
      <c r="G702" s="98"/>
      <c r="H702" s="98"/>
      <c r="I702" s="98"/>
      <c r="J702" s="98"/>
      <c r="K702" s="98"/>
    </row>
    <row r="703">
      <c r="A703" s="98"/>
      <c r="B703" s="98"/>
      <c r="D703" s="98"/>
      <c r="E703" s="98"/>
      <c r="F703" s="98"/>
      <c r="G703" s="98"/>
      <c r="H703" s="98"/>
      <c r="I703" s="98"/>
      <c r="J703" s="98"/>
      <c r="K703" s="98"/>
    </row>
    <row r="704">
      <c r="A704" s="98"/>
      <c r="B704" s="98"/>
      <c r="D704" s="98"/>
      <c r="E704" s="98"/>
      <c r="F704" s="98"/>
      <c r="G704" s="98"/>
      <c r="H704" s="98"/>
      <c r="I704" s="98"/>
      <c r="J704" s="98"/>
      <c r="K704" s="98"/>
    </row>
    <row r="705">
      <c r="A705" s="98"/>
      <c r="B705" s="98"/>
      <c r="D705" s="98"/>
      <c r="E705" s="98"/>
      <c r="F705" s="98"/>
      <c r="G705" s="98"/>
      <c r="H705" s="98"/>
      <c r="I705" s="98"/>
      <c r="J705" s="98"/>
      <c r="K705" s="98"/>
    </row>
    <row r="706">
      <c r="A706" s="98"/>
      <c r="B706" s="98"/>
      <c r="D706" s="98"/>
      <c r="E706" s="98"/>
      <c r="F706" s="98"/>
      <c r="G706" s="98"/>
      <c r="H706" s="98"/>
      <c r="I706" s="98"/>
      <c r="J706" s="98"/>
      <c r="K706" s="98"/>
    </row>
    <row r="707">
      <c r="A707" s="98"/>
      <c r="B707" s="98"/>
      <c r="D707" s="98"/>
      <c r="E707" s="98"/>
      <c r="F707" s="98"/>
      <c r="G707" s="98"/>
      <c r="H707" s="98"/>
      <c r="I707" s="98"/>
      <c r="J707" s="98"/>
      <c r="K707" s="98"/>
    </row>
    <row r="708">
      <c r="A708" s="98"/>
      <c r="B708" s="98"/>
      <c r="D708" s="98"/>
      <c r="E708" s="98"/>
      <c r="F708" s="98"/>
      <c r="G708" s="98"/>
      <c r="H708" s="98"/>
      <c r="I708" s="98"/>
      <c r="J708" s="98"/>
      <c r="K708" s="98"/>
    </row>
    <row r="709">
      <c r="A709" s="98"/>
      <c r="B709" s="98"/>
      <c r="D709" s="98"/>
      <c r="E709" s="98"/>
      <c r="F709" s="98"/>
      <c r="G709" s="98"/>
      <c r="H709" s="98"/>
      <c r="I709" s="98"/>
      <c r="J709" s="98"/>
      <c r="K709" s="98"/>
    </row>
    <row r="710">
      <c r="A710" s="98"/>
      <c r="B710" s="98"/>
      <c r="D710" s="98"/>
      <c r="E710" s="98"/>
      <c r="F710" s="98"/>
      <c r="G710" s="98"/>
      <c r="H710" s="98"/>
      <c r="I710" s="98"/>
      <c r="J710" s="98"/>
      <c r="K710" s="98"/>
    </row>
    <row r="711">
      <c r="A711" s="98"/>
      <c r="B711" s="98"/>
      <c r="D711" s="98"/>
      <c r="E711" s="98"/>
      <c r="F711" s="98"/>
      <c r="G711" s="98"/>
      <c r="H711" s="98"/>
      <c r="I711" s="98"/>
      <c r="J711" s="98"/>
      <c r="K711" s="98"/>
    </row>
    <row r="712">
      <c r="A712" s="98"/>
      <c r="B712" s="98"/>
      <c r="D712" s="98"/>
      <c r="E712" s="98"/>
      <c r="F712" s="98"/>
      <c r="G712" s="98"/>
      <c r="H712" s="98"/>
      <c r="I712" s="98"/>
      <c r="J712" s="98"/>
      <c r="K712" s="98"/>
    </row>
    <row r="713">
      <c r="A713" s="98"/>
      <c r="B713" s="98"/>
      <c r="D713" s="98"/>
      <c r="E713" s="98"/>
      <c r="F713" s="98"/>
      <c r="G713" s="98"/>
      <c r="H713" s="98"/>
      <c r="I713" s="98"/>
      <c r="J713" s="98"/>
      <c r="K713" s="98"/>
    </row>
    <row r="714">
      <c r="A714" s="98"/>
      <c r="B714" s="98"/>
      <c r="D714" s="98"/>
      <c r="E714" s="98"/>
      <c r="F714" s="98"/>
      <c r="G714" s="98"/>
      <c r="H714" s="98"/>
      <c r="I714" s="98"/>
      <c r="J714" s="98"/>
      <c r="K714" s="98"/>
    </row>
    <row r="715">
      <c r="A715" s="98"/>
      <c r="B715" s="98"/>
      <c r="D715" s="98"/>
      <c r="E715" s="98"/>
      <c r="F715" s="98"/>
      <c r="G715" s="98"/>
      <c r="H715" s="98"/>
      <c r="I715" s="98"/>
      <c r="J715" s="98"/>
      <c r="K715" s="98"/>
    </row>
    <row r="716">
      <c r="A716" s="98"/>
      <c r="B716" s="98"/>
      <c r="D716" s="98"/>
      <c r="E716" s="98"/>
      <c r="F716" s="98"/>
      <c r="G716" s="98"/>
      <c r="H716" s="98"/>
      <c r="I716" s="98"/>
      <c r="J716" s="98"/>
      <c r="K716" s="98"/>
    </row>
    <row r="717">
      <c r="A717" s="98"/>
      <c r="B717" s="98"/>
      <c r="D717" s="98"/>
      <c r="E717" s="98"/>
      <c r="F717" s="98"/>
      <c r="G717" s="98"/>
      <c r="H717" s="98"/>
      <c r="I717" s="98"/>
      <c r="J717" s="98"/>
      <c r="K717" s="98"/>
    </row>
    <row r="718">
      <c r="A718" s="98"/>
      <c r="B718" s="98"/>
      <c r="D718" s="98"/>
      <c r="E718" s="98"/>
      <c r="F718" s="98"/>
      <c r="G718" s="98"/>
      <c r="H718" s="98"/>
      <c r="I718" s="98"/>
      <c r="J718" s="98"/>
      <c r="K718" s="98"/>
    </row>
    <row r="719">
      <c r="A719" s="98"/>
      <c r="B719" s="98"/>
      <c r="D719" s="98"/>
      <c r="E719" s="98"/>
      <c r="F719" s="98"/>
      <c r="G719" s="98"/>
      <c r="H719" s="98"/>
      <c r="I719" s="98"/>
      <c r="J719" s="98"/>
      <c r="K719" s="98"/>
    </row>
    <row r="720">
      <c r="A720" s="98"/>
      <c r="B720" s="98"/>
      <c r="D720" s="98"/>
      <c r="E720" s="98"/>
      <c r="F720" s="98"/>
      <c r="G720" s="98"/>
      <c r="H720" s="98"/>
      <c r="I720" s="98"/>
      <c r="J720" s="98"/>
      <c r="K720" s="98"/>
    </row>
    <row r="721">
      <c r="A721" s="98"/>
      <c r="B721" s="98"/>
      <c r="D721" s="98"/>
      <c r="E721" s="98"/>
      <c r="F721" s="98"/>
      <c r="G721" s="98"/>
      <c r="H721" s="98"/>
      <c r="I721" s="98"/>
      <c r="J721" s="98"/>
      <c r="K721" s="98"/>
    </row>
    <row r="722">
      <c r="A722" s="98"/>
      <c r="B722" s="98"/>
      <c r="D722" s="98"/>
      <c r="E722" s="98"/>
      <c r="F722" s="98"/>
      <c r="G722" s="98"/>
      <c r="H722" s="98"/>
      <c r="I722" s="98"/>
      <c r="J722" s="98"/>
      <c r="K722" s="98"/>
    </row>
    <row r="723">
      <c r="A723" s="98"/>
      <c r="B723" s="98"/>
      <c r="D723" s="98"/>
      <c r="E723" s="98"/>
      <c r="F723" s="98"/>
      <c r="G723" s="98"/>
      <c r="H723" s="98"/>
      <c r="I723" s="98"/>
      <c r="J723" s="98"/>
      <c r="K723" s="98"/>
    </row>
    <row r="724">
      <c r="A724" s="98"/>
      <c r="B724" s="98"/>
      <c r="D724" s="98"/>
      <c r="E724" s="98"/>
      <c r="F724" s="98"/>
      <c r="G724" s="98"/>
      <c r="H724" s="98"/>
      <c r="I724" s="98"/>
      <c r="J724" s="98"/>
      <c r="K724" s="98"/>
    </row>
    <row r="725">
      <c r="A725" s="98"/>
      <c r="B725" s="98"/>
      <c r="D725" s="98"/>
      <c r="E725" s="98"/>
      <c r="F725" s="98"/>
      <c r="G725" s="98"/>
      <c r="H725" s="98"/>
      <c r="I725" s="98"/>
      <c r="J725" s="98"/>
      <c r="K725" s="98"/>
    </row>
    <row r="726">
      <c r="A726" s="98"/>
      <c r="B726" s="98"/>
      <c r="D726" s="98"/>
      <c r="E726" s="98"/>
      <c r="F726" s="98"/>
      <c r="G726" s="98"/>
      <c r="H726" s="98"/>
      <c r="I726" s="98"/>
      <c r="J726" s="98"/>
      <c r="K726" s="98"/>
    </row>
    <row r="727">
      <c r="A727" s="98"/>
      <c r="B727" s="98"/>
      <c r="D727" s="98"/>
      <c r="E727" s="98"/>
      <c r="F727" s="98"/>
      <c r="G727" s="98"/>
      <c r="H727" s="98"/>
      <c r="I727" s="98"/>
      <c r="J727" s="98"/>
      <c r="K727" s="98"/>
    </row>
    <row r="728">
      <c r="A728" s="98"/>
      <c r="B728" s="98"/>
      <c r="D728" s="98"/>
      <c r="E728" s="98"/>
      <c r="F728" s="98"/>
      <c r="G728" s="98"/>
      <c r="H728" s="98"/>
      <c r="I728" s="98"/>
      <c r="J728" s="98"/>
      <c r="K728" s="98"/>
    </row>
    <row r="729">
      <c r="A729" s="98"/>
      <c r="B729" s="98"/>
      <c r="D729" s="98"/>
      <c r="E729" s="98"/>
      <c r="F729" s="98"/>
      <c r="G729" s="98"/>
      <c r="H729" s="98"/>
      <c r="I729" s="98"/>
      <c r="J729" s="98"/>
      <c r="K729" s="98"/>
    </row>
    <row r="730">
      <c r="A730" s="98"/>
      <c r="B730" s="98"/>
      <c r="D730" s="98"/>
      <c r="E730" s="98"/>
      <c r="F730" s="98"/>
      <c r="G730" s="98"/>
      <c r="H730" s="98"/>
      <c r="I730" s="98"/>
      <c r="J730" s="98"/>
      <c r="K730" s="98"/>
    </row>
    <row r="731">
      <c r="A731" s="98"/>
      <c r="B731" s="98"/>
      <c r="D731" s="98"/>
      <c r="E731" s="98"/>
      <c r="F731" s="98"/>
      <c r="G731" s="98"/>
      <c r="H731" s="98"/>
      <c r="I731" s="98"/>
      <c r="J731" s="98"/>
      <c r="K731" s="98"/>
    </row>
    <row r="732">
      <c r="A732" s="98"/>
      <c r="B732" s="98"/>
      <c r="D732" s="98"/>
      <c r="E732" s="98"/>
      <c r="F732" s="98"/>
      <c r="G732" s="98"/>
      <c r="H732" s="98"/>
      <c r="I732" s="98"/>
      <c r="J732" s="98"/>
      <c r="K732" s="98"/>
    </row>
    <row r="733">
      <c r="A733" s="98"/>
      <c r="B733" s="98"/>
      <c r="D733" s="98"/>
      <c r="E733" s="98"/>
      <c r="F733" s="98"/>
      <c r="G733" s="98"/>
      <c r="H733" s="98"/>
      <c r="I733" s="98"/>
      <c r="J733" s="98"/>
      <c r="K733" s="98"/>
    </row>
    <row r="734">
      <c r="A734" s="98"/>
      <c r="B734" s="98"/>
      <c r="D734" s="98"/>
      <c r="E734" s="98"/>
      <c r="F734" s="98"/>
      <c r="G734" s="98"/>
      <c r="H734" s="98"/>
      <c r="I734" s="98"/>
      <c r="J734" s="98"/>
      <c r="K734" s="98"/>
    </row>
    <row r="735">
      <c r="A735" s="98"/>
      <c r="B735" s="98"/>
      <c r="D735" s="98"/>
      <c r="E735" s="98"/>
      <c r="F735" s="98"/>
      <c r="G735" s="98"/>
      <c r="H735" s="98"/>
      <c r="I735" s="98"/>
      <c r="J735" s="98"/>
      <c r="K735" s="98"/>
    </row>
    <row r="736">
      <c r="A736" s="98"/>
      <c r="B736" s="98"/>
      <c r="D736" s="98"/>
      <c r="E736" s="98"/>
      <c r="F736" s="98"/>
      <c r="G736" s="98"/>
      <c r="H736" s="98"/>
      <c r="I736" s="98"/>
      <c r="J736" s="98"/>
      <c r="K736" s="98"/>
    </row>
    <row r="737">
      <c r="A737" s="98"/>
      <c r="B737" s="98"/>
      <c r="D737" s="98"/>
      <c r="E737" s="98"/>
      <c r="F737" s="98"/>
      <c r="G737" s="98"/>
      <c r="H737" s="98"/>
      <c r="I737" s="98"/>
      <c r="J737" s="98"/>
      <c r="K737" s="98"/>
    </row>
    <row r="738">
      <c r="A738" s="98"/>
      <c r="B738" s="98"/>
      <c r="D738" s="98"/>
      <c r="E738" s="98"/>
      <c r="F738" s="98"/>
      <c r="G738" s="98"/>
      <c r="H738" s="98"/>
      <c r="I738" s="98"/>
      <c r="J738" s="98"/>
      <c r="K738" s="98"/>
    </row>
    <row r="739">
      <c r="A739" s="98"/>
      <c r="B739" s="98"/>
      <c r="D739" s="98"/>
      <c r="E739" s="98"/>
      <c r="F739" s="98"/>
      <c r="G739" s="98"/>
      <c r="H739" s="98"/>
      <c r="I739" s="98"/>
      <c r="J739" s="98"/>
      <c r="K739" s="98"/>
    </row>
    <row r="740">
      <c r="A740" s="98"/>
      <c r="B740" s="98"/>
      <c r="D740" s="98"/>
      <c r="E740" s="98"/>
      <c r="F740" s="98"/>
      <c r="G740" s="98"/>
      <c r="H740" s="98"/>
      <c r="I740" s="98"/>
      <c r="J740" s="98"/>
      <c r="K740" s="98"/>
    </row>
    <row r="741">
      <c r="A741" s="98"/>
      <c r="B741" s="98"/>
      <c r="D741" s="98"/>
      <c r="E741" s="98"/>
      <c r="F741" s="98"/>
      <c r="G741" s="98"/>
      <c r="H741" s="98"/>
      <c r="I741" s="98"/>
      <c r="J741" s="98"/>
      <c r="K741" s="98"/>
    </row>
    <row r="742">
      <c r="A742" s="98"/>
      <c r="B742" s="98"/>
      <c r="D742" s="98"/>
      <c r="E742" s="98"/>
      <c r="F742" s="98"/>
      <c r="G742" s="98"/>
      <c r="H742" s="98"/>
      <c r="I742" s="98"/>
      <c r="J742" s="98"/>
      <c r="K742" s="98"/>
    </row>
    <row r="743">
      <c r="A743" s="98"/>
      <c r="B743" s="98"/>
      <c r="D743" s="98"/>
      <c r="E743" s="98"/>
      <c r="F743" s="98"/>
      <c r="G743" s="98"/>
      <c r="H743" s="98"/>
      <c r="I743" s="98"/>
      <c r="J743" s="98"/>
      <c r="K743" s="98"/>
    </row>
    <row r="744">
      <c r="A744" s="98"/>
      <c r="B744" s="98"/>
      <c r="D744" s="98"/>
      <c r="E744" s="98"/>
      <c r="F744" s="98"/>
      <c r="G744" s="98"/>
      <c r="H744" s="98"/>
      <c r="I744" s="98"/>
      <c r="J744" s="98"/>
      <c r="K744" s="98"/>
    </row>
    <row r="745">
      <c r="A745" s="98"/>
      <c r="B745" s="98"/>
      <c r="D745" s="98"/>
      <c r="E745" s="98"/>
      <c r="F745" s="98"/>
      <c r="G745" s="98"/>
      <c r="H745" s="98"/>
      <c r="I745" s="98"/>
      <c r="J745" s="98"/>
      <c r="K745" s="98"/>
    </row>
    <row r="746">
      <c r="A746" s="98"/>
      <c r="B746" s="98"/>
      <c r="D746" s="98"/>
      <c r="E746" s="98"/>
      <c r="F746" s="98"/>
      <c r="G746" s="98"/>
      <c r="H746" s="98"/>
      <c r="I746" s="98"/>
      <c r="J746" s="98"/>
      <c r="K746" s="98"/>
    </row>
    <row r="747">
      <c r="A747" s="98"/>
      <c r="B747" s="98"/>
      <c r="D747" s="98"/>
      <c r="E747" s="98"/>
      <c r="F747" s="98"/>
      <c r="G747" s="98"/>
      <c r="H747" s="98"/>
      <c r="I747" s="98"/>
      <c r="J747" s="98"/>
      <c r="K747" s="98"/>
    </row>
    <row r="748">
      <c r="A748" s="98"/>
      <c r="B748" s="98"/>
      <c r="D748" s="98"/>
      <c r="E748" s="98"/>
      <c r="F748" s="98"/>
      <c r="G748" s="98"/>
      <c r="H748" s="98"/>
      <c r="I748" s="98"/>
      <c r="J748" s="98"/>
      <c r="K748" s="98"/>
    </row>
    <row r="749">
      <c r="A749" s="98"/>
      <c r="B749" s="98"/>
      <c r="D749" s="98"/>
      <c r="E749" s="98"/>
      <c r="F749" s="98"/>
      <c r="G749" s="98"/>
      <c r="H749" s="98"/>
      <c r="I749" s="98"/>
      <c r="J749" s="98"/>
      <c r="K749" s="98"/>
    </row>
    <row r="750">
      <c r="A750" s="98"/>
      <c r="B750" s="98"/>
      <c r="D750" s="98"/>
      <c r="E750" s="98"/>
      <c r="F750" s="98"/>
      <c r="G750" s="98"/>
      <c r="H750" s="98"/>
      <c r="I750" s="98"/>
      <c r="J750" s="98"/>
      <c r="K750" s="98"/>
    </row>
    <row r="751">
      <c r="A751" s="98"/>
      <c r="B751" s="98"/>
      <c r="D751" s="98"/>
      <c r="E751" s="98"/>
      <c r="F751" s="98"/>
      <c r="G751" s="98"/>
      <c r="H751" s="98"/>
      <c r="I751" s="98"/>
      <c r="J751" s="98"/>
      <c r="K751" s="98"/>
    </row>
    <row r="752">
      <c r="A752" s="98"/>
      <c r="B752" s="98"/>
      <c r="D752" s="98"/>
      <c r="E752" s="98"/>
      <c r="F752" s="98"/>
      <c r="G752" s="98"/>
      <c r="H752" s="98"/>
      <c r="I752" s="98"/>
      <c r="J752" s="98"/>
      <c r="K752" s="98"/>
    </row>
    <row r="753">
      <c r="A753" s="98"/>
      <c r="B753" s="98"/>
      <c r="D753" s="98"/>
      <c r="E753" s="98"/>
      <c r="F753" s="98"/>
      <c r="G753" s="98"/>
      <c r="H753" s="98"/>
      <c r="I753" s="98"/>
      <c r="J753" s="98"/>
      <c r="K753" s="98"/>
    </row>
    <row r="754">
      <c r="A754" s="98"/>
      <c r="B754" s="98"/>
      <c r="D754" s="98"/>
      <c r="E754" s="98"/>
      <c r="F754" s="98"/>
      <c r="G754" s="98"/>
      <c r="H754" s="98"/>
      <c r="I754" s="98"/>
      <c r="J754" s="98"/>
      <c r="K754" s="98"/>
    </row>
    <row r="755">
      <c r="A755" s="98"/>
      <c r="B755" s="98"/>
      <c r="D755" s="98"/>
      <c r="E755" s="98"/>
      <c r="F755" s="98"/>
      <c r="G755" s="98"/>
      <c r="H755" s="98"/>
      <c r="I755" s="98"/>
      <c r="J755" s="98"/>
      <c r="K755" s="98"/>
    </row>
    <row r="756">
      <c r="A756" s="98"/>
      <c r="B756" s="98"/>
      <c r="D756" s="98"/>
      <c r="E756" s="98"/>
      <c r="F756" s="98"/>
      <c r="G756" s="98"/>
      <c r="H756" s="98"/>
      <c r="I756" s="98"/>
      <c r="J756" s="98"/>
      <c r="K756" s="98"/>
    </row>
    <row r="757">
      <c r="A757" s="98"/>
      <c r="B757" s="98"/>
      <c r="D757" s="98"/>
      <c r="E757" s="98"/>
      <c r="F757" s="98"/>
      <c r="G757" s="98"/>
      <c r="H757" s="98"/>
      <c r="I757" s="98"/>
      <c r="J757" s="98"/>
      <c r="K757" s="98"/>
    </row>
    <row r="758">
      <c r="A758" s="98"/>
      <c r="B758" s="98"/>
      <c r="D758" s="98"/>
      <c r="E758" s="98"/>
      <c r="F758" s="98"/>
      <c r="G758" s="98"/>
      <c r="H758" s="98"/>
      <c r="I758" s="98"/>
      <c r="J758" s="98"/>
      <c r="K758" s="98"/>
    </row>
    <row r="759">
      <c r="A759" s="98"/>
      <c r="B759" s="98"/>
      <c r="D759" s="98"/>
      <c r="E759" s="98"/>
      <c r="F759" s="98"/>
      <c r="G759" s="98"/>
      <c r="H759" s="98"/>
      <c r="I759" s="98"/>
      <c r="J759" s="98"/>
      <c r="K759" s="98"/>
    </row>
    <row r="760">
      <c r="A760" s="98"/>
      <c r="B760" s="98"/>
      <c r="D760" s="98"/>
      <c r="E760" s="98"/>
      <c r="F760" s="98"/>
      <c r="G760" s="98"/>
      <c r="H760" s="98"/>
      <c r="I760" s="98"/>
      <c r="J760" s="98"/>
      <c r="K760" s="98"/>
    </row>
    <row r="761">
      <c r="A761" s="98"/>
      <c r="B761" s="98"/>
      <c r="D761" s="98"/>
      <c r="E761" s="98"/>
      <c r="F761" s="98"/>
      <c r="G761" s="98"/>
      <c r="H761" s="98"/>
      <c r="I761" s="98"/>
      <c r="J761" s="98"/>
      <c r="K761" s="98"/>
    </row>
    <row r="762">
      <c r="A762" s="98"/>
      <c r="B762" s="98"/>
      <c r="D762" s="98"/>
      <c r="E762" s="98"/>
      <c r="F762" s="98"/>
      <c r="G762" s="98"/>
      <c r="H762" s="98"/>
      <c r="I762" s="98"/>
      <c r="J762" s="98"/>
      <c r="K762" s="98"/>
    </row>
    <row r="763">
      <c r="A763" s="98"/>
      <c r="B763" s="98"/>
      <c r="D763" s="98"/>
      <c r="E763" s="98"/>
      <c r="F763" s="98"/>
      <c r="G763" s="98"/>
      <c r="H763" s="98"/>
      <c r="I763" s="98"/>
      <c r="J763" s="98"/>
      <c r="K763" s="98"/>
    </row>
    <row r="764">
      <c r="A764" s="98"/>
      <c r="B764" s="98"/>
      <c r="D764" s="98"/>
      <c r="E764" s="98"/>
      <c r="F764" s="98"/>
      <c r="G764" s="98"/>
      <c r="H764" s="98"/>
      <c r="I764" s="98"/>
      <c r="J764" s="98"/>
      <c r="K764" s="98"/>
    </row>
    <row r="765">
      <c r="A765" s="98"/>
      <c r="B765" s="98"/>
      <c r="D765" s="98"/>
      <c r="E765" s="98"/>
      <c r="F765" s="98"/>
      <c r="G765" s="98"/>
      <c r="H765" s="98"/>
      <c r="I765" s="98"/>
      <c r="J765" s="98"/>
      <c r="K765" s="98"/>
    </row>
    <row r="766">
      <c r="A766" s="98"/>
      <c r="B766" s="98"/>
      <c r="D766" s="98"/>
      <c r="E766" s="98"/>
      <c r="F766" s="98"/>
      <c r="G766" s="98"/>
      <c r="H766" s="98"/>
      <c r="I766" s="98"/>
      <c r="J766" s="98"/>
      <c r="K766" s="98"/>
    </row>
    <row r="767">
      <c r="A767" s="98"/>
      <c r="B767" s="98"/>
      <c r="D767" s="98"/>
      <c r="E767" s="98"/>
      <c r="F767" s="98"/>
      <c r="G767" s="98"/>
      <c r="H767" s="98"/>
      <c r="I767" s="98"/>
      <c r="J767" s="98"/>
      <c r="K767" s="98"/>
    </row>
    <row r="768">
      <c r="A768" s="98"/>
      <c r="B768" s="98"/>
      <c r="D768" s="98"/>
      <c r="E768" s="98"/>
      <c r="F768" s="98"/>
      <c r="G768" s="98"/>
      <c r="H768" s="98"/>
      <c r="I768" s="98"/>
      <c r="J768" s="98"/>
      <c r="K768" s="98"/>
    </row>
    <row r="769">
      <c r="A769" s="98"/>
      <c r="B769" s="98"/>
      <c r="D769" s="98"/>
      <c r="E769" s="98"/>
      <c r="F769" s="98"/>
      <c r="G769" s="98"/>
      <c r="H769" s="98"/>
      <c r="I769" s="98"/>
      <c r="J769" s="98"/>
      <c r="K769" s="98"/>
    </row>
    <row r="770">
      <c r="A770" s="98"/>
      <c r="B770" s="98"/>
      <c r="D770" s="98"/>
      <c r="E770" s="98"/>
      <c r="F770" s="98"/>
      <c r="G770" s="98"/>
      <c r="H770" s="98"/>
      <c r="I770" s="98"/>
      <c r="J770" s="98"/>
      <c r="K770" s="98"/>
    </row>
    <row r="771">
      <c r="A771" s="98"/>
      <c r="B771" s="98"/>
      <c r="D771" s="98"/>
      <c r="E771" s="98"/>
      <c r="F771" s="98"/>
      <c r="G771" s="98"/>
      <c r="H771" s="98"/>
      <c r="I771" s="98"/>
      <c r="J771" s="98"/>
      <c r="K771" s="98"/>
    </row>
    <row r="772">
      <c r="A772" s="98"/>
      <c r="B772" s="98"/>
      <c r="D772" s="98"/>
      <c r="E772" s="98"/>
      <c r="F772" s="98"/>
      <c r="G772" s="98"/>
      <c r="H772" s="98"/>
      <c r="I772" s="98"/>
      <c r="J772" s="98"/>
      <c r="K772" s="98"/>
    </row>
    <row r="773">
      <c r="A773" s="98"/>
      <c r="B773" s="98"/>
      <c r="D773" s="98"/>
      <c r="E773" s="98"/>
      <c r="F773" s="98"/>
      <c r="G773" s="98"/>
      <c r="H773" s="98"/>
      <c r="I773" s="98"/>
      <c r="J773" s="98"/>
      <c r="K773" s="98"/>
    </row>
    <row r="774">
      <c r="A774" s="98"/>
      <c r="B774" s="98"/>
      <c r="D774" s="98"/>
      <c r="E774" s="98"/>
      <c r="F774" s="98"/>
      <c r="G774" s="98"/>
      <c r="H774" s="98"/>
      <c r="I774" s="98"/>
      <c r="J774" s="98"/>
      <c r="K774" s="98"/>
    </row>
    <row r="775">
      <c r="A775" s="98"/>
      <c r="B775" s="98"/>
      <c r="D775" s="98"/>
      <c r="E775" s="98"/>
      <c r="F775" s="98"/>
      <c r="G775" s="98"/>
      <c r="H775" s="98"/>
      <c r="I775" s="98"/>
      <c r="J775" s="98"/>
      <c r="K775" s="98"/>
    </row>
    <row r="776">
      <c r="A776" s="98"/>
      <c r="B776" s="98"/>
      <c r="D776" s="98"/>
      <c r="E776" s="98"/>
      <c r="F776" s="98"/>
      <c r="G776" s="98"/>
      <c r="H776" s="98"/>
      <c r="I776" s="98"/>
      <c r="J776" s="98"/>
      <c r="K776" s="98"/>
    </row>
    <row r="777">
      <c r="A777" s="98"/>
      <c r="B777" s="98"/>
      <c r="D777" s="98"/>
      <c r="E777" s="98"/>
      <c r="F777" s="98"/>
      <c r="G777" s="98"/>
      <c r="H777" s="98"/>
      <c r="I777" s="98"/>
      <c r="J777" s="98"/>
      <c r="K777" s="98"/>
    </row>
    <row r="778">
      <c r="A778" s="98"/>
      <c r="B778" s="98"/>
      <c r="D778" s="98"/>
      <c r="E778" s="98"/>
      <c r="F778" s="98"/>
      <c r="G778" s="98"/>
      <c r="H778" s="98"/>
      <c r="I778" s="98"/>
      <c r="J778" s="98"/>
      <c r="K778" s="98"/>
    </row>
    <row r="779">
      <c r="A779" s="98"/>
      <c r="B779" s="98"/>
      <c r="D779" s="98"/>
      <c r="E779" s="98"/>
      <c r="F779" s="98"/>
      <c r="G779" s="98"/>
      <c r="H779" s="98"/>
      <c r="I779" s="98"/>
      <c r="J779" s="98"/>
      <c r="K779" s="98"/>
    </row>
    <row r="780">
      <c r="A780" s="98"/>
      <c r="B780" s="98"/>
      <c r="D780" s="98"/>
      <c r="E780" s="98"/>
      <c r="F780" s="98"/>
      <c r="G780" s="98"/>
      <c r="H780" s="98"/>
      <c r="I780" s="98"/>
      <c r="J780" s="98"/>
      <c r="K780" s="98"/>
    </row>
    <row r="781">
      <c r="A781" s="98"/>
      <c r="B781" s="98"/>
      <c r="D781" s="98"/>
      <c r="E781" s="98"/>
      <c r="F781" s="98"/>
      <c r="G781" s="98"/>
      <c r="H781" s="98"/>
      <c r="I781" s="98"/>
      <c r="J781" s="98"/>
      <c r="K781" s="98"/>
    </row>
    <row r="782">
      <c r="A782" s="98"/>
      <c r="B782" s="98"/>
      <c r="D782" s="98"/>
      <c r="E782" s="98"/>
      <c r="F782" s="98"/>
      <c r="G782" s="98"/>
      <c r="H782" s="98"/>
      <c r="I782" s="98"/>
      <c r="J782" s="98"/>
      <c r="K782" s="98"/>
    </row>
    <row r="783">
      <c r="A783" s="98"/>
      <c r="B783" s="98"/>
      <c r="D783" s="98"/>
      <c r="E783" s="98"/>
      <c r="F783" s="98"/>
      <c r="G783" s="98"/>
      <c r="H783" s="98"/>
      <c r="I783" s="98"/>
      <c r="J783" s="98"/>
      <c r="K783" s="98"/>
    </row>
    <row r="784">
      <c r="A784" s="98"/>
      <c r="B784" s="98"/>
      <c r="D784" s="98"/>
      <c r="E784" s="98"/>
      <c r="F784" s="98"/>
      <c r="G784" s="98"/>
      <c r="H784" s="98"/>
      <c r="I784" s="98"/>
      <c r="J784" s="98"/>
      <c r="K784" s="98"/>
    </row>
    <row r="785">
      <c r="A785" s="98"/>
      <c r="B785" s="98"/>
      <c r="D785" s="98"/>
      <c r="E785" s="98"/>
      <c r="F785" s="98"/>
      <c r="G785" s="98"/>
      <c r="H785" s="98"/>
      <c r="I785" s="98"/>
      <c r="J785" s="98"/>
      <c r="K785" s="98"/>
    </row>
    <row r="786">
      <c r="A786" s="98"/>
      <c r="B786" s="98"/>
      <c r="D786" s="98"/>
      <c r="E786" s="98"/>
      <c r="F786" s="98"/>
      <c r="G786" s="98"/>
      <c r="H786" s="98"/>
      <c r="I786" s="98"/>
      <c r="J786" s="98"/>
      <c r="K786" s="98"/>
    </row>
    <row r="787">
      <c r="A787" s="98"/>
      <c r="B787" s="98"/>
      <c r="D787" s="98"/>
      <c r="E787" s="98"/>
      <c r="F787" s="98"/>
      <c r="G787" s="98"/>
      <c r="H787" s="98"/>
      <c r="I787" s="98"/>
      <c r="J787" s="98"/>
      <c r="K787" s="98"/>
    </row>
    <row r="788">
      <c r="A788" s="98"/>
      <c r="B788" s="98"/>
      <c r="D788" s="98"/>
      <c r="E788" s="98"/>
      <c r="F788" s="98"/>
      <c r="G788" s="98"/>
      <c r="H788" s="98"/>
      <c r="I788" s="98"/>
      <c r="J788" s="98"/>
      <c r="K788" s="98"/>
    </row>
    <row r="789">
      <c r="A789" s="98"/>
      <c r="B789" s="98"/>
      <c r="D789" s="98"/>
      <c r="E789" s="98"/>
      <c r="F789" s="98"/>
      <c r="G789" s="98"/>
      <c r="H789" s="98"/>
      <c r="I789" s="98"/>
      <c r="J789" s="98"/>
      <c r="K789" s="98"/>
    </row>
    <row r="790">
      <c r="A790" s="98"/>
      <c r="B790" s="98"/>
      <c r="D790" s="98"/>
      <c r="E790" s="98"/>
      <c r="F790" s="98"/>
      <c r="G790" s="98"/>
      <c r="H790" s="98"/>
      <c r="I790" s="98"/>
      <c r="J790" s="98"/>
      <c r="K790" s="98"/>
    </row>
    <row r="791">
      <c r="A791" s="98"/>
      <c r="B791" s="98"/>
      <c r="D791" s="98"/>
      <c r="E791" s="98"/>
      <c r="F791" s="98"/>
      <c r="G791" s="98"/>
      <c r="H791" s="98"/>
      <c r="I791" s="98"/>
      <c r="J791" s="98"/>
      <c r="K791" s="98"/>
    </row>
    <row r="792">
      <c r="A792" s="98"/>
      <c r="B792" s="98"/>
      <c r="D792" s="98"/>
      <c r="E792" s="98"/>
      <c r="F792" s="98"/>
      <c r="G792" s="98"/>
      <c r="H792" s="98"/>
      <c r="I792" s="98"/>
      <c r="J792" s="98"/>
      <c r="K792" s="98"/>
    </row>
    <row r="793">
      <c r="A793" s="98"/>
      <c r="B793" s="98"/>
      <c r="D793" s="98"/>
      <c r="E793" s="98"/>
      <c r="F793" s="98"/>
      <c r="G793" s="98"/>
      <c r="H793" s="98"/>
      <c r="I793" s="98"/>
      <c r="J793" s="98"/>
      <c r="K793" s="98"/>
    </row>
    <row r="794">
      <c r="A794" s="98"/>
      <c r="B794" s="98"/>
      <c r="D794" s="98"/>
      <c r="E794" s="98"/>
      <c r="F794" s="98"/>
      <c r="G794" s="98"/>
      <c r="H794" s="98"/>
      <c r="I794" s="98"/>
      <c r="J794" s="98"/>
      <c r="K794" s="98"/>
    </row>
    <row r="795">
      <c r="A795" s="98"/>
      <c r="B795" s="98"/>
      <c r="D795" s="98"/>
      <c r="E795" s="98"/>
      <c r="F795" s="98"/>
      <c r="G795" s="98"/>
      <c r="H795" s="98"/>
      <c r="I795" s="98"/>
      <c r="J795" s="98"/>
      <c r="K795" s="98"/>
    </row>
    <row r="796">
      <c r="A796" s="98"/>
      <c r="B796" s="98"/>
      <c r="D796" s="98"/>
      <c r="E796" s="98"/>
      <c r="F796" s="98"/>
      <c r="G796" s="98"/>
      <c r="H796" s="98"/>
      <c r="I796" s="98"/>
      <c r="J796" s="98"/>
      <c r="K796" s="98"/>
    </row>
    <row r="797">
      <c r="A797" s="98"/>
      <c r="B797" s="98"/>
      <c r="D797" s="98"/>
      <c r="E797" s="98"/>
      <c r="F797" s="98"/>
      <c r="G797" s="98"/>
      <c r="H797" s="98"/>
      <c r="I797" s="98"/>
      <c r="J797" s="98"/>
      <c r="K797" s="98"/>
    </row>
    <row r="798">
      <c r="A798" s="98"/>
      <c r="B798" s="98"/>
      <c r="D798" s="98"/>
      <c r="E798" s="98"/>
      <c r="F798" s="98"/>
      <c r="G798" s="98"/>
      <c r="H798" s="98"/>
      <c r="I798" s="98"/>
      <c r="J798" s="98"/>
      <c r="K798" s="98"/>
    </row>
    <row r="799">
      <c r="A799" s="98"/>
      <c r="B799" s="98"/>
      <c r="D799" s="98"/>
      <c r="E799" s="98"/>
      <c r="F799" s="98"/>
      <c r="G799" s="98"/>
      <c r="H799" s="98"/>
      <c r="I799" s="98"/>
      <c r="J799" s="98"/>
      <c r="K799" s="98"/>
    </row>
    <row r="800">
      <c r="A800" s="98"/>
      <c r="B800" s="98"/>
      <c r="D800" s="98"/>
      <c r="E800" s="98"/>
      <c r="F800" s="98"/>
      <c r="G800" s="98"/>
      <c r="H800" s="98"/>
      <c r="I800" s="98"/>
      <c r="J800" s="98"/>
      <c r="K800" s="98"/>
    </row>
    <row r="801">
      <c r="A801" s="98"/>
      <c r="B801" s="98"/>
      <c r="D801" s="98"/>
      <c r="E801" s="98"/>
      <c r="F801" s="98"/>
      <c r="G801" s="98"/>
      <c r="H801" s="98"/>
      <c r="I801" s="98"/>
      <c r="J801" s="98"/>
      <c r="K801" s="98"/>
    </row>
    <row r="802">
      <c r="A802" s="98"/>
      <c r="B802" s="98"/>
      <c r="D802" s="98"/>
      <c r="E802" s="98"/>
      <c r="F802" s="98"/>
      <c r="G802" s="98"/>
      <c r="H802" s="98"/>
      <c r="I802" s="98"/>
      <c r="J802" s="98"/>
      <c r="K802" s="98"/>
    </row>
    <row r="803">
      <c r="A803" s="98"/>
      <c r="B803" s="98"/>
      <c r="D803" s="98"/>
      <c r="E803" s="98"/>
      <c r="F803" s="98"/>
      <c r="G803" s="98"/>
      <c r="H803" s="98"/>
      <c r="I803" s="98"/>
      <c r="J803" s="98"/>
      <c r="K803" s="98"/>
    </row>
    <row r="804">
      <c r="A804" s="98"/>
      <c r="B804" s="98"/>
      <c r="D804" s="98"/>
      <c r="E804" s="98"/>
      <c r="F804" s="98"/>
      <c r="G804" s="98"/>
      <c r="H804" s="98"/>
      <c r="I804" s="98"/>
      <c r="J804" s="98"/>
      <c r="K804" s="98"/>
    </row>
    <row r="805">
      <c r="A805" s="98"/>
      <c r="B805" s="98"/>
      <c r="D805" s="98"/>
      <c r="E805" s="98"/>
      <c r="F805" s="98"/>
      <c r="G805" s="98"/>
      <c r="H805" s="98"/>
      <c r="I805" s="98"/>
      <c r="J805" s="98"/>
      <c r="K805" s="98"/>
    </row>
    <row r="806">
      <c r="A806" s="98"/>
      <c r="B806" s="98"/>
      <c r="D806" s="98"/>
      <c r="E806" s="98"/>
      <c r="F806" s="98"/>
      <c r="G806" s="98"/>
      <c r="H806" s="98"/>
      <c r="I806" s="98"/>
      <c r="J806" s="98"/>
      <c r="K806" s="98"/>
    </row>
    <row r="807">
      <c r="A807" s="98"/>
      <c r="B807" s="98"/>
      <c r="D807" s="98"/>
      <c r="E807" s="98"/>
      <c r="F807" s="98"/>
      <c r="G807" s="98"/>
      <c r="H807" s="98"/>
      <c r="I807" s="98"/>
      <c r="J807" s="98"/>
      <c r="K807" s="98"/>
    </row>
    <row r="808">
      <c r="A808" s="98"/>
      <c r="B808" s="98"/>
      <c r="D808" s="98"/>
      <c r="E808" s="98"/>
      <c r="F808" s="98"/>
      <c r="G808" s="98"/>
      <c r="H808" s="98"/>
      <c r="I808" s="98"/>
      <c r="J808" s="98"/>
      <c r="K808" s="98"/>
    </row>
    <row r="809">
      <c r="A809" s="98"/>
      <c r="B809" s="98"/>
      <c r="D809" s="98"/>
      <c r="E809" s="98"/>
      <c r="F809" s="98"/>
      <c r="G809" s="98"/>
      <c r="H809" s="98"/>
      <c r="I809" s="98"/>
      <c r="J809" s="98"/>
      <c r="K809" s="98"/>
    </row>
    <row r="810">
      <c r="A810" s="98"/>
      <c r="B810" s="98"/>
      <c r="D810" s="98"/>
      <c r="E810" s="98"/>
      <c r="F810" s="98"/>
      <c r="G810" s="98"/>
      <c r="H810" s="98"/>
      <c r="I810" s="98"/>
      <c r="J810" s="98"/>
      <c r="K810" s="98"/>
    </row>
    <row r="811">
      <c r="A811" s="98"/>
      <c r="B811" s="98"/>
      <c r="D811" s="98"/>
      <c r="E811" s="98"/>
      <c r="F811" s="98"/>
      <c r="G811" s="98"/>
      <c r="H811" s="98"/>
      <c r="I811" s="98"/>
      <c r="J811" s="98"/>
      <c r="K811" s="98"/>
    </row>
    <row r="812">
      <c r="A812" s="98"/>
      <c r="B812" s="98"/>
      <c r="D812" s="98"/>
      <c r="E812" s="98"/>
      <c r="F812" s="98"/>
      <c r="G812" s="98"/>
      <c r="H812" s="98"/>
      <c r="I812" s="98"/>
      <c r="J812" s="98"/>
      <c r="K812" s="98"/>
    </row>
    <row r="813">
      <c r="A813" s="98"/>
      <c r="B813" s="98"/>
      <c r="D813" s="98"/>
      <c r="E813" s="98"/>
      <c r="F813" s="98"/>
      <c r="G813" s="98"/>
      <c r="H813" s="98"/>
      <c r="I813" s="98"/>
      <c r="J813" s="98"/>
      <c r="K813" s="98"/>
    </row>
    <row r="814">
      <c r="A814" s="98"/>
      <c r="B814" s="98"/>
      <c r="D814" s="98"/>
      <c r="E814" s="98"/>
      <c r="F814" s="98"/>
      <c r="G814" s="98"/>
      <c r="H814" s="98"/>
      <c r="I814" s="98"/>
      <c r="J814" s="98"/>
      <c r="K814" s="98"/>
    </row>
    <row r="815">
      <c r="A815" s="98"/>
      <c r="B815" s="98"/>
      <c r="D815" s="98"/>
      <c r="E815" s="98"/>
      <c r="F815" s="98"/>
      <c r="G815" s="98"/>
      <c r="H815" s="98"/>
      <c r="I815" s="98"/>
      <c r="J815" s="98"/>
      <c r="K815" s="98"/>
    </row>
    <row r="816">
      <c r="A816" s="98"/>
      <c r="B816" s="98"/>
      <c r="D816" s="98"/>
      <c r="E816" s="98"/>
      <c r="F816" s="98"/>
      <c r="G816" s="98"/>
      <c r="H816" s="98"/>
      <c r="I816" s="98"/>
      <c r="J816" s="98"/>
      <c r="K816" s="98"/>
    </row>
    <row r="817">
      <c r="A817" s="98"/>
      <c r="B817" s="98"/>
      <c r="D817" s="98"/>
      <c r="E817" s="98"/>
      <c r="F817" s="98"/>
      <c r="G817" s="98"/>
      <c r="H817" s="98"/>
      <c r="I817" s="98"/>
      <c r="J817" s="98"/>
      <c r="K817" s="98"/>
    </row>
    <row r="818">
      <c r="A818" s="98"/>
      <c r="B818" s="98"/>
      <c r="D818" s="98"/>
      <c r="E818" s="98"/>
      <c r="F818" s="98"/>
      <c r="G818" s="98"/>
      <c r="H818" s="98"/>
      <c r="I818" s="98"/>
      <c r="J818" s="98"/>
      <c r="K818" s="98"/>
    </row>
    <row r="819">
      <c r="A819" s="98"/>
      <c r="B819" s="98"/>
      <c r="D819" s="98"/>
      <c r="E819" s="98"/>
      <c r="F819" s="98"/>
      <c r="G819" s="98"/>
      <c r="H819" s="98"/>
      <c r="I819" s="98"/>
      <c r="J819" s="98"/>
      <c r="K819" s="98"/>
    </row>
    <row r="820">
      <c r="A820" s="98"/>
      <c r="B820" s="98"/>
      <c r="D820" s="98"/>
      <c r="E820" s="98"/>
      <c r="F820" s="98"/>
      <c r="G820" s="98"/>
      <c r="H820" s="98"/>
      <c r="I820" s="98"/>
      <c r="J820" s="98"/>
      <c r="K820" s="98"/>
    </row>
    <row r="821">
      <c r="A821" s="98"/>
      <c r="B821" s="98"/>
      <c r="D821" s="98"/>
      <c r="E821" s="98"/>
      <c r="F821" s="98"/>
      <c r="G821" s="98"/>
      <c r="H821" s="98"/>
      <c r="I821" s="98"/>
      <c r="J821" s="98"/>
      <c r="K821" s="98"/>
    </row>
    <row r="822">
      <c r="A822" s="98"/>
      <c r="B822" s="98"/>
      <c r="D822" s="98"/>
      <c r="E822" s="98"/>
      <c r="F822" s="98"/>
      <c r="G822" s="98"/>
      <c r="H822" s="98"/>
      <c r="I822" s="98"/>
      <c r="J822" s="98"/>
      <c r="K822" s="98"/>
    </row>
    <row r="823">
      <c r="A823" s="98"/>
      <c r="B823" s="98"/>
      <c r="D823" s="98"/>
      <c r="E823" s="98"/>
      <c r="F823" s="98"/>
      <c r="G823" s="98"/>
      <c r="H823" s="98"/>
      <c r="I823" s="98"/>
      <c r="J823" s="98"/>
      <c r="K823" s="98"/>
    </row>
    <row r="824">
      <c r="A824" s="98"/>
      <c r="B824" s="98"/>
      <c r="D824" s="98"/>
      <c r="E824" s="98"/>
      <c r="F824" s="98"/>
      <c r="G824" s="98"/>
      <c r="H824" s="98"/>
      <c r="I824" s="98"/>
      <c r="J824" s="98"/>
      <c r="K824" s="98"/>
    </row>
    <row r="825">
      <c r="A825" s="98"/>
      <c r="B825" s="98"/>
      <c r="D825" s="98"/>
      <c r="E825" s="98"/>
      <c r="F825" s="98"/>
      <c r="G825" s="98"/>
      <c r="H825" s="98"/>
      <c r="I825" s="98"/>
      <c r="J825" s="98"/>
      <c r="K825" s="98"/>
    </row>
    <row r="826">
      <c r="A826" s="98"/>
      <c r="B826" s="98"/>
      <c r="D826" s="98"/>
      <c r="E826" s="98"/>
      <c r="F826" s="98"/>
      <c r="G826" s="98"/>
      <c r="H826" s="98"/>
      <c r="I826" s="98"/>
      <c r="J826" s="98"/>
      <c r="K826" s="98"/>
    </row>
    <row r="827">
      <c r="A827" s="98"/>
      <c r="B827" s="98"/>
      <c r="D827" s="98"/>
      <c r="E827" s="98"/>
      <c r="F827" s="98"/>
      <c r="G827" s="98"/>
      <c r="H827" s="98"/>
      <c r="I827" s="98"/>
      <c r="J827" s="98"/>
      <c r="K827" s="98"/>
    </row>
    <row r="828">
      <c r="A828" s="98"/>
      <c r="B828" s="98"/>
      <c r="D828" s="98"/>
      <c r="E828" s="98"/>
      <c r="F828" s="98"/>
      <c r="G828" s="98"/>
      <c r="H828" s="98"/>
      <c r="I828" s="98"/>
      <c r="J828" s="98"/>
      <c r="K828" s="98"/>
    </row>
    <row r="829">
      <c r="A829" s="98"/>
      <c r="B829" s="98"/>
      <c r="D829" s="98"/>
      <c r="E829" s="98"/>
      <c r="F829" s="98"/>
      <c r="G829" s="98"/>
      <c r="H829" s="98"/>
      <c r="I829" s="98"/>
      <c r="J829" s="98"/>
      <c r="K829" s="98"/>
    </row>
    <row r="830">
      <c r="A830" s="98"/>
      <c r="B830" s="98"/>
      <c r="D830" s="98"/>
      <c r="E830" s="98"/>
      <c r="F830" s="98"/>
      <c r="G830" s="98"/>
      <c r="H830" s="98"/>
      <c r="I830" s="98"/>
      <c r="J830" s="98"/>
      <c r="K830" s="98"/>
    </row>
    <row r="831">
      <c r="A831" s="98"/>
      <c r="B831" s="98"/>
      <c r="D831" s="98"/>
      <c r="E831" s="98"/>
      <c r="F831" s="98"/>
      <c r="G831" s="98"/>
      <c r="H831" s="98"/>
      <c r="I831" s="98"/>
      <c r="J831" s="98"/>
      <c r="K831" s="98"/>
    </row>
    <row r="832">
      <c r="A832" s="98"/>
      <c r="B832" s="98"/>
      <c r="D832" s="98"/>
      <c r="E832" s="98"/>
      <c r="F832" s="98"/>
      <c r="G832" s="98"/>
      <c r="H832" s="98"/>
      <c r="I832" s="98"/>
      <c r="J832" s="98"/>
      <c r="K832" s="98"/>
    </row>
    <row r="833">
      <c r="A833" s="98"/>
      <c r="B833" s="98"/>
      <c r="D833" s="98"/>
      <c r="E833" s="98"/>
      <c r="F833" s="98"/>
      <c r="G833" s="98"/>
      <c r="H833" s="98"/>
      <c r="I833" s="98"/>
      <c r="J833" s="98"/>
      <c r="K833" s="98"/>
    </row>
    <row r="834">
      <c r="A834" s="98"/>
      <c r="B834" s="98"/>
      <c r="D834" s="98"/>
      <c r="E834" s="98"/>
      <c r="F834" s="98"/>
      <c r="G834" s="98"/>
      <c r="H834" s="98"/>
      <c r="I834" s="98"/>
      <c r="J834" s="98"/>
      <c r="K834" s="98"/>
    </row>
    <row r="835">
      <c r="A835" s="98"/>
      <c r="B835" s="98"/>
      <c r="D835" s="98"/>
      <c r="E835" s="98"/>
      <c r="F835" s="98"/>
      <c r="G835" s="98"/>
      <c r="H835" s="98"/>
      <c r="I835" s="98"/>
      <c r="J835" s="98"/>
      <c r="K835" s="98"/>
    </row>
    <row r="836">
      <c r="A836" s="98"/>
      <c r="B836" s="98"/>
      <c r="D836" s="98"/>
      <c r="E836" s="98"/>
      <c r="F836" s="98"/>
      <c r="G836" s="98"/>
      <c r="H836" s="98"/>
      <c r="I836" s="98"/>
      <c r="J836" s="98"/>
      <c r="K836" s="98"/>
    </row>
    <row r="837">
      <c r="A837" s="98"/>
      <c r="B837" s="98"/>
      <c r="D837" s="98"/>
      <c r="E837" s="98"/>
      <c r="F837" s="98"/>
      <c r="G837" s="98"/>
      <c r="H837" s="98"/>
      <c r="I837" s="98"/>
      <c r="J837" s="98"/>
      <c r="K837" s="98"/>
    </row>
    <row r="838">
      <c r="A838" s="98"/>
      <c r="B838" s="98"/>
      <c r="D838" s="98"/>
      <c r="E838" s="98"/>
      <c r="F838" s="98"/>
      <c r="G838" s="98"/>
      <c r="H838" s="98"/>
      <c r="I838" s="98"/>
      <c r="J838" s="98"/>
      <c r="K838" s="98"/>
    </row>
    <row r="839">
      <c r="A839" s="98"/>
      <c r="B839" s="98"/>
      <c r="D839" s="98"/>
      <c r="E839" s="98"/>
      <c r="F839" s="98"/>
      <c r="G839" s="98"/>
      <c r="H839" s="98"/>
      <c r="I839" s="98"/>
      <c r="J839" s="98"/>
      <c r="K839" s="98"/>
    </row>
    <row r="840">
      <c r="A840" s="98"/>
      <c r="B840" s="98"/>
      <c r="D840" s="98"/>
      <c r="E840" s="98"/>
      <c r="F840" s="98"/>
      <c r="G840" s="98"/>
      <c r="H840" s="98"/>
      <c r="I840" s="98"/>
      <c r="J840" s="98"/>
      <c r="K840" s="98"/>
    </row>
    <row r="841">
      <c r="A841" s="98"/>
      <c r="B841" s="98"/>
      <c r="D841" s="98"/>
      <c r="E841" s="98"/>
      <c r="F841" s="98"/>
      <c r="G841" s="98"/>
      <c r="H841" s="98"/>
      <c r="I841" s="98"/>
      <c r="J841" s="98"/>
      <c r="K841" s="98"/>
    </row>
    <row r="842">
      <c r="A842" s="98"/>
      <c r="B842" s="98"/>
      <c r="D842" s="98"/>
      <c r="E842" s="98"/>
      <c r="F842" s="98"/>
      <c r="G842" s="98"/>
      <c r="H842" s="98"/>
      <c r="I842" s="98"/>
      <c r="J842" s="98"/>
      <c r="K842" s="98"/>
    </row>
    <row r="843">
      <c r="A843" s="98"/>
      <c r="B843" s="98"/>
      <c r="D843" s="98"/>
      <c r="E843" s="98"/>
      <c r="F843" s="98"/>
      <c r="G843" s="98"/>
      <c r="H843" s="98"/>
      <c r="I843" s="98"/>
      <c r="J843" s="98"/>
      <c r="K843" s="98"/>
    </row>
    <row r="844">
      <c r="A844" s="98"/>
      <c r="B844" s="98"/>
      <c r="D844" s="98"/>
      <c r="E844" s="98"/>
      <c r="F844" s="98"/>
      <c r="G844" s="98"/>
      <c r="H844" s="98"/>
      <c r="I844" s="98"/>
      <c r="J844" s="98"/>
      <c r="K844" s="98"/>
    </row>
    <row r="845">
      <c r="A845" s="98"/>
      <c r="B845" s="98"/>
      <c r="D845" s="98"/>
      <c r="E845" s="98"/>
      <c r="F845" s="98"/>
      <c r="G845" s="98"/>
      <c r="H845" s="98"/>
      <c r="I845" s="98"/>
      <c r="J845" s="98"/>
      <c r="K845" s="98"/>
    </row>
    <row r="846">
      <c r="A846" s="98"/>
      <c r="B846" s="98"/>
      <c r="D846" s="98"/>
      <c r="E846" s="98"/>
      <c r="F846" s="98"/>
      <c r="G846" s="98"/>
      <c r="H846" s="98"/>
      <c r="I846" s="98"/>
      <c r="J846" s="98"/>
      <c r="K846" s="98"/>
    </row>
    <row r="847">
      <c r="A847" s="98"/>
      <c r="B847" s="98"/>
      <c r="D847" s="98"/>
      <c r="E847" s="98"/>
      <c r="F847" s="98"/>
      <c r="G847" s="98"/>
      <c r="H847" s="98"/>
      <c r="I847" s="98"/>
      <c r="J847" s="98"/>
      <c r="K847" s="98"/>
    </row>
    <row r="848">
      <c r="A848" s="98"/>
      <c r="B848" s="98"/>
      <c r="D848" s="98"/>
      <c r="E848" s="98"/>
      <c r="F848" s="98"/>
      <c r="G848" s="98"/>
      <c r="H848" s="98"/>
      <c r="I848" s="98"/>
      <c r="J848" s="98"/>
      <c r="K848" s="98"/>
    </row>
    <row r="849">
      <c r="A849" s="98"/>
      <c r="B849" s="98"/>
      <c r="D849" s="98"/>
      <c r="E849" s="98"/>
      <c r="F849" s="98"/>
      <c r="G849" s="98"/>
      <c r="H849" s="98"/>
      <c r="I849" s="98"/>
      <c r="J849" s="98"/>
      <c r="K849" s="98"/>
    </row>
    <row r="850">
      <c r="A850" s="98"/>
      <c r="B850" s="98"/>
      <c r="D850" s="98"/>
      <c r="E850" s="98"/>
      <c r="F850" s="98"/>
      <c r="G850" s="98"/>
      <c r="H850" s="98"/>
      <c r="I850" s="98"/>
      <c r="J850" s="98"/>
      <c r="K850" s="98"/>
    </row>
    <row r="851">
      <c r="A851" s="98"/>
      <c r="B851" s="98"/>
      <c r="D851" s="98"/>
      <c r="E851" s="98"/>
      <c r="F851" s="98"/>
      <c r="G851" s="98"/>
      <c r="H851" s="98"/>
      <c r="I851" s="98"/>
      <c r="J851" s="98"/>
      <c r="K851" s="98"/>
    </row>
    <row r="852">
      <c r="A852" s="98"/>
      <c r="B852" s="98"/>
      <c r="D852" s="98"/>
      <c r="E852" s="98"/>
      <c r="F852" s="98"/>
      <c r="G852" s="98"/>
      <c r="H852" s="98"/>
      <c r="I852" s="98"/>
      <c r="J852" s="98"/>
      <c r="K852" s="98"/>
    </row>
    <row r="853">
      <c r="A853" s="98"/>
      <c r="B853" s="98"/>
      <c r="D853" s="98"/>
      <c r="E853" s="98"/>
      <c r="F853" s="98"/>
      <c r="G853" s="98"/>
      <c r="H853" s="98"/>
      <c r="I853" s="98"/>
      <c r="J853" s="98"/>
      <c r="K853" s="98"/>
    </row>
    <row r="854">
      <c r="A854" s="98"/>
      <c r="B854" s="98"/>
      <c r="D854" s="98"/>
      <c r="E854" s="98"/>
      <c r="F854" s="98"/>
      <c r="G854" s="98"/>
      <c r="H854" s="98"/>
      <c r="I854" s="98"/>
      <c r="J854" s="98"/>
      <c r="K854" s="98"/>
    </row>
    <row r="855">
      <c r="A855" s="98"/>
      <c r="B855" s="98"/>
      <c r="D855" s="98"/>
      <c r="E855" s="98"/>
      <c r="F855" s="98"/>
      <c r="G855" s="98"/>
      <c r="H855" s="98"/>
      <c r="I855" s="98"/>
      <c r="J855" s="98"/>
      <c r="K855" s="98"/>
    </row>
    <row r="856">
      <c r="A856" s="98"/>
      <c r="B856" s="98"/>
      <c r="D856" s="98"/>
      <c r="E856" s="98"/>
      <c r="F856" s="98"/>
      <c r="G856" s="98"/>
      <c r="H856" s="98"/>
      <c r="I856" s="98"/>
      <c r="J856" s="98"/>
      <c r="K856" s="98"/>
    </row>
    <row r="857">
      <c r="A857" s="98"/>
      <c r="B857" s="98"/>
      <c r="D857" s="98"/>
      <c r="E857" s="98"/>
      <c r="F857" s="98"/>
      <c r="G857" s="98"/>
      <c r="H857" s="98"/>
      <c r="I857" s="98"/>
      <c r="J857" s="98"/>
      <c r="K857" s="98"/>
    </row>
    <row r="858">
      <c r="A858" s="98"/>
      <c r="B858" s="98"/>
      <c r="D858" s="98"/>
      <c r="E858" s="98"/>
      <c r="F858" s="98"/>
      <c r="G858" s="98"/>
      <c r="H858" s="98"/>
      <c r="I858" s="98"/>
      <c r="J858" s="98"/>
      <c r="K858" s="98"/>
    </row>
    <row r="859">
      <c r="A859" s="98"/>
      <c r="B859" s="98"/>
      <c r="D859" s="98"/>
      <c r="E859" s="98"/>
      <c r="F859" s="98"/>
      <c r="G859" s="98"/>
      <c r="H859" s="98"/>
      <c r="I859" s="98"/>
      <c r="J859" s="98"/>
      <c r="K859" s="98"/>
    </row>
    <row r="860">
      <c r="A860" s="98"/>
      <c r="B860" s="98"/>
      <c r="D860" s="98"/>
      <c r="E860" s="98"/>
      <c r="F860" s="98"/>
      <c r="G860" s="98"/>
      <c r="H860" s="98"/>
      <c r="I860" s="98"/>
      <c r="J860" s="98"/>
      <c r="K860" s="98"/>
    </row>
    <row r="861">
      <c r="A861" s="98"/>
      <c r="B861" s="98"/>
      <c r="D861" s="98"/>
      <c r="E861" s="98"/>
      <c r="F861" s="98"/>
      <c r="G861" s="98"/>
      <c r="H861" s="98"/>
      <c r="I861" s="98"/>
      <c r="J861" s="98"/>
      <c r="K861" s="98"/>
    </row>
    <row r="862">
      <c r="A862" s="98"/>
      <c r="B862" s="98"/>
      <c r="D862" s="98"/>
      <c r="E862" s="98"/>
      <c r="F862" s="98"/>
      <c r="G862" s="98"/>
      <c r="H862" s="98"/>
      <c r="I862" s="98"/>
      <c r="J862" s="98"/>
      <c r="K862" s="98"/>
    </row>
    <row r="863">
      <c r="A863" s="98"/>
      <c r="B863" s="98"/>
      <c r="D863" s="98"/>
      <c r="E863" s="98"/>
      <c r="F863" s="98"/>
      <c r="G863" s="98"/>
      <c r="H863" s="98"/>
      <c r="I863" s="98"/>
      <c r="J863" s="98"/>
      <c r="K863" s="98"/>
    </row>
    <row r="864">
      <c r="A864" s="98"/>
      <c r="B864" s="98"/>
      <c r="D864" s="98"/>
      <c r="E864" s="98"/>
      <c r="F864" s="98"/>
      <c r="G864" s="98"/>
      <c r="H864" s="98"/>
      <c r="I864" s="98"/>
      <c r="J864" s="98"/>
      <c r="K864" s="98"/>
    </row>
    <row r="865">
      <c r="A865" s="98"/>
      <c r="B865" s="98"/>
      <c r="D865" s="98"/>
      <c r="E865" s="98"/>
      <c r="F865" s="98"/>
      <c r="G865" s="98"/>
      <c r="H865" s="98"/>
      <c r="I865" s="98"/>
      <c r="J865" s="98"/>
      <c r="K865" s="98"/>
    </row>
    <row r="866">
      <c r="A866" s="98"/>
      <c r="B866" s="98"/>
      <c r="D866" s="98"/>
      <c r="E866" s="98"/>
      <c r="F866" s="98"/>
      <c r="G866" s="98"/>
      <c r="H866" s="98"/>
      <c r="I866" s="98"/>
      <c r="J866" s="98"/>
      <c r="K866" s="98"/>
    </row>
    <row r="867">
      <c r="A867" s="98"/>
      <c r="B867" s="98"/>
      <c r="D867" s="98"/>
      <c r="E867" s="98"/>
      <c r="F867" s="98"/>
      <c r="G867" s="98"/>
      <c r="H867" s="98"/>
      <c r="I867" s="98"/>
      <c r="J867" s="98"/>
      <c r="K867" s="98"/>
    </row>
    <row r="868">
      <c r="A868" s="98"/>
      <c r="B868" s="98"/>
      <c r="D868" s="98"/>
      <c r="E868" s="98"/>
      <c r="F868" s="98"/>
      <c r="G868" s="98"/>
      <c r="H868" s="98"/>
      <c r="I868" s="98"/>
      <c r="J868" s="98"/>
      <c r="K868" s="98"/>
    </row>
    <row r="869">
      <c r="A869" s="98"/>
      <c r="B869" s="98"/>
      <c r="D869" s="98"/>
      <c r="E869" s="98"/>
      <c r="F869" s="98"/>
      <c r="G869" s="98"/>
      <c r="H869" s="98"/>
      <c r="I869" s="98"/>
      <c r="J869" s="98"/>
      <c r="K869" s="98"/>
    </row>
    <row r="870">
      <c r="A870" s="98"/>
      <c r="B870" s="98"/>
      <c r="D870" s="98"/>
      <c r="E870" s="98"/>
      <c r="F870" s="98"/>
      <c r="G870" s="98"/>
      <c r="H870" s="98"/>
      <c r="I870" s="98"/>
      <c r="J870" s="98"/>
      <c r="K870" s="98"/>
    </row>
    <row r="871">
      <c r="A871" s="98"/>
      <c r="B871" s="98"/>
      <c r="D871" s="98"/>
      <c r="E871" s="98"/>
      <c r="F871" s="98"/>
      <c r="G871" s="98"/>
      <c r="H871" s="98"/>
      <c r="I871" s="98"/>
      <c r="J871" s="98"/>
      <c r="K871" s="98"/>
    </row>
    <row r="872">
      <c r="A872" s="98"/>
      <c r="B872" s="98"/>
      <c r="D872" s="98"/>
      <c r="E872" s="98"/>
      <c r="F872" s="98"/>
      <c r="G872" s="98"/>
      <c r="H872" s="98"/>
      <c r="I872" s="98"/>
      <c r="J872" s="98"/>
      <c r="K872" s="98"/>
    </row>
    <row r="873">
      <c r="A873" s="98"/>
      <c r="B873" s="98"/>
      <c r="D873" s="98"/>
      <c r="E873" s="98"/>
      <c r="F873" s="98"/>
      <c r="G873" s="98"/>
      <c r="H873" s="98"/>
      <c r="I873" s="98"/>
      <c r="J873" s="98"/>
      <c r="K873" s="98"/>
    </row>
    <row r="874">
      <c r="A874" s="98"/>
      <c r="B874" s="98"/>
      <c r="D874" s="98"/>
      <c r="E874" s="98"/>
      <c r="F874" s="98"/>
      <c r="G874" s="98"/>
      <c r="H874" s="98"/>
      <c r="I874" s="98"/>
      <c r="J874" s="98"/>
      <c r="K874" s="98"/>
    </row>
    <row r="875">
      <c r="A875" s="98"/>
      <c r="B875" s="98"/>
      <c r="D875" s="98"/>
      <c r="E875" s="98"/>
      <c r="F875" s="98"/>
      <c r="G875" s="98"/>
      <c r="H875" s="98"/>
      <c r="I875" s="98"/>
      <c r="J875" s="98"/>
      <c r="K875" s="98"/>
    </row>
    <row r="876">
      <c r="A876" s="98"/>
      <c r="B876" s="98"/>
      <c r="D876" s="98"/>
      <c r="E876" s="98"/>
      <c r="F876" s="98"/>
      <c r="G876" s="98"/>
      <c r="H876" s="98"/>
      <c r="I876" s="98"/>
      <c r="J876" s="98"/>
      <c r="K876" s="98"/>
    </row>
    <row r="877">
      <c r="A877" s="98"/>
      <c r="B877" s="98"/>
      <c r="D877" s="98"/>
      <c r="E877" s="98"/>
      <c r="F877" s="98"/>
      <c r="G877" s="98"/>
      <c r="H877" s="98"/>
      <c r="I877" s="98"/>
      <c r="J877" s="98"/>
      <c r="K877" s="98"/>
    </row>
    <row r="878">
      <c r="A878" s="98"/>
      <c r="B878" s="98"/>
      <c r="D878" s="98"/>
      <c r="E878" s="98"/>
      <c r="F878" s="98"/>
      <c r="G878" s="98"/>
      <c r="H878" s="98"/>
      <c r="I878" s="98"/>
      <c r="J878" s="98"/>
      <c r="K878" s="98"/>
    </row>
    <row r="879">
      <c r="A879" s="98"/>
      <c r="B879" s="98"/>
      <c r="D879" s="98"/>
      <c r="E879" s="98"/>
      <c r="F879" s="98"/>
      <c r="G879" s="98"/>
      <c r="H879" s="98"/>
      <c r="I879" s="98"/>
      <c r="J879" s="98"/>
      <c r="K879" s="98"/>
    </row>
    <row r="880">
      <c r="A880" s="98"/>
      <c r="B880" s="98"/>
      <c r="D880" s="98"/>
      <c r="E880" s="98"/>
      <c r="F880" s="98"/>
      <c r="G880" s="98"/>
      <c r="H880" s="98"/>
      <c r="I880" s="98"/>
      <c r="J880" s="98"/>
      <c r="K880" s="98"/>
    </row>
    <row r="881">
      <c r="A881" s="98"/>
      <c r="B881" s="98"/>
      <c r="D881" s="98"/>
      <c r="E881" s="98"/>
      <c r="F881" s="98"/>
      <c r="G881" s="98"/>
      <c r="H881" s="98"/>
      <c r="I881" s="98"/>
      <c r="J881" s="98"/>
      <c r="K881" s="98"/>
    </row>
    <row r="882">
      <c r="A882" s="98"/>
      <c r="B882" s="98"/>
      <c r="D882" s="98"/>
      <c r="E882" s="98"/>
      <c r="F882" s="98"/>
      <c r="G882" s="98"/>
      <c r="H882" s="98"/>
      <c r="I882" s="98"/>
      <c r="J882" s="98"/>
      <c r="K882" s="98"/>
    </row>
    <row r="883">
      <c r="A883" s="98"/>
      <c r="B883" s="98"/>
      <c r="D883" s="98"/>
      <c r="E883" s="98"/>
      <c r="F883" s="98"/>
      <c r="G883" s="98"/>
      <c r="H883" s="98"/>
      <c r="I883" s="98"/>
      <c r="J883" s="98"/>
      <c r="K883" s="98"/>
    </row>
    <row r="884">
      <c r="A884" s="98"/>
      <c r="B884" s="98"/>
      <c r="D884" s="98"/>
      <c r="E884" s="98"/>
      <c r="F884" s="98"/>
      <c r="G884" s="98"/>
      <c r="H884" s="98"/>
      <c r="I884" s="98"/>
      <c r="J884" s="98"/>
      <c r="K884" s="98"/>
    </row>
    <row r="885">
      <c r="A885" s="98"/>
      <c r="B885" s="98"/>
      <c r="D885" s="98"/>
      <c r="E885" s="98"/>
      <c r="F885" s="98"/>
      <c r="G885" s="98"/>
      <c r="H885" s="98"/>
      <c r="I885" s="98"/>
      <c r="J885" s="98"/>
      <c r="K885" s="98"/>
    </row>
    <row r="886">
      <c r="A886" s="98"/>
      <c r="B886" s="98"/>
      <c r="D886" s="98"/>
      <c r="E886" s="98"/>
      <c r="F886" s="98"/>
      <c r="G886" s="98"/>
      <c r="H886" s="98"/>
      <c r="I886" s="98"/>
      <c r="J886" s="98"/>
      <c r="K886" s="98"/>
    </row>
    <row r="887">
      <c r="A887" s="98"/>
      <c r="B887" s="98"/>
      <c r="D887" s="98"/>
      <c r="E887" s="98"/>
      <c r="F887" s="98"/>
      <c r="G887" s="98"/>
      <c r="H887" s="98"/>
      <c r="I887" s="98"/>
      <c r="J887" s="98"/>
      <c r="K887" s="98"/>
    </row>
    <row r="888">
      <c r="A888" s="98"/>
      <c r="B888" s="98"/>
      <c r="D888" s="98"/>
      <c r="E888" s="98"/>
      <c r="F888" s="98"/>
      <c r="G888" s="98"/>
      <c r="H888" s="98"/>
      <c r="I888" s="98"/>
      <c r="J888" s="98"/>
      <c r="K888" s="98"/>
    </row>
    <row r="889">
      <c r="A889" s="98"/>
      <c r="B889" s="98"/>
      <c r="D889" s="98"/>
      <c r="E889" s="98"/>
      <c r="F889" s="98"/>
      <c r="G889" s="98"/>
      <c r="H889" s="98"/>
      <c r="I889" s="98"/>
      <c r="J889" s="98"/>
      <c r="K889" s="98"/>
    </row>
    <row r="890">
      <c r="A890" s="98"/>
      <c r="B890" s="98"/>
      <c r="D890" s="98"/>
      <c r="E890" s="98"/>
      <c r="F890" s="98"/>
      <c r="G890" s="98"/>
      <c r="H890" s="98"/>
      <c r="I890" s="98"/>
      <c r="J890" s="98"/>
      <c r="K890" s="98"/>
    </row>
    <row r="891">
      <c r="A891" s="98"/>
      <c r="B891" s="98"/>
      <c r="D891" s="98"/>
      <c r="E891" s="98"/>
      <c r="F891" s="98"/>
      <c r="G891" s="98"/>
      <c r="H891" s="98"/>
      <c r="I891" s="98"/>
      <c r="J891" s="98"/>
      <c r="K891" s="98"/>
    </row>
    <row r="892">
      <c r="A892" s="98"/>
      <c r="B892" s="98"/>
      <c r="D892" s="98"/>
      <c r="E892" s="98"/>
      <c r="F892" s="98"/>
      <c r="G892" s="98"/>
      <c r="H892" s="98"/>
      <c r="I892" s="98"/>
      <c r="J892" s="98"/>
      <c r="K892" s="98"/>
    </row>
    <row r="893">
      <c r="A893" s="98"/>
      <c r="B893" s="98"/>
      <c r="D893" s="98"/>
      <c r="E893" s="98"/>
      <c r="F893" s="98"/>
      <c r="G893" s="98"/>
      <c r="H893" s="98"/>
      <c r="I893" s="98"/>
      <c r="J893" s="98"/>
      <c r="K893" s="98"/>
    </row>
    <row r="894">
      <c r="A894" s="98"/>
      <c r="B894" s="98"/>
      <c r="D894" s="98"/>
      <c r="E894" s="98"/>
      <c r="F894" s="98"/>
      <c r="G894" s="98"/>
      <c r="H894" s="98"/>
      <c r="I894" s="98"/>
      <c r="J894" s="98"/>
      <c r="K894" s="98"/>
    </row>
    <row r="895">
      <c r="A895" s="98"/>
      <c r="B895" s="98"/>
      <c r="D895" s="98"/>
      <c r="E895" s="98"/>
      <c r="F895" s="98"/>
      <c r="G895" s="98"/>
      <c r="H895" s="98"/>
      <c r="I895" s="98"/>
      <c r="J895" s="98"/>
      <c r="K895" s="98"/>
    </row>
    <row r="896">
      <c r="A896" s="98"/>
      <c r="B896" s="98"/>
      <c r="D896" s="98"/>
      <c r="E896" s="98"/>
      <c r="F896" s="98"/>
      <c r="G896" s="98"/>
      <c r="H896" s="98"/>
      <c r="I896" s="98"/>
      <c r="J896" s="98"/>
      <c r="K896" s="98"/>
    </row>
    <row r="897">
      <c r="A897" s="98"/>
      <c r="B897" s="98"/>
      <c r="D897" s="98"/>
      <c r="E897" s="98"/>
      <c r="F897" s="98"/>
      <c r="G897" s="98"/>
      <c r="H897" s="98"/>
      <c r="I897" s="98"/>
      <c r="J897" s="98"/>
      <c r="K897" s="98"/>
    </row>
    <row r="898">
      <c r="A898" s="98"/>
      <c r="B898" s="98"/>
      <c r="D898" s="98"/>
      <c r="E898" s="98"/>
      <c r="F898" s="98"/>
      <c r="G898" s="98"/>
      <c r="H898" s="98"/>
      <c r="I898" s="98"/>
      <c r="J898" s="98"/>
      <c r="K898" s="98"/>
    </row>
    <row r="899">
      <c r="A899" s="98"/>
      <c r="B899" s="98"/>
      <c r="D899" s="98"/>
      <c r="E899" s="98"/>
      <c r="F899" s="98"/>
      <c r="G899" s="98"/>
      <c r="H899" s="98"/>
      <c r="I899" s="98"/>
      <c r="J899" s="98"/>
      <c r="K899" s="98"/>
    </row>
    <row r="900">
      <c r="A900" s="98"/>
      <c r="B900" s="98"/>
      <c r="D900" s="98"/>
      <c r="E900" s="98"/>
      <c r="F900" s="98"/>
      <c r="G900" s="98"/>
      <c r="H900" s="98"/>
      <c r="I900" s="98"/>
      <c r="J900" s="98"/>
      <c r="K900" s="98"/>
    </row>
    <row r="901">
      <c r="A901" s="98"/>
      <c r="B901" s="98"/>
      <c r="D901" s="98"/>
      <c r="E901" s="98"/>
      <c r="F901" s="98"/>
      <c r="G901" s="98"/>
      <c r="H901" s="98"/>
      <c r="I901" s="98"/>
      <c r="J901" s="98"/>
      <c r="K901" s="98"/>
    </row>
    <row r="902">
      <c r="A902" s="98"/>
      <c r="B902" s="98"/>
      <c r="D902" s="98"/>
      <c r="E902" s="98"/>
      <c r="F902" s="98"/>
      <c r="G902" s="98"/>
      <c r="H902" s="98"/>
      <c r="I902" s="98"/>
      <c r="J902" s="98"/>
      <c r="K902" s="98"/>
    </row>
    <row r="903">
      <c r="A903" s="98"/>
      <c r="B903" s="98"/>
      <c r="D903" s="98"/>
      <c r="E903" s="98"/>
      <c r="F903" s="98"/>
      <c r="G903" s="98"/>
      <c r="H903" s="98"/>
      <c r="I903" s="98"/>
      <c r="J903" s="98"/>
      <c r="K903" s="98"/>
    </row>
    <row r="904">
      <c r="A904" s="98"/>
      <c r="B904" s="98"/>
      <c r="D904" s="98"/>
      <c r="E904" s="98"/>
      <c r="F904" s="98"/>
      <c r="G904" s="98"/>
      <c r="H904" s="98"/>
      <c r="I904" s="98"/>
      <c r="J904" s="98"/>
      <c r="K904" s="98"/>
    </row>
    <row r="905">
      <c r="A905" s="98"/>
      <c r="B905" s="98"/>
      <c r="D905" s="98"/>
      <c r="E905" s="98"/>
      <c r="F905" s="98"/>
      <c r="G905" s="98"/>
      <c r="H905" s="98"/>
      <c r="I905" s="98"/>
      <c r="J905" s="98"/>
      <c r="K905" s="98"/>
    </row>
    <row r="906">
      <c r="A906" s="98"/>
      <c r="B906" s="98"/>
      <c r="D906" s="98"/>
      <c r="E906" s="98"/>
      <c r="F906" s="98"/>
      <c r="G906" s="98"/>
      <c r="H906" s="98"/>
      <c r="I906" s="98"/>
      <c r="J906" s="98"/>
      <c r="K906" s="98"/>
    </row>
    <row r="907">
      <c r="A907" s="98"/>
      <c r="B907" s="98"/>
      <c r="D907" s="98"/>
      <c r="E907" s="98"/>
      <c r="F907" s="98"/>
      <c r="G907" s="98"/>
      <c r="H907" s="98"/>
      <c r="I907" s="98"/>
      <c r="J907" s="98"/>
      <c r="K907" s="98"/>
    </row>
    <row r="908">
      <c r="A908" s="98"/>
      <c r="B908" s="98"/>
      <c r="D908" s="98"/>
      <c r="E908" s="98"/>
      <c r="F908" s="98"/>
      <c r="G908" s="98"/>
      <c r="H908" s="98"/>
      <c r="I908" s="98"/>
      <c r="J908" s="98"/>
      <c r="K908" s="98"/>
    </row>
    <row r="909">
      <c r="A909" s="98"/>
      <c r="B909" s="98"/>
      <c r="D909" s="98"/>
      <c r="E909" s="98"/>
      <c r="F909" s="98"/>
      <c r="G909" s="98"/>
      <c r="H909" s="98"/>
      <c r="I909" s="98"/>
      <c r="J909" s="98"/>
      <c r="K909" s="98"/>
    </row>
    <row r="910">
      <c r="A910" s="98"/>
      <c r="B910" s="98"/>
      <c r="D910" s="98"/>
      <c r="E910" s="98"/>
      <c r="F910" s="98"/>
      <c r="G910" s="98"/>
      <c r="H910" s="98"/>
      <c r="I910" s="98"/>
      <c r="J910" s="98"/>
      <c r="K910" s="98"/>
    </row>
    <row r="911">
      <c r="A911" s="98"/>
      <c r="B911" s="98"/>
      <c r="D911" s="98"/>
      <c r="E911" s="98"/>
      <c r="F911" s="98"/>
      <c r="G911" s="98"/>
      <c r="H911" s="98"/>
      <c r="I911" s="98"/>
      <c r="J911" s="98"/>
      <c r="K911" s="98"/>
    </row>
    <row r="912">
      <c r="A912" s="98"/>
      <c r="B912" s="98"/>
      <c r="D912" s="98"/>
      <c r="E912" s="98"/>
      <c r="F912" s="98"/>
      <c r="G912" s="98"/>
      <c r="H912" s="98"/>
      <c r="I912" s="98"/>
      <c r="J912" s="98"/>
      <c r="K912" s="98"/>
    </row>
    <row r="913">
      <c r="A913" s="98"/>
      <c r="B913" s="98"/>
      <c r="D913" s="98"/>
      <c r="E913" s="98"/>
      <c r="F913" s="98"/>
      <c r="G913" s="98"/>
      <c r="H913" s="98"/>
      <c r="I913" s="98"/>
      <c r="J913" s="98"/>
      <c r="K913" s="98"/>
    </row>
    <row r="914">
      <c r="A914" s="98"/>
      <c r="B914" s="98"/>
      <c r="D914" s="98"/>
      <c r="E914" s="98"/>
      <c r="F914" s="98"/>
      <c r="G914" s="98"/>
      <c r="H914" s="98"/>
      <c r="I914" s="98"/>
      <c r="J914" s="98"/>
      <c r="K914" s="98"/>
    </row>
    <row r="915">
      <c r="A915" s="98"/>
      <c r="B915" s="98"/>
      <c r="D915" s="98"/>
      <c r="E915" s="98"/>
      <c r="F915" s="98"/>
      <c r="G915" s="98"/>
      <c r="H915" s="98"/>
      <c r="I915" s="98"/>
      <c r="J915" s="98"/>
      <c r="K915" s="98"/>
    </row>
    <row r="916">
      <c r="A916" s="98"/>
      <c r="B916" s="98"/>
      <c r="D916" s="98"/>
      <c r="E916" s="98"/>
      <c r="F916" s="98"/>
      <c r="G916" s="98"/>
      <c r="H916" s="98"/>
      <c r="I916" s="98"/>
      <c r="J916" s="98"/>
      <c r="K916" s="98"/>
    </row>
    <row r="917">
      <c r="A917" s="98"/>
      <c r="B917" s="98"/>
      <c r="D917" s="98"/>
      <c r="E917" s="98"/>
      <c r="F917" s="98"/>
      <c r="G917" s="98"/>
      <c r="H917" s="98"/>
      <c r="I917" s="98"/>
      <c r="J917" s="98"/>
      <c r="K917" s="98"/>
    </row>
    <row r="918">
      <c r="A918" s="98"/>
      <c r="B918" s="98"/>
      <c r="D918" s="98"/>
      <c r="E918" s="98"/>
      <c r="F918" s="98"/>
      <c r="G918" s="98"/>
      <c r="H918" s="98"/>
      <c r="I918" s="98"/>
      <c r="J918" s="98"/>
      <c r="K918" s="98"/>
    </row>
    <row r="919">
      <c r="A919" s="98"/>
      <c r="B919" s="98"/>
      <c r="D919" s="98"/>
      <c r="E919" s="98"/>
      <c r="F919" s="98"/>
      <c r="G919" s="98"/>
      <c r="H919" s="98"/>
      <c r="I919" s="98"/>
      <c r="J919" s="98"/>
      <c r="K919" s="98"/>
    </row>
    <row r="920">
      <c r="A920" s="98"/>
      <c r="B920" s="98"/>
      <c r="D920" s="98"/>
      <c r="E920" s="98"/>
      <c r="F920" s="98"/>
      <c r="G920" s="98"/>
      <c r="H920" s="98"/>
      <c r="I920" s="98"/>
      <c r="J920" s="98"/>
      <c r="K920" s="98"/>
    </row>
    <row r="921">
      <c r="A921" s="98"/>
      <c r="B921" s="98"/>
      <c r="D921" s="98"/>
      <c r="E921" s="98"/>
      <c r="F921" s="98"/>
      <c r="G921" s="98"/>
      <c r="H921" s="98"/>
      <c r="I921" s="98"/>
      <c r="J921" s="98"/>
      <c r="K921" s="98"/>
    </row>
    <row r="922">
      <c r="A922" s="98"/>
      <c r="B922" s="98"/>
      <c r="D922" s="98"/>
      <c r="E922" s="98"/>
      <c r="F922" s="98"/>
      <c r="G922" s="98"/>
      <c r="H922" s="98"/>
      <c r="I922" s="98"/>
      <c r="J922" s="98"/>
      <c r="K922" s="98"/>
    </row>
    <row r="923">
      <c r="A923" s="98"/>
      <c r="B923" s="98"/>
      <c r="D923" s="98"/>
      <c r="E923" s="98"/>
      <c r="F923" s="98"/>
      <c r="G923" s="98"/>
      <c r="H923" s="98"/>
      <c r="I923" s="98"/>
      <c r="J923" s="98"/>
      <c r="K923" s="98"/>
    </row>
    <row r="924">
      <c r="A924" s="98"/>
      <c r="B924" s="98"/>
      <c r="D924" s="98"/>
      <c r="E924" s="98"/>
      <c r="F924" s="98"/>
      <c r="G924" s="98"/>
      <c r="H924" s="98"/>
      <c r="I924" s="98"/>
      <c r="J924" s="98"/>
      <c r="K924" s="98"/>
    </row>
    <row r="925">
      <c r="A925" s="98"/>
      <c r="B925" s="98"/>
      <c r="D925" s="98"/>
      <c r="E925" s="98"/>
      <c r="F925" s="98"/>
      <c r="G925" s="98"/>
      <c r="H925" s="98"/>
      <c r="I925" s="98"/>
      <c r="J925" s="98"/>
      <c r="K925" s="98"/>
    </row>
    <row r="926">
      <c r="A926" s="98"/>
      <c r="B926" s="98"/>
      <c r="D926" s="98"/>
      <c r="E926" s="98"/>
      <c r="F926" s="98"/>
      <c r="G926" s="98"/>
      <c r="H926" s="98"/>
      <c r="I926" s="98"/>
      <c r="J926" s="98"/>
      <c r="K926" s="98"/>
    </row>
    <row r="927">
      <c r="A927" s="98"/>
      <c r="B927" s="98"/>
      <c r="D927" s="98"/>
      <c r="E927" s="98"/>
      <c r="F927" s="98"/>
      <c r="G927" s="98"/>
      <c r="H927" s="98"/>
      <c r="I927" s="98"/>
      <c r="J927" s="98"/>
      <c r="K927" s="98"/>
    </row>
    <row r="928">
      <c r="A928" s="98"/>
      <c r="B928" s="98"/>
      <c r="D928" s="98"/>
      <c r="E928" s="98"/>
      <c r="F928" s="98"/>
      <c r="G928" s="98"/>
      <c r="H928" s="98"/>
      <c r="I928" s="98"/>
      <c r="J928" s="98"/>
      <c r="K928" s="98"/>
    </row>
    <row r="929">
      <c r="A929" s="98"/>
      <c r="B929" s="98"/>
      <c r="D929" s="98"/>
      <c r="E929" s="98"/>
      <c r="F929" s="98"/>
      <c r="G929" s="98"/>
      <c r="H929" s="98"/>
      <c r="I929" s="98"/>
      <c r="J929" s="98"/>
      <c r="K929" s="98"/>
    </row>
    <row r="930">
      <c r="A930" s="98"/>
      <c r="B930" s="98"/>
      <c r="D930" s="98"/>
      <c r="E930" s="98"/>
      <c r="F930" s="98"/>
      <c r="G930" s="98"/>
      <c r="H930" s="98"/>
      <c r="I930" s="98"/>
      <c r="J930" s="98"/>
      <c r="K930" s="98"/>
    </row>
    <row r="931">
      <c r="A931" s="98"/>
      <c r="B931" s="98"/>
      <c r="D931" s="98"/>
      <c r="E931" s="98"/>
      <c r="F931" s="98"/>
      <c r="G931" s="98"/>
      <c r="H931" s="98"/>
      <c r="I931" s="98"/>
      <c r="J931" s="98"/>
      <c r="K931" s="98"/>
    </row>
    <row r="932">
      <c r="A932" s="98"/>
      <c r="B932" s="98"/>
      <c r="D932" s="98"/>
      <c r="E932" s="98"/>
      <c r="F932" s="98"/>
      <c r="G932" s="98"/>
      <c r="H932" s="98"/>
      <c r="I932" s="98"/>
      <c r="J932" s="98"/>
      <c r="K932" s="98"/>
    </row>
    <row r="933">
      <c r="A933" s="98"/>
      <c r="B933" s="98"/>
      <c r="D933" s="98"/>
      <c r="E933" s="98"/>
      <c r="F933" s="98"/>
      <c r="G933" s="98"/>
      <c r="H933" s="98"/>
      <c r="I933" s="98"/>
      <c r="J933" s="98"/>
      <c r="K933" s="98"/>
    </row>
    <row r="934">
      <c r="A934" s="98"/>
      <c r="B934" s="98"/>
      <c r="D934" s="98"/>
      <c r="E934" s="98"/>
      <c r="F934" s="98"/>
      <c r="G934" s="98"/>
      <c r="H934" s="98"/>
      <c r="I934" s="98"/>
      <c r="J934" s="98"/>
      <c r="K934" s="98"/>
    </row>
    <row r="935">
      <c r="A935" s="98"/>
      <c r="B935" s="98"/>
      <c r="D935" s="98"/>
      <c r="E935" s="98"/>
      <c r="F935" s="98"/>
      <c r="G935" s="98"/>
      <c r="H935" s="98"/>
      <c r="I935" s="98"/>
      <c r="J935" s="98"/>
      <c r="K935" s="98"/>
    </row>
    <row r="936">
      <c r="A936" s="98"/>
      <c r="B936" s="98"/>
      <c r="D936" s="98"/>
      <c r="E936" s="98"/>
      <c r="F936" s="98"/>
      <c r="G936" s="98"/>
      <c r="H936" s="98"/>
      <c r="I936" s="98"/>
      <c r="J936" s="98"/>
      <c r="K936" s="98"/>
    </row>
    <row r="937">
      <c r="A937" s="98"/>
      <c r="B937" s="98"/>
      <c r="D937" s="98"/>
      <c r="E937" s="98"/>
      <c r="F937" s="98"/>
      <c r="G937" s="98"/>
      <c r="H937" s="98"/>
      <c r="I937" s="98"/>
      <c r="J937" s="98"/>
      <c r="K937" s="98"/>
    </row>
    <row r="938">
      <c r="A938" s="98"/>
      <c r="B938" s="98"/>
      <c r="D938" s="98"/>
      <c r="E938" s="98"/>
      <c r="F938" s="98"/>
      <c r="G938" s="98"/>
      <c r="H938" s="98"/>
      <c r="I938" s="98"/>
      <c r="J938" s="98"/>
      <c r="K938" s="98"/>
    </row>
    <row r="939">
      <c r="A939" s="98"/>
      <c r="B939" s="98"/>
      <c r="D939" s="98"/>
      <c r="E939" s="98"/>
      <c r="F939" s="98"/>
      <c r="G939" s="98"/>
      <c r="H939" s="98"/>
      <c r="I939" s="98"/>
      <c r="J939" s="98"/>
      <c r="K939" s="98"/>
    </row>
    <row r="940">
      <c r="A940" s="98"/>
      <c r="B940" s="98"/>
      <c r="D940" s="98"/>
      <c r="E940" s="98"/>
      <c r="F940" s="98"/>
      <c r="G940" s="98"/>
      <c r="H940" s="98"/>
      <c r="I940" s="98"/>
      <c r="J940" s="98"/>
      <c r="K940" s="98"/>
    </row>
    <row r="941">
      <c r="A941" s="98"/>
      <c r="B941" s="98"/>
      <c r="D941" s="98"/>
      <c r="E941" s="98"/>
      <c r="F941" s="98"/>
      <c r="G941" s="98"/>
      <c r="H941" s="98"/>
      <c r="I941" s="98"/>
      <c r="J941" s="98"/>
      <c r="K941" s="98"/>
    </row>
    <row r="942">
      <c r="A942" s="98"/>
      <c r="B942" s="98"/>
      <c r="D942" s="98"/>
      <c r="E942" s="98"/>
      <c r="F942" s="98"/>
      <c r="G942" s="98"/>
      <c r="H942" s="98"/>
      <c r="I942" s="98"/>
      <c r="J942" s="98"/>
      <c r="K942" s="98"/>
    </row>
    <row r="943">
      <c r="A943" s="98"/>
      <c r="B943" s="98"/>
      <c r="D943" s="98"/>
      <c r="E943" s="98"/>
      <c r="F943" s="98"/>
      <c r="G943" s="98"/>
      <c r="H943" s="98"/>
      <c r="I943" s="98"/>
      <c r="J943" s="98"/>
      <c r="K943" s="98"/>
    </row>
    <row r="944">
      <c r="A944" s="98"/>
      <c r="B944" s="98"/>
      <c r="D944" s="98"/>
      <c r="E944" s="98"/>
      <c r="F944" s="98"/>
      <c r="G944" s="98"/>
      <c r="H944" s="98"/>
      <c r="I944" s="98"/>
      <c r="J944" s="98"/>
      <c r="K944" s="98"/>
    </row>
    <row r="945">
      <c r="A945" s="98"/>
      <c r="B945" s="98"/>
      <c r="D945" s="98"/>
      <c r="E945" s="98"/>
      <c r="F945" s="98"/>
      <c r="G945" s="98"/>
      <c r="H945" s="98"/>
      <c r="I945" s="98"/>
      <c r="J945" s="98"/>
      <c r="K945" s="98"/>
    </row>
    <row r="946">
      <c r="A946" s="98"/>
      <c r="B946" s="98"/>
      <c r="D946" s="98"/>
      <c r="E946" s="98"/>
      <c r="F946" s="98"/>
      <c r="G946" s="98"/>
      <c r="H946" s="98"/>
      <c r="I946" s="98"/>
      <c r="J946" s="98"/>
      <c r="K946" s="98"/>
    </row>
    <row r="947">
      <c r="A947" s="98"/>
      <c r="B947" s="98"/>
      <c r="D947" s="98"/>
      <c r="E947" s="98"/>
      <c r="F947" s="98"/>
      <c r="G947" s="98"/>
      <c r="H947" s="98"/>
      <c r="I947" s="98"/>
      <c r="J947" s="98"/>
      <c r="K947" s="98"/>
    </row>
    <row r="948">
      <c r="A948" s="98"/>
      <c r="B948" s="98"/>
      <c r="D948" s="98"/>
      <c r="E948" s="98"/>
      <c r="F948" s="98"/>
      <c r="G948" s="98"/>
      <c r="H948" s="98"/>
      <c r="I948" s="98"/>
      <c r="J948" s="98"/>
      <c r="K948" s="98"/>
    </row>
    <row r="949">
      <c r="A949" s="98"/>
      <c r="B949" s="98"/>
      <c r="D949" s="98"/>
      <c r="E949" s="98"/>
      <c r="F949" s="98"/>
      <c r="G949" s="98"/>
      <c r="H949" s="98"/>
      <c r="I949" s="98"/>
      <c r="J949" s="98"/>
      <c r="K949" s="98"/>
    </row>
    <row r="950">
      <c r="A950" s="98"/>
      <c r="B950" s="98"/>
      <c r="D950" s="98"/>
      <c r="E950" s="98"/>
      <c r="F950" s="98"/>
      <c r="G950" s="98"/>
      <c r="H950" s="98"/>
      <c r="I950" s="98"/>
      <c r="J950" s="98"/>
      <c r="K950" s="98"/>
    </row>
    <row r="951">
      <c r="A951" s="98"/>
      <c r="B951" s="98"/>
      <c r="D951" s="98"/>
      <c r="E951" s="98"/>
      <c r="F951" s="98"/>
      <c r="G951" s="98"/>
      <c r="H951" s="98"/>
      <c r="I951" s="98"/>
      <c r="J951" s="98"/>
      <c r="K951" s="98"/>
    </row>
    <row r="952">
      <c r="A952" s="98"/>
      <c r="B952" s="98"/>
      <c r="D952" s="98"/>
      <c r="E952" s="98"/>
      <c r="F952" s="98"/>
      <c r="G952" s="98"/>
      <c r="H952" s="98"/>
      <c r="I952" s="98"/>
      <c r="J952" s="98"/>
      <c r="K952" s="98"/>
    </row>
    <row r="953">
      <c r="A953" s="98"/>
      <c r="B953" s="98"/>
      <c r="D953" s="98"/>
      <c r="E953" s="98"/>
      <c r="F953" s="98"/>
      <c r="G953" s="98"/>
      <c r="H953" s="98"/>
      <c r="I953" s="98"/>
      <c r="J953" s="98"/>
      <c r="K953" s="98"/>
    </row>
    <row r="954">
      <c r="A954" s="98"/>
      <c r="B954" s="98"/>
      <c r="D954" s="98"/>
      <c r="E954" s="98"/>
      <c r="F954" s="98"/>
      <c r="G954" s="98"/>
      <c r="H954" s="98"/>
      <c r="I954" s="98"/>
      <c r="J954" s="98"/>
      <c r="K954" s="98"/>
    </row>
    <row r="955">
      <c r="A955" s="98"/>
      <c r="B955" s="98"/>
      <c r="D955" s="98"/>
      <c r="E955" s="98"/>
      <c r="F955" s="98"/>
      <c r="G955" s="98"/>
      <c r="H955" s="98"/>
      <c r="I955" s="98"/>
      <c r="J955" s="98"/>
      <c r="K955" s="98"/>
    </row>
    <row r="956">
      <c r="A956" s="98"/>
      <c r="B956" s="98"/>
      <c r="D956" s="98"/>
      <c r="E956" s="98"/>
      <c r="F956" s="98"/>
      <c r="G956" s="98"/>
      <c r="H956" s="98"/>
      <c r="I956" s="98"/>
      <c r="J956" s="98"/>
      <c r="K956" s="98"/>
    </row>
    <row r="957">
      <c r="A957" s="98"/>
      <c r="B957" s="98"/>
      <c r="D957" s="98"/>
      <c r="E957" s="98"/>
      <c r="F957" s="98"/>
      <c r="G957" s="98"/>
      <c r="H957" s="98"/>
      <c r="I957" s="98"/>
      <c r="J957" s="98"/>
      <c r="K957" s="98"/>
    </row>
    <row r="958">
      <c r="A958" s="98"/>
      <c r="B958" s="98"/>
      <c r="D958" s="98"/>
      <c r="E958" s="98"/>
      <c r="F958" s="98"/>
      <c r="G958" s="98"/>
      <c r="H958" s="98"/>
      <c r="I958" s="98"/>
      <c r="J958" s="98"/>
      <c r="K958" s="98"/>
    </row>
    <row r="959">
      <c r="A959" s="98"/>
      <c r="B959" s="98"/>
      <c r="D959" s="98"/>
      <c r="E959" s="98"/>
      <c r="F959" s="98"/>
      <c r="G959" s="98"/>
      <c r="H959" s="98"/>
      <c r="I959" s="98"/>
      <c r="J959" s="98"/>
      <c r="K959" s="98"/>
    </row>
    <row r="960">
      <c r="A960" s="98"/>
      <c r="B960" s="98"/>
      <c r="D960" s="98"/>
      <c r="E960" s="98"/>
      <c r="F960" s="98"/>
      <c r="G960" s="98"/>
      <c r="H960" s="98"/>
      <c r="I960" s="98"/>
      <c r="J960" s="98"/>
      <c r="K960" s="98"/>
    </row>
    <row r="961">
      <c r="A961" s="98"/>
      <c r="B961" s="98"/>
      <c r="D961" s="98"/>
      <c r="E961" s="98"/>
      <c r="F961" s="98"/>
      <c r="G961" s="98"/>
      <c r="H961" s="98"/>
      <c r="I961" s="98"/>
      <c r="J961" s="98"/>
      <c r="K961" s="98"/>
    </row>
    <row r="962">
      <c r="A962" s="98"/>
      <c r="B962" s="98"/>
      <c r="D962" s="98"/>
      <c r="E962" s="98"/>
      <c r="F962" s="98"/>
      <c r="G962" s="98"/>
      <c r="H962" s="98"/>
      <c r="I962" s="98"/>
      <c r="J962" s="98"/>
      <c r="K962" s="98"/>
    </row>
    <row r="963">
      <c r="A963" s="98"/>
      <c r="B963" s="98"/>
      <c r="D963" s="98"/>
      <c r="E963" s="98"/>
      <c r="F963" s="98"/>
      <c r="G963" s="98"/>
      <c r="H963" s="98"/>
      <c r="I963" s="98"/>
      <c r="J963" s="98"/>
      <c r="K963" s="98"/>
    </row>
    <row r="964">
      <c r="A964" s="98"/>
      <c r="B964" s="98"/>
      <c r="D964" s="98"/>
      <c r="E964" s="98"/>
      <c r="F964" s="98"/>
      <c r="G964" s="98"/>
      <c r="H964" s="98"/>
      <c r="I964" s="98"/>
      <c r="J964" s="98"/>
      <c r="K964" s="98"/>
    </row>
    <row r="965">
      <c r="A965" s="98"/>
      <c r="B965" s="98"/>
      <c r="D965" s="98"/>
      <c r="E965" s="98"/>
      <c r="F965" s="98"/>
      <c r="G965" s="98"/>
      <c r="H965" s="98"/>
      <c r="I965" s="98"/>
      <c r="J965" s="98"/>
      <c r="K965" s="98"/>
    </row>
    <row r="966">
      <c r="A966" s="98"/>
      <c r="B966" s="98"/>
      <c r="D966" s="98"/>
      <c r="E966" s="98"/>
      <c r="F966" s="98"/>
      <c r="G966" s="98"/>
      <c r="H966" s="98"/>
      <c r="I966" s="98"/>
      <c r="J966" s="98"/>
      <c r="K966" s="98"/>
    </row>
    <row r="967">
      <c r="A967" s="98"/>
      <c r="B967" s="98"/>
      <c r="D967" s="98"/>
      <c r="E967" s="98"/>
      <c r="F967" s="98"/>
      <c r="G967" s="98"/>
      <c r="H967" s="98"/>
      <c r="I967" s="98"/>
      <c r="J967" s="98"/>
      <c r="K967" s="98"/>
    </row>
    <row r="968">
      <c r="A968" s="98"/>
      <c r="B968" s="98"/>
      <c r="D968" s="98"/>
      <c r="E968" s="98"/>
      <c r="F968" s="98"/>
      <c r="G968" s="98"/>
      <c r="H968" s="98"/>
      <c r="I968" s="98"/>
      <c r="J968" s="98"/>
      <c r="K968" s="98"/>
    </row>
    <row r="969">
      <c r="A969" s="98"/>
      <c r="B969" s="98"/>
      <c r="D969" s="98"/>
      <c r="E969" s="98"/>
      <c r="F969" s="98"/>
      <c r="G969" s="98"/>
      <c r="H969" s="98"/>
      <c r="I969" s="98"/>
      <c r="J969" s="98"/>
      <c r="K969" s="98"/>
    </row>
    <row r="970">
      <c r="A970" s="98"/>
      <c r="B970" s="98"/>
      <c r="D970" s="98"/>
      <c r="E970" s="98"/>
      <c r="F970" s="98"/>
      <c r="G970" s="98"/>
      <c r="H970" s="98"/>
      <c r="I970" s="98"/>
      <c r="J970" s="98"/>
      <c r="K970" s="98"/>
    </row>
    <row r="971">
      <c r="A971" s="98"/>
      <c r="B971" s="98"/>
      <c r="D971" s="98"/>
      <c r="E971" s="98"/>
      <c r="F971" s="98"/>
      <c r="G971" s="98"/>
      <c r="H971" s="98"/>
      <c r="I971" s="98"/>
      <c r="J971" s="98"/>
      <c r="K971" s="98"/>
    </row>
    <row r="972">
      <c r="A972" s="98"/>
      <c r="B972" s="98"/>
      <c r="D972" s="98"/>
      <c r="E972" s="98"/>
      <c r="F972" s="98"/>
      <c r="G972" s="98"/>
      <c r="H972" s="98"/>
      <c r="I972" s="98"/>
      <c r="J972" s="98"/>
      <c r="K972" s="98"/>
    </row>
    <row r="973">
      <c r="A973" s="98"/>
      <c r="B973" s="98"/>
      <c r="D973" s="98"/>
      <c r="E973" s="98"/>
      <c r="F973" s="98"/>
      <c r="G973" s="98"/>
      <c r="H973" s="98"/>
      <c r="I973" s="98"/>
      <c r="J973" s="98"/>
      <c r="K973" s="98"/>
    </row>
    <row r="974">
      <c r="A974" s="98"/>
      <c r="B974" s="98"/>
      <c r="D974" s="98"/>
      <c r="E974" s="98"/>
      <c r="F974" s="98"/>
      <c r="G974" s="98"/>
      <c r="H974" s="98"/>
      <c r="I974" s="98"/>
      <c r="J974" s="98"/>
      <c r="K974" s="98"/>
    </row>
    <row r="975">
      <c r="A975" s="98"/>
      <c r="B975" s="98"/>
      <c r="D975" s="98"/>
      <c r="E975" s="98"/>
      <c r="F975" s="98"/>
      <c r="G975" s="98"/>
      <c r="H975" s="98"/>
      <c r="I975" s="98"/>
      <c r="J975" s="98"/>
      <c r="K975" s="98"/>
    </row>
    <row r="976">
      <c r="A976" s="98"/>
      <c r="B976" s="98"/>
      <c r="D976" s="98"/>
      <c r="E976" s="98"/>
      <c r="F976" s="98"/>
      <c r="G976" s="98"/>
      <c r="H976" s="98"/>
      <c r="I976" s="98"/>
      <c r="J976" s="98"/>
      <c r="K976" s="98"/>
    </row>
    <row r="977">
      <c r="A977" s="98"/>
      <c r="B977" s="98"/>
      <c r="D977" s="98"/>
      <c r="E977" s="98"/>
      <c r="F977" s="98"/>
      <c r="G977" s="98"/>
      <c r="H977" s="98"/>
      <c r="I977" s="98"/>
      <c r="J977" s="98"/>
      <c r="K977" s="98"/>
    </row>
    <row r="978">
      <c r="A978" s="98"/>
      <c r="B978" s="98"/>
      <c r="D978" s="98"/>
      <c r="E978" s="98"/>
      <c r="F978" s="98"/>
      <c r="G978" s="98"/>
      <c r="H978" s="98"/>
      <c r="I978" s="98"/>
      <c r="J978" s="98"/>
      <c r="K978" s="98"/>
    </row>
    <row r="979">
      <c r="A979" s="98"/>
      <c r="B979" s="98"/>
      <c r="D979" s="98"/>
      <c r="E979" s="98"/>
      <c r="F979" s="98"/>
      <c r="G979" s="98"/>
      <c r="H979" s="98"/>
      <c r="I979" s="98"/>
      <c r="J979" s="98"/>
      <c r="K979" s="98"/>
    </row>
    <row r="980">
      <c r="A980" s="98"/>
      <c r="B980" s="98"/>
      <c r="D980" s="98"/>
      <c r="E980" s="98"/>
      <c r="F980" s="98"/>
      <c r="G980" s="98"/>
      <c r="H980" s="98"/>
      <c r="I980" s="98"/>
      <c r="J980" s="98"/>
      <c r="K980" s="98"/>
    </row>
    <row r="981">
      <c r="A981" s="98"/>
      <c r="B981" s="98"/>
      <c r="D981" s="98"/>
      <c r="E981" s="98"/>
      <c r="F981" s="98"/>
      <c r="G981" s="98"/>
      <c r="H981" s="98"/>
      <c r="I981" s="98"/>
      <c r="J981" s="98"/>
      <c r="K981" s="98"/>
    </row>
    <row r="982">
      <c r="A982" s="98"/>
      <c r="B982" s="98"/>
      <c r="D982" s="98"/>
      <c r="E982" s="98"/>
      <c r="F982" s="98"/>
      <c r="G982" s="98"/>
      <c r="H982" s="98"/>
      <c r="I982" s="98"/>
      <c r="J982" s="98"/>
      <c r="K982" s="98"/>
    </row>
    <row r="983">
      <c r="A983" s="98"/>
      <c r="B983" s="98"/>
      <c r="D983" s="98"/>
      <c r="E983" s="98"/>
      <c r="F983" s="98"/>
      <c r="G983" s="98"/>
      <c r="H983" s="98"/>
      <c r="I983" s="98"/>
      <c r="J983" s="98"/>
      <c r="K983" s="98"/>
    </row>
    <row r="984">
      <c r="A984" s="98"/>
      <c r="B984" s="98"/>
      <c r="D984" s="98"/>
      <c r="E984" s="98"/>
      <c r="F984" s="98"/>
      <c r="G984" s="98"/>
      <c r="H984" s="98"/>
      <c r="I984" s="98"/>
      <c r="J984" s="98"/>
      <c r="K984" s="98"/>
    </row>
    <row r="985">
      <c r="A985" s="98"/>
      <c r="B985" s="98"/>
      <c r="D985" s="98"/>
      <c r="E985" s="98"/>
      <c r="F985" s="98"/>
      <c r="G985" s="98"/>
      <c r="H985" s="98"/>
      <c r="I985" s="98"/>
      <c r="J985" s="98"/>
      <c r="K985" s="98"/>
    </row>
    <row r="986">
      <c r="A986" s="98"/>
      <c r="B986" s="98"/>
      <c r="D986" s="98"/>
      <c r="E986" s="98"/>
      <c r="F986" s="98"/>
      <c r="G986" s="98"/>
      <c r="H986" s="98"/>
      <c r="I986" s="98"/>
      <c r="J986" s="98"/>
      <c r="K986" s="98"/>
    </row>
    <row r="987">
      <c r="A987" s="98"/>
      <c r="B987" s="98"/>
      <c r="D987" s="98"/>
      <c r="E987" s="98"/>
      <c r="F987" s="98"/>
      <c r="G987" s="98"/>
      <c r="H987" s="98"/>
      <c r="I987" s="98"/>
      <c r="J987" s="98"/>
      <c r="K987" s="98"/>
    </row>
    <row r="988">
      <c r="A988" s="98"/>
      <c r="B988" s="98"/>
      <c r="D988" s="98"/>
      <c r="E988" s="98"/>
      <c r="F988" s="98"/>
      <c r="G988" s="98"/>
      <c r="H988" s="98"/>
      <c r="I988" s="98"/>
      <c r="J988" s="98"/>
      <c r="K988" s="98"/>
    </row>
    <row r="989">
      <c r="A989" s="98"/>
      <c r="B989" s="98"/>
      <c r="D989" s="98"/>
      <c r="E989" s="98"/>
      <c r="F989" s="98"/>
      <c r="G989" s="98"/>
      <c r="H989" s="98"/>
      <c r="I989" s="98"/>
      <c r="J989" s="98"/>
      <c r="K989" s="98"/>
    </row>
    <row r="990">
      <c r="A990" s="98"/>
      <c r="B990" s="98"/>
      <c r="D990" s="98"/>
      <c r="E990" s="98"/>
      <c r="F990" s="98"/>
      <c r="G990" s="98"/>
      <c r="H990" s="98"/>
      <c r="I990" s="98"/>
      <c r="J990" s="98"/>
      <c r="K990" s="98"/>
    </row>
    <row r="991">
      <c r="A991" s="98"/>
      <c r="B991" s="98"/>
      <c r="D991" s="98"/>
      <c r="E991" s="98"/>
      <c r="F991" s="98"/>
      <c r="G991" s="98"/>
      <c r="H991" s="98"/>
      <c r="I991" s="98"/>
      <c r="J991" s="98"/>
      <c r="K991" s="98"/>
    </row>
    <row r="992">
      <c r="A992" s="98"/>
      <c r="B992" s="98"/>
      <c r="D992" s="98"/>
      <c r="E992" s="98"/>
      <c r="F992" s="98"/>
      <c r="G992" s="98"/>
      <c r="H992" s="98"/>
      <c r="I992" s="98"/>
      <c r="J992" s="98"/>
      <c r="K992" s="98"/>
    </row>
    <row r="993">
      <c r="A993" s="98"/>
      <c r="B993" s="98"/>
      <c r="D993" s="98"/>
      <c r="E993" s="98"/>
      <c r="F993" s="98"/>
      <c r="G993" s="98"/>
      <c r="H993" s="98"/>
      <c r="I993" s="98"/>
      <c r="J993" s="98"/>
      <c r="K993" s="98"/>
    </row>
    <row r="994">
      <c r="A994" s="98"/>
      <c r="B994" s="98"/>
      <c r="D994" s="98"/>
      <c r="E994" s="98"/>
      <c r="F994" s="98"/>
      <c r="G994" s="98"/>
      <c r="H994" s="98"/>
      <c r="I994" s="98"/>
      <c r="J994" s="98"/>
      <c r="K994" s="98"/>
    </row>
    <row r="995">
      <c r="A995" s="98"/>
      <c r="B995" s="98"/>
      <c r="D995" s="98"/>
      <c r="E995" s="98"/>
      <c r="F995" s="98"/>
      <c r="G995" s="98"/>
      <c r="H995" s="98"/>
      <c r="I995" s="98"/>
      <c r="J995" s="98"/>
      <c r="K995" s="98"/>
    </row>
    <row r="996">
      <c r="A996" s="98"/>
      <c r="B996" s="98"/>
      <c r="D996" s="98"/>
      <c r="E996" s="98"/>
      <c r="F996" s="98"/>
      <c r="G996" s="98"/>
      <c r="H996" s="98"/>
      <c r="I996" s="98"/>
      <c r="J996" s="98"/>
      <c r="K996" s="98"/>
    </row>
    <row r="997">
      <c r="A997" s="98"/>
      <c r="B997" s="98"/>
      <c r="D997" s="98"/>
      <c r="E997" s="98"/>
      <c r="F997" s="98"/>
      <c r="G997" s="98"/>
      <c r="H997" s="98"/>
      <c r="I997" s="98"/>
      <c r="J997" s="98"/>
      <c r="K997" s="98"/>
    </row>
    <row r="998">
      <c r="A998" s="98"/>
      <c r="B998" s="98"/>
      <c r="D998" s="98"/>
      <c r="E998" s="98"/>
      <c r="F998" s="98"/>
      <c r="G998" s="98"/>
      <c r="H998" s="98"/>
      <c r="I998" s="98"/>
      <c r="J998" s="98"/>
      <c r="K998" s="98"/>
    </row>
    <row r="999">
      <c r="A999" s="98"/>
      <c r="B999" s="98"/>
      <c r="D999" s="98"/>
      <c r="E999" s="98"/>
      <c r="F999" s="98"/>
      <c r="G999" s="98"/>
      <c r="H999" s="98"/>
      <c r="I999" s="98"/>
      <c r="J999" s="98"/>
      <c r="K999" s="98"/>
    </row>
    <row r="1000">
      <c r="A1000" s="98"/>
      <c r="B1000" s="98"/>
      <c r="D1000" s="98"/>
      <c r="E1000" s="98"/>
      <c r="F1000" s="98"/>
      <c r="G1000" s="98"/>
      <c r="H1000" s="98"/>
      <c r="I1000" s="98"/>
      <c r="J1000" s="98"/>
      <c r="K1000" s="98"/>
    </row>
  </sheetData>
  <autoFilter ref="$A$1:$BQ$44"/>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21.13"/>
    <col customWidth="1" min="3" max="3" width="38.25"/>
    <col customWidth="1" min="4" max="4" width="85.88"/>
    <col customWidth="1" min="11" max="11" width="20.88"/>
    <col customWidth="1" min="12" max="12" width="8.63"/>
    <col customWidth="1" min="13" max="13" width="54.38"/>
    <col customWidth="1" min="14" max="15" width="18.25"/>
    <col customWidth="1" min="16" max="16" width="90.38"/>
    <col customWidth="1" min="19" max="19" width="4.25"/>
    <col customWidth="1" min="21" max="21" width="13.13"/>
    <col customWidth="1" min="22" max="22" width="7.75"/>
    <col customWidth="1" min="23" max="24" width="45.13"/>
    <col customWidth="1" min="25" max="25" width="48.5"/>
    <col customWidth="1" min="26" max="27" width="45.13"/>
    <col customWidth="1" min="28" max="28" width="62.0"/>
    <col customWidth="1" min="29" max="29" width="78.0"/>
  </cols>
  <sheetData>
    <row r="1">
      <c r="A1" s="369"/>
      <c r="B1" s="370"/>
      <c r="C1" s="371"/>
      <c r="D1" s="370"/>
      <c r="E1" s="369"/>
      <c r="F1" s="372"/>
      <c r="G1" s="372"/>
      <c r="H1" s="372"/>
      <c r="I1" s="372"/>
      <c r="J1" s="372"/>
      <c r="K1" s="369"/>
      <c r="L1" s="369"/>
      <c r="M1" s="373"/>
      <c r="N1" s="369"/>
      <c r="O1" s="369"/>
      <c r="P1" s="374"/>
      <c r="Q1" s="372"/>
      <c r="R1" s="372"/>
      <c r="S1" s="372"/>
      <c r="T1" s="372"/>
      <c r="U1" s="372"/>
      <c r="V1" s="372"/>
      <c r="W1" s="372"/>
      <c r="X1" s="372"/>
      <c r="Y1" s="372"/>
      <c r="Z1" s="372"/>
      <c r="AA1" s="372"/>
      <c r="AB1" s="372"/>
      <c r="AC1" s="372"/>
      <c r="AD1" s="372"/>
      <c r="AE1" s="372"/>
      <c r="AF1" s="372"/>
      <c r="AG1" s="372"/>
      <c r="AH1" s="372"/>
      <c r="AI1" s="372"/>
      <c r="AJ1" s="372"/>
      <c r="AK1" s="372"/>
      <c r="AL1" s="372"/>
      <c r="AM1" s="372"/>
    </row>
    <row r="2">
      <c r="A2" s="369"/>
      <c r="B2" s="370"/>
      <c r="C2" s="371"/>
      <c r="D2" s="370"/>
      <c r="E2" s="369"/>
      <c r="F2" s="372"/>
      <c r="G2" s="372"/>
      <c r="H2" s="372"/>
      <c r="I2" s="372"/>
      <c r="J2" s="372"/>
      <c r="K2" s="369"/>
      <c r="L2" s="369"/>
      <c r="M2" s="373"/>
      <c r="N2" s="369"/>
      <c r="O2" s="369"/>
      <c r="P2" s="374"/>
      <c r="Q2" s="372"/>
      <c r="R2" s="372"/>
      <c r="S2" s="375" t="str">
        <f>IFERROR(__xludf.DUMMYFUNCTION("IMPORTRANGE(""https://docs.google.com/spreadsheets/d/1s35Ezw1AQGs9xfal3srykScLciAUpU-tswd6PsmZLx4/edit?gid=21154929#gid=21154929"",""Sheet1!A41:K43"")"),"#REF!")</f>
        <v>#REF!</v>
      </c>
      <c r="T2" s="376"/>
      <c r="U2" s="376"/>
      <c r="V2" s="377"/>
      <c r="W2" s="378"/>
      <c r="X2" s="378"/>
      <c r="Y2" s="378"/>
      <c r="Z2" s="378"/>
      <c r="AA2" s="378"/>
      <c r="AB2" s="378"/>
      <c r="AC2" s="378"/>
      <c r="AD2" s="372"/>
      <c r="AE2" s="372"/>
      <c r="AF2" s="372"/>
      <c r="AG2" s="372"/>
      <c r="AH2" s="372"/>
      <c r="AI2" s="372"/>
      <c r="AJ2" s="372"/>
      <c r="AK2" s="372"/>
      <c r="AL2" s="372"/>
      <c r="AM2" s="372"/>
    </row>
    <row r="3">
      <c r="A3" s="379"/>
      <c r="B3" s="380"/>
      <c r="C3" s="381" t="s">
        <v>163</v>
      </c>
      <c r="D3" s="380" t="s">
        <v>164</v>
      </c>
      <c r="E3" s="379"/>
      <c r="F3" s="382"/>
      <c r="G3" s="382"/>
      <c r="H3" s="382"/>
      <c r="I3" s="382"/>
      <c r="J3" s="382"/>
      <c r="K3" s="383" t="s">
        <v>356</v>
      </c>
      <c r="L3" s="383" t="s">
        <v>357</v>
      </c>
      <c r="M3" s="384"/>
      <c r="N3" s="380" t="s">
        <v>358</v>
      </c>
      <c r="O3" s="380" t="s">
        <v>359</v>
      </c>
      <c r="P3" s="385" t="s">
        <v>360</v>
      </c>
      <c r="Q3" s="382"/>
      <c r="R3" s="382"/>
      <c r="S3" s="386"/>
      <c r="T3" s="387"/>
      <c r="U3" s="387"/>
      <c r="V3" s="388"/>
      <c r="W3" s="389"/>
      <c r="X3" s="389"/>
      <c r="Y3" s="389"/>
      <c r="Z3" s="389"/>
      <c r="AA3" s="389"/>
      <c r="AB3" s="389"/>
      <c r="AC3" s="389"/>
      <c r="AD3" s="382"/>
      <c r="AE3" s="382"/>
      <c r="AF3" s="382"/>
      <c r="AG3" s="382"/>
      <c r="AH3" s="382"/>
      <c r="AI3" s="382"/>
      <c r="AJ3" s="382"/>
      <c r="AK3" s="382"/>
      <c r="AL3" s="382"/>
      <c r="AM3" s="382"/>
    </row>
    <row r="4">
      <c r="A4" s="379" t="str">
        <f t="array" ref="A4:A364">UNIQUE(VSTACK('Input WO'!E3:E1000,'Input task'!T2:T1000))</f>
        <v>TNI0188</v>
      </c>
      <c r="B4" s="379" t="str">
        <f t="array" ref="B4">if(len(A4)&lt;5,"-", (Xlookup($A4,'Input task'!$W:$W,'Input task'!$X:$X,0)
))</f>
        <v>Team 01</v>
      </c>
      <c r="C4" s="390" t="str">
        <f>IFERROR(__xludf.DUMMYFUNCTION("if(len($A4)&lt;5,""-"",iferror(TEXTJOIN("" |=***=| "",TRUE,filter('Input task'!$E:$E&amp;"" : ""&amp;'Input task'!$K:$K&amp;"" + ""&amp;'Input task'!$H:$H,'Input task'!$J:$J="""",'Input task'!$Q:$Q=$A4)),""No see""))"),"No see")</f>
        <v>No see</v>
      </c>
      <c r="D4" s="379" t="str">
        <f>IFERROR(__xludf.DUMMYFUNCTION("if(len($A4)&lt;5,""-"",iferror(TEXTJOIN("" |=***=| "",TRUE,FILTER(('Input WO'!$A:$A&amp;"" + ""&amp;'Input WO'!$B:$B&amp;"" : ""&amp;'Input WO'!$C:$C&amp;"" + ""&amp;'Input WO'!$F:$F),'Input WO'!$E:$E=$A4)),""No see""))"),"WO_WFM-OTHERS_20260628_123663529 + IP : TNI0188SRT001-TNI0330SRT001 link down at 27/06/2026 09:08:00 : -65.45 +  |=***=| WO_WFM-OTHERS_20260617_123550841 + IP : TNI0188SRT001-TNI0330SRT001 link down at 11/06/2026 17:01:00 : -137.45 +  |=***=| WO_WFM-OTHER"&amp;"S_20260528_123384751 + IP : TNI0188SRT001-TNI0326SRT001 link down at 25/05/2026 10:15:00 : -617.45 +  |=***=| WO_WFM-OTHERS_20260504_123185474 + IP : TNI0188SRT001-TNI0330SRT001 link down at 04/05/2026 08:49:00 : -1241.45 + ")</f>
        <v>WO_WFM-OTHERS_20260628_123663529 + IP : TNI0188SRT001-TNI0330SRT001 link down at 27/06/2026 09:08:00 : -65.45 +  |=***=| WO_WFM-OTHERS_20260617_123550841 + IP : TNI0188SRT001-TNI0330SRT001 link down at 11/06/2026 17:01:00 : -137.45 +  |=***=| WO_WFM-OTHERS_20260528_123384751 + IP : TNI0188SRT001-TNI0326SRT001 link down at 25/05/2026 10:15:00 : -617.45 +  |=***=| WO_WFM-OTHERS_20260504_123185474 + IP : TNI0188SRT001-TNI0330SRT001 link down at 04/05/2026 08:49:00 : -1241.45 + </v>
      </c>
      <c r="E4" s="379"/>
      <c r="F4" s="372"/>
      <c r="G4" s="372"/>
      <c r="H4" s="372"/>
      <c r="I4" s="372"/>
      <c r="J4" s="372"/>
      <c r="K4" s="391"/>
      <c r="L4" s="392"/>
      <c r="M4" s="393"/>
      <c r="N4" s="380" t="s">
        <v>153</v>
      </c>
      <c r="O4" s="379"/>
      <c r="P4" s="385" t="s">
        <v>361</v>
      </c>
      <c r="Q4" s="372"/>
      <c r="R4" s="372"/>
      <c r="S4" s="394"/>
      <c r="T4" s="395"/>
      <c r="U4" s="395"/>
      <c r="V4" s="396"/>
      <c r="W4" s="397"/>
      <c r="X4" s="397"/>
      <c r="Y4" s="397"/>
      <c r="Z4" s="397"/>
      <c r="AA4" s="397"/>
      <c r="AB4" s="397"/>
      <c r="AC4" s="397"/>
      <c r="AD4" s="372"/>
      <c r="AE4" s="372"/>
      <c r="AF4" s="372"/>
      <c r="AG4" s="372"/>
      <c r="AH4" s="372"/>
      <c r="AI4" s="372"/>
      <c r="AJ4" s="372"/>
      <c r="AK4" s="372"/>
      <c r="AL4" s="372"/>
      <c r="AM4" s="372"/>
    </row>
    <row r="5">
      <c r="A5" s="379" t="s">
        <v>362</v>
      </c>
      <c r="B5" s="379" t="str">
        <f t="array" ref="B5">if(len(A5)&lt;5,"-", iferror(Xlookup($A5,'Input WO'!$E:$E,'Input WO'!$F:$F),Xlookup($A5,'Input task'!$T:$T,'Input task'!$S:$S)
))</f>
        <v/>
      </c>
      <c r="C5" s="398" t="str">
        <f>IFERROR(__xludf.DUMMYFUNCTION("if(len($A5)&lt;5,""-"",iferror(TEXTJOIN("" |=***=| "",TRUE,filter('Input task'!$D:$D&amp;"" : ""&amp;'Input task'!$E:$E&amp;"" : ""&amp;'Input task'!$K:$K&amp;"" + ""&amp;'Input task'!$H:$H,'Input task'!$J:$J="""",'Input task'!$T:$T=$A5)),""No see""))"),"Smart CB : TNI0207 :  +  |=***=| PVC PLAN : TNI0207 need to cover pvc pipe :  + ")</f>
        <v>Smart CB : TNI0207 :  +  |=***=| PVC PLAN : TNI0207 need to cover pvc pipe :  + </v>
      </c>
      <c r="D5" s="379" t="str">
        <f>IFERROR(__xludf.DUMMYFUNCTION("if(len($A5)&lt;5,""-"",iferror(TEXTJOIN("" |=***=| "",TRUE,FILTER(('Input WO'!$A:$A&amp;"" + ""&amp;'Input WO'!$B:$B&amp;"" : ""&amp;'Input WO'!$C:$C&amp;"" + ""&amp;'Input WO'!$F:$F),'Input WO'!$E:$E=$A5)),""No see""))"),"WO_WFM-OTHERS_20260626_123647489 + IP : TNI0207SRT001-TNI0356SRT001 and TNI0018SRT001-TNI0170SRT001 link down at 26/06/2026 03:48:26 : -112.95 +  |=***=| WO_WFM-OTHERS_20260610_123491103 + IP : TNI0207SRT001-TNI0356SRT001 link down at 08/06/2026 09:44:00 "&amp;": -329.45 +  |=***=| WO_WFM-OTHERS_20260508_123220591 + IP : TNI0207SRT001-TNI0356SRT001 link down at 06/05/2026 19:14:00 : -1121.45 +  |=***=| WO_WFM-OTHERS_20260421_123060782 + IP : TNI0207SRT001-TNI0356SRT001 link down at 19/04/2026 09:40:00 : -1697.45"&amp;" +  |=***=| WO_QLCTKT_20260529_123389765 + TNI0207 MYT_Routine_Maintenance_Mytel_Station_VCM : 223.05 + myt_bhonehtet.aung |=***=| WO_ICMS_20260623_123610998 + TNI0207 MYT_Routine_Maintenance_Towerco_Station MYT_RTE_MTE_TCO_STN : 882.55 + myt_bonemyat.nai"&amp;"ng1 |=***=| WO_WFM-OTHERS_20260622_123603181 + TNI0207_Cleaning Radiator and change engine oil : -41.95 + myt_bonemyat.naing1")</f>
        <v>WO_WFM-OTHERS_20260626_123647489 + IP : TNI0207SRT001-TNI0356SRT001 and TNI0018SRT001-TNI0170SRT001 link down at 26/06/2026 03:48:26 : -112.95 +  |=***=| WO_WFM-OTHERS_20260610_123491103 + IP : TNI0207SRT001-TNI0356SRT001 link down at 08/06/2026 09:44:00 : -329.45 +  |=***=| WO_WFM-OTHERS_20260508_123220591 + IP : TNI0207SRT001-TNI0356SRT001 link down at 06/05/2026 19:14:00 : -1121.45 +  |=***=| WO_WFM-OTHERS_20260421_123060782 + IP : TNI0207SRT001-TNI0356SRT001 link down at 19/04/2026 09:40:00 : -1697.45 +  |=***=| WO_QLCTKT_20260529_123389765 + TNI0207 MYT_Routine_Maintenance_Mytel_Station_VCM : 223.05 + myt_bhonehtet.aung |=***=| WO_ICMS_20260623_123610998 + TNI0207 MYT_Routine_Maintenance_Towerco_Station MYT_RTE_MTE_TCO_STN : 882.55 + myt_bonemyat.naing1 |=***=| WO_WFM-OTHERS_20260622_123603181 + TNI0207_Cleaning Radiator and change engine oil : -41.95 + myt_bonemyat.naing1</v>
      </c>
      <c r="E5" s="379"/>
      <c r="F5" s="399"/>
      <c r="G5" s="372"/>
      <c r="H5" s="372"/>
      <c r="I5" s="372"/>
      <c r="J5" s="399" t="s">
        <v>363</v>
      </c>
      <c r="K5" s="391" t="str">
        <f>IFERROR(__xludf.DUMMYFUNCTION("filter(UNIQUE(B:B),UNIQUE(B:B)&lt;&gt;"""",UNIQUE(B:B)&lt;&gt;""-"")"),"Team 01")</f>
        <v>Team 01</v>
      </c>
      <c r="L5" s="392">
        <f t="shared" ref="L5:L25" si="1">if(and(K5="",M5&lt;&gt;""),(LEN(M5) - LEN(SUBSTITUTE(M5,"+",""))+1),countifs($B:$B,K5))</f>
        <v>1</v>
      </c>
      <c r="M5" s="393" t="str">
        <f>IFERROR(__xludf.DUMMYFUNCTION("if(and(K5="""",K4=""""),"""", ""'""&amp;textjoin(""+ "",TRUE,Filter(A:A,B:B=K5)))"),"'TNI0188")</f>
        <v>'TNI0188</v>
      </c>
      <c r="N5" s="380" t="s">
        <v>14</v>
      </c>
      <c r="O5" s="380" t="s">
        <v>364</v>
      </c>
      <c r="P5" s="400" t="str">
        <f>IFERROR(__xludf.DUMMYFUNCTION("TEXTJOIN(
  ""=*="", TRUE,
  FILTER(
    C2:C1000 &amp; "" ++ "" &amp; D2:D1000,
    ISNUMBER(
      MATCH(
        A2:A1000,
        UNIQUE(
          FILTER(
            SPLIT(REGEXREPLACE(O5, ""(?i)(\bTNI\d{4}\b)"", ""|$1|""), ""|""),
            REGEXMATCH(
 "&amp;"             SPLIT(REGEXREPLACE(O5, ""(?i)(\bTNI\d{4}\b)"", ""|$1|""), ""|""),
              ""(?i)^TNI\d{4}$""
            )
          )
        ),
        0
      )
    )
  )
)"),"Fixing Fuel Level Monitoring : TNI0251 Need to fix fuel level cannot monitoring at NMS. :  +  |=***=| PVC PLAN : TNI0251 need to cover pvc pipe :  +  ++ WO_WFM-FT_20260605_123450082 + FTTH : TNI0251OLT001 Slot 3 port 12,13,15,16 down at 6/5/2026 11:07 : -"&amp;"646.45 +  |=***=| WO_WFM-FT_20260514_123272600 + FTTH : TNI0251OLT001 SLOT=3,PORT=15 down at 5/14/2026 16:19 : -1169.45 +  |=***=| WO_WFM-OTHERS_20260622_123603211 + TNI0251_Cleaning Radiator and change engine oil : -41.95 + myt_bhonehtet.aung |=***=| WO_"&amp;"QLCTKT_20260529_123389851 + TNI0251 MYT_Routine_Maintenance_Mytel_Station_VCM : 223.05 + myt_bhonehtet.aung=*=Fixing Fuel Level Monitoring : TNI0264 Need to fix fuel level cannot monitoring at NMS. :  +  |=***=| PVC PLAN : TNI0264 need to cover pvc pipe :"&amp;"  +  ++ WO_QLCTKT_20260618_123562598 + TNI0264 - Repair infrastructure - bla: Cleaning the station, remove grass, vines, tree, rubbish, recall unused equipment, material: Clean the all equipments, room, slabs, install the patchcod neatly, tidy : -167.83 +"&amp;" myt_aunglwin.phyo |=***=| WO_QLCTKT_20260408_122931892 + TNI0264_01 MYT_Routine_Maintenance_Towerco_Station_VCM : -1000.95 + myt_myothant.htoo |=***=| WO_ICMS_20260623_123615074 + TNI0264 MYT_Routine_Maintenance_Mytel_Station MYT_RTE_MTE_SB_STN : 886.64 "&amp;"+ myt_phyoko.ko44")</f>
        <v>Fixing Fuel Level Monitoring : TNI0251 Need to fix fuel level cannot monitoring at NMS. :  +  |=***=| PVC PLAN : TNI0251 need to cover pvc pipe :  +  ++ WO_WFM-FT_20260605_123450082 + FTTH : TNI0251OLT001 Slot 3 port 12,13,15,16 down at 6/5/2026 11:07 : -646.45 +  |=***=| WO_WFM-FT_20260514_123272600 + FTTH : TNI0251OLT001 SLOT=3,PORT=15 down at 5/14/2026 16:19 : -1169.45 +  |=***=| WO_WFM-OTHERS_20260622_123603211 + TNI0251_Cleaning Radiator and change engine oil : -41.95 + myt_bhonehtet.aung |=***=| WO_QLCTKT_20260529_123389851 + TNI0251 MYT_Routine_Maintenance_Mytel_Station_VCM : 223.05 + myt_bhonehtet.aung=*=Fixing Fuel Level Monitoring : TNI0264 Need to fix fuel level cannot monitoring at NMS. :  +  |=***=| PVC PLAN : TNI0264 need to cover pvc pipe :  +  ++ WO_QLCTKT_20260618_123562598 + TNI0264 - Repair infrastructure - bla: Cleaning the station, remove grass, vines, tree, rubbish, recall unused equipment, material: Clean the all equipments, room, slabs, install the patchcod neatly, tidy : -167.83 + myt_aunglwin.phyo |=***=| WO_QLCTKT_20260408_122931892 + TNI0264_01 MYT_Routine_Maintenance_Towerco_Station_VCM : -1000.95 + myt_myothant.htoo |=***=| WO_ICMS_20260623_123615074 + TNI0264 MYT_Routine_Maintenance_Mytel_Station MYT_RTE_MTE_SB_STN : 886.64 + myt_phyoko.ko44</v>
      </c>
      <c r="Q5" s="372"/>
      <c r="R5" s="372"/>
      <c r="S5" s="401" t="str">
        <f>IFERROR(__xludf.DUMMYFUNCTION("query(IMPORTRANGE(""https://docs.google.com/spreadsheets/d/1s35Ezw1AQGs9xfal3srykScLciAUpU-tswd6PsmZLx4/edit?gid=21154929#gid=21154929"",""Sheet1!A44:K""),""select* where Col4='Team 01'"")"),"#REF!")</f>
        <v>#REF!</v>
      </c>
      <c r="T5" s="401"/>
      <c r="U5" s="401"/>
      <c r="V5" s="401"/>
      <c r="W5" s="402"/>
      <c r="X5" s="402"/>
      <c r="Y5" s="402"/>
      <c r="Z5" s="402"/>
      <c r="AA5" s="402"/>
      <c r="AB5" s="401"/>
      <c r="AC5" s="401"/>
      <c r="AD5" s="372"/>
      <c r="AE5" s="372"/>
      <c r="AF5" s="372"/>
      <c r="AG5" s="372"/>
      <c r="AH5" s="372"/>
      <c r="AI5" s="372"/>
      <c r="AJ5" s="372"/>
      <c r="AK5" s="372"/>
      <c r="AL5" s="372"/>
      <c r="AM5" s="399" t="s">
        <v>365</v>
      </c>
    </row>
    <row r="6">
      <c r="A6" s="379" t="s">
        <v>366</v>
      </c>
      <c r="B6" s="379" t="str">
        <f t="array" ref="B6">if(len(A6)&lt;5,"-", iferror(Xlookup($A6,'Input WO'!$E:$E,'Input WO'!$F:$F),Xlookup($A6,'Input task'!$T:$T,'Input task'!$S:$S)
))</f>
        <v/>
      </c>
      <c r="C6" s="398" t="str">
        <f>IFERROR(__xludf.DUMMYFUNCTION("if(len($A6)&lt;5,""-"",iferror(TEXTJOIN("" |=***=| "",TRUE,filter('Input task'!$D:$D&amp;"" : ""&amp;'Input task'!$E:$E&amp;"" : ""&amp;'Input task'!$K:$K&amp;"" + ""&amp;'Input task'!$H:$H,'Input task'!$J:$J="""",'Input task'!$T:$T=$A6)),""No see""))"),"PVC PLAN : TNI0064 need to cover pvc pipe :  + ")</f>
        <v>PVC PLAN : TNI0064 need to cover pvc pipe :  + </v>
      </c>
      <c r="D6" s="379" t="str">
        <f>IFERROR(__xludf.DUMMYFUNCTION("if(len($A6)&lt;5,""-"",iferror(TEXTJOIN("" |=***=| "",TRUE,FILTER(('Input WO'!$A:$A&amp;"" + ""&amp;'Input WO'!$B:$B&amp;"" : ""&amp;'Input WO'!$C:$C&amp;"" + ""&amp;'Input WO'!$F:$F),'Input WO'!$E:$E=$A6)),""No see""))"),"WO_WFM-OTHERS_20260623_123616300 + Cable Patrol for (AC)-TNI0064-TNIM081 : 439.03 + ")</f>
        <v>WO_WFM-OTHERS_20260623_123616300 + Cable Patrol for (AC)-TNI0064-TNIM081 : 439.03 + </v>
      </c>
      <c r="E6" s="379"/>
      <c r="F6" s="372"/>
      <c r="G6" s="372"/>
      <c r="H6" s="372"/>
      <c r="I6" s="372"/>
      <c r="J6" s="399" t="s">
        <v>363</v>
      </c>
      <c r="K6" s="391" t="str">
        <f>IFERROR(__xludf.DUMMYFUNCTION("""COMPUTED_VALUE"""),"myt_aunglwin.phyo")</f>
        <v>myt_aunglwin.phyo</v>
      </c>
      <c r="L6" s="392">
        <f t="shared" si="1"/>
        <v>11</v>
      </c>
      <c r="M6" s="393" t="str">
        <f>IFERROR(__xludf.DUMMYFUNCTION("if(and(K6="""",K5=""""),"""", ""'""&amp;textjoin(""+ "",TRUE,Filter(A:A,B:B=K6)))"),"'TNI0201: 8KVA+ TNI0053+ TNI0049+ TNI0426+ TNI0257+ TNI0264+ TNI0272+ TNI0381: 8KVA+ TNI0073+ TNI0078+ TNI0035")</f>
        <v>'TNI0201: 8KVA+ TNI0053+ TNI0049+ TNI0426+ TNI0257+ TNI0264+ TNI0272+ TNI0381: 8KVA+ TNI0073+ TNI0078+ TNI0035</v>
      </c>
      <c r="N6" s="380" t="s">
        <v>14</v>
      </c>
      <c r="O6" s="380" t="s">
        <v>364</v>
      </c>
      <c r="P6" s="400" t="str">
        <f>IFERROR(__xludf.DUMMYFUNCTION("TEXTJOIN(
  ""=*="", TRUE,
  FILTER(
    C3:C1000 &amp; "" ++ "" &amp; D3:D1000,
    ISNUMBER(
      MATCH(
        A3:A1000,
        UNIQUE(
          FILTER(
            SPLIT(REGEXREPLACE(O6, ""(?i)(\bTNI\d{4}\b)"", ""|$1|""), ""|""),
            REGEXMATCH(
 "&amp;"             SPLIT(REGEXREPLACE(O6, ""(?i)(\bTNI\d{4}\b)"", ""|$1|""), ""|""),
              ""(?i)^TNI\d{4}$""
            )
          )
        ),
        0
      )
    )
  )
)"),"Fixing Fuel Level Monitoring : TNI0251 Need to fix fuel level cannot monitoring at NMS. :  +  |=***=| PVC PLAN : TNI0251 need to cover pvc pipe :  +  ++ WO_WFM-FT_20260605_123450082 + FTTH : TNI0251OLT001 Slot 3 port 12,13,15,16 down at 6/5/2026 11:07 : -"&amp;"646.45 +  |=***=| WO_WFM-FT_20260514_123272600 + FTTH : TNI0251OLT001 SLOT=3,PORT=15 down at 5/14/2026 16:19 : -1169.45 +  |=***=| WO_WFM-OTHERS_20260622_123603211 + TNI0251_Cleaning Radiator and change engine oil : -41.95 + myt_bhonehtet.aung |=***=| WO_"&amp;"QLCTKT_20260529_123389851 + TNI0251 MYT_Routine_Maintenance_Mytel_Station_VCM : 223.05 + myt_bhonehtet.aung=*=Fixing Fuel Level Monitoring : TNI0264 Need to fix fuel level cannot monitoring at NMS. :  +  |=***=| PVC PLAN : TNI0264 need to cover pvc pipe :"&amp;"  +  ++ WO_QLCTKT_20260618_123562598 + TNI0264 - Repair infrastructure - bla: Cleaning the station, remove grass, vines, tree, rubbish, recall unused equipment, material: Clean the all equipments, room, slabs, install the patchcod neatly, tidy : -167.83 +"&amp;" myt_aunglwin.phyo |=***=| WO_QLCTKT_20260408_122931892 + TNI0264_01 MYT_Routine_Maintenance_Towerco_Station_VCM : -1000.95 + myt_myothant.htoo |=***=| WO_ICMS_20260623_123615074 + TNI0264 MYT_Routine_Maintenance_Mytel_Station MYT_RTE_MTE_SB_STN : 886.64 "&amp;"+ myt_phyoko.ko44")</f>
        <v>Fixing Fuel Level Monitoring : TNI0251 Need to fix fuel level cannot monitoring at NMS. :  +  |=***=| PVC PLAN : TNI0251 need to cover pvc pipe :  +  ++ WO_WFM-FT_20260605_123450082 + FTTH : TNI0251OLT001 Slot 3 port 12,13,15,16 down at 6/5/2026 11:07 : -646.45 +  |=***=| WO_WFM-FT_20260514_123272600 + FTTH : TNI0251OLT001 SLOT=3,PORT=15 down at 5/14/2026 16:19 : -1169.45 +  |=***=| WO_WFM-OTHERS_20260622_123603211 + TNI0251_Cleaning Radiator and change engine oil : -41.95 + myt_bhonehtet.aung |=***=| WO_QLCTKT_20260529_123389851 + TNI0251 MYT_Routine_Maintenance_Mytel_Station_VCM : 223.05 + myt_bhonehtet.aung=*=Fixing Fuel Level Monitoring : TNI0264 Need to fix fuel level cannot monitoring at NMS. :  +  |=***=| PVC PLAN : TNI0264 need to cover pvc pipe :  +  ++ WO_QLCTKT_20260618_123562598 + TNI0264 - Repair infrastructure - bla: Cleaning the station, remove grass, vines, tree, rubbish, recall unused equipment, material: Clean the all equipments, room, slabs, install the patchcod neatly, tidy : -167.83 + myt_aunglwin.phyo |=***=| WO_QLCTKT_20260408_122931892 + TNI0264_01 MYT_Routine_Maintenance_Towerco_Station_VCM : -1000.95 + myt_myothant.htoo |=***=| WO_ICMS_20260623_123615074 + TNI0264 MYT_Routine_Maintenance_Mytel_Station MYT_RTE_MTE_SB_STN : 886.64 + myt_phyoko.ko44</v>
      </c>
      <c r="Q6" s="372"/>
      <c r="R6" s="372"/>
      <c r="S6" s="401"/>
      <c r="T6" s="401"/>
      <c r="U6" s="401"/>
      <c r="V6" s="401"/>
      <c r="W6" s="401"/>
      <c r="X6" s="402"/>
      <c r="Y6" s="402"/>
      <c r="Z6" s="402"/>
      <c r="AA6" s="402"/>
      <c r="AB6" s="402"/>
      <c r="AC6" s="401"/>
      <c r="AD6" s="372"/>
      <c r="AE6" s="372"/>
      <c r="AF6" s="372"/>
      <c r="AG6" s="372"/>
      <c r="AH6" s="372"/>
      <c r="AI6" s="372"/>
      <c r="AJ6" s="372"/>
      <c r="AK6" s="372"/>
      <c r="AL6" s="372"/>
      <c r="AM6" s="372"/>
    </row>
    <row r="7">
      <c r="A7" s="379" t="s">
        <v>367</v>
      </c>
      <c r="B7" s="379" t="str">
        <f t="array" ref="B7">if(len(A7)&lt;5,"-", iferror(Xlookup($A7,'Input WO'!$E:$E,'Input WO'!$F:$F),Xlookup($A7,'Input task'!$T:$T,'Input task'!$S:$S)
))</f>
        <v/>
      </c>
      <c r="C7" s="398" t="str">
        <f>IFERROR(__xludf.DUMMYFUNCTION("if(len($A7)&lt;5,""-"",iferror(TEXTJOIN("" |=***=| "",TRUE,filter('Input task'!$D:$D&amp;"" : ""&amp;'Input task'!$E:$E&amp;"" : ""&amp;'Input task'!$K:$K&amp;"" + ""&amp;'Input task'!$H:$H,'Input task'!$J:$J="""",'Input task'!$T:$T=$A7)),""No see""))"),"No see")</f>
        <v>No see</v>
      </c>
      <c r="D7" s="379" t="str">
        <f>IFERROR(__xludf.DUMMYFUNCTION("if(len($A7)&lt;5,""-"",iferror(TEXTJOIN("" |=***=| "",TRUE,FILTER(('Input WO'!$A:$A&amp;"" + ""&amp;'Input WO'!$B:$B&amp;"" : ""&amp;'Input WO'!$C:$C&amp;"" + ""&amp;'Input WO'!$F:$F),'Input WO'!$E:$E=$A7)),""No see""))"),"WO_WFM-OTHERS_20260623_123616301 + Cable Patrol for (AC)-TNI0017-JB(TNI0017-TNI0229) : 439.03 +  |=***=| WO_ICMS_20260625_123632714 + Patrolling cable routes TNI0017-TNI0229_00, TNI0017 + null – TNI0229 + null : 545.66 + myt_tinmaung.win |=***=| WO_ICMS_2"&amp;"0260625_123632713 + Patrolling cable routes TNI0017-TNI0259_00, TNI0017 + null – TNI0259 + null : 545.66 + myt_tinmaung.win")</f>
        <v>WO_WFM-OTHERS_20260623_123616301 + Cable Patrol for (AC)-TNI0017-JB(TNI0017-TNI0229) : 439.03 +  |=***=| WO_ICMS_20260625_123632714 + Patrolling cable routes TNI0017-TNI0229_00, TNI0017 + null – TNI0229 + null : 545.66 + myt_tinmaung.win |=***=| WO_ICMS_20260625_123632713 + Patrolling cable routes TNI0017-TNI0259_00, TNI0017 + null – TNI0259 + null : 545.66 + myt_tinmaung.win</v>
      </c>
      <c r="E7" s="379"/>
      <c r="F7" s="372"/>
      <c r="G7" s="372"/>
      <c r="H7" s="372"/>
      <c r="I7" s="372"/>
      <c r="J7" s="399" t="s">
        <v>363</v>
      </c>
      <c r="K7" s="391" t="str">
        <f>IFERROR(__xludf.DUMMYFUNCTION("""COMPUTED_VALUE"""),"myt_aungthin.mya")</f>
        <v>myt_aungthin.mya</v>
      </c>
      <c r="L7" s="392">
        <f t="shared" si="1"/>
        <v>6</v>
      </c>
      <c r="M7" s="393" t="str">
        <f>IFERROR(__xludf.DUMMYFUNCTION("if(and(K7="""",K6=""""),"""", ""'""&amp;textjoin(""+ "",TRUE,Filter(A:A,B:B=K7)))"),"'TNI0154+ TNI0392+ TNI0006: 30KVA+ TNI0153+ TNI0319: 12KVA+ TNI0306: 12DKVA")</f>
        <v>'TNI0154+ TNI0392+ TNI0006: 30KVA+ TNI0153+ TNI0319: 12KVA+ TNI0306: 12DKVA</v>
      </c>
      <c r="N7" s="380" t="s">
        <v>19</v>
      </c>
      <c r="O7" s="380" t="s">
        <v>368</v>
      </c>
      <c r="P7" s="400" t="str">
        <f>IFERROR(__xludf.DUMMYFUNCTION("TEXTJOIN(
  ""=*="", TRUE,
  FILTER(
    C4:C1000 &amp; "" ++ "" &amp; D4:D1000,
    ISNUMBER(
      MATCH(
        A4:A1000,
        UNIQUE(
          FILTER(
            SPLIT(REGEXREPLACE(O7, ""(?i)(\bTNI\d{4}\b)"", ""|$1|""), ""|""),
            REGEXMATCH(
 "&amp;"             SPLIT(REGEXREPLACE(O7, ""(?i)(\bTNI\d{4}\b)"", ""|$1|""), ""|""),
              ""(?i)^TNI\d{4}$""
            )
          )
        ),
        0
      )
    )
  )
)"),"Return to send Branch Office : TNI0272 Recall PU : 1 Pcs Serial: 219561075435 :  +  |=***=| Fixing Fuel Level Monitoring : TNI0272 Need to fix fuel level cannot monitoring at NMS. :  +  |=***=| PVC PLAN : TNI0272 need to cover pvc pipe :  +  ++ WO_QLCTKT_"&amp;"20260615_123526936 + TNI0272 MYT_Generator Fuel Monitoring Abnormal Checking : -280.95 + myt_aunglwin.phyo |=***=| WO_ICMS_20260623_123615070 + TNI0272 MYT_Routine_Maintenance_Mytel_Station MYT_RTE_MTE_SB_STN : 886.64 + myt_bonemyat.naing1 |=***=| WO_QLCT"&amp;"KT_20260604_123438289 + TNI0272 MYT_Troubleshooting Solar Power System : -520.95 + myt_tharhtoo.aung11=*=Request Export material : TNI0331-JB(MON0002-TNI0006)&gt;&gt;Closure 2 pcs :  +  |=***=| Request Export material : TNI0331-JB(MON0002-TNI0006)&gt;&gt;F8cable-150m"&amp;"eter,closure 2pcs, tension 2pcs :  +  ++ WO_WFM-OTHERS_20260623_123616219 + Cable Patrol for (AC)-TNI0331-JB(MON0002-TNI0006) : 439.03 + myt_bonemyat.naing1")</f>
        <v>Return to send Branch Office : TNI0272 Recall PU : 1 Pcs Serial: 219561075435 :  +  |=***=| Fixing Fuel Level Monitoring : TNI0272 Need to fix fuel level cannot monitoring at NMS. :  +  |=***=| PVC PLAN : TNI0272 need to cover pvc pipe :  +  ++ WO_QLCTKT_20260615_123526936 + TNI0272 MYT_Generator Fuel Monitoring Abnormal Checking : -280.95 + myt_aunglwin.phyo |=***=| WO_ICMS_20260623_123615070 + TNI0272 MYT_Routine_Maintenance_Mytel_Station MYT_RTE_MTE_SB_STN : 886.64 + myt_bonemyat.naing1 |=***=| WO_QLCTKT_20260604_123438289 + TNI0272 MYT_Troubleshooting Solar Power System : -520.95 + myt_tharhtoo.aung11=*=Request Export material : TNI0331-JB(MON0002-TNI0006)&gt;&gt;Closure 2 pcs :  +  |=***=| Request Export material : TNI0331-JB(MON0002-TNI0006)&gt;&gt;F8cable-150meter,closure 2pcs, tension 2pcs :  +  ++ WO_WFM-OTHERS_20260623_123616219 + Cable Patrol for (AC)-TNI0331-JB(MON0002-TNI0006) : 439.03 + myt_bonemyat.naing1</v>
      </c>
      <c r="Q7" s="372"/>
      <c r="R7" s="372"/>
      <c r="S7" s="401"/>
      <c r="T7" s="401"/>
      <c r="U7" s="401"/>
      <c r="V7" s="401"/>
      <c r="W7" s="402"/>
      <c r="X7" s="402"/>
      <c r="Y7" s="402"/>
      <c r="Z7" s="402"/>
      <c r="AA7" s="401"/>
      <c r="AB7" s="401"/>
      <c r="AC7" s="401"/>
      <c r="AD7" s="372"/>
      <c r="AE7" s="372"/>
      <c r="AF7" s="372"/>
      <c r="AG7" s="372"/>
      <c r="AH7" s="372"/>
      <c r="AI7" s="372"/>
      <c r="AJ7" s="372"/>
      <c r="AK7" s="372"/>
      <c r="AL7" s="372"/>
      <c r="AM7" s="372"/>
    </row>
    <row r="8" ht="99.75" customHeight="1">
      <c r="A8" s="379" t="s">
        <v>369</v>
      </c>
      <c r="B8" s="379" t="str">
        <f t="array" ref="B8">if(len(A8)&lt;5,"-", iferror(Xlookup($A8,'Input WO'!$E:$E,'Input WO'!$F:$F),Xlookup($A8,'Input task'!$T:$T,'Input task'!$S:$S)
))</f>
        <v/>
      </c>
      <c r="C8" s="398" t="str">
        <f>IFERROR(__xludf.DUMMYFUNCTION("if(len($A8)&lt;5,""-"",iferror(TEXTJOIN("" |=***=| "",TRUE,filter('Input task'!$D:$D&amp;"" : ""&amp;'Input task'!$E:$E&amp;"" : ""&amp;'Input task'!$K:$K&amp;"" + ""&amp;'Input task'!$H:$H,'Input task'!$J:$J="""",'Input task'!$T:$T=$A8)),""No see""))"),"No see")</f>
        <v>No see</v>
      </c>
      <c r="D8" s="379" t="str">
        <f>IFERROR(__xludf.DUMMYFUNCTION("if(len($A8)&lt;5,""-"",iferror(TEXTJOIN("" |=***=| "",TRUE,FILTER(('Input WO'!$A:$A&amp;"" + ""&amp;'Input WO'!$B:$B&amp;"" : ""&amp;'Input WO'!$C:$C&amp;"" + ""&amp;'Input WO'!$F:$F),'Input WO'!$E:$E=$A8)),""No see""))"),"WO_WFM-OTHERS_20260623_123616299 + Cable Patrol for (AC)-TNI0123-JB(TNI0015-TNI0012) : 439.03 +  |=***=| WO_WFM-OTHERS_20260623_123612934 + Cable routes measure-AC-TNI0123-TNI0227 : 439.03 +  |=***=| WO_WFM-OTHERS_20260623_123613152 + Cable routes measure"&amp;"-AC-TNI0123-TNI0227 : 439.03 + myt_khantchaw.nyo")</f>
        <v>WO_WFM-OTHERS_20260623_123616299 + Cable Patrol for (AC)-TNI0123-JB(TNI0015-TNI0012) : 439.03 +  |=***=| WO_WFM-OTHERS_20260623_123612934 + Cable routes measure-AC-TNI0123-TNI0227 : 439.03 +  |=***=| WO_WFM-OTHERS_20260623_123613152 + Cable routes measure-AC-TNI0123-TNI0227 : 439.03 + myt_khantchaw.nyo</v>
      </c>
      <c r="E8" s="379"/>
      <c r="F8" s="372"/>
      <c r="G8" s="372"/>
      <c r="H8" s="372"/>
      <c r="I8" s="372"/>
      <c r="J8" s="399" t="s">
        <v>363</v>
      </c>
      <c r="K8" s="391" t="str">
        <f>IFERROR(__xludf.DUMMYFUNCTION("""COMPUTED_VALUE"""),"myt_bhonehtet.aung")</f>
        <v>myt_bhonehtet.aung</v>
      </c>
      <c r="L8" s="392">
        <f t="shared" si="1"/>
        <v>13</v>
      </c>
      <c r="M8" s="393" t="str">
        <f>IFERROR(__xludf.DUMMYFUNCTION("if(and(K8="""",K7=""""),"""", ""'""&amp;textjoin(""+ "",TRUE,Filter(A:A,B:B=K8)))"),"'TNI0115+ TNI0147+ TNI0148+ TNI0319+ TNI0061+ TNI0170+ TNI0071+ TNI0058+ TNI0050+ TNI0018+ TNI0271+ TNI0070+ TNI0068")</f>
        <v>'TNI0115+ TNI0147+ TNI0148+ TNI0319+ TNI0061+ TNI0170+ TNI0071+ TNI0058+ TNI0050+ TNI0018+ TNI0271+ TNI0070+ TNI0068</v>
      </c>
      <c r="N8" s="380" t="s">
        <v>19</v>
      </c>
      <c r="O8" s="380" t="s">
        <v>370</v>
      </c>
      <c r="P8" s="400" t="str">
        <f>IFERROR(__xludf.DUMMYFUNCTION("TEXTJOIN(
  ""=*="", TRUE,
  FILTER(
    C5:C1000 &amp; "" ++ "" &amp; D5:D1000,
    ISNUMBER(
      MATCH(
        A5:A1000,
        UNIQUE(
          FILTER(
            SPLIT(REGEXREPLACE(O8, ""(?i)(\bTNI\d{4}\b)"", ""|$1|""), ""|""),
            REGEXMATCH(
 "&amp;"             SPLIT(REGEXREPLACE(O8, ""(?i)(\bTNI\d{4}\b)"", ""|$1|""), ""|""),
              ""(?i)^TNI\d{4}$""
            )
          )
        ),
        0
      )
    )
  )
)"),"Return to send Branch Office : TNI0129 Recall PU : 1 Pcs Serial: 219559879245 :  +  |=***=| Smart CB : TNI0129 :  +  |=***=| 100 point plan : TNI0129 100 point plan need to clean site overview inside and outeside and make to neatly patchord cable. :  +  |"&amp;"=***=| Export Materials : TNI0129-TNIM043 &gt;&gt;&gt;F8 cable 100metet,2closure :  +  ++ WO_WFM-OTHERS_20260426_123112990 + IP : TNI0129SRT001-TNI0284SRT001 link down at 26/04/2026 08:00:39 : -1457.45 +  |=***=| WO_WFM-OTHERS_20260623_123616217 + Cable Patrol for"&amp;" (AC)-TNI0129-TNIM043 : 439.03 + myt_bonemyat.naing1 |=***=| WO_ICMS_20260623_123611282 + TNI0129 MYT_Routine_Maintenance_Towerco_Station MYT_RTE_MTE_TCO_STN : 882.55 + myt_tharhtoo.aung11 |=***=| WO_QLCTKT_20260604_123438229 + TNI0129 MYT_Troubleshooting"&amp;" Solar Power System : -520.95 + myt_tharhtoo.aung11")</f>
        <v>Return to send Branch Office : TNI0129 Recall PU : 1 Pcs Serial: 219559879245 :  +  |=***=| Smart CB : TNI0129 :  +  |=***=| 100 point plan : TNI0129 100 point plan need to clean site overview inside and outeside and make to neatly patchord cable. :  +  |=***=| Export Materials : TNI0129-TNIM043 &gt;&gt;&gt;F8 cable 100metet,2closure :  +  ++ WO_WFM-OTHERS_20260426_123112990 + IP : TNI0129SRT001-TNI0284SRT001 link down at 26/04/2026 08:00:39 : -1457.45 +  |=***=| WO_WFM-OTHERS_20260623_123616217 + Cable Patrol for (AC)-TNI0129-TNIM043 : 439.03 + myt_bonemyat.naing1 |=***=| WO_ICMS_20260623_123611282 + TNI0129 MYT_Routine_Maintenance_Towerco_Station MYT_RTE_MTE_TCO_STN : 882.55 + myt_tharhtoo.aung11 |=***=| WO_QLCTKT_20260604_123438229 + TNI0129 MYT_Troubleshooting Solar Power System : -520.95 + myt_tharhtoo.aung11</v>
      </c>
      <c r="Q8" s="372"/>
      <c r="R8" s="372"/>
      <c r="S8" s="403"/>
      <c r="T8" s="402"/>
      <c r="U8" s="402"/>
      <c r="V8" s="402"/>
      <c r="W8" s="402"/>
      <c r="X8" s="402"/>
      <c r="Y8" s="402"/>
      <c r="Z8" s="402"/>
      <c r="AA8" s="402"/>
      <c r="AB8" s="402"/>
      <c r="AC8" s="402"/>
      <c r="AD8" s="372"/>
      <c r="AE8" s="372"/>
      <c r="AF8" s="372"/>
      <c r="AG8" s="372"/>
      <c r="AH8" s="372"/>
      <c r="AI8" s="372"/>
      <c r="AJ8" s="372"/>
      <c r="AK8" s="372"/>
      <c r="AL8" s="372"/>
      <c r="AM8" s="372"/>
    </row>
    <row r="9">
      <c r="A9" s="379" t="s">
        <v>371</v>
      </c>
      <c r="B9" s="379" t="str">
        <f t="array" ref="B9">if(len(A9)&lt;5,"-", iferror(Xlookup($A9,'Input WO'!$E:$E,'Input WO'!$F:$F),Xlookup($A9,'Input task'!$T:$T,'Input task'!$S:$S)
))</f>
        <v/>
      </c>
      <c r="C9" s="398" t="str">
        <f>IFERROR(__xludf.DUMMYFUNCTION("if(len($A9)&lt;5,""-"",iferror(TEXTJOIN("" |=***=| "",TRUE,filter('Input task'!$D:$D&amp;"" : ""&amp;'Input task'!$E:$E&amp;"" : ""&amp;'Input task'!$K:$K&amp;"" + ""&amp;'Input task'!$H:$H,'Input task'!$J:$J="""",'Input task'!$T:$T=$A9)),""No see""))"),"No see")</f>
        <v>No see</v>
      </c>
      <c r="D9" s="379" t="str">
        <f>IFERROR(__xludf.DUMMYFUNCTION("if(len($A9)&lt;5,""-"",iferror(TEXTJOIN("" |=***=| "",TRUE,FILTER(('Input WO'!$A:$A&amp;"" + ""&amp;'Input WO'!$B:$B&amp;"" : ""&amp;'Input WO'!$C:$C&amp;"" + ""&amp;'Input WO'!$F:$F),'Input WO'!$E:$E=$A9)),""No see""))"),"WO_WFM-OTHERS_20260623_123616298 + Cable Patrol for (AC)-TNI0063-TNIM030 : 439.03 +  |=***=| WO_ICMS_20260623_123611288 + TNI0063 MYT_Routine_Maintenance_Towerco_Station MYT_RTE_MTE_TCO_STN : 882.55 + myt_khantchaw.nyo")</f>
        <v>WO_WFM-OTHERS_20260623_123616298 + Cable Patrol for (AC)-TNI0063-TNIM030 : 439.03 +  |=***=| WO_ICMS_20260623_123611288 + TNI0063 MYT_Routine_Maintenance_Towerco_Station MYT_RTE_MTE_TCO_STN : 882.55 + myt_khantchaw.nyo</v>
      </c>
      <c r="E9" s="379"/>
      <c r="F9" s="372"/>
      <c r="G9" s="372"/>
      <c r="H9" s="372"/>
      <c r="I9" s="372"/>
      <c r="J9" s="399" t="s">
        <v>363</v>
      </c>
      <c r="K9" s="391" t="str">
        <f>IFERROR(__xludf.DUMMYFUNCTION("""COMPUTED_VALUE"""),"myt_bonemyat.naing1")</f>
        <v>myt_bonemyat.naing1</v>
      </c>
      <c r="L9" s="392">
        <f t="shared" si="1"/>
        <v>22</v>
      </c>
      <c r="M9" s="393" t="str">
        <f>IFERROR(__xludf.DUMMYFUNCTION("if(and(K9="""",K8=""""),"""", ""'""&amp;textjoin(""+ "",TRUE,Filter(A:A,B:B=K9)))"),"'TNI0061: 8KVA+ TNI0049: 8KVA+ TNI0150+ TNI0041: 8KVA+ TNI0038: 8KVA+ TNI0208+ TNI0326+ TNI0312+ TNI0273+ TNI0194+ TNI0331+ TNI0424+ TNI0322+ TNI0357+ TNI0185+ TNI0210+ TNI0211+ TNI0066+ TNI0069+ TNI0052: 8KVA+ TNI0013: 30KVA+ TNI0038")</f>
        <v>'TNI0061: 8KVA+ TNI0049: 8KVA+ TNI0150+ TNI0041: 8KVA+ TNI0038: 8KVA+ TNI0208+ TNI0326+ TNI0312+ TNI0273+ TNI0194+ TNI0331+ TNI0424+ TNI0322+ TNI0357+ TNI0185+ TNI0210+ TNI0211+ TNI0066+ TNI0069+ TNI0052: 8KVA+ TNI0013: 30KVA+ TNI0038</v>
      </c>
      <c r="N9" s="380" t="s">
        <v>372</v>
      </c>
      <c r="O9" s="380" t="s">
        <v>373</v>
      </c>
      <c r="P9" s="400" t="str">
        <f>IFERROR(__xludf.DUMMYFUNCTION("TEXTJOIN(
  ""=*="", TRUE,
  FILTER(
    C6:C1000 &amp; "" ++ "" &amp; D6:D1000,
    ISNUMBER(
      MATCH(
        A6:A1000,
        UNIQUE(
          FILTER(
            SPLIT(REGEXREPLACE(O9, ""(?i)(\bTNI\d{4}\b)"", ""|$1|""), ""|""),
            REGEXMATCH(
 "&amp;"             SPLIT(REGEXREPLACE(O9, ""(?i)(\bTNI\d{4}\b)"", ""|$1|""), ""|""),
              ""(?i)^TNI\d{4}$""
            )
          )
        ),
        0
      )
    )
  )
)"),"Fixing Fuel Level Monitoring : TNI0072 Need to fix fuel level cannot monitoring at NMS. :  +  ++ WO_ICMS_20260623_123615126 + TNI0072 MYT_Routine_Maintenance_Mytel_Station MYT_RTE_MTE_SB_STN : 886.64 + myt_phyoko.ko44=*=No see ++ WO_ICMS_20260623_12361507"&amp;"3 + TNI0265 MYT_Routine_Maintenance_Mytel_Station MYT_RTE_MTE_SB_STN : 886.64 + myt_phyoko.ko44")</f>
        <v>Fixing Fuel Level Monitoring : TNI0072 Need to fix fuel level cannot monitoring at NMS. :  +  ++ WO_ICMS_20260623_123615126 + TNI0072 MYT_Routine_Maintenance_Mytel_Station MYT_RTE_MTE_SB_STN : 886.64 + myt_phyoko.ko44=*=No see ++ WO_ICMS_20260623_123615073 + TNI0265 MYT_Routine_Maintenance_Mytel_Station MYT_RTE_MTE_SB_STN : 886.64 + myt_phyoko.ko44</v>
      </c>
      <c r="Q9" s="372"/>
      <c r="R9" s="372"/>
      <c r="S9" s="403"/>
      <c r="T9" s="402"/>
      <c r="U9" s="402"/>
      <c r="V9" s="402"/>
      <c r="W9" s="402"/>
      <c r="X9" s="402"/>
      <c r="Y9" s="402"/>
      <c r="Z9" s="402"/>
      <c r="AA9" s="402"/>
      <c r="AB9" s="402"/>
      <c r="AC9" s="402"/>
      <c r="AD9" s="372"/>
      <c r="AE9" s="372"/>
      <c r="AF9" s="372"/>
      <c r="AG9" s="372"/>
      <c r="AH9" s="372"/>
      <c r="AI9" s="372"/>
      <c r="AJ9" s="372"/>
      <c r="AK9" s="372"/>
      <c r="AL9" s="372"/>
      <c r="AM9" s="372"/>
    </row>
    <row r="10">
      <c r="A10" s="379" t="s">
        <v>374</v>
      </c>
      <c r="B10" s="379" t="str">
        <f t="array" ref="B10">if(len(A10)&lt;5,"-", iferror(Xlookup($A10,'Input WO'!$E:$E,'Input WO'!$F:$F),Xlookup($A10,'Input task'!$T:$T,'Input task'!$S:$S)
))</f>
        <v/>
      </c>
      <c r="C10" s="398" t="str">
        <f>IFERROR(__xludf.DUMMYFUNCTION("if(len($A10)&lt;5,""-"",iferror(TEXTJOIN("" |=***=| "",TRUE,filter('Input task'!$D:$D&amp;"" : ""&amp;'Input task'!$E:$E&amp;"" : ""&amp;'Input task'!$K:$K&amp;"" + ""&amp;'Input task'!$H:$H,'Input task'!$J:$J="""",'Input task'!$T:$T=$A10)),""No see""))"),"Request Export material : TNI0012-TNI0015&gt;&gt; Closure 2, 48f8 Cable 300 M, G7 2 :  + VCM818134-Tin Maung Win |=***=| Fixing Fuel Level Monitoring : TNI0012_2 Need to do fuel level can monitoring :  + VCM818134-Tin Maung Win, VCM859332-Kyaw Nyein Thu |=***=|"&amp;" Check&amp;fixing Main Node Site : TNI0012, Check&amp;fixing Main Node &gt;&gt; Check power status and equipment room (Grounding, Air Con , Fire extinguisher, Light Bulb, ATS, DG Maintenance&gt;&gt; Check engine oil and filter change date) , all cabel into site from undergro"&amp;"un or not, Site Cleaning, Last pole status  :  +  |=***=| PVC PLAN : TNI0012 need to cover pvc pipe :  + ")</f>
        <v>Request Export material : TNI0012-TNI0015&gt;&gt; Closure 2, 48f8 Cable 300 M, G7 2 :  + VCM818134-Tin Maung Win |=***=| Fixing Fuel Level Monitoring : TNI0012_2 Need to do fuel level can monitoring :  + VCM818134-Tin Maung Win, VCM859332-Kyaw Nyein Thu |=***=| Check&amp;fixing Main Node Site : TNI0012, Check&amp;fixing Main Node &gt;&gt; Check power status and equipment room (Grounding, Air Con , Fire extinguisher, Light Bulb, ATS, DG Maintenance&gt;&gt; Check engine oil and filter change date) , all cabel into site from undergroun or not, Site Cleaning, Last pole status  :  +  |=***=| PVC PLAN : TNI0012 need to cover pvc pipe :  + </v>
      </c>
      <c r="D10" s="379" t="str">
        <f>IFERROR(__xludf.DUMMYFUNCTION("if(len($A10)&lt;5,""-"",iferror(TEXTJOIN("" |=***=| "",TRUE,FILTER(('Input WO'!$A:$A&amp;"" + ""&amp;'Input WO'!$B:$B&amp;"" : ""&amp;'Input WO'!$C:$C&amp;"" + ""&amp;'Input WO'!$F:$F),'Input WO'!$E:$E=$A10)),""No see""))"),"WO_WFM-OTHERS_20260623_123616290 + Cable Patrol for (BB)-TNI0012-TNIM018 : 439.03 +  |=***=| WO_WFM-OTHERS_20260623_123616253 + IP : SHN0007AGG001-TNI0012AGG001 , KYN0008AGG001-TNI0012AGG001 ,TNI0012SRT001-TNI0435SRT001-TNI0434SRT001 and TNI0012SRT001-TNI"&amp;"0434SRT001 link down at 23/06/2026 09:25:00 : -186.45 +  |=***=| WO_WFM-OTHERS_20260623_123612932 + Cable routes measure-BB-TNI0012-TNI0011 : 439.03 +  |=***=| WO_ICMS_20260623_123613616 + TNI0012 MYT_Routine_Maintenance_Main_Station MYT_RTE_MTE_MAIN_STN "&amp;": 502.17 + myt_aungthin.mya |=***=| WO_WFM-OTHERS_20260623_123616287 + Cable Patrol for (BB)-TNI0012-THAILAND : 439.03 + myt_khantchaw.nyo |=***=| WO_WFM-OTHERS_20260623_123616288 + Cable Patrol for (BB)-TNI0012-TNI0011 : 439.03 + myt_khantchaw.nyo |=***="&amp;"| WO_WFM-OTHERS_20260623_123613150 + Cable routes measure-BB-TNI0012-TNI0011 : 439.03 + myt_khantchaw.nyo |=***=| WO_WFM-OTHERS_20260623_123616297 + Cable Patrol for (AC)-TNI0012-TNIDOS53 : 439.03 + myt_tinmaung.win |=***=| WO_WFM-OTHERS_20260623_12361629"&amp;"1 + Cable Patrol for (BB)-TNI0012-TNIM019 : 439.03 + myt_tinmaung.win")</f>
        <v>WO_WFM-OTHERS_20260623_123616290 + Cable Patrol for (BB)-TNI0012-TNIM018 : 439.03 +  |=***=| WO_WFM-OTHERS_20260623_123616253 + IP : SHN0007AGG001-TNI0012AGG001 , KYN0008AGG001-TNI0012AGG001 ,TNI0012SRT001-TNI0435SRT001-TNI0434SRT001 and TNI0012SRT001-TNI0434SRT001 link down at 23/06/2026 09:25:00 : -186.45 +  |=***=| WO_WFM-OTHERS_20260623_123612932 + Cable routes measure-BB-TNI0012-TNI0011 : 439.03 +  |=***=| WO_ICMS_20260623_123613616 + TNI0012 MYT_Routine_Maintenance_Main_Station MYT_RTE_MTE_MAIN_STN : 502.17 + myt_aungthin.mya |=***=| WO_WFM-OTHERS_20260623_123616287 + Cable Patrol for (BB)-TNI0012-THAILAND : 439.03 + myt_khantchaw.nyo |=***=| WO_WFM-OTHERS_20260623_123616288 + Cable Patrol for (BB)-TNI0012-TNI0011 : 439.03 + myt_khantchaw.nyo |=***=| WO_WFM-OTHERS_20260623_123613150 + Cable routes measure-BB-TNI0012-TNI0011 : 439.03 + myt_khantchaw.nyo |=***=| WO_WFM-OTHERS_20260623_123616297 + Cable Patrol for (AC)-TNI0012-TNIDOS53 : 439.03 + myt_tinmaung.win |=***=| WO_WFM-OTHERS_20260623_123616291 + Cable Patrol for (BB)-TNI0012-TNIM019 : 439.03 + myt_tinmaung.win</v>
      </c>
      <c r="E10" s="379"/>
      <c r="F10" s="372"/>
      <c r="G10" s="372"/>
      <c r="H10" s="372"/>
      <c r="I10" s="372"/>
      <c r="J10" s="399" t="s">
        <v>363</v>
      </c>
      <c r="K10" s="391" t="str">
        <f>IFERROR(__xludf.DUMMYFUNCTION("""COMPUTED_VALUE"""),"myt_khantchaw.nyo")</f>
        <v>myt_khantchaw.nyo</v>
      </c>
      <c r="L10" s="392">
        <f t="shared" si="1"/>
        <v>1</v>
      </c>
      <c r="M10" s="393" t="str">
        <f>IFERROR(__xludf.DUMMYFUNCTION("if(and(K10="""",K9=""""),"""", ""'""&amp;textjoin(""+ "",TRUE,Filter(A:A,B:B=K10)))"),"'TNI0227: 12KVA")</f>
        <v>'TNI0227: 12KVA</v>
      </c>
      <c r="N10" s="380" t="s">
        <v>372</v>
      </c>
      <c r="O10" s="380" t="s">
        <v>375</v>
      </c>
      <c r="P10" s="400" t="str">
        <f>IFERROR(__xludf.DUMMYFUNCTION("TEXTJOIN(
  ""=*="", TRUE,
  FILTER(
    C7:C1000 &amp; "" ++ "" &amp; D7:D1000,
    ISNUMBER(
      MATCH(
        A7:A1000,
        UNIQUE(
          FILTER(
            SPLIT(REGEXREPLACE(O10, ""(?i)(\bTNI\d{4}\b)"", ""|$1|""), ""|""),
            REGEXMATCH(
"&amp;"              SPLIT(REGEXREPLACE(O10, ""(?i)(\bTNI\d{4}\b)"", ""|$1|""), ""|""),
              ""(?i)^TNI\d{4}$""
            )
          )
        ),
        0
      )
    )
  )
)"),"No see ++ WO_WFM-OTHERS_20260623_123613113 + Cable routes measure-AC-TNI0319-JB(TNI0005-TNI0013) : 439.03 + myt_bhonehtet.aung |=***=| WO_WFM-OTHERS_20260623_123616211 + Cable Patrol for (AC)-TNI0319-JB(TNI0005-TNI0013) : 439.03 + myt_bonemyat.naing1 |=**"&amp;"*=| WO_WFM-OTHERS_20260623_123612898 + Cable routes measure-AC-TNI0319-JB(TNI0005-TNI0013) : 439.03 + myt_bonemyat.naing1=*=Check DG run long time : TNI0211 Need to check DG non stop running :  +  ++ WO_WFM-OTHERS_20260622_123603184 + TNI0211_Cleaning Rad"&amp;"iator and change engine oil : -41.95 + myt_bonemyat.naing1=*=Request Export material : TNI0038-TNI0051&gt;&gt;24F8 Cable 280M,closure 2pcs, Tension 2pcs :  +  |=***=| Request Export material : TNI0038-TNI0051&gt;&gt; cable 500M and JB 2pcs :  +  |=***=| DG Starter Ba"&amp;"ttery : TNI0038 Need to confirm DG starter battery changing finish sites with M&amp;E :  + VCM825430-Aung Thin Myat ++ WO_QLCTKT_20260430_123146548 + TNI0038 MYT_Routine_Maintenance_Mytel_Station_VCM : -472.95 + myt_bonemyat.naing1=*=Fixing Fuel Level Monitor"&amp;"ing : TNI0072 Need to fix fuel level cannot monitoring at NMS. :  +  ++ WO_ICMS_20260623_123615126 + TNI0072 MYT_Routine_Maintenance_Mytel_Station MYT_RTE_MTE_SB_STN : 886.64 + myt_phyoko.ko44=*=No see ++ WO_ICMS_20260623_123615073 + TNI0265 MYT_Routine_M"&amp;"aintenance_Mytel_Station MYT_RTE_MTE_SB_STN : 886.64 + myt_phyoko.ko44=*= ++ ")</f>
        <v>No see ++ WO_WFM-OTHERS_20260623_123613113 + Cable routes measure-AC-TNI0319-JB(TNI0005-TNI0013) : 439.03 + myt_bhonehtet.aung |=***=| WO_WFM-OTHERS_20260623_123616211 + Cable Patrol for (AC)-TNI0319-JB(TNI0005-TNI0013) : 439.03 + myt_bonemyat.naing1 |=***=| WO_WFM-OTHERS_20260623_123612898 + Cable routes measure-AC-TNI0319-JB(TNI0005-TNI0013) : 439.03 + myt_bonemyat.naing1=*=Check DG run long time : TNI0211 Need to check DG non stop running :  +  ++ WO_WFM-OTHERS_20260622_123603184 + TNI0211_Cleaning Radiator and change engine oil : -41.95 + myt_bonemyat.naing1=*=Request Export material : TNI0038-TNI0051&gt;&gt;24F8 Cable 280M,closure 2pcs, Tension 2pcs :  +  |=***=| Request Export material : TNI0038-TNI0051&gt;&gt; cable 500M and JB 2pcs :  +  |=***=| DG Starter Battery : TNI0038 Need to confirm DG starter battery changing finish sites with M&amp;E :  + VCM825430-Aung Thin Myat ++ WO_QLCTKT_20260430_123146548 + TNI0038 MYT_Routine_Maintenance_Mytel_Station_VCM : -472.95 + myt_bonemyat.naing1=*=Fixing Fuel Level Monitoring : TNI0072 Need to fix fuel level cannot monitoring at NMS. :  +  ++ WO_ICMS_20260623_123615126 + TNI0072 MYT_Routine_Maintenance_Mytel_Station MYT_RTE_MTE_SB_STN : 886.64 + myt_phyoko.ko44=*=No see ++ WO_ICMS_20260623_123615073 + TNI0265 MYT_Routine_Maintenance_Mytel_Station MYT_RTE_MTE_SB_STN : 886.64 + myt_phyoko.ko44=*= ++ </v>
      </c>
      <c r="Q10" s="372"/>
      <c r="R10" s="372"/>
      <c r="S10" s="402"/>
      <c r="T10" s="402"/>
      <c r="U10" s="402"/>
      <c r="V10" s="402"/>
      <c r="W10" s="402"/>
      <c r="X10" s="402"/>
      <c r="Y10" s="402"/>
      <c r="Z10" s="402"/>
      <c r="AA10" s="402"/>
      <c r="AB10" s="402"/>
      <c r="AC10" s="402"/>
      <c r="AD10" s="372"/>
      <c r="AE10" s="372"/>
      <c r="AF10" s="372"/>
      <c r="AG10" s="372"/>
      <c r="AH10" s="372"/>
      <c r="AI10" s="372"/>
      <c r="AJ10" s="372"/>
      <c r="AK10" s="372"/>
      <c r="AL10" s="372"/>
      <c r="AM10" s="372"/>
    </row>
    <row r="11">
      <c r="A11" s="379" t="s">
        <v>210</v>
      </c>
      <c r="B11" s="379" t="str">
        <f t="array" ref="B11">if(len(A11)&lt;5,"-", iferror(Xlookup($A11,'Input WO'!$E:$E,'Input WO'!$F:$F),Xlookup($A11,'Input task'!$T:$T,'Input task'!$S:$S)
))</f>
        <v/>
      </c>
      <c r="C11" s="398" t="str">
        <f>IFERROR(__xludf.DUMMYFUNCTION("if(len($A11)&lt;5,""-"",iferror(TEXTJOIN("" |=***=| "",TRUE,filter('Input task'!$D:$D&amp;"" : ""&amp;'Input task'!$E:$E&amp;"" : ""&amp;'Input task'!$K:$K&amp;"" + ""&amp;'Input task'!$H:$H,'Input task'!$J:$J="""",'Input task'!$T:$T=$A11)),""No see""))"),"Check&amp;fixing Main Node Site : TNI0011, Check&amp;fixing Main Node &gt;&gt; Check power status and equipment room (Grounding, Air Con , Fire extinguisher, Light Bulb, ATS, DG Maintenance&gt;&gt; Check engine oil and filter change date) , all cabel into site from undergrou"&amp;"n or not, Site Cleaning, Last pole status  :  +  |=***=| PVC PLAN : TNI0011 need to cover pvc pipe :  + ")</f>
        <v>Check&amp;fixing Main Node Site : TNI0011, Check&amp;fixing Main Node &gt;&gt; Check power status and equipment room (Grounding, Air Con , Fire extinguisher, Light Bulb, ATS, DG Maintenance&gt;&gt; Check engine oil and filter change date) , all cabel into site from undergroun or not, Site Cleaning, Last pole status  :  +  |=***=| PVC PLAN : TNI0011 need to cover pvc pipe :  + </v>
      </c>
      <c r="D11" s="379" t="str">
        <f>IFERROR(__xludf.DUMMYFUNCTION("if(len($A11)&lt;5,""-"",iferror(TEXTJOIN("" |=***=| "",TRUE,FILTER(('Input WO'!$A:$A&amp;"" + ""&amp;'Input WO'!$B:$B&amp;"" : ""&amp;'Input WO'!$C:$C&amp;"" + ""&amp;'Input WO'!$F:$F),'Input WO'!$E:$E=$A11)),""No see""))"),"WO_WFM-OTHERS_20260623_123616289 + Cable Patrol for (BB)-TNI0011-TNIM017 : 439.03 +  |=***=| WO_WFM-OTHERS_20260623_123612935 + Cable routes measure-AC-TNI0011-TNIDOS54 : 439.03 +  |=***=| WO_ICMS_20260623_123613512 + TNI0011 MYT_Routine_Maintenance_Main_"&amp;"Station MYT_RTE_MTE_MAIN_STN : 502.17 + myt_aungthin.mya |=***=| WO_WFM-OTHERS_20260623_123613153 + Cable routes measure-AC-TNI0011-TNIDOS54 : 439.03 + myt_khantchaw.nyo |=***=| WO_ICMS_20260625_123632712 + Patrolling cable routes TNI0011-TNI0016_00, TNI0"&amp;"011 + null – TNI0016 + null : 545.66 + myt_tinmaung.win |=***=| WO_ICMS_20260625_123632709 + Patrolling cable routes TNI0011-TNI0244_00, TNI0011 + null – TNI0244 + null : 545.66 + myt_tinmaung.win")</f>
        <v>WO_WFM-OTHERS_20260623_123616289 + Cable Patrol for (BB)-TNI0011-TNIM017 : 439.03 +  |=***=| WO_WFM-OTHERS_20260623_123612935 + Cable routes measure-AC-TNI0011-TNIDOS54 : 439.03 +  |=***=| WO_ICMS_20260623_123613512 + TNI0011 MYT_Routine_Maintenance_Main_Station MYT_RTE_MTE_MAIN_STN : 502.17 + myt_aungthin.mya |=***=| WO_WFM-OTHERS_20260623_123613153 + Cable routes measure-AC-TNI0011-TNIDOS54 : 439.03 + myt_khantchaw.nyo |=***=| WO_ICMS_20260625_123632712 + Patrolling cable routes TNI0011-TNI0016_00, TNI0011 + null – TNI0016 + null : 545.66 + myt_tinmaung.win |=***=| WO_ICMS_20260625_123632709 + Patrolling cable routes TNI0011-TNI0244_00, TNI0011 + null – TNI0244 + null : 545.66 + myt_tinmaung.win</v>
      </c>
      <c r="E11" s="379"/>
      <c r="F11" s="372"/>
      <c r="G11" s="372"/>
      <c r="H11" s="372"/>
      <c r="I11" s="372"/>
      <c r="J11" s="399" t="s">
        <v>363</v>
      </c>
      <c r="K11" s="391" t="str">
        <f>IFERROR(__xludf.DUMMYFUNCTION("""COMPUTED_VALUE"""),"myt_maung.maung11")</f>
        <v>myt_maung.maung11</v>
      </c>
      <c r="L11" s="392">
        <f t="shared" si="1"/>
        <v>18</v>
      </c>
      <c r="M11" s="393" t="str">
        <f>IFERROR(__xludf.DUMMYFUNCTION("if(and(K11="""",K10=""""),"""", ""'""&amp;textjoin(""+ "",TRUE,Filter(A:A,B:B=K11)))"),"'TNI0003: 30KVA+ TNI0137: 12DKVA+ TNI0001+ TNI0081+ TNI0236+ TNI0266+ TNI0025+ TNI0003+ TNI0280+ TNI0349+ TNI0339+ TNI0291+ TNI0127+ TNI0336+ TNI0248+ TNI0258+ TNI0294+ TNI0261")</f>
        <v>'TNI0003: 30KVA+ TNI0137: 12DKVA+ TNI0001+ TNI0081+ TNI0236+ TNI0266+ TNI0025+ TNI0003+ TNI0280+ TNI0349+ TNI0339+ TNI0291+ TNI0127+ TNI0336+ TNI0248+ TNI0258+ TNI0294+ TNI0261</v>
      </c>
      <c r="N11" s="380"/>
      <c r="O11" s="380"/>
      <c r="P11" s="400" t="str">
        <f>IFERROR(__xludf.DUMMYFUNCTION("TEXTJOIN(
  ""=*="", TRUE,
  FILTER(
    C8:C1000 &amp; "" ++ "" &amp; D8:D1000,
    ISNUMBER(
      MATCH(
        A8:A1000,
        UNIQUE(
          FILTER(
            SPLIT(REGEXREPLACE(O11, ""(?i)(\bTNI\d{4}\b)"", ""|$1|""), ""|""),
            REGEXMATCH(
"&amp;"              SPLIT(REGEXREPLACE(O11, ""(?i)(\bTNI\d{4}\b)"", ""|$1|""), ""|""),
              ""(?i)^TNI\d{4}$""
            )
          )
        ),
        0
      )
    )
  )
)"),"#N/A")</f>
        <v>#N/A</v>
      </c>
      <c r="Q11" s="372"/>
      <c r="R11" s="372"/>
      <c r="S11" s="402"/>
      <c r="T11" s="402"/>
      <c r="U11" s="402"/>
      <c r="V11" s="402"/>
      <c r="W11" s="402"/>
      <c r="X11" s="402"/>
      <c r="Y11" s="402"/>
      <c r="Z11" s="402"/>
      <c r="AA11" s="402"/>
      <c r="AB11" s="402"/>
      <c r="AC11" s="402"/>
      <c r="AD11" s="372"/>
      <c r="AE11" s="372"/>
      <c r="AF11" s="372"/>
      <c r="AG11" s="372"/>
      <c r="AH11" s="372"/>
      <c r="AI11" s="372"/>
      <c r="AJ11" s="372"/>
      <c r="AK11" s="372"/>
      <c r="AL11" s="372"/>
      <c r="AM11" s="372"/>
    </row>
    <row r="12">
      <c r="A12" s="379" t="s">
        <v>376</v>
      </c>
      <c r="B12" s="379" t="str">
        <f t="array" ref="B12">if(len(A12)&lt;5,"-", iferror(Xlookup($A12,'Input WO'!$E:$E,'Input WO'!$F:$F),Xlookup($A12,'Input task'!$T:$T,'Input task'!$S:$S)
))</f>
        <v/>
      </c>
      <c r="C12" s="398" t="str">
        <f>IFERROR(__xludf.DUMMYFUNCTION("if(len($A12)&lt;5,""-"",iferror(TEXTJOIN("" |=***=| "",TRUE,filter('Input task'!$D:$D&amp;"" : ""&amp;'Input task'!$E:$E&amp;"" : ""&amp;'Input task'!$K:$K&amp;"" + ""&amp;'Input task'!$H:$H,'Input task'!$J:$J="""",'Input task'!$T:$T=$A12)),""No see""))"),"No see")</f>
        <v>No see</v>
      </c>
      <c r="D12" s="379" t="str">
        <f>IFERROR(__xludf.DUMMYFUNCTION("if(len($A12)&lt;5,""-"",iferror(TEXTJOIN("" |=***=| "",TRUE,FILTER(('Input WO'!$A:$A&amp;"" + ""&amp;'Input WO'!$B:$B&amp;"" : ""&amp;'Input WO'!$C:$C&amp;"" + ""&amp;'Input WO'!$F:$F),'Input WO'!$E:$E=$A12)),""No see""))"),"WO_WFM-OTHERS_20260623_123616252 + Cable Patrol for (AC)-TNI0324-JB(TNI0003-TNI0004) : 439.03 +  |=***=| WO_QLCTKT_20260605_123449215 + TNI0324 - Repair infrastructure - bla: Prevent insect, mause, squirrel attack: Cover all cable hole , gaps of room, doo"&amp;"r, cabinet, ODF : -582.52 + myt_wanna.oo2 |=***=| WO_QLCTKT_20260605_123449214 + TNI0324 - Repair infrastructure - bla: Cleaning the station, remove grass, vines, tree, rubbish, recall unused equipment, material: Clean the all equipments, room, slabs, ins"&amp;"tall the patchcod neatly, tidy : -486.52 + myt_wanna.oo2")</f>
        <v>WO_WFM-OTHERS_20260623_123616252 + Cable Patrol for (AC)-TNI0324-JB(TNI0003-TNI0004) : 439.03 +  |=***=| WO_QLCTKT_20260605_123449215 + TNI0324 - Repair infrastructure - bla: Prevent insect, mause, squirrel attack: Cover all cable hole , gaps of room, door, cabinet, ODF : -582.52 + myt_wanna.oo2 |=***=| WO_QLCTKT_20260605_123449214 + TNI0324 - Repair infrastructure - bla: Cleaning the station, remove grass, vines, tree, rubbish, recall unused equipment, material: Clean the all equipments, room, slabs, install the patchcod neatly, tidy : -486.52 + myt_wanna.oo2</v>
      </c>
      <c r="E12" s="379"/>
      <c r="F12" s="372"/>
      <c r="G12" s="372"/>
      <c r="H12" s="372"/>
      <c r="I12" s="372"/>
      <c r="J12" s="399" t="s">
        <v>363</v>
      </c>
      <c r="K12" s="391" t="str">
        <f>IFERROR(__xludf.DUMMYFUNCTION("""COMPUTED_VALUE"""),"myt_minpaing.oo")</f>
        <v>myt_minpaing.oo</v>
      </c>
      <c r="L12" s="392">
        <f t="shared" si="1"/>
        <v>2</v>
      </c>
      <c r="M12" s="404"/>
      <c r="N12" s="380"/>
      <c r="O12" s="380"/>
      <c r="P12" s="400" t="str">
        <f>IFERROR(__xludf.DUMMYFUNCTION("TEXTJOIN(
  ""=*="", TRUE,
  FILTER(
    C9:C1000 &amp; "" ++ "" &amp; D9:D1000,
    ISNUMBER(
      MATCH(
        A9:A1000,
        UNIQUE(
          FILTER(
            SPLIT(REGEXREPLACE(O12, ""(?i)(\bTNI\d{4}\b)"", ""|$1|""), ""|""),
            REGEXMATCH(
"&amp;"              SPLIT(REGEXREPLACE(O12, ""(?i)(\bTNI\d{4}\b)"", ""|$1|""), ""|""),
              ""(?i)^TNI\d{4}$""
            )
          )
        ),
        0
      )
    )
  )
)"),"#N/A")</f>
        <v>#N/A</v>
      </c>
      <c r="Q12" s="372"/>
      <c r="R12" s="372"/>
      <c r="S12" s="402"/>
      <c r="T12" s="402"/>
      <c r="U12" s="402"/>
      <c r="V12" s="402"/>
      <c r="W12" s="402"/>
      <c r="X12" s="402"/>
      <c r="Y12" s="402"/>
      <c r="Z12" s="402"/>
      <c r="AA12" s="402"/>
      <c r="AB12" s="402"/>
      <c r="AC12" s="402"/>
      <c r="AD12" s="372"/>
      <c r="AE12" s="372"/>
      <c r="AF12" s="372"/>
      <c r="AG12" s="372"/>
      <c r="AH12" s="372"/>
      <c r="AI12" s="372"/>
      <c r="AJ12" s="372"/>
      <c r="AK12" s="372"/>
      <c r="AL12" s="372"/>
      <c r="AM12" s="372"/>
    </row>
    <row r="13">
      <c r="A13" s="379" t="s">
        <v>377</v>
      </c>
      <c r="B13" s="379" t="str">
        <f t="array" ref="B13">if(len(A13)&lt;5,"-", iferror(Xlookup($A13,'Input WO'!$E:$E,'Input WO'!$F:$F),Xlookup($A13,'Input task'!$T:$T,'Input task'!$S:$S)
))</f>
        <v/>
      </c>
      <c r="C13" s="398" t="str">
        <f>IFERROR(__xludf.DUMMYFUNCTION("if(len($A13)&lt;5,""-"",iferror(TEXTJOIN("" |=***=| "",TRUE,filter('Input task'!$D:$D&amp;"" : ""&amp;'Input task'!$E:$E&amp;"" : ""&amp;'Input task'!$K:$K&amp;"" + ""&amp;'Input task'!$H:$H,'Input task'!$J:$J="""",'Input task'!$T:$T=$A13)),""No see""))"),"100 point plan : TNI0281 100 point plan need to clean site overview inside and outeside and make to neatly patchord cable. :  + ")</f>
        <v>100 point plan : TNI0281 100 point plan need to clean site overview inside and outeside and make to neatly patchord cable. :  + </v>
      </c>
      <c r="D13" s="379" t="str">
        <f>IFERROR(__xludf.DUMMYFUNCTION("if(len($A13)&lt;5,""-"",iferror(TEXTJOIN("" |=***=| "",TRUE,FILTER(('Input WO'!$A:$A&amp;"" + ""&amp;'Input WO'!$B:$B&amp;"" : ""&amp;'Input WO'!$C:$C&amp;"" + ""&amp;'Input WO'!$F:$F),'Input WO'!$E:$E=$A13)),""No see""))"),"WO_WFM-OTHERS_20260623_123616248 + Cable Patrol for (AC)-TNI0281-TNIM069 : 439.03 + ")</f>
        <v>WO_WFM-OTHERS_20260623_123616248 + Cable Patrol for (AC)-TNI0281-TNIM069 : 439.03 + </v>
      </c>
      <c r="E13" s="379"/>
      <c r="F13" s="372"/>
      <c r="G13" s="372"/>
      <c r="H13" s="372"/>
      <c r="I13" s="372"/>
      <c r="J13" s="399" t="s">
        <v>363</v>
      </c>
      <c r="K13" s="391" t="str">
        <f>IFERROR(__xludf.DUMMYFUNCTION("""COMPUTED_VALUE"""),"myt_myintkoko.aung")</f>
        <v>myt_myintkoko.aung</v>
      </c>
      <c r="L13" s="392">
        <f t="shared" si="1"/>
        <v>7</v>
      </c>
      <c r="M13" s="393" t="str">
        <f>IFERROR(__xludf.DUMMYFUNCTION("if(and(K13="""",K12=""""),"""", textjoin(""+ "",TRUE,Filter(A:A,B:B=K13)))"),"TNI0116+ TNI0212: 12KVA+ TNI0004+ TNI0179+ TNI0079+ TNI0103+ TNI0105")</f>
        <v>TNI0116+ TNI0212: 12KVA+ TNI0004+ TNI0179+ TNI0079+ TNI0103+ TNI0105</v>
      </c>
      <c r="N13" s="380"/>
      <c r="O13" s="379"/>
      <c r="P13" s="400" t="str">
        <f>IFERROR(__xludf.DUMMYFUNCTION("TEXTJOIN(
  ""=*="", TRUE,
  FILTER(
    C10:C1000 &amp; "" ++ "" &amp; D10:D1000,
    ISNUMBER(
      MATCH(
        A10:A1000,
        UNIQUE(
          FILTER(
            SPLIT(REGEXREPLACE(O13, ""(?i)(\bTNI\d{4}\b)"", ""|$1|""), ""|""),
            REGEXMATC"&amp;"H(
              SPLIT(REGEXREPLACE(O13, ""(?i)(\bTNI\d{4}\b)"", ""|$1|""), ""|""),
              ""(?i)^TNI\d{4}$""
            )
          )
        ),
        0
      )
    )
  )
)"),"#N/A")</f>
        <v>#N/A</v>
      </c>
      <c r="Q13" s="372"/>
      <c r="R13" s="372"/>
      <c r="S13" s="402"/>
      <c r="T13" s="402"/>
      <c r="U13" s="402"/>
      <c r="V13" s="402"/>
      <c r="W13" s="402"/>
      <c r="X13" s="402"/>
      <c r="Y13" s="402"/>
      <c r="Z13" s="402"/>
      <c r="AA13" s="402"/>
      <c r="AB13" s="402"/>
      <c r="AC13" s="402"/>
      <c r="AD13" s="372"/>
      <c r="AE13" s="372"/>
      <c r="AF13" s="372"/>
      <c r="AG13" s="372"/>
      <c r="AH13" s="372"/>
      <c r="AI13" s="372"/>
      <c r="AJ13" s="372"/>
      <c r="AK13" s="372"/>
      <c r="AL13" s="372"/>
      <c r="AM13" s="372"/>
    </row>
    <row r="14">
      <c r="A14" s="379" t="s">
        <v>378</v>
      </c>
      <c r="B14" s="379" t="str">
        <f t="array" ref="B14">if(len(A14)&lt;5,"-", iferror(Xlookup($A14,'Input WO'!$E:$E,'Input WO'!$F:$F),Xlookup($A14,'Input task'!$T:$T,'Input task'!$S:$S)
))</f>
        <v/>
      </c>
      <c r="C14" s="398" t="str">
        <f>IFERROR(__xludf.DUMMYFUNCTION("if(len($A14)&lt;5,""-"",iferror(TEXTJOIN("" |=***=| "",TRUE,filter('Input task'!$D:$D&amp;"" : ""&amp;'Input task'!$E:$E&amp;"" : ""&amp;'Input task'!$K:$K&amp;"" + ""&amp;'Input task'!$H:$H,'Input task'!$J:$J="""",'Input task'!$T:$T=$A14)),""No see""))"),"100 point plan : TNI0197 100 point plan need to clean site overview inside and outeside and make to neatly patchord cable. :  + ")</f>
        <v>100 point plan : TNI0197 100 point plan need to clean site overview inside and outeside and make to neatly patchord cable. :  + </v>
      </c>
      <c r="D14" s="379" t="str">
        <f>IFERROR(__xludf.DUMMYFUNCTION("if(len($A14)&lt;5,""-"",iferror(TEXTJOIN("" |=***=| "",TRUE,FILTER(('Input WO'!$A:$A&amp;"" + ""&amp;'Input WO'!$B:$B&amp;"" : ""&amp;'Input WO'!$C:$C&amp;"" + ""&amp;'Input WO'!$F:$F),'Input WO'!$E:$E=$A14)),""No see""))"),"WO_WFM-OTHERS_20260623_123616234 + Cable Patrol for (AC)-TNI0197-TNIM054 : 439.03 +  |=***=| WO_QLCTKT_20260509_123226338 + TNI0197 MYT_Routine_Maintenance_Towerco_Station_VCM : -256.95 + myt_myothant.htoo")</f>
        <v>WO_WFM-OTHERS_20260623_123616234 + Cable Patrol for (AC)-TNI0197-TNIM054 : 439.03 +  |=***=| WO_QLCTKT_20260509_123226338 + TNI0197 MYT_Routine_Maintenance_Towerco_Station_VCM : -256.95 + myt_myothant.htoo</v>
      </c>
      <c r="E14" s="379"/>
      <c r="F14" s="372"/>
      <c r="G14" s="372"/>
      <c r="H14" s="372"/>
      <c r="I14" s="372"/>
      <c r="J14" s="399" t="s">
        <v>363</v>
      </c>
      <c r="K14" s="391" t="str">
        <f>IFERROR(__xludf.DUMMYFUNCTION("""COMPUTED_VALUE"""),"myt_myothant.htoo")</f>
        <v>myt_myothant.htoo</v>
      </c>
      <c r="L14" s="392">
        <f t="shared" si="1"/>
        <v>1</v>
      </c>
      <c r="M14" s="393" t="str">
        <f>IFERROR(__xludf.DUMMYFUNCTION("if(and(K14="""",K13=""""),"""", textjoin(""+ "",TRUE,Filter(A:A,B:B=K14)))"),"TNI0247")</f>
        <v>TNI0247</v>
      </c>
      <c r="N14" s="380"/>
      <c r="O14" s="380"/>
      <c r="P14" s="400" t="str">
        <f>IFERROR(__xludf.DUMMYFUNCTION("TEXTJOIN(
  ""=*="", TRUE,
  FILTER(
    C11:C1000 &amp; "" ++ "" &amp; D11:D1000,
    ISNUMBER(
      MATCH(
        A11:A1000,
        UNIQUE(
          FILTER(
            SPLIT(REGEXREPLACE(O14, ""(?i)(\bTNI\d{4}\b)"", ""|$1|""), ""|""),
            REGEXMATC"&amp;"H(
              SPLIT(REGEXREPLACE(O14, ""(?i)(\bTNI\d{4}\b)"", ""|$1|""), ""|""),
              ""(?i)^TNI\d{4}$""
            )
          )
        ),
        0
      )
    )
  )
)"),"#N/A")</f>
        <v>#N/A</v>
      </c>
      <c r="Q14" s="372"/>
      <c r="R14" s="372"/>
      <c r="S14" s="402"/>
      <c r="T14" s="402"/>
      <c r="U14" s="402"/>
      <c r="V14" s="402"/>
      <c r="W14" s="402"/>
      <c r="X14" s="402"/>
      <c r="Y14" s="402"/>
      <c r="Z14" s="402"/>
      <c r="AA14" s="402"/>
      <c r="AB14" s="402"/>
      <c r="AC14" s="402"/>
      <c r="AD14" s="372"/>
      <c r="AE14" s="372"/>
      <c r="AF14" s="372"/>
      <c r="AG14" s="372"/>
      <c r="AH14" s="372"/>
      <c r="AI14" s="372"/>
      <c r="AJ14" s="372"/>
      <c r="AK14" s="372"/>
      <c r="AL14" s="372"/>
      <c r="AM14" s="372"/>
    </row>
    <row r="15">
      <c r="A15" s="379" t="s">
        <v>379</v>
      </c>
      <c r="B15" s="379" t="str">
        <f t="array" ref="B15">if(len(A15)&lt;5,"-", iferror(Xlookup($A15,'Input WO'!$E:$E,'Input WO'!$F:$F),Xlookup($A15,'Input task'!$T:$T,'Input task'!$S:$S)
))</f>
        <v/>
      </c>
      <c r="C15" s="398" t="str">
        <f>IFERROR(__xludf.DUMMYFUNCTION("if(len($A15)&lt;5,""-"",iferror(TEXTJOIN("" |=***=| "",TRUE,filter('Input task'!$D:$D&amp;"" : ""&amp;'Input task'!$E:$E&amp;"" : ""&amp;'Input task'!$K:$K&amp;"" + ""&amp;'Input task'!$H:$H,'Input task'!$J:$J="""",'Input task'!$T:$T=$A15)),""No see""))"),"Return to send Branch Office : TNI0201 Recall PU : 2 Pcs Serial: 219561075424, 219561075425 :  +  |=***=| Fixing Fuel Level Monitoring : TNI0201 Need to fix fuel level cannot monitoring at NMS. :  +  |=***=| Solar power low ( &lt;1kW &amp; P&lt;50%) : TNI0201 Need "&amp;"to check solar power low :  +  |=***=| 100 point plan : TNI0201 100 point plan need to clean site overview inside and outeside and make to neatly patchord cable. :  +  |=***=| PVC PLAN : TNI0201 need to cover pvc pipe :  + ")</f>
        <v>Return to send Branch Office : TNI0201 Recall PU : 2 Pcs Serial: 219561075424, 219561075425 :  +  |=***=| Fixing Fuel Level Monitoring : TNI0201 Need to fix fuel level cannot monitoring at NMS. :  +  |=***=| Solar power low ( &lt;1kW &amp; P&lt;50%) : TNI0201 Need to check solar power low :  +  |=***=| 100 point plan : TNI0201 100 point plan need to clean site overview inside and outeside and make to neatly patchord cable. :  +  |=***=| PVC PLAN : TNI0201 need to cover pvc pipe :  + </v>
      </c>
      <c r="D15" s="379" t="str">
        <f>IFERROR(__xludf.DUMMYFUNCTION("if(len($A15)&lt;5,""-"",iferror(TEXTJOIN("" |=***=| "",TRUE,FILTER(('Input WO'!$A:$A&amp;"" + ""&amp;'Input WO'!$B:$B&amp;"" : ""&amp;'Input WO'!$C:$C&amp;"" + ""&amp;'Input WO'!$F:$F),'Input WO'!$E:$E=$A15)),""No see""))"),"WO_WFM-OTHERS_20260623_123616235 + Cable Patrol for (AC)-TNI0201-TNIM056 : 439.03 +  |=***=| WO_QLCTKT_20260604_123438248 + TNI0201 MYT_Troubleshooting Solar Power System : -520.95 + myt_aunglwin.phyo |=***=| WO_QLCTKT_20260529_123389766 + TNI0201 MYT_Rou"&amp;"tine_Maintenance_Mytel_Station_VCM : 223.05 + myt_aunglwin.phyo")</f>
        <v>WO_WFM-OTHERS_20260623_123616235 + Cable Patrol for (AC)-TNI0201-TNIM056 : 439.03 +  |=***=| WO_QLCTKT_20260604_123438248 + TNI0201 MYT_Troubleshooting Solar Power System : -520.95 + myt_aunglwin.phyo |=***=| WO_QLCTKT_20260529_123389766 + TNI0201 MYT_Routine_Maintenance_Mytel_Station_VCM : 223.05 + myt_aunglwin.phyo</v>
      </c>
      <c r="E15" s="379"/>
      <c r="F15" s="372"/>
      <c r="G15" s="372"/>
      <c r="H15" s="372"/>
      <c r="I15" s="372"/>
      <c r="J15" s="399" t="s">
        <v>363</v>
      </c>
      <c r="K15" s="391" t="str">
        <f>IFERROR(__xludf.DUMMYFUNCTION("""COMPUTED_VALUE"""),"myt_naingmyo.htun")</f>
        <v>myt_naingmyo.htun</v>
      </c>
      <c r="L15" s="392">
        <f t="shared" si="1"/>
        <v>1</v>
      </c>
      <c r="M15" s="393" t="str">
        <f>IFERROR(__xludf.DUMMYFUNCTION("if(and(K15="""",K14=""""),"""", textjoin(""+ "",TRUE,Filter(A:A,B:B=K15)))"),"TNI0320")</f>
        <v>TNI0320</v>
      </c>
      <c r="N15" s="380"/>
      <c r="O15" s="379"/>
      <c r="P15" s="400" t="str">
        <f>IFERROR(__xludf.DUMMYFUNCTION("TEXTJOIN(
  ""=*="", TRUE,
  FILTER(
    C12:C1000 &amp; "" ++ "" &amp; D12:D1000,
    ISNUMBER(
      MATCH(
        A12:A1000,
        UNIQUE(
          FILTER(
            SPLIT(REGEXREPLACE(O15, ""(?i)(\bTNI\d{4}\b)"", ""|$1|""), ""|""),
            REGEXMATC"&amp;"H(
              SPLIT(REGEXREPLACE(O15, ""(?i)(\bTNI\d{4}\b)"", ""|$1|""), ""|""),
              ""(?i)^TNI\d{4}$""
            )
          )
        ),
        0
      )
    )
  )
)"),"#N/A")</f>
        <v>#N/A</v>
      </c>
      <c r="Q15" s="372"/>
      <c r="R15" s="372"/>
      <c r="S15" s="402"/>
      <c r="T15" s="402"/>
      <c r="U15" s="402"/>
      <c r="V15" s="402"/>
      <c r="W15" s="402"/>
      <c r="X15" s="402"/>
      <c r="Y15" s="402"/>
      <c r="Z15" s="402"/>
      <c r="AA15" s="402"/>
      <c r="AB15" s="402"/>
      <c r="AC15" s="402"/>
      <c r="AD15" s="372"/>
      <c r="AE15" s="372"/>
      <c r="AF15" s="372"/>
      <c r="AG15" s="372"/>
      <c r="AH15" s="372"/>
      <c r="AI15" s="372"/>
      <c r="AJ15" s="372"/>
      <c r="AK15" s="372"/>
      <c r="AL15" s="372"/>
      <c r="AM15" s="372"/>
    </row>
    <row r="16">
      <c r="A16" s="379" t="s">
        <v>380</v>
      </c>
      <c r="B16" s="379" t="str">
        <f t="array" ref="B16">if(len(A16)&lt;5,"-", iferror(Xlookup($A16,'Input WO'!$E:$E,'Input WO'!$F:$F),Xlookup($A16,'Input task'!$T:$T,'Input task'!$S:$S)
))</f>
        <v/>
      </c>
      <c r="C16" s="398" t="str">
        <f>IFERROR(__xludf.DUMMYFUNCTION("if(len($A16)&lt;5,""-"",iferror(TEXTJOIN("" |=***=| "",TRUE,filter('Input task'!$D:$D&amp;"" : ""&amp;'Input task'!$E:$E&amp;"" : ""&amp;'Input task'!$K:$K&amp;"" + ""&amp;'Input task'!$H:$H,'Input task'!$J:$J="""",'Input task'!$T:$T=$A16)),""No see""))"),"Diode Kid Installation : TNI0350 Need to install diode kid :  + ")</f>
        <v>Diode Kid Installation : TNI0350 Need to install diode kid :  + </v>
      </c>
      <c r="D16" s="379" t="str">
        <f>IFERROR(__xludf.DUMMYFUNCTION("if(len($A16)&lt;5,""-"",iferror(TEXTJOIN("" |=***=| "",TRUE,FILTER(('Input WO'!$A:$A&amp;"" + ""&amp;'Input WO'!$B:$B&amp;"" : ""&amp;'Input WO'!$C:$C&amp;"" + ""&amp;'Input WO'!$F:$F),'Input WO'!$E:$E=$A16)),""No see""))"),"WO_WFM-OTHERS_20260623_123613359 + Cable routes measure-AC-TNI0350-JB(TNI0011-TNI0012) : 439.03 +  |=***=| WO_WFM-OTHERS_20260623_123612941 + Cable routes measure-AC-TNI0350-JB(TNI0011-TNI0012) : 439.03 + myt_khantchaw.nyo |=***=| WO_WFM-OTHERS_20260623_1"&amp;"23616293 + Cable Patrol for (AC)-TNI0350-JB(TNI0011-TNI0012) : 439.03 + myt_tinmaung.win")</f>
        <v>WO_WFM-OTHERS_20260623_123613359 + Cable routes measure-AC-TNI0350-JB(TNI0011-TNI0012) : 439.03 +  |=***=| WO_WFM-OTHERS_20260623_123612941 + Cable routes measure-AC-TNI0350-JB(TNI0011-TNI0012) : 439.03 + myt_khantchaw.nyo |=***=| WO_WFM-OTHERS_20260623_123616293 + Cable Patrol for (AC)-TNI0350-JB(TNI0011-TNI0012) : 439.03 + myt_tinmaung.win</v>
      </c>
      <c r="E16" s="379"/>
      <c r="F16" s="372"/>
      <c r="G16" s="372"/>
      <c r="H16" s="372"/>
      <c r="I16" s="372"/>
      <c r="J16" s="399" t="s">
        <v>363</v>
      </c>
      <c r="K16" s="391" t="str">
        <f>IFERROR(__xludf.DUMMYFUNCTION("""COMPUTED_VALUE"""),"myt_naymyo.thu")</f>
        <v>myt_naymyo.thu</v>
      </c>
      <c r="L16" s="392">
        <f t="shared" si="1"/>
        <v>1</v>
      </c>
      <c r="M16" s="393" t="str">
        <f>IFERROR(__xludf.DUMMYFUNCTION("if(and(K16="""",K15=""""),"""", textjoin(""+ "",TRUE,Filter(A:A,B:B=K16)))"),"TNI0277")</f>
        <v>TNI0277</v>
      </c>
      <c r="N16" s="380"/>
      <c r="O16" s="380"/>
      <c r="P16" s="400" t="str">
        <f>IFERROR(__xludf.DUMMYFUNCTION("TEXTJOIN(
  ""=*="", TRUE,
  FILTER(
    C13:C1000 &amp; "" ++ "" &amp; D13:D1000,
    ISNUMBER(
      MATCH(
        A13:A1000,
        UNIQUE(
          FILTER(
            SPLIT(REGEXREPLACE(O16, ""(?i)(\bTNI\d{4}\b)"", ""|$1|""), ""|""),
            REGEXMATC"&amp;"H(
              SPLIT(REGEXREPLACE(O16, ""(?i)(\bTNI\d{4}\b)"", ""|$1|""), ""|""),
              ""(?i)^TNI\d{4}$""
            )
          )
        ),
        0
      )
    )
  )
)"),"#N/A")</f>
        <v>#N/A</v>
      </c>
      <c r="Q16" s="372"/>
      <c r="R16" s="372"/>
      <c r="S16" s="402"/>
      <c r="T16" s="402"/>
      <c r="U16" s="402"/>
      <c r="V16" s="402"/>
      <c r="W16" s="402"/>
      <c r="X16" s="402"/>
      <c r="Y16" s="402"/>
      <c r="Z16" s="402"/>
      <c r="AA16" s="402"/>
      <c r="AB16" s="402"/>
      <c r="AC16" s="402"/>
      <c r="AD16" s="372"/>
      <c r="AE16" s="372"/>
      <c r="AF16" s="372"/>
      <c r="AG16" s="372"/>
      <c r="AH16" s="372"/>
      <c r="AI16" s="372"/>
      <c r="AJ16" s="372"/>
      <c r="AK16" s="372"/>
      <c r="AL16" s="372"/>
      <c r="AM16" s="372"/>
    </row>
    <row r="17">
      <c r="A17" s="379" t="s">
        <v>381</v>
      </c>
      <c r="B17" s="379" t="str">
        <f t="array" ref="B17">if(len(A17)&lt;5,"-", iferror(Xlookup($A17,'Input WO'!$E:$E,'Input WO'!$F:$F),Xlookup($A17,'Input task'!$T:$T,'Input task'!$S:$S)
))</f>
        <v/>
      </c>
      <c r="C17" s="398" t="str">
        <f>IFERROR(__xludf.DUMMYFUNCTION("if(len($A17)&lt;5,""-"",iferror(TEXTJOIN("" |=***=| "",TRUE,filter('Input task'!$D:$D&amp;"" : ""&amp;'Input task'!$E:$E&amp;"" : ""&amp;'Input task'!$K:$K&amp;"" + ""&amp;'Input task'!$H:$H,'Input task'!$J:$J="""",'Input task'!$T:$T=$A17)),""No see""))"),"PVC PLAN : TNI0355 need to cover pvc pipe :  + ")</f>
        <v>PVC PLAN : TNI0355 need to cover pvc pipe :  + </v>
      </c>
      <c r="D17" s="379" t="str">
        <f>IFERROR(__xludf.DUMMYFUNCTION("if(len($A17)&lt;5,""-"",iferror(TEXTJOIN("" |=***=| "",TRUE,FILTER(('Input WO'!$A:$A&amp;"" + ""&amp;'Input WO'!$B:$B&amp;"" : ""&amp;'Input WO'!$C:$C&amp;"" + ""&amp;'Input WO'!$F:$F),'Input WO'!$E:$E=$A17)),""No see""))"),"WO_WFM-OTHERS_20260623_123613157 + Cable routes measure-AC-TNI0355-JB(TNI0012-TNI0015) : 439.03 +  |=***=| WO_WFM-OTHERS_20260623_123612939 + Cable routes measure-AC-TNI0355-JB(TNI0012-TNI0015) : 439.03 + myt_khantchaw.nyo")</f>
        <v>WO_WFM-OTHERS_20260623_123613157 + Cable routes measure-AC-TNI0355-JB(TNI0012-TNI0015) : 439.03 +  |=***=| WO_WFM-OTHERS_20260623_123612939 + Cable routes measure-AC-TNI0355-JB(TNI0012-TNI0015) : 439.03 + myt_khantchaw.nyo</v>
      </c>
      <c r="E17" s="379"/>
      <c r="F17" s="372"/>
      <c r="G17" s="372"/>
      <c r="H17" s="372"/>
      <c r="I17" s="372"/>
      <c r="J17" s="399" t="s">
        <v>363</v>
      </c>
      <c r="K17" s="391" t="str">
        <f>IFERROR(__xludf.DUMMYFUNCTION("""COMPUTED_VALUE"""),"myt_naythurain.oo")</f>
        <v>myt_naythurain.oo</v>
      </c>
      <c r="L17" s="392">
        <f t="shared" si="1"/>
        <v>2</v>
      </c>
      <c r="M17" s="393" t="str">
        <f>IFERROR(__xludf.DUMMYFUNCTION("if(and(K17="""",K16=""""),"""", textjoin(""+ "",TRUE,Filter(A:A,B:B=K17)))"),"TNI0519: 12DKVA+ TNI0077")</f>
        <v>TNI0519: 12DKVA+ TNI0077</v>
      </c>
      <c r="N17" s="380"/>
      <c r="O17" s="379"/>
      <c r="P17" s="400" t="str">
        <f>IFERROR(__xludf.DUMMYFUNCTION("TEXTJOIN(
  ""=*="", TRUE,
  FILTER(
    C14:C1000 &amp; "" ++ "" &amp; D14:D1000,
    ISNUMBER(
      MATCH(
        A14:A1000,
        UNIQUE(
          FILTER(
            SPLIT(REGEXREPLACE(O17, ""(?i)(\bTNI\d{4}\b)"", ""|$1|""), ""|""),
            REGEXMATC"&amp;"H(
              SPLIT(REGEXREPLACE(O17, ""(?i)(\bTNI\d{4}\b)"", ""|$1|""), ""|""),
              ""(?i)^TNI\d{4}$""
            )
          )
        ),
        0
      )
    )
  )
)"),"#N/A")</f>
        <v>#N/A</v>
      </c>
      <c r="Q17" s="372"/>
      <c r="R17" s="372"/>
      <c r="S17" s="402"/>
      <c r="T17" s="402"/>
      <c r="U17" s="402"/>
      <c r="V17" s="402"/>
      <c r="W17" s="402"/>
      <c r="X17" s="402"/>
      <c r="Y17" s="402"/>
      <c r="Z17" s="402"/>
      <c r="AA17" s="402"/>
      <c r="AB17" s="402"/>
      <c r="AC17" s="402"/>
      <c r="AD17" s="372"/>
      <c r="AE17" s="372"/>
      <c r="AF17" s="372"/>
      <c r="AG17" s="372"/>
      <c r="AH17" s="372"/>
      <c r="AI17" s="372"/>
      <c r="AJ17" s="372"/>
      <c r="AK17" s="372"/>
      <c r="AL17" s="372"/>
      <c r="AM17" s="372"/>
    </row>
    <row r="18">
      <c r="A18" s="379" t="s">
        <v>204</v>
      </c>
      <c r="B18" s="379" t="str">
        <f t="array" ref="B18">if(len(A18)&lt;5,"-", iferror(Xlookup($A18,'Input WO'!$E:$E,'Input WO'!$F:$F),Xlookup($A18,'Input task'!$T:$T,'Input task'!$S:$S)
))</f>
        <v/>
      </c>
      <c r="C18" s="398" t="str">
        <f>IFERROR(__xludf.DUMMYFUNCTION("if(len($A18)&lt;5,""-"",iferror(TEXTJOIN("" |=***=| "",TRUE,filter('Input task'!$D:$D&amp;"" : ""&amp;'Input task'!$E:$E&amp;"" : ""&amp;'Input task'!$K:$K&amp;"" + ""&amp;'Input task'!$H:$H,'Input task'!$J:$J="""",'Input task'!$T:$T=$A18)),""No see""))"),"No see")</f>
        <v>No see</v>
      </c>
      <c r="D18" s="379" t="str">
        <f>IFERROR(__xludf.DUMMYFUNCTION("if(len($A18)&lt;5,""-"",iferror(TEXTJOIN("" |=***=| "",TRUE,FILTER(('Input WO'!$A:$A&amp;"" + ""&amp;'Input WO'!$B:$B&amp;"" : ""&amp;'Input WO'!$C:$C&amp;"" + ""&amp;'Input WO'!$F:$F),'Input WO'!$E:$E=$A18)),""No see""))"),"WO_WFM-OTHERS_20260623_123613158 + Cable routes measure-AC-TNI0037-TNI0254 : 439.03 +  |=***=| WO_WFM-OTHERS_20260623_123612940 + Cable routes measure-AC-TNI0037-TNI0254 : 439.03 + myt_khantchaw.nyo")</f>
        <v>WO_WFM-OTHERS_20260623_123613158 + Cable routes measure-AC-TNI0037-TNI0254 : 439.03 +  |=***=| WO_WFM-OTHERS_20260623_123612940 + Cable routes measure-AC-TNI0037-TNI0254 : 439.03 + myt_khantchaw.nyo</v>
      </c>
      <c r="E18" s="379"/>
      <c r="F18" s="372"/>
      <c r="G18" s="372"/>
      <c r="H18" s="372"/>
      <c r="I18" s="372"/>
      <c r="J18" s="399" t="s">
        <v>363</v>
      </c>
      <c r="K18" s="391" t="str">
        <f>IFERROR(__xludf.DUMMYFUNCTION("""COMPUTED_VALUE"""),"myt_paingaung.soe")</f>
        <v>myt_paingaung.soe</v>
      </c>
      <c r="L18" s="392">
        <f t="shared" si="1"/>
        <v>1</v>
      </c>
      <c r="M18" s="393" t="str">
        <f>IFERROR(__xludf.DUMMYFUNCTION("if(and(K18="""",K17=""""),"""", textjoin(""+ "",TRUE,Filter(A:A,B:B=K18)))"),"TNI0394")</f>
        <v>TNI0394</v>
      </c>
      <c r="N18" s="380"/>
      <c r="O18" s="379"/>
      <c r="P18" s="400" t="str">
        <f>IFERROR(__xludf.DUMMYFUNCTION("TEXTJOIN(
  ""=*="", TRUE,
  FILTER(
    C15:C1000 &amp; "" ++ "" &amp; D15:D1000,
    ISNUMBER(
      MATCH(
        A15:A1000,
        UNIQUE(
          FILTER(
            SPLIT(REGEXREPLACE(O18, ""(?i)(\bTNI\d{4}\b)"", ""|$1|""), ""|""),
            REGEXMATC"&amp;"H(
              SPLIT(REGEXREPLACE(O18, ""(?i)(\bTNI\d{4}\b)"", ""|$1|""), ""|""),
              ""(?i)^TNI\d{4}$""
            )
          )
        ),
        0
      )
    )
  )
)"),"#N/A")</f>
        <v>#N/A</v>
      </c>
      <c r="Q18" s="372"/>
      <c r="R18" s="372"/>
      <c r="S18" s="402"/>
      <c r="T18" s="402"/>
      <c r="U18" s="402"/>
      <c r="V18" s="402"/>
      <c r="W18" s="402"/>
      <c r="X18" s="402"/>
      <c r="Y18" s="402"/>
      <c r="Z18" s="402"/>
      <c r="AA18" s="402"/>
      <c r="AB18" s="402"/>
      <c r="AC18" s="402"/>
      <c r="AD18" s="372"/>
      <c r="AE18" s="372"/>
      <c r="AF18" s="372"/>
      <c r="AG18" s="372"/>
      <c r="AH18" s="372"/>
      <c r="AI18" s="372"/>
      <c r="AJ18" s="372"/>
      <c r="AK18" s="372"/>
      <c r="AL18" s="372"/>
      <c r="AM18" s="372"/>
    </row>
    <row r="19">
      <c r="A19" s="379" t="s">
        <v>382</v>
      </c>
      <c r="B19" s="379" t="str">
        <f t="array" ref="B19">if(len(A19)&lt;5,"-", iferror(Xlookup($A19,'Input WO'!$E:$E,'Input WO'!$F:$F),Xlookup($A19,'Input task'!$T:$T,'Input task'!$S:$S)
))</f>
        <v/>
      </c>
      <c r="C19" s="398" t="str">
        <f>IFERROR(__xludf.DUMMYFUNCTION("if(len($A19)&lt;5,""-"",iferror(TEXTJOIN("" |=***=| "",TRUE,filter('Input task'!$D:$D&amp;"" : ""&amp;'Input task'!$E:$E&amp;"" : ""&amp;'Input task'!$K:$K&amp;"" + ""&amp;'Input task'!$H:$H,'Input task'!$J:$J="""",'Input task'!$T:$T=$A19)),""No see""))"),"Fixing Fuel Level Monitoring : TNI0019 Need to fix fuel level cannot monitoring at NMS. :  + ")</f>
        <v>Fixing Fuel Level Monitoring : TNI0019 Need to fix fuel level cannot monitoring at NMS. :  + </v>
      </c>
      <c r="D19" s="379" t="str">
        <f>IFERROR(__xludf.DUMMYFUNCTION("if(len($A19)&lt;5,""-"",iferror(TEXTJOIN("" |=***=| "",TRUE,FILTER(('Input WO'!$A:$A&amp;"" + ""&amp;'Input WO'!$B:$B&amp;"" : ""&amp;'Input WO'!$C:$C&amp;"" + ""&amp;'Input WO'!$F:$F),'Input WO'!$E:$E=$A19)),""No see""))"),"WO_WFM-OTHERS_20260623_123613114 + Cable routes measure-AC-TNI0019-TNIM024 : 439.03 +  |=***=| WO_WFM-OTHERS_20260504_123184943 + IP : TNI0019SRT001-TNI0089SRT001-TNI0289SRT001 link down at 04/05/2026 04:10:00 : -1241.45 +  |=***=| WO_WFM-OTHERS_20260623_"&amp;"123616212 + Cable Patrol for (AC)-TNI0019-TNIM024 : 439.03 + myt_bonemyat.naing1 |=***=| WO_WFM-OTHERS_20260623_123612899 + Cable routes measure-AC-TNI0019-TNIM024 : 439.03 + myt_bonemyat.naing1 |=***=| WO_ICMS_20260623_123611326 + TNI0019 MYT_Routine_Mai"&amp;"ntenance_Towerco_Station MYT_RTE_MTE_TCO_STN : 882.55 + myt_phyoko.ko44 |=***=| WO_QLCTKT_20260529_123389377 + TNI0019 MYT_Routine_Maintenance_Mytel_Station_VCM : 223.05 + myt_phyoko.ko44")</f>
        <v>WO_WFM-OTHERS_20260623_123613114 + Cable routes measure-AC-TNI0019-TNIM024 : 439.03 +  |=***=| WO_WFM-OTHERS_20260504_123184943 + IP : TNI0019SRT001-TNI0089SRT001-TNI0289SRT001 link down at 04/05/2026 04:10:00 : -1241.45 +  |=***=| WO_WFM-OTHERS_20260623_123616212 + Cable Patrol for (AC)-TNI0019-TNIM024 : 439.03 + myt_bonemyat.naing1 |=***=| WO_WFM-OTHERS_20260623_123612899 + Cable routes measure-AC-TNI0019-TNIM024 : 439.03 + myt_bonemyat.naing1 |=***=| WO_ICMS_20260623_123611326 + TNI0019 MYT_Routine_Maintenance_Towerco_Station MYT_RTE_MTE_TCO_STN : 882.55 + myt_phyoko.ko44 |=***=| WO_QLCTKT_20260529_123389377 + TNI0019 MYT_Routine_Maintenance_Mytel_Station_VCM : 223.05 + myt_phyoko.ko44</v>
      </c>
      <c r="E19" s="379"/>
      <c r="F19" s="372"/>
      <c r="G19" s="372"/>
      <c r="H19" s="372"/>
      <c r="I19" s="372"/>
      <c r="J19" s="399" t="s">
        <v>363</v>
      </c>
      <c r="K19" s="391" t="str">
        <f>IFERROR(__xludf.DUMMYFUNCTION("""COMPUTED_VALUE"""),"myt_phyoko.ko44")</f>
        <v>myt_phyoko.ko44</v>
      </c>
      <c r="L19" s="392">
        <f t="shared" si="1"/>
        <v>10</v>
      </c>
      <c r="M19" s="393" t="str">
        <f>IFERROR(__xludf.DUMMYFUNCTION("if(and(K19="""",K18=""""),"""", textjoin(""+ "",TRUE,Filter(A:A,B:B=K19)))"),"TNI0288+ TNI0072+ TNI0256+ TNI0265+ TNI0321+ TNI0245+ TNI0198: 8KVA+ TNI0312: 12KVA+ TNI0019: 8KVA+ TNI0278")</f>
        <v>TNI0288+ TNI0072+ TNI0256+ TNI0265+ TNI0321+ TNI0245+ TNI0198: 8KVA+ TNI0312: 12KVA+ TNI0019: 8KVA+ TNI0278</v>
      </c>
      <c r="N19" s="380"/>
      <c r="O19" s="379"/>
      <c r="P19" s="400" t="str">
        <f>IFERROR(__xludf.DUMMYFUNCTION("TEXTJOIN(
  ""=*="", TRUE,
  FILTER(
    C16:C1000 &amp; "" ++ "" &amp; D16:D1000,
    ISNUMBER(
      MATCH(
        A16:A1000,
        UNIQUE(
          FILTER(
            SPLIT(REGEXREPLACE(O19, ""(?i)(\bTNI\d{4}\b)"", ""|$1|""), ""|""),
            REGEXMATC"&amp;"H(
              SPLIT(REGEXREPLACE(O19, ""(?i)(\bTNI\d{4}\b)"", ""|$1|""), ""|""),
              ""(?i)^TNI\d{4}$""
            )
          )
        ),
        0
      )
    )
  )
)"),"#N/A")</f>
        <v>#N/A</v>
      </c>
      <c r="Q19" s="372"/>
      <c r="R19" s="372"/>
      <c r="S19" s="402"/>
      <c r="T19" s="402"/>
      <c r="U19" s="402"/>
      <c r="V19" s="402"/>
      <c r="W19" s="402"/>
      <c r="X19" s="402"/>
      <c r="Y19" s="402"/>
      <c r="Z19" s="402"/>
      <c r="AA19" s="402"/>
      <c r="AB19" s="402"/>
      <c r="AC19" s="402"/>
      <c r="AD19" s="372"/>
      <c r="AE19" s="372"/>
      <c r="AF19" s="372"/>
      <c r="AG19" s="372"/>
      <c r="AH19" s="372"/>
      <c r="AI19" s="372"/>
      <c r="AJ19" s="372"/>
      <c r="AK19" s="372"/>
      <c r="AL19" s="372"/>
      <c r="AM19" s="372"/>
    </row>
    <row r="20">
      <c r="A20" s="379" t="s">
        <v>383</v>
      </c>
      <c r="B20" s="379" t="str">
        <f t="array" ref="B20">if(len(A20)&lt;5,"-", iferror(Xlookup($A20,'Input WO'!$E:$E,'Input WO'!$F:$F),Xlookup($A20,'Input task'!$T:$T,'Input task'!$S:$S)
))</f>
        <v/>
      </c>
      <c r="C20" s="398" t="str">
        <f>IFERROR(__xludf.DUMMYFUNCTION("if(len($A20)&lt;5,""-"",iferror(TEXTJOIN("" |=***=| "",TRUE,filter('Input task'!$D:$D&amp;"" : ""&amp;'Input task'!$E:$E&amp;"" : ""&amp;'Input task'!$K:$K&amp;"" + ""&amp;'Input task'!$H:$H,'Input task'!$J:$J="""",'Input task'!$T:$T=$A20)),""No see""))"),"No see")</f>
        <v>No see</v>
      </c>
      <c r="D20" s="379" t="str">
        <f>IFERROR(__xludf.DUMMYFUNCTION("if(len($A20)&lt;5,""-"",iferror(TEXTJOIN("" |=***=| "",TRUE,FILTER(('Input WO'!$A:$A&amp;"" + ""&amp;'Input WO'!$B:$B&amp;"" : ""&amp;'Input WO'!$C:$C&amp;"" + ""&amp;'Input WO'!$F:$F),'Input WO'!$E:$E=$A20)),""No see""))"),"WO_WFM-OTHERS_20260623_123612937 + Cable routes measure-AC-TNI0295-JB(TNI0012-TNI0015) : 439.03 +  |=***=| WO_WFM-OTHERS_20260623_123613155 + Cable routes measure-AC-TNI0295-JB(TNI0012-TNI0015) : 439.03 + myt_khantchaw.nyo |=***=| WO_WFM-OTHERS_20260622_1"&amp;"23603232 + TNI0295_Cleaning Radiator and change engine oil : -41.95 + myt_khantchaw.nyo |=***=| WO_ICMS_20260623_123615069 + TNI0295 MYT_Routine_Maintenance_Mytel_Station MYT_RTE_MTE_SB_STN : 886.64 + myt_tinmaung.win")</f>
        <v>WO_WFM-OTHERS_20260623_123612937 + Cable routes measure-AC-TNI0295-JB(TNI0012-TNI0015) : 439.03 +  |=***=| WO_WFM-OTHERS_20260623_123613155 + Cable routes measure-AC-TNI0295-JB(TNI0012-TNI0015) : 439.03 + myt_khantchaw.nyo |=***=| WO_WFM-OTHERS_20260622_123603232 + TNI0295_Cleaning Radiator and change engine oil : -41.95 + myt_khantchaw.nyo |=***=| WO_ICMS_20260623_123615069 + TNI0295 MYT_Routine_Maintenance_Mytel_Station MYT_RTE_MTE_SB_STN : 886.64 + myt_tinmaung.win</v>
      </c>
      <c r="E20" s="379"/>
      <c r="F20" s="372"/>
      <c r="G20" s="372"/>
      <c r="H20" s="372"/>
      <c r="I20" s="372"/>
      <c r="J20" s="399" t="s">
        <v>363</v>
      </c>
      <c r="K20" s="391" t="str">
        <f>IFERROR(__xludf.DUMMYFUNCTION("""COMPUTED_VALUE"""),"myt_pyaephyo.zaw")</f>
        <v>myt_pyaephyo.zaw</v>
      </c>
      <c r="L20" s="392">
        <f t="shared" si="1"/>
        <v>1</v>
      </c>
      <c r="M20" s="393" t="str">
        <f>IFERROR(__xludf.DUMMYFUNCTION("if(and(K20="""",K19=""""),"""", textjoin(""+ "",TRUE,Filter(A:A,B:B=K20)))"),"TNI0009")</f>
        <v>TNI0009</v>
      </c>
      <c r="N20" s="379"/>
      <c r="O20" s="379"/>
      <c r="P20" s="400" t="str">
        <f t="shared" ref="P20:P25" si="2">textjoin(" /=/ ",TRUE,N20,L20,O20)</f>
        <v>1</v>
      </c>
      <c r="Q20" s="372"/>
      <c r="R20" s="372"/>
      <c r="S20" s="402"/>
      <c r="T20" s="402"/>
      <c r="U20" s="402"/>
      <c r="V20" s="402"/>
      <c r="W20" s="402"/>
      <c r="X20" s="402"/>
      <c r="Y20" s="402"/>
      <c r="Z20" s="402"/>
      <c r="AA20" s="402"/>
      <c r="AB20" s="402"/>
      <c r="AC20" s="402"/>
      <c r="AD20" s="372"/>
      <c r="AE20" s="372"/>
      <c r="AF20" s="372"/>
      <c r="AG20" s="372"/>
      <c r="AH20" s="372"/>
      <c r="AI20" s="372"/>
      <c r="AJ20" s="372"/>
      <c r="AK20" s="372"/>
      <c r="AL20" s="372"/>
      <c r="AM20" s="372"/>
    </row>
    <row r="21">
      <c r="A21" s="379" t="s">
        <v>212</v>
      </c>
      <c r="B21" s="379" t="str">
        <f t="array" ref="B21">if(len(A21)&lt;5,"-", iferror(Xlookup($A21,'Input WO'!$E:$E,'Input WO'!$F:$F),Xlookup($A21,'Input task'!$T:$T,'Input task'!$S:$S)
))</f>
        <v/>
      </c>
      <c r="C21" s="398" t="str">
        <f>IFERROR(__xludf.DUMMYFUNCTION("if(len($A21)&lt;5,""-"",iferror(TEXTJOIN("" |=***=| "",TRUE,filter('Input task'!$D:$D&amp;"" : ""&amp;'Input task'!$E:$E&amp;"" : ""&amp;'Input task'!$K:$K&amp;"" + ""&amp;'Input task'!$H:$H,'Input task'!$J:$J="""",'Input task'!$T:$T=$A21)),""No see""))"),"PVC PLAN : TNI0202 need to cover pvc pipe :  + ")</f>
        <v>PVC PLAN : TNI0202 need to cover pvc pipe :  + </v>
      </c>
      <c r="D21" s="379" t="str">
        <f>IFERROR(__xludf.DUMMYFUNCTION("if(len($A21)&lt;5,""-"",iferror(TEXTJOIN("" |=***=| "",TRUE,FILTER(('Input WO'!$A:$A&amp;"" + ""&amp;'Input WO'!$B:$B&amp;"" : ""&amp;'Input WO'!$C:$C&amp;"" + ""&amp;'Input WO'!$F:$F),'Input WO'!$E:$E=$A21)),""No see""))"),"WO_WFM-OTHERS_20260623_123612938 + Cable routes measure-AC-TNI0202-TNIM090 : 439.03 +  |=***=| WO_WFM-OTHERS_20260623_123613156 + Cable routes measure-AC-TNI0202-TNIM090 : 439.03 + myt_khantchaw.nyo")</f>
        <v>WO_WFM-OTHERS_20260623_123612938 + Cable routes measure-AC-TNI0202-TNIM090 : 439.03 +  |=***=| WO_WFM-OTHERS_20260623_123613156 + Cable routes measure-AC-TNI0202-TNIM090 : 439.03 + myt_khantchaw.nyo</v>
      </c>
      <c r="E21" s="379"/>
      <c r="F21" s="372"/>
      <c r="G21" s="372"/>
      <c r="H21" s="372"/>
      <c r="I21" s="372"/>
      <c r="J21" s="399" t="s">
        <v>363</v>
      </c>
      <c r="K21" s="391" t="str">
        <f>IFERROR(__xludf.DUMMYFUNCTION("""COMPUTED_VALUE"""),"myt_pyikyaw.aung")</f>
        <v>myt_pyikyaw.aung</v>
      </c>
      <c r="L21" s="392">
        <f t="shared" si="1"/>
        <v>14</v>
      </c>
      <c r="M21" s="393" t="str">
        <f>IFERROR(__xludf.DUMMYFUNCTION("if(and(K21="""",K20=""""),"""", textjoin(""+ "",TRUE,Filter(A:A,B:B=K21)))"),"TNI0228: 8KVA+ TNI0381+ TNI0036+ TNI0024+ TNI0048+ TNI0413: 12DKVA+ TNI0241+ TNI0279+ TNI0028+ TNI0091+ TNI0290+ TNI0044+ TNI0239+ TNI0413")</f>
        <v>TNI0228: 8KVA+ TNI0381+ TNI0036+ TNI0024+ TNI0048+ TNI0413: 12DKVA+ TNI0241+ TNI0279+ TNI0028+ TNI0091+ TNI0290+ TNI0044+ TNI0239+ TNI0413</v>
      </c>
      <c r="N21" s="379"/>
      <c r="O21" s="379"/>
      <c r="P21" s="400" t="str">
        <f t="shared" si="2"/>
        <v>14</v>
      </c>
      <c r="Q21" s="372"/>
      <c r="R21" s="372"/>
      <c r="S21" s="402"/>
      <c r="T21" s="402"/>
      <c r="U21" s="402"/>
      <c r="V21" s="402"/>
      <c r="W21" s="402"/>
      <c r="X21" s="402"/>
      <c r="Y21" s="402"/>
      <c r="Z21" s="402"/>
      <c r="AA21" s="402"/>
      <c r="AB21" s="402"/>
      <c r="AC21" s="402"/>
      <c r="AD21" s="372"/>
      <c r="AE21" s="372"/>
      <c r="AF21" s="372"/>
      <c r="AG21" s="372"/>
      <c r="AH21" s="372"/>
      <c r="AI21" s="372"/>
      <c r="AJ21" s="372"/>
      <c r="AK21" s="372"/>
      <c r="AL21" s="372"/>
      <c r="AM21" s="372"/>
    </row>
    <row r="22">
      <c r="A22" s="379" t="s">
        <v>216</v>
      </c>
      <c r="B22" s="379" t="str">
        <f t="array" ref="B22">if(len(A22)&lt;5,"-", iferror(Xlookup($A22,'Input WO'!$E:$E,'Input WO'!$F:$F),Xlookup($A22,'Input task'!$T:$T,'Input task'!$S:$S)
))</f>
        <v/>
      </c>
      <c r="C22" s="398" t="str">
        <f>IFERROR(__xludf.DUMMYFUNCTION("if(len($A22)&lt;5,""-"",iferror(TEXTJOIN("" |=***=| "",TRUE,filter('Input task'!$D:$D&amp;"" : ""&amp;'Input task'!$E:$E&amp;"" : ""&amp;'Input task'!$K:$K&amp;"" + ""&amp;'Input task'!$H:$H,'Input task'!$J:$J="""",'Input task'!$T:$T=$A22)),""No see""))"),"Return to send Branch Office : TNI0015 Recall PU : 1 Pcs Serial: 219559879293 :  +  |=***=| Request Export material : TNI0015-TNI0012&gt;&gt; Closure 1pcs, Cable 300m :  + VCM859716-Khant Chaw Nyo, VCM818134-Tin Maung Win |=***=| Aircon installation : TNI0015 n"&amp;"eed to install aircon 1 pcs :  +  |=***=| Change MBB : TNI0015 Need to change shoto battery 5 pcs :  +  |=***=| Check&amp;fixing Main Node Site : TNI0015, Check&amp;fixing Main Node &gt;&gt; Check power status and equipment room (Grounding, Air Con , Fire extinguisher,"&amp;" Light Bulb, ATS, DG Maintenance&gt;&gt; Check engine oil and filter change date) , all cabel into site from undergroun or not, Site Cleaning, Last pole status  :  +  |=***=| Surrvey Cable update form : TNI0015-TNI0012 Cable Broken many time, Check buy mapsme a"&amp;"nd sent kmz file and need to repair point and repair deploy new cable :  + ")</f>
        <v>Return to send Branch Office : TNI0015 Recall PU : 1 Pcs Serial: 219559879293 :  +  |=***=| Request Export material : TNI0015-TNI0012&gt;&gt; Closure 1pcs, Cable 300m :  + VCM859716-Khant Chaw Nyo, VCM818134-Tin Maung Win |=***=| Aircon installation : TNI0015 need to install aircon 1 pcs :  +  |=***=| Change MBB : TNI0015 Need to change shoto battery 5 pcs :  +  |=***=| Check&amp;fixing Main Node Site : TNI0015, Check&amp;fixing Main Node &gt;&gt; Check power status and equipment room (Grounding, Air Con , Fire extinguisher, Light Bulb, ATS, DG Maintenance&gt;&gt; Check engine oil and filter change date) , all cabel into site from undergroun or not, Site Cleaning, Last pole status  :  +  |=***=| Surrvey Cable update form : TNI0015-TNI0012 Cable Broken many time, Check buy mapsme and sent kmz file and need to repair point and repair deploy new cable :  + </v>
      </c>
      <c r="D22" s="379" t="str">
        <f>IFERROR(__xludf.DUMMYFUNCTION("if(len($A22)&lt;5,""-"",iferror(TEXTJOIN("" |=***=| "",TRUE,FILTER(('Input WO'!$A:$A&amp;"" + ""&amp;'Input WO'!$B:$B&amp;"" : ""&amp;'Input WO'!$C:$C&amp;"" + ""&amp;'Input WO'!$F:$F),'Input WO'!$E:$E=$A22)),""No see""))"),"WO_WFM-OTHERS_20260623_123612931 + Cable routes measure-BB-TNI0015-TNI0012 : 439.03 +  |=***=| WO_WFM-OTHERS_20260623_123616292 + Cable Patrol for (BB)-TNI0015-TNI0012 : 439.03 + myt_khantchaw.nyo |=***=| WO_WFM-OTHERS_20260623_123613149 + Cable routes me"&amp;"asure-BB-TNI0015-TNI0012 : 439.03 + myt_khantchaw.nyo |=***=| WO_WFM-OTHERS_20260623_123613139 + Cable routes measure-BB-TNI0015-TNIM022 : 439.03 + myt_sithu.htun |=***=| WO_WFM-OTHERS_20260623_123612922 + Cable routes measure-BB-TNI0015-TNIM022 : 439.03 "&amp;"+ myt_sithu.htun |=***=| WO_ICMS_20260623_123613511 + TNI0015 MYT_Routine_Maintenance_Main_Station MYT_RTE_MTE_MAIN_STN : 502.17 + myt_tinmaung.win |=***=| WO_QLCTKT_20260619_123565995 + TNI0015 MYT_Routine_Maintenance_Main_Station_VCM : 247.05 + myt_tinm"&amp;"aung.win")</f>
        <v>WO_WFM-OTHERS_20260623_123612931 + Cable routes measure-BB-TNI0015-TNI0012 : 439.03 +  |=***=| WO_WFM-OTHERS_20260623_123616292 + Cable Patrol for (BB)-TNI0015-TNI0012 : 439.03 + myt_khantchaw.nyo |=***=| WO_WFM-OTHERS_20260623_123613149 + Cable routes measure-BB-TNI0015-TNI0012 : 439.03 + myt_khantchaw.nyo |=***=| WO_WFM-OTHERS_20260623_123613139 + Cable routes measure-BB-TNI0015-TNIM022 : 439.03 + myt_sithu.htun |=***=| WO_WFM-OTHERS_20260623_123612922 + Cable routes measure-BB-TNI0015-TNIM022 : 439.03 + myt_sithu.htun |=***=| WO_ICMS_20260623_123613511 + TNI0015 MYT_Routine_Maintenance_Main_Station MYT_RTE_MTE_MAIN_STN : 502.17 + myt_tinmaung.win |=***=| WO_QLCTKT_20260619_123565995 + TNI0015 MYT_Routine_Maintenance_Main_Station_VCM : 247.05 + myt_tinmaung.win</v>
      </c>
      <c r="E22" s="379"/>
      <c r="F22" s="372"/>
      <c r="G22" s="372"/>
      <c r="H22" s="372"/>
      <c r="I22" s="372"/>
      <c r="J22" s="399" t="s">
        <v>363</v>
      </c>
      <c r="K22" s="391" t="str">
        <f>IFERROR(__xludf.DUMMYFUNCTION("""COMPUTED_VALUE"""),"myt_sithu.htun")</f>
        <v>myt_sithu.htun</v>
      </c>
      <c r="L22" s="392">
        <f t="shared" si="1"/>
        <v>6</v>
      </c>
      <c r="M22" s="393" t="str">
        <f>IFERROR(__xludf.DUMMYFUNCTION("if(and(K22="""",K21=""""),"""", textjoin(""+ "",TRUE,Filter(A:A,B:B=K22)))"),"TNI0345+ TNI0136+ TNI0341+ TNI0209+ TNI0118+ TNI0008")</f>
        <v>TNI0345+ TNI0136+ TNI0341+ TNI0209+ TNI0118+ TNI0008</v>
      </c>
      <c r="N22" s="379"/>
      <c r="O22" s="379"/>
      <c r="P22" s="400" t="str">
        <f t="shared" si="2"/>
        <v>6</v>
      </c>
      <c r="Q22" s="372"/>
      <c r="R22" s="372"/>
      <c r="S22" s="402"/>
      <c r="T22" s="402"/>
      <c r="U22" s="402"/>
      <c r="V22" s="402"/>
      <c r="W22" s="402"/>
      <c r="X22" s="402"/>
      <c r="Y22" s="402"/>
      <c r="Z22" s="402"/>
      <c r="AA22" s="402"/>
      <c r="AB22" s="402"/>
      <c r="AC22" s="402"/>
      <c r="AD22" s="372"/>
      <c r="AE22" s="372"/>
      <c r="AF22" s="372"/>
      <c r="AG22" s="372"/>
      <c r="AH22" s="372"/>
      <c r="AI22" s="372"/>
      <c r="AJ22" s="372"/>
      <c r="AK22" s="372"/>
      <c r="AL22" s="372"/>
      <c r="AM22" s="372"/>
    </row>
    <row r="23">
      <c r="A23" s="379" t="s">
        <v>384</v>
      </c>
      <c r="B23" s="379" t="str">
        <f t="array" ref="B23">if(len(A23)&lt;5,"-", iferror(Xlookup($A23,'Input WO'!$E:$E,'Input WO'!$F:$F),Xlookup($A23,'Input task'!$T:$T,'Input task'!$S:$S)
))</f>
        <v/>
      </c>
      <c r="C23" s="398" t="str">
        <f>IFERROR(__xludf.DUMMYFUNCTION("if(len($A23)&lt;5,""-"",iferror(TEXTJOIN("" |=***=| "",TRUE,filter('Input task'!$D:$D&amp;"" : ""&amp;'Input task'!$E:$E&amp;"" : ""&amp;'Input task'!$K:$K&amp;"" + ""&amp;'Input task'!$H:$H,'Input task'!$J:$J="""",'Input task'!$T:$T=$A23)),""No see""))"),"Smart CB : TNI0120 Need to install smart CB :  +  |=***=| PVC PLAN : TNI0120 need to cover pvc pipe :  + ")</f>
        <v>Smart CB : TNI0120 Need to install smart CB :  +  |=***=| PVC PLAN : TNI0120 need to cover pvc pipe :  + </v>
      </c>
      <c r="D23" s="379" t="str">
        <f>IFERROR(__xludf.DUMMYFUNCTION("if(len($A23)&lt;5,""-"",iferror(TEXTJOIN("" |=***=| "",TRUE,FILTER(('Input WO'!$A:$A&amp;"" + ""&amp;'Input WO'!$B:$B&amp;"" : ""&amp;'Input WO'!$C:$C&amp;"" + ""&amp;'Input WO'!$F:$F),'Input WO'!$E:$E=$A23)),""No see""))"),"WO_WFM-OTHERS_20260623_123612933 + Cable routes measure-AC-TNI0120-TNI0202 : 439.03 +  |=***=| WO_WFM-OTHERS_20260623_123613151 + Cable routes measure-AC-TNI0120-TNI0202 : 439.03 + myt_khantchaw.nyo")</f>
        <v>WO_WFM-OTHERS_20260623_123612933 + Cable routes measure-AC-TNI0120-TNI0202 : 439.03 +  |=***=| WO_WFM-OTHERS_20260623_123613151 + Cable routes measure-AC-TNI0120-TNI0202 : 439.03 + myt_khantchaw.nyo</v>
      </c>
      <c r="E23" s="379"/>
      <c r="F23" s="372"/>
      <c r="G23" s="372"/>
      <c r="H23" s="372"/>
      <c r="I23" s="372"/>
      <c r="J23" s="399" t="s">
        <v>363</v>
      </c>
      <c r="K23" s="391" t="str">
        <f>IFERROR(__xludf.DUMMYFUNCTION("""COMPUTED_VALUE"""),"myt_tharhtoo.aung11")</f>
        <v>myt_tharhtoo.aung11</v>
      </c>
      <c r="L23" s="392">
        <f t="shared" si="1"/>
        <v>14</v>
      </c>
      <c r="M23" s="393" t="str">
        <f>IFERROR(__xludf.DUMMYFUNCTION("if(and(K23="""",K22=""""),"""", textjoin(""+ "",TRUE,Filter(A:A,B:B=K23)))"),"TNI0220+ TNI0390+ TNI0309+ TNI0314+ TNI0214+ TNI0305+ TNI0314: 30KVA+ TNI0129: 8KVA+ TNI0351: 12DKVA+ TNI0351+ TNI0043+ TNI0284: 12KVA+ TNI0283+ TNI0498")</f>
        <v>TNI0220+ TNI0390+ TNI0309+ TNI0314+ TNI0214+ TNI0305+ TNI0314: 30KVA+ TNI0129: 8KVA+ TNI0351: 12DKVA+ TNI0351+ TNI0043+ TNI0284: 12KVA+ TNI0283+ TNI0498</v>
      </c>
      <c r="N23" s="379"/>
      <c r="O23" s="379"/>
      <c r="P23" s="400" t="str">
        <f t="shared" si="2"/>
        <v>14</v>
      </c>
      <c r="Q23" s="372"/>
      <c r="R23" s="372"/>
      <c r="S23" s="402"/>
      <c r="T23" s="402"/>
      <c r="U23" s="402"/>
      <c r="V23" s="402"/>
      <c r="W23" s="402"/>
      <c r="X23" s="402"/>
      <c r="Y23" s="402"/>
      <c r="Z23" s="402"/>
      <c r="AA23" s="402"/>
      <c r="AB23" s="402"/>
      <c r="AC23" s="402"/>
      <c r="AD23" s="372"/>
      <c r="AE23" s="372"/>
      <c r="AF23" s="372"/>
      <c r="AG23" s="372"/>
      <c r="AH23" s="372"/>
      <c r="AI23" s="372"/>
      <c r="AJ23" s="372"/>
      <c r="AK23" s="372"/>
      <c r="AL23" s="372"/>
      <c r="AM23" s="372"/>
    </row>
    <row r="24">
      <c r="A24" s="379" t="s">
        <v>385</v>
      </c>
      <c r="B24" s="379" t="str">
        <f t="array" ref="B24">if(len(A24)&lt;5,"-", iferror(Xlookup($A24,'Input WO'!$E:$E,'Input WO'!$F:$F),Xlookup($A24,'Input task'!$T:$T,'Input task'!$S:$S)
))</f>
        <v/>
      </c>
      <c r="C24" s="398" t="str">
        <f>IFERROR(__xludf.DUMMYFUNCTION("if(len($A24)&lt;5,""-"",iferror(TEXTJOIN("" |=***=| "",TRUE,filter('Input task'!$D:$D&amp;"" : ""&amp;'Input task'!$E:$E&amp;"" : ""&amp;'Input task'!$K:$K&amp;"" + ""&amp;'Input task'!$H:$H,'Input task'!$J:$J="""",'Input task'!$T:$T=$A24)),""No see""))"),"Request Export material : TNI0057-TNI0080&gt;&gt; Closure 1 :  + VCM818134-Tin Maung Win, VCM859716-Khant Chaw Nyo |=***=| 100 point plan : TNI0057  100 point plan need to clean site overview inside and outeside and make to neatly patchord cable. :  + VCM818134"&amp;"-Tin Maung Win, VCM859716-Khant Chaw Nyo")</f>
        <v>Request Export material : TNI0057-TNI0080&gt;&gt; Closure 1 :  + VCM818134-Tin Maung Win, VCM859716-Khant Chaw Nyo |=***=| 100 point plan : TNI0057  100 point plan need to clean site overview inside and outeside and make to neatly patchord cable. :  + VCM818134-Tin Maung Win, VCM859716-Khant Chaw Nyo</v>
      </c>
      <c r="D24" s="379" t="str">
        <f>IFERROR(__xludf.DUMMYFUNCTION("if(len($A24)&lt;5,""-"",iferror(TEXTJOIN("" |=***=| "",TRUE,FILTER(('Input WO'!$A:$A&amp;"" + ""&amp;'Input WO'!$B:$B&amp;"" : ""&amp;'Input WO'!$C:$C&amp;"" + ""&amp;'Input WO'!$F:$F),'Input WO'!$E:$E=$A24)),""No see""))"),"WO_WFM-OTHERS_20260623_123612936 + Cable routes measure-AC-TNI0057-TNIM029 : 439.03 +  |=***=| WO_WFM-OTHERS_20260623_123613154 + Cable routes measure-AC-TNI0057-TNIM029 : 439.03 + myt_khantchaw.nyo")</f>
        <v>WO_WFM-OTHERS_20260623_123612936 + Cable routes measure-AC-TNI0057-TNIM029 : 439.03 +  |=***=| WO_WFM-OTHERS_20260623_123613154 + Cable routes measure-AC-TNI0057-TNIM029 : 439.03 + myt_khantchaw.nyo</v>
      </c>
      <c r="E24" s="379"/>
      <c r="F24" s="372"/>
      <c r="G24" s="372"/>
      <c r="H24" s="372"/>
      <c r="I24" s="372"/>
      <c r="J24" s="399" t="s">
        <v>363</v>
      </c>
      <c r="K24" s="391" t="str">
        <f>IFERROR(__xludf.DUMMYFUNCTION("""COMPUTED_VALUE"""),"myt_tinmaung.win")</f>
        <v>myt_tinmaung.win</v>
      </c>
      <c r="L24" s="392">
        <f t="shared" si="1"/>
        <v>7</v>
      </c>
      <c r="M24" s="393" t="str">
        <f>IFERROR(__xludf.DUMMYFUNCTION("if(and(K24="""",K23=""""),"""", textjoin(""+ "",TRUE,Filter(A:A,B:B=K24)))"),"TNI0015: 12KVA+ TNI0243+ TNI0016+ TNI0080+ TNI0229+ TNI0282+ TNI0392: 12DKVA")</f>
        <v>TNI0015: 12KVA+ TNI0243+ TNI0016+ TNI0080+ TNI0229+ TNI0282+ TNI0392: 12DKVA</v>
      </c>
      <c r="N24" s="379"/>
      <c r="O24" s="379"/>
      <c r="P24" s="400" t="str">
        <f t="shared" si="2"/>
        <v>7</v>
      </c>
      <c r="Q24" s="372"/>
      <c r="R24" s="372"/>
      <c r="S24" s="402"/>
      <c r="T24" s="402"/>
      <c r="U24" s="402"/>
      <c r="V24" s="402"/>
      <c r="W24" s="402"/>
      <c r="X24" s="402"/>
      <c r="Y24" s="402"/>
      <c r="Z24" s="402"/>
      <c r="AA24" s="402"/>
      <c r="AB24" s="402"/>
      <c r="AC24" s="402"/>
      <c r="AD24" s="372"/>
      <c r="AE24" s="372"/>
      <c r="AF24" s="372"/>
      <c r="AG24" s="372"/>
      <c r="AH24" s="372"/>
      <c r="AI24" s="372"/>
      <c r="AJ24" s="372"/>
      <c r="AK24" s="372"/>
      <c r="AL24" s="372"/>
      <c r="AM24" s="372"/>
    </row>
    <row r="25">
      <c r="A25" s="379" t="s">
        <v>386</v>
      </c>
      <c r="B25" s="379" t="str">
        <f t="array" ref="B25">if(len(A25)&lt;5,"-", iferror(Xlookup($A25,'Input WO'!$E:$E,'Input WO'!$F:$F),Xlookup($A25,'Input task'!$T:$T,'Input task'!$S:$S)
))</f>
        <v/>
      </c>
      <c r="C25" s="398" t="str">
        <f>IFERROR(__xludf.DUMMYFUNCTION("if(len($A25)&lt;5,""-"",iferror(TEXTJOIN("" |=***=| "",TRUE,filter('Input task'!$D:$D&amp;"" : ""&amp;'Input task'!$E:$E&amp;"" : ""&amp;'Input task'!$K:$K&amp;"" + ""&amp;'Input task'!$H:$H,'Input task'!$J:$J="""",'Input task'!$T:$T=$A25)),""No see""))"),"Grid fail long time : TNI0268 check Main fail alarm long time :  + #REF!")</f>
        <v>Grid fail long time : TNI0268 check Main fail alarm long time :  + #REF!</v>
      </c>
      <c r="D25" s="379" t="str">
        <f>IFERROR(__xludf.DUMMYFUNCTION("if(len($A25)&lt;5,""-"",iferror(TEXTJOIN("" |=***=| "",TRUE,FILTER(('Input WO'!$A:$A&amp;"" + ""&amp;'Input WO'!$B:$B&amp;"" : ""&amp;'Input WO'!$C:$C&amp;"" + ""&amp;'Input WO'!$F:$F),'Input WO'!$E:$E=$A25)),""No see""))"),"WO_WFM-OTHERS_20260622_123603229 + TNI0268_Cleaning Radiator and change engine oil : -41.95 + ")</f>
        <v>WO_WFM-OTHERS_20260622_123603229 + TNI0268_Cleaning Radiator and change engine oil : -41.95 + </v>
      </c>
      <c r="E25" s="379"/>
      <c r="F25" s="372"/>
      <c r="G25" s="372"/>
      <c r="H25" s="372"/>
      <c r="I25" s="372"/>
      <c r="J25" s="399" t="s">
        <v>363</v>
      </c>
      <c r="K25" s="391" t="str">
        <f>IFERROR(__xludf.DUMMYFUNCTION("""COMPUTED_VALUE"""),"myt_tinnaing.lin11")</f>
        <v>myt_tinnaing.lin11</v>
      </c>
      <c r="L25" s="392">
        <f t="shared" si="1"/>
        <v>6</v>
      </c>
      <c r="M25" s="393" t="str">
        <f>IFERROR(__xludf.DUMMYFUNCTION("if(and(K25="""",K24=""""),"""", textjoin(""+ "",TRUE,Filter(A:A,B:B=K25)))"),"TNI0103: 8KVA+ TNI0105: 8KVA+ TNI0008: 12KVA+ TNI0348+ TNI0292+ TNI0212")</f>
        <v>TNI0103: 8KVA+ TNI0105: 8KVA+ TNI0008: 12KVA+ TNI0348+ TNI0292+ TNI0212</v>
      </c>
      <c r="N25" s="379"/>
      <c r="O25" s="379"/>
      <c r="P25" s="400" t="str">
        <f t="shared" si="2"/>
        <v>6</v>
      </c>
      <c r="Q25" s="372"/>
      <c r="R25" s="372"/>
      <c r="S25" s="372"/>
      <c r="T25" s="372"/>
      <c r="U25" s="372"/>
      <c r="V25" s="372"/>
      <c r="W25" s="372"/>
      <c r="X25" s="372"/>
      <c r="Y25" s="372"/>
      <c r="Z25" s="372"/>
      <c r="AA25" s="372"/>
      <c r="AB25" s="372"/>
      <c r="AC25" s="372"/>
      <c r="AD25" s="372"/>
      <c r="AE25" s="372"/>
      <c r="AF25" s="372"/>
      <c r="AG25" s="372"/>
      <c r="AH25" s="372"/>
      <c r="AI25" s="372"/>
      <c r="AJ25" s="372"/>
      <c r="AK25" s="372"/>
      <c r="AL25" s="372"/>
      <c r="AM25" s="372"/>
    </row>
    <row r="26">
      <c r="A26" s="379" t="s">
        <v>387</v>
      </c>
      <c r="B26" s="379" t="str">
        <f t="array" ref="B26">if(len(A26)&lt;5,"-", iferror(Xlookup($A26,'Input WO'!$E:$E,'Input WO'!$F:$F),Xlookup($A26,'Input task'!$T:$T,'Input task'!$S:$S)
))</f>
        <v/>
      </c>
      <c r="C26" s="398" t="str">
        <f>IFERROR(__xludf.DUMMYFUNCTION("if(len($A26)&lt;5,""-"",iferror(TEXTJOIN("" |=***=| "",TRUE,filter('Input task'!$D:$D&amp;"" : ""&amp;'Input task'!$E:$E&amp;"" : ""&amp;'Input task'!$K:$K&amp;"" + ""&amp;'Input task'!$H:$H,'Input task'!$J:$J="""",'Input task'!$T:$T=$A26)),""No see""))"),"PVC PLAN : TNI0252 need to cover pvc pipe :  + VCM846818-Wanna Oo, VCM818105-Pyi Kyaw Aung")</f>
        <v>PVC PLAN : TNI0252 need to cover pvc pipe :  + VCM846818-Wanna Oo, VCM818105-Pyi Kyaw Aung</v>
      </c>
      <c r="D26" s="379" t="str">
        <f>IFERROR(__xludf.DUMMYFUNCTION("if(len($A26)&lt;5,""-"",iferror(TEXTJOIN("" |=***=| "",TRUE,FILTER(('Input WO'!$A:$A&amp;"" + ""&amp;'Input WO'!$B:$B&amp;"" : ""&amp;'Input WO'!$C:$C&amp;"" + ""&amp;'Input WO'!$F:$F),'Input WO'!$E:$E=$A26)),""No see""))"),"WO_WFM-OTHERS_20260622_123603215 + TNI0252_Cleaning Radiator and change engine oil : -41.95 +  |=***=| WO_ICMS_20260623_123615114 + TNI0252 MYT_Routine_Maintenance_Mytel_Station MYT_RTE_MTE_SB_STN : 886.64 + myt_maung.maung11 |=***=| WO_QLCTKT_20260604_12"&amp;"3440371 + TNI0252 - Repair infrastructure - bla: Cleaning the station, remove grass, vines, tree, rubbish, recall unused equipment, material: Clean the station : -511.76 + myt_wanna.oo2 |=***=| WO_QLCTKT_20260604_123440370 + TNI0252 - Repair infrastructur"&amp;"e - bla: Maintenance the equipments: Maintenance ATS : -511.76 + myt_wanna.oo2")</f>
        <v>WO_WFM-OTHERS_20260622_123603215 + TNI0252_Cleaning Radiator and change engine oil : -41.95 +  |=***=| WO_ICMS_20260623_123615114 + TNI0252 MYT_Routine_Maintenance_Mytel_Station MYT_RTE_MTE_SB_STN : 886.64 + myt_maung.maung11 |=***=| WO_QLCTKT_20260604_123440371 + TNI0252 - Repair infrastructure - bla: Cleaning the station, remove grass, vines, tree, rubbish, recall unused equipment, material: Clean the station : -511.76 + myt_wanna.oo2 |=***=| WO_QLCTKT_20260604_123440370 + TNI0252 - Repair infrastructure - bla: Maintenance the equipments: Maintenance ATS : -511.76 + myt_wanna.oo2</v>
      </c>
      <c r="E26" s="379"/>
      <c r="F26" s="372"/>
      <c r="G26" s="372"/>
      <c r="H26" s="372"/>
      <c r="I26" s="372"/>
      <c r="J26" s="372"/>
      <c r="K26" s="369" t="str">
        <f>IFERROR(__xludf.DUMMYFUNCTION("""COMPUTED_VALUE"""),"myt_wanna.oo2")</f>
        <v>myt_wanna.oo2</v>
      </c>
      <c r="L26" s="369"/>
      <c r="M26" s="373"/>
      <c r="N26" s="369"/>
      <c r="O26" s="369"/>
      <c r="P26" s="374"/>
      <c r="Q26" s="372"/>
      <c r="R26" s="372"/>
      <c r="S26" s="372"/>
      <c r="T26" s="372"/>
      <c r="U26" s="372"/>
      <c r="V26" s="372"/>
      <c r="W26" s="372"/>
      <c r="X26" s="372"/>
      <c r="Y26" s="372"/>
      <c r="Z26" s="372"/>
      <c r="AA26" s="372"/>
      <c r="AB26" s="372"/>
      <c r="AC26" s="372"/>
      <c r="AD26" s="372"/>
      <c r="AE26" s="372"/>
      <c r="AF26" s="372"/>
      <c r="AG26" s="372"/>
      <c r="AH26" s="372"/>
      <c r="AI26" s="372"/>
      <c r="AJ26" s="372"/>
      <c r="AK26" s="372"/>
      <c r="AL26" s="372"/>
      <c r="AM26" s="372"/>
    </row>
    <row r="27">
      <c r="A27" s="379" t="s">
        <v>388</v>
      </c>
      <c r="B27" s="379" t="str">
        <f t="array" ref="B27">if(len(A27)&lt;5,"-", iferror(Xlookup($A27,'Input WO'!$E:$E,'Input WO'!$F:$F),Xlookup($A27,'Input task'!$T:$T,'Input task'!$S:$S)
))</f>
        <v/>
      </c>
      <c r="C27" s="398" t="str">
        <f>IFERROR(__xludf.DUMMYFUNCTION("if(len($A27)&lt;5,""-"",iferror(TEXTJOIN("" |=***=| "",TRUE,filter('Input task'!$D:$D&amp;"" : ""&amp;'Input task'!$E:$E&amp;"" : ""&amp;'Input task'!$K:$K&amp;"" + ""&amp;'Input task'!$H:$H,'Input task'!$J:$J="""",'Input task'!$T:$T=$A27)),""No see""))"),"Grid fail long time : TNI0242 check Main fail alarm long time :  + #REF!")</f>
        <v>Grid fail long time : TNI0242 check Main fail alarm long time :  + #REF!</v>
      </c>
      <c r="D27" s="379" t="str">
        <f>IFERROR(__xludf.DUMMYFUNCTION("if(len($A27)&lt;5,""-"",iferror(TEXTJOIN("" |=***=| "",TRUE,FILTER(('Input WO'!$A:$A&amp;"" + ""&amp;'Input WO'!$B:$B&amp;"" : ""&amp;'Input WO'!$C:$C&amp;"" + ""&amp;'Input WO'!$F:$F),'Input WO'!$E:$E=$A27)),""No see""))"),"WO_WFM-OTHERS_20260622_123603205 + TNI0242_Cleaning Radiator and change engine oil : -41.95 + ")</f>
        <v>WO_WFM-OTHERS_20260622_123603205 + TNI0242_Cleaning Radiator and change engine oil : -41.95 + </v>
      </c>
      <c r="E27" s="379"/>
      <c r="F27" s="372"/>
      <c r="G27" s="372"/>
      <c r="H27" s="372"/>
      <c r="I27" s="372"/>
      <c r="J27" s="372"/>
      <c r="K27" s="369"/>
      <c r="L27" s="369"/>
      <c r="M27" s="373"/>
      <c r="N27" s="369"/>
      <c r="O27" s="369"/>
      <c r="P27" s="374"/>
      <c r="Q27" s="372"/>
      <c r="R27" s="372"/>
      <c r="S27" s="372"/>
      <c r="T27" s="372"/>
      <c r="U27" s="372"/>
      <c r="V27" s="372"/>
      <c r="W27" s="372"/>
      <c r="X27" s="372"/>
      <c r="Y27" s="372"/>
      <c r="Z27" s="372"/>
      <c r="AA27" s="372"/>
      <c r="AB27" s="372"/>
      <c r="AC27" s="372"/>
      <c r="AD27" s="372"/>
      <c r="AE27" s="372"/>
      <c r="AF27" s="372"/>
      <c r="AG27" s="372"/>
      <c r="AH27" s="372"/>
      <c r="AI27" s="372"/>
      <c r="AJ27" s="372"/>
      <c r="AK27" s="372"/>
      <c r="AL27" s="372"/>
      <c r="AM27" s="372"/>
    </row>
    <row r="28">
      <c r="A28" s="379" t="s">
        <v>389</v>
      </c>
      <c r="B28" s="379" t="str">
        <f t="array" ref="B28">if(len(A28)&lt;5,"-", iferror(Xlookup($A28,'Input WO'!$E:$E,'Input WO'!$F:$F),Xlookup($A28,'Input task'!$T:$T,'Input task'!$S:$S)
))</f>
        <v/>
      </c>
      <c r="C28" s="398" t="str">
        <f>IFERROR(__xludf.DUMMYFUNCTION("if(len($A28)&lt;5,""-"",iferror(TEXTJOIN("" |=***=| "",TRUE,filter('Input task'!$D:$D&amp;"" : ""&amp;'Input task'!$E:$E&amp;"" : ""&amp;'Input task'!$K:$K&amp;"" + ""&amp;'Input task'!$H:$H,'Input task'!$J:$J="""",'Input task'!$T:$T=$A28)),""No see""))"),"No see")</f>
        <v>No see</v>
      </c>
      <c r="D28" s="379" t="str">
        <f>IFERROR(__xludf.DUMMYFUNCTION("if(len($A28)&lt;5,""-"",iferror(TEXTJOIN("" |=***=| "",TRUE,FILTER(('Input WO'!$A:$A&amp;"" + ""&amp;'Input WO'!$B:$B&amp;"" : ""&amp;'Input WO'!$C:$C&amp;"" + ""&amp;'Input WO'!$F:$F),'Input WO'!$E:$E=$A28)),""No see""))"),"WO_WFM-OTHERS_20260622_123603203 + TNI0240_Cleaning Radiator and change engine oil : -41.95 +  |=***=| WO_ICMS_20260625_123632737 + Patrolling cable routes TNI0240-TNI0266_00, TNI0240 + null – TNI0266 + null : 545.66 + myt_pyikyaw.aung")</f>
        <v>WO_WFM-OTHERS_20260622_123603203 + TNI0240_Cleaning Radiator and change engine oil : -41.95 +  |=***=| WO_ICMS_20260625_123632737 + Patrolling cable routes TNI0240-TNI0266_00, TNI0240 + null – TNI0266 + null : 545.66 + myt_pyikyaw.aung</v>
      </c>
      <c r="E28" s="379"/>
      <c r="F28" s="372"/>
      <c r="G28" s="372"/>
      <c r="H28" s="372"/>
      <c r="I28" s="372"/>
      <c r="J28" s="372"/>
      <c r="K28" s="369"/>
      <c r="L28" s="369"/>
      <c r="M28" s="373"/>
      <c r="N28" s="369"/>
      <c r="O28" s="369"/>
      <c r="P28" s="374"/>
      <c r="Q28" s="372"/>
      <c r="R28" s="372"/>
      <c r="S28" s="372"/>
      <c r="T28" s="372"/>
      <c r="U28" s="372"/>
      <c r="V28" s="372"/>
      <c r="W28" s="372"/>
      <c r="X28" s="372"/>
      <c r="Y28" s="372"/>
      <c r="Z28" s="372"/>
      <c r="AA28" s="372"/>
      <c r="AB28" s="372"/>
      <c r="AC28" s="372"/>
      <c r="AD28" s="372"/>
      <c r="AE28" s="372"/>
      <c r="AF28" s="372"/>
      <c r="AG28" s="372"/>
      <c r="AH28" s="372"/>
      <c r="AI28" s="372"/>
      <c r="AJ28" s="372"/>
      <c r="AK28" s="372"/>
      <c r="AL28" s="372"/>
      <c r="AM28" s="372"/>
    </row>
    <row r="29">
      <c r="A29" s="379" t="s">
        <v>390</v>
      </c>
      <c r="B29" s="379" t="str">
        <f t="array" ref="B29">if(len(A29)&lt;5,"-", iferror(Xlookup($A29,'Input WO'!$E:$E,'Input WO'!$F:$F),Xlookup($A29,'Input task'!$T:$T,'Input task'!$S:$S)
))</f>
        <v/>
      </c>
      <c r="C29" s="398" t="str">
        <f>IFERROR(__xludf.DUMMYFUNCTION("if(len($A29)&lt;5,""-"",iferror(TEXTJOIN("" |=***=| "",TRUE,filter('Input task'!$D:$D&amp;"" : ""&amp;'Input task'!$E:$E&amp;"" : ""&amp;'Input task'!$K:$K&amp;"" + ""&amp;'Input task'!$H:$H,'Input task'!$J:$J="""",'Input task'!$T:$T=$A29)),""No see""))"),"Smart CB : TNI0199 :  + ")</f>
        <v>Smart CB : TNI0199 :  + </v>
      </c>
      <c r="D29" s="379" t="str">
        <f>IFERROR(__xludf.DUMMYFUNCTION("if(len($A29)&lt;5,""-"",iferror(TEXTJOIN("" |=***=| "",TRUE,FILTER(('Input WO'!$A:$A&amp;"" + ""&amp;'Input WO'!$B:$B&amp;"" : ""&amp;'Input WO'!$C:$C&amp;"" + ""&amp;'Input WO'!$F:$F),'Input WO'!$E:$E=$A29)),""No see""))"),"WO_WFM-OTHERS_20260622_123603033 + TNI0199_Cleaning Radiator and change engine oil : -41.95 + ")</f>
        <v>WO_WFM-OTHERS_20260622_123603033 + TNI0199_Cleaning Radiator and change engine oil : -41.95 + </v>
      </c>
      <c r="E29" s="379"/>
      <c r="F29" s="372"/>
      <c r="G29" s="372"/>
      <c r="H29" s="372"/>
      <c r="I29" s="372"/>
      <c r="J29" s="372"/>
      <c r="K29" s="369"/>
      <c r="L29" s="369"/>
      <c r="M29" s="373"/>
      <c r="N29" s="369"/>
      <c r="O29" s="369"/>
      <c r="P29" s="374"/>
      <c r="Q29" s="372"/>
      <c r="R29" s="372"/>
      <c r="S29" s="372"/>
      <c r="T29" s="372"/>
      <c r="U29" s="372"/>
      <c r="V29" s="372"/>
      <c r="W29" s="372"/>
      <c r="X29" s="372"/>
      <c r="Y29" s="372"/>
      <c r="Z29" s="372"/>
      <c r="AA29" s="372"/>
      <c r="AB29" s="372"/>
      <c r="AC29" s="372"/>
      <c r="AD29" s="372"/>
      <c r="AE29" s="372"/>
      <c r="AF29" s="372"/>
      <c r="AG29" s="372"/>
      <c r="AH29" s="372"/>
      <c r="AI29" s="372"/>
      <c r="AJ29" s="372"/>
      <c r="AK29" s="372"/>
      <c r="AL29" s="372"/>
      <c r="AM29" s="372"/>
    </row>
    <row r="30">
      <c r="A30" s="379" t="s">
        <v>391</v>
      </c>
      <c r="B30" s="379" t="str">
        <f t="array" ref="B30">if(len(A30)&lt;5,"-", iferror(Xlookup($A30,'Input WO'!$E:$E,'Input WO'!$F:$F),Xlookup($A30,'Input task'!$T:$T,'Input task'!$S:$S)
))</f>
        <v/>
      </c>
      <c r="C30" s="398" t="str">
        <f>IFERROR(__xludf.DUMMYFUNCTION("if(len($A30)&lt;5,""-"",iferror(TEXTJOIN("" |=***=| "",TRUE,filter('Input task'!$D:$D&amp;"" : ""&amp;'Input task'!$E:$E&amp;"" : ""&amp;'Input task'!$K:$K&amp;"" + ""&amp;'Input task'!$H:$H,'Input task'!$J:$J="""",'Input task'!$T:$T=$A30)),""No see""))"),"Change MBB : TNI0090 Need to change shoto battery 4 pcs :  + ")</f>
        <v>Change MBB : TNI0090 Need to change shoto battery 4 pcs :  + </v>
      </c>
      <c r="D30" s="379" t="str">
        <f>IFERROR(__xludf.DUMMYFUNCTION("if(len($A30)&lt;5,""-"",iferror(TEXTJOIN("" |=***=| "",TRUE,FILTER(('Input WO'!$A:$A&amp;"" + ""&amp;'Input WO'!$B:$B&amp;"" : ""&amp;'Input WO'!$C:$C&amp;"" + ""&amp;'Input WO'!$F:$F),'Input WO'!$E:$E=$A30)),""No see""))"),"WO_WFM-OTHERS_20260622_123602900 + TNI0090_Cleaning Radiator and change engine oil : -41.95 + ")</f>
        <v>WO_WFM-OTHERS_20260622_123602900 + TNI0090_Cleaning Radiator and change engine oil : -41.95 + </v>
      </c>
      <c r="E30" s="379"/>
      <c r="F30" s="372"/>
      <c r="G30" s="372"/>
      <c r="H30" s="372"/>
      <c r="I30" s="372"/>
      <c r="J30" s="372"/>
      <c r="K30" s="369"/>
      <c r="L30" s="369"/>
      <c r="M30" s="373"/>
      <c r="N30" s="369"/>
      <c r="O30" s="369"/>
      <c r="P30" s="374"/>
      <c r="Q30" s="372"/>
      <c r="R30" s="372"/>
      <c r="S30" s="372"/>
      <c r="T30" s="372"/>
      <c r="U30" s="372"/>
      <c r="V30" s="372"/>
      <c r="W30" s="372"/>
      <c r="X30" s="372"/>
      <c r="Y30" s="372"/>
      <c r="Z30" s="372"/>
      <c r="AA30" s="372"/>
      <c r="AB30" s="372"/>
      <c r="AC30" s="372"/>
      <c r="AD30" s="372"/>
      <c r="AE30" s="372"/>
      <c r="AF30" s="372"/>
      <c r="AG30" s="372"/>
      <c r="AH30" s="372"/>
      <c r="AI30" s="372"/>
      <c r="AJ30" s="372"/>
      <c r="AK30" s="372"/>
      <c r="AL30" s="372"/>
      <c r="AM30" s="372"/>
    </row>
    <row r="31">
      <c r="A31" s="379" t="s">
        <v>392</v>
      </c>
      <c r="B31" s="379" t="str">
        <f t="array" ref="B31">if(len(A31)&lt;5,"-", iferror(Xlookup($A31,'Input WO'!$E:$E,'Input WO'!$F:$F),Xlookup($A31,'Input task'!$T:$T,'Input task'!$S:$S)
))</f>
        <v/>
      </c>
      <c r="C31" s="398" t="str">
        <f>IFERROR(__xludf.DUMMYFUNCTION("if(len($A31)&lt;5,""-"",iferror(TEXTJOIN("" |=***=| "",TRUE,filter('Input task'!$D:$D&amp;"" : ""&amp;'Input task'!$E:$E&amp;"" : ""&amp;'Input task'!$K:$K&amp;"" + ""&amp;'Input task'!$H:$H,'Input task'!$J:$J="""",'Input task'!$T:$T=$A31)),""No see""))"),"No see")</f>
        <v>No see</v>
      </c>
      <c r="D31" s="379" t="str">
        <f>IFERROR(__xludf.DUMMYFUNCTION("if(len($A31)&lt;5,""-"",iferror(TEXTJOIN("" |=***=| "",TRUE,FILTER(('Input WO'!$A:$A&amp;"" + ""&amp;'Input WO'!$B:$B&amp;"" : ""&amp;'Input WO'!$C:$C&amp;"" + ""&amp;'Input WO'!$F:$F),'Input WO'!$E:$E=$A31)),""No see""))"),"WO_WFM-OTHERS_20260622_123602756 + TNI0047_Cleaning Radiator and change engine oil : -41.95 + ")</f>
        <v>WO_WFM-OTHERS_20260622_123602756 + TNI0047_Cleaning Radiator and change engine oil : -41.95 + </v>
      </c>
      <c r="E31" s="379"/>
      <c r="F31" s="372"/>
      <c r="G31" s="372"/>
      <c r="H31" s="372"/>
      <c r="I31" s="372"/>
      <c r="J31" s="372"/>
      <c r="K31" s="369"/>
      <c r="L31" s="369"/>
      <c r="M31" s="373"/>
      <c r="N31" s="369"/>
      <c r="O31" s="369"/>
      <c r="P31" s="374"/>
      <c r="Q31" s="372"/>
      <c r="R31" s="372"/>
      <c r="S31" s="372"/>
      <c r="T31" s="372"/>
      <c r="U31" s="372"/>
      <c r="V31" s="372"/>
      <c r="W31" s="372"/>
      <c r="X31" s="372"/>
      <c r="Y31" s="372"/>
      <c r="Z31" s="372"/>
      <c r="AA31" s="372"/>
      <c r="AB31" s="372"/>
      <c r="AC31" s="372"/>
      <c r="AD31" s="372"/>
      <c r="AE31" s="372"/>
      <c r="AF31" s="372"/>
      <c r="AG31" s="372"/>
      <c r="AH31" s="372"/>
      <c r="AI31" s="372"/>
      <c r="AJ31" s="372"/>
      <c r="AK31" s="372"/>
      <c r="AL31" s="372"/>
      <c r="AM31" s="372"/>
    </row>
    <row r="32">
      <c r="A32" s="379" t="s">
        <v>393</v>
      </c>
      <c r="B32" s="379" t="str">
        <f t="array" ref="B32">if(len(A32)&lt;5,"-", iferror(Xlookup($A32,'Input WO'!$E:$E,'Input WO'!$F:$F),Xlookup($A32,'Input task'!$T:$T,'Input task'!$S:$S)
))</f>
        <v/>
      </c>
      <c r="C32" s="398" t="str">
        <f>IFERROR(__xludf.DUMMYFUNCTION("if(len($A32)&lt;5,""-"",iferror(TEXTJOIN("" |=***=| "",TRUE,filter('Input task'!$D:$D&amp;"" : ""&amp;'Input task'!$E:$E&amp;"" : ""&amp;'Input task'!$K:$K&amp;"" + ""&amp;'Input task'!$H:$H,'Input task'!$J:$J="""",'Input task'!$T:$T=$A32)),""No see""))"),"No see")</f>
        <v>No see</v>
      </c>
      <c r="D32" s="379" t="str">
        <f>IFERROR(__xludf.DUMMYFUNCTION("if(len($A32)&lt;5,""-"",iferror(TEXTJOIN("" |=***=| "",TRUE,FILTER(('Input WO'!$A:$A&amp;"" + ""&amp;'Input WO'!$B:$B&amp;"" : ""&amp;'Input WO'!$C:$C&amp;"" + ""&amp;'Input WO'!$F:$F),'Input WO'!$E:$E=$A32)),""No see""))"),"WO_WFM-OTHERS_20260622_123602829 + TNI0042_Cleaning Radiator and change engine oil : -41.95 +  |=***=| WO_ICMS_20260623_123611292 + TNI0042 MYT_Routine_Maintenance_Towerco_Station MYT_RTE_MTE_TCO_STN : 882.55 + myt_wanna.oo2")</f>
        <v>WO_WFM-OTHERS_20260622_123602829 + TNI0042_Cleaning Radiator and change engine oil : -41.95 +  |=***=| WO_ICMS_20260623_123611292 + TNI0042 MYT_Routine_Maintenance_Towerco_Station MYT_RTE_MTE_TCO_STN : 882.55 + myt_wanna.oo2</v>
      </c>
      <c r="E32" s="379"/>
      <c r="F32" s="372"/>
      <c r="G32" s="372"/>
      <c r="H32" s="372"/>
      <c r="I32" s="372"/>
      <c r="J32" s="372"/>
      <c r="K32" s="369"/>
      <c r="L32" s="369"/>
      <c r="M32" s="373"/>
      <c r="N32" s="369"/>
      <c r="O32" s="369"/>
      <c r="P32" s="374"/>
      <c r="Q32" s="372"/>
      <c r="R32" s="372"/>
      <c r="S32" s="372"/>
      <c r="T32" s="372"/>
      <c r="U32" s="372"/>
      <c r="V32" s="372"/>
      <c r="W32" s="372"/>
      <c r="X32" s="372"/>
      <c r="Y32" s="372"/>
      <c r="Z32" s="372"/>
      <c r="AA32" s="372"/>
      <c r="AB32" s="372"/>
      <c r="AC32" s="372"/>
      <c r="AD32" s="372"/>
      <c r="AE32" s="372"/>
      <c r="AF32" s="372"/>
      <c r="AG32" s="372"/>
      <c r="AH32" s="372"/>
      <c r="AI32" s="372"/>
      <c r="AJ32" s="372"/>
      <c r="AK32" s="372"/>
      <c r="AL32" s="372"/>
      <c r="AM32" s="372"/>
    </row>
    <row r="33">
      <c r="A33" s="379" t="s">
        <v>394</v>
      </c>
      <c r="B33" s="379" t="str">
        <f t="array" ref="B33">if(len(A33)&lt;5,"-", iferror(Xlookup($A33,'Input WO'!$E:$E,'Input WO'!$F:$F),Xlookup($A33,'Input task'!$T:$T,'Input task'!$S:$S)
))</f>
        <v/>
      </c>
      <c r="C33" s="398" t="str">
        <f>IFERROR(__xludf.DUMMYFUNCTION("if(len($A33)&lt;5,""-"",iferror(TEXTJOIN("" |=***=| "",TRUE,filter('Input task'!$D:$D&amp;"" : ""&amp;'Input task'!$E:$E&amp;"" : ""&amp;'Input task'!$K:$K&amp;"" + ""&amp;'Input task'!$H:$H,'Input task'!$J:$J="""",'Input task'!$T:$T=$A33)),""No see""))"),"Fixing Fuel Level Monitoring : TNI0040 Need to fix fuel level cannot monitoring at NMS. :  + ")</f>
        <v>Fixing Fuel Level Monitoring : TNI0040 Need to fix fuel level cannot monitoring at NMS. :  + </v>
      </c>
      <c r="D33" s="379" t="str">
        <f>IFERROR(__xludf.DUMMYFUNCTION("if(len($A33)&lt;5,""-"",iferror(TEXTJOIN("" |=***=| "",TRUE,FILTER(('Input WO'!$A:$A&amp;"" + ""&amp;'Input WO'!$B:$B&amp;"" : ""&amp;'Input WO'!$C:$C&amp;"" + ""&amp;'Input WO'!$F:$F),'Input WO'!$E:$E=$A33)),""No see""))"),"WO_WFM-OTHERS_20260622_123602735 + TNI0040_Cleaning Radiator and change engine oil : -41.95 +  |=***=| WO_QLCTKT_20260604_123438210 + TNI0040 MYT_Troubleshooting Solar Power System : -520.95 + myt_aunglwin.phyo |=***=| WO_QLCTKT_20260529_123389444 + TNI00"&amp;"40 MYT_Routine_Maintenance_Mytel_Station_VCM : 223.05 + myt_aunglwin.phyo |=***=| WO_QLCTKT_20260421_123051228 + TNI0040 MYT_Maintenacne_Solar : -1048.95 + myt_bhonehtet.aung |=***=| WO_WFM-OTHERS_20260623_123616236 + Cable Patrol for (AC)-TNI0040-TNIM026"&amp;" : 439.03 + myt_bonemyat.naing1")</f>
        <v>WO_WFM-OTHERS_20260622_123602735 + TNI0040_Cleaning Radiator and change engine oil : -41.95 +  |=***=| WO_QLCTKT_20260604_123438210 + TNI0040 MYT_Troubleshooting Solar Power System : -520.95 + myt_aunglwin.phyo |=***=| WO_QLCTKT_20260529_123389444 + TNI0040 MYT_Routine_Maintenance_Mytel_Station_VCM : 223.05 + myt_aunglwin.phyo |=***=| WO_QLCTKT_20260421_123051228 + TNI0040 MYT_Maintenacne_Solar : -1048.95 + myt_bhonehtet.aung |=***=| WO_WFM-OTHERS_20260623_123616236 + Cable Patrol for (AC)-TNI0040-TNIM026 : 439.03 + myt_bonemyat.naing1</v>
      </c>
      <c r="E33" s="379"/>
      <c r="F33" s="372"/>
      <c r="G33" s="372"/>
      <c r="H33" s="372"/>
      <c r="I33" s="372"/>
      <c r="J33" s="372"/>
      <c r="K33" s="369"/>
      <c r="L33" s="369"/>
      <c r="M33" s="373"/>
      <c r="N33" s="369"/>
      <c r="O33" s="369"/>
      <c r="P33" s="374"/>
      <c r="Q33" s="372"/>
      <c r="R33" s="372"/>
      <c r="S33" s="372"/>
      <c r="T33" s="372"/>
      <c r="U33" s="372"/>
      <c r="V33" s="372"/>
      <c r="W33" s="372"/>
      <c r="X33" s="372"/>
      <c r="Y33" s="372"/>
      <c r="Z33" s="372"/>
      <c r="AA33" s="372"/>
      <c r="AB33" s="372"/>
      <c r="AC33" s="372"/>
      <c r="AD33" s="372"/>
      <c r="AE33" s="372"/>
      <c r="AF33" s="372"/>
      <c r="AG33" s="372"/>
      <c r="AH33" s="372"/>
      <c r="AI33" s="372"/>
      <c r="AJ33" s="372"/>
      <c r="AK33" s="372"/>
      <c r="AL33" s="372"/>
      <c r="AM33" s="372"/>
    </row>
    <row r="34">
      <c r="A34" s="379" t="s">
        <v>395</v>
      </c>
      <c r="B34" s="379" t="str">
        <f t="array" ref="B34">if(len(A34)&lt;5,"-", iferror(Xlookup($A34,'Input WO'!$E:$E,'Input WO'!$F:$F),Xlookup($A34,'Input task'!$T:$T,'Input task'!$S:$S)
))</f>
        <v/>
      </c>
      <c r="C34" s="398" t="str">
        <f>IFERROR(__xludf.DUMMYFUNCTION("if(len($A34)&lt;5,""-"",iferror(TEXTJOIN("" |=***=| "",TRUE,filter('Input task'!$D:$D&amp;"" : ""&amp;'Input task'!$E:$E&amp;"" : ""&amp;'Input task'!$K:$K&amp;"" + ""&amp;'Input task'!$H:$H,'Input task'!$J:$J="""",'Input task'!$T:$T=$A34)),""No see""))"),"No see")</f>
        <v>No see</v>
      </c>
      <c r="D34" s="379" t="str">
        <f>IFERROR(__xludf.DUMMYFUNCTION("if(len($A34)&lt;5,""-"",iferror(TEXTJOIN("" |=***=| "",TRUE,FILTER(('Input WO'!$A:$A&amp;"" + ""&amp;'Input WO'!$B:$B&amp;"" : ""&amp;'Input WO'!$C:$C&amp;"" + ""&amp;'Input WO'!$F:$F),'Input WO'!$E:$E=$A34)),""No see""))"),"WO_WFM-OTHERS_20260622_123602814 + TNI0039_Cleaning Radiator and change engine oil : -41.95 +  |=***=| WO_QLCTKT_20260604_123438208 + TNI0039 MYT_Troubleshooting Solar Power System : -520.95 + myt_minpaing.oo")</f>
        <v>WO_WFM-OTHERS_20260622_123602814 + TNI0039_Cleaning Radiator and change engine oil : -41.95 +  |=***=| WO_QLCTKT_20260604_123438208 + TNI0039 MYT_Troubleshooting Solar Power System : -520.95 + myt_minpaing.oo</v>
      </c>
      <c r="E34" s="379"/>
      <c r="F34" s="372"/>
      <c r="G34" s="372"/>
      <c r="H34" s="372"/>
      <c r="I34" s="372"/>
      <c r="J34" s="372"/>
      <c r="K34" s="369"/>
      <c r="L34" s="369"/>
      <c r="M34" s="373"/>
      <c r="N34" s="369"/>
      <c r="O34" s="369"/>
      <c r="P34" s="374"/>
      <c r="Q34" s="372"/>
      <c r="R34" s="372"/>
      <c r="S34" s="372"/>
      <c r="T34" s="372"/>
      <c r="U34" s="372"/>
      <c r="V34" s="372"/>
      <c r="W34" s="372"/>
      <c r="X34" s="372"/>
      <c r="Y34" s="372"/>
      <c r="Z34" s="372"/>
      <c r="AA34" s="372"/>
      <c r="AB34" s="372"/>
      <c r="AC34" s="372"/>
      <c r="AD34" s="372"/>
      <c r="AE34" s="372"/>
      <c r="AF34" s="372"/>
      <c r="AG34" s="372"/>
      <c r="AH34" s="372"/>
      <c r="AI34" s="372"/>
      <c r="AJ34" s="372"/>
      <c r="AK34" s="372"/>
      <c r="AL34" s="372"/>
      <c r="AM34" s="372"/>
    </row>
    <row r="35">
      <c r="A35" s="379" t="s">
        <v>396</v>
      </c>
      <c r="B35" s="379" t="str">
        <f t="array" ref="B35">if(len(A35)&lt;5,"-", iferror(Xlookup($A35,'Input WO'!$E:$E,'Input WO'!$F:$F),Xlookup($A35,'Input task'!$T:$T,'Input task'!$S:$S)
))</f>
        <v/>
      </c>
      <c r="C35" s="398" t="str">
        <f>IFERROR(__xludf.DUMMYFUNCTION("if(len($A35)&lt;5,""-"",iferror(TEXTJOIN("" |=***=| "",TRUE,filter('Input task'!$D:$D&amp;"" : ""&amp;'Input task'!$E:$E&amp;"" : ""&amp;'Input task'!$K:$K&amp;"" + ""&amp;'Input task'!$H:$H,'Input task'!$J:$J="""",'Input task'!$T:$T=$A35)),""No see""))"),"No see")</f>
        <v>No see</v>
      </c>
      <c r="D35" s="379" t="str">
        <f>IFERROR(__xludf.DUMMYFUNCTION("if(len($A35)&lt;5,""-"",iferror(TEXTJOIN("" |=***=| "",TRUE,FILTER(('Input WO'!$A:$A&amp;"" + ""&amp;'Input WO'!$B:$B&amp;"" : ""&amp;'Input WO'!$C:$C&amp;"" + ""&amp;'Input WO'!$F:$F),'Input WO'!$E:$E=$A35)),""No see""))"),"WO_WFM-OTHERS_20260622_123602806 + TNI0020_Cleaning Radiator and change engine oil : -41.95 +  |=***=| WO_ICMS_20260623_123611293 + TNI0020 MYT_Routine_Maintenance_Towerco_Station MYT_RTE_MTE_TCO_STN : 882.55 + myt_ye.lin22")</f>
        <v>WO_WFM-OTHERS_20260622_123602806 + TNI0020_Cleaning Radiator and change engine oil : -41.95 +  |=***=| WO_ICMS_20260623_123611293 + TNI0020 MYT_Routine_Maintenance_Towerco_Station MYT_RTE_MTE_TCO_STN : 882.55 + myt_ye.lin22</v>
      </c>
      <c r="E35" s="379"/>
      <c r="F35" s="372"/>
      <c r="G35" s="372"/>
      <c r="H35" s="372"/>
      <c r="I35" s="372"/>
      <c r="J35" s="372"/>
      <c r="K35" s="369"/>
      <c r="L35" s="369"/>
      <c r="M35" s="373"/>
      <c r="N35" s="369"/>
      <c r="O35" s="369"/>
      <c r="P35" s="374"/>
      <c r="Q35" s="372"/>
      <c r="R35" s="372"/>
      <c r="S35" s="372"/>
      <c r="T35" s="372"/>
      <c r="U35" s="372"/>
      <c r="V35" s="372"/>
      <c r="W35" s="372"/>
      <c r="X35" s="372"/>
      <c r="Y35" s="372"/>
      <c r="Z35" s="372"/>
      <c r="AA35" s="372"/>
      <c r="AB35" s="372"/>
      <c r="AC35" s="372"/>
      <c r="AD35" s="372"/>
      <c r="AE35" s="372"/>
      <c r="AF35" s="372"/>
      <c r="AG35" s="372"/>
      <c r="AH35" s="372"/>
      <c r="AI35" s="372"/>
      <c r="AJ35" s="372"/>
      <c r="AK35" s="372"/>
      <c r="AL35" s="372"/>
      <c r="AM35" s="372"/>
    </row>
    <row r="36">
      <c r="A36" s="379" t="s">
        <v>397</v>
      </c>
      <c r="B36" s="379" t="str">
        <f t="array" ref="B36">if(len(A36)&lt;5,"-", iferror(Xlookup($A36,'Input WO'!$E:$E,'Input WO'!$F:$F),Xlookup($A36,'Input task'!$T:$T,'Input task'!$S:$S)
))</f>
        <v/>
      </c>
      <c r="C36" s="398" t="str">
        <f>IFERROR(__xludf.DUMMYFUNCTION("if(len($A36)&lt;5,""-"",iferror(TEXTJOIN("" |=***=| "",TRUE,filter('Input task'!$D:$D&amp;"" : ""&amp;'Input task'!$E:$E&amp;"" : ""&amp;'Input task'!$K:$K&amp;"" + ""&amp;'Input task'!$H:$H,'Input task'!$J:$J="""",'Input task'!$T:$T=$A36)),""No see""))"),"Return to send Branch Office : TNI0007 Recall PU : 1 Pcs Serial: 219561075269 :  +  |=***=| Request Export material : TNI0007-TNI0003&gt;&gt;F8 cable 200m,closure 2pcs :  +  |=***=| Request Export material : TNI0007-TNIM012&gt;&gt;24 FH cable 1.5km , 2closure :  +  |"&amp;"=***=| Request Export material : TNI0007-TNIM012&gt;&gt;Closure : 2 pcs, 24FX cable - 250 M :  +  |=***=| Fix quantity PU Working Abnormal : TNI0007 Need to check PU working abnormal at TNI0007 :  + VCM290207-Min Paing Oo |=***=| Check&amp;fixing Main Node Site : T"&amp;"NI0007, Check&amp;fixing Main Node &gt;&gt; Check power status and equipment room (Grounding, Air Con , Fire extinguisher, Light Bulb, ATS, DG Maintenance&gt;&gt; Check engine oil and filter change date) , all cabel into site from undergroun or not, Site Cleaning, Last p"&amp;"ole status  :  + ")</f>
        <v>Return to send Branch Office : TNI0007 Recall PU : 1 Pcs Serial: 219561075269 :  +  |=***=| Request Export material : TNI0007-TNI0003&gt;&gt;F8 cable 200m,closure 2pcs :  +  |=***=| Request Export material : TNI0007-TNIM012&gt;&gt;24 FH cable 1.5km , 2closure :  +  |=***=| Request Export material : TNI0007-TNIM012&gt;&gt;Closure : 2 pcs, 24FX cable - 250 M :  +  |=***=| Fix quantity PU Working Abnormal : TNI0007 Need to check PU working abnormal at TNI0007 :  + VCM290207-Min Paing Oo |=***=| Check&amp;fixing Main Node Site : TNI0007, Check&amp;fixing Main Node &gt;&gt; Check power status and equipment room (Grounding, Air Con , Fire extinguisher, Light Bulb, ATS, DG Maintenance&gt;&gt; Check engine oil and filter change date) , all cabel into site from undergroun or not, Site Cleaning, Last pole status  :  + </v>
      </c>
      <c r="D36" s="379" t="str">
        <f>IFERROR(__xludf.DUMMYFUNCTION("if(len($A36)&lt;5,""-"",iferror(TEXTJOIN("" |=***=| "",TRUE,FILTER(('Input WO'!$A:$A&amp;"" + ""&amp;'Input WO'!$B:$B&amp;"" : ""&amp;'Input WO'!$C:$C&amp;"" + ""&amp;'Input WO'!$F:$F),'Input WO'!$E:$E=$A36)),""No see""))"),"WO_WFM-OTHERS_20260622_123602767 + IP : TNI0007SRT001-TNI0164SRT001 and TNI0007SRT001-TNI0127SRT001 link down at 22/06/2026 : -209.45 +  |=***=| WO_WFM-OTHERS_20260410_122970759 + IP : TNI0007SRT001-TNI0164SRT001 link down informed to TNI SOS! at 09/04/20"&amp;"26 19:37:00 : -1841.45 +  |=***=| WO_ICMS_20260623_123613513 + TNI0007 MYT_Routine_Maintenance_Main_Station MYT_RTE_MTE_MAIN_STN : 502.17 + myt_minpaing.oo |=***=| WO_QLCTKT_20260522_123334804 + TNI0007 - Repair infrastructure - bla: Cleaning the station,"&amp;" remove grass, vines, tree, rubbish, recall unused equipment, material: Clean the station : -823.75 + myt_minpaing.oo")</f>
        <v>WO_WFM-OTHERS_20260622_123602767 + IP : TNI0007SRT001-TNI0164SRT001 and TNI0007SRT001-TNI0127SRT001 link down at 22/06/2026 : -209.45 +  |=***=| WO_WFM-OTHERS_20260410_122970759 + IP : TNI0007SRT001-TNI0164SRT001 link down informed to TNI SOS! at 09/04/2026 19:37:00 : -1841.45 +  |=***=| WO_ICMS_20260623_123613513 + TNI0007 MYT_Routine_Maintenance_Main_Station MYT_RTE_MTE_MAIN_STN : 502.17 + myt_minpaing.oo |=***=| WO_QLCTKT_20260522_123334804 + TNI0007 - Repair infrastructure - bla: Cleaning the station, remove grass, vines, tree, rubbish, recall unused equipment, material: Clean the station : -823.75 + myt_minpaing.oo</v>
      </c>
      <c r="E36" s="379"/>
      <c r="F36" s="372"/>
      <c r="G36" s="372"/>
      <c r="H36" s="372"/>
      <c r="I36" s="372"/>
      <c r="J36" s="372"/>
      <c r="K36" s="369"/>
      <c r="L36" s="369"/>
      <c r="M36" s="373"/>
      <c r="N36" s="369"/>
      <c r="O36" s="369"/>
      <c r="P36" s="374"/>
      <c r="Q36" s="372"/>
      <c r="R36" s="372"/>
      <c r="S36" s="372"/>
      <c r="T36" s="372"/>
      <c r="U36" s="372"/>
      <c r="V36" s="372"/>
      <c r="W36" s="372"/>
      <c r="X36" s="372"/>
      <c r="Y36" s="372"/>
      <c r="Z36" s="372"/>
      <c r="AA36" s="372"/>
      <c r="AB36" s="372"/>
      <c r="AC36" s="372"/>
      <c r="AD36" s="372"/>
      <c r="AE36" s="372"/>
      <c r="AF36" s="372"/>
      <c r="AG36" s="372"/>
      <c r="AH36" s="372"/>
      <c r="AI36" s="372"/>
      <c r="AJ36" s="372"/>
      <c r="AK36" s="372"/>
      <c r="AL36" s="372"/>
      <c r="AM36" s="372"/>
    </row>
    <row r="37">
      <c r="A37" s="379" t="s">
        <v>398</v>
      </c>
      <c r="B37" s="379" t="str">
        <f t="array" ref="B37">if(len(A37)&lt;5,"-", iferror(Xlookup($A37,'Input WO'!$E:$E,'Input WO'!$F:$F),Xlookup($A37,'Input task'!$T:$T,'Input task'!$S:$S)
))</f>
        <v/>
      </c>
      <c r="C37" s="398" t="str">
        <f>IFERROR(__xludf.DUMMYFUNCTION("if(len($A37)&lt;5,""-"",iferror(TEXTJOIN("" |=***=| "",TRUE,filter('Input task'!$D:$D&amp;"" : ""&amp;'Input task'!$E:$E&amp;"" : ""&amp;'Input task'!$K:$K&amp;"" + ""&amp;'Input task'!$H:$H,'Input task'!$J:$J="""",'Input task'!$T:$T=$A37)),""No see""))"),"Return to send Branch Office : TNI0250 Recall PU : 4 Pcs Serial: 219559879289, 219559879283, 219559879285, 219559879290 :  +  |=***=| Fixing Fuel Level Monitoring : TNI0250 Need to fix fuel level cannot monitoring at NMS. :  +  |=***=| CCTV : TNI0250 need"&amp;" repair CCTV :  +  |=***=| Check&amp;fixing Main Node Site : TNI0250, Check&amp;fixing Main Node &gt;&gt; Check power status and equipment room (Grounding, Air Con , Fire extinguisher, Light Bulb, ATS, DG Maintenance&gt;&gt; Check engine oil and filter change date) , all cab"&amp;"el into site from undergroun or not, Site Cleaning, Last pole status  :  +  |=***=| PVC PLAN : TNI0250 need to cover pvc pipe :  + ")</f>
        <v>Return to send Branch Office : TNI0250 Recall PU : 4 Pcs Serial: 219559879289, 219559879283, 219559879285, 219559879290 :  +  |=***=| Fixing Fuel Level Monitoring : TNI0250 Need to fix fuel level cannot monitoring at NMS. :  +  |=***=| CCTV : TNI0250 need repair CCTV :  +  |=***=| Check&amp;fixing Main Node Site : TNI0250, Check&amp;fixing Main Node &gt;&gt; Check power status and equipment room (Grounding, Air Con , Fire extinguisher, Light Bulb, ATS, DG Maintenance&gt;&gt; Check engine oil and filter change date) , all cabel into site from undergroun or not, Site Cleaning, Last pole status  :  +  |=***=| PVC PLAN : TNI0250 need to cover pvc pipe :  + </v>
      </c>
      <c r="D37" s="379" t="str">
        <f>IFERROR(__xludf.DUMMYFUNCTION("if(len($A37)&lt;5,""-"",iferror(TEXTJOIN("" |=***=| "",TRUE,FILTER(('Input WO'!$A:$A&amp;"" + ""&amp;'Input WO'!$B:$B&amp;"" : ""&amp;'Input WO'!$C:$C&amp;"" + ""&amp;'Input WO'!$F:$F),'Input WO'!$E:$E=$A37)),""No see""))"),"WO_WFM-OTHERS_20260622_123602688 + IP : TNI0250AGG001-TNI0031SRT001 link down at 22/06/2026 : -209.45 +  |=***=| WO_WFM-OTHERS_20260619_123576710 + IP : TNI0250AGG001-TNI0031SRT001 link down at 19/06/2026 : -281.45 +  |=***=| WO_WFM-OTHERS_20260610_123488"&amp;"266 + IP : TNI0250AGG001-TNI0031SRT001 link down at 08/06/2026 : -497.45 +  |=***=| WO_WFM-OTHERS_20260515_123281434 + IP : TNI0250AGG001-TNI0272SRT001 link down at 14/05/2026 15:52:03 : -1121.45 +  |=***=| WO_WFM-OTHERS_20260419_123036808 + IP : TNI0250A"&amp;"GG001-TNI0231SRT001, TNI0013AGG001-TNI0013GRVSRT001 and TNI0050SRT001-TNI0058SRT001 link down at 18/04/2026 16:23:00 : -1625.45 + ")</f>
        <v>WO_WFM-OTHERS_20260622_123602688 + IP : TNI0250AGG001-TNI0031SRT001 link down at 22/06/2026 : -209.45 +  |=***=| WO_WFM-OTHERS_20260619_123576710 + IP : TNI0250AGG001-TNI0031SRT001 link down at 19/06/2026 : -281.45 +  |=***=| WO_WFM-OTHERS_20260610_123488266 + IP : TNI0250AGG001-TNI0031SRT001 link down at 08/06/2026 : -497.45 +  |=***=| WO_WFM-OTHERS_20260515_123281434 + IP : TNI0250AGG001-TNI0272SRT001 link down at 14/05/2026 15:52:03 : -1121.45 +  |=***=| WO_WFM-OTHERS_20260419_123036808 + IP : TNI0250AGG001-TNI0231SRT001, TNI0013AGG001-TNI0013GRVSRT001 and TNI0050SRT001-TNI0058SRT001 link down at 18/04/2026 16:23:00 : -1625.45 + </v>
      </c>
      <c r="E37" s="379"/>
      <c r="F37" s="372"/>
      <c r="G37" s="372"/>
      <c r="H37" s="372"/>
      <c r="I37" s="372"/>
      <c r="J37" s="372"/>
      <c r="K37" s="369"/>
      <c r="L37" s="369"/>
      <c r="M37" s="373"/>
      <c r="N37" s="369"/>
      <c r="O37" s="369"/>
      <c r="P37" s="374"/>
      <c r="Q37" s="372"/>
      <c r="R37" s="372"/>
      <c r="S37" s="372"/>
      <c r="T37" s="372"/>
      <c r="U37" s="372"/>
      <c r="V37" s="372"/>
      <c r="W37" s="372"/>
      <c r="X37" s="372"/>
      <c r="Y37" s="372"/>
      <c r="Z37" s="372"/>
      <c r="AA37" s="372"/>
      <c r="AB37" s="372"/>
      <c r="AC37" s="372"/>
      <c r="AD37" s="372"/>
      <c r="AE37" s="372"/>
      <c r="AF37" s="372"/>
      <c r="AG37" s="372"/>
      <c r="AH37" s="372"/>
      <c r="AI37" s="372"/>
      <c r="AJ37" s="372"/>
      <c r="AK37" s="372"/>
      <c r="AL37" s="372"/>
      <c r="AM37" s="372"/>
    </row>
    <row r="38">
      <c r="A38" s="379" t="s">
        <v>399</v>
      </c>
      <c r="B38" s="379" t="str">
        <f t="array" ref="B38">if(len(A38)&lt;5,"-", iferror(Xlookup($A38,'Input WO'!$E:$E,'Input WO'!$F:$F),Xlookup($A38,'Input task'!$T:$T,'Input task'!$S:$S)
))</f>
        <v/>
      </c>
      <c r="C38" s="398" t="str">
        <f>IFERROR(__xludf.DUMMYFUNCTION("if(len($A38)&lt;5,""-"",iferror(TEXTJOIN("" |=***=| "",TRUE,filter('Input task'!$D:$D&amp;"" : ""&amp;'Input task'!$E:$E&amp;"" : ""&amp;'Input task'!$K:$K&amp;"" + ""&amp;'Input task'!$H:$H,'Input task'!$J:$J="""",'Input task'!$T:$T=$A38)),""No see""))"),"No see")</f>
        <v>No see</v>
      </c>
      <c r="D38" s="379" t="str">
        <f>IFERROR(__xludf.DUMMYFUNCTION("if(len($A38)&lt;5,""-"",iferror(TEXTJOIN("" |=***=| "",TRUE,FILTER(('Input WO'!$A:$A&amp;"" + ""&amp;'Input WO'!$B:$B&amp;"" : ""&amp;'Input WO'!$C:$C&amp;"" + ""&amp;'Input WO'!$F:$F),'Input WO'!$E:$E=$A38)),""No see""))"),"WO_WFM-OTHERS_20260622_123602669 + TNI0002_Cleaning Radiator and change engine oil : -41.95 +  |=***=| WO_WFM-OTHERS_20260623_123613127 + Cable routes measure-AC-TNI0002-TNI0048 : 439.03 + myt_pyikyaw.aung |=***=| WO_WFM-OTHERS_20260623_123612911 + Cable "&amp;"routes measure-AC-TNI0002-TNI0048 : 439.03 + myt_pyikyaw.aung |=***=| WO_WFM-OTHERS_20260623_123612909 + Cable routes measure-AC-TNI0002-TNI0003 : 439.03 + myt_pyikyaw.aung |=***=| WO_WFM-OTHERS_20260623_123613124 + Cable routes measure-AC-TNI0002-TNI0003"&amp;" : 439.03 + myt_wanna.oo2 |=***=| WO_WFM-OTHERS_20260623_123612917 + Cable routes measure-AC-TNI0002-TNI0077 : 439.03 + myt_wanna.oo2")</f>
        <v>WO_WFM-OTHERS_20260622_123602669 + TNI0002_Cleaning Radiator and change engine oil : -41.95 +  |=***=| WO_WFM-OTHERS_20260623_123613127 + Cable routes measure-AC-TNI0002-TNI0048 : 439.03 + myt_pyikyaw.aung |=***=| WO_WFM-OTHERS_20260623_123612911 + Cable routes measure-AC-TNI0002-TNI0048 : 439.03 + myt_pyikyaw.aung |=***=| WO_WFM-OTHERS_20260623_123612909 + Cable routes measure-AC-TNI0002-TNI0003 : 439.03 + myt_pyikyaw.aung |=***=| WO_WFM-OTHERS_20260623_123613124 + Cable routes measure-AC-TNI0002-TNI0003 : 439.03 + myt_wanna.oo2 |=***=| WO_WFM-OTHERS_20260623_123612917 + Cable routes measure-AC-TNI0002-TNI0077 : 439.03 + myt_wanna.oo2</v>
      </c>
      <c r="E38" s="379"/>
      <c r="F38" s="372"/>
      <c r="G38" s="372"/>
      <c r="H38" s="372"/>
      <c r="I38" s="372"/>
      <c r="J38" s="372"/>
      <c r="K38" s="369"/>
      <c r="L38" s="369"/>
      <c r="M38" s="373"/>
      <c r="N38" s="369"/>
      <c r="O38" s="369"/>
      <c r="P38" s="374"/>
      <c r="Q38" s="372"/>
      <c r="R38" s="372"/>
      <c r="S38" s="372"/>
      <c r="T38" s="372"/>
      <c r="U38" s="372"/>
      <c r="V38" s="372"/>
      <c r="W38" s="372"/>
      <c r="X38" s="372"/>
      <c r="Y38" s="372"/>
      <c r="Z38" s="372"/>
      <c r="AA38" s="372"/>
      <c r="AB38" s="372"/>
      <c r="AC38" s="372"/>
      <c r="AD38" s="372"/>
      <c r="AE38" s="372"/>
      <c r="AF38" s="372"/>
      <c r="AG38" s="372"/>
      <c r="AH38" s="372"/>
      <c r="AI38" s="372"/>
      <c r="AJ38" s="372"/>
      <c r="AK38" s="372"/>
      <c r="AL38" s="372"/>
      <c r="AM38" s="372"/>
    </row>
    <row r="39">
      <c r="A39" s="379" t="s">
        <v>400</v>
      </c>
      <c r="B39" s="379" t="str">
        <f t="array" ref="B39">if(len(A39)&lt;5,"-", iferror(Xlookup($A39,'Input WO'!$E:$E,'Input WO'!$F:$F),Xlookup($A39,'Input task'!$T:$T,'Input task'!$S:$S)
))</f>
        <v/>
      </c>
      <c r="C39" s="398" t="str">
        <f>IFERROR(__xludf.DUMMYFUNCTION("if(len($A39)&lt;5,""-"",iferror(TEXTJOIN("" |=***=| "",TRUE,filter('Input task'!$D:$D&amp;"" : ""&amp;'Input task'!$E:$E&amp;"" : ""&amp;'Input task'!$K:$K&amp;"" + ""&amp;'Input task'!$H:$H,'Input task'!$J:$J="""",'Input task'!$T:$T=$A39)),""No see""))"),"CCTV : TNI0013 need repair CCTV :  + VCM01-Thu Rain Niang, VCM818107-Thar Htoo Aung |=***=| Check&amp;fixing Main Node Site : TNI0013, Check&amp;fixing Main Node &gt;&gt; Check power status and equipment room (Grounding, Air Con , Fire extinguisher, Light Bulb, ATS, DG"&amp;" Maintenance&gt;&gt; Check engine oil and filter change date) , all cabel into site from undergroun or not, Site Cleaning, Last pole status  :  +  |=***=| Deploy cable : TNI0013-TNI394 need survey point change cable new :  + ")</f>
        <v>CCTV : TNI0013 need repair CCTV :  + VCM01-Thu Rain Niang, VCM818107-Thar Htoo Aung |=***=| Check&amp;fixing Main Node Site : TNI0013, Check&amp;fixing Main Node &gt;&gt; Check power status and equipment room (Grounding, Air Con , Fire extinguisher, Light Bulb, ATS, DG Maintenance&gt;&gt; Check engine oil and filter change date) , all cabel into site from undergroun or not, Site Cleaning, Last pole status  :  +  |=***=| Deploy cable : TNI0013-TNI394 need survey point change cable new :  + </v>
      </c>
      <c r="D39" s="379" t="str">
        <f>IFERROR(__xludf.DUMMYFUNCTION("if(len($A39)&lt;5,""-"",iferror(TEXTJOIN("" |=***=| "",TRUE,FILTER(('Input WO'!$A:$A&amp;"" + ""&amp;'Input WO'!$B:$B&amp;"" : ""&amp;'Input WO'!$C:$C&amp;"" + ""&amp;'Input WO'!$F:$F),'Input WO'!$E:$E=$A39)),""No see""))"),"WO_WFM-OTHERS_20260621_123593525 + IP : TNI0013AGG001-TNI0013GRVSRT001 link down at 21/06/2026 13:20:00 : -65.45 +  |=***=| WO_WFM-OTHERS_20260429_123145565 + IP : TNI0013AGG001-TNI0070SRT001 link down at 28/04/2026 19:09:00 : -1505.45 +  |=***=| WO_WFM-O"&amp;"THERS_20260625_123634105 + Cable Patrol for (BB)-TNI0013-TNI0005 : 439.03 + myt_bonemyat.naing1 |=***=| WO_ICMS_20260625_123632487 + Patrolling cable routes TNI0013-TNI0250_01_00, TNI0013 + null – TNI0250_01 + null : 545.65 + myt_bonemyat.naing1 |=***=| W"&amp;"O_ICMS_20260625_123632486 + Patrolling cable routes TNI0013-TNI0250_02_00, TNI0013 + null – TNI0250_02 + null : 545.65 + myt_bonemyat.naing1 |=***=| WO_WFM-OTHERS_20260623_123616203 + Cable Patrol for (BB)-TNI0013-TNIM021 : 439.03 + myt_bonemyat.naing1 |="&amp;"***=| WO_WFM-OTHERS_20260623_123613096 + Cable routes measure-BB-TNI0013-TNI0005 : 439.03 + myt_bonemyat.naing1 |=***=| WO_WFM-OTHERS_20260623_123613098 + Cable routes measure-BB-TNI0013-TNI0250_2 : 439.03 + myt_bonemyat.naing1 |=***=| WO_WFM-OTHERS_20260"&amp;"623_123612884 + Cable routes measure-BB-TNI0013-TNI0250_2 : 439.03 + myt_bonemyat.naing1 |=***=| WO_QLCTKT_20260619_123565997 + TNI0013 MYT_Routine_Maintenance_Main_Station_VCM : 247.05 + myt_bonemyat.naing1 |=***=| WO_QLCTKT_20260615_123533525 + TNI0013 "&amp;"Bảo dưỡng hạ tầng nhà trạm : -263.98 + myt_bonemyat.naing1 |=***=| WO_WFM-OTHERS_20260623_123616202 + Cable Patrol for (BB)-TNI0013-TNIM020 : 439.03 + myt_phyoko.ko44 |=***=| WO_WFM-OTHERS_20260622_123602698 + TNI0013_Cleaning Radiator and change engine o"&amp;"il : -41.95 + myt_phyoko.ko44")</f>
        <v>WO_WFM-OTHERS_20260621_123593525 + IP : TNI0013AGG001-TNI0013GRVSRT001 link down at 21/06/2026 13:20:00 : -65.45 +  |=***=| WO_WFM-OTHERS_20260429_123145565 + IP : TNI0013AGG001-TNI0070SRT001 link down at 28/04/2026 19:09:00 : -1505.45 +  |=***=| WO_WFM-OTHERS_20260625_123634105 + Cable Patrol for (BB)-TNI0013-TNI0005 : 439.03 + myt_bonemyat.naing1 |=***=| WO_ICMS_20260625_123632487 + Patrolling cable routes TNI0013-TNI0250_01_00, TNI0013 + null – TNI0250_01 + null : 545.65 + myt_bonemyat.naing1 |=***=| WO_ICMS_20260625_123632486 + Patrolling cable routes TNI0013-TNI0250_02_00, TNI0013 + null – TNI0250_02 + null : 545.65 + myt_bonemyat.naing1 |=***=| WO_WFM-OTHERS_20260623_123616203 + Cable Patrol for (BB)-TNI0013-TNIM021 : 439.03 + myt_bonemyat.naing1 |=***=| WO_WFM-OTHERS_20260623_123613096 + Cable routes measure-BB-TNI0013-TNI0005 : 439.03 + myt_bonemyat.naing1 |=***=| WO_WFM-OTHERS_20260623_123613098 + Cable routes measure-BB-TNI0013-TNI0250_2 : 439.03 + myt_bonemyat.naing1 |=***=| WO_WFM-OTHERS_20260623_123612884 + Cable routes measure-BB-TNI0013-TNI0250_2 : 439.03 + myt_bonemyat.naing1 |=***=| WO_QLCTKT_20260619_123565997 + TNI0013 MYT_Routine_Maintenance_Main_Station_VCM : 247.05 + myt_bonemyat.naing1 |=***=| WO_QLCTKT_20260615_123533525 + TNI0013 Bảo dưỡng hạ tầng nhà trạm : -263.98 + myt_bonemyat.naing1 |=***=| WO_WFM-OTHERS_20260623_123616202 + Cable Patrol for (BB)-TNI0013-TNIM020 : 439.03 + myt_phyoko.ko44 |=***=| WO_WFM-OTHERS_20260622_123602698 + TNI0013_Cleaning Radiator and change engine oil : -41.95 + myt_phyoko.ko44</v>
      </c>
      <c r="E39" s="379"/>
      <c r="F39" s="372"/>
      <c r="G39" s="372"/>
      <c r="H39" s="372"/>
      <c r="I39" s="372"/>
      <c r="J39" s="372"/>
      <c r="K39" s="369"/>
      <c r="L39" s="369"/>
      <c r="M39" s="373"/>
      <c r="N39" s="369"/>
      <c r="O39" s="369"/>
      <c r="P39" s="374"/>
      <c r="Q39" s="372"/>
      <c r="R39" s="372"/>
      <c r="S39" s="372"/>
      <c r="T39" s="372"/>
      <c r="U39" s="372"/>
      <c r="V39" s="372"/>
      <c r="W39" s="372"/>
      <c r="X39" s="372"/>
      <c r="Y39" s="372"/>
      <c r="Z39" s="372"/>
      <c r="AA39" s="372"/>
      <c r="AB39" s="372"/>
      <c r="AC39" s="372"/>
      <c r="AD39" s="372"/>
      <c r="AE39" s="372"/>
      <c r="AF39" s="372"/>
      <c r="AG39" s="372"/>
      <c r="AH39" s="372"/>
      <c r="AI39" s="372"/>
      <c r="AJ39" s="372"/>
      <c r="AK39" s="372"/>
      <c r="AL39" s="372"/>
      <c r="AM39" s="372"/>
    </row>
    <row r="40">
      <c r="A40" s="379" t="s">
        <v>401</v>
      </c>
      <c r="B40" s="379" t="str">
        <f t="array" ref="B40">if(len(A40)&lt;5,"-", iferror(Xlookup($A40,'Input WO'!$E:$E,'Input WO'!$F:$F),Xlookup($A40,'Input task'!$T:$T,'Input task'!$S:$S)
))</f>
        <v/>
      </c>
      <c r="C40" s="398" t="str">
        <f>IFERROR(__xludf.DUMMYFUNCTION("if(len($A40)&lt;5,""-"",iferror(TEXTJOIN("" |=***=| "",TRUE,filter('Input task'!$D:$D&amp;"" : ""&amp;'Input task'!$E:$E&amp;"" : ""&amp;'Input task'!$K:$K&amp;"" + ""&amp;'Input task'!$H:$H,'Input task'!$J:$J="""",'Input task'!$T:$T=$A40)),""No see""))"),"Export Materials : TNI0046-TNIM028&gt;&gt;Closure 2 :  + ")</f>
        <v>Export Materials : TNI0046-TNIM028&gt;&gt;Closure 2 :  + </v>
      </c>
      <c r="D40" s="379" t="str">
        <f>IFERROR(__xludf.DUMMYFUNCTION("if(len($A40)&lt;5,""-"",iferror(TEXTJOIN("" |=***=| "",TRUE,FILTER(('Input WO'!$A:$A&amp;"" + ""&amp;'Input WO'!$B:$B&amp;"" : ""&amp;'Input WO'!$C:$C&amp;"" + ""&amp;'Input WO'!$F:$F),'Input WO'!$E:$E=$A40)),""No see""))"),"WO_WFM-OTHERS_20260618_123561893 + IP : TNI0046SRT001-TNI0319SRT001 link down at 23/05/2026 11:22:00 : -137.45 +  |=***=| WO_QLCTKT_20260529_123389455 + TNI0046 MYT_Routine_Maintenance_Mytel_Station_VCM : 223.05 + myt_aunglwin.phyo |=***=| WO_QLCTKT_20260"&amp;"511_123247548 + TNI0046 - Repair infrastructure - bla: Cleaning the station, remove grass, vines, tree, rubbish, recall unused equipment, material: Recall unused materials at site (cables, equipment broken...) : -914.77 + myt_aunglwin.phyo |=***=| WO_QLCT"&amp;"KT_20260511_123247393 + TNI0046 - Repair infrastructure - bla: Cleaning the station, remove grass, vines, tree, rubbish, recall unused equipment, material: Clean the all equipments, room, slabs, install the patchcod neatly, tidy : -1083.3 + myt_aunglwin.p"&amp;"hyo |=***=| WO_QLCTKT_20260511_123247241 + TNI0046 - Repair infrastructure - bla: Cleaning the station, remove grass, vines, tree, rubbish, recall unused equipment, material: Ensure: Cleaning tool, slipper : -531.73 + myt_aunglwin.phyo |=***=| WO_WFM-OTHE"&amp;"RS_20260622_123602753 + TNI0046_Cleaning Radiator and change engine oil : -41.95 + myt_bhonehtet.aung |=***=| WO_WFM-OTHERS_20260623_123613116 + Cable routes measure-AC-TNI0046-JB(TNI0005-TNI0013) : 439.03 + myt_bonemyat.naing1 |=***=| WO_WFM-OTHERS_20260"&amp;"623_123612901 + Cable routes measure-AC-TNI0046-JB(TNI0005-TNI0013) : 439.03 + myt_bonemyat.naing1 |=***=| WO_WFM-OTHERS_20260623_123616214 + Cable Patrol for (AC)-TNI0046-JB(TNI0005-TNI0013) : 439.03 + myt_phyoko.ko44")</f>
        <v>WO_WFM-OTHERS_20260618_123561893 + IP : TNI0046SRT001-TNI0319SRT001 link down at 23/05/2026 11:22:00 : -137.45 +  |=***=| WO_QLCTKT_20260529_123389455 + TNI0046 MYT_Routine_Maintenance_Mytel_Station_VCM : 223.05 + myt_aunglwin.phyo |=***=| WO_QLCTKT_20260511_123247548 + TNI0046 - Repair infrastructure - bla: Cleaning the station, remove grass, vines, tree, rubbish, recall unused equipment, material: Recall unused materials at site (cables, equipment broken...) : -914.77 + myt_aunglwin.phyo |=***=| WO_QLCTKT_20260511_123247393 + TNI0046 - Repair infrastructure - bla: Cleaning the station, remove grass, vines, tree, rubbish, recall unused equipment, material: Clean the all equipments, room, slabs, install the patchcod neatly, tidy : -1083.3 + myt_aunglwin.phyo |=***=| WO_QLCTKT_20260511_123247241 + TNI0046 - Repair infrastructure - bla: Cleaning the station, remove grass, vines, tree, rubbish, recall unused equipment, material: Ensure: Cleaning tool, slipper : -531.73 + myt_aunglwin.phyo |=***=| WO_WFM-OTHERS_20260622_123602753 + TNI0046_Cleaning Radiator and change engine oil : -41.95 + myt_bhonehtet.aung |=***=| WO_WFM-OTHERS_20260623_123613116 + Cable routes measure-AC-TNI0046-JB(TNI0005-TNI0013) : 439.03 + myt_bonemyat.naing1 |=***=| WO_WFM-OTHERS_20260623_123612901 + Cable routes measure-AC-TNI0046-JB(TNI0005-TNI0013) : 439.03 + myt_bonemyat.naing1 |=***=| WO_WFM-OTHERS_20260623_123616214 + Cable Patrol for (AC)-TNI0046-JB(TNI0005-TNI0013) : 439.03 + myt_phyoko.ko44</v>
      </c>
      <c r="E40" s="379"/>
      <c r="F40" s="372"/>
      <c r="G40" s="372"/>
      <c r="H40" s="372"/>
      <c r="I40" s="372"/>
      <c r="J40" s="372"/>
      <c r="K40" s="369"/>
      <c r="L40" s="369"/>
      <c r="M40" s="373"/>
      <c r="N40" s="369"/>
      <c r="O40" s="369"/>
      <c r="P40" s="374"/>
      <c r="Q40" s="372"/>
      <c r="R40" s="372"/>
      <c r="S40" s="372"/>
      <c r="T40" s="372"/>
      <c r="U40" s="372"/>
      <c r="V40" s="372"/>
      <c r="W40" s="372"/>
      <c r="X40" s="372"/>
      <c r="Y40" s="372"/>
      <c r="Z40" s="372"/>
      <c r="AA40" s="372"/>
      <c r="AB40" s="372"/>
      <c r="AC40" s="372"/>
      <c r="AD40" s="372"/>
      <c r="AE40" s="372"/>
      <c r="AF40" s="372"/>
      <c r="AG40" s="372"/>
      <c r="AH40" s="372"/>
      <c r="AI40" s="372"/>
      <c r="AJ40" s="372"/>
      <c r="AK40" s="372"/>
      <c r="AL40" s="372"/>
      <c r="AM40" s="372"/>
    </row>
    <row r="41">
      <c r="A41" s="379" t="s">
        <v>162</v>
      </c>
      <c r="B41" s="379" t="str">
        <f t="array" ref="B41">if(len(A41)&lt;5,"-", iferror(Xlookup($A41,'Input WO'!$E:$E,'Input WO'!$F:$F),Xlookup($A41,'Input task'!$T:$T,'Input task'!$S:$S)
))</f>
        <v/>
      </c>
      <c r="C41" s="398" t="str">
        <f>IFERROR(__xludf.DUMMYFUNCTION("if(len($A41)&lt;5,""-"",iferror(TEXTJOIN("" |=***=| "",TRUE,filter('Input task'!$D:$D&amp;"" : ""&amp;'Input task'!$E:$E&amp;"" : ""&amp;'Input task'!$K:$K&amp;"" + ""&amp;'Input task'!$H:$H,'Input task'!$J:$J="""",'Input task'!$T:$T=$A41)),""No see""))"),"Smart CB : TNI0198 :  +  |=***=| 100 point plan : TNI0198 100 point plan need to clean site overview inside and outeside and make to neatly patchord cable. :  + ")</f>
        <v>Smart CB : TNI0198 :  +  |=***=| 100 point plan : TNI0198 100 point plan need to clean site overview inside and outeside and make to neatly patchord cable. :  + </v>
      </c>
      <c r="D41" s="379" t="str">
        <f>IFERROR(__xludf.DUMMYFUNCTION("if(len($A41)&lt;5,""-"",iferror(TEXTJOIN("" |=***=| "",TRUE,FILTER(('Input WO'!$A:$A&amp;"" + ""&amp;'Input WO'!$B:$B&amp;"" : ""&amp;'Input WO'!$C:$C&amp;"" + ""&amp;'Input WO'!$F:$F),'Input WO'!$E:$E=$A41)),""No see""))"),"WO_WFM-OTHERS_20260615_123533424 + IP : TNI0198SRT001-TNI0278SRT001 link down at 14/06/2026 17:37:00 : -378.45 +  |=***=| WO_ICMS_20260623_123611279 + TNI0198 MYT_Routine_Maintenance_Towerco_Station MYT_RTE_MTE_TCO_STN : 882.55 + myt_bhonehtet.aung |=***="&amp;"| WO_WFM-OTHERS_20260623_123613118 + Cable routes measure-AC-TNI0198-TNIM055 : 439.03 + myt_bonemyat.naing1 |=***=| WO_WFM-OTHERS_20260623_123612903 + Cable routes measure-AC-TNI0198-TNIM055 : 439.03 + myt_bonemyat.naing1 |=***=| WO_WFM-OTHERS_20260623_12"&amp;"3616216 + Cable Patrol for (AC)-TNI0198-TNIM055 : 439.03 + myt_phyoko.ko44")</f>
        <v>WO_WFM-OTHERS_20260615_123533424 + IP : TNI0198SRT001-TNI0278SRT001 link down at 14/06/2026 17:37:00 : -378.45 +  |=***=| WO_ICMS_20260623_123611279 + TNI0198 MYT_Routine_Maintenance_Towerco_Station MYT_RTE_MTE_TCO_STN : 882.55 + myt_bhonehtet.aung |=***=| WO_WFM-OTHERS_20260623_123613118 + Cable routes measure-AC-TNI0198-TNIM055 : 439.03 + myt_bonemyat.naing1 |=***=| WO_WFM-OTHERS_20260623_123612903 + Cable routes measure-AC-TNI0198-TNIM055 : 439.03 + myt_bonemyat.naing1 |=***=| WO_WFM-OTHERS_20260623_123616216 + Cable Patrol for (AC)-TNI0198-TNIM055 : 439.03 + myt_phyoko.ko44</v>
      </c>
      <c r="E41" s="379"/>
      <c r="F41" s="372"/>
      <c r="G41" s="372"/>
      <c r="H41" s="372"/>
      <c r="I41" s="372"/>
      <c r="J41" s="372"/>
      <c r="K41" s="369"/>
      <c r="L41" s="369"/>
      <c r="M41" s="373"/>
      <c r="N41" s="369"/>
      <c r="O41" s="369"/>
      <c r="P41" s="374"/>
      <c r="Q41" s="372"/>
      <c r="R41" s="372"/>
      <c r="S41" s="372"/>
      <c r="T41" s="372"/>
      <c r="U41" s="372"/>
      <c r="V41" s="372"/>
      <c r="W41" s="372"/>
      <c r="X41" s="372"/>
      <c r="Y41" s="372"/>
      <c r="Z41" s="372"/>
      <c r="AA41" s="372"/>
      <c r="AB41" s="372"/>
      <c r="AC41" s="372"/>
      <c r="AD41" s="372"/>
      <c r="AE41" s="372"/>
      <c r="AF41" s="372"/>
      <c r="AG41" s="372"/>
      <c r="AH41" s="372"/>
      <c r="AI41" s="372"/>
      <c r="AJ41" s="372"/>
      <c r="AK41" s="372"/>
      <c r="AL41" s="372"/>
      <c r="AM41" s="372"/>
    </row>
    <row r="42">
      <c r="A42" s="379" t="s">
        <v>402</v>
      </c>
      <c r="B42" s="379" t="str">
        <f t="array" ref="B42">if(len(A42)&lt;5,"-", iferror(Xlookup($A42,'Input WO'!$E:$E,'Input WO'!$F:$F),Xlookup($A42,'Input task'!$T:$T,'Input task'!$S:$S)
))</f>
        <v/>
      </c>
      <c r="C42" s="398" t="str">
        <f>IFERROR(__xludf.DUMMYFUNCTION("if(len($A42)&lt;5,""-"",iferror(TEXTJOIN("" |=***=| "",TRUE,filter('Input task'!$D:$D&amp;"" : ""&amp;'Input task'!$E:$E&amp;"" : ""&amp;'Input task'!$K:$K&amp;"" + ""&amp;'Input task'!$H:$H,'Input task'!$J:$J="""",'Input task'!$T:$T=$A42)),""No see""))"),"No see")</f>
        <v>No see</v>
      </c>
      <c r="D42" s="379" t="str">
        <f>IFERROR(__xludf.DUMMYFUNCTION("if(len($A42)&lt;5,""-"",iferror(TEXTJOIN("" |=***=| "",TRUE,FILTER(('Input WO'!$A:$A&amp;"" + ""&amp;'Input WO'!$B:$B&amp;"" : ""&amp;'Input WO'!$C:$C&amp;"" + ""&amp;'Input WO'!$F:$F),'Input WO'!$E:$E=$A42)),""No see""))"),"WO_WFM-FT_20260615_123532984 + FTTH : TNI0275OLT001 Slot 3 port 7 was down 6/15/2026 15:30 : -312.95 + ")</f>
        <v>WO_WFM-FT_20260615_123532984 + FTTH : TNI0275OLT001 Slot 3 port 7 was down 6/15/2026 15:30 : -312.95 + </v>
      </c>
      <c r="E42" s="379"/>
      <c r="F42" s="372"/>
      <c r="G42" s="372"/>
      <c r="H42" s="372"/>
      <c r="I42" s="372"/>
      <c r="J42" s="372"/>
      <c r="K42" s="369"/>
      <c r="L42" s="369"/>
      <c r="M42" s="373"/>
      <c r="N42" s="369"/>
      <c r="O42" s="369"/>
      <c r="P42" s="374"/>
      <c r="Q42" s="372"/>
      <c r="R42" s="372"/>
      <c r="S42" s="372"/>
      <c r="T42" s="372"/>
      <c r="U42" s="372"/>
      <c r="V42" s="372"/>
      <c r="W42" s="372"/>
      <c r="X42" s="372"/>
      <c r="Y42" s="372"/>
      <c r="Z42" s="372"/>
      <c r="AA42" s="372"/>
      <c r="AB42" s="372"/>
      <c r="AC42" s="372"/>
      <c r="AD42" s="372"/>
      <c r="AE42" s="372"/>
      <c r="AF42" s="372"/>
      <c r="AG42" s="372"/>
      <c r="AH42" s="372"/>
      <c r="AI42" s="372"/>
      <c r="AJ42" s="372"/>
      <c r="AK42" s="372"/>
      <c r="AL42" s="372"/>
      <c r="AM42" s="372"/>
    </row>
    <row r="43">
      <c r="A43" s="379" t="s">
        <v>403</v>
      </c>
      <c r="B43" s="379" t="str">
        <f t="array" ref="B43">if(len(A43)&lt;5,"-", iferror(Xlookup($A43,'Input WO'!$E:$E,'Input WO'!$F:$F),Xlookup($A43,'Input task'!$T:$T,'Input task'!$S:$S)
))</f>
        <v/>
      </c>
      <c r="C43" s="398" t="str">
        <f>IFERROR(__xludf.DUMMYFUNCTION("if(len($A43)&lt;5,""-"",iferror(TEXTJOIN("" |=***=| "",TRUE,filter('Input task'!$D:$D&amp;"" : ""&amp;'Input task'!$E:$E&amp;"" : ""&amp;'Input task'!$K:$K&amp;"" + ""&amp;'Input task'!$H:$H,'Input task'!$J:$J="""",'Input task'!$T:$T=$A43)),""No see""))"),"No see")</f>
        <v>No see</v>
      </c>
      <c r="D43" s="379" t="str">
        <f>IFERROR(__xludf.DUMMYFUNCTION("if(len($A43)&lt;5,""-"",iferror(TEXTJOIN("" |=***=| "",TRUE,FILTER(('Input WO'!$A:$A&amp;"" + ""&amp;'Input WO'!$B:$B&amp;"" : ""&amp;'Input WO'!$C:$C&amp;"" + ""&amp;'Input WO'!$F:$F),'Input WO'!$E:$E=$A43)),""No see""))"),"WO_WFM-FT_20260615_123532043 + 5s &amp; WH inventory file for TNI_ team 02 : -233.45 +  |=***=| WO_WFM-FT_20260615_123531840 + 5s &amp; WH inventory file for TNI_ team 01 : -233.45 +  |=***=| WO_WFM-FT_20260615_123532051 + 5s &amp; WH inventory file for TNI_ team 03 "&amp;": -233.45 + myt_pyaephyo.zaw")</f>
        <v>WO_WFM-FT_20260615_123532043 + 5s &amp; WH inventory file for TNI_ team 02 : -233.45 +  |=***=| WO_WFM-FT_20260615_123531840 + 5s &amp; WH inventory file for TNI_ team 01 : -233.45 +  |=***=| WO_WFM-FT_20260615_123532051 + 5s &amp; WH inventory file for TNI_ team 03 : -233.45 + myt_pyaephyo.zaw</v>
      </c>
      <c r="E43" s="379"/>
      <c r="F43" s="372"/>
      <c r="G43" s="372"/>
      <c r="H43" s="372"/>
      <c r="I43" s="372"/>
      <c r="J43" s="372"/>
      <c r="K43" s="369"/>
      <c r="L43" s="369"/>
      <c r="M43" s="373"/>
      <c r="N43" s="369"/>
      <c r="O43" s="369"/>
      <c r="P43" s="374"/>
      <c r="Q43" s="372"/>
      <c r="R43" s="372"/>
      <c r="S43" s="372"/>
      <c r="T43" s="372"/>
      <c r="U43" s="372"/>
      <c r="V43" s="372"/>
      <c r="W43" s="372"/>
      <c r="X43" s="372"/>
      <c r="Y43" s="372"/>
      <c r="Z43" s="372"/>
      <c r="AA43" s="372"/>
      <c r="AB43" s="372"/>
      <c r="AC43" s="372"/>
      <c r="AD43" s="372"/>
      <c r="AE43" s="372"/>
      <c r="AF43" s="372"/>
      <c r="AG43" s="372"/>
      <c r="AH43" s="372"/>
      <c r="AI43" s="372"/>
      <c r="AJ43" s="372"/>
      <c r="AK43" s="372"/>
      <c r="AL43" s="372"/>
      <c r="AM43" s="372"/>
    </row>
    <row r="44">
      <c r="A44" s="379" t="s">
        <v>404</v>
      </c>
      <c r="B44" s="379" t="str">
        <f t="array" ref="B44">if(len(A44)&lt;5,"-", iferror(Xlookup($A44,'Input WO'!$E:$E,'Input WO'!$F:$F),Xlookup($A44,'Input task'!$T:$T,'Input task'!$S:$S)
))</f>
        <v/>
      </c>
      <c r="C44" s="398" t="str">
        <f>IFERROR(__xludf.DUMMYFUNCTION("if(len($A44)&lt;5,""-"",iferror(TEXTJOIN("" |=***=| "",TRUE,filter('Input task'!$D:$D&amp;"" : ""&amp;'Input task'!$E:$E&amp;"" : ""&amp;'Input task'!$K:$K&amp;"" + ""&amp;'Input task'!$H:$H,'Input task'!$J:$J="""",'Input task'!$T:$T=$A44)),""No see""))"),"Request Export material : TNI0146-JB(TNI0147-TNI0170)&gt;&gt;closure 2 pcs  :  +  |=***=| Export Materials : TNI0146-JB(TNI0147-TNI0170)&gt;&gt;Closure.2 :  +  |=***=| Export Materials : TNI0146-JB(TNI0147-TNI0170) &gt;&gt;48 FO M100 and JB 2pcs :  + ")</f>
        <v>Request Export material : TNI0146-JB(TNI0147-TNI0170)&gt;&gt;closure 2 pcs  :  +  |=***=| Export Materials : TNI0146-JB(TNI0147-TNI0170)&gt;&gt;Closure.2 :  +  |=***=| Export Materials : TNI0146-JB(TNI0147-TNI0170) &gt;&gt;48 FO M100 and JB 2pcs :  + </v>
      </c>
      <c r="D44" s="379" t="str">
        <f>IFERROR(__xludf.DUMMYFUNCTION("if(len($A44)&lt;5,""-"",iferror(TEXTJOIN("" |=***=| "",TRUE,FILTER(('Input WO'!$A:$A&amp;"" + ""&amp;'Input WO'!$B:$B&amp;"" : ""&amp;'Input WO'!$C:$C&amp;"" + ""&amp;'Input WO'!$F:$F),'Input WO'!$E:$E=$A44)),""No see""))"),"WO_WFM-OTHERS_20260613_123518129 + IP : TNI0146SRT001-TNI0147SRT001 link down at 11/06/2026 01:49:27 : -233.45 +  |=***=| WO_WFM-OTHERS_20260604_123443396 + IP : TNI0146SRT001- TNI0197SRT001 link down at 04/06/2026 00:09:54 : -641.45 +  |=***=| WO_WFM-OTH"&amp;"ERS_20260516_123287897 + IP : TNI0146SRT001-TNI0147SRT001 link down at 16/05/2026 05:23:00 : -929.45 +  |=***=| WO_WFM-OTHERS_20260623_123616207 + Cable Patrol for (AC)-TNI0146-TNI0357 : 439.03 + myt_bhonehtet.aung |=***=| WO_WFM-OTHERS_20260623_123613106"&amp;" + Cable routes measure-AC-TNI0146-TNI0357 : 439.03 + myt_bonemyat.naing1 |=***=| WO_WFM-OTHERS_20260623_123612891 + Cable routes measure-AC-TNI0146-TNI0357 : 439.03 + myt_bonemyat.naing1")</f>
        <v>WO_WFM-OTHERS_20260613_123518129 + IP : TNI0146SRT001-TNI0147SRT001 link down at 11/06/2026 01:49:27 : -233.45 +  |=***=| WO_WFM-OTHERS_20260604_123443396 + IP : TNI0146SRT001- TNI0197SRT001 link down at 04/06/2026 00:09:54 : -641.45 +  |=***=| WO_WFM-OTHERS_20260516_123287897 + IP : TNI0146SRT001-TNI0147SRT001 link down at 16/05/2026 05:23:00 : -929.45 +  |=***=| WO_WFM-OTHERS_20260623_123616207 + Cable Patrol for (AC)-TNI0146-TNI0357 : 439.03 + myt_bhonehtet.aung |=***=| WO_WFM-OTHERS_20260623_123613106 + Cable routes measure-AC-TNI0146-TNI0357 : 439.03 + myt_bonemyat.naing1 |=***=| WO_WFM-OTHERS_20260623_123612891 + Cable routes measure-AC-TNI0146-TNI0357 : 439.03 + myt_bonemyat.naing1</v>
      </c>
      <c r="E44" s="379"/>
      <c r="F44" s="372"/>
      <c r="G44" s="372"/>
      <c r="H44" s="372"/>
      <c r="I44" s="372"/>
      <c r="J44" s="372"/>
      <c r="K44" s="369"/>
      <c r="L44" s="369"/>
      <c r="M44" s="373"/>
      <c r="N44" s="369"/>
      <c r="O44" s="369"/>
      <c r="P44" s="374"/>
      <c r="Q44" s="372"/>
      <c r="R44" s="372"/>
      <c r="S44" s="372"/>
      <c r="T44" s="372"/>
      <c r="U44" s="372"/>
      <c r="V44" s="372"/>
      <c r="W44" s="372"/>
      <c r="X44" s="372"/>
      <c r="Y44" s="372"/>
      <c r="Z44" s="372"/>
      <c r="AA44" s="372"/>
      <c r="AB44" s="372"/>
      <c r="AC44" s="372"/>
      <c r="AD44" s="372"/>
      <c r="AE44" s="372"/>
      <c r="AF44" s="372"/>
      <c r="AG44" s="372"/>
      <c r="AH44" s="372"/>
      <c r="AI44" s="372"/>
      <c r="AJ44" s="372"/>
      <c r="AK44" s="372"/>
      <c r="AL44" s="372"/>
      <c r="AM44" s="372"/>
    </row>
    <row r="45">
      <c r="A45" s="379" t="s">
        <v>405</v>
      </c>
      <c r="B45" s="379" t="str">
        <f t="array" ref="B45">if(len(A45)&lt;5,"-", iferror(Xlookup($A45,'Input WO'!$E:$E,'Input WO'!$F:$F),Xlookup($A45,'Input task'!$T:$T,'Input task'!$S:$S)
))</f>
        <v/>
      </c>
      <c r="C45" s="398" t="str">
        <f>IFERROR(__xludf.DUMMYFUNCTION("if(len($A45)&lt;5,""-"",iferror(TEXTJOIN("" |=***=| "",TRUE,filter('Input task'!$D:$D&amp;"" : ""&amp;'Input task'!$E:$E&amp;"" : ""&amp;'Input task'!$K:$K&amp;"" + ""&amp;'Input task'!$H:$H,'Input task'!$J:$J="""",'Input task'!$T:$T=$A45)),""No see""))"),"repair CCTV : TNI0006,TNI0250,TNI0013 :  +  |=***=| Request Export material : TNI0006-TNI0213&gt;&gt;closure 1pcs :  +  |=***=| Request Export material : TNI0006-JB(MON0002-TNI0006)&gt;&gt;F8 cable 700meter, closure 2pcs, tension 1pcs :  +  |=***=| Fixing Fuel Level "&amp;"Monitoring : TNI0006 Need to fix fuel level cannot monitoring at NMS. :  +  |=***=| CCTV : TNI0006 need repair CCTV :  +  |=***=| Check&amp;fixing Main Node Site : TNI0006, Check&amp;fixing Main Node &gt;&gt; Check power status and equipment room (Grounding, Air Con , "&amp;"Fire extinguisher, Light Bulb, ATS, DG Maintenance&gt;&gt; Check engine oil and filter change date) , all cabel into site from undergroun or not, Site Cleaning, Last pole status  :  +  |=***=| Deploy cable : TNI0006-TNI0220 need survey point change cable new : "&amp;" +  |=***=| Export Materials : TNI0006-TNIM009 &gt;&gt;&gt;F8 cable 600meter, closure 3pcs, tension 1pcs :  +  |=***=| Export Materials : TNI0006-TNI0013 &gt;&gt;Closure 1 pcs, :  + ")</f>
        <v>repair CCTV : TNI0006,TNI0250,TNI0013 :  +  |=***=| Request Export material : TNI0006-TNI0213&gt;&gt;closure 1pcs :  +  |=***=| Request Export material : TNI0006-JB(MON0002-TNI0006)&gt;&gt;F8 cable 700meter, closure 2pcs, tension 1pcs :  +  |=***=| Fixing Fuel Level Monitoring : TNI0006 Need to fix fuel level cannot monitoring at NMS. :  +  |=***=| CCTV : TNI0006 need repair CCTV :  +  |=***=| Check&amp;fixing Main Node Site : TNI0006, Check&amp;fixing Main Node &gt;&gt; Check power status and equipment room (Grounding, Air Con , Fire extinguisher, Light Bulb, ATS, DG Maintenance&gt;&gt; Check engine oil and filter change date) , all cabel into site from undergroun or not, Site Cleaning, Last pole status  :  +  |=***=| Deploy cable : TNI0006-TNI0220 need survey point change cable new :  +  |=***=| Export Materials : TNI0006-TNIM009 &gt;&gt;&gt;F8 cable 600meter, closure 3pcs, tension 1pcs :  +  |=***=| Export Materials : TNI0006-TNI0013 &gt;&gt;Closure 1 pcs, :  + </v>
      </c>
      <c r="D45" s="379" t="str">
        <f>IFERROR(__xludf.DUMMYFUNCTION("if(len($A45)&lt;5,""-"",iferror(TEXTJOIN("" |=***=| "",TRUE,FILTER(('Input WO'!$A:$A&amp;"" + ""&amp;'Input WO'!$B:$B&amp;"" : ""&amp;'Input WO'!$C:$C&amp;"" + ""&amp;'Input WO'!$F:$F),'Input WO'!$E:$E=$A45)),""No see""))"),"WO_WFM-OTHERS_20260609_123486509 + IP : TNI0006SRT002-TNI0206SRT001 and TNI0213SRT001-TNI0283SRT001 link down at 09/06/2026 : -497.45 +  |=***=| WO_WFM-OTHERS_20260604_123443410 + IP : TNI0006SRT002-TNI0331SRT001 link down at 03/06/2026 21:33:54 : -641.45"&amp;" +  |=***=| WO_WFM-OTHERS_20260516_123288065 + IP : TNI0006SRT002-TNI0206SRT001 link down at 15/05/2026 10:51:00 : -953.45 +  |=***=| WO_WFM-OTHERS_20260428_123133282 + IP : TNI0006SRT002-TNI0206SRT001 and TNI0213SRT001-TNI0283SRT001 link down at 27/04/20"&amp;"26 17:42:00 : -1530.45 +  |=***=| WO_WFM-OTHERS_20260415_123007148 + IP : TNI0006SRT002-TNI0331SRT001 link down at 14/04/2026 13:13:00 : -1697.45 +  |=***=| WO_WFM-OTHERS_20260409_122961161 + IP : TNI0006SRT002-TNI0331SRT001 link down at 07/04/2026 18:40:"&amp;"00 : -1985.45 +  |=***=| WO_QLCTKT_20260620_123577208 + TNI0006 MYT_Routine_Maintenance_Main_Station_VCM : 271.05 + myt_aungthin.mya |=***=| WO_WFM-OTHERS_20260623_123616201 + Cable Patrol for (BB)-TNI0006-TNI0013 : 439.03 + myt_bonemyat.naing1 |=***=| WO"&amp;"_WFM-OTHERS_20260623_123613097 + Cable routes measure-BB-TNI0006-TNI0013 : 439.03 + myt_bonemyat.naing1 |=***=| WO_WFM-OTHERS_20260623_123612883 + Cable routes measure-BB-TNI0006-TNI0013 : 439.03 + myt_bonemyat.naing1 |=***=| WO_WFM-OTHERS_20260623_123616"&amp;"200 + Cable Patrol for (BB)-TNI0006-TNIM010 : 439.03 + myt_phyoko.ko44 |=***=| WO_WFM-OTHERS_20260623_123616199 + Cable Patrol for (BB)-TNI0006-TNIM009 : 439.03 + myt_phyoko.ko44 |=***=| WO_QLCTKT_20260626_123639005 + TNI0006 MYT_Troubleshooting Solar Pow"&amp;"er System : 7.05 + myt_tharhtoo.aung11 |=***=| WO_WFM-OTHERS_20260623_123616225 + Cable Patrol for (AC)-TNI0006-TNIDOS51 : 439.03 + myt_tharhtoo.aung11 |=***=| WO_ICMS_20260618_123558698 + TNI0006: Station Corridor --&amp;gt; Large Trees and Bushes --&amp;gt; Veg"&amp;"etation clearing → Clear and trim all timber trees, bushes, vines (when still small), or wide-canopy fruit trees with mature height &amp;lt; 10m : -173.81 + myt_tharhtoo.aung11 |=***=| WO_ICMS_20260618_123558679 + TNI0006: Internal Electrical --&amp;gt; NT_Metter"&amp;" --&amp;gt; Faulty meter - no returned data → Recall for repair and supply replacement materials : 1098.11 + myt_tharhtoo.aung11 |=***=| WO_ICMS_20260618_123558622 + TNI0006: Auxiliary Material Group --&amp;gt; Aircraft Warning Light for towers &amp;gt;= 45m --&amp;gt; F"&amp;"aulty light → Supply replacement light : 1097.9 + myt_tharhtoo.aung11 |=***=| WO_ICMS_20260618_123558599 + TNI0006: HTML Upgrade Proposal --&amp;gt; Asset security --&amp;gt; Asset security → Install aircon cage and weld cage door permanently shut : 377.83 + myt_"&amp;"tharhtoo.aung11 |=***=| WO_ICMS_20260618_123558534 + TNI0006: Internal Electrical --&amp;gt; Internal_Ventilation dust filter --&amp;gt; Faulty controller → Supply new one for replacement : 1097.7 + myt_tharhtoo.aung11 |=***=| WO_QLCTKT_20260608_123475280 + TNI00"&amp;"06 - Repair infrastructure - bla: Prevent insect, mause, squirrel attack: Cover all cable hole , gaps of room, door, cabinet, ODF : -506.24 + myt_tharhtoo.aung11 |=***=| WO_QLCTKT_20260521_123329986 + TNI0006 - Repair infrastructure - bla: Install the Equ"&amp;"ipment: Install the Solar system : -672.82 + myt_tharhtoo.aung11")</f>
        <v>WO_WFM-OTHERS_20260609_123486509 + IP : TNI0006SRT002-TNI0206SRT001 and TNI0213SRT001-TNI0283SRT001 link down at 09/06/2026 : -497.45 +  |=***=| WO_WFM-OTHERS_20260604_123443410 + IP : TNI0006SRT002-TNI0331SRT001 link down at 03/06/2026 21:33:54 : -641.45 +  |=***=| WO_WFM-OTHERS_20260516_123288065 + IP : TNI0006SRT002-TNI0206SRT001 link down at 15/05/2026 10:51:00 : -953.45 +  |=***=| WO_WFM-OTHERS_20260428_123133282 + IP : TNI0006SRT002-TNI0206SRT001 and TNI0213SRT001-TNI0283SRT001 link down at 27/04/2026 17:42:00 : -1530.45 +  |=***=| WO_WFM-OTHERS_20260415_123007148 + IP : TNI0006SRT002-TNI0331SRT001 link down at 14/04/2026 13:13:00 : -1697.45 +  |=***=| WO_WFM-OTHERS_20260409_122961161 + IP : TNI0006SRT002-TNI0331SRT001 link down at 07/04/2026 18:40:00 : -1985.45 +  |=***=| WO_QLCTKT_20260620_123577208 + TNI0006 MYT_Routine_Maintenance_Main_Station_VCM : 271.05 + myt_aungthin.mya |=***=| WO_WFM-OTHERS_20260623_123616201 + Cable Patrol for (BB)-TNI0006-TNI0013 : 439.03 + myt_bonemyat.naing1 |=***=| WO_WFM-OTHERS_20260623_123613097 + Cable routes measure-BB-TNI0006-TNI0013 : 439.03 + myt_bonemyat.naing1 |=***=| WO_WFM-OTHERS_20260623_123612883 + Cable routes measure-BB-TNI0006-TNI0013 : 439.03 + myt_bonemyat.naing1 |=***=| WO_WFM-OTHERS_20260623_123616200 + Cable Patrol for (BB)-TNI0006-TNIM010 : 439.03 + myt_phyoko.ko44 |=***=| WO_WFM-OTHERS_20260623_123616199 + Cable Patrol for (BB)-TNI0006-TNIM009 : 439.03 + myt_phyoko.ko44 |=***=| WO_QLCTKT_20260626_123639005 + TNI0006 MYT_Troubleshooting Solar Power System : 7.05 + myt_tharhtoo.aung11 |=***=| WO_WFM-OTHERS_20260623_123616225 + Cable Patrol for (AC)-TNI0006-TNIDOS51 : 439.03 + myt_tharhtoo.aung11 |=***=| WO_ICMS_20260618_123558698 + TNI0006: Station Corridor --&amp;gt; Large Trees and Bushes --&amp;gt; Vegetation clearing → Clear and trim all timber trees, bushes, vines (when still small), or wide-canopy fruit trees with mature height &amp;lt; 10m : -173.81 + myt_tharhtoo.aung11 |=***=| WO_ICMS_20260618_123558679 + TNI0006: Internal Electrical --&amp;gt; NT_Metter --&amp;gt; Faulty meter - no returned data → Recall for repair and supply replacement materials : 1098.11 + myt_tharhtoo.aung11 |=***=| WO_ICMS_20260618_123558622 + TNI0006: Auxiliary Material Group --&amp;gt; Aircraft Warning Light for towers &amp;gt;= 45m --&amp;gt; Faulty light → Supply replacement light : 1097.9 + myt_tharhtoo.aung11 |=***=| WO_ICMS_20260618_123558599 + TNI0006: HTML Upgrade Proposal --&amp;gt; Asset security --&amp;gt; Asset security → Install aircon cage and weld cage door permanently shut : 377.83 + myt_tharhtoo.aung11 |=***=| WO_ICMS_20260618_123558534 + TNI0006: Internal Electrical --&amp;gt; Internal_Ventilation dust filter --&amp;gt; Faulty controller → Supply new one for replacement : 1097.7 + myt_tharhtoo.aung11 |=***=| WO_QLCTKT_20260608_123475280 + TNI0006 - Repair infrastructure - bla: Prevent insect, mause, squirrel attack: Cover all cable hole , gaps of room, door, cabinet, ODF : -506.24 + myt_tharhtoo.aung11 |=***=| WO_QLCTKT_20260521_123329986 + TNI0006 - Repair infrastructure - bla: Install the Equipment: Install the Solar system : -672.82 + myt_tharhtoo.aung11</v>
      </c>
      <c r="E45" s="379"/>
      <c r="F45" s="372"/>
      <c r="G45" s="372"/>
      <c r="H45" s="372"/>
      <c r="I45" s="372"/>
      <c r="J45" s="372"/>
      <c r="K45" s="369"/>
      <c r="L45" s="369"/>
      <c r="M45" s="373"/>
      <c r="N45" s="369"/>
      <c r="O45" s="369"/>
      <c r="P45" s="374"/>
      <c r="Q45" s="372"/>
      <c r="R45" s="372"/>
      <c r="S45" s="372"/>
      <c r="T45" s="372"/>
      <c r="U45" s="372"/>
      <c r="V45" s="372"/>
      <c r="W45" s="372"/>
      <c r="X45" s="372"/>
      <c r="Y45" s="372"/>
      <c r="Z45" s="372"/>
      <c r="AA45" s="372"/>
      <c r="AB45" s="372"/>
      <c r="AC45" s="372"/>
      <c r="AD45" s="372"/>
      <c r="AE45" s="372"/>
      <c r="AF45" s="372"/>
      <c r="AG45" s="372"/>
      <c r="AH45" s="372"/>
      <c r="AI45" s="372"/>
      <c r="AJ45" s="372"/>
      <c r="AK45" s="372"/>
      <c r="AL45" s="372"/>
      <c r="AM45" s="372"/>
    </row>
    <row r="46">
      <c r="A46" s="379" t="s">
        <v>406</v>
      </c>
      <c r="B46" s="379" t="str">
        <f t="array" ref="B46">if(len(A46)&lt;5,"-", iferror(Xlookup($A46,'Input WO'!$E:$E,'Input WO'!$F:$F),Xlookup($A46,'Input task'!$T:$T,'Input task'!$S:$S)
))</f>
        <v/>
      </c>
      <c r="C46" s="398" t="str">
        <f>IFERROR(__xludf.DUMMYFUNCTION("if(len($A46)&lt;5,""-"",iferror(TEXTJOIN("" |=***=| "",TRUE,filter('Input task'!$D:$D&amp;"" : ""&amp;'Input task'!$E:$E&amp;"" : ""&amp;'Input task'!$K:$K&amp;"" + ""&amp;'Input task'!$H:$H,'Input task'!$J:$J="""",'Input task'!$T:$T=$A46)),""No see""))"),"Change MBB : TNI0323 Need to change shoto battery 3 pcs :  +  |=***=| Export Materials : TNI0323-TNI0339 &gt;&gt;24FX cable - 120 M, Closure - 2 pcs :  + ")</f>
        <v>Change MBB : TNI0323 Need to change shoto battery 3 pcs :  +  |=***=| Export Materials : TNI0323-TNI0339 &gt;&gt;24FX cable - 120 M, Closure - 2 pcs :  + </v>
      </c>
      <c r="D46" s="379" t="str">
        <f>IFERROR(__xludf.DUMMYFUNCTION("if(len($A46)&lt;5,""-"",iferror(TEXTJOIN("" |=***=| "",TRUE,FILTER(('Input WO'!$A:$A&amp;"" + ""&amp;'Input WO'!$B:$B&amp;"" : ""&amp;'Input WO'!$C:$C&amp;"" + ""&amp;'Input WO'!$F:$F),'Input WO'!$E:$E=$A46)),""No see""))"),"WO_WFM-OTHERS_20260607_123468922 + IP : TNI0323SRT001-TNI0339SRT001 link down at 06/06/2026 18:07:00 : -569.45 +  |=***=| WO_WFM-OTHERS_20260623_123616255 + Cable Patrol for (AC)-TNI0323-JB(TNI0005-TNI0007) : 439.03 + myt_wanna.oo2")</f>
        <v>WO_WFM-OTHERS_20260607_123468922 + IP : TNI0323SRT001-TNI0339SRT001 link down at 06/06/2026 18:07:00 : -569.45 +  |=***=| WO_WFM-OTHERS_20260623_123616255 + Cable Patrol for (AC)-TNI0323-JB(TNI0005-TNI0007) : 439.03 + myt_wanna.oo2</v>
      </c>
      <c r="E46" s="379"/>
      <c r="F46" s="372"/>
      <c r="G46" s="372"/>
      <c r="H46" s="372"/>
      <c r="I46" s="372"/>
      <c r="J46" s="372"/>
      <c r="K46" s="369"/>
      <c r="L46" s="369"/>
      <c r="M46" s="373"/>
      <c r="N46" s="369"/>
      <c r="O46" s="369"/>
      <c r="P46" s="374"/>
      <c r="Q46" s="372"/>
      <c r="R46" s="372"/>
      <c r="S46" s="372"/>
      <c r="T46" s="372"/>
      <c r="U46" s="372"/>
      <c r="V46" s="372"/>
      <c r="W46" s="372"/>
      <c r="X46" s="372"/>
      <c r="Y46" s="372"/>
      <c r="Z46" s="372"/>
      <c r="AA46" s="372"/>
      <c r="AB46" s="372"/>
      <c r="AC46" s="372"/>
      <c r="AD46" s="372"/>
      <c r="AE46" s="372"/>
      <c r="AF46" s="372"/>
      <c r="AG46" s="372"/>
      <c r="AH46" s="372"/>
      <c r="AI46" s="372"/>
      <c r="AJ46" s="372"/>
      <c r="AK46" s="372"/>
      <c r="AL46" s="372"/>
      <c r="AM46" s="372"/>
    </row>
    <row r="47">
      <c r="A47" s="379" t="s">
        <v>407</v>
      </c>
      <c r="B47" s="379" t="str">
        <f t="array" ref="B47">if(len(A47)&lt;5,"-", iferror(Xlookup($A47,'Input WO'!$E:$E,'Input WO'!$F:$F),Xlookup($A47,'Input task'!$T:$T,'Input task'!$S:$S)
))</f>
        <v/>
      </c>
      <c r="C47" s="398" t="str">
        <f>IFERROR(__xludf.DUMMYFUNCTION("if(len($A47)&lt;5,""-"",iferror(TEXTJOIN("" |=***=| "",TRUE,filter('Input task'!$D:$D&amp;"" : ""&amp;'Input task'!$E:$E&amp;"" : ""&amp;'Input task'!$K:$K&amp;"" + ""&amp;'Input task'!$H:$H,'Input task'!$J:$J="""",'Input task'!$T:$T=$A47)),""No see""))"),"Fixing Fuel Level Monitoring : TNI0251 Need to fix fuel level cannot monitoring at NMS. :  +  |=***=| PVC PLAN : TNI0251 need to cover pvc pipe :  + ")</f>
        <v>Fixing Fuel Level Monitoring : TNI0251 Need to fix fuel level cannot monitoring at NMS. :  +  |=***=| PVC PLAN : TNI0251 need to cover pvc pipe :  + </v>
      </c>
      <c r="D47" s="379" t="str">
        <f>IFERROR(__xludf.DUMMYFUNCTION("if(len($A47)&lt;5,""-"",iferror(TEXTJOIN("" |=***=| "",TRUE,FILTER(('Input WO'!$A:$A&amp;"" + ""&amp;'Input WO'!$B:$B&amp;"" : ""&amp;'Input WO'!$C:$C&amp;"" + ""&amp;'Input WO'!$F:$F),'Input WO'!$E:$E=$A47)),""No see""))"),"WO_WFM-FT_20260605_123450082 + FTTH : TNI0251OLT001 Slot 3 port 12,13,15,16 down at 6/5/2026 11:07 : -646.45 +  |=***=| WO_WFM-FT_20260514_123272600 + FTTH : TNI0251OLT001 SLOT=3,PORT=15 down at 5/14/2026 16:19 : -1169.45 +  |=***=| WO_WFM-OTHERS_20260622"&amp;"_123603211 + TNI0251_Cleaning Radiator and change engine oil : -41.95 + myt_bhonehtet.aung |=***=| WO_QLCTKT_20260529_123389851 + TNI0251 MYT_Routine_Maintenance_Mytel_Station_VCM : 223.05 + myt_bhonehtet.aung")</f>
        <v>WO_WFM-FT_20260605_123450082 + FTTH : TNI0251OLT001 Slot 3 port 12,13,15,16 down at 6/5/2026 11:07 : -646.45 +  |=***=| WO_WFM-FT_20260514_123272600 + FTTH : TNI0251OLT001 SLOT=3,PORT=15 down at 5/14/2026 16:19 : -1169.45 +  |=***=| WO_WFM-OTHERS_20260622_123603211 + TNI0251_Cleaning Radiator and change engine oil : -41.95 + myt_bhonehtet.aung |=***=| WO_QLCTKT_20260529_123389851 + TNI0251 MYT_Routine_Maintenance_Mytel_Station_VCM : 223.05 + myt_bhonehtet.aung</v>
      </c>
      <c r="E47" s="379"/>
      <c r="F47" s="372"/>
      <c r="G47" s="372"/>
      <c r="H47" s="372"/>
      <c r="I47" s="372"/>
      <c r="J47" s="372"/>
      <c r="K47" s="369"/>
      <c r="L47" s="369"/>
      <c r="M47" s="373"/>
      <c r="N47" s="369"/>
      <c r="O47" s="369"/>
      <c r="P47" s="374"/>
      <c r="Q47" s="372"/>
      <c r="R47" s="372"/>
      <c r="S47" s="372"/>
      <c r="T47" s="372"/>
      <c r="U47" s="372"/>
      <c r="V47" s="372"/>
      <c r="W47" s="372"/>
      <c r="X47" s="372"/>
      <c r="Y47" s="372"/>
      <c r="Z47" s="372"/>
      <c r="AA47" s="372"/>
      <c r="AB47" s="372"/>
      <c r="AC47" s="372"/>
      <c r="AD47" s="372"/>
      <c r="AE47" s="372"/>
      <c r="AF47" s="372"/>
      <c r="AG47" s="372"/>
      <c r="AH47" s="372"/>
      <c r="AI47" s="372"/>
      <c r="AJ47" s="372"/>
      <c r="AK47" s="372"/>
      <c r="AL47" s="372"/>
      <c r="AM47" s="372"/>
    </row>
    <row r="48">
      <c r="A48" s="379" t="s">
        <v>408</v>
      </c>
      <c r="B48" s="379" t="str">
        <f t="array" ref="B48">if(len(A48)&lt;5,"-", iferror(Xlookup($A48,'Input WO'!$E:$E,'Input WO'!$F:$F),Xlookup($A48,'Input task'!$T:$T,'Input task'!$S:$S)
))</f>
        <v/>
      </c>
      <c r="C48" s="398" t="str">
        <f>IFERROR(__xludf.DUMMYFUNCTION("if(len($A48)&lt;5,""-"",iferror(TEXTJOIN("" |=***=| "",TRUE,filter('Input task'!$D:$D&amp;"" : ""&amp;'Input task'!$E:$E&amp;"" : ""&amp;'Input task'!$K:$K&amp;"" + ""&amp;'Input task'!$H:$H,'Input task'!$J:$J="""",'Input task'!$T:$T=$A48)),""No see""))"),"Smart CB : TNI0089 :  +  |=***=| 100 point plan : TNI0089 100 point plan need to clean site overview inside and outeside and make to neatly patchord cable. :  + ")</f>
        <v>Smart CB : TNI0089 :  +  |=***=| 100 point plan : TNI0089 100 point plan need to clean site overview inside and outeside and make to neatly patchord cable. :  + </v>
      </c>
      <c r="D48" s="379" t="str">
        <f>IFERROR(__xludf.DUMMYFUNCTION("if(len($A48)&lt;5,""-"",iferror(TEXTJOIN("" |=***=| "",TRUE,FILTER(('Input WO'!$A:$A&amp;"" + ""&amp;'Input WO'!$B:$B&amp;"" : ""&amp;'Input WO'!$C:$C&amp;"" + ""&amp;'Input WO'!$F:$F),'Input WO'!$E:$E=$A48)),""No see""))"),"WO_WFM-OTHERS_20260601_123419141 + IP : TNI0089SRT001-TNI0275SRT001 link down at 31/05/2026 11:22:00 : -593.45 +  |=***=| WO_WFM-OTHERS_20260622_123602981 + TNI0089_Cleaning Radiator and change engine oil : -41.95 + myt_bhonehtet.aung |=***=| WO_QLCTKT_20"&amp;"260529_123389672 + TNI0089 MYT_Routine_Maintenance_Mytel_Station_VCM : 223.05 + myt_phyoko.ko44 |=***=| WO_QLCTKT_20260421_123050623 + TNI0089 MYT_Maintenacne_Solar : -1048.95 + myt_phyoko.ko44 |=***=| WO_QLCTKT_20260330_122772021 + TNI0089 MYT_Routine_Ma"&amp;"intenance_Mytel_Station_VCM : -1100.45 + myt_phyoko.ko44")</f>
        <v>WO_WFM-OTHERS_20260601_123419141 + IP : TNI0089SRT001-TNI0275SRT001 link down at 31/05/2026 11:22:00 : -593.45 +  |=***=| WO_WFM-OTHERS_20260622_123602981 + TNI0089_Cleaning Radiator and change engine oil : -41.95 + myt_bhonehtet.aung |=***=| WO_QLCTKT_20260529_123389672 + TNI0089 MYT_Routine_Maintenance_Mytel_Station_VCM : 223.05 + myt_phyoko.ko44 |=***=| WO_QLCTKT_20260421_123050623 + TNI0089 MYT_Maintenacne_Solar : -1048.95 + myt_phyoko.ko44 |=***=| WO_QLCTKT_20260330_122772021 + TNI0089 MYT_Routine_Maintenance_Mytel_Station_VCM : -1100.45 + myt_phyoko.ko44</v>
      </c>
      <c r="E48" s="379"/>
      <c r="F48" s="372"/>
      <c r="G48" s="372"/>
      <c r="H48" s="372"/>
      <c r="I48" s="372"/>
      <c r="J48" s="372"/>
      <c r="K48" s="369"/>
      <c r="L48" s="369"/>
      <c r="M48" s="373"/>
      <c r="N48" s="369"/>
      <c r="O48" s="369"/>
      <c r="P48" s="374"/>
      <c r="Q48" s="372"/>
      <c r="R48" s="372"/>
      <c r="S48" s="372"/>
      <c r="T48" s="372"/>
      <c r="U48" s="372"/>
      <c r="V48" s="372"/>
      <c r="W48" s="372"/>
      <c r="X48" s="372"/>
      <c r="Y48" s="372"/>
      <c r="Z48" s="372"/>
      <c r="AA48" s="372"/>
      <c r="AB48" s="372"/>
      <c r="AC48" s="372"/>
      <c r="AD48" s="372"/>
      <c r="AE48" s="372"/>
      <c r="AF48" s="372"/>
      <c r="AG48" s="372"/>
      <c r="AH48" s="372"/>
      <c r="AI48" s="372"/>
      <c r="AJ48" s="372"/>
      <c r="AK48" s="372"/>
      <c r="AL48" s="372"/>
      <c r="AM48" s="372"/>
    </row>
    <row r="49">
      <c r="A49" s="379" t="s">
        <v>217</v>
      </c>
      <c r="B49" s="379" t="str">
        <f t="array" ref="B49">if(len(A49)&lt;5,"-", iferror(Xlookup($A49,'Input WO'!$E:$E,'Input WO'!$F:$F),Xlookup($A49,'Input task'!$T:$T,'Input task'!$S:$S)
))</f>
        <v/>
      </c>
      <c r="C49" s="398" t="str">
        <f>IFERROR(__xludf.DUMMYFUNCTION("if(len($A49)&lt;5,""-"",iferror(TEXTJOIN("" |=***=| "",TRUE,filter('Input task'!$D:$D&amp;"" : ""&amp;'Input task'!$E:$E&amp;"" : ""&amp;'Input task'!$K:$K&amp;"" + ""&amp;'Input task'!$H:$H,'Input task'!$J:$J="""",'Input task'!$T:$T=$A49)),""No see""))"),"Request Export material : TNI0213-TNIM059&gt;&gt;F8 24Fo - 250m,F8 accessory - 4pcs and closure - 2pcs :  +  |=***=| Request Export material : TNI0213-TNI0206&gt;&gt; closure 1 pcs :  +  |=***=| Diode Kid Installation : TNI0213  :  +  |=***=| 100 point plan : TNI0213"&amp;" 100 point plan need to clean site overview inside and outeside and make to neatly patchord cable. :  +  |=***=| 100 point plan : TNI0213_01 100 point plan need to clean site overview inside and outeside and make to neatly patchord cable. :  +  |=***=| Ex"&amp;"port Materials : TNI0213-TNI0213_01&gt;&gt;closure 1pcs, Tension 1pcs :  +  |=***=| Surrvey Cable update form : TNI0213-TNIM059 Cable Broken many time, Check buy mapsme and sent kmz file and need to repair point and repair deploy new cable :  + ")</f>
        <v>Request Export material : TNI0213-TNIM059&gt;&gt;F8 24Fo - 250m,F8 accessory - 4pcs and closure - 2pcs :  +  |=***=| Request Export material : TNI0213-TNI0206&gt;&gt; closure 1 pcs :  +  |=***=| Diode Kid Installation : TNI0213  :  +  |=***=| 100 point plan : TNI0213 100 point plan need to clean site overview inside and outeside and make to neatly patchord cable. :  +  |=***=| 100 point plan : TNI0213_01 100 point plan need to clean site overview inside and outeside and make to neatly patchord cable. :  +  |=***=| Export Materials : TNI0213-TNI0213_01&gt;&gt;closure 1pcs, Tension 1pcs :  +  |=***=| Surrvey Cable update form : TNI0213-TNIM059 Cable Broken many time, Check buy mapsme and sent kmz file and need to repair point and repair deploy new cable :  + </v>
      </c>
      <c r="D49" s="379" t="str">
        <f>IFERROR(__xludf.DUMMYFUNCTION("if(len($A49)&lt;5,""-"",iferror(TEXTJOIN("" |=***=| "",TRUE,FILTER(('Input WO'!$A:$A&amp;"" + ""&amp;'Input WO'!$B:$B&amp;"" : ""&amp;'Input WO'!$C:$C&amp;"" + ""&amp;'Input WO'!$F:$F),'Input WO'!$E:$E=$A49)),""No see""))"),"WO_WFM-OTHERS_20260701_123693545 + IP : TNI0213SRT001-TNI0430SRT001 link down at 29/06/2026 21:23:00 : 5.55 +  |=***=| WO_WFM-OTHERS_20260601_123419138 + IP : TNI0213SRT001-TNI0150SRT001 link down at 29/05/2026 17:30:00 : -593.45 +  |=***=| WO_WFM-OTHERS_"&amp;"20260525_123360234 + IP : TNI0213SRT001-TNI0283SRT001 and TNI0006SRT002-TNI0206SRT001 link down at 24/05/2026 15:56:00 : -713.45 +  |=***=| WO_WFM-OTHERS_20260406_122908248 + IP : TNI0213SRT001-TNI0283SRT001 link down at 04/04/2026 22:00:00 : -2057.45 +  "&amp;"|=***=| WO_QLCTKT_20260408_122933154 + TNI0213_01 MYT_Routine_Maintenance_Towerco_Station_VCM : -1000.95 + myt_aungthin.mya |=***=| WO_WFM-OTHERS_20260623_123616205 + Cable Patrol for (AC)-TNI0213-TNIM059 : 439.03 + myt_bonemyat.naing1 |=***=| WO_WFM-OTHE"&amp;"RS_20260623_123613102 + Cable routes measure-AC-TNI0213-TNIM059 : 439.03 + myt_bonemyat.naing1 |=***=| WO_WFM-OTHERS_20260623_123612887 + Cable routes measure-AC-TNI0213-TNIM059 : 439.03 + myt_bonemyat.naing1")</f>
        <v>WO_WFM-OTHERS_20260701_123693545 + IP : TNI0213SRT001-TNI0430SRT001 link down at 29/06/2026 21:23:00 : 5.55 +  |=***=| WO_WFM-OTHERS_20260601_123419138 + IP : TNI0213SRT001-TNI0150SRT001 link down at 29/05/2026 17:30:00 : -593.45 +  |=***=| WO_WFM-OTHERS_20260525_123360234 + IP : TNI0213SRT001-TNI0283SRT001 and TNI0006SRT002-TNI0206SRT001 link down at 24/05/2026 15:56:00 : -713.45 +  |=***=| WO_WFM-OTHERS_20260406_122908248 + IP : TNI0213SRT001-TNI0283SRT001 link down at 04/04/2026 22:00:00 : -2057.45 +  |=***=| WO_QLCTKT_20260408_122933154 + TNI0213_01 MYT_Routine_Maintenance_Towerco_Station_VCM : -1000.95 + myt_aungthin.mya |=***=| WO_WFM-OTHERS_20260623_123616205 + Cable Patrol for (AC)-TNI0213-TNIM059 : 439.03 + myt_bonemyat.naing1 |=***=| WO_WFM-OTHERS_20260623_123613102 + Cable routes measure-AC-TNI0213-TNIM059 : 439.03 + myt_bonemyat.naing1 |=***=| WO_WFM-OTHERS_20260623_123612887 + Cable routes measure-AC-TNI0213-TNIM059 : 439.03 + myt_bonemyat.naing1</v>
      </c>
      <c r="E49" s="379"/>
      <c r="F49" s="372"/>
      <c r="G49" s="372"/>
      <c r="H49" s="372"/>
      <c r="I49" s="372"/>
      <c r="J49" s="372"/>
      <c r="K49" s="369"/>
      <c r="L49" s="369"/>
      <c r="M49" s="373"/>
      <c r="N49" s="369"/>
      <c r="O49" s="369"/>
      <c r="P49" s="374"/>
      <c r="Q49" s="372"/>
      <c r="R49" s="372"/>
      <c r="S49" s="372"/>
      <c r="T49" s="372"/>
      <c r="U49" s="372"/>
      <c r="V49" s="372"/>
      <c r="W49" s="372"/>
      <c r="X49" s="372"/>
      <c r="Y49" s="372"/>
      <c r="Z49" s="372"/>
      <c r="AA49" s="372"/>
      <c r="AB49" s="372"/>
      <c r="AC49" s="372"/>
      <c r="AD49" s="372"/>
      <c r="AE49" s="372"/>
      <c r="AF49" s="372"/>
      <c r="AG49" s="372"/>
      <c r="AH49" s="372"/>
      <c r="AI49" s="372"/>
      <c r="AJ49" s="372"/>
      <c r="AK49" s="372"/>
      <c r="AL49" s="372"/>
      <c r="AM49" s="372"/>
    </row>
    <row r="50">
      <c r="A50" s="379" t="s">
        <v>409</v>
      </c>
      <c r="B50" s="379" t="str">
        <f t="array" ref="B50">if(len(A50)&lt;5,"-", iferror(Xlookup($A50,'Input WO'!$E:$E,'Input WO'!$F:$F),Xlookup($A50,'Input task'!$T:$T,'Input task'!$S:$S)
))</f>
        <v/>
      </c>
      <c r="C50" s="398" t="str">
        <f>IFERROR(__xludf.DUMMYFUNCTION("if(len($A50)&lt;5,""-"",iferror(TEXTJOIN("" |=***=| "",TRUE,filter('Input task'!$D:$D&amp;"" : ""&amp;'Input task'!$E:$E&amp;"" : ""&amp;'Input task'!$K:$K&amp;"" + ""&amp;'Input task'!$H:$H,'Input task'!$J:$J="""",'Input task'!$T:$T=$A50)),""No see""))"),"No see")</f>
        <v>No see</v>
      </c>
      <c r="D50" s="379" t="str">
        <f>IFERROR(__xludf.DUMMYFUNCTION("if(len($A50)&lt;5,""-"",iferror(TEXTJOIN("" |=***=| "",TRUE,FILTER(('Input WO'!$A:$A&amp;"" + ""&amp;'Input WO'!$B:$B&amp;"" : ""&amp;'Input WO'!$C:$C&amp;"" + ""&amp;'Input WO'!$F:$F),'Input WO'!$E:$E=$A50)),""No see""))"),"WO_WFM-OTHERS_20260527_123376020 + Cable RoutePatrol-AC-TNI0021-TNI0240 :  + ")</f>
        <v>WO_WFM-OTHERS_20260527_123376020 + Cable RoutePatrol-AC-TNI0021-TNI0240 :  + </v>
      </c>
      <c r="E50" s="379"/>
      <c r="F50" s="372"/>
      <c r="G50" s="372"/>
      <c r="H50" s="372"/>
      <c r="I50" s="372"/>
      <c r="J50" s="372"/>
      <c r="K50" s="369"/>
      <c r="L50" s="369"/>
      <c r="M50" s="373"/>
      <c r="N50" s="369"/>
      <c r="O50" s="369"/>
      <c r="P50" s="374"/>
      <c r="Q50" s="372"/>
      <c r="R50" s="372"/>
      <c r="S50" s="372"/>
      <c r="T50" s="372"/>
      <c r="U50" s="372"/>
      <c r="V50" s="372"/>
      <c r="W50" s="372"/>
      <c r="X50" s="372"/>
      <c r="Y50" s="372"/>
      <c r="Z50" s="372"/>
      <c r="AA50" s="372"/>
      <c r="AB50" s="372"/>
      <c r="AC50" s="372"/>
      <c r="AD50" s="372"/>
      <c r="AE50" s="372"/>
      <c r="AF50" s="372"/>
      <c r="AG50" s="372"/>
      <c r="AH50" s="372"/>
      <c r="AI50" s="372"/>
      <c r="AJ50" s="372"/>
      <c r="AK50" s="372"/>
      <c r="AL50" s="372"/>
      <c r="AM50" s="372"/>
    </row>
    <row r="51">
      <c r="A51" s="379" t="s">
        <v>410</v>
      </c>
      <c r="B51" s="379" t="str">
        <f t="array" ref="B51">if(len(A51)&lt;5,"-", iferror(Xlookup($A51,'Input WO'!$E:$E,'Input WO'!$F:$F),Xlookup($A51,'Input task'!$T:$T,'Input task'!$S:$S)
))</f>
        <v/>
      </c>
      <c r="C51" s="398" t="str">
        <f>IFERROR(__xludf.DUMMYFUNCTION("if(len($A51)&lt;5,""-"",iferror(TEXTJOIN("" |=***=| "",TRUE,filter('Input task'!$D:$D&amp;"" : ""&amp;'Input task'!$E:$E&amp;"" : ""&amp;'Input task'!$K:$K&amp;"" + ""&amp;'Input task'!$H:$H,'Input task'!$J:$J="""",'Input task'!$T:$T=$A51)),""No see""))"),"No see")</f>
        <v>No see</v>
      </c>
      <c r="D51" s="379" t="str">
        <f>IFERROR(__xludf.DUMMYFUNCTION("if(len($A51)&lt;5,""-"",iferror(TEXTJOIN("" |=***=| "",TRUE,FILTER(('Input WO'!$A:$A&amp;"" + ""&amp;'Input WO'!$B:$B&amp;"" : ""&amp;'Input WO'!$C:$C&amp;"" + ""&amp;'Input WO'!$F:$F),'Input WO'!$E:$E=$A51)),""No see""))"),"WO_WFM-OTHERS_20260527_123376021 + Cable RoutePatrol-AC-TNI0232-TNI0294 :  +  |=***=| WO_ICMS_20260625_123632735 + Patrolling cable routes TNI0232-TNI0263_00, TNI0232 + null – TNI0263 + null : 545.66 + myt_pyikyaw.aung")</f>
        <v>WO_WFM-OTHERS_20260527_123376021 + Cable RoutePatrol-AC-TNI0232-TNI0294 :  +  |=***=| WO_ICMS_20260625_123632735 + Patrolling cable routes TNI0232-TNI0263_00, TNI0232 + null – TNI0263 + null : 545.66 + myt_pyikyaw.aung</v>
      </c>
      <c r="E51" s="379"/>
      <c r="F51" s="372"/>
      <c r="G51" s="372"/>
      <c r="H51" s="372"/>
      <c r="I51" s="372"/>
      <c r="J51" s="372"/>
      <c r="K51" s="369"/>
      <c r="L51" s="369"/>
      <c r="M51" s="373"/>
      <c r="N51" s="369"/>
      <c r="O51" s="369"/>
      <c r="P51" s="374"/>
      <c r="Q51" s="372"/>
      <c r="R51" s="372"/>
      <c r="S51" s="372"/>
      <c r="T51" s="372"/>
      <c r="U51" s="372"/>
      <c r="V51" s="372"/>
      <c r="W51" s="372"/>
      <c r="X51" s="372"/>
      <c r="Y51" s="372"/>
      <c r="Z51" s="372"/>
      <c r="AA51" s="372"/>
      <c r="AB51" s="372"/>
      <c r="AC51" s="372"/>
      <c r="AD51" s="372"/>
      <c r="AE51" s="372"/>
      <c r="AF51" s="372"/>
      <c r="AG51" s="372"/>
      <c r="AH51" s="372"/>
      <c r="AI51" s="372"/>
      <c r="AJ51" s="372"/>
      <c r="AK51" s="372"/>
      <c r="AL51" s="372"/>
      <c r="AM51" s="372"/>
    </row>
    <row r="52">
      <c r="A52" s="379" t="s">
        <v>411</v>
      </c>
      <c r="B52" s="379" t="str">
        <f t="array" ref="B52">if(len(A52)&lt;5,"-", iferror(Xlookup($A52,'Input WO'!$E:$E,'Input WO'!$F:$F),Xlookup($A52,'Input task'!$T:$T,'Input task'!$S:$S)
))</f>
        <v/>
      </c>
      <c r="C52" s="398" t="str">
        <f>IFERROR(__xludf.DUMMYFUNCTION("if(len($A52)&lt;5,""-"",iferror(TEXTJOIN("" |=***=| "",TRUE,filter('Input task'!$D:$D&amp;"" : ""&amp;'Input task'!$E:$E&amp;"" : ""&amp;'Input task'!$K:$K&amp;"" + ""&amp;'Input task'!$H:$H,'Input task'!$J:$J="""",'Input task'!$T:$T=$A52)),""No see""))"),"No see")</f>
        <v>No see</v>
      </c>
      <c r="D52" s="379" t="str">
        <f>IFERROR(__xludf.DUMMYFUNCTION("if(len($A52)&lt;5,""-"",iferror(TEXTJOIN("" |=***=| "",TRUE,FILTER(('Input WO'!$A:$A&amp;"" + ""&amp;'Input WO'!$B:$B&amp;"" : ""&amp;'Input WO'!$C:$C&amp;"" + ""&amp;'Input WO'!$F:$F),'Input WO'!$E:$E=$A52)),""No see""))"),"WO_WFM-OTHERS_20260510_123241721 + IP : TNI0189SRT001-TNI0197SRT001 link down 10/05/2026 : -1241.45 +  |=***=| WO_WFM-OTHERS_20260623_123616232 + Cable Patrol for (AC)-TNI0189-TNIM052 : 439.03 + myt_bonemyat.naing1")</f>
        <v>WO_WFM-OTHERS_20260510_123241721 + IP : TNI0189SRT001-TNI0197SRT001 link down 10/05/2026 : -1241.45 +  |=***=| WO_WFM-OTHERS_20260623_123616232 + Cable Patrol for (AC)-TNI0189-TNIM052 : 439.03 + myt_bonemyat.naing1</v>
      </c>
      <c r="E52" s="379"/>
      <c r="F52" s="372"/>
      <c r="G52" s="372"/>
      <c r="H52" s="372"/>
      <c r="I52" s="372"/>
      <c r="J52" s="372"/>
      <c r="K52" s="369"/>
      <c r="L52" s="369"/>
      <c r="M52" s="373"/>
      <c r="N52" s="369"/>
      <c r="O52" s="369"/>
      <c r="P52" s="374"/>
      <c r="Q52" s="372"/>
      <c r="R52" s="372"/>
      <c r="S52" s="372"/>
      <c r="T52" s="372"/>
      <c r="U52" s="372"/>
      <c r="V52" s="372"/>
      <c r="W52" s="372"/>
      <c r="X52" s="372"/>
      <c r="Y52" s="372"/>
      <c r="Z52" s="372"/>
      <c r="AA52" s="372"/>
      <c r="AB52" s="372"/>
      <c r="AC52" s="372"/>
      <c r="AD52" s="372"/>
      <c r="AE52" s="372"/>
      <c r="AF52" s="372"/>
      <c r="AG52" s="372"/>
      <c r="AH52" s="372"/>
      <c r="AI52" s="372"/>
      <c r="AJ52" s="372"/>
      <c r="AK52" s="372"/>
      <c r="AL52" s="372"/>
      <c r="AM52" s="372"/>
    </row>
    <row r="53">
      <c r="A53" s="379" t="s">
        <v>412</v>
      </c>
      <c r="B53" s="379" t="str">
        <f t="array" ref="B53">if(len(A53)&lt;5,"-", iferror(Xlookup($A53,'Input WO'!$E:$E,'Input WO'!$F:$F),Xlookup($A53,'Input task'!$T:$T,'Input task'!$S:$S)
))</f>
        <v>-</v>
      </c>
      <c r="C53" s="398" t="str">
        <f>IFERROR(__xludf.DUMMYFUNCTION("if(len($A53)&lt;5,""-"",iferror(TEXTJOIN("" |=***=| "",TRUE,filter('Input task'!$D:$D&amp;"" : ""&amp;'Input task'!$E:$E&amp;"" : ""&amp;'Input task'!$K:$K&amp;"" + ""&amp;'Input task'!$H:$H,'Input task'!$J:$J="""",'Input task'!$T:$T=$A53)),""No see""))"),"-")</f>
        <v>-</v>
      </c>
      <c r="D53" s="379" t="str">
        <f>IFERROR(__xludf.DUMMYFUNCTION("if(len($A53)&lt;5,""-"",iferror(TEXTJOIN("" |=***=| "",TRUE,FILTER(('Input WO'!$A:$A&amp;"" + ""&amp;'Input WO'!$B:$B&amp;"" : ""&amp;'Input WO'!$C:$C&amp;"" + ""&amp;'Input WO'!$F:$F),'Input WO'!$E:$E=$A53)),""No see""))"),"-")</f>
        <v>-</v>
      </c>
      <c r="E53" s="379"/>
      <c r="F53" s="372"/>
      <c r="G53" s="372"/>
      <c r="H53" s="372"/>
      <c r="I53" s="372"/>
      <c r="J53" s="372"/>
      <c r="K53" s="369"/>
      <c r="L53" s="369"/>
      <c r="M53" s="373"/>
      <c r="N53" s="369"/>
      <c r="O53" s="369"/>
      <c r="P53" s="374"/>
      <c r="Q53" s="372"/>
      <c r="R53" s="372"/>
      <c r="S53" s="372"/>
      <c r="T53" s="372"/>
      <c r="U53" s="372"/>
      <c r="V53" s="372"/>
      <c r="W53" s="372"/>
      <c r="X53" s="372"/>
      <c r="Y53" s="372"/>
      <c r="Z53" s="372"/>
      <c r="AA53" s="372"/>
      <c r="AB53" s="372"/>
      <c r="AC53" s="372"/>
      <c r="AD53" s="372"/>
      <c r="AE53" s="372"/>
      <c r="AF53" s="372"/>
      <c r="AG53" s="372"/>
      <c r="AH53" s="372"/>
      <c r="AI53" s="372"/>
      <c r="AJ53" s="372"/>
      <c r="AK53" s="372"/>
      <c r="AL53" s="372"/>
      <c r="AM53" s="372"/>
    </row>
    <row r="54">
      <c r="A54" s="379" t="s">
        <v>413</v>
      </c>
      <c r="B54" s="379" t="str">
        <f t="array" ref="B54">if(len(A54)&lt;5,"-", iferror(Xlookup($A54,'Input WO'!$E:$E,'Input WO'!$F:$F),Xlookup($A54,'Input task'!$T:$T,'Input task'!$S:$S)
))</f>
        <v/>
      </c>
      <c r="C54" s="398" t="str">
        <f>IFERROR(__xludf.DUMMYFUNCTION("if(len($A54)&lt;5,""-"",iferror(TEXTJOIN("" |=***=| "",TRUE,filter('Input task'!$D:$D&amp;"" : ""&amp;'Input task'!$E:$E&amp;"" : ""&amp;'Input task'!$K:$K&amp;"" + ""&amp;'Input task'!$H:$H,'Input task'!$J:$J="""",'Input task'!$T:$T=$A54)),""No see""))"),"100 point plan : TNI0075 100 point plan need to clean site overview inside and outeside and make to neatly patchord cable. :  + ")</f>
        <v>100 point plan : TNI0075 100 point plan need to clean site overview inside and outeside and make to neatly patchord cable. :  + </v>
      </c>
      <c r="D54" s="379" t="str">
        <f>IFERROR(__xludf.DUMMYFUNCTION("if(len($A54)&lt;5,""-"",iferror(TEXTJOIN("" |=***=| "",TRUE,FILTER(('Input WO'!$A:$A&amp;"" + ""&amp;'Input WO'!$B:$B&amp;"" : ""&amp;'Input WO'!$C:$C&amp;"" + ""&amp;'Input WO'!$F:$F),'Input WO'!$E:$E=$A54)),""No see""))"),"WO_WFM-OTHERS_20260509_123230618 + IP : TNI0075SRT001-TNI0165SRT001-TNI0279SRT001 link down at 08/05/2026 17:00:00 : -1121.45 +  |=***=| WO_WFM-OTHERS_20260623_123616257 + Cable Patrol for (AC)-TNI0075-TNIM031 : 439.03 + myt_wanna.oo2 |=***=| WO_WFM-OTHER"&amp;"S_20260623_123616242 + Cable Patrol for (BB)-TNI0075-TNIM031 : 439.03 + myt_wanna.oo2 |=***=| WO_QLCTKT_20260408_122933159 + TNI0075 MYT_Routine_Maintenance_Towerco_Station_VCM : -1000.95 + myt_ye.lin22")</f>
        <v>WO_WFM-OTHERS_20260509_123230618 + IP : TNI0075SRT001-TNI0165SRT001-TNI0279SRT001 link down at 08/05/2026 17:00:00 : -1121.45 +  |=***=| WO_WFM-OTHERS_20260623_123616257 + Cable Patrol for (AC)-TNI0075-TNIM031 : 439.03 + myt_wanna.oo2 |=***=| WO_WFM-OTHERS_20260623_123616242 + Cable Patrol for (BB)-TNI0075-TNIM031 : 439.03 + myt_wanna.oo2 |=***=| WO_QLCTKT_20260408_122933159 + TNI0075 MYT_Routine_Maintenance_Towerco_Station_VCM : -1000.95 + myt_ye.lin22</v>
      </c>
      <c r="E54" s="379"/>
      <c r="F54" s="372"/>
      <c r="G54" s="372"/>
      <c r="H54" s="372"/>
      <c r="I54" s="372"/>
      <c r="J54" s="372"/>
      <c r="K54" s="369"/>
      <c r="L54" s="369"/>
      <c r="M54" s="373"/>
      <c r="N54" s="369"/>
      <c r="O54" s="369"/>
      <c r="P54" s="374"/>
      <c r="Q54" s="372"/>
      <c r="R54" s="372"/>
      <c r="S54" s="372"/>
      <c r="T54" s="372"/>
      <c r="U54" s="372"/>
      <c r="V54" s="372"/>
      <c r="W54" s="372"/>
      <c r="X54" s="372"/>
      <c r="Y54" s="372"/>
      <c r="Z54" s="372"/>
      <c r="AA54" s="372"/>
      <c r="AB54" s="372"/>
      <c r="AC54" s="372"/>
      <c r="AD54" s="372"/>
      <c r="AE54" s="372"/>
      <c r="AF54" s="372"/>
      <c r="AG54" s="372"/>
      <c r="AH54" s="372"/>
      <c r="AI54" s="372"/>
      <c r="AJ54" s="372"/>
      <c r="AK54" s="372"/>
      <c r="AL54" s="372"/>
      <c r="AM54" s="372"/>
    </row>
    <row r="55">
      <c r="A55" s="379" t="s">
        <v>414</v>
      </c>
      <c r="B55" s="379" t="str">
        <f t="array" ref="B55">if(len(A55)&lt;5,"-", iferror(Xlookup($A55,'Input WO'!$E:$E,'Input WO'!$F:$F),Xlookup($A55,'Input task'!$T:$T,'Input task'!$S:$S)
))</f>
        <v/>
      </c>
      <c r="C55" s="398" t="str">
        <f>IFERROR(__xludf.DUMMYFUNCTION("if(len($A55)&lt;5,""-"",iferror(TEXTJOIN("" |=***=| "",TRUE,filter('Input task'!$D:$D&amp;"" : ""&amp;'Input task'!$E:$E&amp;"" : ""&amp;'Input task'!$K:$K&amp;"" + ""&amp;'Input task'!$H:$H,'Input task'!$J:$J="""",'Input task'!$T:$T=$A55)),""No see""))"),"Return to send Branch Office : TNI0206 Recall PU : 1 Pcs Serial: 219561075452 :  +  |=***=| Request Export material : TNI0206-TNI0220&gt;&gt;Closure 2 pcs :  +  |=***=| Request Export material : TNI0206-TNI0220&gt;&gt;24F8 100meter,closure 2pcs, Tension 2pcs :  +  |="&amp;"***=| Request Export material : TNI0206-TNI0213&gt;&gt; closure 2pcs,24F8 cable 250meter :  +  |=***=| Request Export material : TNI0206-TNI0213&gt;&gt; F8 cable 1100meter, closure 2pcs, tension 3pcs :  +  |=***=| Fixing Fuel Level Monitoring : TNI0206 Need to fix fu"&amp;"el level cannot monitoring at NMS. :  +  |=***=| Need to Cut Tree : TNI0206 Need to cut tree for solar at TNI0206 :  +  |=***=| Smart CB : TNI0206 :  +  |=***=| 100 point plan : TNI0206 100 point plan need to clean site overview inside and outeside and ma"&amp;"ke to neatly patchord cable. :  +  |=***=| PVC PLAN : TNI0206 need to cover pvc pipe :  +  |=***=| Export Materials : TNI0206-TNI0150 &gt;&gt;Closure 2 pcs, 24FO 50m :  + ")</f>
        <v>Return to send Branch Office : TNI0206 Recall PU : 1 Pcs Serial: 219561075452 :  +  |=***=| Request Export material : TNI0206-TNI0220&gt;&gt;Closure 2 pcs :  +  |=***=| Request Export material : TNI0206-TNI0220&gt;&gt;24F8 100meter,closure 2pcs, Tension 2pcs :  +  |=***=| Request Export material : TNI0206-TNI0213&gt;&gt; closure 2pcs,24F8 cable 250meter :  +  |=***=| Request Export material : TNI0206-TNI0213&gt;&gt; F8 cable 1100meter, closure 2pcs, tension 3pcs :  +  |=***=| Fixing Fuel Level Monitoring : TNI0206 Need to fix fuel level cannot monitoring at NMS. :  +  |=***=| Need to Cut Tree : TNI0206 Need to cut tree for solar at TNI0206 :  +  |=***=| Smart CB : TNI0206 :  +  |=***=| 100 point plan : TNI0206 100 point plan need to clean site overview inside and outeside and make to neatly patchord cable. :  +  |=***=| PVC PLAN : TNI0206 need to cover pvc pipe :  +  |=***=| Export Materials : TNI0206-TNI0150 &gt;&gt;Closure 2 pcs, 24FO 50m :  + </v>
      </c>
      <c r="D55" s="379" t="str">
        <f>IFERROR(__xludf.DUMMYFUNCTION("if(len($A55)&lt;5,""-"",iferror(TEXTJOIN("" |=***=| "",TRUE,FILTER(('Input WO'!$A:$A&amp;"" + ""&amp;'Input WO'!$B:$B&amp;"" : ""&amp;'Input WO'!$C:$C&amp;"" + ""&amp;'Input WO'!$F:$F),'Input WO'!$E:$E=$A55)),""No see""))"),"WO_WFM-OTHERS_20260507_123207576 + IP : TNI0206SRT001-TNI0220SRT001 link down at 06/05/2026 12:07:00 : -1313.45 +  |=***=| WO_ICMS_20260625_123632739 + Patrolling cable routes TNI0206-TNI0213_00, TNI0206 + null – TNI0213 + null : 545.66 + myt_bhonehtet.au"&amp;"ng |=***=| WO_ICMS_20260625_123632740 + Patrolling cable routes TNI0206-TNI0220_00, TNI0206 + null – TNI0220 + null : 545.66 + myt_bhonehtet.aung |=***=| WO_WFM-OTHERS_20260623_123613109 + Cable routes measure-AC-TNI0206-TNI0213 : 439.03 + myt_bonemyat.na"&amp;"ing1 |=***=| WO_WFM-OTHERS_20260623_123613107 + Cable routes measure-AC-TNI0206-TNI0220 : 439.03 + myt_bonemyat.naing1 |=***=| WO_WFM-OTHERS_20260623_123612894 + Cable routes measure-AC-TNI0206-TNI0213 : 439.03 + myt_bonemyat.naing1 |=***=| WO_WFM-OTHERS_"&amp;"20260623_123612892 + Cable routes measure-AC-TNI0206-TNI0220 : 439.03 + myt_bonemyat.naing1 |=***=| WO_WFM-OTHERS_20260622_123603038 + TNI0206_Cleaning Radiator and change engine oil : -41.95 + myt_tharhtoo.aung11 |=***=| WO_QLCTKT_20260529_123389764 + TN"&amp;"I0206 MYT_Routine_Maintenance_Mytel_Station_VCM : 223.05 + myt_tharhtoo.aung11 |=***=| WO_QLCTKT_20260330_122772147 + TNI0206 MYT_Routine_Maintenance_Mytel_Station_VCM : -1100.45 + myt_tharhtoo.aung11")</f>
        <v>WO_WFM-OTHERS_20260507_123207576 + IP : TNI0206SRT001-TNI0220SRT001 link down at 06/05/2026 12:07:00 : -1313.45 +  |=***=| WO_ICMS_20260625_123632739 + Patrolling cable routes TNI0206-TNI0213_00, TNI0206 + null – TNI0213 + null : 545.66 + myt_bhonehtet.aung |=***=| WO_ICMS_20260625_123632740 + Patrolling cable routes TNI0206-TNI0220_00, TNI0206 + null – TNI0220 + null : 545.66 + myt_bhonehtet.aung |=***=| WO_WFM-OTHERS_20260623_123613109 + Cable routes measure-AC-TNI0206-TNI0213 : 439.03 + myt_bonemyat.naing1 |=***=| WO_WFM-OTHERS_20260623_123613107 + Cable routes measure-AC-TNI0206-TNI0220 : 439.03 + myt_bonemyat.naing1 |=***=| WO_WFM-OTHERS_20260623_123612894 + Cable routes measure-AC-TNI0206-TNI0213 : 439.03 + myt_bonemyat.naing1 |=***=| WO_WFM-OTHERS_20260623_123612892 + Cable routes measure-AC-TNI0206-TNI0220 : 439.03 + myt_bonemyat.naing1 |=***=| WO_WFM-OTHERS_20260622_123603038 + TNI0206_Cleaning Radiator and change engine oil : -41.95 + myt_tharhtoo.aung11 |=***=| WO_QLCTKT_20260529_123389764 + TNI0206 MYT_Routine_Maintenance_Mytel_Station_VCM : 223.05 + myt_tharhtoo.aung11 |=***=| WO_QLCTKT_20260330_122772147 + TNI0206 MYT_Routine_Maintenance_Mytel_Station_VCM : -1100.45 + myt_tharhtoo.aung11</v>
      </c>
      <c r="E55" s="379"/>
      <c r="F55" s="372"/>
      <c r="G55" s="372"/>
      <c r="H55" s="372"/>
      <c r="I55" s="372"/>
      <c r="J55" s="372"/>
      <c r="K55" s="369"/>
      <c r="L55" s="369"/>
      <c r="M55" s="373"/>
      <c r="N55" s="369"/>
      <c r="O55" s="369"/>
      <c r="P55" s="374"/>
      <c r="Q55" s="372"/>
      <c r="R55" s="372"/>
      <c r="S55" s="372"/>
      <c r="T55" s="372"/>
      <c r="U55" s="372"/>
      <c r="V55" s="372"/>
      <c r="W55" s="372"/>
      <c r="X55" s="372"/>
      <c r="Y55" s="372"/>
      <c r="Z55" s="372"/>
      <c r="AA55" s="372"/>
      <c r="AB55" s="372"/>
      <c r="AC55" s="372"/>
      <c r="AD55" s="372"/>
      <c r="AE55" s="372"/>
      <c r="AF55" s="372"/>
      <c r="AG55" s="372"/>
      <c r="AH55" s="372"/>
      <c r="AI55" s="372"/>
      <c r="AJ55" s="372"/>
      <c r="AK55" s="372"/>
      <c r="AL55" s="372"/>
      <c r="AM55" s="372"/>
    </row>
    <row r="56">
      <c r="A56" s="379" t="s">
        <v>226</v>
      </c>
      <c r="B56" s="379" t="str">
        <f t="array" ref="B56">if(len(A56)&lt;5,"-", iferror(Xlookup($A56,'Input WO'!$E:$E,'Input WO'!$F:$F),Xlookup($A56,'Input task'!$T:$T,'Input task'!$S:$S)
))</f>
        <v/>
      </c>
      <c r="C56" s="398" t="str">
        <f>IFERROR(__xludf.DUMMYFUNCTION("if(len($A56)&lt;5,""-"",iferror(TEXTJOIN("" |=***=| "",TRUE,filter('Input task'!$D:$D&amp;"" : ""&amp;'Input task'!$E:$E&amp;"" : ""&amp;'Input task'!$K:$K&amp;"" + ""&amp;'Input task'!$H:$H,'Input task'!$J:$J="""",'Input task'!$T:$T=$A56)),""No see""))"),"Return to send Branch Office : TNI0005 Recall PU : 1 Pcs Serial: 219559880508 :  +  |=***=| Request Export material : TNI0005-TNIM007&gt;&gt; Closure 2 pcs, 24 FO 200m :  +  |=***=| Change MBB : TNI0005 Need to change backup batteries 8 pcs at TNI0005 :  + VCM2"&amp;"90207-Min Paing Oo, VCM811568-Aung Kyaw Latt |=***=| Check&amp;fixing Main Node Site : TNI0005, Check&amp;fixing Main Node &gt;&gt; Check power status and equipment room (Grounding, Air Con , Fire extinguisher, Light Bulb, ATS, DG Maintenance&gt;&gt; Check engine oil and fil"&amp;"ter change date) , all cabel into site from undergroun or not, Site Cleaning, Last pole status  :  + ")</f>
        <v>Return to send Branch Office : TNI0005 Recall PU : 1 Pcs Serial: 219559880508 :  +  |=***=| Request Export material : TNI0005-TNIM007&gt;&gt; Closure 2 pcs, 24 FO 200m :  +  |=***=| Change MBB : TNI0005 Need to change backup batteries 8 pcs at TNI0005 :  + VCM290207-Min Paing Oo, VCM811568-Aung Kyaw Latt |=***=| Check&amp;fixing Main Node Site : TNI0005, Check&amp;fixing Main Node &gt;&gt; Check power status and equipment room (Grounding, Air Con , Fire extinguisher, Light Bulb, ATS, DG Maintenance&gt;&gt; Check engine oil and filter change date) , all cabel into site from undergroun or not, Site Cleaning, Last pole status  :  + </v>
      </c>
      <c r="D56" s="379" t="str">
        <f>IFERROR(__xludf.DUMMYFUNCTION("if(len($A56)&lt;5,""-"",iferror(TEXTJOIN("" |=***=| "",TRUE,FILTER(('Input WO'!$A:$A&amp;"" + ""&amp;'Input WO'!$B:$B&amp;"" : ""&amp;'Input WO'!$C:$C&amp;"" + ""&amp;'Input WO'!$F:$F),'Input WO'!$E:$E=$A56)),""No see""))"),"WO_WFM-OTHERS_20260502_123168012 + IP : TNI0005SRT001-TNI0046SRT001 link down at 29/04/2026 15:30:00 : -1457.45 +  |=***=| WO_ICMS_20260623_123613514 + TNI0005 MYT_Routine_Maintenance_Main_Station MYT_RTE_MTE_MAIN_STN : 502.17 + myt_minpaing.oo |=***=| WO"&amp;"_WFM-OTHERS_20260623_123616246 + Cable Patrol for (BB)-TNI0005-TNIM008 : 439.03 + myt_wanna.oo2 |=***=| WO_WFM-OTHERS_20260623_123616245 + Cable Patrol for (BB)-TNI0005-TNIM007 : 439.03 + myt_wanna.oo2 |=***=| WO_WFM-OTHERS_20260623_123616241 + Cable Patr"&amp;"ol for (BB)-TNI0005-TNI0007 : 439.03 + myt_wanna.oo2")</f>
        <v>WO_WFM-OTHERS_20260502_123168012 + IP : TNI0005SRT001-TNI0046SRT001 link down at 29/04/2026 15:30:00 : -1457.45 +  |=***=| WO_ICMS_20260623_123613514 + TNI0005 MYT_Routine_Maintenance_Main_Station MYT_RTE_MTE_MAIN_STN : 502.17 + myt_minpaing.oo |=***=| WO_WFM-OTHERS_20260623_123616246 + Cable Patrol for (BB)-TNI0005-TNIM008 : 439.03 + myt_wanna.oo2 |=***=| WO_WFM-OTHERS_20260623_123616245 + Cable Patrol for (BB)-TNI0005-TNIM007 : 439.03 + myt_wanna.oo2 |=***=| WO_WFM-OTHERS_20260623_123616241 + Cable Patrol for (BB)-TNI0005-TNI0007 : 439.03 + myt_wanna.oo2</v>
      </c>
      <c r="E56" s="379"/>
      <c r="F56" s="372"/>
      <c r="G56" s="372"/>
      <c r="H56" s="372"/>
      <c r="I56" s="372"/>
      <c r="J56" s="372"/>
      <c r="K56" s="369"/>
      <c r="L56" s="369"/>
      <c r="M56" s="373"/>
      <c r="N56" s="369"/>
      <c r="O56" s="369"/>
      <c r="P56" s="374"/>
      <c r="Q56" s="372"/>
      <c r="R56" s="372"/>
      <c r="S56" s="372"/>
      <c r="T56" s="372"/>
      <c r="U56" s="372"/>
      <c r="V56" s="372"/>
      <c r="W56" s="372"/>
      <c r="X56" s="372"/>
      <c r="Y56" s="372"/>
      <c r="Z56" s="372"/>
      <c r="AA56" s="372"/>
      <c r="AB56" s="372"/>
      <c r="AC56" s="372"/>
      <c r="AD56" s="372"/>
      <c r="AE56" s="372"/>
      <c r="AF56" s="372"/>
      <c r="AG56" s="372"/>
      <c r="AH56" s="372"/>
      <c r="AI56" s="372"/>
      <c r="AJ56" s="372"/>
      <c r="AK56" s="372"/>
      <c r="AL56" s="372"/>
      <c r="AM56" s="372"/>
    </row>
    <row r="57">
      <c r="A57" s="379" t="s">
        <v>370</v>
      </c>
      <c r="B57" s="379" t="str">
        <f t="array" ref="B57">if(len(A57)&lt;5,"-", iferror(Xlookup($A57,'Input WO'!$E:$E,'Input WO'!$F:$F),Xlookup($A57,'Input task'!$T:$T,'Input task'!$S:$S)
))</f>
        <v/>
      </c>
      <c r="C57" s="398" t="str">
        <f>IFERROR(__xludf.DUMMYFUNCTION("if(len($A57)&lt;5,""-"",iferror(TEXTJOIN("" |=***=| "",TRUE,filter('Input task'!$D:$D&amp;"" : ""&amp;'Input task'!$E:$E&amp;"" : ""&amp;'Input task'!$K:$K&amp;"" + ""&amp;'Input task'!$H:$H,'Input task'!$J:$J="""",'Input task'!$T:$T=$A57)),""No see""))"),"Return to send Branch Office : TNI0129 Recall PU : 1 Pcs Serial: 219559879245 :  +  |=***=| Smart CB : TNI0129 :  +  |=***=| 100 point plan : TNI0129 100 point plan need to clean site overview inside and outeside and make to neatly patchord cable. :  +  |"&amp;"=***=| Export Materials : TNI0129-TNIM043 &gt;&gt;&gt;F8 cable 100metet,2closure :  + ")</f>
        <v>Return to send Branch Office : TNI0129 Recall PU : 1 Pcs Serial: 219559879245 :  +  |=***=| Smart CB : TNI0129 :  +  |=***=| 100 point plan : TNI0129 100 point plan need to clean site overview inside and outeside and make to neatly patchord cable. :  +  |=***=| Export Materials : TNI0129-TNIM043 &gt;&gt;&gt;F8 cable 100metet,2closure :  + </v>
      </c>
      <c r="D57" s="379" t="str">
        <f>IFERROR(__xludf.DUMMYFUNCTION("if(len($A57)&lt;5,""-"",iferror(TEXTJOIN("" |=***=| "",TRUE,FILTER(('Input WO'!$A:$A&amp;"" + ""&amp;'Input WO'!$B:$B&amp;"" : ""&amp;'Input WO'!$C:$C&amp;"" + ""&amp;'Input WO'!$F:$F),'Input WO'!$E:$E=$A57)),""No see""))"),"WO_WFM-OTHERS_20260426_123112990 + IP : TNI0129SRT001-TNI0284SRT001 link down at 26/04/2026 08:00:39 : -1457.45 +  |=***=| WO_WFM-OTHERS_20260623_123616217 + Cable Patrol for (AC)-TNI0129-TNIM043 : 439.03 + myt_bonemyat.naing1 |=***=| WO_ICMS_20260623_123"&amp;"611282 + TNI0129 MYT_Routine_Maintenance_Towerco_Station MYT_RTE_MTE_TCO_STN : 882.55 + myt_tharhtoo.aung11 |=***=| WO_QLCTKT_20260604_123438229 + TNI0129 MYT_Troubleshooting Solar Power System : -520.95 + myt_tharhtoo.aung11")</f>
        <v>WO_WFM-OTHERS_20260426_123112990 + IP : TNI0129SRT001-TNI0284SRT001 link down at 26/04/2026 08:00:39 : -1457.45 +  |=***=| WO_WFM-OTHERS_20260623_123616217 + Cable Patrol for (AC)-TNI0129-TNIM043 : 439.03 + myt_bonemyat.naing1 |=***=| WO_ICMS_20260623_123611282 + TNI0129 MYT_Routine_Maintenance_Towerco_Station MYT_RTE_MTE_TCO_STN : 882.55 + myt_tharhtoo.aung11 |=***=| WO_QLCTKT_20260604_123438229 + TNI0129 MYT_Troubleshooting Solar Power System : -520.95 + myt_tharhtoo.aung11</v>
      </c>
      <c r="E57" s="379"/>
      <c r="F57" s="372"/>
      <c r="G57" s="372"/>
      <c r="H57" s="372"/>
      <c r="I57" s="372"/>
      <c r="J57" s="372"/>
      <c r="K57" s="369"/>
      <c r="L57" s="369"/>
      <c r="M57" s="373"/>
      <c r="N57" s="369"/>
      <c r="O57" s="369"/>
      <c r="P57" s="374"/>
      <c r="Q57" s="372"/>
      <c r="R57" s="372"/>
      <c r="S57" s="372"/>
      <c r="T57" s="372"/>
      <c r="U57" s="372"/>
      <c r="V57" s="372"/>
      <c r="W57" s="372"/>
      <c r="X57" s="372"/>
      <c r="Y57" s="372"/>
      <c r="Z57" s="372"/>
      <c r="AA57" s="372"/>
      <c r="AB57" s="372"/>
      <c r="AC57" s="372"/>
      <c r="AD57" s="372"/>
      <c r="AE57" s="372"/>
      <c r="AF57" s="372"/>
      <c r="AG57" s="372"/>
      <c r="AH57" s="372"/>
      <c r="AI57" s="372"/>
      <c r="AJ57" s="372"/>
      <c r="AK57" s="372"/>
      <c r="AL57" s="372"/>
      <c r="AM57" s="372"/>
    </row>
    <row r="58">
      <c r="A58" s="379" t="s">
        <v>415</v>
      </c>
      <c r="B58" s="379" t="str">
        <f t="array" ref="B58">if(len(A58)&lt;5,"-", iferror(Xlookup($A58,'Input WO'!$E:$E,'Input WO'!$F:$F),Xlookup($A58,'Input task'!$T:$T,'Input task'!$S:$S)
))</f>
        <v/>
      </c>
      <c r="C58" s="398" t="str">
        <f>IFERROR(__xludf.DUMMYFUNCTION("if(len($A58)&lt;5,""-"",iferror(TEXTJOIN("" |=***=| "",TRUE,filter('Input task'!$D:$D&amp;"" : ""&amp;'Input task'!$E:$E&amp;"" : ""&amp;'Input task'!$K:$K&amp;"" + ""&amp;'Input task'!$H:$H,'Input task'!$J:$J="""",'Input task'!$T:$T=$A58)),""No see""))"),"No see")</f>
        <v>No see</v>
      </c>
      <c r="D58" s="379" t="str">
        <f>IFERROR(__xludf.DUMMYFUNCTION("if(len($A58)&lt;5,""-"",iferror(TEXTJOIN("" |=***=| "",TRUE,FILTER(('Input WO'!$A:$A&amp;"" + ""&amp;'Input WO'!$B:$B&amp;"" : ""&amp;'Input WO'!$C:$C&amp;"" + ""&amp;'Input WO'!$F:$F),'Input WO'!$E:$E=$A58)),""No see""))"),"WO_WFM-FT_20260420_123042188 + 5s &amp; WH inventory file for TNI_team 02 : -1577.45 +  |=***=| WO_WFM-FT_20260513_123263386 + 5s and WH inventory for TNI_team 01 : -1001.45 + myt_aungthin.mya |=***=| WO_WFM-FT_20260420_123042391 + 5s &amp; WH inventory file for "&amp;"TNI_team 01 : -1577.45 + myt_aungthin.mya |=***=| WO_WFM-OTHERS_20260623_123616273 + Cable Patrol for (BB)-MYT_TNI_TEAM03 : 439.03 + myt_sithu.htun |=***=| WO_WFM-OTHERS_20260623_123616271 + Cable Patrol for (BB)-MYT_TNI_TEAM03 : 439.03 + myt_sithu.htun |"&amp;"=***=| WO_WFM-OTHERS_20260623_123616274 + Cable Patrol for (BB)-MYT_TNI_TEAM03 : 439.03 + myt_sithu.htun |=***=| WO_WFM-OTHERS_20260623_123616272 + Cable Patrol for (BB)-MYT_TNI_TEAM03 : 439.03 + myt_sithu.htun |=***=| WO_WFM-OTHERS_20260623_123616266 + C"&amp;"able Patrol for (BB)-MYT_TNI_TEAM03 : 439.03 + myt_sithu.htun |=***=| WO_WFM-OTHERS_20260623_123616268 + Cable Patrol for (BB)-MYT_TNI_TEAM03 : 439.03 + myt_sithu.htun |=***=| WO_WFM-OTHERS_20260623_123616264 + Cable Patrol for (BB)-MYT_TNI_TEAM03 : 439.0"&amp;"3 + myt_sithu.htun |=***=| WO_WFM-OTHERS_20260623_123616267 + Cable Patrol for (BB)-MYT_TNI_TEAM03 : 439.03 + myt_sithu.htun |=***=| WO_WFM-OTHERS_20260623_123616270 + Cable Patrol for (BB)-MYT_TNI_TEAM03 : 439.03 + myt_sithu.htun |=***=| WO_WFM-OTHERS_20"&amp;"260623_123616263 + Cable Patrol for (BB)-MYT_TNI_TEAM03 : 439.03 + myt_sithu.htun |=***=| WO_WFM-OTHERS_20260623_123616269 + Cable Patrol for (BB)-MYT_TNI_TEAM03 : 439.03 + myt_sithu.htun")</f>
        <v>WO_WFM-FT_20260420_123042188 + 5s &amp; WH inventory file for TNI_team 02 : -1577.45 +  |=***=| WO_WFM-FT_20260513_123263386 + 5s and WH inventory for TNI_team 01 : -1001.45 + myt_aungthin.mya |=***=| WO_WFM-FT_20260420_123042391 + 5s &amp; WH inventory file for TNI_team 01 : -1577.45 + myt_aungthin.mya |=***=| WO_WFM-OTHERS_20260623_123616273 + Cable Patrol for (BB)-MYT_TNI_TEAM03 : 439.03 + myt_sithu.htun |=***=| WO_WFM-OTHERS_20260623_123616271 + Cable Patrol for (BB)-MYT_TNI_TEAM03 : 439.03 + myt_sithu.htun |=***=| WO_WFM-OTHERS_20260623_123616274 + Cable Patrol for (BB)-MYT_TNI_TEAM03 : 439.03 + myt_sithu.htun |=***=| WO_WFM-OTHERS_20260623_123616272 + Cable Patrol for (BB)-MYT_TNI_TEAM03 : 439.03 + myt_sithu.htun |=***=| WO_WFM-OTHERS_20260623_123616266 + Cable Patrol for (BB)-MYT_TNI_TEAM03 : 439.03 + myt_sithu.htun |=***=| WO_WFM-OTHERS_20260623_123616268 + Cable Patrol for (BB)-MYT_TNI_TEAM03 : 439.03 + myt_sithu.htun |=***=| WO_WFM-OTHERS_20260623_123616264 + Cable Patrol for (BB)-MYT_TNI_TEAM03 : 439.03 + myt_sithu.htun |=***=| WO_WFM-OTHERS_20260623_123616267 + Cable Patrol for (BB)-MYT_TNI_TEAM03 : 439.03 + myt_sithu.htun |=***=| WO_WFM-OTHERS_20260623_123616270 + Cable Patrol for (BB)-MYT_TNI_TEAM03 : 439.03 + myt_sithu.htun |=***=| WO_WFM-OTHERS_20260623_123616263 + Cable Patrol for (BB)-MYT_TNI_TEAM03 : 439.03 + myt_sithu.htun |=***=| WO_WFM-OTHERS_20260623_123616269 + Cable Patrol for (BB)-MYT_TNI_TEAM03 : 439.03 + myt_sithu.htun</v>
      </c>
      <c r="E58" s="379"/>
      <c r="F58" s="372"/>
      <c r="G58" s="372"/>
      <c r="H58" s="372"/>
      <c r="I58" s="372"/>
      <c r="J58" s="372"/>
      <c r="K58" s="369"/>
      <c r="L58" s="369"/>
      <c r="M58" s="373"/>
      <c r="N58" s="369"/>
      <c r="O58" s="369"/>
      <c r="P58" s="374"/>
      <c r="Q58" s="372"/>
      <c r="R58" s="372"/>
      <c r="S58" s="372"/>
      <c r="T58" s="372"/>
      <c r="U58" s="372"/>
      <c r="V58" s="372"/>
      <c r="W58" s="372"/>
      <c r="X58" s="372"/>
      <c r="Y58" s="372"/>
      <c r="Z58" s="372"/>
      <c r="AA58" s="372"/>
      <c r="AB58" s="372"/>
      <c r="AC58" s="372"/>
      <c r="AD58" s="372"/>
      <c r="AE58" s="372"/>
      <c r="AF58" s="372"/>
      <c r="AG58" s="372"/>
      <c r="AH58" s="372"/>
      <c r="AI58" s="372"/>
      <c r="AJ58" s="372"/>
      <c r="AK58" s="372"/>
      <c r="AL58" s="372"/>
      <c r="AM58" s="372"/>
    </row>
    <row r="59">
      <c r="A59" s="379" t="s">
        <v>416</v>
      </c>
      <c r="B59" s="379" t="str">
        <f t="array" ref="B59">if(len(A59)&lt;5,"-", iferror(Xlookup($A59,'Input WO'!$E:$E,'Input WO'!$F:$F),Xlookup($A59,'Input task'!$T:$T,'Input task'!$S:$S)
))</f>
        <v/>
      </c>
      <c r="C59" s="398" t="str">
        <f>IFERROR(__xludf.DUMMYFUNCTION("if(len($A59)&lt;5,""-"",iferror(TEXTJOIN("" |=***=| "",TRUE,filter('Input task'!$D:$D&amp;"" : ""&amp;'Input task'!$E:$E&amp;"" : ""&amp;'Input task'!$K:$K&amp;"" + ""&amp;'Input task'!$H:$H,'Input task'!$J:$J="""",'Input task'!$T:$T=$A59)),""No see""))"),"Request Export material : TNI0031-TNI0333&gt;&gt;F8cable 500 meter,closure 2pcs, tension 1pcs :  +  |=***=| Check DG run long time : TNI0031 Need to check DG non stop running :  +  |=***=| Smart CB : TNI0031 :  +  |=***=| Export Materials : TNI0031-TNI0333 &gt;&gt;F8"&amp;" 24FO - 200m,closure - 2pcs and F8 accessory :  + ")</f>
        <v>Request Export material : TNI0031-TNI0333&gt;&gt;F8cable 500 meter,closure 2pcs, tension 1pcs :  +  |=***=| Check DG run long time : TNI0031 Need to check DG non stop running :  +  |=***=| Smart CB : TNI0031 :  +  |=***=| Export Materials : TNI0031-TNI0333 &gt;&gt;F8 24FO - 200m,closure - 2pcs and F8 accessory :  + </v>
      </c>
      <c r="D59" s="379" t="str">
        <f>IFERROR(__xludf.DUMMYFUNCTION("if(len($A59)&lt;5,""-"",iferror(TEXTJOIN("" |=***=| "",TRUE,FILTER(('Input WO'!$A:$A&amp;"" + ""&amp;'Input WO'!$B:$B&amp;"" : ""&amp;'Input WO'!$C:$C&amp;"" + ""&amp;'Input WO'!$F:$F),'Input WO'!$E:$E=$A59)),""No see""))"),"WO_WFM-OTHERS_20260418_123026238 + IP : TNI0031SRT001-TNI0038SRT001 link down at 17/04/2026 14:58:00 : -1649.45 + ")</f>
        <v>WO_WFM-OTHERS_20260418_123026238 + IP : TNI0031SRT001-TNI0038SRT001 link down at 17/04/2026 14:58:00 : -1649.45 + </v>
      </c>
      <c r="E59" s="379"/>
      <c r="F59" s="372"/>
      <c r="G59" s="372"/>
      <c r="H59" s="372"/>
      <c r="I59" s="372"/>
      <c r="J59" s="372"/>
      <c r="K59" s="369"/>
      <c r="L59" s="369"/>
      <c r="M59" s="373"/>
      <c r="N59" s="369"/>
      <c r="O59" s="369"/>
      <c r="P59" s="374"/>
      <c r="Q59" s="372"/>
      <c r="R59" s="372"/>
      <c r="S59" s="372"/>
      <c r="T59" s="372"/>
      <c r="U59" s="372"/>
      <c r="V59" s="372"/>
      <c r="W59" s="372"/>
      <c r="X59" s="372"/>
      <c r="Y59" s="372"/>
      <c r="Z59" s="372"/>
      <c r="AA59" s="372"/>
      <c r="AB59" s="372"/>
      <c r="AC59" s="372"/>
      <c r="AD59" s="372"/>
      <c r="AE59" s="372"/>
      <c r="AF59" s="372"/>
      <c r="AG59" s="372"/>
      <c r="AH59" s="372"/>
      <c r="AI59" s="372"/>
      <c r="AJ59" s="372"/>
      <c r="AK59" s="372"/>
      <c r="AL59" s="372"/>
      <c r="AM59" s="372"/>
    </row>
    <row r="60">
      <c r="A60" s="379" t="s">
        <v>417</v>
      </c>
      <c r="B60" s="379" t="str">
        <f t="array" ref="B60">if(len(A60)&lt;5,"-", iferror(Xlookup($A60,'Input WO'!$E:$E,'Input WO'!$F:$F),Xlookup($A60,'Input task'!$T:$T,'Input task'!$S:$S)
))</f>
        <v/>
      </c>
      <c r="C60" s="398" t="str">
        <f>IFERROR(__xludf.DUMMYFUNCTION("if(len($A60)&lt;5,""-"",iferror(TEXTJOIN("" |=***=| "",TRUE,filter('Input task'!$D:$D&amp;"" : ""&amp;'Input task'!$E:$E&amp;"" : ""&amp;'Input task'!$K:$K&amp;"" + ""&amp;'Input task'!$H:$H,'Input task'!$J:$J="""",'Input task'!$T:$T=$A60)),""No see""))"),"Request Export material : TNI0122-JB(TNI0005-TNI0007)&gt;&gt; 24 FH cable 1.5km , 2closure :  + ")</f>
        <v>Request Export material : TNI0122-JB(TNI0005-TNI0007)&gt;&gt; 24 FH cable 1.5km , 2closure :  + </v>
      </c>
      <c r="D60" s="379" t="str">
        <f>IFERROR(__xludf.DUMMYFUNCTION("if(len($A60)&lt;5,""-"",iferror(TEXTJOIN("" |=***=| "",TRUE,FILTER(('Input WO'!$A:$A&amp;"" + ""&amp;'Input WO'!$B:$B&amp;"" : ""&amp;'Input WO'!$C:$C&amp;"" + ""&amp;'Input WO'!$F:$F),'Input WO'!$E:$E=$A60)),""No see""))"),"WO_WFM-OTHERS_20260409_122960948 + IP : TNI0122SRT001-TNI0164SRT001 link down at 07/04/2026 07:37:00 : -1985.45 +  |=***=| WO_WFM-OTHERS_20260623_123616251 + Cable Patrol for (AC)-TNI0122-TNIM040 : 439.03 + myt_maung.maung11 |=***=| WO_ICMS_20260623_12361"&amp;"5122 + TNI0122 MYT_Routine_Maintenance_Mytel_Station MYT_RTE_MTE_SB_STN : 886.64 + myt_minpaing.oo |=***=| WO_QLCTKT_20260430_123146831 + TNI0122 MYT_Routine_Maintenance_Mytel_Station_VCM : -472.95 + myt_wanna.oo2")</f>
        <v>WO_WFM-OTHERS_20260409_122960948 + IP : TNI0122SRT001-TNI0164SRT001 link down at 07/04/2026 07:37:00 : -1985.45 +  |=***=| WO_WFM-OTHERS_20260623_123616251 + Cable Patrol for (AC)-TNI0122-TNIM040 : 439.03 + myt_maung.maung11 |=***=| WO_ICMS_20260623_123615122 + TNI0122 MYT_Routine_Maintenance_Mytel_Station MYT_RTE_MTE_SB_STN : 886.64 + myt_minpaing.oo |=***=| WO_QLCTKT_20260430_123146831 + TNI0122 MYT_Routine_Maintenance_Mytel_Station_VCM : -472.95 + myt_wanna.oo2</v>
      </c>
      <c r="E60" s="379"/>
      <c r="F60" s="372"/>
      <c r="G60" s="372"/>
      <c r="H60" s="372"/>
      <c r="I60" s="372"/>
      <c r="J60" s="372"/>
      <c r="K60" s="369"/>
      <c r="L60" s="369"/>
      <c r="M60" s="373"/>
      <c r="N60" s="369"/>
      <c r="O60" s="369"/>
      <c r="P60" s="374"/>
      <c r="Q60" s="372"/>
      <c r="R60" s="372"/>
      <c r="S60" s="372"/>
      <c r="T60" s="372"/>
      <c r="U60" s="372"/>
      <c r="V60" s="372"/>
      <c r="W60" s="372"/>
      <c r="X60" s="372"/>
      <c r="Y60" s="372"/>
      <c r="Z60" s="372"/>
      <c r="AA60" s="372"/>
      <c r="AB60" s="372"/>
      <c r="AC60" s="372"/>
      <c r="AD60" s="372"/>
      <c r="AE60" s="372"/>
      <c r="AF60" s="372"/>
      <c r="AG60" s="372"/>
      <c r="AH60" s="372"/>
      <c r="AI60" s="372"/>
      <c r="AJ60" s="372"/>
      <c r="AK60" s="372"/>
      <c r="AL60" s="372"/>
      <c r="AM60" s="372"/>
    </row>
    <row r="61">
      <c r="A61" s="379" t="s">
        <v>418</v>
      </c>
      <c r="B61" s="379" t="str">
        <f t="array" ref="B61">if(len(A61)&lt;5,"-", iferror(Xlookup($A61,'Input WO'!$E:$E,'Input WO'!$F:$F),Xlookup($A61,'Input task'!$T:$T,'Input task'!$S:$S)
))</f>
        <v/>
      </c>
      <c r="C61" s="398" t="str">
        <f>IFERROR(__xludf.DUMMYFUNCTION("if(len($A61)&lt;5,""-"",iferror(TEXTJOIN("" |=***=| "",TRUE,filter('Input task'!$D:$D&amp;"" : ""&amp;'Input task'!$E:$E&amp;"" : ""&amp;'Input task'!$K:$K&amp;"" + ""&amp;'Input task'!$H:$H,'Input task'!$J:$J="""",'Input task'!$T:$T=$A61)),""No see""))"),"100 point plan : TNI0231 100 point plan need to clean site overview inside and outeside and make to neatly patchord cable. :  + ")</f>
        <v>100 point plan : TNI0231 100 point plan need to clean site overview inside and outeside and make to neatly patchord cable. :  + </v>
      </c>
      <c r="D61" s="379" t="str">
        <f>IFERROR(__xludf.DUMMYFUNCTION("if(len($A61)&lt;5,""-"",iferror(TEXTJOIN("" |=***=| "",TRUE,FILTER(('Input WO'!$A:$A&amp;"" + ""&amp;'Input WO'!$B:$B&amp;"" : ""&amp;'Input WO'!$C:$C&amp;"" + ""&amp;'Input WO'!$F:$F),'Input WO'!$E:$E=$A61)),""No see""))"),"WO_WFM-FT_20260406_122907898 + FTTH : TNI0231OLT001 SLOT=3,PORT=5 ,6,7 down at 4/6/2026 16:00 : -2065.45 +  |=***=| WO_QLCTKT_20260604_123438281 + TNI0231 MYT_Troubleshooting Solar Power System : -520.95 + myt_aunglwin.phyo |=***=| WO_WFM-OTHERS_20260622_"&amp;"123603198 + TNI0231_Cleaning Radiator and change engine oil : -41.95 + myt_phyoko.ko44 |=***=| WO_QLCTKT_20260421_123048219 + TNI0231 MYT_Maintenacne_Solar : -1048.95 + myt_tharhtoo.aung11")</f>
        <v>WO_WFM-FT_20260406_122907898 + FTTH : TNI0231OLT001 SLOT=3,PORT=5 ,6,7 down at 4/6/2026 16:00 : -2065.45 +  |=***=| WO_QLCTKT_20260604_123438281 + TNI0231 MYT_Troubleshooting Solar Power System : -520.95 + myt_aunglwin.phyo |=***=| WO_WFM-OTHERS_20260622_123603198 + TNI0231_Cleaning Radiator and change engine oil : -41.95 + myt_phyoko.ko44 |=***=| WO_QLCTKT_20260421_123048219 + TNI0231 MYT_Maintenacne_Solar : -1048.95 + myt_tharhtoo.aung11</v>
      </c>
      <c r="E61" s="379"/>
      <c r="F61" s="372"/>
      <c r="G61" s="372"/>
      <c r="H61" s="372"/>
      <c r="I61" s="372"/>
      <c r="J61" s="372"/>
      <c r="K61" s="369"/>
      <c r="L61" s="369"/>
      <c r="M61" s="373"/>
      <c r="N61" s="369"/>
      <c r="O61" s="369"/>
      <c r="P61" s="374"/>
      <c r="Q61" s="372"/>
      <c r="R61" s="372"/>
      <c r="S61" s="372"/>
      <c r="T61" s="372"/>
      <c r="U61" s="372"/>
      <c r="V61" s="372"/>
      <c r="W61" s="372"/>
      <c r="X61" s="372"/>
      <c r="Y61" s="372"/>
      <c r="Z61" s="372"/>
      <c r="AA61" s="372"/>
      <c r="AB61" s="372"/>
      <c r="AC61" s="372"/>
      <c r="AD61" s="372"/>
      <c r="AE61" s="372"/>
      <c r="AF61" s="372"/>
      <c r="AG61" s="372"/>
      <c r="AH61" s="372"/>
      <c r="AI61" s="372"/>
      <c r="AJ61" s="372"/>
      <c r="AK61" s="372"/>
      <c r="AL61" s="372"/>
      <c r="AM61" s="372"/>
    </row>
    <row r="62">
      <c r="A62" s="379" t="s">
        <v>419</v>
      </c>
      <c r="B62" s="379" t="str">
        <f t="array" ref="B62">if(len(A62)&lt;5,"-", iferror(Xlookup($A62,'Input WO'!$E:$E,'Input WO'!$F:$F),Xlookup($A62,'Input task'!$T:$T,'Input task'!$S:$S)
))</f>
        <v>myt_aunglwin.phyo</v>
      </c>
      <c r="C62" s="398" t="str">
        <f>IFERROR(__xludf.DUMMYFUNCTION("if(len($A62)&lt;5,""-"",iferror(TEXTJOIN("" |=***=| "",TRUE,filter('Input task'!$D:$D&amp;"" : ""&amp;'Input task'!$E:$E&amp;"" : ""&amp;'Input task'!$K:$K&amp;"" + ""&amp;'Input task'!$H:$H,'Input task'!$J:$J="""",'Input task'!$T:$T=$A62)),""No see""))"),"No see")</f>
        <v>No see</v>
      </c>
      <c r="D62" s="379" t="str">
        <f>IFERROR(__xludf.DUMMYFUNCTION("if(len($A62)&lt;5,""-"",iferror(TEXTJOIN("" |=***=| "",TRUE,FILTER(('Input WO'!$A:$A&amp;"" + ""&amp;'Input WO'!$B:$B&amp;"" : ""&amp;'Input WO'!$C:$C&amp;"" + ""&amp;'Input WO'!$F:$F),'Input WO'!$E:$E=$A62)),""No see""))"),"WO_ICMS_20260701_123690032 + TNI0201 MYT_Checking quality for DG Fuel MYT_ME_DG_CHECK_FUEL; MYT_Maintenance_Generator_Change_Air_Filter, Clean Radiator and Clean Engine Room MYT_ME_DG_CHG_AIR_FIL_CLN_RAD_ENG; MYT_Maintenance_Generator_Change_Fuel_Filter M"&amp;"YT_ME_DG_CHG_FUEL_FIL; MYT_Maintenance_Generator_Change_Oil MYT_ME_DG_CHG_OIL; MYT_Maintenance_Generator_Change_Oil_Filter MYT_ME_DG_CHG_OIL_FIL : 234.08 + myt_aunglwin.phyo")</f>
        <v>WO_ICMS_20260701_123690032 + TNI0201 MYT_Checking quality for DG Fuel MYT_ME_DG_CHECK_FUEL; MYT_Maintenance_Generator_Change_Air_Filter, Clean Radiator and Clean Engine Room MYT_ME_DG_CHG_AIR_FIL_CLN_RAD_ENG; MYT_Maintenance_Generator_Change_Fuel_Filter MYT_ME_DG_CHG_FUEL_FIL; MYT_Maintenance_Generator_Change_Oil MYT_ME_DG_CHG_OIL; MYT_Maintenance_Generator_Change_Oil_Filter MYT_ME_DG_CHG_OIL_FIL : 234.08 + myt_aunglwin.phyo</v>
      </c>
      <c r="E62" s="379"/>
      <c r="F62" s="372"/>
      <c r="G62" s="372"/>
      <c r="H62" s="372"/>
      <c r="I62" s="372"/>
      <c r="J62" s="372"/>
      <c r="K62" s="369"/>
      <c r="L62" s="369"/>
      <c r="M62" s="373"/>
      <c r="N62" s="369"/>
      <c r="O62" s="369"/>
      <c r="P62" s="374"/>
      <c r="Q62" s="372"/>
      <c r="R62" s="372"/>
      <c r="S62" s="372"/>
      <c r="T62" s="372"/>
      <c r="U62" s="372"/>
      <c r="V62" s="372"/>
      <c r="W62" s="372"/>
      <c r="X62" s="372"/>
      <c r="Y62" s="372"/>
      <c r="Z62" s="372"/>
      <c r="AA62" s="372"/>
      <c r="AB62" s="372"/>
      <c r="AC62" s="372"/>
      <c r="AD62" s="372"/>
      <c r="AE62" s="372"/>
      <c r="AF62" s="372"/>
      <c r="AG62" s="372"/>
      <c r="AH62" s="372"/>
      <c r="AI62" s="372"/>
      <c r="AJ62" s="372"/>
      <c r="AK62" s="372"/>
      <c r="AL62" s="372"/>
      <c r="AM62" s="372"/>
    </row>
    <row r="63">
      <c r="A63" s="379" t="s">
        <v>420</v>
      </c>
      <c r="B63" s="379" t="str">
        <f t="array" ref="B63">if(len(A63)&lt;5,"-", iferror(Xlookup($A63,'Input WO'!$E:$E,'Input WO'!$F:$F),Xlookup($A63,'Input task'!$T:$T,'Input task'!$S:$S)
))</f>
        <v>myt_aunglwin.phyo</v>
      </c>
      <c r="C63" s="398" t="str">
        <f>IFERROR(__xludf.DUMMYFUNCTION("if(len($A63)&lt;5,""-"",iferror(TEXTJOIN("" |=***=| "",TRUE,filter('Input task'!$D:$D&amp;"" : ""&amp;'Input task'!$E:$E&amp;"" : ""&amp;'Input task'!$K:$K&amp;"" + ""&amp;'Input task'!$H:$H,'Input task'!$J:$J="""",'Input task'!$T:$T=$A63)),""No see""))"),"Fixing Fuel Level Monitoring : TNI0053 Need to fix fuel level cannot monitoring at NMS. :  +  |=***=| PVC PLAN : TNI0053 need to cover pvc pipe :  + ")</f>
        <v>Fixing Fuel Level Monitoring : TNI0053 Need to fix fuel level cannot monitoring at NMS. :  +  |=***=| PVC PLAN : TNI0053 need to cover pvc pipe :  + </v>
      </c>
      <c r="D63" s="379" t="str">
        <f>IFERROR(__xludf.DUMMYFUNCTION("if(len($A63)&lt;5,""-"",iferror(TEXTJOIN("" |=***=| "",TRUE,FILTER(('Input WO'!$A:$A&amp;"" + ""&amp;'Input WO'!$B:$B&amp;"" : ""&amp;'Input WO'!$C:$C&amp;"" + ""&amp;'Input WO'!$F:$F),'Input WO'!$E:$E=$A63)),""No see""))"),"WO_ICMS_20260623_123611290 + TNI0053 MYT_Routine_Maintenance_Towerco_Station MYT_RTE_MTE_TCO_STN : 882.55 + myt_aunglwin.phyo |=***=| WO_WFM-OTHERS_20260622_123602874 + TNI0053_Cleaning Radiator and change engine oil : -41.95 + myt_aunglwin.phyo |=***=| W"&amp;"O_QLCTKT_20260529_123389457 + TNI0053 MYT_Routine_Maintenance_Mytel_Station_VCM : 223.05 + myt_bhonehtet.aung")</f>
        <v>WO_ICMS_20260623_123611290 + TNI0053 MYT_Routine_Maintenance_Towerco_Station MYT_RTE_MTE_TCO_STN : 882.55 + myt_aunglwin.phyo |=***=| WO_WFM-OTHERS_20260622_123602874 + TNI0053_Cleaning Radiator and change engine oil : -41.95 + myt_aunglwin.phyo |=***=| WO_QLCTKT_20260529_123389457 + TNI0053 MYT_Routine_Maintenance_Mytel_Station_VCM : 223.05 + myt_bhonehtet.aung</v>
      </c>
      <c r="E63" s="379"/>
      <c r="F63" s="372"/>
      <c r="G63" s="372"/>
      <c r="H63" s="372"/>
      <c r="I63" s="372"/>
      <c r="J63" s="372"/>
      <c r="K63" s="369"/>
      <c r="L63" s="369"/>
      <c r="M63" s="373"/>
      <c r="N63" s="369"/>
      <c r="O63" s="369"/>
      <c r="P63" s="374"/>
      <c r="Q63" s="372"/>
      <c r="R63" s="372"/>
      <c r="S63" s="372"/>
      <c r="T63" s="372"/>
      <c r="U63" s="372"/>
      <c r="V63" s="372"/>
      <c r="W63" s="372"/>
      <c r="X63" s="372"/>
      <c r="Y63" s="372"/>
      <c r="Z63" s="372"/>
      <c r="AA63" s="372"/>
      <c r="AB63" s="372"/>
      <c r="AC63" s="372"/>
      <c r="AD63" s="372"/>
      <c r="AE63" s="372"/>
      <c r="AF63" s="372"/>
      <c r="AG63" s="372"/>
      <c r="AH63" s="372"/>
      <c r="AI63" s="372"/>
      <c r="AJ63" s="372"/>
      <c r="AK63" s="372"/>
      <c r="AL63" s="372"/>
      <c r="AM63" s="372"/>
    </row>
    <row r="64">
      <c r="A64" s="379" t="s">
        <v>421</v>
      </c>
      <c r="B64" s="379" t="str">
        <f t="array" ref="B64">if(len(A64)&lt;5,"-", iferror(Xlookup($A64,'Input WO'!$E:$E,'Input WO'!$F:$F),Xlookup($A64,'Input task'!$T:$T,'Input task'!$S:$S)
))</f>
        <v>myt_aunglwin.phyo</v>
      </c>
      <c r="C64" s="398" t="str">
        <f>IFERROR(__xludf.DUMMYFUNCTION("if(len($A64)&lt;5,""-"",iferror(TEXTJOIN("" |=***=| "",TRUE,filter('Input task'!$D:$D&amp;"" : ""&amp;'Input task'!$E:$E&amp;"" : ""&amp;'Input task'!$K:$K&amp;"" + ""&amp;'Input task'!$H:$H,'Input task'!$J:$J="""",'Input task'!$T:$T=$A64)),""No see""))"),"Request Export material : TNI0049-TNI0050 G7 1pcs closure 2 pcs , cable 280m, Tension 4pcs :  +  |=***=| Request Export material : TNI0049-TNI0050&gt;&gt;G71pcs closure 2 pcs , cable 280m, Tension 4pcs :  + ")</f>
        <v>Request Export material : TNI0049-TNI0050 G7 1pcs closure 2 pcs , cable 280m, Tension 4pcs :  +  |=***=| Request Export material : TNI0049-TNI0050&gt;&gt;G71pcs closure 2 pcs , cable 280m, Tension 4pcs :  + </v>
      </c>
      <c r="D64" s="379" t="str">
        <f>IFERROR(__xludf.DUMMYFUNCTION("if(len($A64)&lt;5,""-"",iferror(TEXTJOIN("" |=***=| "",TRUE,FILTER(('Input WO'!$A:$A&amp;"" + ""&amp;'Input WO'!$B:$B&amp;"" : ""&amp;'Input WO'!$C:$C&amp;"" + ""&amp;'Input WO'!$F:$F),'Input WO'!$E:$E=$A64)),""No see""))"),"WO_ICMS_20260623_123611291 + TNI0049 MYT_Routine_Maintenance_Towerco_Station MYT_RTE_MTE_TCO_STN : 882.55 + myt_aunglwin.phyo |=***=| WO_QLCTKT_20260625_123635848 + TNI0049 - Repair infrastructure - bla: Maintenance the equipments: Lubricant oil (DG) : -0"&amp;".99 + myt_bonemyat.naing1 |=***=| WO_QLCTKT_20260522_123332498 + TNI0049 MYT_Routine_Maintenance_Mytel_Station_VCM : 55.05 + myt_bonemyat.naing1 |=***=| WO_QLCTKT_20260409_122953368 + TNI0049 - Repair infrastructure - MYT_Operation Management: Maintenance"&amp;" the equipments: Maintenance Battery &amp; Battery cabinet : -1855.68 + myt_bonemyat.naing1")</f>
        <v>WO_ICMS_20260623_123611291 + TNI0049 MYT_Routine_Maintenance_Towerco_Station MYT_RTE_MTE_TCO_STN : 882.55 + myt_aunglwin.phyo |=***=| WO_QLCTKT_20260625_123635848 + TNI0049 - Repair infrastructure - bla: Maintenance the equipments: Lubricant oil (DG) : -0.99 + myt_bonemyat.naing1 |=***=| WO_QLCTKT_20260522_123332498 + TNI0049 MYT_Routine_Maintenance_Mytel_Station_VCM : 55.05 + myt_bonemyat.naing1 |=***=| WO_QLCTKT_20260409_122953368 + TNI0049 - Repair infrastructure - MYT_Operation Management: Maintenance the equipments: Maintenance Battery &amp; Battery cabinet : -1855.68 + myt_bonemyat.naing1</v>
      </c>
      <c r="E64" s="379"/>
      <c r="F64" s="372"/>
      <c r="G64" s="372"/>
      <c r="H64" s="372"/>
      <c r="I64" s="372"/>
      <c r="J64" s="372"/>
      <c r="K64" s="369"/>
      <c r="L64" s="369"/>
      <c r="M64" s="373"/>
      <c r="N64" s="369"/>
      <c r="O64" s="369"/>
      <c r="P64" s="374"/>
      <c r="Q64" s="372"/>
      <c r="R64" s="372"/>
      <c r="S64" s="372"/>
      <c r="T64" s="372"/>
      <c r="U64" s="372"/>
      <c r="V64" s="372"/>
      <c r="W64" s="372"/>
      <c r="X64" s="372"/>
      <c r="Y64" s="372"/>
      <c r="Z64" s="372"/>
      <c r="AA64" s="372"/>
      <c r="AB64" s="372"/>
      <c r="AC64" s="372"/>
      <c r="AD64" s="372"/>
      <c r="AE64" s="372"/>
      <c r="AF64" s="372"/>
      <c r="AG64" s="372"/>
      <c r="AH64" s="372"/>
      <c r="AI64" s="372"/>
      <c r="AJ64" s="372"/>
      <c r="AK64" s="372"/>
      <c r="AL64" s="372"/>
      <c r="AM64" s="372"/>
    </row>
    <row r="65">
      <c r="A65" s="379" t="s">
        <v>422</v>
      </c>
      <c r="B65" s="379" t="str">
        <f t="array" ref="B65">if(len(A65)&lt;5,"-", iferror(Xlookup($A65,'Input WO'!$E:$E,'Input WO'!$F:$F),Xlookup($A65,'Input task'!$T:$T,'Input task'!$S:$S)
))</f>
        <v>myt_aunglwin.phyo</v>
      </c>
      <c r="C65" s="398" t="str">
        <f>IFERROR(__xludf.DUMMYFUNCTION("if(len($A65)&lt;5,""-"",iferror(TEXTJOIN("" |=***=| "",TRUE,filter('Input task'!$D:$D&amp;"" : ""&amp;'Input task'!$E:$E&amp;"" : ""&amp;'Input task'!$K:$K&amp;"" + ""&amp;'Input task'!$H:$H,'Input task'!$J:$J="""",'Input task'!$T:$T=$A65)),""No see""))"),"No see")</f>
        <v>No see</v>
      </c>
      <c r="D65" s="379" t="str">
        <f>IFERROR(__xludf.DUMMYFUNCTION("if(len($A65)&lt;5,""-"",iferror(TEXTJOIN("" |=***=| "",TRUE,FILTER(('Input WO'!$A:$A&amp;"" + ""&amp;'Input WO'!$B:$B&amp;"" : ""&amp;'Input WO'!$C:$C&amp;"" + ""&amp;'Input WO'!$F:$F),'Input WO'!$E:$E=$A65)),""No see""))"),"WO_ICMS_20260623_123611226 + TNI0426 MYT_Routine_Maintenance_Towerco_Station MYT_RTE_MTE_TCO_STN : 882.54 + myt_aunglwin.phyo")</f>
        <v>WO_ICMS_20260623_123611226 + TNI0426 MYT_Routine_Maintenance_Towerco_Station MYT_RTE_MTE_TCO_STN : 882.54 + myt_aunglwin.phyo</v>
      </c>
      <c r="E65" s="379"/>
      <c r="F65" s="372"/>
      <c r="G65" s="372"/>
      <c r="H65" s="372"/>
      <c r="I65" s="372"/>
      <c r="J65" s="372"/>
      <c r="K65" s="369"/>
      <c r="L65" s="369"/>
      <c r="M65" s="373"/>
      <c r="N65" s="369"/>
      <c r="O65" s="369"/>
      <c r="P65" s="374"/>
      <c r="Q65" s="372"/>
      <c r="R65" s="372"/>
      <c r="S65" s="372"/>
      <c r="T65" s="372"/>
      <c r="U65" s="372"/>
      <c r="V65" s="372"/>
      <c r="W65" s="372"/>
      <c r="X65" s="372"/>
      <c r="Y65" s="372"/>
      <c r="Z65" s="372"/>
      <c r="AA65" s="372"/>
      <c r="AB65" s="372"/>
      <c r="AC65" s="372"/>
      <c r="AD65" s="372"/>
      <c r="AE65" s="372"/>
      <c r="AF65" s="372"/>
      <c r="AG65" s="372"/>
      <c r="AH65" s="372"/>
      <c r="AI65" s="372"/>
      <c r="AJ65" s="372"/>
      <c r="AK65" s="372"/>
      <c r="AL65" s="372"/>
      <c r="AM65" s="372"/>
    </row>
    <row r="66">
      <c r="A66" s="379" t="s">
        <v>423</v>
      </c>
      <c r="B66" s="379" t="str">
        <f t="array" ref="B66">if(len(A66)&lt;5,"-", iferror(Xlookup($A66,'Input WO'!$E:$E,'Input WO'!$F:$F),Xlookup($A66,'Input task'!$T:$T,'Input task'!$S:$S)
))</f>
        <v>myt_aunglwin.phyo</v>
      </c>
      <c r="C66" s="398" t="str">
        <f>IFERROR(__xludf.DUMMYFUNCTION("if(len($A66)&lt;5,""-"",iferror(TEXTJOIN("" |=***=| "",TRUE,filter('Input task'!$D:$D&amp;"" : ""&amp;'Input task'!$E:$E&amp;"" : ""&amp;'Input task'!$K:$K&amp;"" + ""&amp;'Input task'!$H:$H,'Input task'!$J:$J="""",'Input task'!$T:$T=$A66)),""No see""))"),"PVC PLAN : TNI0257 need to cover pvc pipe :  + ")</f>
        <v>PVC PLAN : TNI0257 need to cover pvc pipe :  + </v>
      </c>
      <c r="D66" s="379" t="str">
        <f>IFERROR(__xludf.DUMMYFUNCTION("if(len($A66)&lt;5,""-"",iferror(TEXTJOIN("" |=***=| "",TRUE,FILTER(('Input WO'!$A:$A&amp;"" + ""&amp;'Input WO'!$B:$B&amp;"" : ""&amp;'Input WO'!$C:$C&amp;"" + ""&amp;'Input WO'!$F:$F),'Input WO'!$E:$E=$A66)),""No see""))"),"WO_WFM-OTHERS_20260622_123603223 + TNI0257_Cleaning Radiator and change engine oil : -41.95 + myt_aunglwin.phyo |=***=| WO_QLCTKT_20260529_123389868 + TNI0257 MYT_Routine_Maintenance_Mytel_Station_VCM : 223.05 + myt_myothant.htoo |=***=| WO_QLCTKT_2026033"&amp;"0_122772199 + TNI0257 MYT_Routine_Maintenance_Mytel_Station_VCM : -1100.45 + myt_myothant.htoo")</f>
        <v>WO_WFM-OTHERS_20260622_123603223 + TNI0257_Cleaning Radiator and change engine oil : -41.95 + myt_aunglwin.phyo |=***=| WO_QLCTKT_20260529_123389868 + TNI0257 MYT_Routine_Maintenance_Mytel_Station_VCM : 223.05 + myt_myothant.htoo |=***=| WO_QLCTKT_20260330_122772199 + TNI0257 MYT_Routine_Maintenance_Mytel_Station_VCM : -1100.45 + myt_myothant.htoo</v>
      </c>
      <c r="E66" s="379"/>
      <c r="F66" s="372"/>
      <c r="G66" s="372"/>
      <c r="H66" s="372"/>
      <c r="I66" s="372"/>
      <c r="J66" s="372"/>
      <c r="K66" s="369"/>
      <c r="L66" s="369"/>
      <c r="M66" s="373"/>
      <c r="N66" s="369"/>
      <c r="O66" s="369"/>
      <c r="P66" s="374"/>
      <c r="Q66" s="372"/>
      <c r="R66" s="372"/>
      <c r="S66" s="372"/>
      <c r="T66" s="372"/>
      <c r="U66" s="372"/>
      <c r="V66" s="372"/>
      <c r="W66" s="372"/>
      <c r="X66" s="372"/>
      <c r="Y66" s="372"/>
      <c r="Z66" s="372"/>
      <c r="AA66" s="372"/>
      <c r="AB66" s="372"/>
      <c r="AC66" s="372"/>
      <c r="AD66" s="372"/>
      <c r="AE66" s="372"/>
      <c r="AF66" s="372"/>
      <c r="AG66" s="372"/>
      <c r="AH66" s="372"/>
      <c r="AI66" s="372"/>
      <c r="AJ66" s="372"/>
      <c r="AK66" s="372"/>
      <c r="AL66" s="372"/>
      <c r="AM66" s="372"/>
    </row>
    <row r="67">
      <c r="A67" s="379" t="s">
        <v>424</v>
      </c>
      <c r="B67" s="379" t="str">
        <f t="array" ref="B67">if(len(A67)&lt;5,"-", iferror(Xlookup($A67,'Input WO'!$E:$E,'Input WO'!$F:$F),Xlookup($A67,'Input task'!$T:$T,'Input task'!$S:$S)
))</f>
        <v>myt_aunglwin.phyo</v>
      </c>
      <c r="C67" s="398" t="str">
        <f>IFERROR(__xludf.DUMMYFUNCTION("if(len($A67)&lt;5,""-"",iferror(TEXTJOIN("" |=***=| "",TRUE,filter('Input task'!$D:$D&amp;"" : ""&amp;'Input task'!$E:$E&amp;"" : ""&amp;'Input task'!$K:$K&amp;"" + ""&amp;'Input task'!$H:$H,'Input task'!$J:$J="""",'Input task'!$T:$T=$A67)),""No see""))"),"Fixing Fuel Level Monitoring : TNI0264 Need to fix fuel level cannot monitoring at NMS. :  +  |=***=| PVC PLAN : TNI0264 need to cover pvc pipe :  + ")</f>
        <v>Fixing Fuel Level Monitoring : TNI0264 Need to fix fuel level cannot monitoring at NMS. :  +  |=***=| PVC PLAN : TNI0264 need to cover pvc pipe :  + </v>
      </c>
      <c r="D67" s="379" t="str">
        <f>IFERROR(__xludf.DUMMYFUNCTION("if(len($A67)&lt;5,""-"",iferror(TEXTJOIN("" |=***=| "",TRUE,FILTER(('Input WO'!$A:$A&amp;"" + ""&amp;'Input WO'!$B:$B&amp;"" : ""&amp;'Input WO'!$C:$C&amp;"" + ""&amp;'Input WO'!$F:$F),'Input WO'!$E:$E=$A67)),""No see""))"),"WO_QLCTKT_20260618_123562598 + TNI0264 - Repair infrastructure - bla: Cleaning the station, remove grass, vines, tree, rubbish, recall unused equipment, material: Clean the all equipments, room, slabs, install the patchcod neatly, tidy : -167.83 + myt_aun"&amp;"glwin.phyo |=***=| WO_QLCTKT_20260408_122931892 + TNI0264_01 MYT_Routine_Maintenance_Towerco_Station_VCM : -1000.95 + myt_myothant.htoo |=***=| WO_ICMS_20260623_123615074 + TNI0264 MYT_Routine_Maintenance_Mytel_Station MYT_RTE_MTE_SB_STN : 886.64 + myt_ph"&amp;"yoko.ko44")</f>
        <v>WO_QLCTKT_20260618_123562598 + TNI0264 - Repair infrastructure - bla: Cleaning the station, remove grass, vines, tree, rubbish, recall unused equipment, material: Clean the all equipments, room, slabs, install the patchcod neatly, tidy : -167.83 + myt_aunglwin.phyo |=***=| WO_QLCTKT_20260408_122931892 + TNI0264_01 MYT_Routine_Maintenance_Towerco_Station_VCM : -1000.95 + myt_myothant.htoo |=***=| WO_ICMS_20260623_123615074 + TNI0264 MYT_Routine_Maintenance_Mytel_Station MYT_RTE_MTE_SB_STN : 886.64 + myt_phyoko.ko44</v>
      </c>
      <c r="E67" s="379"/>
      <c r="F67" s="372"/>
      <c r="G67" s="372"/>
      <c r="H67" s="372"/>
      <c r="I67" s="372"/>
      <c r="J67" s="372"/>
      <c r="K67" s="369"/>
      <c r="L67" s="369"/>
      <c r="M67" s="373"/>
      <c r="N67" s="369"/>
      <c r="O67" s="369"/>
      <c r="P67" s="374"/>
      <c r="Q67" s="372"/>
      <c r="R67" s="372"/>
      <c r="S67" s="372"/>
      <c r="T67" s="372"/>
      <c r="U67" s="372"/>
      <c r="V67" s="372"/>
      <c r="W67" s="372"/>
      <c r="X67" s="372"/>
      <c r="Y67" s="372"/>
      <c r="Z67" s="372"/>
      <c r="AA67" s="372"/>
      <c r="AB67" s="372"/>
      <c r="AC67" s="372"/>
      <c r="AD67" s="372"/>
      <c r="AE67" s="372"/>
      <c r="AF67" s="372"/>
      <c r="AG67" s="372"/>
      <c r="AH67" s="372"/>
      <c r="AI67" s="372"/>
      <c r="AJ67" s="372"/>
      <c r="AK67" s="372"/>
      <c r="AL67" s="372"/>
      <c r="AM67" s="372"/>
    </row>
    <row r="68">
      <c r="A68" s="379" t="s">
        <v>218</v>
      </c>
      <c r="B68" s="379" t="str">
        <f t="array" ref="B68">if(len(A68)&lt;5,"-", iferror(Xlookup($A68,'Input WO'!$E:$E,'Input WO'!$F:$F),Xlookup($A68,'Input task'!$T:$T,'Input task'!$S:$S)
))</f>
        <v>myt_aunglwin.phyo</v>
      </c>
      <c r="C68" s="398" t="str">
        <f>IFERROR(__xludf.DUMMYFUNCTION("if(len($A68)&lt;5,""-"",iferror(TEXTJOIN("" |=***=| "",TRUE,filter('Input task'!$D:$D&amp;"" : ""&amp;'Input task'!$E:$E&amp;"" : ""&amp;'Input task'!$K:$K&amp;"" + ""&amp;'Input task'!$H:$H,'Input task'!$J:$J="""",'Input task'!$T:$T=$A68)),""No see""))"),"Return to send Branch Office : TNI0272 Recall PU : 1 Pcs Serial: 219561075435 :  +  |=***=| Fixing Fuel Level Monitoring : TNI0272 Need to fix fuel level cannot monitoring at NMS. :  +  |=***=| PVC PLAN : TNI0272 need to cover pvc pipe :  + ")</f>
        <v>Return to send Branch Office : TNI0272 Recall PU : 1 Pcs Serial: 219561075435 :  +  |=***=| Fixing Fuel Level Monitoring : TNI0272 Need to fix fuel level cannot monitoring at NMS. :  +  |=***=| PVC PLAN : TNI0272 need to cover pvc pipe :  + </v>
      </c>
      <c r="D68" s="379" t="str">
        <f>IFERROR(__xludf.DUMMYFUNCTION("if(len($A68)&lt;5,""-"",iferror(TEXTJOIN("" |=***=| "",TRUE,FILTER(('Input WO'!$A:$A&amp;"" + ""&amp;'Input WO'!$B:$B&amp;"" : ""&amp;'Input WO'!$C:$C&amp;"" + ""&amp;'Input WO'!$F:$F),'Input WO'!$E:$E=$A68)),""No see""))"),"WO_QLCTKT_20260615_123526936 + TNI0272 MYT_Generator Fuel Monitoring Abnormal Checking : -280.95 + myt_aunglwin.phyo |=***=| WO_ICMS_20260623_123615070 + TNI0272 MYT_Routine_Maintenance_Mytel_Station MYT_RTE_MTE_SB_STN : 886.64 + myt_bonemyat.naing1 |=***"&amp;"=| WO_QLCTKT_20260604_123438289 + TNI0272 MYT_Troubleshooting Solar Power System : -520.95 + myt_tharhtoo.aung11")</f>
        <v>WO_QLCTKT_20260615_123526936 + TNI0272 MYT_Generator Fuel Monitoring Abnormal Checking : -280.95 + myt_aunglwin.phyo |=***=| WO_ICMS_20260623_123615070 + TNI0272 MYT_Routine_Maintenance_Mytel_Station MYT_RTE_MTE_SB_STN : 886.64 + myt_bonemyat.naing1 |=***=| WO_QLCTKT_20260604_123438289 + TNI0272 MYT_Troubleshooting Solar Power System : -520.95 + myt_tharhtoo.aung11</v>
      </c>
      <c r="E68" s="379"/>
      <c r="F68" s="372"/>
      <c r="G68" s="372"/>
      <c r="H68" s="372"/>
      <c r="I68" s="372"/>
      <c r="J68" s="372"/>
      <c r="K68" s="369"/>
      <c r="L68" s="369"/>
      <c r="M68" s="373"/>
      <c r="N68" s="369"/>
      <c r="O68" s="369"/>
      <c r="P68" s="374"/>
      <c r="Q68" s="372"/>
      <c r="R68" s="372"/>
      <c r="S68" s="372"/>
      <c r="T68" s="372"/>
      <c r="U68" s="372"/>
      <c r="V68" s="372"/>
      <c r="W68" s="372"/>
      <c r="X68" s="372"/>
      <c r="Y68" s="372"/>
      <c r="Z68" s="372"/>
      <c r="AA68" s="372"/>
      <c r="AB68" s="372"/>
      <c r="AC68" s="372"/>
      <c r="AD68" s="372"/>
      <c r="AE68" s="372"/>
      <c r="AF68" s="372"/>
      <c r="AG68" s="372"/>
      <c r="AH68" s="372"/>
      <c r="AI68" s="372"/>
      <c r="AJ68" s="372"/>
      <c r="AK68" s="372"/>
      <c r="AL68" s="372"/>
      <c r="AM68" s="372"/>
    </row>
    <row r="69">
      <c r="A69" s="379" t="s">
        <v>425</v>
      </c>
      <c r="B69" s="379" t="str">
        <f t="array" ref="B69">if(len(A69)&lt;5,"-", iferror(Xlookup($A69,'Input WO'!$E:$E,'Input WO'!$F:$F),Xlookup($A69,'Input task'!$T:$T,'Input task'!$S:$S)
))</f>
        <v>myt_aunglwin.phyo</v>
      </c>
      <c r="C69" s="398" t="str">
        <f>IFERROR(__xludf.DUMMYFUNCTION("if(len($A69)&lt;5,""-"",iferror(TEXTJOIN("" |=***=| "",TRUE,filter('Input task'!$D:$D&amp;"" : ""&amp;'Input task'!$E:$E&amp;"" : ""&amp;'Input task'!$K:$K&amp;"" + ""&amp;'Input task'!$H:$H,'Input task'!$J:$J="""",'Input task'!$T:$T=$A69)),""No see""))"),"No see")</f>
        <v>No see</v>
      </c>
      <c r="D69" s="379" t="str">
        <f>IFERROR(__xludf.DUMMYFUNCTION("if(len($A69)&lt;5,""-"",iferror(TEXTJOIN("" |=***=| "",TRUE,FILTER(('Input WO'!$A:$A&amp;"" + ""&amp;'Input WO'!$B:$B&amp;"" : ""&amp;'Input WO'!$C:$C&amp;"" + ""&amp;'Input WO'!$F:$F),'Input WO'!$E:$E=$A69)),""No see""))"),"WO_WFM-OTHERS_20260605_123451867 + TNI0251 MYT_Maintenance_Generator_Cleaning Rediator - MYT_Maintenance_Generator_Checking Coolant Level - MYT_Maintenance_Generator_Change Engine Oil : -280.95 + myt_aunglwin.phyo |=***=| WO_WFM-OTHERS_20260605_123451668 "&amp;"+ TNI0247 MYT_Maintenance_Generator_Cleaning Rediator - MYT_Maintenance_Generator_Checking Coolant Level - MYT_Maintenance_Generator_Change Engine Oil : -280.95 + myt_aunglwin.phyo |=***=| WO_WFM-OTHERS_20260605_123451523 + TNI0053 MYT_Maintenance_Generat"&amp;"or_Cleaning Rediator - MYT_Maintenance_Generator_Checking Coolant Level : -280.95 + myt_aunglwin.phyo |=***=| WO_WFM-OTHERS_20260605_123451826 + TNI0089 MYT_Maintenance_Generator_Cleaning Rediator - MYT_Maintenance_Generator_Checking Coolant Level - MYT_M"&amp;"aintenance_Generator_Change Engine Oil : -280.95 + myt_bhonehtet.aung |=***=| WO_WFM-OTHERS_20260605_123451346 + TNI0018 MYT_Maintenance_Generator_Cleaning Rediator - MYT_Maintenance_Generator_Checking Coolant Level : -280.95 + myt_bhonehtet.aung |=***=| "&amp;"WO_WFM-OTHERS_20260605_123451861 + TNI0231 MYT_Maintenance_Generator_Cleaning Rediator - MYT_Maintenance_Generator_Checking Coolant Level - MYT_Maintenance_Generator_Change Engine Oil : -280.95 + myt_bonemyat.naing1 |=***=| WO_WFM-OTHERS_20260605_12345184"&amp;"1 + TNI0211 MYT_Maintenance_Generator_Cleaning Rediator - MYT_Maintenance_Generator_Checking Coolant Level - MYT_Maintenance_Generator_Change Engine Oil : -280.95 + myt_bonemyat.naing1 |=***=| WO_WFM-OTHERS_20260605_123451657 + TNI0170 MYT_Maintenance_Gen"&amp;"erator_Cleaning Rediator - MYT_Maintenance_Generator_Checking Coolant Level - MYT_Maintenance_Generator_Change Engine Oil : -280.95 + myt_bonemyat.naing1 |=***=| WO_WFM-OTHERS_20260605_123451652 + TNI0046 MYT_Maintenance_Generator_Cleaning Rediator - MYT_"&amp;"Maintenance_Generator_Checking Coolant Level - MYT_Maintenance_Generator_Change Engine Oil : -280.95 + myt_phyoko.ko44 |=***=| WO_WFM-OTHERS_20260605_123451647 + TNI0040 MYT_Maintenance_Generator_Cleaning Rediator - MYT_Maintenance_Generator_Checking Cool"&amp;"ant Level - MYT_Maintenance_Generator_Change Engine Oil : -280.95 + myt_phyoko.ko44 |=***=| WO_WFM-OTHERS_20260605_123451574 + TNI0257 MYT_Maintenance_Generator_Cleaning Rediator - MYT_Maintenance_Generator_Checking Coolant Level : -280.95 + myt_phyoko.ko"&amp;"44 |=***=| WO_WFM-OTHERS_20260605_123451350 + TNI0050 MYT_Maintenance_Generator_Cleaning Rediator - MYT_Maintenance_Generator_Checking Coolant Level : -280.95 + myt_phyoko.ko44 |=***=| WO_WFM-OTHERS_20260605_123451539 + TNI0245 MYT_Maintenance_Generator_C"&amp;"leaning Rediator - MYT_Maintenance_Generator_Checking Coolant Level : -280.95 + myt_tharhtoo.aung11 |=***=| WO_WFM-OTHERS_20260605_123451568 + TNI0220 MYT_Maintenance_Generator_Cleaning Rediator - MYT_Maintenance_Generator_Checking Coolant Level : -280.95"&amp;" + myt_tharhtoo.aung11 |=***=| WO_WFM-OTHERS_20260605_123451564 + TNI0206 MYT_Maintenance_Generator_Cleaning Rediator - MYT_Maintenance_Generator_Checking Coolant Level : -280.95 + myt_tharhtoo.aung11 |=***=| WO_WFM-OTHERS_20260605_123451356 + TNI0153 MYT"&amp;"_Maintenance_Generator_Cleaning Rediator - MYT_Maintenance_Generator_Checking Coolant Level : -280.95 + myt_tharhtoo.aung11 |=***=| WO_WFM-OTHERS_20260605_123451584 + TNI0039 MYT_Maintenance_Generator_Cleaning Rediator - MYT_Maintenance_Generator_Checking"&amp;" Coolant Level : -280.95 + myt_wanna.oo2")</f>
        <v>WO_WFM-OTHERS_20260605_123451867 + TNI0251 MYT_Maintenance_Generator_Cleaning Rediator - MYT_Maintenance_Generator_Checking Coolant Level - MYT_Maintenance_Generator_Change Engine Oil : -280.95 + myt_aunglwin.phyo |=***=| WO_WFM-OTHERS_20260605_123451668 + TNI0247 MYT_Maintenance_Generator_Cleaning Rediator - MYT_Maintenance_Generator_Checking Coolant Level - MYT_Maintenance_Generator_Change Engine Oil : -280.95 + myt_aunglwin.phyo |=***=| WO_WFM-OTHERS_20260605_123451523 + TNI0053 MYT_Maintenance_Generator_Cleaning Rediator - MYT_Maintenance_Generator_Checking Coolant Level : -280.95 + myt_aunglwin.phyo |=***=| WO_WFM-OTHERS_20260605_123451826 + TNI0089 MYT_Maintenance_Generator_Cleaning Rediator - MYT_Maintenance_Generator_Checking Coolant Level - MYT_Maintenance_Generator_Change Engine Oil : -280.95 + myt_bhonehtet.aung |=***=| WO_WFM-OTHERS_20260605_123451346 + TNI0018 MYT_Maintenance_Generator_Cleaning Rediator - MYT_Maintenance_Generator_Checking Coolant Level : -280.95 + myt_bhonehtet.aung |=***=| WO_WFM-OTHERS_20260605_123451861 + TNI0231 MYT_Maintenance_Generator_Cleaning Rediator - MYT_Maintenance_Generator_Checking Coolant Level - MYT_Maintenance_Generator_Change Engine Oil : -280.95 + myt_bonemyat.naing1 |=***=| WO_WFM-OTHERS_20260605_123451841 + TNI0211 MYT_Maintenance_Generator_Cleaning Rediator - MYT_Maintenance_Generator_Checking Coolant Level - MYT_Maintenance_Generator_Change Engine Oil : -280.95 + myt_bonemyat.naing1 |=***=| WO_WFM-OTHERS_20260605_123451657 + TNI0170 MYT_Maintenance_Generator_Cleaning Rediator - MYT_Maintenance_Generator_Checking Coolant Level - MYT_Maintenance_Generator_Change Engine Oil : -280.95 + myt_bonemyat.naing1 |=***=| WO_WFM-OTHERS_20260605_123451652 + TNI0046 MYT_Maintenance_Generator_Cleaning Rediator - MYT_Maintenance_Generator_Checking Coolant Level - MYT_Maintenance_Generator_Change Engine Oil : -280.95 + myt_phyoko.ko44 |=***=| WO_WFM-OTHERS_20260605_123451647 + TNI0040 MYT_Maintenance_Generator_Cleaning Rediator - MYT_Maintenance_Generator_Checking Coolant Level - MYT_Maintenance_Generator_Change Engine Oil : -280.95 + myt_phyoko.ko44 |=***=| WO_WFM-OTHERS_20260605_123451574 + TNI0257 MYT_Maintenance_Generator_Cleaning Rediator - MYT_Maintenance_Generator_Checking Coolant Level : -280.95 + myt_phyoko.ko44 |=***=| WO_WFM-OTHERS_20260605_123451350 + TNI0050 MYT_Maintenance_Generator_Cleaning Rediator - MYT_Maintenance_Generator_Checking Coolant Level : -280.95 + myt_phyoko.ko44 |=***=| WO_WFM-OTHERS_20260605_123451539 + TNI0245 MYT_Maintenance_Generator_Cleaning Rediator - MYT_Maintenance_Generator_Checking Coolant Level : -280.95 + myt_tharhtoo.aung11 |=***=| WO_WFM-OTHERS_20260605_123451568 + TNI0220 MYT_Maintenance_Generator_Cleaning Rediator - MYT_Maintenance_Generator_Checking Coolant Level : -280.95 + myt_tharhtoo.aung11 |=***=| WO_WFM-OTHERS_20260605_123451564 + TNI0206 MYT_Maintenance_Generator_Cleaning Rediator - MYT_Maintenance_Generator_Checking Coolant Level : -280.95 + myt_tharhtoo.aung11 |=***=| WO_WFM-OTHERS_20260605_123451356 + TNI0153 MYT_Maintenance_Generator_Cleaning Rediator - MYT_Maintenance_Generator_Checking Coolant Level : -280.95 + myt_tharhtoo.aung11 |=***=| WO_WFM-OTHERS_20260605_123451584 + TNI0039 MYT_Maintenance_Generator_Cleaning Rediator - MYT_Maintenance_Generator_Checking Coolant Level : -280.95 + myt_wanna.oo2</v>
      </c>
      <c r="E69" s="379"/>
      <c r="F69" s="372"/>
      <c r="G69" s="372"/>
      <c r="H69" s="372"/>
      <c r="I69" s="372"/>
      <c r="J69" s="372"/>
      <c r="K69" s="369"/>
      <c r="L69" s="369"/>
      <c r="M69" s="373"/>
      <c r="N69" s="369"/>
      <c r="O69" s="369"/>
      <c r="P69" s="374"/>
      <c r="Q69" s="372"/>
      <c r="R69" s="372"/>
      <c r="S69" s="372"/>
      <c r="T69" s="372"/>
      <c r="U69" s="372"/>
      <c r="V69" s="372"/>
      <c r="W69" s="372"/>
      <c r="X69" s="372"/>
      <c r="Y69" s="372"/>
      <c r="Z69" s="372"/>
      <c r="AA69" s="372"/>
      <c r="AB69" s="372"/>
      <c r="AC69" s="372"/>
      <c r="AD69" s="372"/>
      <c r="AE69" s="372"/>
      <c r="AF69" s="372"/>
      <c r="AG69" s="372"/>
      <c r="AH69" s="372"/>
      <c r="AI69" s="372"/>
      <c r="AJ69" s="372"/>
      <c r="AK69" s="372"/>
      <c r="AL69" s="372"/>
      <c r="AM69" s="372"/>
    </row>
    <row r="70">
      <c r="A70" s="379" t="s">
        <v>426</v>
      </c>
      <c r="B70" s="379" t="str">
        <f t="array" ref="B70">if(len(A70)&lt;5,"-", iferror(Xlookup($A70,'Input WO'!$E:$E,'Input WO'!$F:$F),Xlookup($A70,'Input task'!$T:$T,'Input task'!$S:$S)
))</f>
        <v>myt_aunglwin.phyo</v>
      </c>
      <c r="C70" s="398" t="str">
        <f>IFERROR(__xludf.DUMMYFUNCTION("if(len($A70)&lt;5,""-"",iferror(TEXTJOIN("" |=***=| "",TRUE,filter('Input task'!$D:$D&amp;"" : ""&amp;'Input task'!$E:$E&amp;"" : ""&amp;'Input task'!$K:$K&amp;"" + ""&amp;'Input task'!$H:$H,'Input task'!$J:$J="""",'Input task'!$T:$T=$A70)),""No see""))"),"Fixing Fuel Level Monitoring : TNI0073 Need to fix fuel level cannot monitoring at NMS. :  + ")</f>
        <v>Fixing Fuel Level Monitoring : TNI0073 Need to fix fuel level cannot monitoring at NMS. :  + </v>
      </c>
      <c r="D70" s="379" t="str">
        <f>IFERROR(__xludf.DUMMYFUNCTION("if(len($A70)&lt;5,""-"",iferror(TEXTJOIN("" |=***=| "",TRUE,FILTER(('Input WO'!$A:$A&amp;"" + ""&amp;'Input WO'!$B:$B&amp;"" : ""&amp;'Input WO'!$C:$C&amp;"" + ""&amp;'Input WO'!$F:$F),'Input WO'!$E:$E=$A70)),""No see""))"),"WO_QLCTKT_20260604_123442864 + TNI0073 - Repair infrastructure - bla: Cleaning the station, remove grass, vines, tree, rubbish, recall unused equipment, material: Clean the station : -506.96 + myt_aunglwin.phyo |=***=| WO_QLCTKT_20260604_123442977 + TNI00"&amp;"73 - Repair infrastructure - bla: Cleaning the station, remove grass, vines, tree, rubbish, recall unused equipment, material: Clean the station : -506.96 + myt_aunglwin.phyo |=***=| WO_QLCTKT_20260529_123389546 + TNI0073 MYT_Routine_Maintenance_Mytel_Sta"&amp;"tion_VCM : 223.05 + myt_aunglwin.phyo")</f>
        <v>WO_QLCTKT_20260604_123442864 + TNI0073 - Repair infrastructure - bla: Cleaning the station, remove grass, vines, tree, rubbish, recall unused equipment, material: Clean the station : -506.96 + myt_aunglwin.phyo |=***=| WO_QLCTKT_20260604_123442977 + TNI0073 - Repair infrastructure - bla: Cleaning the station, remove grass, vines, tree, rubbish, recall unused equipment, material: Clean the station : -506.96 + myt_aunglwin.phyo |=***=| WO_QLCTKT_20260529_123389546 + TNI0073 MYT_Routine_Maintenance_Mytel_Station_VCM : 223.05 + myt_aunglwin.phyo</v>
      </c>
      <c r="E70" s="379"/>
      <c r="F70" s="372"/>
      <c r="G70" s="372"/>
      <c r="H70" s="372"/>
      <c r="I70" s="372"/>
      <c r="J70" s="372"/>
      <c r="K70" s="369"/>
      <c r="L70" s="369"/>
      <c r="M70" s="373"/>
      <c r="N70" s="369"/>
      <c r="O70" s="369"/>
      <c r="P70" s="374"/>
      <c r="Q70" s="372"/>
      <c r="R70" s="372"/>
      <c r="S70" s="372"/>
      <c r="T70" s="372"/>
      <c r="U70" s="372"/>
      <c r="V70" s="372"/>
      <c r="W70" s="372"/>
      <c r="X70" s="372"/>
      <c r="Y70" s="372"/>
      <c r="Z70" s="372"/>
      <c r="AA70" s="372"/>
      <c r="AB70" s="372"/>
      <c r="AC70" s="372"/>
      <c r="AD70" s="372"/>
      <c r="AE70" s="372"/>
      <c r="AF70" s="372"/>
      <c r="AG70" s="372"/>
      <c r="AH70" s="372"/>
      <c r="AI70" s="372"/>
      <c r="AJ70" s="372"/>
      <c r="AK70" s="372"/>
      <c r="AL70" s="372"/>
      <c r="AM70" s="372"/>
    </row>
    <row r="71">
      <c r="A71" s="379" t="s">
        <v>427</v>
      </c>
      <c r="B71" s="379" t="str">
        <f t="array" ref="B71">if(len(A71)&lt;5,"-", iferror(Xlookup($A71,'Input WO'!$E:$E,'Input WO'!$F:$F),Xlookup($A71,'Input task'!$T:$T,'Input task'!$S:$S)
))</f>
        <v>myt_aunglwin.phyo</v>
      </c>
      <c r="C71" s="398" t="str">
        <f>IFERROR(__xludf.DUMMYFUNCTION("if(len($A71)&lt;5,""-"",iferror(TEXTJOIN("" |=***=| "",TRUE,filter('Input task'!$D:$D&amp;"" : ""&amp;'Input task'!$E:$E&amp;"" : ""&amp;'Input task'!$K:$K&amp;"" + ""&amp;'Input task'!$H:$H,'Input task'!$J:$J="""",'Input task'!$T:$T=$A71)),""No see""))"),"100 point plan : TNI0078 100 point plan need to clean site overview inside and outeside and make to neatly patchord cable. :  + ")</f>
        <v>100 point plan : TNI0078 100 point plan need to clean site overview inside and outeside and make to neatly patchord cable. :  + </v>
      </c>
      <c r="D71" s="379" t="str">
        <f>IFERROR(__xludf.DUMMYFUNCTION("if(len($A71)&lt;5,""-"",iferror(TEXTJOIN("" |=***=| "",TRUE,FILTER(('Input WO'!$A:$A&amp;"" + ""&amp;'Input WO'!$B:$B&amp;"" : ""&amp;'Input WO'!$C:$C&amp;"" + ""&amp;'Input WO'!$F:$F),'Input WO'!$E:$E=$A71)),""No see""))"),"WO_QLCTKT_20260408_122933161 + TNI0078 MYT_Routine_Maintenance_Towerco_Station_VCM : -1000.95 + myt_aunglwin.phyo |=***=| WO_WFM-OTHERS_20260623_123616223 + Cable Patrol for (AC)-TNI0078-TNIM032 : 439.03 + myt_bonemyat.naing1")</f>
        <v>WO_QLCTKT_20260408_122933161 + TNI0078 MYT_Routine_Maintenance_Towerco_Station_VCM : -1000.95 + myt_aunglwin.phyo |=***=| WO_WFM-OTHERS_20260623_123616223 + Cable Patrol for (AC)-TNI0078-TNIM032 : 439.03 + myt_bonemyat.naing1</v>
      </c>
      <c r="E71" s="379"/>
      <c r="F71" s="372"/>
      <c r="G71" s="372"/>
      <c r="H71" s="372"/>
      <c r="I71" s="372"/>
      <c r="J71" s="372"/>
      <c r="K71" s="369"/>
      <c r="L71" s="369"/>
      <c r="M71" s="373"/>
      <c r="N71" s="369"/>
      <c r="O71" s="369"/>
      <c r="P71" s="374"/>
      <c r="Q71" s="372"/>
      <c r="R71" s="372"/>
      <c r="S71" s="372"/>
      <c r="T71" s="372"/>
      <c r="U71" s="372"/>
      <c r="V71" s="372"/>
      <c r="W71" s="372"/>
      <c r="X71" s="372"/>
      <c r="Y71" s="372"/>
      <c r="Z71" s="372"/>
      <c r="AA71" s="372"/>
      <c r="AB71" s="372"/>
      <c r="AC71" s="372"/>
      <c r="AD71" s="372"/>
      <c r="AE71" s="372"/>
      <c r="AF71" s="372"/>
      <c r="AG71" s="372"/>
      <c r="AH71" s="372"/>
      <c r="AI71" s="372"/>
      <c r="AJ71" s="372"/>
      <c r="AK71" s="372"/>
      <c r="AL71" s="372"/>
      <c r="AM71" s="372"/>
    </row>
    <row r="72">
      <c r="A72" s="379" t="s">
        <v>428</v>
      </c>
      <c r="B72" s="379" t="str">
        <f t="array" ref="B72">if(len(A72)&lt;5,"-", iferror(Xlookup($A72,'Input WO'!$E:$E,'Input WO'!$F:$F),Xlookup($A72,'Input task'!$T:$T,'Input task'!$S:$S)
))</f>
        <v>myt_aunglwin.phyo</v>
      </c>
      <c r="C72" s="398" t="str">
        <f>IFERROR(__xludf.DUMMYFUNCTION("if(len($A72)&lt;5,""-"",iferror(TEXTJOIN("" |=***=| "",TRUE,filter('Input task'!$D:$D&amp;"" : ""&amp;'Input task'!$E:$E&amp;"" : ""&amp;'Input task'!$K:$K&amp;"" + ""&amp;'Input task'!$H:$H,'Input task'!$J:$J="""",'Input task'!$T:$T=$A72)),""No see""))"),"Swap MDG  : TNI0035 Swap MDG, adding one more backup battery and fence lock  :  + ")</f>
        <v>Swap MDG  : TNI0035 Swap MDG, adding one more backup battery and fence lock  :  + </v>
      </c>
      <c r="D72" s="379" t="str">
        <f>IFERROR(__xludf.DUMMYFUNCTION("if(len($A72)&lt;5,""-"",iferror(TEXTJOIN("" |=***=| "",TRUE,FILTER(('Input WO'!$A:$A&amp;"" + ""&amp;'Input WO'!$B:$B&amp;"" : ""&amp;'Input WO'!$C:$C&amp;"" + ""&amp;'Input WO'!$F:$F),'Input WO'!$E:$E=$A72)),""No see""))"),"WO_QLCTKT_20260408_122933057 + TNI0035 MYT_Routine_Maintenance_Towerco_Station_VCM : -1000.95 + myt_aunglwin.phyo")</f>
        <v>WO_QLCTKT_20260408_122933057 + TNI0035 MYT_Routine_Maintenance_Towerco_Station_VCM : -1000.95 + myt_aunglwin.phyo</v>
      </c>
      <c r="E72" s="379"/>
      <c r="F72" s="372"/>
      <c r="G72" s="372"/>
      <c r="H72" s="372"/>
      <c r="I72" s="372"/>
      <c r="J72" s="372"/>
      <c r="K72" s="369"/>
      <c r="L72" s="369"/>
      <c r="M72" s="373"/>
      <c r="N72" s="369"/>
      <c r="O72" s="369"/>
      <c r="P72" s="374"/>
      <c r="Q72" s="372"/>
      <c r="R72" s="372"/>
      <c r="S72" s="372"/>
      <c r="T72" s="372"/>
      <c r="U72" s="372"/>
      <c r="V72" s="372"/>
      <c r="W72" s="372"/>
      <c r="X72" s="372"/>
      <c r="Y72" s="372"/>
      <c r="Z72" s="372"/>
      <c r="AA72" s="372"/>
      <c r="AB72" s="372"/>
      <c r="AC72" s="372"/>
      <c r="AD72" s="372"/>
      <c r="AE72" s="372"/>
      <c r="AF72" s="372"/>
      <c r="AG72" s="372"/>
      <c r="AH72" s="372"/>
      <c r="AI72" s="372"/>
      <c r="AJ72" s="372"/>
      <c r="AK72" s="372"/>
      <c r="AL72" s="372"/>
      <c r="AM72" s="372"/>
    </row>
    <row r="73">
      <c r="A73" s="379" t="s">
        <v>208</v>
      </c>
      <c r="B73" s="379" t="str">
        <f t="array" ref="B73">if(len(A73)&lt;5,"-", iferror(Xlookup($A73,'Input WO'!$E:$E,'Input WO'!$F:$F),Xlookup($A73,'Input task'!$T:$T,'Input task'!$S:$S)
))</f>
        <v>myt_aungthin.mya</v>
      </c>
      <c r="C73" s="398" t="str">
        <f>IFERROR(__xludf.DUMMYFUNCTION("if(len($A73)&lt;5,""-"",iferror(TEXTJOIN("" |=***=| "",TRUE,filter('Input task'!$D:$D&amp;"" : ""&amp;'Input task'!$E:$E&amp;"" : ""&amp;'Input task'!$K:$K&amp;"" + ""&amp;'Input task'!$H:$H,'Input task'!$J:$J="""",'Input task'!$T:$T=$A73)),""No see""))"),"PVC PLAN : TNI0154 need to cover pvc pipe :  + ")</f>
        <v>PVC PLAN : TNI0154 need to cover pvc pipe :  + </v>
      </c>
      <c r="D73" s="379" t="str">
        <f>IFERROR(__xludf.DUMMYFUNCTION("if(len($A73)&lt;5,""-"",iferror(TEXTJOIN("" |=***=| "",TRUE,FILTER(('Input WO'!$A:$A&amp;"" + ""&amp;'Input WO'!$B:$B&amp;"" : ""&amp;'Input WO'!$C:$C&amp;"" + ""&amp;'Input WO'!$F:$F),'Input WO'!$E:$E=$A73)),""No see""))"),"WO_ICMS_20260623_123615121 + TNI0154 MYT_Routine_Maintenance_Mytel_Station MYT_RTE_MTE_SB_STN : 886.64 + myt_aungthin.mya |=***=| WO_WFM-OTHERS_20260623_123616294 + Cable Patrol for (AC)-TNI0154-JB(TNI0154-TNIM087) : 439.03 + myt_tinmaung.win |=***=| WO_W"&amp;"FM-OTHERS_20260623_123616295 + Cable Patrol for (AC)-TNI0154-TNIM087 : 439.03 + myt_tinmaung.win")</f>
        <v>WO_ICMS_20260623_123615121 + TNI0154 MYT_Routine_Maintenance_Mytel_Station MYT_RTE_MTE_SB_STN : 886.64 + myt_aungthin.mya |=***=| WO_WFM-OTHERS_20260623_123616294 + Cable Patrol for (AC)-TNI0154-JB(TNI0154-TNIM087) : 439.03 + myt_tinmaung.win |=***=| WO_WFM-OTHERS_20260623_123616295 + Cable Patrol for (AC)-TNI0154-TNIM087 : 439.03 + myt_tinmaung.win</v>
      </c>
      <c r="E73" s="379"/>
      <c r="F73" s="372"/>
      <c r="G73" s="372"/>
      <c r="H73" s="372"/>
      <c r="I73" s="372"/>
      <c r="J73" s="372"/>
      <c r="K73" s="369"/>
      <c r="L73" s="369"/>
      <c r="M73" s="373"/>
      <c r="N73" s="369"/>
      <c r="O73" s="369"/>
      <c r="P73" s="374"/>
      <c r="Q73" s="372"/>
      <c r="R73" s="372"/>
      <c r="S73" s="372"/>
      <c r="T73" s="372"/>
      <c r="U73" s="372"/>
      <c r="V73" s="372"/>
      <c r="W73" s="372"/>
      <c r="X73" s="372"/>
      <c r="Y73" s="372"/>
      <c r="Z73" s="372"/>
      <c r="AA73" s="372"/>
      <c r="AB73" s="372"/>
      <c r="AC73" s="372"/>
      <c r="AD73" s="372"/>
      <c r="AE73" s="372"/>
      <c r="AF73" s="372"/>
      <c r="AG73" s="372"/>
      <c r="AH73" s="372"/>
      <c r="AI73" s="372"/>
      <c r="AJ73" s="372"/>
      <c r="AK73" s="372"/>
      <c r="AL73" s="372"/>
      <c r="AM73" s="372"/>
    </row>
    <row r="74">
      <c r="A74" s="379" t="s">
        <v>429</v>
      </c>
      <c r="B74" s="379" t="str">
        <f t="array" ref="B74">if(len(A74)&lt;5,"-", iferror(Xlookup($A74,'Input WO'!$E:$E,'Input WO'!$F:$F),Xlookup($A74,'Input task'!$T:$T,'Input task'!$S:$S)
))</f>
        <v>myt_aungthin.mya</v>
      </c>
      <c r="C74" s="398" t="str">
        <f>IFERROR(__xludf.DUMMYFUNCTION("if(len($A74)&lt;5,""-"",iferror(TEXTJOIN("" |=***=| "",TRUE,filter('Input task'!$D:$D&amp;"" : ""&amp;'Input task'!$E:$E&amp;"" : ""&amp;'Input task'!$K:$K&amp;"" + ""&amp;'Input task'!$H:$H,'Input task'!$J:$J="""",'Input task'!$T:$T=$A74)),""No see""))"),"100 point plan : TNI0392  100 point plan need to clean site overview inside and outeside and make to neatly patchord cable. :  + VCM818134-Tin Maung Win, VCM859716-Khant Chaw Nyo |=***=| PVC PLAN : TNI0392 need to cover pvc pipe :  + ")</f>
        <v>100 point plan : TNI0392  100 point plan need to clean site overview inside and outeside and make to neatly patchord cable. :  + VCM818134-Tin Maung Win, VCM859716-Khant Chaw Nyo |=***=| PVC PLAN : TNI0392 need to cover pvc pipe :  + </v>
      </c>
      <c r="D74" s="379" t="str">
        <f>IFERROR(__xludf.DUMMYFUNCTION("if(len($A74)&lt;5,""-"",iferror(TEXTJOIN("" |=***=| "",TRUE,FILTER(('Input WO'!$A:$A&amp;"" + ""&amp;'Input WO'!$B:$B&amp;"" : ""&amp;'Input WO'!$C:$C&amp;"" + ""&amp;'Input WO'!$F:$F),'Input WO'!$E:$E=$A74)),""No see""))"),"WO_ICMS_20260623_123611228 + TNI0392 MYT_Routine_Maintenance_Towerco_Station MYT_RTE_MTE_TCO_STN : 882.54 + myt_aungthin.mya")</f>
        <v>WO_ICMS_20260623_123611228 + TNI0392 MYT_Routine_Maintenance_Towerco_Station MYT_RTE_MTE_TCO_STN : 882.54 + myt_aungthin.mya</v>
      </c>
      <c r="E74" s="379"/>
      <c r="F74" s="372"/>
      <c r="G74" s="372"/>
      <c r="H74" s="372"/>
      <c r="I74" s="372"/>
      <c r="J74" s="372"/>
      <c r="K74" s="369"/>
      <c r="L74" s="369"/>
      <c r="M74" s="373"/>
      <c r="N74" s="369"/>
      <c r="O74" s="369"/>
      <c r="P74" s="374"/>
      <c r="Q74" s="372"/>
      <c r="R74" s="372"/>
      <c r="S74" s="372"/>
      <c r="T74" s="372"/>
      <c r="U74" s="372"/>
      <c r="V74" s="372"/>
      <c r="W74" s="372"/>
      <c r="X74" s="372"/>
      <c r="Y74" s="372"/>
      <c r="Z74" s="372"/>
      <c r="AA74" s="372"/>
      <c r="AB74" s="372"/>
      <c r="AC74" s="372"/>
      <c r="AD74" s="372"/>
      <c r="AE74" s="372"/>
      <c r="AF74" s="372"/>
      <c r="AG74" s="372"/>
      <c r="AH74" s="372"/>
      <c r="AI74" s="372"/>
      <c r="AJ74" s="372"/>
      <c r="AK74" s="372"/>
      <c r="AL74" s="372"/>
      <c r="AM74" s="372"/>
    </row>
    <row r="75">
      <c r="A75" s="379" t="s">
        <v>430</v>
      </c>
      <c r="B75" s="379" t="str">
        <f t="array" ref="B75">if(len(A75)&lt;5,"-", iferror(Xlookup($A75,'Input WO'!$E:$E,'Input WO'!$F:$F),Xlookup($A75,'Input task'!$T:$T,'Input task'!$S:$S)
))</f>
        <v>myt_aungthin.mya</v>
      </c>
      <c r="C75" s="398" t="str">
        <f>IFERROR(__xludf.DUMMYFUNCTION("if(len($A75)&lt;5,""-"",iferror(TEXTJOIN("" |=***=| "",TRUE,filter('Input task'!$D:$D&amp;"" : ""&amp;'Input task'!$E:$E&amp;"" : ""&amp;'Input task'!$K:$K&amp;"" + ""&amp;'Input task'!$H:$H,'Input task'!$J:$J="""",'Input task'!$T:$T=$A75)),""No see""))"),"No see")</f>
        <v>No see</v>
      </c>
      <c r="D75" s="379" t="str">
        <f>IFERROR(__xludf.DUMMYFUNCTION("if(len($A75)&lt;5,""-"",iferror(TEXTJOIN("" |=***=| "",TRUE,FILTER(('Input WO'!$A:$A&amp;"" + ""&amp;'Input WO'!$B:$B&amp;"" : ""&amp;'Input WO'!$C:$C&amp;"" + ""&amp;'Input WO'!$F:$F),'Input WO'!$E:$E=$A75)),""No see""))"),"WO_QLCTKT_20260503_123170456 + TNI0006 MYT_Maintenance_Generator_Change_Oil - MYT_Maintenance_Generator_Change_Oil_Filter - MYT_Maintenance_Generator_Change_Fuel_Filter - MYT_Maintenance_Generator_Change_Air_Filter and Clean_Radiator - MYT_Checking qualit"&amp;"y for DG Fuel : -1312.95 + myt_aungthin.mya |=***=| WO_ICMS_20260701_123690043 + TNI0006 MYT_Checking quality for DG Fuel MYT_ME_DG_CHECK_FUEL; MYT_Maintenance_Generator_Change_Air_Filter, Clean Radiator and Clean Engine Room MYT_ME_DG_CHG_AIR_FIL_CLN_RAD"&amp;"_ENG; MYT_Maintenance_Generator_Change_Fuel_Filter MYT_ME_DG_CHG_FUEL_FIL; MYT_Maintenance_Generator_Change_Oil MYT_ME_DG_CHG_OIL; MYT_Maintenance_Generator_Change_Oil_Filter MYT_ME_DG_CHG_OIL_FIL : 234.08 + myt_tharhtoo.aung11 |=***=| WO_QLCTKT_20260402_"&amp;"122825604 + TNI0006 MYT_Maintenance_Generator_Change_Oil - MYT_Maintenance_Generator_Change_Oil_Filter - MYT_Maintenance_Generator_Change_Fuel_Filter - MYT_Maintenance_Generator_Change_Air_Filter and Clean_Radiator - MYT_Checking quality for DG Fuel : -19"&amp;"95.95 + myt_tharhtoo.aung11")</f>
        <v>WO_QLCTKT_20260503_123170456 + TNI0006 MYT_Maintenance_Generator_Change_Oil - MYT_Maintenance_Generator_Change_Oil_Filter - MYT_Maintenance_Generator_Change_Fuel_Filter - MYT_Maintenance_Generator_Change_Air_Filter and Clean_Radiator - MYT_Checking quality for DG Fuel : -1312.95 + myt_aungthin.mya |=***=| WO_ICMS_20260701_123690043 + TNI0006 MYT_Checking quality for DG Fuel MYT_ME_DG_CHECK_FUEL; MYT_Maintenance_Generator_Change_Air_Filter, Clean Radiator and Clean Engine Room MYT_ME_DG_CHG_AIR_FIL_CLN_RAD_ENG; MYT_Maintenance_Generator_Change_Fuel_Filter MYT_ME_DG_CHG_FUEL_FIL; MYT_Maintenance_Generator_Change_Oil MYT_ME_DG_CHG_OIL; MYT_Maintenance_Generator_Change_Oil_Filter MYT_ME_DG_CHG_OIL_FIL : 234.08 + myt_tharhtoo.aung11 |=***=| WO_QLCTKT_20260402_122825604 + TNI0006 MYT_Maintenance_Generator_Change_Oil - MYT_Maintenance_Generator_Change_Oil_Filter - MYT_Maintenance_Generator_Change_Fuel_Filter - MYT_Maintenance_Generator_Change_Air_Filter and Clean_Radiator - MYT_Checking quality for DG Fuel : -1995.95 + myt_tharhtoo.aung11</v>
      </c>
      <c r="E75" s="379"/>
      <c r="F75" s="372"/>
      <c r="G75" s="372"/>
      <c r="H75" s="372"/>
      <c r="I75" s="372"/>
      <c r="J75" s="372"/>
      <c r="K75" s="369"/>
      <c r="L75" s="369"/>
      <c r="M75" s="373"/>
      <c r="N75" s="369"/>
      <c r="O75" s="369"/>
      <c r="P75" s="374"/>
      <c r="Q75" s="372"/>
      <c r="R75" s="372"/>
      <c r="S75" s="372"/>
      <c r="T75" s="372"/>
      <c r="U75" s="372"/>
      <c r="V75" s="372"/>
      <c r="W75" s="372"/>
      <c r="X75" s="372"/>
      <c r="Y75" s="372"/>
      <c r="Z75" s="372"/>
      <c r="AA75" s="372"/>
      <c r="AB75" s="372"/>
      <c r="AC75" s="372"/>
      <c r="AD75" s="372"/>
      <c r="AE75" s="372"/>
      <c r="AF75" s="372"/>
      <c r="AG75" s="372"/>
      <c r="AH75" s="372"/>
      <c r="AI75" s="372"/>
      <c r="AJ75" s="372"/>
      <c r="AK75" s="372"/>
      <c r="AL75" s="372"/>
      <c r="AM75" s="372"/>
    </row>
    <row r="76">
      <c r="A76" s="379" t="s">
        <v>431</v>
      </c>
      <c r="B76" s="379" t="str">
        <f t="array" ref="B76">if(len(A76)&lt;5,"-", iferror(Xlookup($A76,'Input WO'!$E:$E,'Input WO'!$F:$F),Xlookup($A76,'Input task'!$T:$T,'Input task'!$S:$S)
))</f>
        <v>myt_aungthin.mya</v>
      </c>
      <c r="C76" s="398" t="str">
        <f>IFERROR(__xludf.DUMMYFUNCTION("if(len($A76)&lt;5,""-"",iferror(TEXTJOIN("" |=***=| "",TRUE,filter('Input task'!$D:$D&amp;"" : ""&amp;'Input task'!$E:$E&amp;"" : ""&amp;'Input task'!$K:$K&amp;"" + ""&amp;'Input task'!$H:$H,'Input task'!$J:$J="""",'Input task'!$T:$T=$A76)),""No see""))"),"Fixing Fuel Level Monitoring : TNI0153 Need to fix fuel level cannot monitoring at NMS. :  +  |=***=| 100 point plan : TNI0153 100 point plan need to clean site overview inside and outeside and make to neatly patchord cable. :  +  |=***=| 100 point plan :"&amp;" TNI0153_01 100 point plan need to clean site overview inside and outeside and make to neatly patchord cable. :  +  |=***=| PVC PLAN : TNI0153 need to cover pvc pipe :  + ")</f>
        <v>Fixing Fuel Level Monitoring : TNI0153 Need to fix fuel level cannot monitoring at NMS. :  +  |=***=| 100 point plan : TNI0153 100 point plan need to clean site overview inside and outeside and make to neatly patchord cable. :  +  |=***=| 100 point plan : TNI0153_01 100 point plan need to clean site overview inside and outeside and make to neatly patchord cable. :  +  |=***=| PVC PLAN : TNI0153 need to cover pvc pipe :  + </v>
      </c>
      <c r="D76" s="379" t="str">
        <f>IFERROR(__xludf.DUMMYFUNCTION("if(len($A76)&lt;5,""-"",iferror(TEXTJOIN("" |=***=| "",TRUE,FILTER(('Input WO'!$A:$A&amp;"" + ""&amp;'Input WO'!$B:$B&amp;"" : ""&amp;'Input WO'!$C:$C&amp;"" + ""&amp;'Input WO'!$F:$F),'Input WO'!$E:$E=$A76)),""No see""))"),"WO_QLCTKT_20260421_123051401 + TNI0153_01 MYT_Maintenacne_Solar : -1048.95 + myt_aungthin.mya |=***=| WO_WFM-OTHERS_20260622_123602989 + TNI0153_Cleaning Radiator and change engine oil : -41.95 + myt_tharhtoo.aung11 |=***=| WO_QLCTKT_20260604_123438233 + "&amp;"TNI0153 MYT_Troubleshooting Solar Power System : -520.95 + myt_tharhtoo.aung11 |=***=| WO_QLCTKT_20260529_123389690 + TNI0153 MYT_Routine_Maintenance_Mytel_Station_VCM : 223.05 + myt_tharhtoo.aung11 |=***=| WO_QLCTKT_20260408_122933332 + TNI0153_01 MYT_Ro"&amp;"utine_Maintenance_Towerco_Station_VCM : -1000.95 + myt_tharhtoo.aung11 |=***=| WO_QLCTKT_20260330_122772089 + TNI0153 MYT_Routine_Maintenance_Mytel_Station_VCM : -1100.45 + myt_tharhtoo.aung11")</f>
        <v>WO_QLCTKT_20260421_123051401 + TNI0153_01 MYT_Maintenacne_Solar : -1048.95 + myt_aungthin.mya |=***=| WO_WFM-OTHERS_20260622_123602989 + TNI0153_Cleaning Radiator and change engine oil : -41.95 + myt_tharhtoo.aung11 |=***=| WO_QLCTKT_20260604_123438233 + TNI0153 MYT_Troubleshooting Solar Power System : -520.95 + myt_tharhtoo.aung11 |=***=| WO_QLCTKT_20260529_123389690 + TNI0153 MYT_Routine_Maintenance_Mytel_Station_VCM : 223.05 + myt_tharhtoo.aung11 |=***=| WO_QLCTKT_20260408_122933332 + TNI0153_01 MYT_Routine_Maintenance_Towerco_Station_VCM : -1000.95 + myt_tharhtoo.aung11 |=***=| WO_QLCTKT_20260330_122772089 + TNI0153 MYT_Routine_Maintenance_Mytel_Station_VCM : -1100.45 + myt_tharhtoo.aung11</v>
      </c>
      <c r="E76" s="379"/>
      <c r="F76" s="372"/>
      <c r="G76" s="372"/>
      <c r="H76" s="372"/>
      <c r="I76" s="372"/>
      <c r="J76" s="372"/>
      <c r="K76" s="369"/>
      <c r="L76" s="369"/>
      <c r="M76" s="373"/>
      <c r="N76" s="369"/>
      <c r="O76" s="369"/>
      <c r="P76" s="374"/>
      <c r="Q76" s="372"/>
      <c r="R76" s="372"/>
      <c r="S76" s="372"/>
      <c r="T76" s="372"/>
      <c r="U76" s="372"/>
      <c r="V76" s="372"/>
      <c r="W76" s="372"/>
      <c r="X76" s="372"/>
      <c r="Y76" s="372"/>
      <c r="Z76" s="372"/>
      <c r="AA76" s="372"/>
      <c r="AB76" s="372"/>
      <c r="AC76" s="372"/>
      <c r="AD76" s="372"/>
      <c r="AE76" s="372"/>
      <c r="AF76" s="372"/>
      <c r="AG76" s="372"/>
      <c r="AH76" s="372"/>
      <c r="AI76" s="372"/>
      <c r="AJ76" s="372"/>
      <c r="AK76" s="372"/>
      <c r="AL76" s="372"/>
      <c r="AM76" s="372"/>
    </row>
    <row r="77">
      <c r="A77" s="379" t="s">
        <v>432</v>
      </c>
      <c r="B77" s="379" t="str">
        <f t="array" ref="B77">if(len(A77)&lt;5,"-", iferror(Xlookup($A77,'Input WO'!$E:$E,'Input WO'!$F:$F),Xlookup($A77,'Input task'!$T:$T,'Input task'!$S:$S)
))</f>
        <v>myt_aungthin.mya</v>
      </c>
      <c r="C77" s="398" t="str">
        <f>IFERROR(__xludf.DUMMYFUNCTION("if(len($A77)&lt;5,""-"",iferror(TEXTJOIN("" |=***=| "",TRUE,filter('Input task'!$D:$D&amp;"" : ""&amp;'Input task'!$E:$E&amp;"" : ""&amp;'Input task'!$K:$K&amp;"" + ""&amp;'Input task'!$H:$H,'Input task'!$J:$J="""",'Input task'!$T:$T=$A77)),""No see""))"),"No see")</f>
        <v>No see</v>
      </c>
      <c r="D77" s="379" t="str">
        <f>IFERROR(__xludf.DUMMYFUNCTION("if(len($A77)&lt;5,""-"",iferror(TEXTJOIN("" |=***=| "",TRUE,FILTER(('Input WO'!$A:$A&amp;"" + ""&amp;'Input WO'!$B:$B&amp;"" : ""&amp;'Input WO'!$C:$C&amp;"" + ""&amp;'Input WO'!$F:$F),'Input WO'!$E:$E=$A77)),""No see""))"),"WO_QLCTKT_20260411_122972558 + TNI0319 MYT_Maintenance_Generator_Change_Oil - MYT_Maintenance_Generator_Change_Oil_Filter - MYT_Maintenance_Generator_Change_Fuel_Filter - MYT_Maintenance_Generator_Change_Air_Filter and Clean_Radiator - MYT_Checking qualit"&amp;"y for DG Fuel : -1840.95 + myt_aungthin.mya |=***=| WO_QLCTKT_20260516_123282934 + TNI0319 MYT_Maintenance_Generator_Change_Oil - MYT_Checking quality for DG Fuel : -1000.95 + myt_phyoko.ko44")</f>
        <v>WO_QLCTKT_20260411_122972558 + TNI0319 MYT_Maintenance_Generator_Change_Oil - MYT_Maintenance_Generator_Change_Oil_Filter - MYT_Maintenance_Generator_Change_Fuel_Filter - MYT_Maintenance_Generator_Change_Air_Filter and Clean_Radiator - MYT_Checking quality for DG Fuel : -1840.95 + myt_aungthin.mya |=***=| WO_QLCTKT_20260516_123282934 + TNI0319 MYT_Maintenance_Generator_Change_Oil - MYT_Checking quality for DG Fuel : -1000.95 + myt_phyoko.ko44</v>
      </c>
      <c r="E77" s="379"/>
      <c r="F77" s="372"/>
      <c r="G77" s="372"/>
      <c r="H77" s="372"/>
      <c r="I77" s="372"/>
      <c r="J77" s="372"/>
      <c r="K77" s="369"/>
      <c r="L77" s="369"/>
      <c r="M77" s="373"/>
      <c r="N77" s="369"/>
      <c r="O77" s="369"/>
      <c r="P77" s="374"/>
      <c r="Q77" s="372"/>
      <c r="R77" s="372"/>
      <c r="S77" s="372"/>
      <c r="T77" s="372"/>
      <c r="U77" s="372"/>
      <c r="V77" s="372"/>
      <c r="W77" s="372"/>
      <c r="X77" s="372"/>
      <c r="Y77" s="372"/>
      <c r="Z77" s="372"/>
      <c r="AA77" s="372"/>
      <c r="AB77" s="372"/>
      <c r="AC77" s="372"/>
      <c r="AD77" s="372"/>
      <c r="AE77" s="372"/>
      <c r="AF77" s="372"/>
      <c r="AG77" s="372"/>
      <c r="AH77" s="372"/>
      <c r="AI77" s="372"/>
      <c r="AJ77" s="372"/>
      <c r="AK77" s="372"/>
      <c r="AL77" s="372"/>
      <c r="AM77" s="372"/>
    </row>
    <row r="78">
      <c r="A78" s="379" t="s">
        <v>433</v>
      </c>
      <c r="B78" s="379" t="str">
        <f t="array" ref="B78">if(len(A78)&lt;5,"-", iferror(Xlookup($A78,'Input WO'!$E:$E,'Input WO'!$F:$F),Xlookup($A78,'Input task'!$T:$T,'Input task'!$S:$S)
))</f>
        <v>myt_aungthin.mya</v>
      </c>
      <c r="C78" s="398" t="str">
        <f>IFERROR(__xludf.DUMMYFUNCTION("if(len($A78)&lt;5,""-"",iferror(TEXTJOIN("" |=***=| "",TRUE,filter('Input task'!$D:$D&amp;"" : ""&amp;'Input task'!$E:$E&amp;"" : ""&amp;'Input task'!$K:$K&amp;"" + ""&amp;'Input task'!$H:$H,'Input task'!$J:$J="""",'Input task'!$T:$T=$A78)),""No see""))"),"No see")</f>
        <v>No see</v>
      </c>
      <c r="D78" s="379" t="str">
        <f>IFERROR(__xludf.DUMMYFUNCTION("if(len($A78)&lt;5,""-"",iferror(TEXTJOIN("" |=***=| "",TRUE,FILTER(('Input WO'!$A:$A&amp;"" + ""&amp;'Input WO'!$B:$B&amp;"" : ""&amp;'Input WO'!$C:$C&amp;"" + ""&amp;'Input WO'!$F:$F),'Input WO'!$E:$E=$A78)),""No see""))"),"WO_QLCTKT_20260411_122972238 + TNI0306 MYT_Maintenance_Generator_Change_Oil - MYT_Maintenance_Generator_Change_Oil_Filter - MYT_Maintenance_Generator_Change_Fuel_Filter - MYT_Maintenance_Generator_Change_Air_Filter and Clean_Radiator - MYT_Checking qualit"&amp;"y for DG Fuel : -1840.95 + myt_aungthin.mya")</f>
        <v>WO_QLCTKT_20260411_122972238 + TNI0306 MYT_Maintenance_Generator_Change_Oil - MYT_Maintenance_Generator_Change_Oil_Filter - MYT_Maintenance_Generator_Change_Fuel_Filter - MYT_Maintenance_Generator_Change_Air_Filter and Clean_Radiator - MYT_Checking quality for DG Fuel : -1840.95 + myt_aungthin.mya</v>
      </c>
      <c r="E78" s="379"/>
      <c r="F78" s="372"/>
      <c r="G78" s="372"/>
      <c r="H78" s="372"/>
      <c r="I78" s="372"/>
      <c r="J78" s="372"/>
      <c r="K78" s="369"/>
      <c r="L78" s="369"/>
      <c r="M78" s="373"/>
      <c r="N78" s="369"/>
      <c r="O78" s="369"/>
      <c r="P78" s="374"/>
      <c r="Q78" s="372"/>
      <c r="R78" s="372"/>
      <c r="S78" s="372"/>
      <c r="T78" s="372"/>
      <c r="U78" s="372"/>
      <c r="V78" s="372"/>
      <c r="W78" s="372"/>
      <c r="X78" s="372"/>
      <c r="Y78" s="372"/>
      <c r="Z78" s="372"/>
      <c r="AA78" s="372"/>
      <c r="AB78" s="372"/>
      <c r="AC78" s="372"/>
      <c r="AD78" s="372"/>
      <c r="AE78" s="372"/>
      <c r="AF78" s="372"/>
      <c r="AG78" s="372"/>
      <c r="AH78" s="372"/>
      <c r="AI78" s="372"/>
      <c r="AJ78" s="372"/>
      <c r="AK78" s="372"/>
      <c r="AL78" s="372"/>
      <c r="AM78" s="372"/>
    </row>
    <row r="79">
      <c r="A79" s="379" t="s">
        <v>434</v>
      </c>
      <c r="B79" s="379" t="str">
        <f t="array" ref="B79">if(len(A79)&lt;5,"-", iferror(Xlookup($A79,'Input WO'!$E:$E,'Input WO'!$F:$F),Xlookup($A79,'Input task'!$T:$T,'Input task'!$S:$S)
))</f>
        <v>myt_bhonehtet.aung</v>
      </c>
      <c r="C79" s="398" t="str">
        <f>IFERROR(__xludf.DUMMYFUNCTION("if(len($A79)&lt;5,""-"",iferror(TEXTJOIN("" |=***=| "",TRUE,filter('Input task'!$D:$D&amp;"" : ""&amp;'Input task'!$E:$E&amp;"" : ""&amp;'Input task'!$K:$K&amp;"" + ""&amp;'Input task'!$H:$H,'Input task'!$J:$J="""",'Input task'!$T:$T=$A79)),""No see""))"),"No see")</f>
        <v>No see</v>
      </c>
      <c r="D79" s="379" t="str">
        <f>IFERROR(__xludf.DUMMYFUNCTION("if(len($A79)&lt;5,""-"",iferror(TEXTJOIN("" |=***=| "",TRUE,FILTER(('Input WO'!$A:$A&amp;"" + ""&amp;'Input WO'!$B:$B&amp;"" : ""&amp;'Input WO'!$C:$C&amp;"" + ""&amp;'Input WO'!$F:$F),'Input WO'!$E:$E=$A79)),""No see""))"),"WO_WFM-OTHERS_20260625_123634106 + Cable Patrol for (AC)-TNI0115-TNI0275 : 439.03 + myt_bhonehtet.aung |=***=| WO_WFM-OTHERS_20260623_123613111 + Cable routes measure-AC-TNI0115-TNI0275 : 439.03 + myt_bonemyat.naing1 |=***=| WO_WFM-OTHERS_20260623_1236128"&amp;"96 + Cable routes measure-AC-TNI0115-TNI0275 : 439.03 + myt_bonemyat.naing1 |=***=| WO_ICMS_20260623_123614460 + TNI0115 MYT_Routine_Maintenance_Mytel_Station MYT_RTE_MTE_SB_STN : 886.64 + myt_paingaung.soe")</f>
        <v>WO_WFM-OTHERS_20260625_123634106 + Cable Patrol for (AC)-TNI0115-TNI0275 : 439.03 + myt_bhonehtet.aung |=***=| WO_WFM-OTHERS_20260623_123613111 + Cable routes measure-AC-TNI0115-TNI0275 : 439.03 + myt_bonemyat.naing1 |=***=| WO_WFM-OTHERS_20260623_123612896 + Cable routes measure-AC-TNI0115-TNI0275 : 439.03 + myt_bonemyat.naing1 |=***=| WO_ICMS_20260623_123614460 + TNI0115 MYT_Routine_Maintenance_Mytel_Station MYT_RTE_MTE_SB_STN : 886.64 + myt_paingaung.soe</v>
      </c>
      <c r="E79" s="379"/>
      <c r="F79" s="372"/>
      <c r="G79" s="372"/>
      <c r="H79" s="372"/>
      <c r="I79" s="372"/>
      <c r="J79" s="372"/>
      <c r="K79" s="369"/>
      <c r="L79" s="369"/>
      <c r="M79" s="373"/>
      <c r="N79" s="369"/>
      <c r="O79" s="369"/>
      <c r="P79" s="374"/>
      <c r="Q79" s="372"/>
      <c r="R79" s="372"/>
      <c r="S79" s="372"/>
      <c r="T79" s="372"/>
      <c r="U79" s="372"/>
      <c r="V79" s="372"/>
      <c r="W79" s="372"/>
      <c r="X79" s="372"/>
      <c r="Y79" s="372"/>
      <c r="Z79" s="372"/>
      <c r="AA79" s="372"/>
      <c r="AB79" s="372"/>
      <c r="AC79" s="372"/>
      <c r="AD79" s="372"/>
      <c r="AE79" s="372"/>
      <c r="AF79" s="372"/>
      <c r="AG79" s="372"/>
      <c r="AH79" s="372"/>
      <c r="AI79" s="372"/>
      <c r="AJ79" s="372"/>
      <c r="AK79" s="372"/>
      <c r="AL79" s="372"/>
      <c r="AM79" s="372"/>
    </row>
    <row r="80">
      <c r="A80" s="379" t="s">
        <v>435</v>
      </c>
      <c r="B80" s="379" t="str">
        <f t="array" ref="B80">if(len(A80)&lt;5,"-", iferror(Xlookup($A80,'Input WO'!$E:$E,'Input WO'!$F:$F),Xlookup($A80,'Input task'!$T:$T,'Input task'!$S:$S)
))</f>
        <v>myt_bhonehtet.aung</v>
      </c>
      <c r="C80" s="398" t="str">
        <f>IFERROR(__xludf.DUMMYFUNCTION("if(len($A80)&lt;5,""-"",iferror(TEXTJOIN("" |=***=| "",TRUE,filter('Input task'!$D:$D&amp;"" : ""&amp;'Input task'!$E:$E&amp;"" : ""&amp;'Input task'!$K:$K&amp;"" + ""&amp;'Input task'!$H:$H,'Input task'!$J:$J="""",'Input task'!$T:$T=$A80)),""No see""))"),"No see")</f>
        <v>No see</v>
      </c>
      <c r="D80" s="379" t="str">
        <f>IFERROR(__xludf.DUMMYFUNCTION("if(len($A80)&lt;5,""-"",iferror(TEXTJOIN("" |=***=| "",TRUE,FILTER(('Input WO'!$A:$A&amp;"" + ""&amp;'Input WO'!$B:$B&amp;"" : ""&amp;'Input WO'!$C:$C&amp;"" + ""&amp;'Input WO'!$F:$F),'Input WO'!$E:$E=$A80)),""No see""))"),"WO_ICMS_20260625_123632817 + Patrolling cable routes TNI0147-TNI0148_00, TNI0147 + null – TNI0148 + null : 545.66 + myt_bhonehtet.aung |=***=| WO_WFM-OTHERS_20260623_123613108 + Cable routes measure-AC-TNI0147-TNI0357 : 439.03 + myt_bhonehtet.aung |=***=|"&amp;" WO_WFM-OTHERS_20260623_123616208 + Cable Patrol for (AC)-TNI0147-TNI0357 : 439.03 + myt_bonemyat.naing1 |=***=| WO_WFM-OTHERS_20260623_123613100 + Cable routes measure-AC-TNI0147-TNI0148 : 439.03 + myt_bonemyat.naing1 |=***=| WO_WFM-OTHERS_20260623_12361"&amp;"2893 + Cable routes measure-AC-TNI0147-TNI0357 : 439.03 + myt_bonemyat.naing1 |=***=| WO_WFM-OTHERS_20260623_123612885 + Cable routes measure-AC-TNI0147-TNI0148 : 439.03 + myt_bonemyat.naing1")</f>
        <v>WO_ICMS_20260625_123632817 + Patrolling cable routes TNI0147-TNI0148_00, TNI0147 + null – TNI0148 + null : 545.66 + myt_bhonehtet.aung |=***=| WO_WFM-OTHERS_20260623_123613108 + Cable routes measure-AC-TNI0147-TNI0357 : 439.03 + myt_bhonehtet.aung |=***=| WO_WFM-OTHERS_20260623_123616208 + Cable Patrol for (AC)-TNI0147-TNI0357 : 439.03 + myt_bonemyat.naing1 |=***=| WO_WFM-OTHERS_20260623_123613100 + Cable routes measure-AC-TNI0147-TNI0148 : 439.03 + myt_bonemyat.naing1 |=***=| WO_WFM-OTHERS_20260623_123612893 + Cable routes measure-AC-TNI0147-TNI0357 : 439.03 + myt_bonemyat.naing1 |=***=| WO_WFM-OTHERS_20260623_123612885 + Cable routes measure-AC-TNI0147-TNI0148 : 439.03 + myt_bonemyat.naing1</v>
      </c>
      <c r="E80" s="379"/>
      <c r="F80" s="372"/>
      <c r="G80" s="372"/>
      <c r="H80" s="372"/>
      <c r="I80" s="372"/>
      <c r="J80" s="372"/>
      <c r="K80" s="369"/>
      <c r="L80" s="369"/>
      <c r="M80" s="373"/>
      <c r="N80" s="369"/>
      <c r="O80" s="369"/>
      <c r="P80" s="374"/>
      <c r="Q80" s="372"/>
      <c r="R80" s="372"/>
      <c r="S80" s="372"/>
      <c r="T80" s="372"/>
      <c r="U80" s="372"/>
      <c r="V80" s="372"/>
      <c r="W80" s="372"/>
      <c r="X80" s="372"/>
      <c r="Y80" s="372"/>
      <c r="Z80" s="372"/>
      <c r="AA80" s="372"/>
      <c r="AB80" s="372"/>
      <c r="AC80" s="372"/>
      <c r="AD80" s="372"/>
      <c r="AE80" s="372"/>
      <c r="AF80" s="372"/>
      <c r="AG80" s="372"/>
      <c r="AH80" s="372"/>
      <c r="AI80" s="372"/>
      <c r="AJ80" s="372"/>
      <c r="AK80" s="372"/>
      <c r="AL80" s="372"/>
      <c r="AM80" s="372"/>
    </row>
    <row r="81">
      <c r="A81" s="379" t="s">
        <v>436</v>
      </c>
      <c r="B81" s="379" t="str">
        <f t="array" ref="B81">if(len(A81)&lt;5,"-", iferror(Xlookup($A81,'Input WO'!$E:$E,'Input WO'!$F:$F),Xlookup($A81,'Input task'!$T:$T,'Input task'!$S:$S)
))</f>
        <v>myt_bhonehtet.aung</v>
      </c>
      <c r="C81" s="398" t="str">
        <f>IFERROR(__xludf.DUMMYFUNCTION("if(len($A81)&lt;5,""-"",iferror(TEXTJOIN("" |=***=| "",TRUE,filter('Input task'!$D:$D&amp;"" : ""&amp;'Input task'!$E:$E&amp;"" : ""&amp;'Input task'!$K:$K&amp;"" + ""&amp;'Input task'!$H:$H,'Input task'!$J:$J="""",'Input task'!$T:$T=$A81)),""No see""))"),"Rescue long time site/link down : Save TNI0148 long time site down &gt; 24 Hrs :  + Wait CD Receive task")</f>
        <v>Rescue long time site/link down : Save TNI0148 long time site down &gt; 24 Hrs :  + Wait CD Receive task</v>
      </c>
      <c r="D81" s="379" t="str">
        <f>IFERROR(__xludf.DUMMYFUNCTION("if(len($A81)&lt;5,""-"",iferror(TEXTJOIN("" |=***=| "",TRUE,FILTER(('Input WO'!$A:$A&amp;"" + ""&amp;'Input WO'!$B:$B&amp;"" : ""&amp;'Input WO'!$C:$C&amp;"" + ""&amp;'Input WO'!$F:$F),'Input WO'!$E:$E=$A81)),""No see""))"),"WO_ICMS_20260625_123632741 + Patrolling cable routes TNI0148-TNI0150_00, TNI0148 + null – TNI0150 + null : 545.66 + myt_bhonehtet.aung |=***=| WO_WFM-OTHERS_20260623_123613103 + Cable routes measure-AC-TNI0148-TNI0150 : 439.03 + myt_bonemyat.naing1 |=***="&amp;"| WO_WFM-OTHERS_20260623_123612888 + Cable routes measure-AC-TNI0148-TNI0150 : 439.03 + myt_bonemyat.naing1")</f>
        <v>WO_ICMS_20260625_123632741 + Patrolling cable routes TNI0148-TNI0150_00, TNI0148 + null – TNI0150 + null : 545.66 + myt_bhonehtet.aung |=***=| WO_WFM-OTHERS_20260623_123613103 + Cable routes measure-AC-TNI0148-TNI0150 : 439.03 + myt_bonemyat.naing1 |=***=| WO_WFM-OTHERS_20260623_123612888 + Cable routes measure-AC-TNI0148-TNI0150 : 439.03 + myt_bonemyat.naing1</v>
      </c>
      <c r="E81" s="379"/>
      <c r="F81" s="372"/>
      <c r="G81" s="372"/>
      <c r="H81" s="372"/>
      <c r="I81" s="372"/>
      <c r="J81" s="372"/>
      <c r="K81" s="369"/>
      <c r="L81" s="369"/>
      <c r="M81" s="373"/>
      <c r="N81" s="369"/>
      <c r="O81" s="369"/>
      <c r="P81" s="374"/>
      <c r="Q81" s="372"/>
      <c r="R81" s="372"/>
      <c r="S81" s="372"/>
      <c r="T81" s="372"/>
      <c r="U81" s="372"/>
      <c r="V81" s="372"/>
      <c r="W81" s="372"/>
      <c r="X81" s="372"/>
      <c r="Y81" s="372"/>
      <c r="Z81" s="372"/>
      <c r="AA81" s="372"/>
      <c r="AB81" s="372"/>
      <c r="AC81" s="372"/>
      <c r="AD81" s="372"/>
      <c r="AE81" s="372"/>
      <c r="AF81" s="372"/>
      <c r="AG81" s="372"/>
      <c r="AH81" s="372"/>
      <c r="AI81" s="372"/>
      <c r="AJ81" s="372"/>
      <c r="AK81" s="372"/>
      <c r="AL81" s="372"/>
      <c r="AM81" s="372"/>
    </row>
    <row r="82">
      <c r="A82" s="379" t="s">
        <v>437</v>
      </c>
      <c r="B82" s="379" t="str">
        <f t="array" ref="B82">if(len(A82)&lt;5,"-", iferror(Xlookup($A82,'Input WO'!$E:$E,'Input WO'!$F:$F),Xlookup($A82,'Input task'!$T:$T,'Input task'!$S:$S)
))</f>
        <v>myt_bhonehtet.aung</v>
      </c>
      <c r="C82" s="398" t="str">
        <f>IFERROR(__xludf.DUMMYFUNCTION("if(len($A82)&lt;5,""-"",iferror(TEXTJOIN("" |=***=| "",TRUE,filter('Input task'!$D:$D&amp;"" : ""&amp;'Input task'!$E:$E&amp;"" : ""&amp;'Input task'!$K:$K&amp;"" + ""&amp;'Input task'!$H:$H,'Input task'!$J:$J="""",'Input task'!$T:$T=$A82)),""No see""))"),"No see")</f>
        <v>No see</v>
      </c>
      <c r="D82" s="379" t="str">
        <f>IFERROR(__xludf.DUMMYFUNCTION("if(len($A82)&lt;5,""-"",iferror(TEXTJOIN("" |=***=| "",TRUE,FILTER(('Input WO'!$A:$A&amp;"" + ""&amp;'Input WO'!$B:$B&amp;"" : ""&amp;'Input WO'!$C:$C&amp;"" + ""&amp;'Input WO'!$F:$F),'Input WO'!$E:$E=$A82)),""No see""))"),"WO_WFM-OTHERS_20260623_123613113 + Cable routes measure-AC-TNI0319-JB(TNI0005-TNI0013) : 439.03 + myt_bhonehtet.aung |=***=| WO_WFM-OTHERS_20260623_123616211 + Cable Patrol for (AC)-TNI0319-JB(TNI0005-TNI0013) : 439.03 + myt_bonemyat.naing1 |=***=| WO_WFM"&amp;"-OTHERS_20260623_123612898 + Cable routes measure-AC-TNI0319-JB(TNI0005-TNI0013) : 439.03 + myt_bonemyat.naing1")</f>
        <v>WO_WFM-OTHERS_20260623_123613113 + Cable routes measure-AC-TNI0319-JB(TNI0005-TNI0013) : 439.03 + myt_bhonehtet.aung |=***=| WO_WFM-OTHERS_20260623_123616211 + Cable Patrol for (AC)-TNI0319-JB(TNI0005-TNI0013) : 439.03 + myt_bonemyat.naing1 |=***=| WO_WFM-OTHERS_20260623_123612898 + Cable routes measure-AC-TNI0319-JB(TNI0005-TNI0013) : 439.03 + myt_bonemyat.naing1</v>
      </c>
      <c r="E82" s="379"/>
      <c r="F82" s="372"/>
      <c r="G82" s="372"/>
      <c r="H82" s="372"/>
      <c r="I82" s="372"/>
      <c r="J82" s="372"/>
      <c r="K82" s="369"/>
      <c r="L82" s="369"/>
      <c r="M82" s="373"/>
      <c r="N82" s="369"/>
      <c r="O82" s="369"/>
      <c r="P82" s="374"/>
      <c r="Q82" s="372"/>
      <c r="R82" s="372"/>
      <c r="S82" s="372"/>
      <c r="T82" s="372"/>
      <c r="U82" s="372"/>
      <c r="V82" s="372"/>
      <c r="W82" s="372"/>
      <c r="X82" s="372"/>
      <c r="Y82" s="372"/>
      <c r="Z82" s="372"/>
      <c r="AA82" s="372"/>
      <c r="AB82" s="372"/>
      <c r="AC82" s="372"/>
      <c r="AD82" s="372"/>
      <c r="AE82" s="372"/>
      <c r="AF82" s="372"/>
      <c r="AG82" s="372"/>
      <c r="AH82" s="372"/>
      <c r="AI82" s="372"/>
      <c r="AJ82" s="372"/>
      <c r="AK82" s="372"/>
      <c r="AL82" s="372"/>
      <c r="AM82" s="372"/>
    </row>
    <row r="83">
      <c r="A83" s="379" t="s">
        <v>158</v>
      </c>
      <c r="B83" s="379" t="str">
        <f t="array" ref="B83">if(len(A83)&lt;5,"-", iferror(Xlookup($A83,'Input WO'!$E:$E,'Input WO'!$F:$F),Xlookup($A83,'Input task'!$T:$T,'Input task'!$S:$S)
))</f>
        <v>myt_bhonehtet.aung</v>
      </c>
      <c r="C83" s="398" t="str">
        <f>IFERROR(__xludf.DUMMYFUNCTION("if(len($A83)&lt;5,""-"",iferror(TEXTJOIN("" |=***=| "",TRUE,filter('Input task'!$D:$D&amp;"" : ""&amp;'Input task'!$E:$E&amp;"" : ""&amp;'Input task'!$K:$K&amp;"" + ""&amp;'Input task'!$H:$H,'Input task'!$J:$J="""",'Input task'!$T:$T=$A83)),""No see""))"),"No see")</f>
        <v>No see</v>
      </c>
      <c r="D83" s="379" t="str">
        <f>IFERROR(__xludf.DUMMYFUNCTION("if(len($A83)&lt;5,""-"",iferror(TEXTJOIN("" |=***=| "",TRUE,FILTER(('Input WO'!$A:$A&amp;"" + ""&amp;'Input WO'!$B:$B&amp;"" : ""&amp;'Input WO'!$C:$C&amp;"" + ""&amp;'Input WO'!$F:$F),'Input WO'!$E:$E=$A83)),""No see""))"),"WO_ICMS_20260623_123611289 + TNI0061 MYT_Routine_Maintenance_Towerco_Station MYT_RTE_MTE_TCO_STN : 882.55 + myt_bhonehtet.aung")</f>
        <v>WO_ICMS_20260623_123611289 + TNI0061 MYT_Routine_Maintenance_Towerco_Station MYT_RTE_MTE_TCO_STN : 882.55 + myt_bhonehtet.aung</v>
      </c>
      <c r="E83" s="379"/>
      <c r="F83" s="372"/>
      <c r="G83" s="372"/>
      <c r="H83" s="372"/>
      <c r="I83" s="372"/>
      <c r="J83" s="372"/>
      <c r="K83" s="369"/>
      <c r="L83" s="369"/>
      <c r="M83" s="373"/>
      <c r="N83" s="369"/>
      <c r="O83" s="369"/>
      <c r="P83" s="374"/>
      <c r="Q83" s="372"/>
      <c r="R83" s="372"/>
      <c r="S83" s="372"/>
      <c r="T83" s="372"/>
      <c r="U83" s="372"/>
      <c r="V83" s="372"/>
      <c r="W83" s="372"/>
      <c r="X83" s="372"/>
      <c r="Y83" s="372"/>
      <c r="Z83" s="372"/>
      <c r="AA83" s="372"/>
      <c r="AB83" s="372"/>
      <c r="AC83" s="372"/>
      <c r="AD83" s="372"/>
      <c r="AE83" s="372"/>
      <c r="AF83" s="372"/>
      <c r="AG83" s="372"/>
      <c r="AH83" s="372"/>
      <c r="AI83" s="372"/>
      <c r="AJ83" s="372"/>
      <c r="AK83" s="372"/>
      <c r="AL83" s="372"/>
      <c r="AM83" s="372"/>
    </row>
    <row r="84">
      <c r="A84" s="379" t="s">
        <v>438</v>
      </c>
      <c r="B84" s="379" t="str">
        <f t="array" ref="B84">if(len(A84)&lt;5,"-", iferror(Xlookup($A84,'Input WO'!$E:$E,'Input WO'!$F:$F),Xlookup($A84,'Input task'!$T:$T,'Input task'!$S:$S)
))</f>
        <v>myt_bhonehtet.aung</v>
      </c>
      <c r="C84" s="398" t="str">
        <f>IFERROR(__xludf.DUMMYFUNCTION("if(len($A84)&lt;5,""-"",iferror(TEXTJOIN("" |=***=| "",TRUE,filter('Input task'!$D:$D&amp;"" : ""&amp;'Input task'!$E:$E&amp;"" : ""&amp;'Input task'!$K:$K&amp;"" + ""&amp;'Input task'!$H:$H,'Input task'!$J:$J="""",'Input task'!$T:$T=$A84)),""No see""))"),"No see")</f>
        <v>No see</v>
      </c>
      <c r="D84" s="379" t="str">
        <f>IFERROR(__xludf.DUMMYFUNCTION("if(len($A84)&lt;5,""-"",iferror(TEXTJOIN("" |=***=| "",TRUE,FILTER(('Input WO'!$A:$A&amp;"" + ""&amp;'Input WO'!$B:$B&amp;"" : ""&amp;'Input WO'!$C:$C&amp;"" + ""&amp;'Input WO'!$F:$F),'Input WO'!$E:$E=$A84)),""No see""))"),"WO_ICMS_20260623_123611281 + TNI0170 MYT_Routine_Maintenance_Towerco_Station MYT_RTE_MTE_TCO_STN : 882.55 + myt_bhonehtet.aung |=***=| WO_WFM-OTHERS_20260622_123603015 + TNI0170_Cleaning Radiator and change engine oil : -41.95 + myt_bonemyat.naing1")</f>
        <v>WO_ICMS_20260623_123611281 + TNI0170 MYT_Routine_Maintenance_Towerco_Station MYT_RTE_MTE_TCO_STN : 882.55 + myt_bhonehtet.aung |=***=| WO_WFM-OTHERS_20260622_123603015 + TNI0170_Cleaning Radiator and change engine oil : -41.95 + myt_bonemyat.naing1</v>
      </c>
      <c r="E84" s="379"/>
      <c r="F84" s="372"/>
      <c r="G84" s="372"/>
      <c r="H84" s="372"/>
      <c r="I84" s="372"/>
      <c r="J84" s="372"/>
      <c r="K84" s="369"/>
      <c r="L84" s="369"/>
      <c r="M84" s="373"/>
      <c r="N84" s="369"/>
      <c r="O84" s="369"/>
      <c r="P84" s="374"/>
      <c r="Q84" s="372"/>
      <c r="R84" s="372"/>
      <c r="S84" s="372"/>
      <c r="T84" s="372"/>
      <c r="U84" s="372"/>
      <c r="V84" s="372"/>
      <c r="W84" s="372"/>
      <c r="X84" s="372"/>
      <c r="Y84" s="372"/>
      <c r="Z84" s="372"/>
      <c r="AA84" s="372"/>
      <c r="AB84" s="372"/>
      <c r="AC84" s="372"/>
      <c r="AD84" s="372"/>
      <c r="AE84" s="372"/>
      <c r="AF84" s="372"/>
      <c r="AG84" s="372"/>
      <c r="AH84" s="372"/>
      <c r="AI84" s="372"/>
      <c r="AJ84" s="372"/>
      <c r="AK84" s="372"/>
      <c r="AL84" s="372"/>
      <c r="AM84" s="372"/>
    </row>
    <row r="85">
      <c r="A85" s="379" t="s">
        <v>157</v>
      </c>
      <c r="B85" s="379" t="str">
        <f t="array" ref="B85">if(len(A85)&lt;5,"-", iferror(Xlookup($A85,'Input WO'!$E:$E,'Input WO'!$F:$F),Xlookup($A85,'Input task'!$T:$T,'Input task'!$S:$S)
))</f>
        <v>myt_bhonehtet.aung</v>
      </c>
      <c r="C85" s="398" t="str">
        <f>IFERROR(__xludf.DUMMYFUNCTION("if(len($A85)&lt;5,""-"",iferror(TEXTJOIN("" |=***=| "",TRUE,filter('Input task'!$D:$D&amp;"" : ""&amp;'Input task'!$E:$E&amp;"" : ""&amp;'Input task'!$K:$K&amp;"" + ""&amp;'Input task'!$H:$H,'Input task'!$J:$J="""",'Input task'!$T:$T=$A85)),""No see""))"),"Fixing Fuel Level Monitoring : TNI0071 Need to fix fuel level cannot monitoring at NMS. :  + ")</f>
        <v>Fixing Fuel Level Monitoring : TNI0071 Need to fix fuel level cannot monitoring at NMS. :  + </v>
      </c>
      <c r="D85" s="379" t="str">
        <f>IFERROR(__xludf.DUMMYFUNCTION("if(len($A85)&lt;5,""-"",iferror(TEXTJOIN("" |=***=| "",TRUE,FILTER(('Input WO'!$A:$A&amp;"" + ""&amp;'Input WO'!$B:$B&amp;"" : ""&amp;'Input WO'!$C:$C&amp;"" + ""&amp;'Input WO'!$F:$F),'Input WO'!$E:$E=$A85)),""No see""))"),"WO_WFM-OTHERS_20260622_123602893 + TNI0071_Cleaning Radiator and change engine oil : -41.95 + myt_bhonehtet.aung |=***=| WO_QLCTKT_20260529_123389605 + TNI0071 MYT_Routine_Maintenance_Mytel_Station_VCM : 223.05 + myt_bonemyat.naing1")</f>
        <v>WO_WFM-OTHERS_20260622_123602893 + TNI0071_Cleaning Radiator and change engine oil : -41.95 + myt_bhonehtet.aung |=***=| WO_QLCTKT_20260529_123389605 + TNI0071 MYT_Routine_Maintenance_Mytel_Station_VCM : 223.05 + myt_bonemyat.naing1</v>
      </c>
      <c r="E85" s="379"/>
      <c r="F85" s="372"/>
      <c r="G85" s="372"/>
      <c r="H85" s="372"/>
      <c r="I85" s="372"/>
      <c r="J85" s="372"/>
      <c r="K85" s="369"/>
      <c r="L85" s="369"/>
      <c r="M85" s="373"/>
      <c r="N85" s="369"/>
      <c r="O85" s="369"/>
      <c r="P85" s="374"/>
      <c r="Q85" s="372"/>
      <c r="R85" s="372"/>
      <c r="S85" s="372"/>
      <c r="T85" s="372"/>
      <c r="U85" s="372"/>
      <c r="V85" s="372"/>
      <c r="W85" s="372"/>
      <c r="X85" s="372"/>
      <c r="Y85" s="372"/>
      <c r="Z85" s="372"/>
      <c r="AA85" s="372"/>
      <c r="AB85" s="372"/>
      <c r="AC85" s="372"/>
      <c r="AD85" s="372"/>
      <c r="AE85" s="372"/>
      <c r="AF85" s="372"/>
      <c r="AG85" s="372"/>
      <c r="AH85" s="372"/>
      <c r="AI85" s="372"/>
      <c r="AJ85" s="372"/>
      <c r="AK85" s="372"/>
      <c r="AL85" s="372"/>
      <c r="AM85" s="372"/>
    </row>
    <row r="86">
      <c r="A86" s="379" t="s">
        <v>439</v>
      </c>
      <c r="B86" s="379" t="str">
        <f t="array" ref="B86">if(len(A86)&lt;5,"-", iferror(Xlookup($A86,'Input WO'!$E:$E,'Input WO'!$F:$F),Xlookup($A86,'Input task'!$T:$T,'Input task'!$S:$S)
))</f>
        <v>myt_bhonehtet.aung</v>
      </c>
      <c r="C86" s="398" t="str">
        <f>IFERROR(__xludf.DUMMYFUNCTION("if(len($A86)&lt;5,""-"",iferror(TEXTJOIN("" |=***=| "",TRUE,filter('Input task'!$D:$D&amp;"" : ""&amp;'Input task'!$E:$E&amp;"" : ""&amp;'Input task'!$K:$K&amp;"" + ""&amp;'Input task'!$H:$H,'Input task'!$J:$J="""",'Input task'!$T:$T=$A86)),""No see""))"),"PVC PLAN : TNI0058 need to cover pvc pipe :  + ")</f>
        <v>PVC PLAN : TNI0058 need to cover pvc pipe :  + </v>
      </c>
      <c r="D86" s="379" t="str">
        <f>IFERROR(__xludf.DUMMYFUNCTION("if(len($A86)&lt;5,""-"",iferror(TEXTJOIN("" |=***=| "",TRUE,FILTER(('Input WO'!$A:$A&amp;"" + ""&amp;'Input WO'!$B:$B&amp;"" : ""&amp;'Input WO'!$C:$C&amp;"" + ""&amp;'Input WO'!$F:$F),'Input WO'!$E:$E=$A86)),""No see""))"),"WO_WFM-OTHERS_20260622_123602876 + TNI0058_Cleaning Radiator and change engine oil : -41.95 + myt_bhonehtet.aung |=***=| WO_QLCTKT_20260529_123389526 + TNI0058 MYT_Routine_Maintenance_Mytel_Station_VCM : 223.05 + myt_bhonehtet.aung")</f>
        <v>WO_WFM-OTHERS_20260622_123602876 + TNI0058_Cleaning Radiator and change engine oil : -41.95 + myt_bhonehtet.aung |=***=| WO_QLCTKT_20260529_123389526 + TNI0058 MYT_Routine_Maintenance_Mytel_Station_VCM : 223.05 + myt_bhonehtet.aung</v>
      </c>
      <c r="E86" s="379"/>
      <c r="F86" s="372"/>
      <c r="G86" s="372"/>
      <c r="H86" s="372"/>
      <c r="I86" s="372"/>
      <c r="J86" s="372"/>
      <c r="K86" s="369"/>
      <c r="L86" s="369"/>
      <c r="M86" s="373"/>
      <c r="N86" s="369"/>
      <c r="O86" s="369"/>
      <c r="P86" s="374"/>
      <c r="Q86" s="372"/>
      <c r="R86" s="372"/>
      <c r="S86" s="372"/>
      <c r="T86" s="372"/>
      <c r="U86" s="372"/>
      <c r="V86" s="372"/>
      <c r="W86" s="372"/>
      <c r="X86" s="372"/>
      <c r="Y86" s="372"/>
      <c r="Z86" s="372"/>
      <c r="AA86" s="372"/>
      <c r="AB86" s="372"/>
      <c r="AC86" s="372"/>
      <c r="AD86" s="372"/>
      <c r="AE86" s="372"/>
      <c r="AF86" s="372"/>
      <c r="AG86" s="372"/>
      <c r="AH86" s="372"/>
      <c r="AI86" s="372"/>
      <c r="AJ86" s="372"/>
      <c r="AK86" s="372"/>
      <c r="AL86" s="372"/>
      <c r="AM86" s="372"/>
    </row>
    <row r="87">
      <c r="A87" s="379" t="s">
        <v>440</v>
      </c>
      <c r="B87" s="379" t="str">
        <f t="array" ref="B87">if(len(A87)&lt;5,"-", iferror(Xlookup($A87,'Input WO'!$E:$E,'Input WO'!$F:$F),Xlookup($A87,'Input task'!$T:$T,'Input task'!$S:$S)
))</f>
        <v>myt_bhonehtet.aung</v>
      </c>
      <c r="C87" s="398" t="str">
        <f>IFERROR(__xludf.DUMMYFUNCTION("if(len($A87)&lt;5,""-"",iferror(TEXTJOIN("" |=***=| "",TRUE,filter('Input task'!$D:$D&amp;"" : ""&amp;'Input task'!$E:$E&amp;"" : ""&amp;'Input task'!$K:$K&amp;"" + ""&amp;'Input task'!$H:$H,'Input task'!$J:$J="""",'Input task'!$T:$T=$A87)),""No see""))"),"PVC PLAN : TNI0050 need to cover pvc pipe :  + ")</f>
        <v>PVC PLAN : TNI0050 need to cover pvc pipe :  + </v>
      </c>
      <c r="D87" s="379" t="str">
        <f>IFERROR(__xludf.DUMMYFUNCTION("if(len($A87)&lt;5,""-"",iferror(TEXTJOIN("" |=***=| "",TRUE,FILTER(('Input WO'!$A:$A&amp;"" + ""&amp;'Input WO'!$B:$B&amp;"" : ""&amp;'Input WO'!$C:$C&amp;"" + ""&amp;'Input WO'!$F:$F),'Input WO'!$E:$E=$A87)),""No see""))"),"WO_WFM-OTHERS_20260622_123602859 + TNI0050_Cleaning Radiator and change engine oil : -41.95 + myt_bhonehtet.aung |=***=| WO_QLCTKT_20260529_123389460 + TNI0050 MYT_Routine_Maintenance_Mytel_Station_VCM : 223.05 + myt_bhonehtet.aung")</f>
        <v>WO_WFM-OTHERS_20260622_123602859 + TNI0050_Cleaning Radiator and change engine oil : -41.95 + myt_bhonehtet.aung |=***=| WO_QLCTKT_20260529_123389460 + TNI0050 MYT_Routine_Maintenance_Mytel_Station_VCM : 223.05 + myt_bhonehtet.aung</v>
      </c>
      <c r="E87" s="379"/>
      <c r="F87" s="372"/>
      <c r="G87" s="372"/>
      <c r="H87" s="372"/>
      <c r="I87" s="372"/>
      <c r="J87" s="372"/>
      <c r="K87" s="369"/>
      <c r="L87" s="369"/>
      <c r="M87" s="373"/>
      <c r="N87" s="369"/>
      <c r="O87" s="369"/>
      <c r="P87" s="374"/>
      <c r="Q87" s="372"/>
      <c r="R87" s="372"/>
      <c r="S87" s="372"/>
      <c r="T87" s="372"/>
      <c r="U87" s="372"/>
      <c r="V87" s="372"/>
      <c r="W87" s="372"/>
      <c r="X87" s="372"/>
      <c r="Y87" s="372"/>
      <c r="Z87" s="372"/>
      <c r="AA87" s="372"/>
      <c r="AB87" s="372"/>
      <c r="AC87" s="372"/>
      <c r="AD87" s="372"/>
      <c r="AE87" s="372"/>
      <c r="AF87" s="372"/>
      <c r="AG87" s="372"/>
      <c r="AH87" s="372"/>
      <c r="AI87" s="372"/>
      <c r="AJ87" s="372"/>
      <c r="AK87" s="372"/>
      <c r="AL87" s="372"/>
      <c r="AM87" s="372"/>
    </row>
    <row r="88">
      <c r="A88" s="379" t="s">
        <v>441</v>
      </c>
      <c r="B88" s="379" t="str">
        <f t="array" ref="B88">if(len(A88)&lt;5,"-", iferror(Xlookup($A88,'Input WO'!$E:$E,'Input WO'!$F:$F),Xlookup($A88,'Input task'!$T:$T,'Input task'!$S:$S)
))</f>
        <v>myt_bhonehtet.aung</v>
      </c>
      <c r="C88" s="398" t="str">
        <f>IFERROR(__xludf.DUMMYFUNCTION("if(len($A88)&lt;5,""-"",iferror(TEXTJOIN("" |=***=| "",TRUE,filter('Input task'!$D:$D&amp;"" : ""&amp;'Input task'!$E:$E&amp;"" : ""&amp;'Input task'!$K:$K&amp;"" + ""&amp;'Input task'!$H:$H,'Input task'!$J:$J="""",'Input task'!$T:$T=$A88)),""No see""))"),"Fixing Fuel Level Monitoring : TNI0018 Need to fix fuel level cannot monitoring at NMS. :  + ")</f>
        <v>Fixing Fuel Level Monitoring : TNI0018 Need to fix fuel level cannot monitoring at NMS. :  + </v>
      </c>
      <c r="D88" s="379" t="str">
        <f>IFERROR(__xludf.DUMMYFUNCTION("if(len($A88)&lt;5,""-"",iferror(TEXTJOIN("" |=***=| "",TRUE,FILTER(('Input WO'!$A:$A&amp;"" + ""&amp;'Input WO'!$B:$B&amp;"" : ""&amp;'Input WO'!$C:$C&amp;"" + ""&amp;'Input WO'!$F:$F),'Input WO'!$E:$E=$A88)),""No see""))"),"WO_WFM-OTHERS_20260622_123602715 + TNI0018_Cleaning Radiator and change engine oil : -41.95 + myt_bhonehtet.aung |=***=| WO_ICMS_20260623_123611327 + TNI0018 MYT_Routine_Maintenance_Towerco_Station MYT_RTE_MTE_TCO_STN : 882.55 + myt_phyoko.ko44")</f>
        <v>WO_WFM-OTHERS_20260622_123602715 + TNI0018_Cleaning Radiator and change engine oil : -41.95 + myt_bhonehtet.aung |=***=| WO_ICMS_20260623_123611327 + TNI0018 MYT_Routine_Maintenance_Towerco_Station MYT_RTE_MTE_TCO_STN : 882.55 + myt_phyoko.ko44</v>
      </c>
      <c r="E88" s="379"/>
      <c r="F88" s="372"/>
      <c r="G88" s="372"/>
      <c r="H88" s="372"/>
      <c r="I88" s="372"/>
      <c r="J88" s="372"/>
      <c r="K88" s="369"/>
      <c r="L88" s="369"/>
      <c r="M88" s="373"/>
      <c r="N88" s="369"/>
      <c r="O88" s="369"/>
      <c r="P88" s="374"/>
      <c r="Q88" s="372"/>
      <c r="R88" s="372"/>
      <c r="S88" s="372"/>
      <c r="T88" s="372"/>
      <c r="U88" s="372"/>
      <c r="V88" s="372"/>
      <c r="W88" s="372"/>
      <c r="X88" s="372"/>
      <c r="Y88" s="372"/>
      <c r="Z88" s="372"/>
      <c r="AA88" s="372"/>
      <c r="AB88" s="372"/>
      <c r="AC88" s="372"/>
      <c r="AD88" s="372"/>
      <c r="AE88" s="372"/>
      <c r="AF88" s="372"/>
      <c r="AG88" s="372"/>
      <c r="AH88" s="372"/>
      <c r="AI88" s="372"/>
      <c r="AJ88" s="372"/>
      <c r="AK88" s="372"/>
      <c r="AL88" s="372"/>
      <c r="AM88" s="372"/>
    </row>
    <row r="89">
      <c r="A89" s="379" t="s">
        <v>442</v>
      </c>
      <c r="B89" s="379" t="str">
        <f t="array" ref="B89">if(len(A89)&lt;5,"-", iferror(Xlookup($A89,'Input WO'!$E:$E,'Input WO'!$F:$F),Xlookup($A89,'Input task'!$T:$T,'Input task'!$S:$S)
))</f>
        <v>myt_bhonehtet.aung</v>
      </c>
      <c r="C89" s="398" t="str">
        <f>IFERROR(__xludf.DUMMYFUNCTION("if(len($A89)&lt;5,""-"",iferror(TEXTJOIN("" |=***=| "",TRUE,filter('Input task'!$D:$D&amp;"" : ""&amp;'Input task'!$E:$E&amp;"" : ""&amp;'Input task'!$K:$K&amp;"" + ""&amp;'Input task'!$H:$H,'Input task'!$J:$J="""",'Input task'!$T:$T=$A89)),""No see""))"),"No see")</f>
        <v>No see</v>
      </c>
      <c r="D89" s="379" t="str">
        <f>IFERROR(__xludf.DUMMYFUNCTION("if(len($A89)&lt;5,""-"",iferror(TEXTJOIN("" |=***=| "",TRUE,FILTER(('Input WO'!$A:$A&amp;"" + ""&amp;'Input WO'!$B:$B&amp;"" : ""&amp;'Input WO'!$C:$C&amp;"" + ""&amp;'Input WO'!$F:$F),'Input WO'!$E:$E=$A89)),""No see""))"),"WO_QLCTKT_20260605_123449662 + TNI0271 - Sửa chữa hạ tầng mạng lưới - bla: Prevent insect, mause, squirrel attack: Cover all cable hole , gaps of room, door, cabinet, ODF : -581.76 + myt_bhonehtet.aung")</f>
        <v>WO_QLCTKT_20260605_123449662 + TNI0271 - Sửa chữa hạ tầng mạng lưới - bla: Prevent insect, mause, squirrel attack: Cover all cable hole , gaps of room, door, cabinet, ODF : -581.76 + myt_bhonehtet.aung</v>
      </c>
      <c r="E89" s="379"/>
      <c r="F89" s="372"/>
      <c r="G89" s="372"/>
      <c r="H89" s="372"/>
      <c r="I89" s="372"/>
      <c r="J89" s="372"/>
      <c r="K89" s="369"/>
      <c r="L89" s="369"/>
      <c r="M89" s="373"/>
      <c r="N89" s="369"/>
      <c r="O89" s="369"/>
      <c r="P89" s="374"/>
      <c r="Q89" s="372"/>
      <c r="R89" s="372"/>
      <c r="S89" s="372"/>
      <c r="T89" s="372"/>
      <c r="U89" s="372"/>
      <c r="V89" s="372"/>
      <c r="W89" s="372"/>
      <c r="X89" s="372"/>
      <c r="Y89" s="372"/>
      <c r="Z89" s="372"/>
      <c r="AA89" s="372"/>
      <c r="AB89" s="372"/>
      <c r="AC89" s="372"/>
      <c r="AD89" s="372"/>
      <c r="AE89" s="372"/>
      <c r="AF89" s="372"/>
      <c r="AG89" s="372"/>
      <c r="AH89" s="372"/>
      <c r="AI89" s="372"/>
      <c r="AJ89" s="372"/>
      <c r="AK89" s="372"/>
      <c r="AL89" s="372"/>
      <c r="AM89" s="372"/>
    </row>
    <row r="90">
      <c r="A90" s="379" t="s">
        <v>443</v>
      </c>
      <c r="B90" s="379" t="str">
        <f t="array" ref="B90">if(len(A90)&lt;5,"-", iferror(Xlookup($A90,'Input WO'!$E:$E,'Input WO'!$F:$F),Xlookup($A90,'Input task'!$T:$T,'Input task'!$S:$S)
))</f>
        <v>myt_bhonehtet.aung</v>
      </c>
      <c r="C90" s="398" t="str">
        <f>IFERROR(__xludf.DUMMYFUNCTION("if(len($A90)&lt;5,""-"",iferror(TEXTJOIN("" |=***=| "",TRUE,filter('Input task'!$D:$D&amp;"" : ""&amp;'Input task'!$E:$E&amp;"" : ""&amp;'Input task'!$K:$K&amp;"" + ""&amp;'Input task'!$H:$H,'Input task'!$J:$J="""",'Input task'!$T:$T=$A90)),""No see""))"),"Return to send Branch Office : TNI0070 Recall PU : 1 Pcs Serial: 219561075430 :  + ")</f>
        <v>Return to send Branch Office : TNI0070 Recall PU : 1 Pcs Serial: 219561075430 :  + </v>
      </c>
      <c r="D90" s="379" t="str">
        <f>IFERROR(__xludf.DUMMYFUNCTION("if(len($A90)&lt;5,""-"",iferror(TEXTJOIN("" |=***=| "",TRUE,FILTER(('Input WO'!$A:$A&amp;"" + ""&amp;'Input WO'!$B:$B&amp;"" : ""&amp;'Input WO'!$C:$C&amp;"" + ""&amp;'Input WO'!$F:$F),'Input WO'!$E:$E=$A90)),""No see""))"),"WO_QLCTKT_20260529_123389547 + TNI0070 MYT_Routine_Maintenance_Mytel_Station_VCM : 223.05 + myt_bhonehtet.aung")</f>
        <v>WO_QLCTKT_20260529_123389547 + TNI0070 MYT_Routine_Maintenance_Mytel_Station_VCM : 223.05 + myt_bhonehtet.aung</v>
      </c>
      <c r="E90" s="379"/>
      <c r="F90" s="372"/>
      <c r="G90" s="372"/>
      <c r="H90" s="372"/>
      <c r="I90" s="372"/>
      <c r="J90" s="372"/>
      <c r="K90" s="369"/>
      <c r="L90" s="369"/>
      <c r="M90" s="373"/>
      <c r="N90" s="369"/>
      <c r="O90" s="369"/>
      <c r="P90" s="374"/>
      <c r="Q90" s="372"/>
      <c r="R90" s="372"/>
      <c r="S90" s="372"/>
      <c r="T90" s="372"/>
      <c r="U90" s="372"/>
      <c r="V90" s="372"/>
      <c r="W90" s="372"/>
      <c r="X90" s="372"/>
      <c r="Y90" s="372"/>
      <c r="Z90" s="372"/>
      <c r="AA90" s="372"/>
      <c r="AB90" s="372"/>
      <c r="AC90" s="372"/>
      <c r="AD90" s="372"/>
      <c r="AE90" s="372"/>
      <c r="AF90" s="372"/>
      <c r="AG90" s="372"/>
      <c r="AH90" s="372"/>
      <c r="AI90" s="372"/>
      <c r="AJ90" s="372"/>
      <c r="AK90" s="372"/>
      <c r="AL90" s="372"/>
      <c r="AM90" s="372"/>
    </row>
    <row r="91">
      <c r="A91" s="379" t="s">
        <v>444</v>
      </c>
      <c r="B91" s="379" t="str">
        <f t="array" ref="B91">if(len(A91)&lt;5,"-", iferror(Xlookup($A91,'Input WO'!$E:$E,'Input WO'!$F:$F),Xlookup($A91,'Input task'!$T:$T,'Input task'!$S:$S)
))</f>
        <v>myt_bhonehtet.aung</v>
      </c>
      <c r="C91" s="398" t="str">
        <f>IFERROR(__xludf.DUMMYFUNCTION("if(len($A91)&lt;5,""-"",iferror(TEXTJOIN("" |=***=| "",TRUE,filter('Input task'!$D:$D&amp;"" : ""&amp;'Input task'!$E:$E&amp;"" : ""&amp;'Input task'!$K:$K&amp;"" + ""&amp;'Input task'!$H:$H,'Input task'!$J:$J="""",'Input task'!$T:$T=$A91)),""No see""))"),"Return to send Branch Office : TNI0068 Recall PU : 1 Pcs Serial: 219561075478 :  +  |=***=| PVC PLAN : TNI0068 need to cover pvc pipe :  + ")</f>
        <v>Return to send Branch Office : TNI0068 Recall PU : 1 Pcs Serial: 219561075478 :  +  |=***=| PVC PLAN : TNI0068 need to cover pvc pipe :  + </v>
      </c>
      <c r="D91" s="379" t="str">
        <f>IFERROR(__xludf.DUMMYFUNCTION("if(len($A91)&lt;5,""-"",iferror(TEXTJOIN("" |=***=| "",TRUE,FILTER(('Input WO'!$A:$A&amp;"" + ""&amp;'Input WO'!$B:$B&amp;"" : ""&amp;'Input WO'!$C:$C&amp;"" + ""&amp;'Input WO'!$F:$F),'Input WO'!$E:$E=$A91)),""No see""))"),"WO_QLCTKT_20260529_123389537 + TNI0068 MYT_Routine_Maintenance_Mytel_Station_VCM : 223.05 + myt_bhonehtet.aung")</f>
        <v>WO_QLCTKT_20260529_123389537 + TNI0068 MYT_Routine_Maintenance_Mytel_Station_VCM : 223.05 + myt_bhonehtet.aung</v>
      </c>
      <c r="E91" s="379"/>
      <c r="F91" s="372"/>
      <c r="G91" s="372"/>
      <c r="H91" s="372"/>
      <c r="I91" s="372"/>
      <c r="J91" s="372"/>
      <c r="K91" s="369"/>
      <c r="L91" s="369"/>
      <c r="M91" s="373"/>
      <c r="N91" s="369"/>
      <c r="O91" s="369"/>
      <c r="P91" s="374"/>
      <c r="Q91" s="372"/>
      <c r="R91" s="372"/>
      <c r="S91" s="372"/>
      <c r="T91" s="372"/>
      <c r="U91" s="372"/>
      <c r="V91" s="372"/>
      <c r="W91" s="372"/>
      <c r="X91" s="372"/>
      <c r="Y91" s="372"/>
      <c r="Z91" s="372"/>
      <c r="AA91" s="372"/>
      <c r="AB91" s="372"/>
      <c r="AC91" s="372"/>
      <c r="AD91" s="372"/>
      <c r="AE91" s="372"/>
      <c r="AF91" s="372"/>
      <c r="AG91" s="372"/>
      <c r="AH91" s="372"/>
      <c r="AI91" s="372"/>
      <c r="AJ91" s="372"/>
      <c r="AK91" s="372"/>
      <c r="AL91" s="372"/>
      <c r="AM91" s="372"/>
    </row>
    <row r="92">
      <c r="A92" s="379" t="s">
        <v>445</v>
      </c>
      <c r="B92" s="379" t="str">
        <f t="array" ref="B92">if(len(A92)&lt;5,"-", iferror(Xlookup($A92,'Input WO'!$E:$E,'Input WO'!$F:$F),Xlookup($A92,'Input task'!$T:$T,'Input task'!$S:$S)
))</f>
        <v>myt_bonemyat.naing1</v>
      </c>
      <c r="C92" s="398" t="str">
        <f>IFERROR(__xludf.DUMMYFUNCTION("if(len($A92)&lt;5,""-"",iferror(TEXTJOIN("" |=***=| "",TRUE,filter('Input task'!$D:$D&amp;"" : ""&amp;'Input task'!$E:$E&amp;"" : ""&amp;'Input task'!$K:$K&amp;"" + ""&amp;'Input task'!$H:$H,'Input task'!$J:$J="""",'Input task'!$T:$T=$A92)),""No see""))"),"No see")</f>
        <v>No see</v>
      </c>
      <c r="D92" s="379" t="str">
        <f>IFERROR(__xludf.DUMMYFUNCTION("if(len($A92)&lt;5,""-"",iferror(TEXTJOIN("" |=***=| "",TRUE,FILTER(('Input WO'!$A:$A&amp;"" + ""&amp;'Input WO'!$B:$B&amp;"" : ""&amp;'Input WO'!$C:$C&amp;"" + ""&amp;'Input WO'!$F:$F),'Input WO'!$E:$E=$A92)),""No see""))"),"WO_ICMS_20260701_123690035 + TNI0061 MYT_Checking quality for DG Fuel MYT_ME_DG_CHECK_FUEL; MYT_Maintenance_Generator_Change_Fuel_Filter MYT_ME_DG_CHG_FUEL_FIL; MYT_Maintenance_Generator_Change_Oil MYT_ME_DG_CHG_OIL; MYT_Maintenance_Generator_Change_Oil_F"&amp;"ilter MYT_ME_DG_CHG_OIL_FIL : 234.08 + myt_bonemyat.naing1 |=***=| WO_QLCTKT_20260503_123170503 + TNI0061 MYT_Maintenance_Generator_Change_Oil - MYT_Checking quality for DG Fuel : -1312.95 + myt_bonemyat.naing1 |=***=| WO_QLCTKT_20260402_122825630 + TNI00"&amp;"61 MYT_Maintenance_Generator_Change_Oil - MYT_Maintenance_Generator_Change_Oil_Filter - MYT_Maintenance_Generator_Change_Fuel_Filter - MYT_Maintenance_Generator_Coolant_Water - MYT_Maintenance_Generator_Change_Air_Filter and Clean_Radiator - MYT_Checking "&amp;"quality for DG Fuel : -1995.95 + myt_bonemyat.naing1")</f>
        <v>WO_ICMS_20260701_123690035 + TNI0061 MYT_Checking quality for DG Fuel MYT_ME_DG_CHECK_FUEL; MYT_Maintenance_Generator_Change_Fuel_Filter MYT_ME_DG_CHG_FUEL_FIL; MYT_Maintenance_Generator_Change_Oil MYT_ME_DG_CHG_OIL; MYT_Maintenance_Generator_Change_Oil_Filter MYT_ME_DG_CHG_OIL_FIL : 234.08 + myt_bonemyat.naing1 |=***=| WO_QLCTKT_20260503_123170503 + TNI0061 MYT_Maintenance_Generator_Change_Oil - MYT_Checking quality for DG Fuel : -1312.95 + myt_bonemyat.naing1 |=***=| WO_QLCTKT_20260402_122825630 + TNI0061 MYT_Maintenance_Generator_Change_Oil - MYT_Maintenance_Generator_Change_Oil_Filter - MYT_Maintenance_Generator_Change_Fuel_Filter - MYT_Maintenance_Generator_Coolant_Water - MYT_Maintenance_Generator_Change_Air_Filter and Clean_Radiator - MYT_Checking quality for DG Fuel : -1995.95 + myt_bonemyat.naing1</v>
      </c>
      <c r="E92" s="379"/>
      <c r="F92" s="372"/>
      <c r="G92" s="372"/>
      <c r="H92" s="372"/>
      <c r="I92" s="372"/>
      <c r="J92" s="372"/>
      <c r="K92" s="369"/>
      <c r="L92" s="369"/>
      <c r="M92" s="373"/>
      <c r="N92" s="369"/>
      <c r="O92" s="369"/>
      <c r="P92" s="374"/>
      <c r="Q92" s="372"/>
      <c r="R92" s="372"/>
      <c r="S92" s="372"/>
      <c r="T92" s="372"/>
      <c r="U92" s="372"/>
      <c r="V92" s="372"/>
      <c r="W92" s="372"/>
      <c r="X92" s="372"/>
      <c r="Y92" s="372"/>
      <c r="Z92" s="372"/>
      <c r="AA92" s="372"/>
      <c r="AB92" s="372"/>
      <c r="AC92" s="372"/>
      <c r="AD92" s="372"/>
      <c r="AE92" s="372"/>
      <c r="AF92" s="372"/>
      <c r="AG92" s="372"/>
      <c r="AH92" s="372"/>
      <c r="AI92" s="372"/>
      <c r="AJ92" s="372"/>
      <c r="AK92" s="372"/>
      <c r="AL92" s="372"/>
      <c r="AM92" s="372"/>
    </row>
    <row r="93">
      <c r="A93" s="379" t="s">
        <v>446</v>
      </c>
      <c r="B93" s="379" t="str">
        <f t="array" ref="B93">if(len(A93)&lt;5,"-", iferror(Xlookup($A93,'Input WO'!$E:$E,'Input WO'!$F:$F),Xlookup($A93,'Input task'!$T:$T,'Input task'!$S:$S)
))</f>
        <v>myt_bonemyat.naing1</v>
      </c>
      <c r="C93" s="398" t="str">
        <f>IFERROR(__xludf.DUMMYFUNCTION("if(len($A93)&lt;5,""-"",iferror(TEXTJOIN("" |=***=| "",TRUE,filter('Input task'!$D:$D&amp;"" : ""&amp;'Input task'!$E:$E&amp;"" : ""&amp;'Input task'!$K:$K&amp;"" + ""&amp;'Input task'!$H:$H,'Input task'!$J:$J="""",'Input task'!$T:$T=$A93)),""No see""))"),"No see")</f>
        <v>No see</v>
      </c>
      <c r="D93" s="379" t="str">
        <f>IFERROR(__xludf.DUMMYFUNCTION("if(len($A93)&lt;5,""-"",iferror(TEXTJOIN("" |=***=| "",TRUE,FILTER(('Input WO'!$A:$A&amp;"" + ""&amp;'Input WO'!$B:$B&amp;"" : ""&amp;'Input WO'!$C:$C&amp;"" + ""&amp;'Input WO'!$F:$F),'Input WO'!$E:$E=$A93)),""No see""))"),"WO_ICMS_20260701_123690036 + TNI0049 MYT_Checking quality for DG Fuel MYT_ME_DG_CHECK_FUEL; MYT_Maintenance_Generator_Change_Oil MYT_ME_DG_CHG_OIL : 234.08 + myt_bonemyat.naing1 |=***=| WO_QLCTKT_20260402_122825621 + TNI0049 MYT_Maintenance_Generator_Chan"&amp;"ge_Oil - MYT_Checking quality for DG Fuel : -1995.95 + myt_bonemyat.naing1")</f>
        <v>WO_ICMS_20260701_123690036 + TNI0049 MYT_Checking quality for DG Fuel MYT_ME_DG_CHECK_FUEL; MYT_Maintenance_Generator_Change_Oil MYT_ME_DG_CHG_OIL : 234.08 + myt_bonemyat.naing1 |=***=| WO_QLCTKT_20260402_122825621 + TNI0049 MYT_Maintenance_Generator_Change_Oil - MYT_Checking quality for DG Fuel : -1995.95 + myt_bonemyat.naing1</v>
      </c>
      <c r="E93" s="379"/>
      <c r="F93" s="372"/>
      <c r="G93" s="372"/>
      <c r="H93" s="372"/>
      <c r="I93" s="372"/>
      <c r="J93" s="372"/>
      <c r="K93" s="369"/>
      <c r="L93" s="369"/>
      <c r="M93" s="373"/>
      <c r="N93" s="369"/>
      <c r="O93" s="369"/>
      <c r="P93" s="374"/>
      <c r="Q93" s="372"/>
      <c r="R93" s="372"/>
      <c r="S93" s="372"/>
      <c r="T93" s="372"/>
      <c r="U93" s="372"/>
      <c r="V93" s="372"/>
      <c r="W93" s="372"/>
      <c r="X93" s="372"/>
      <c r="Y93" s="372"/>
      <c r="Z93" s="372"/>
      <c r="AA93" s="372"/>
      <c r="AB93" s="372"/>
      <c r="AC93" s="372"/>
      <c r="AD93" s="372"/>
      <c r="AE93" s="372"/>
      <c r="AF93" s="372"/>
      <c r="AG93" s="372"/>
      <c r="AH93" s="372"/>
      <c r="AI93" s="372"/>
      <c r="AJ93" s="372"/>
      <c r="AK93" s="372"/>
      <c r="AL93" s="372"/>
      <c r="AM93" s="372"/>
    </row>
    <row r="94">
      <c r="A94" s="379" t="s">
        <v>447</v>
      </c>
      <c r="B94" s="379" t="str">
        <f t="array" ref="B94">if(len(A94)&lt;5,"-", iferror(Xlookup($A94,'Input WO'!$E:$E,'Input WO'!$F:$F),Xlookup($A94,'Input task'!$T:$T,'Input task'!$S:$S)
))</f>
        <v>myt_bonemyat.naing1</v>
      </c>
      <c r="C94" s="398" t="str">
        <f>IFERROR(__xludf.DUMMYFUNCTION("if(len($A94)&lt;5,""-"",iferror(TEXTJOIN("" |=***=| "",TRUE,filter('Input task'!$D:$D&amp;"" : ""&amp;'Input task'!$E:$E&amp;"" : ""&amp;'Input task'!$K:$K&amp;"" + ""&amp;'Input task'!$H:$H,'Input task'!$J:$J="""",'Input task'!$T:$T=$A94)),""No see""))"),"100 point plan : TNI0150 100 point plan need to clean site overview inside and outeside and make to neatly patchord cable. :  + ")</f>
        <v>100 point plan : TNI0150 100 point plan need to clean site overview inside and outeside and make to neatly patchord cable. :  + </v>
      </c>
      <c r="D94" s="379" t="str">
        <f>IFERROR(__xludf.DUMMYFUNCTION("if(len($A94)&lt;5,""-"",iferror(TEXTJOIN("" |=***=| "",TRUE,FILTER(('Input WO'!$A:$A&amp;"" + ""&amp;'Input WO'!$B:$B&amp;"" : ""&amp;'Input WO'!$C:$C&amp;"" + ""&amp;'Input WO'!$F:$F),'Input WO'!$E:$E=$A94)),""No see""))"),"WO_ICMS_20260625_123632816 + Patrolling cable routes TNI0150-TNI0206_00, TNI0150 + null – TNI0206 + null : 545.66 + myt_bonemyat.naing1 |=***=| WO_WFM-OTHERS_20260623_123613105 + Cable routes measure-AC-TNI0150-TNI0206 : 439.03 + myt_bonemyat.naing1 |=***"&amp;"=| WO_WFM-OTHERS_20260623_123612890 + Cable routes measure-AC-TNI0150-TNI0206 : 439.03 + myt_bonemyat.naing1 |=***=| WO_QLCTKT_20260518_123298460 + TNI0150 Bảo dưỡng hạ tầng nhà trạm : -32.49 + myt_tharhtoo.aung11")</f>
        <v>WO_ICMS_20260625_123632816 + Patrolling cable routes TNI0150-TNI0206_00, TNI0150 + null – TNI0206 + null : 545.66 + myt_bonemyat.naing1 |=***=| WO_WFM-OTHERS_20260623_123613105 + Cable routes measure-AC-TNI0150-TNI0206 : 439.03 + myt_bonemyat.naing1 |=***=| WO_WFM-OTHERS_20260623_123612890 + Cable routes measure-AC-TNI0150-TNI0206 : 439.03 + myt_bonemyat.naing1 |=***=| WO_QLCTKT_20260518_123298460 + TNI0150 Bảo dưỡng hạ tầng nhà trạm : -32.49 + myt_tharhtoo.aung11</v>
      </c>
      <c r="E94" s="379"/>
      <c r="F94" s="372"/>
      <c r="G94" s="372"/>
      <c r="H94" s="372"/>
      <c r="I94" s="372"/>
      <c r="J94" s="372"/>
      <c r="K94" s="369"/>
      <c r="L94" s="369"/>
      <c r="M94" s="373"/>
      <c r="N94" s="369"/>
      <c r="O94" s="369"/>
      <c r="P94" s="374"/>
      <c r="Q94" s="372"/>
      <c r="R94" s="372"/>
      <c r="S94" s="372"/>
      <c r="T94" s="372"/>
      <c r="U94" s="372"/>
      <c r="V94" s="372"/>
      <c r="W94" s="372"/>
      <c r="X94" s="372"/>
      <c r="Y94" s="372"/>
      <c r="Z94" s="372"/>
      <c r="AA94" s="372"/>
      <c r="AB94" s="372"/>
      <c r="AC94" s="372"/>
      <c r="AD94" s="372"/>
      <c r="AE94" s="372"/>
      <c r="AF94" s="372"/>
      <c r="AG94" s="372"/>
      <c r="AH94" s="372"/>
      <c r="AI94" s="372"/>
      <c r="AJ94" s="372"/>
      <c r="AK94" s="372"/>
      <c r="AL94" s="372"/>
      <c r="AM94" s="372"/>
    </row>
    <row r="95">
      <c r="A95" s="379" t="s">
        <v>448</v>
      </c>
      <c r="B95" s="379" t="str">
        <f t="array" ref="B95">if(len(A95)&lt;5,"-", iferror(Xlookup($A95,'Input WO'!$E:$E,'Input WO'!$F:$F),Xlookup($A95,'Input task'!$T:$T,'Input task'!$S:$S)
))</f>
        <v>myt_bonemyat.naing1</v>
      </c>
      <c r="C95" s="398" t="str">
        <f>IFERROR(__xludf.DUMMYFUNCTION("if(len($A95)&lt;5,""-"",iferror(TEXTJOIN("" |=***=| "",TRUE,filter('Input task'!$D:$D&amp;"" : ""&amp;'Input task'!$E:$E&amp;"" : ""&amp;'Input task'!$K:$K&amp;"" + ""&amp;'Input task'!$H:$H,'Input task'!$J:$J="""",'Input task'!$T:$T=$A95)),""No see""))"),"No see")</f>
        <v>No see</v>
      </c>
      <c r="D95" s="379" t="str">
        <f>IFERROR(__xludf.DUMMYFUNCTION("if(len($A95)&lt;5,""-"",iferror(TEXTJOIN("" |=***=| "",TRUE,FILTER(('Input WO'!$A:$A&amp;"" + ""&amp;'Input WO'!$B:$B&amp;"" : ""&amp;'Input WO'!$C:$C&amp;"" + ""&amp;'Input WO'!$F:$F),'Input WO'!$E:$E=$A95)),""No see""))"),"WO_QLCTKT_20260624_123619105 + TNI0041 MYT_Maintenance_Generator_Change_Oil - MYT_Checking quality for DG Fuel : -64.95 + myt_bonemyat.naing1")</f>
        <v>WO_QLCTKT_20260624_123619105 + TNI0041 MYT_Maintenance_Generator_Change_Oil - MYT_Checking quality for DG Fuel : -64.95 + myt_bonemyat.naing1</v>
      </c>
      <c r="E95" s="379"/>
      <c r="F95" s="372"/>
      <c r="G95" s="372"/>
      <c r="H95" s="372"/>
      <c r="I95" s="372"/>
      <c r="J95" s="372"/>
      <c r="K95" s="369"/>
      <c r="L95" s="369"/>
      <c r="M95" s="373"/>
      <c r="N95" s="369"/>
      <c r="O95" s="369"/>
      <c r="P95" s="374"/>
      <c r="Q95" s="372"/>
      <c r="R95" s="372"/>
      <c r="S95" s="372"/>
      <c r="T95" s="372"/>
      <c r="U95" s="372"/>
      <c r="V95" s="372"/>
      <c r="W95" s="372"/>
      <c r="X95" s="372"/>
      <c r="Y95" s="372"/>
      <c r="Z95" s="372"/>
      <c r="AA95" s="372"/>
      <c r="AB95" s="372"/>
      <c r="AC95" s="372"/>
      <c r="AD95" s="372"/>
      <c r="AE95" s="372"/>
      <c r="AF95" s="372"/>
      <c r="AG95" s="372"/>
      <c r="AH95" s="372"/>
      <c r="AI95" s="372"/>
      <c r="AJ95" s="372"/>
      <c r="AK95" s="372"/>
      <c r="AL95" s="372"/>
      <c r="AM95" s="372"/>
    </row>
    <row r="96">
      <c r="A96" s="379" t="s">
        <v>449</v>
      </c>
      <c r="B96" s="379" t="str">
        <f t="array" ref="B96">if(len(A96)&lt;5,"-", iferror(Xlookup($A96,'Input WO'!$E:$E,'Input WO'!$F:$F),Xlookup($A96,'Input task'!$T:$T,'Input task'!$S:$S)
))</f>
        <v>myt_bonemyat.naing1</v>
      </c>
      <c r="C96" s="398" t="str">
        <f>IFERROR(__xludf.DUMMYFUNCTION("if(len($A96)&lt;5,""-"",iferror(TEXTJOIN("" |=***=| "",TRUE,filter('Input task'!$D:$D&amp;"" : ""&amp;'Input task'!$E:$E&amp;"" : ""&amp;'Input task'!$K:$K&amp;"" + ""&amp;'Input task'!$H:$H,'Input task'!$J:$J="""",'Input task'!$T:$T=$A96)),""No see""))"),"No see")</f>
        <v>No see</v>
      </c>
      <c r="D96" s="379" t="str">
        <f>IFERROR(__xludf.DUMMYFUNCTION("if(len($A96)&lt;5,""-"",iferror(TEXTJOIN("" |=***=| "",TRUE,FILTER(('Input WO'!$A:$A&amp;"" + ""&amp;'Input WO'!$B:$B&amp;"" : ""&amp;'Input WO'!$C:$C&amp;"" + ""&amp;'Input WO'!$F:$F),'Input WO'!$E:$E=$A96)),""No see""))"),"WO_QLCTKT_20260624_123618981 + TNI0038 MYT_Maintenance_Generator_Change_Oil - MYT_Checking quality for DG Fuel : -64.95 + myt_bonemyat.naing1")</f>
        <v>WO_QLCTKT_20260624_123618981 + TNI0038 MYT_Maintenance_Generator_Change_Oil - MYT_Checking quality for DG Fuel : -64.95 + myt_bonemyat.naing1</v>
      </c>
      <c r="E96" s="379"/>
      <c r="F96" s="372"/>
      <c r="G96" s="372"/>
      <c r="H96" s="372"/>
      <c r="I96" s="372"/>
      <c r="J96" s="372"/>
      <c r="K96" s="369"/>
      <c r="L96" s="369"/>
      <c r="M96" s="373"/>
      <c r="N96" s="369"/>
      <c r="O96" s="369"/>
      <c r="P96" s="374"/>
      <c r="Q96" s="372"/>
      <c r="R96" s="372"/>
      <c r="S96" s="372"/>
      <c r="T96" s="372"/>
      <c r="U96" s="372"/>
      <c r="V96" s="372"/>
      <c r="W96" s="372"/>
      <c r="X96" s="372"/>
      <c r="Y96" s="372"/>
      <c r="Z96" s="372"/>
      <c r="AA96" s="372"/>
      <c r="AB96" s="372"/>
      <c r="AC96" s="372"/>
      <c r="AD96" s="372"/>
      <c r="AE96" s="372"/>
      <c r="AF96" s="372"/>
      <c r="AG96" s="372"/>
      <c r="AH96" s="372"/>
      <c r="AI96" s="372"/>
      <c r="AJ96" s="372"/>
      <c r="AK96" s="372"/>
      <c r="AL96" s="372"/>
      <c r="AM96" s="372"/>
    </row>
    <row r="97">
      <c r="A97" s="379" t="s">
        <v>450</v>
      </c>
      <c r="B97" s="379" t="str">
        <f t="array" ref="B97">if(len(A97)&lt;5,"-", iferror(Xlookup($A97,'Input WO'!$E:$E,'Input WO'!$F:$F),Xlookup($A97,'Input task'!$T:$T,'Input task'!$S:$S)
))</f>
        <v>myt_bonemyat.naing1</v>
      </c>
      <c r="C97" s="398" t="str">
        <f>IFERROR(__xludf.DUMMYFUNCTION("if(len($A97)&lt;5,""-"",iferror(TEXTJOIN("" |=***=| "",TRUE,filter('Input task'!$D:$D&amp;"" : ""&amp;'Input task'!$E:$E&amp;"" : ""&amp;'Input task'!$K:$K&amp;"" + ""&amp;'Input task'!$H:$H,'Input task'!$J:$J="""",'Input task'!$T:$T=$A97)),""No see""))"),"100 point plan : TNI0208 100 point plan need to clean site overview inside and outeside and make to neatly patchord cable. :  + ")</f>
        <v>100 point plan : TNI0208 100 point plan need to clean site overview inside and outeside and make to neatly patchord cable. :  + </v>
      </c>
      <c r="D97" s="379" t="str">
        <f>IFERROR(__xludf.DUMMYFUNCTION("if(len($A97)&lt;5,""-"",iferror(TEXTJOIN("" |=***=| "",TRUE,FILTER(('Input WO'!$A:$A&amp;"" + ""&amp;'Input WO'!$B:$B&amp;"" : ""&amp;'Input WO'!$C:$C&amp;"" + ""&amp;'Input WO'!$F:$F),'Input WO'!$E:$E=$A97)),""No see""))"),"WO_WFM-OTHERS_20260623_123616228 + Cable Patrol for (AC)-TNI0208-TNIM057 : 439.03 + myt_bonemyat.naing1 |=***=| WO_QLCTKT_20260408_122933272 + TNI0208 MYT_Routine_Maintenance_Towerco_Station_VCM : -1000.95 + myt_myothant.htoo")</f>
        <v>WO_WFM-OTHERS_20260623_123616228 + Cable Patrol for (AC)-TNI0208-TNIM057 : 439.03 + myt_bonemyat.naing1 |=***=| WO_QLCTKT_20260408_122933272 + TNI0208 MYT_Routine_Maintenance_Towerco_Station_VCM : -1000.95 + myt_myothant.htoo</v>
      </c>
      <c r="E97" s="379"/>
      <c r="F97" s="372"/>
      <c r="G97" s="372"/>
      <c r="H97" s="372"/>
      <c r="I97" s="372"/>
      <c r="J97" s="372"/>
      <c r="K97" s="369"/>
      <c r="L97" s="369"/>
      <c r="M97" s="373"/>
      <c r="N97" s="369"/>
      <c r="O97" s="369"/>
      <c r="P97" s="374"/>
      <c r="Q97" s="372"/>
      <c r="R97" s="372"/>
      <c r="S97" s="372"/>
      <c r="T97" s="372"/>
      <c r="U97" s="372"/>
      <c r="V97" s="372"/>
      <c r="W97" s="372"/>
      <c r="X97" s="372"/>
      <c r="Y97" s="372"/>
      <c r="Z97" s="372"/>
      <c r="AA97" s="372"/>
      <c r="AB97" s="372"/>
      <c r="AC97" s="372"/>
      <c r="AD97" s="372"/>
      <c r="AE97" s="372"/>
      <c r="AF97" s="372"/>
      <c r="AG97" s="372"/>
      <c r="AH97" s="372"/>
      <c r="AI97" s="372"/>
      <c r="AJ97" s="372"/>
      <c r="AK97" s="372"/>
      <c r="AL97" s="372"/>
      <c r="AM97" s="372"/>
    </row>
    <row r="98">
      <c r="A98" s="379" t="s">
        <v>451</v>
      </c>
      <c r="B98" s="379" t="str">
        <f t="array" ref="B98">if(len(A98)&lt;5,"-", iferror(Xlookup($A98,'Input WO'!$E:$E,'Input WO'!$F:$F),Xlookup($A98,'Input task'!$T:$T,'Input task'!$S:$S)
))</f>
        <v>myt_bonemyat.naing1</v>
      </c>
      <c r="C98" s="398" t="str">
        <f>IFERROR(__xludf.DUMMYFUNCTION("if(len($A98)&lt;5,""-"",iferror(TEXTJOIN("" |=***=| "",TRUE,filter('Input task'!$D:$D&amp;"" : ""&amp;'Input task'!$E:$E&amp;"" : ""&amp;'Input task'!$K:$K&amp;"" + ""&amp;'Input task'!$H:$H,'Input task'!$J:$J="""",'Input task'!$T:$T=$A98)),""No see""))"),"No see")</f>
        <v>No see</v>
      </c>
      <c r="D98" s="379" t="str">
        <f>IFERROR(__xludf.DUMMYFUNCTION("if(len($A98)&lt;5,""-"",iferror(TEXTJOIN("" |=***=| "",TRUE,FILTER(('Input WO'!$A:$A&amp;"" + ""&amp;'Input WO'!$B:$B&amp;"" : ""&amp;'Input WO'!$C:$C&amp;"" + ""&amp;'Input WO'!$F:$F),'Input WO'!$E:$E=$A98)),""No see""))"),"WO_WFM-OTHERS_20260623_123616226 + Cable Patrol for (AC)-TNI0326-JB(MON0002-TNI0006) : 439.03 + myt_bonemyat.naing1")</f>
        <v>WO_WFM-OTHERS_20260623_123616226 + Cable Patrol for (AC)-TNI0326-JB(MON0002-TNI0006) : 439.03 + myt_bonemyat.naing1</v>
      </c>
      <c r="E98" s="379"/>
      <c r="F98" s="372"/>
      <c r="G98" s="372"/>
      <c r="H98" s="372"/>
      <c r="I98" s="372"/>
      <c r="J98" s="372"/>
      <c r="K98" s="369"/>
      <c r="L98" s="369"/>
      <c r="M98" s="373"/>
      <c r="N98" s="369"/>
      <c r="O98" s="369"/>
      <c r="P98" s="374"/>
      <c r="Q98" s="372"/>
      <c r="R98" s="372"/>
      <c r="S98" s="372"/>
      <c r="T98" s="372"/>
      <c r="U98" s="372"/>
      <c r="V98" s="372"/>
      <c r="W98" s="372"/>
      <c r="X98" s="372"/>
      <c r="Y98" s="372"/>
      <c r="Z98" s="372"/>
      <c r="AA98" s="372"/>
      <c r="AB98" s="372"/>
      <c r="AC98" s="372"/>
      <c r="AD98" s="372"/>
      <c r="AE98" s="372"/>
      <c r="AF98" s="372"/>
      <c r="AG98" s="372"/>
      <c r="AH98" s="372"/>
      <c r="AI98" s="372"/>
      <c r="AJ98" s="372"/>
      <c r="AK98" s="372"/>
      <c r="AL98" s="372"/>
      <c r="AM98" s="372"/>
    </row>
    <row r="99">
      <c r="A99" s="379" t="s">
        <v>452</v>
      </c>
      <c r="B99" s="379" t="str">
        <f t="array" ref="B99">if(len(A99)&lt;5,"-", iferror(Xlookup($A99,'Input WO'!$E:$E,'Input WO'!$F:$F),Xlookup($A99,'Input task'!$T:$T,'Input task'!$S:$S)
))</f>
        <v>myt_bonemyat.naing1</v>
      </c>
      <c r="C99" s="398" t="str">
        <f>IFERROR(__xludf.DUMMYFUNCTION("if(len($A99)&lt;5,""-"",iferror(TEXTJOIN("" |=***=| "",TRUE,filter('Input task'!$D:$D&amp;"" : ""&amp;'Input task'!$E:$E&amp;"" : ""&amp;'Input task'!$K:$K&amp;"" + ""&amp;'Input task'!$H:$H,'Input task'!$J:$J="""",'Input task'!$T:$T=$A99)),""No see""))"),"Return to send Branch Office : TNI0312 Recall PU : 2 Pcs Serial: 219561075246, 219561075250 :  +  |=***=| Request Export material : TNI0312-JB(TNI0006-TNI0013)&gt;&gt; F8 cable 150meter, closure 2pcs :  + ")</f>
        <v>Return to send Branch Office : TNI0312 Recall PU : 2 Pcs Serial: 219561075246, 219561075250 :  +  |=***=| Request Export material : TNI0312-JB(TNI0006-TNI0013)&gt;&gt; F8 cable 150meter, closure 2pcs :  + </v>
      </c>
      <c r="D99" s="379" t="str">
        <f>IFERROR(__xludf.DUMMYFUNCTION("if(len($A99)&lt;5,""-"",iferror(TEXTJOIN("" |=***=| "",TRUE,FILTER(('Input WO'!$A:$A&amp;"" + ""&amp;'Input WO'!$B:$B&amp;"" : ""&amp;'Input WO'!$C:$C&amp;"" + ""&amp;'Input WO'!$F:$F),'Input WO'!$E:$E=$A99)),""No see""))"),"WO_WFM-OTHERS_20260623_123616224 + Cable Patrol for (AC)-TNI0312-JB(TNI0006-TNI0013) : 439.03 + myt_bonemyat.naing1 |=***=| WO_QLCTKT_20260509_123226864 + TNI0312 MYT_Routine_Maintenance_Towerco_Station_VCM : -256.95 + myt_phyoko.ko44")</f>
        <v>WO_WFM-OTHERS_20260623_123616224 + Cable Patrol for (AC)-TNI0312-JB(TNI0006-TNI0013) : 439.03 + myt_bonemyat.naing1 |=***=| WO_QLCTKT_20260509_123226864 + TNI0312 MYT_Routine_Maintenance_Towerco_Station_VCM : -256.95 + myt_phyoko.ko44</v>
      </c>
      <c r="E99" s="379"/>
      <c r="F99" s="372"/>
      <c r="G99" s="372"/>
      <c r="H99" s="372"/>
      <c r="I99" s="372"/>
      <c r="J99" s="372"/>
      <c r="K99" s="369"/>
      <c r="L99" s="369"/>
      <c r="M99" s="373"/>
      <c r="N99" s="369"/>
      <c r="O99" s="369"/>
      <c r="P99" s="374"/>
      <c r="Q99" s="372"/>
      <c r="R99" s="372"/>
      <c r="S99" s="372"/>
      <c r="T99" s="372"/>
      <c r="U99" s="372"/>
      <c r="V99" s="372"/>
      <c r="W99" s="372"/>
      <c r="X99" s="372"/>
      <c r="Y99" s="372"/>
      <c r="Z99" s="372"/>
      <c r="AA99" s="372"/>
      <c r="AB99" s="372"/>
      <c r="AC99" s="372"/>
      <c r="AD99" s="372"/>
      <c r="AE99" s="372"/>
      <c r="AF99" s="372"/>
      <c r="AG99" s="372"/>
      <c r="AH99" s="372"/>
      <c r="AI99" s="372"/>
      <c r="AJ99" s="372"/>
      <c r="AK99" s="372"/>
      <c r="AL99" s="372"/>
      <c r="AM99" s="372"/>
    </row>
    <row r="100">
      <c r="A100" s="379" t="s">
        <v>453</v>
      </c>
      <c r="B100" s="379" t="str">
        <f t="array" ref="B100">if(len(A100)&lt;5,"-", iferror(Xlookup($A100,'Input WO'!$E:$E,'Input WO'!$F:$F),Xlookup($A100,'Input task'!$T:$T,'Input task'!$S:$S)
))</f>
        <v>myt_bonemyat.naing1</v>
      </c>
      <c r="C100" s="398" t="str">
        <f>IFERROR(__xludf.DUMMYFUNCTION("if(len($A100)&lt;5,""-"",iferror(TEXTJOIN("" |=***=| "",TRUE,filter('Input task'!$D:$D&amp;"" : ""&amp;'Input task'!$E:$E&amp;"" : ""&amp;'Input task'!$K:$K&amp;"" + ""&amp;'Input task'!$H:$H,'Input task'!$J:$J="""",'Input task'!$T:$T=$A100)),""No see""))"),"Request Export material : TNI0273-TNIM063&gt;&gt;48F8 Cable 150M,closure 2pcs, Tension 2pcs :  + ")</f>
        <v>Request Export material : TNI0273-TNIM063&gt;&gt;48F8 Cable 150M,closure 2pcs, Tension 2pcs :  + </v>
      </c>
      <c r="D100" s="379" t="str">
        <f>IFERROR(__xludf.DUMMYFUNCTION("if(len($A100)&lt;5,""-"",iferror(TEXTJOIN("" |=***=| "",TRUE,FILTER(('Input WO'!$A:$A&amp;"" + ""&amp;'Input WO'!$B:$B&amp;"" : ""&amp;'Input WO'!$C:$C&amp;"" + ""&amp;'Input WO'!$F:$F),'Input WO'!$E:$E=$A100)),""No see""))"),"WO_WFM-OTHERS_20260623_123616213 + Cable Patrol for (AC)-TNI0273-TNIM063 : 439.03 + myt_bonemyat.naing1 |=***=| WO_WFM-OTHERS_20260623_123613115 + Cable routes measure-AC-TNI0273-TNIM063 : 439.03 + myt_bonemyat.naing1 |=***=| WO_WFM-OTHERS_20260623_123612"&amp;"900 + Cable routes measure-AC-TNI0273-TNIM063 : 439.03 + myt_bonemyat.naing1")</f>
        <v>WO_WFM-OTHERS_20260623_123616213 + Cable Patrol for (AC)-TNI0273-TNIM063 : 439.03 + myt_bonemyat.naing1 |=***=| WO_WFM-OTHERS_20260623_123613115 + Cable routes measure-AC-TNI0273-TNIM063 : 439.03 + myt_bonemyat.naing1 |=***=| WO_WFM-OTHERS_20260623_123612900 + Cable routes measure-AC-TNI0273-TNIM063 : 439.03 + myt_bonemyat.naing1</v>
      </c>
      <c r="E100" s="379"/>
      <c r="F100" s="372"/>
      <c r="G100" s="372"/>
      <c r="H100" s="372"/>
      <c r="I100" s="372"/>
      <c r="J100" s="372"/>
      <c r="K100" s="369"/>
      <c r="L100" s="369"/>
      <c r="M100" s="373"/>
      <c r="N100" s="369"/>
      <c r="O100" s="369"/>
      <c r="P100" s="374"/>
      <c r="Q100" s="372"/>
      <c r="R100" s="372"/>
      <c r="S100" s="372"/>
      <c r="T100" s="372"/>
      <c r="U100" s="372"/>
      <c r="V100" s="372"/>
      <c r="W100" s="372"/>
      <c r="X100" s="372"/>
      <c r="Y100" s="372"/>
      <c r="Z100" s="372"/>
      <c r="AA100" s="372"/>
      <c r="AB100" s="372"/>
      <c r="AC100" s="372"/>
      <c r="AD100" s="372"/>
      <c r="AE100" s="372"/>
      <c r="AF100" s="372"/>
      <c r="AG100" s="372"/>
      <c r="AH100" s="372"/>
      <c r="AI100" s="372"/>
      <c r="AJ100" s="372"/>
      <c r="AK100" s="372"/>
      <c r="AL100" s="372"/>
      <c r="AM100" s="372"/>
    </row>
    <row r="101">
      <c r="A101" s="379" t="s">
        <v>454</v>
      </c>
      <c r="B101" s="379" t="str">
        <f t="array" ref="B101">if(len(A101)&lt;5,"-", iferror(Xlookup($A101,'Input WO'!$E:$E,'Input WO'!$F:$F),Xlookup($A101,'Input task'!$T:$T,'Input task'!$S:$S)
))</f>
        <v>myt_bonemyat.naing1</v>
      </c>
      <c r="C101" s="398" t="str">
        <f>IFERROR(__xludf.DUMMYFUNCTION("if(len($A101)&lt;5,""-"",iferror(TEXTJOIN("" |=***=| "",TRUE,filter('Input task'!$D:$D&amp;"" : ""&amp;'Input task'!$E:$E&amp;"" : ""&amp;'Input task'!$K:$K&amp;"" + ""&amp;'Input task'!$H:$H,'Input task'!$J:$J="""",'Input task'!$T:$T=$A101)),""No see""))"),"No see")</f>
        <v>No see</v>
      </c>
      <c r="D101" s="379" t="str">
        <f>IFERROR(__xludf.DUMMYFUNCTION("if(len($A101)&lt;5,""-"",iferror(TEXTJOIN("" |=***=| "",TRUE,FILTER(('Input WO'!$A:$A&amp;"" + ""&amp;'Input WO'!$B:$B&amp;"" : ""&amp;'Input WO'!$C:$C&amp;"" + ""&amp;'Input WO'!$F:$F),'Input WO'!$E:$E=$A101)),""No see""))"),"WO_WFM-OTHERS_20260623_123616218 + Cable Patrol for (AC)-TNI0194-TNIM053 : 439.03 + myt_bonemyat.naing1")</f>
        <v>WO_WFM-OTHERS_20260623_123616218 + Cable Patrol for (AC)-TNI0194-TNIM053 : 439.03 + myt_bonemyat.naing1</v>
      </c>
      <c r="E101" s="379"/>
      <c r="F101" s="372"/>
      <c r="G101" s="372"/>
      <c r="H101" s="372"/>
      <c r="I101" s="372"/>
      <c r="J101" s="372"/>
      <c r="K101" s="369"/>
      <c r="L101" s="369"/>
      <c r="M101" s="373"/>
      <c r="N101" s="369"/>
      <c r="O101" s="369"/>
      <c r="P101" s="374"/>
      <c r="Q101" s="372"/>
      <c r="R101" s="372"/>
      <c r="S101" s="372"/>
      <c r="T101" s="372"/>
      <c r="U101" s="372"/>
      <c r="V101" s="372"/>
      <c r="W101" s="372"/>
      <c r="X101" s="372"/>
      <c r="Y101" s="372"/>
      <c r="Z101" s="372"/>
      <c r="AA101" s="372"/>
      <c r="AB101" s="372"/>
      <c r="AC101" s="372"/>
      <c r="AD101" s="372"/>
      <c r="AE101" s="372"/>
      <c r="AF101" s="372"/>
      <c r="AG101" s="372"/>
      <c r="AH101" s="372"/>
      <c r="AI101" s="372"/>
      <c r="AJ101" s="372"/>
      <c r="AK101" s="372"/>
      <c r="AL101" s="372"/>
      <c r="AM101" s="372"/>
    </row>
    <row r="102">
      <c r="A102" s="379" t="s">
        <v>455</v>
      </c>
      <c r="B102" s="379" t="str">
        <f t="array" ref="B102">if(len(A102)&lt;5,"-", iferror(Xlookup($A102,'Input WO'!$E:$E,'Input WO'!$F:$F),Xlookup($A102,'Input task'!$T:$T,'Input task'!$S:$S)
))</f>
        <v>myt_bonemyat.naing1</v>
      </c>
      <c r="C102" s="398" t="str">
        <f>IFERROR(__xludf.DUMMYFUNCTION("if(len($A102)&lt;5,""-"",iferror(TEXTJOIN("" |=***=| "",TRUE,filter('Input task'!$D:$D&amp;"" : ""&amp;'Input task'!$E:$E&amp;"" : ""&amp;'Input task'!$K:$K&amp;"" + ""&amp;'Input task'!$H:$H,'Input task'!$J:$J="""",'Input task'!$T:$T=$A102)),""No see""))"),"Request Export material : TNI0331-JB(MON0002-TNI0006)&gt;&gt;Closure 2 pcs :  +  |=***=| Request Export material : TNI0331-JB(MON0002-TNI0006)&gt;&gt;F8cable-150meter,closure 2pcs, tension 2pcs :  + ")</f>
        <v>Request Export material : TNI0331-JB(MON0002-TNI0006)&gt;&gt;Closure 2 pcs :  +  |=***=| Request Export material : TNI0331-JB(MON0002-TNI0006)&gt;&gt;F8cable-150meter,closure 2pcs, tension 2pcs :  + </v>
      </c>
      <c r="D102" s="379" t="str">
        <f>IFERROR(__xludf.DUMMYFUNCTION("if(len($A102)&lt;5,""-"",iferror(TEXTJOIN("" |=***=| "",TRUE,FILTER(('Input WO'!$A:$A&amp;"" + ""&amp;'Input WO'!$B:$B&amp;"" : ""&amp;'Input WO'!$C:$C&amp;"" + ""&amp;'Input WO'!$F:$F),'Input WO'!$E:$E=$A102)),""No see""))"),"WO_WFM-OTHERS_20260623_123616219 + Cable Patrol for (AC)-TNI0331-JB(MON0002-TNI0006) : 439.03 + myt_bonemyat.naing1")</f>
        <v>WO_WFM-OTHERS_20260623_123616219 + Cable Patrol for (AC)-TNI0331-JB(MON0002-TNI0006) : 439.03 + myt_bonemyat.naing1</v>
      </c>
      <c r="E102" s="379"/>
      <c r="F102" s="372"/>
      <c r="G102" s="372"/>
      <c r="H102" s="372"/>
      <c r="I102" s="372"/>
      <c r="J102" s="372"/>
      <c r="K102" s="369"/>
      <c r="L102" s="369"/>
      <c r="M102" s="373"/>
      <c r="N102" s="369"/>
      <c r="O102" s="369"/>
      <c r="P102" s="374"/>
      <c r="Q102" s="372"/>
      <c r="R102" s="372"/>
      <c r="S102" s="372"/>
      <c r="T102" s="372"/>
      <c r="U102" s="372"/>
      <c r="V102" s="372"/>
      <c r="W102" s="372"/>
      <c r="X102" s="372"/>
      <c r="Y102" s="372"/>
      <c r="Z102" s="372"/>
      <c r="AA102" s="372"/>
      <c r="AB102" s="372"/>
      <c r="AC102" s="372"/>
      <c r="AD102" s="372"/>
      <c r="AE102" s="372"/>
      <c r="AF102" s="372"/>
      <c r="AG102" s="372"/>
      <c r="AH102" s="372"/>
      <c r="AI102" s="372"/>
      <c r="AJ102" s="372"/>
      <c r="AK102" s="372"/>
      <c r="AL102" s="372"/>
      <c r="AM102" s="372"/>
    </row>
    <row r="103">
      <c r="A103" s="379" t="s">
        <v>456</v>
      </c>
      <c r="B103" s="379" t="str">
        <f t="array" ref="B103">if(len(A103)&lt;5,"-", iferror(Xlookup($A103,'Input WO'!$E:$E,'Input WO'!$F:$F),Xlookup($A103,'Input task'!$T:$T,'Input task'!$S:$S)
))</f>
        <v>myt_bonemyat.naing1</v>
      </c>
      <c r="C103" s="398" t="str">
        <f>IFERROR(__xludf.DUMMYFUNCTION("if(len($A103)&lt;5,""-"",iferror(TEXTJOIN("" |=***=| "",TRUE,filter('Input task'!$D:$D&amp;"" : ""&amp;'Input task'!$E:$E&amp;"" : ""&amp;'Input task'!$K:$K&amp;"" + ""&amp;'Input task'!$H:$H,'Input task'!$J:$J="""",'Input task'!$T:$T=$A103)),""No see""))"),"No see")</f>
        <v>No see</v>
      </c>
      <c r="D103" s="379" t="str">
        <f>IFERROR(__xludf.DUMMYFUNCTION("if(len($A103)&lt;5,""-"",iferror(TEXTJOIN("" |=***=| "",TRUE,FILTER(('Input WO'!$A:$A&amp;"" + ""&amp;'Input WO'!$B:$B&amp;"" : ""&amp;'Input WO'!$C:$C&amp;"" + ""&amp;'Input WO'!$F:$F),'Input WO'!$E:$E=$A103)),""No see""))"),"WO_WFM-OTHERS_20260623_123616215 + Cable Patrol for (AC)-TNI0424-TNIM034 : 439.03 + myt_bonemyat.naing1 |=***=| WO_WFM-OTHERS_20260623_123613117 + Cable routes measure-AC-TNI0424-TNIM034 : 439.03 + myt_bonemyat.naing1 |=***=| WO_WFM-OTHERS_20260623_123612"&amp;"902 + Cable routes measure-AC-TNI0424-TNIM034 : 439.03 + myt_bonemyat.naing1")</f>
        <v>WO_WFM-OTHERS_20260623_123616215 + Cable Patrol for (AC)-TNI0424-TNIM034 : 439.03 + myt_bonemyat.naing1 |=***=| WO_WFM-OTHERS_20260623_123613117 + Cable routes measure-AC-TNI0424-TNIM034 : 439.03 + myt_bonemyat.naing1 |=***=| WO_WFM-OTHERS_20260623_123612902 + Cable routes measure-AC-TNI0424-TNIM034 : 439.03 + myt_bonemyat.naing1</v>
      </c>
      <c r="E103" s="379"/>
      <c r="F103" s="372"/>
      <c r="G103" s="372"/>
      <c r="H103" s="372"/>
      <c r="I103" s="372"/>
      <c r="J103" s="372"/>
      <c r="K103" s="369"/>
      <c r="L103" s="369"/>
      <c r="M103" s="373"/>
      <c r="N103" s="369"/>
      <c r="O103" s="369"/>
      <c r="P103" s="374"/>
      <c r="Q103" s="372"/>
      <c r="R103" s="372"/>
      <c r="S103" s="372"/>
      <c r="T103" s="372"/>
      <c r="U103" s="372"/>
      <c r="V103" s="372"/>
      <c r="W103" s="372"/>
      <c r="X103" s="372"/>
      <c r="Y103" s="372"/>
      <c r="Z103" s="372"/>
      <c r="AA103" s="372"/>
      <c r="AB103" s="372"/>
      <c r="AC103" s="372"/>
      <c r="AD103" s="372"/>
      <c r="AE103" s="372"/>
      <c r="AF103" s="372"/>
      <c r="AG103" s="372"/>
      <c r="AH103" s="372"/>
      <c r="AI103" s="372"/>
      <c r="AJ103" s="372"/>
      <c r="AK103" s="372"/>
      <c r="AL103" s="372"/>
      <c r="AM103" s="372"/>
    </row>
    <row r="104">
      <c r="A104" s="379" t="s">
        <v>457</v>
      </c>
      <c r="B104" s="379" t="str">
        <f t="array" ref="B104">if(len(A104)&lt;5,"-", iferror(Xlookup($A104,'Input WO'!$E:$E,'Input WO'!$F:$F),Xlookup($A104,'Input task'!$T:$T,'Input task'!$S:$S)
))</f>
        <v>myt_bonemyat.naing1</v>
      </c>
      <c r="C104" s="398" t="str">
        <f>IFERROR(__xludf.DUMMYFUNCTION("if(len($A104)&lt;5,""-"",iferror(TEXTJOIN("" |=***=| "",TRUE,filter('Input task'!$D:$D&amp;"" : ""&amp;'Input task'!$E:$E&amp;"" : ""&amp;'Input task'!$K:$K&amp;"" + ""&amp;'Input task'!$H:$H,'Input task'!$J:$J="""",'Input task'!$T:$T=$A104)),""No see""))"),"Fixing Fuel Level Monitoring : TNI0322  Need to do fuel level can monitoring :  + ")</f>
        <v>Fixing Fuel Level Monitoring : TNI0322  Need to do fuel level can monitoring :  + </v>
      </c>
      <c r="D104" s="379" t="str">
        <f>IFERROR(__xludf.DUMMYFUNCTION("if(len($A104)&lt;5,""-"",iferror(TEXTJOIN("" |=***=| "",TRUE,FILTER(('Input WO'!$A:$A&amp;"" + ""&amp;'Input WO'!$B:$B&amp;"" : ""&amp;'Input WO'!$C:$C&amp;"" + ""&amp;'Input WO'!$F:$F),'Input WO'!$E:$E=$A104)),""No see""))"),"WO_WFM-OTHERS_20260623_123616210 + Cable Patrol for (AC)-TNI0322-JB(TNI0013-TNI0005) : 439.03 + myt_bonemyat.naing1 |=***=| WO_WFM-OTHERS_20260623_123613112 + Cable routes measure-AC-TNI0322-JB(TNI0013-TNI0005) : 439.03 + myt_bonemyat.naing1 |=***=| WO_WF"&amp;"M-OTHERS_20260623_123612897 + Cable routes measure-AC-TNI0322-JB(TNI0013-TNI0005) : 439.03 + myt_bonemyat.naing1")</f>
        <v>WO_WFM-OTHERS_20260623_123616210 + Cable Patrol for (AC)-TNI0322-JB(TNI0013-TNI0005) : 439.03 + myt_bonemyat.naing1 |=***=| WO_WFM-OTHERS_20260623_123613112 + Cable routes measure-AC-TNI0322-JB(TNI0013-TNI0005) : 439.03 + myt_bonemyat.naing1 |=***=| WO_WFM-OTHERS_20260623_123612897 + Cable routes measure-AC-TNI0322-JB(TNI0013-TNI0005) : 439.03 + myt_bonemyat.naing1</v>
      </c>
      <c r="E104" s="379"/>
      <c r="F104" s="372"/>
      <c r="G104" s="372"/>
      <c r="H104" s="372"/>
      <c r="I104" s="372"/>
      <c r="J104" s="372"/>
      <c r="K104" s="369"/>
      <c r="L104" s="369"/>
      <c r="M104" s="373"/>
      <c r="N104" s="369"/>
      <c r="O104" s="369"/>
      <c r="P104" s="374"/>
      <c r="Q104" s="372"/>
      <c r="R104" s="372"/>
      <c r="S104" s="372"/>
      <c r="T104" s="372"/>
      <c r="U104" s="372"/>
      <c r="V104" s="372"/>
      <c r="W104" s="372"/>
      <c r="X104" s="372"/>
      <c r="Y104" s="372"/>
      <c r="Z104" s="372"/>
      <c r="AA104" s="372"/>
      <c r="AB104" s="372"/>
      <c r="AC104" s="372"/>
      <c r="AD104" s="372"/>
      <c r="AE104" s="372"/>
      <c r="AF104" s="372"/>
      <c r="AG104" s="372"/>
      <c r="AH104" s="372"/>
      <c r="AI104" s="372"/>
      <c r="AJ104" s="372"/>
      <c r="AK104" s="372"/>
      <c r="AL104" s="372"/>
      <c r="AM104" s="372"/>
    </row>
    <row r="105">
      <c r="A105" s="379" t="s">
        <v>458</v>
      </c>
      <c r="B105" s="379" t="str">
        <f t="array" ref="B105">if(len(A105)&lt;5,"-", iferror(Xlookup($A105,'Input WO'!$E:$E,'Input WO'!$F:$F),Xlookup($A105,'Input task'!$T:$T,'Input task'!$S:$S)
))</f>
        <v>myt_bonemyat.naing1</v>
      </c>
      <c r="C105" s="398" t="str">
        <f>IFERROR(__xludf.DUMMYFUNCTION("if(len($A105)&lt;5,""-"",iferror(TEXTJOIN("" |=***=| "",TRUE,filter('Input task'!$D:$D&amp;"" : ""&amp;'Input task'!$E:$E&amp;"" : ""&amp;'Input task'!$K:$K&amp;"" + ""&amp;'Input task'!$H:$H,'Input task'!$J:$J="""",'Input task'!$T:$T=$A105)),""No see""))"),"No see")</f>
        <v>No see</v>
      </c>
      <c r="D105" s="379" t="str">
        <f>IFERROR(__xludf.DUMMYFUNCTION("if(len($A105)&lt;5,""-"",iferror(TEXTJOIN("" |=***=| "",TRUE,FILTER(('Input WO'!$A:$A&amp;"" + ""&amp;'Input WO'!$B:$B&amp;"" : ""&amp;'Input WO'!$C:$C&amp;"" + ""&amp;'Input WO'!$F:$F),'Input WO'!$E:$E=$A105)),""No see""))"),"WO_WFM-OTHERS_20260623_123616206 + Cable Patrol for (AC)-TNI0357-TNI0170 : 439.03 + myt_bonemyat.naing1 |=***=| WO_WFM-OTHERS_20260623_123613104 + Cable routes measure-AC-TNI0357-TNI0170 : 439.03 + myt_bonemyat.naing1 |=***=| WO_WFM-OTHERS_20260623_123612"&amp;"889 + Cable routes measure-AC-TNI0357-TNI0170 : 439.03 + myt_bonemyat.naing1")</f>
        <v>WO_WFM-OTHERS_20260623_123616206 + Cable Patrol for (AC)-TNI0357-TNI0170 : 439.03 + myt_bonemyat.naing1 |=***=| WO_WFM-OTHERS_20260623_123613104 + Cable routes measure-AC-TNI0357-TNI0170 : 439.03 + myt_bonemyat.naing1 |=***=| WO_WFM-OTHERS_20260623_123612889 + Cable routes measure-AC-TNI0357-TNI0170 : 439.03 + myt_bonemyat.naing1</v>
      </c>
      <c r="E105" s="379"/>
      <c r="F105" s="372"/>
      <c r="G105" s="372"/>
      <c r="H105" s="372"/>
      <c r="I105" s="372"/>
      <c r="J105" s="372"/>
      <c r="K105" s="369"/>
      <c r="L105" s="369"/>
      <c r="M105" s="373"/>
      <c r="N105" s="369"/>
      <c r="O105" s="369"/>
      <c r="P105" s="374"/>
      <c r="Q105" s="372"/>
      <c r="R105" s="372"/>
      <c r="S105" s="372"/>
      <c r="T105" s="372"/>
      <c r="U105" s="372"/>
      <c r="V105" s="372"/>
      <c r="W105" s="372"/>
      <c r="X105" s="372"/>
      <c r="Y105" s="372"/>
      <c r="Z105" s="372"/>
      <c r="AA105" s="372"/>
      <c r="AB105" s="372"/>
      <c r="AC105" s="372"/>
      <c r="AD105" s="372"/>
      <c r="AE105" s="372"/>
      <c r="AF105" s="372"/>
      <c r="AG105" s="372"/>
      <c r="AH105" s="372"/>
      <c r="AI105" s="372"/>
      <c r="AJ105" s="372"/>
      <c r="AK105" s="372"/>
      <c r="AL105" s="372"/>
      <c r="AM105" s="372"/>
    </row>
    <row r="106">
      <c r="A106" s="379" t="s">
        <v>459</v>
      </c>
      <c r="B106" s="379" t="str">
        <f t="array" ref="B106">if(len(A106)&lt;5,"-", iferror(Xlookup($A106,'Input WO'!$E:$E,'Input WO'!$F:$F),Xlookup($A106,'Input task'!$T:$T,'Input task'!$S:$S)
))</f>
        <v>myt_bonemyat.naing1</v>
      </c>
      <c r="C106" s="398" t="str">
        <f>IFERROR(__xludf.DUMMYFUNCTION("if(len($A106)&lt;5,""-"",iferror(TEXTJOIN("" |=***=| "",TRUE,filter('Input task'!$D:$D&amp;"" : ""&amp;'Input task'!$E:$E&amp;"" : ""&amp;'Input task'!$K:$K&amp;"" + ""&amp;'Input task'!$H:$H,'Input task'!$J:$J="""",'Input task'!$T:$T=$A106)),""No see""))"),"Check DG run long time : TNI0185  Need to check DG cannot set auto mode :  + ")</f>
        <v>Check DG run long time : TNI0185  Need to check DG cannot set auto mode :  + </v>
      </c>
      <c r="D106" s="379" t="str">
        <f>IFERROR(__xludf.DUMMYFUNCTION("if(len($A106)&lt;5,""-"",iferror(TEXTJOIN("" |=***=| "",TRUE,FILTER(('Input WO'!$A:$A&amp;"" + ""&amp;'Input WO'!$B:$B&amp;"" : ""&amp;'Input WO'!$C:$C&amp;"" + ""&amp;'Input WO'!$F:$F),'Input WO'!$E:$E=$A106)),""No see""))"),"WO_WFM-OTHERS_20260623_123616204 + Cable Patrol for (AC)-TNI0185-JB(MON0002-TNI0006) : 439.03 + myt_bonemyat.naing1 |=***=| WO_WFM-OTHERS_20260623_123613101 + Cable routes measure-AC-TNI0185-JB(MON0002-TNI0006) : 439.03 + myt_bonemyat.naing1 |=***=| WO_WF"&amp;"M-OTHERS_20260623_123612886 + Cable routes measure-AC-TNI0185-JB(MON0002-TNI0006) : 439.03 + myt_bonemyat.naing1 |=***=| WO_QLCTKT_20260421_123050637 + TNI0185 MYT_Maintenacne_Solar : -1048.95 + myt_tharhtoo.aung11")</f>
        <v>WO_WFM-OTHERS_20260623_123616204 + Cable Patrol for (AC)-TNI0185-JB(MON0002-TNI0006) : 439.03 + myt_bonemyat.naing1 |=***=| WO_WFM-OTHERS_20260623_123613101 + Cable routes measure-AC-TNI0185-JB(MON0002-TNI0006) : 439.03 + myt_bonemyat.naing1 |=***=| WO_WFM-OTHERS_20260623_123612886 + Cable routes measure-AC-TNI0185-JB(MON0002-TNI0006) : 439.03 + myt_bonemyat.naing1 |=***=| WO_QLCTKT_20260421_123050637 + TNI0185 MYT_Maintenacne_Solar : -1048.95 + myt_tharhtoo.aung11</v>
      </c>
      <c r="E106" s="379"/>
      <c r="F106" s="372"/>
      <c r="G106" s="372"/>
      <c r="H106" s="372"/>
      <c r="I106" s="372"/>
      <c r="J106" s="372"/>
      <c r="K106" s="369"/>
      <c r="L106" s="369"/>
      <c r="M106" s="373"/>
      <c r="N106" s="369"/>
      <c r="O106" s="369"/>
      <c r="P106" s="374"/>
      <c r="Q106" s="372"/>
      <c r="R106" s="372"/>
      <c r="S106" s="372"/>
      <c r="T106" s="372"/>
      <c r="U106" s="372"/>
      <c r="V106" s="372"/>
      <c r="W106" s="372"/>
      <c r="X106" s="372"/>
      <c r="Y106" s="372"/>
      <c r="Z106" s="372"/>
      <c r="AA106" s="372"/>
      <c r="AB106" s="372"/>
      <c r="AC106" s="372"/>
      <c r="AD106" s="372"/>
      <c r="AE106" s="372"/>
      <c r="AF106" s="372"/>
      <c r="AG106" s="372"/>
      <c r="AH106" s="372"/>
      <c r="AI106" s="372"/>
      <c r="AJ106" s="372"/>
      <c r="AK106" s="372"/>
      <c r="AL106" s="372"/>
      <c r="AM106" s="372"/>
    </row>
    <row r="107">
      <c r="A107" s="379" t="s">
        <v>460</v>
      </c>
      <c r="B107" s="379" t="str">
        <f t="array" ref="B107">if(len(A107)&lt;5,"-", iferror(Xlookup($A107,'Input WO'!$E:$E,'Input WO'!$F:$F),Xlookup($A107,'Input task'!$T:$T,'Input task'!$S:$S)
))</f>
        <v>myt_bonemyat.naing1</v>
      </c>
      <c r="C107" s="398" t="str">
        <f>IFERROR(__xludf.DUMMYFUNCTION("if(len($A107)&lt;5,""-"",iferror(TEXTJOIN("" |=***=| "",TRUE,filter('Input task'!$D:$D&amp;"" : ""&amp;'Input task'!$E:$E&amp;"" : ""&amp;'Input task'!$K:$K&amp;"" + ""&amp;'Input task'!$H:$H,'Input task'!$J:$J="""",'Input task'!$T:$T=$A107)),""No see""))"),"Smart CB : TNI0210 :  + ")</f>
        <v>Smart CB : TNI0210 :  + </v>
      </c>
      <c r="D107" s="379" t="str">
        <f>IFERROR(__xludf.DUMMYFUNCTION("if(len($A107)&lt;5,""-"",iferror(TEXTJOIN("" |=***=| "",TRUE,FILTER(('Input WO'!$A:$A&amp;"" + ""&amp;'Input WO'!$B:$B&amp;"" : ""&amp;'Input WO'!$C:$C&amp;"" + ""&amp;'Input WO'!$F:$F),'Input WO'!$E:$E=$A107)),""No see""))"),"WO_WFM-OTHERS_20260623_123612895 + Cable routes measure-AC-TNI0210-TNI0322 : 439.03 + myt_bonemyat.naing1 |=***=| WO_WFM-OTHERS_20260623_123616209 + Cable Patrol for (AC)-TNI0210-TNI0322 : 439.03 + myt_phyoko.ko44")</f>
        <v>WO_WFM-OTHERS_20260623_123612895 + Cable routes measure-AC-TNI0210-TNI0322 : 439.03 + myt_bonemyat.naing1 |=***=| WO_WFM-OTHERS_20260623_123616209 + Cable Patrol for (AC)-TNI0210-TNI0322 : 439.03 + myt_phyoko.ko44</v>
      </c>
      <c r="E107" s="379"/>
      <c r="F107" s="372"/>
      <c r="G107" s="372"/>
      <c r="H107" s="372"/>
      <c r="I107" s="372"/>
      <c r="J107" s="372"/>
      <c r="K107" s="369"/>
      <c r="L107" s="369"/>
      <c r="M107" s="373"/>
      <c r="N107" s="369"/>
      <c r="O107" s="369"/>
      <c r="P107" s="374"/>
      <c r="Q107" s="372"/>
      <c r="R107" s="372"/>
      <c r="S107" s="372"/>
      <c r="T107" s="372"/>
      <c r="U107" s="372"/>
      <c r="V107" s="372"/>
      <c r="W107" s="372"/>
      <c r="X107" s="372"/>
      <c r="Y107" s="372"/>
      <c r="Z107" s="372"/>
      <c r="AA107" s="372"/>
      <c r="AB107" s="372"/>
      <c r="AC107" s="372"/>
      <c r="AD107" s="372"/>
      <c r="AE107" s="372"/>
      <c r="AF107" s="372"/>
      <c r="AG107" s="372"/>
      <c r="AH107" s="372"/>
      <c r="AI107" s="372"/>
      <c r="AJ107" s="372"/>
      <c r="AK107" s="372"/>
      <c r="AL107" s="372"/>
      <c r="AM107" s="372"/>
    </row>
    <row r="108">
      <c r="A108" s="379" t="s">
        <v>161</v>
      </c>
      <c r="B108" s="379" t="str">
        <f t="array" ref="B108">if(len(A108)&lt;5,"-", iferror(Xlookup($A108,'Input WO'!$E:$E,'Input WO'!$F:$F),Xlookup($A108,'Input task'!$T:$T,'Input task'!$S:$S)
))</f>
        <v>myt_bonemyat.naing1</v>
      </c>
      <c r="C108" s="398" t="str">
        <f>IFERROR(__xludf.DUMMYFUNCTION("if(len($A108)&lt;5,""-"",iferror(TEXTJOIN("" |=***=| "",TRUE,filter('Input task'!$D:$D&amp;"" : ""&amp;'Input task'!$E:$E&amp;"" : ""&amp;'Input task'!$K:$K&amp;"" + ""&amp;'Input task'!$H:$H,'Input task'!$J:$J="""",'Input task'!$T:$T=$A108)),""No see""))"),"Check DG run long time : TNI0211 Need to check DG non stop running :  + ")</f>
        <v>Check DG run long time : TNI0211 Need to check DG non stop running :  + </v>
      </c>
      <c r="D108" s="379" t="str">
        <f>IFERROR(__xludf.DUMMYFUNCTION("if(len($A108)&lt;5,""-"",iferror(TEXTJOIN("" |=***=| "",TRUE,FILTER(('Input WO'!$A:$A&amp;"" + ""&amp;'Input WO'!$B:$B&amp;"" : ""&amp;'Input WO'!$C:$C&amp;"" + ""&amp;'Input WO'!$F:$F),'Input WO'!$E:$E=$A108)),""No see""))"),"WO_WFM-OTHERS_20260622_123603184 + TNI0211_Cleaning Radiator and change engine oil : -41.95 + myt_bonemyat.naing1")</f>
        <v>WO_WFM-OTHERS_20260622_123603184 + TNI0211_Cleaning Radiator and change engine oil : -41.95 + myt_bonemyat.naing1</v>
      </c>
      <c r="E108" s="379"/>
      <c r="F108" s="372"/>
      <c r="G108" s="372"/>
      <c r="H108" s="372"/>
      <c r="I108" s="372"/>
      <c r="J108" s="372"/>
      <c r="K108" s="369"/>
      <c r="L108" s="369"/>
      <c r="M108" s="373"/>
      <c r="N108" s="369"/>
      <c r="O108" s="369"/>
      <c r="P108" s="374"/>
      <c r="Q108" s="372"/>
      <c r="R108" s="372"/>
      <c r="S108" s="372"/>
      <c r="T108" s="372"/>
      <c r="U108" s="372"/>
      <c r="V108" s="372"/>
      <c r="W108" s="372"/>
      <c r="X108" s="372"/>
      <c r="Y108" s="372"/>
      <c r="Z108" s="372"/>
      <c r="AA108" s="372"/>
      <c r="AB108" s="372"/>
      <c r="AC108" s="372"/>
      <c r="AD108" s="372"/>
      <c r="AE108" s="372"/>
      <c r="AF108" s="372"/>
      <c r="AG108" s="372"/>
      <c r="AH108" s="372"/>
      <c r="AI108" s="372"/>
      <c r="AJ108" s="372"/>
      <c r="AK108" s="372"/>
      <c r="AL108" s="372"/>
      <c r="AM108" s="372"/>
    </row>
    <row r="109">
      <c r="A109" s="379" t="s">
        <v>461</v>
      </c>
      <c r="B109" s="379" t="str">
        <f t="array" ref="B109">if(len(A109)&lt;5,"-", iferror(Xlookup($A109,'Input WO'!$E:$E,'Input WO'!$F:$F),Xlookup($A109,'Input task'!$T:$T,'Input task'!$S:$S)
))</f>
        <v>myt_bonemyat.naing1</v>
      </c>
      <c r="C109" s="398" t="str">
        <f>IFERROR(__xludf.DUMMYFUNCTION("if(len($A109)&lt;5,""-"",iferror(TEXTJOIN("" |=***=| "",TRUE,filter('Input task'!$D:$D&amp;"" : ""&amp;'Input task'!$E:$E&amp;"" : ""&amp;'Input task'!$K:$K&amp;"" + ""&amp;'Input task'!$H:$H,'Input task'!$J:$J="""",'Input task'!$T:$T=$A109)),""No see""))"),"Fixing Fuel Level Monitoring : TNI0066 Need to fix fuel level cannot monitoring at NMS. :  +  |=***=| PVC PLAN : TNI0066 need to cover pvc pipe :  + ")</f>
        <v>Fixing Fuel Level Monitoring : TNI0066 Need to fix fuel level cannot monitoring at NMS. :  +  |=***=| PVC PLAN : TNI0066 need to cover pvc pipe :  + </v>
      </c>
      <c r="D109" s="379" t="str">
        <f>IFERROR(__xludf.DUMMYFUNCTION("if(len($A109)&lt;5,""-"",iferror(TEXTJOIN("" |=***=| "",TRUE,FILTER(('Input WO'!$A:$A&amp;"" + ""&amp;'Input WO'!$B:$B&amp;"" : ""&amp;'Input WO'!$C:$C&amp;"" + ""&amp;'Input WO'!$F:$F),'Input WO'!$E:$E=$A109)),""No see""))"),"WO_WFM-OTHERS_20260622_123602890 + TNI0066_Cleaning Radiator and change engine oil : -41.95 + myt_bonemyat.naing1 |=***=| WO_ICMS_20260623_123615128 + TNI0066 MYT_Routine_Maintenance_Mytel_Station MYT_RTE_MTE_SB_STN : 886.64 + myt_phyoko.ko44")</f>
        <v>WO_WFM-OTHERS_20260622_123602890 + TNI0066_Cleaning Radiator and change engine oil : -41.95 + myt_bonemyat.naing1 |=***=| WO_ICMS_20260623_123615128 + TNI0066 MYT_Routine_Maintenance_Mytel_Station MYT_RTE_MTE_SB_STN : 886.64 + myt_phyoko.ko44</v>
      </c>
      <c r="E109" s="379"/>
      <c r="F109" s="372"/>
      <c r="G109" s="372"/>
      <c r="H109" s="372"/>
      <c r="I109" s="372"/>
      <c r="J109" s="372"/>
      <c r="K109" s="369"/>
      <c r="L109" s="369"/>
      <c r="M109" s="373"/>
      <c r="N109" s="369"/>
      <c r="O109" s="369"/>
      <c r="P109" s="374"/>
      <c r="Q109" s="372"/>
      <c r="R109" s="372"/>
      <c r="S109" s="372"/>
      <c r="T109" s="372"/>
      <c r="U109" s="372"/>
      <c r="V109" s="372"/>
      <c r="W109" s="372"/>
      <c r="X109" s="372"/>
      <c r="Y109" s="372"/>
      <c r="Z109" s="372"/>
      <c r="AA109" s="372"/>
      <c r="AB109" s="372"/>
      <c r="AC109" s="372"/>
      <c r="AD109" s="372"/>
      <c r="AE109" s="372"/>
      <c r="AF109" s="372"/>
      <c r="AG109" s="372"/>
      <c r="AH109" s="372"/>
      <c r="AI109" s="372"/>
      <c r="AJ109" s="372"/>
      <c r="AK109" s="372"/>
      <c r="AL109" s="372"/>
      <c r="AM109" s="372"/>
    </row>
    <row r="110">
      <c r="A110" s="379" t="s">
        <v>462</v>
      </c>
      <c r="B110" s="379" t="str">
        <f t="array" ref="B110">if(len(A110)&lt;5,"-", iferror(Xlookup($A110,'Input WO'!$E:$E,'Input WO'!$F:$F),Xlookup($A110,'Input task'!$T:$T,'Input task'!$S:$S)
))</f>
        <v>myt_bonemyat.naing1</v>
      </c>
      <c r="C110" s="398" t="str">
        <f>IFERROR(__xludf.DUMMYFUNCTION("if(len($A110)&lt;5,""-"",iferror(TEXTJOIN("" |=***=| "",TRUE,filter('Input task'!$D:$D&amp;"" : ""&amp;'Input task'!$E:$E&amp;"" : ""&amp;'Input task'!$K:$K&amp;"" + ""&amp;'Input task'!$H:$H,'Input task'!$J:$J="""",'Input task'!$T:$T=$A110)),""No see""))"),"No see")</f>
        <v>No see</v>
      </c>
      <c r="D110" s="379" t="str">
        <f>IFERROR(__xludf.DUMMYFUNCTION("if(len($A110)&lt;5,""-"",iferror(TEXTJOIN("" |=***=| "",TRUE,FILTER(('Input WO'!$A:$A&amp;"" + ""&amp;'Input WO'!$B:$B&amp;"" : ""&amp;'Input WO'!$C:$C&amp;"" + ""&amp;'Input WO'!$F:$F),'Input WO'!$E:$E=$A110)),""No see""))"),"WO_QLCTKT_20260604_123438218 + TNI0069 MYT_Troubleshooting Solar Power System : -520.95 + myt_bonemyat.naing1 |=***=| WO_ICMS_20260623_123615127 + TNI0069 MYT_Routine_Maintenance_Mytel_Station MYT_RTE_MTE_SB_STN : 886.64 + myt_phyoko.ko44")</f>
        <v>WO_QLCTKT_20260604_123438218 + TNI0069 MYT_Troubleshooting Solar Power System : -520.95 + myt_bonemyat.naing1 |=***=| WO_ICMS_20260623_123615127 + TNI0069 MYT_Routine_Maintenance_Mytel_Station MYT_RTE_MTE_SB_STN : 886.64 + myt_phyoko.ko44</v>
      </c>
      <c r="E110" s="379"/>
      <c r="F110" s="372"/>
      <c r="G110" s="372"/>
      <c r="H110" s="372"/>
      <c r="I110" s="372"/>
      <c r="J110" s="372"/>
      <c r="K110" s="369"/>
      <c r="L110" s="369"/>
      <c r="M110" s="373"/>
      <c r="N110" s="369"/>
      <c r="O110" s="369"/>
      <c r="P110" s="374"/>
      <c r="Q110" s="372"/>
      <c r="R110" s="372"/>
      <c r="S110" s="372"/>
      <c r="T110" s="372"/>
      <c r="U110" s="372"/>
      <c r="V110" s="372"/>
      <c r="W110" s="372"/>
      <c r="X110" s="372"/>
      <c r="Y110" s="372"/>
      <c r="Z110" s="372"/>
      <c r="AA110" s="372"/>
      <c r="AB110" s="372"/>
      <c r="AC110" s="372"/>
      <c r="AD110" s="372"/>
      <c r="AE110" s="372"/>
      <c r="AF110" s="372"/>
      <c r="AG110" s="372"/>
      <c r="AH110" s="372"/>
      <c r="AI110" s="372"/>
      <c r="AJ110" s="372"/>
      <c r="AK110" s="372"/>
      <c r="AL110" s="372"/>
      <c r="AM110" s="372"/>
    </row>
    <row r="111">
      <c r="A111" s="379" t="s">
        <v>463</v>
      </c>
      <c r="B111" s="379" t="str">
        <f t="array" ref="B111">if(len(A111)&lt;5,"-", iferror(Xlookup($A111,'Input WO'!$E:$E,'Input WO'!$F:$F),Xlookup($A111,'Input task'!$T:$T,'Input task'!$S:$S)
))</f>
        <v>myt_bonemyat.naing1</v>
      </c>
      <c r="C111" s="398" t="str">
        <f>IFERROR(__xludf.DUMMYFUNCTION("if(len($A111)&lt;5,""-"",iferror(TEXTJOIN("" |=***=| "",TRUE,filter('Input task'!$D:$D&amp;"" : ""&amp;'Input task'!$E:$E&amp;"" : ""&amp;'Input task'!$K:$K&amp;"" + ""&amp;'Input task'!$H:$H,'Input task'!$J:$J="""",'Input task'!$T:$T=$A111)),""No see""))"),"No see")</f>
        <v>No see</v>
      </c>
      <c r="D111" s="379" t="str">
        <f>IFERROR(__xludf.DUMMYFUNCTION("if(len($A111)&lt;5,""-"",iferror(TEXTJOIN("" |=***=| "",TRUE,FILTER(('Input WO'!$A:$A&amp;"" + ""&amp;'Input WO'!$B:$B&amp;"" : ""&amp;'Input WO'!$C:$C&amp;"" + ""&amp;'Input WO'!$F:$F),'Input WO'!$E:$E=$A111)),""No see""))"),"WO_QLCTKT_20260531_123407528 + TNI0052 MYT_Maintenance_Generator_Change_Oil - MYT_Checking quality for DG Fuel : -640.95 + myt_bonemyat.naing1")</f>
        <v>WO_QLCTKT_20260531_123407528 + TNI0052 MYT_Maintenance_Generator_Change_Oil - MYT_Checking quality for DG Fuel : -640.95 + myt_bonemyat.naing1</v>
      </c>
      <c r="E111" s="379"/>
      <c r="F111" s="372"/>
      <c r="G111" s="372"/>
      <c r="H111" s="372"/>
      <c r="I111" s="372"/>
      <c r="J111" s="372"/>
      <c r="K111" s="369"/>
      <c r="L111" s="369"/>
      <c r="M111" s="373"/>
      <c r="N111" s="369"/>
      <c r="O111" s="369"/>
      <c r="P111" s="374"/>
      <c r="Q111" s="372"/>
      <c r="R111" s="372"/>
      <c r="S111" s="372"/>
      <c r="T111" s="372"/>
      <c r="U111" s="372"/>
      <c r="V111" s="372"/>
      <c r="W111" s="372"/>
      <c r="X111" s="372"/>
      <c r="Y111" s="372"/>
      <c r="Z111" s="372"/>
      <c r="AA111" s="372"/>
      <c r="AB111" s="372"/>
      <c r="AC111" s="372"/>
      <c r="AD111" s="372"/>
      <c r="AE111" s="372"/>
      <c r="AF111" s="372"/>
      <c r="AG111" s="372"/>
      <c r="AH111" s="372"/>
      <c r="AI111" s="372"/>
      <c r="AJ111" s="372"/>
      <c r="AK111" s="372"/>
      <c r="AL111" s="372"/>
      <c r="AM111" s="372"/>
    </row>
    <row r="112">
      <c r="A112" s="379" t="s">
        <v>464</v>
      </c>
      <c r="B112" s="379" t="str">
        <f t="array" ref="B112">if(len(A112)&lt;5,"-", iferror(Xlookup($A112,'Input WO'!$E:$E,'Input WO'!$F:$F),Xlookup($A112,'Input task'!$T:$T,'Input task'!$S:$S)
))</f>
        <v>myt_bonemyat.naing1</v>
      </c>
      <c r="C112" s="398" t="str">
        <f>IFERROR(__xludf.DUMMYFUNCTION("if(len($A112)&lt;5,""-"",iferror(TEXTJOIN("" |=***=| "",TRUE,filter('Input task'!$D:$D&amp;"" : ""&amp;'Input task'!$E:$E&amp;"" : ""&amp;'Input task'!$K:$K&amp;"" + ""&amp;'Input task'!$H:$H,'Input task'!$J:$J="""",'Input task'!$T:$T=$A112)),""No see""))"),"No see")</f>
        <v>No see</v>
      </c>
      <c r="D112" s="379" t="str">
        <f>IFERROR(__xludf.DUMMYFUNCTION("if(len($A112)&lt;5,""-"",iferror(TEXTJOIN("" |=***=| "",TRUE,FILTER(('Input WO'!$A:$A&amp;"" + ""&amp;'Input WO'!$B:$B&amp;"" : ""&amp;'Input WO'!$C:$C&amp;"" + ""&amp;'Input WO'!$F:$F),'Input WO'!$E:$E=$A112)),""No see""))"),"WO_QLCTKT_20260531_123407494 + TNI0013 MYT_Maintenance_Generator_Change_Oil - MYT_Maintenance_Generator_Change_Oil_Filter - MYT_Maintenance_Generator_Change_Fuel_Filter - MYT_Maintenance_Generator_Change_Air_Filter, Clean Radiator and Clean Engine Room - "&amp;"MYT_Checking quality for DG Fuel : -640.95 + myt_bonemyat.naing1")</f>
        <v>WO_QLCTKT_20260531_123407494 + TNI0013 MYT_Maintenance_Generator_Change_Oil - MYT_Maintenance_Generator_Change_Oil_Filter - MYT_Maintenance_Generator_Change_Fuel_Filter - MYT_Maintenance_Generator_Change_Air_Filter, Clean Radiator and Clean Engine Room - MYT_Checking quality for DG Fuel : -640.95 + myt_bonemyat.naing1</v>
      </c>
      <c r="E112" s="379"/>
      <c r="F112" s="372"/>
      <c r="G112" s="372"/>
      <c r="H112" s="372"/>
      <c r="I112" s="372"/>
      <c r="J112" s="372"/>
      <c r="K112" s="369"/>
      <c r="L112" s="369"/>
      <c r="M112" s="373"/>
      <c r="N112" s="369"/>
      <c r="O112" s="369"/>
      <c r="P112" s="374"/>
      <c r="Q112" s="372"/>
      <c r="R112" s="372"/>
      <c r="S112" s="372"/>
      <c r="T112" s="372"/>
      <c r="U112" s="372"/>
      <c r="V112" s="372"/>
      <c r="W112" s="372"/>
      <c r="X112" s="372"/>
      <c r="Y112" s="372"/>
      <c r="Z112" s="372"/>
      <c r="AA112" s="372"/>
      <c r="AB112" s="372"/>
      <c r="AC112" s="372"/>
      <c r="AD112" s="372"/>
      <c r="AE112" s="372"/>
      <c r="AF112" s="372"/>
      <c r="AG112" s="372"/>
      <c r="AH112" s="372"/>
      <c r="AI112" s="372"/>
      <c r="AJ112" s="372"/>
      <c r="AK112" s="372"/>
      <c r="AL112" s="372"/>
      <c r="AM112" s="372"/>
    </row>
    <row r="113">
      <c r="A113" s="379" t="s">
        <v>159</v>
      </c>
      <c r="B113" s="379" t="str">
        <f t="array" ref="B113">if(len(A113)&lt;5,"-", iferror(Xlookup($A113,'Input WO'!$E:$E,'Input WO'!$F:$F),Xlookup($A113,'Input task'!$T:$T,'Input task'!$S:$S)
))</f>
        <v>myt_bonemyat.naing1</v>
      </c>
      <c r="C113" s="398" t="str">
        <f>IFERROR(__xludf.DUMMYFUNCTION("if(len($A113)&lt;5,""-"",iferror(TEXTJOIN("" |=***=| "",TRUE,filter('Input task'!$D:$D&amp;"" : ""&amp;'Input task'!$E:$E&amp;"" : ""&amp;'Input task'!$K:$K&amp;"" + ""&amp;'Input task'!$H:$H,'Input task'!$J:$J="""",'Input task'!$T:$T=$A113)),""No see""))"),"Request Export material : TNI0038-TNI0051&gt;&gt;24F8 Cable 280M,closure 2pcs, Tension 2pcs :  +  |=***=| Request Export material : TNI0038-TNI0051&gt;&gt; cable 500M and JB 2pcs :  +  |=***=| DG Starter Battery : TNI0038 Need to confirm DG starter battery changing f"&amp;"inish sites with M&amp;E :  + VCM825430-Aung Thin Myat")</f>
        <v>Request Export material : TNI0038-TNI0051&gt;&gt;24F8 Cable 280M,closure 2pcs, Tension 2pcs :  +  |=***=| Request Export material : TNI0038-TNI0051&gt;&gt; cable 500M and JB 2pcs :  +  |=***=| DG Starter Battery : TNI0038 Need to confirm DG starter battery changing finish sites with M&amp;E :  + VCM825430-Aung Thin Myat</v>
      </c>
      <c r="D113" s="379" t="str">
        <f>IFERROR(__xludf.DUMMYFUNCTION("if(len($A113)&lt;5,""-"",iferror(TEXTJOIN("" |=***=| "",TRUE,FILTER(('Input WO'!$A:$A&amp;"" + ""&amp;'Input WO'!$B:$B&amp;"" : ""&amp;'Input WO'!$C:$C&amp;"" + ""&amp;'Input WO'!$F:$F),'Input WO'!$E:$E=$A113)),""No see""))"),"WO_QLCTKT_20260430_123146548 + TNI0038 MYT_Routine_Maintenance_Mytel_Station_VCM : -472.95 + myt_bonemyat.naing1")</f>
        <v>WO_QLCTKT_20260430_123146548 + TNI0038 MYT_Routine_Maintenance_Mytel_Station_VCM : -472.95 + myt_bonemyat.naing1</v>
      </c>
      <c r="E113" s="379"/>
      <c r="F113" s="372"/>
      <c r="G113" s="372"/>
      <c r="H113" s="372"/>
      <c r="I113" s="372"/>
      <c r="J113" s="372"/>
      <c r="K113" s="369"/>
      <c r="L113" s="369"/>
      <c r="M113" s="373"/>
      <c r="N113" s="369"/>
      <c r="O113" s="369"/>
      <c r="P113" s="374"/>
      <c r="Q113" s="372"/>
      <c r="R113" s="372"/>
      <c r="S113" s="372"/>
      <c r="T113" s="372"/>
      <c r="U113" s="372"/>
      <c r="V113" s="372"/>
      <c r="W113" s="372"/>
      <c r="X113" s="372"/>
      <c r="Y113" s="372"/>
      <c r="Z113" s="372"/>
      <c r="AA113" s="372"/>
      <c r="AB113" s="372"/>
      <c r="AC113" s="372"/>
      <c r="AD113" s="372"/>
      <c r="AE113" s="372"/>
      <c r="AF113" s="372"/>
      <c r="AG113" s="372"/>
      <c r="AH113" s="372"/>
      <c r="AI113" s="372"/>
      <c r="AJ113" s="372"/>
      <c r="AK113" s="372"/>
      <c r="AL113" s="372"/>
      <c r="AM113" s="372"/>
    </row>
    <row r="114">
      <c r="A114" s="379" t="s">
        <v>465</v>
      </c>
      <c r="B114" s="379" t="str">
        <f t="array" ref="B114">if(len(A114)&lt;5,"-", iferror(Xlookup($A114,'Input WO'!$E:$E,'Input WO'!$F:$F),Xlookup($A114,'Input task'!$T:$T,'Input task'!$S:$S)
))</f>
        <v>myt_khantchaw.nyo</v>
      </c>
      <c r="C114" s="398" t="str">
        <f>IFERROR(__xludf.DUMMYFUNCTION("if(len($A114)&lt;5,""-"",iferror(TEXTJOIN("" |=***=| "",TRUE,filter('Input task'!$D:$D&amp;"" : ""&amp;'Input task'!$E:$E&amp;"" : ""&amp;'Input task'!$K:$K&amp;"" + ""&amp;'Input task'!$H:$H,'Input task'!$J:$J="""",'Input task'!$T:$T=$A114)),""No see""))"),"No see")</f>
        <v>No see</v>
      </c>
      <c r="D114" s="379" t="str">
        <f>IFERROR(__xludf.DUMMYFUNCTION("if(len($A114)&lt;5,""-"",iferror(TEXTJOIN("" |=***=| "",TRUE,FILTER(('Input WO'!$A:$A&amp;"" + ""&amp;'Input WO'!$B:$B&amp;"" : ""&amp;'Input WO'!$C:$C&amp;"" + ""&amp;'Input WO'!$F:$F),'Input WO'!$E:$E=$A114)),""No see""))"),"WO_ICMS_20260701_123690031 + TNI0227 MYT_Checking quality for DG Fuel MYT_ME_DG_CHECK_FUEL; MYT_Maintenance_Generator_Change_Air_Filter, Clean Radiator and Clean Engine Room MYT_ME_DG_CHG_AIR_FIL_CLN_RAD_ENG; MYT_Maintenance_Generator_Change_Fuel_Filter M"&amp;"YT_ME_DG_CHG_FUEL_FIL; MYT_Maintenance_Generator_Change_Oil MYT_ME_DG_CHG_OIL; MYT_Maintenance_Generator_Change_Oil_Filter MYT_ME_DG_CHG_OIL_FIL : 234.08 + myt_khantchaw.nyo")</f>
        <v>WO_ICMS_20260701_123690031 + TNI0227 MYT_Checking quality for DG Fuel MYT_ME_DG_CHECK_FUEL; MYT_Maintenance_Generator_Change_Air_Filter, Clean Radiator and Clean Engine Room MYT_ME_DG_CHG_AIR_FIL_CLN_RAD_ENG; MYT_Maintenance_Generator_Change_Fuel_Filter MYT_ME_DG_CHG_FUEL_FIL; MYT_Maintenance_Generator_Change_Oil MYT_ME_DG_CHG_OIL; MYT_Maintenance_Generator_Change_Oil_Filter MYT_ME_DG_CHG_OIL_FIL : 234.08 + myt_khantchaw.nyo</v>
      </c>
      <c r="E114" s="379"/>
      <c r="F114" s="372"/>
      <c r="G114" s="372"/>
      <c r="H114" s="372"/>
      <c r="I114" s="372"/>
      <c r="J114" s="372"/>
      <c r="K114" s="369"/>
      <c r="L114" s="369"/>
      <c r="M114" s="373"/>
      <c r="N114" s="369"/>
      <c r="O114" s="369"/>
      <c r="P114" s="374"/>
      <c r="Q114" s="372"/>
      <c r="R114" s="372"/>
      <c r="S114" s="372"/>
      <c r="T114" s="372"/>
      <c r="U114" s="372"/>
      <c r="V114" s="372"/>
      <c r="W114" s="372"/>
      <c r="X114" s="372"/>
      <c r="Y114" s="372"/>
      <c r="Z114" s="372"/>
      <c r="AA114" s="372"/>
      <c r="AB114" s="372"/>
      <c r="AC114" s="372"/>
      <c r="AD114" s="372"/>
      <c r="AE114" s="372"/>
      <c r="AF114" s="372"/>
      <c r="AG114" s="372"/>
      <c r="AH114" s="372"/>
      <c r="AI114" s="372"/>
      <c r="AJ114" s="372"/>
      <c r="AK114" s="372"/>
      <c r="AL114" s="372"/>
      <c r="AM114" s="372"/>
    </row>
    <row r="115">
      <c r="A115" s="379" t="s">
        <v>466</v>
      </c>
      <c r="B115" s="379" t="str">
        <f t="array" ref="B115">if(len(A115)&lt;5,"-", iferror(Xlookup($A115,'Input WO'!$E:$E,'Input WO'!$F:$F),Xlookup($A115,'Input task'!$T:$T,'Input task'!$S:$S)
))</f>
        <v>myt_maung.maung11</v>
      </c>
      <c r="C115" s="398" t="str">
        <f>IFERROR(__xludf.DUMMYFUNCTION("if(len($A115)&lt;5,""-"",iferror(TEXTJOIN("" |=***=| "",TRUE,filter('Input task'!$D:$D&amp;"" : ""&amp;'Input task'!$E:$E&amp;"" : ""&amp;'Input task'!$K:$K&amp;"" + ""&amp;'Input task'!$H:$H,'Input task'!$J:$J="""",'Input task'!$T:$T=$A115)),""No see""))"),"No see")</f>
        <v>No see</v>
      </c>
      <c r="D115" s="379" t="str">
        <f>IFERROR(__xludf.DUMMYFUNCTION("if(len($A115)&lt;5,""-"",iferror(TEXTJOIN("" |=***=| "",TRUE,FILTER(('Input WO'!$A:$A&amp;"" + ""&amp;'Input WO'!$B:$B&amp;"" : ""&amp;'Input WO'!$C:$C&amp;"" + ""&amp;'Input WO'!$F:$F),'Input WO'!$E:$E=$A115)),""No see""))"),"WO_ICMS_20260701_123690044 + TNI0003 MYT_Checking quality for DG Fuel MYT_ME_DG_CHECK_FUEL; MYT_Maintenance_Generator_Change_Air_Filter, Clean Radiator and Clean Engine Room MYT_ME_DG_CHG_AIR_FIL_CLN_RAD_ENG; MYT_Maintenance_Generator_Change_Fuel_Filter M"&amp;"YT_ME_DG_CHG_FUEL_FIL; MYT_Maintenance_Generator_Change_Oil MYT_ME_DG_CHG_OIL; MYT_Maintenance_Generator_Change_Oil_Filter MYT_ME_DG_CHG_OIL_FIL : 234.08 + myt_maung.maung11")</f>
        <v>WO_ICMS_20260701_123690044 + TNI0003 MYT_Checking quality for DG Fuel MYT_ME_DG_CHECK_FUEL; MYT_Maintenance_Generator_Change_Air_Filter, Clean Radiator and Clean Engine Room MYT_ME_DG_CHG_AIR_FIL_CLN_RAD_ENG; MYT_Maintenance_Generator_Change_Fuel_Filter MYT_ME_DG_CHG_FUEL_FIL; MYT_Maintenance_Generator_Change_Oil MYT_ME_DG_CHG_OIL; MYT_Maintenance_Generator_Change_Oil_Filter MYT_ME_DG_CHG_OIL_FIL : 234.08 + myt_maung.maung11</v>
      </c>
      <c r="E115" s="379"/>
      <c r="F115" s="372"/>
      <c r="G115" s="372"/>
      <c r="H115" s="372"/>
      <c r="I115" s="372"/>
      <c r="J115" s="372"/>
      <c r="K115" s="369"/>
      <c r="L115" s="369"/>
      <c r="M115" s="373"/>
      <c r="N115" s="369"/>
      <c r="O115" s="369"/>
      <c r="P115" s="374"/>
      <c r="Q115" s="372"/>
      <c r="R115" s="372"/>
      <c r="S115" s="372"/>
      <c r="T115" s="372"/>
      <c r="U115" s="372"/>
      <c r="V115" s="372"/>
      <c r="W115" s="372"/>
      <c r="X115" s="372"/>
      <c r="Y115" s="372"/>
      <c r="Z115" s="372"/>
      <c r="AA115" s="372"/>
      <c r="AB115" s="372"/>
      <c r="AC115" s="372"/>
      <c r="AD115" s="372"/>
      <c r="AE115" s="372"/>
      <c r="AF115" s="372"/>
      <c r="AG115" s="372"/>
      <c r="AH115" s="372"/>
      <c r="AI115" s="372"/>
      <c r="AJ115" s="372"/>
      <c r="AK115" s="372"/>
      <c r="AL115" s="372"/>
      <c r="AM115" s="372"/>
    </row>
    <row r="116">
      <c r="A116" s="379" t="s">
        <v>467</v>
      </c>
      <c r="B116" s="379" t="str">
        <f t="array" ref="B116">if(len(A116)&lt;5,"-", iferror(Xlookup($A116,'Input WO'!$E:$E,'Input WO'!$F:$F),Xlookup($A116,'Input task'!$T:$T,'Input task'!$S:$S)
))</f>
        <v>myt_maung.maung11</v>
      </c>
      <c r="C116" s="398" t="str">
        <f>IFERROR(__xludf.DUMMYFUNCTION("if(len($A116)&lt;5,""-"",iferror(TEXTJOIN("" |=***=| "",TRUE,filter('Input task'!$D:$D&amp;"" : ""&amp;'Input task'!$E:$E&amp;"" : ""&amp;'Input task'!$K:$K&amp;"" + ""&amp;'Input task'!$H:$H,'Input task'!$J:$J="""",'Input task'!$T:$T=$A116)),""No see""))"),"No see")</f>
        <v>No see</v>
      </c>
      <c r="D116" s="379" t="str">
        <f>IFERROR(__xludf.DUMMYFUNCTION("if(len($A116)&lt;5,""-"",iferror(TEXTJOIN("" |=***=| "",TRUE,FILTER(('Input WO'!$A:$A&amp;"" + ""&amp;'Input WO'!$B:$B&amp;"" : ""&amp;'Input WO'!$C:$C&amp;"" + ""&amp;'Input WO'!$F:$F),'Input WO'!$E:$E=$A116)),""No see""))"),"WO_ICMS_20260701_123689786 + TNI0137 MYT_Checking quality for DG Fuel MYT_ME_DG_CHECK_FUEL; MYT_Maintenance_Generator_Change_Fuel_Filter MYT_ME_DG_CHG_FUEL_FIL; MYT_Maintenance_Generator_Change_Oil MYT_ME_DG_CHG_OIL; MYT_Maintenance_Generator_Change_Oil_F"&amp;"ilter MYT_ME_DG_CHG_OIL_FIL : 234.08 + myt_maung.maung11")</f>
        <v>WO_ICMS_20260701_123689786 + TNI0137 MYT_Checking quality for DG Fuel MYT_ME_DG_CHECK_FUEL; MYT_Maintenance_Generator_Change_Fuel_Filter MYT_ME_DG_CHG_FUEL_FIL; MYT_Maintenance_Generator_Change_Oil MYT_ME_DG_CHG_OIL; MYT_Maintenance_Generator_Change_Oil_Filter MYT_ME_DG_CHG_OIL_FIL : 234.08 + myt_maung.maung11</v>
      </c>
      <c r="E116" s="379"/>
      <c r="F116" s="372"/>
      <c r="G116" s="372"/>
      <c r="H116" s="372"/>
      <c r="I116" s="372"/>
      <c r="J116" s="372"/>
      <c r="K116" s="369"/>
      <c r="L116" s="369"/>
      <c r="M116" s="373"/>
      <c r="N116" s="369"/>
      <c r="O116" s="369"/>
      <c r="P116" s="374"/>
      <c r="Q116" s="372"/>
      <c r="R116" s="372"/>
      <c r="S116" s="372"/>
      <c r="T116" s="372"/>
      <c r="U116" s="372"/>
      <c r="V116" s="372"/>
      <c r="W116" s="372"/>
      <c r="X116" s="372"/>
      <c r="Y116" s="372"/>
      <c r="Z116" s="372"/>
      <c r="AA116" s="372"/>
      <c r="AB116" s="372"/>
      <c r="AC116" s="372"/>
      <c r="AD116" s="372"/>
      <c r="AE116" s="372"/>
      <c r="AF116" s="372"/>
      <c r="AG116" s="372"/>
      <c r="AH116" s="372"/>
      <c r="AI116" s="372"/>
      <c r="AJ116" s="372"/>
      <c r="AK116" s="372"/>
      <c r="AL116" s="372"/>
      <c r="AM116" s="372"/>
    </row>
    <row r="117">
      <c r="A117" s="379" t="s">
        <v>224</v>
      </c>
      <c r="B117" s="379" t="str">
        <f t="array" ref="B117">if(len(A117)&lt;5,"-", iferror(Xlookup($A117,'Input WO'!$E:$E,'Input WO'!$F:$F),Xlookup($A117,'Input task'!$T:$T,'Input task'!$S:$S)
))</f>
        <v>myt_maung.maung11</v>
      </c>
      <c r="C117" s="398" t="str">
        <f>IFERROR(__xludf.DUMMYFUNCTION("if(len($A117)&lt;5,""-"",iferror(TEXTJOIN("" |=***=| "",TRUE,filter('Input task'!$D:$D&amp;"" : ""&amp;'Input task'!$E:$E&amp;"" : ""&amp;'Input task'!$K:$K&amp;"" + ""&amp;'Input task'!$H:$H,'Input task'!$J:$J="""",'Input task'!$T:$T=$A117)),""No see""))"),"Return to send Branch Office : TNI0001 Recall PU : 2 Pcs Serial: 219561075423, 219561075422 :  +  |=***=| Check&amp;fixing Main Node Site : TNI0001, Check&amp;fixing Main Node &gt;&gt; Check power status and equipment room (Grounding, Air Con , Fire extinguisher, Light"&amp;" Bulb, ATS, DG Maintenance&gt;&gt; Check engine oil and filter change date) , all cabel into site from undergroun or not, Site Cleaning, Last pole status  :  + ")</f>
        <v>Return to send Branch Office : TNI0001 Recall PU : 2 Pcs Serial: 219561075423, 219561075422 :  +  |=***=| Check&amp;fixing Main Node Site : TNI0001, Check&amp;fixing Main Node &gt;&gt; Check power status and equipment room (Grounding, Air Con , Fire extinguisher, Light Bulb, ATS, DG Maintenance&gt;&gt; Check engine oil and filter change date) , all cabel into site from undergroun or not, Site Cleaning, Last pole status  :  + </v>
      </c>
      <c r="D117" s="379" t="str">
        <f>IFERROR(__xludf.DUMMYFUNCTION("if(len($A117)&lt;5,""-"",iferror(TEXTJOIN("" |=***=| "",TRUE,FILTER(('Input WO'!$A:$A&amp;"" + ""&amp;'Input WO'!$B:$B&amp;"" : ""&amp;'Input WO'!$C:$C&amp;"" + ""&amp;'Input WO'!$F:$F),'Input WO'!$E:$E=$A117)),""No see""))"),"WO_ICMS_20260625_123632720 + Patrolling cable routes TNI0001-TNI0269_00, TNI0001 + null – TNI0269 + null : 545.66 + myt_maung.maung11 |=***=| WO_WFM-OTHERS_20260523_123346425 + IP : TNI0001AGG001-TNI0258SRT001 link down at 22/05/2026 18:58:00 : -930.45 + "&amp;"myt_naymyo.thu |=***=| WO_ICMS_20260625_123632736 + Patrolling cable routes TNI0001-TNI0236_00, TNI0001 + null – TNI0236 + null : 545.66 + myt_pyikyaw.aung |=***=| WO_WFM-OTHERS_20260623_123612906 + Cable routes measure-BB-TNI0001-TNIM001 : 439.03 + myt_p"&amp;"yikyaw.aung |=***=| WO_WFM-OTHERS_20260623_123612916 + Cable routes measure-AC-TNI0001-TNI0036 : 439.03 + myt_pyikyaw.aung |=***=| WO_WFM-OTHERS_20260623_123612904 + Cable routes measure-BB-TNI0001-TNI0002 : 439.03 + myt_pyikyaw.aung |=***=| WO_WFM-OTHERS"&amp;"_20260623_123616238 + Cable Patrol for (BB)-TNI0001-TNIM001 : 439.03 + myt_wanna.oo2 |=***=| WO_WFM-OTHERS_20260623_123616237 + Cable Patrol for (BB)-TNI0001-TNI0002 : 439.03 + myt_wanna.oo2 |=***=| WO_WFM-OTHERS_20260623_123613121 + Cable routes measure-"&amp;"BB-TNI0001-TNIM001 : 439.03 + myt_wanna.oo2 |=***=| WO_WFM-OTHERS_20260623_123613119 + Cable routes measure-BB-TNI0001-TNI0002 : 439.03 + myt_zinmin.shein")</f>
        <v>WO_ICMS_20260625_123632720 + Patrolling cable routes TNI0001-TNI0269_00, TNI0001 + null – TNI0269 + null : 545.66 + myt_maung.maung11 |=***=| WO_WFM-OTHERS_20260523_123346425 + IP : TNI0001AGG001-TNI0258SRT001 link down at 22/05/2026 18:58:00 : -930.45 + myt_naymyo.thu |=***=| WO_ICMS_20260625_123632736 + Patrolling cable routes TNI0001-TNI0236_00, TNI0001 + null – TNI0236 + null : 545.66 + myt_pyikyaw.aung |=***=| WO_WFM-OTHERS_20260623_123612906 + Cable routes measure-BB-TNI0001-TNIM001 : 439.03 + myt_pyikyaw.aung |=***=| WO_WFM-OTHERS_20260623_123612916 + Cable routes measure-AC-TNI0001-TNI0036 : 439.03 + myt_pyikyaw.aung |=***=| WO_WFM-OTHERS_20260623_123612904 + Cable routes measure-BB-TNI0001-TNI0002 : 439.03 + myt_pyikyaw.aung |=***=| WO_WFM-OTHERS_20260623_123616238 + Cable Patrol for (BB)-TNI0001-TNIM001 : 439.03 + myt_wanna.oo2 |=***=| WO_WFM-OTHERS_20260623_123616237 + Cable Patrol for (BB)-TNI0001-TNI0002 : 439.03 + myt_wanna.oo2 |=***=| WO_WFM-OTHERS_20260623_123613121 + Cable routes measure-BB-TNI0001-TNIM001 : 439.03 + myt_wanna.oo2 |=***=| WO_WFM-OTHERS_20260623_123613119 + Cable routes measure-BB-TNI0001-TNI0002 : 439.03 + myt_zinmin.shein</v>
      </c>
      <c r="E117" s="379"/>
      <c r="F117" s="372"/>
      <c r="G117" s="372"/>
      <c r="H117" s="372"/>
      <c r="I117" s="372"/>
      <c r="J117" s="372"/>
      <c r="K117" s="369"/>
      <c r="L117" s="369"/>
      <c r="M117" s="373"/>
      <c r="N117" s="369"/>
      <c r="O117" s="369"/>
      <c r="P117" s="374"/>
      <c r="Q117" s="372"/>
      <c r="R117" s="372"/>
      <c r="S117" s="372"/>
      <c r="T117" s="372"/>
      <c r="U117" s="372"/>
      <c r="V117" s="372"/>
      <c r="W117" s="372"/>
      <c r="X117" s="372"/>
      <c r="Y117" s="372"/>
      <c r="Z117" s="372"/>
      <c r="AA117" s="372"/>
      <c r="AB117" s="372"/>
      <c r="AC117" s="372"/>
      <c r="AD117" s="372"/>
      <c r="AE117" s="372"/>
      <c r="AF117" s="372"/>
      <c r="AG117" s="372"/>
      <c r="AH117" s="372"/>
      <c r="AI117" s="372"/>
      <c r="AJ117" s="372"/>
      <c r="AK117" s="372"/>
      <c r="AL117" s="372"/>
      <c r="AM117" s="372"/>
    </row>
    <row r="118">
      <c r="A118" s="379" t="s">
        <v>468</v>
      </c>
      <c r="B118" s="379" t="str">
        <f t="array" ref="B118">if(len(A118)&lt;5,"-", iferror(Xlookup($A118,'Input WO'!$E:$E,'Input WO'!$F:$F),Xlookup($A118,'Input task'!$T:$T,'Input task'!$S:$S)
))</f>
        <v>myt_maung.maung11</v>
      </c>
      <c r="C118" s="398" t="str">
        <f>IFERROR(__xludf.DUMMYFUNCTION("if(len($A118)&lt;5,""-"",iferror(TEXTJOIN("" |=***=| "",TRUE,filter('Input task'!$D:$D&amp;"" : ""&amp;'Input task'!$E:$E&amp;"" : ""&amp;'Input task'!$K:$K&amp;"" + ""&amp;'Input task'!$H:$H,'Input task'!$J:$J="""",'Input task'!$T:$T=$A118)),""No see""))"),"No see")</f>
        <v>No see</v>
      </c>
      <c r="D118" s="379" t="str">
        <f>IFERROR(__xludf.DUMMYFUNCTION("if(len($A118)&lt;5,""-"",iferror(TEXTJOIN("" |=***=| "",TRUE,FILTER(('Input WO'!$A:$A&amp;"" + ""&amp;'Input WO'!$B:$B&amp;"" : ""&amp;'Input WO'!$C:$C&amp;"" + ""&amp;'Input WO'!$F:$F),'Input WO'!$E:$E=$A118)),""No see""))"),"WO_ICMS_20260625_123632719 + Patrolling cable routes TNI0081-TNI0268_00, TNI0081 + null – TNI0268 + null : 545.66 + myt_maung.maung11")</f>
        <v>WO_ICMS_20260625_123632719 + Patrolling cable routes TNI0081-TNI0268_00, TNI0081 + null – TNI0268 + null : 545.66 + myt_maung.maung11</v>
      </c>
      <c r="E118" s="379"/>
      <c r="F118" s="372"/>
      <c r="G118" s="372"/>
      <c r="H118" s="372"/>
      <c r="I118" s="372"/>
      <c r="J118" s="372"/>
      <c r="K118" s="369"/>
      <c r="L118" s="369"/>
      <c r="M118" s="373"/>
      <c r="N118" s="369"/>
      <c r="O118" s="369"/>
      <c r="P118" s="374"/>
      <c r="Q118" s="372"/>
      <c r="R118" s="372"/>
      <c r="S118" s="372"/>
      <c r="T118" s="372"/>
      <c r="U118" s="372"/>
      <c r="V118" s="372"/>
      <c r="W118" s="372"/>
      <c r="X118" s="372"/>
      <c r="Y118" s="372"/>
      <c r="Z118" s="372"/>
      <c r="AA118" s="372"/>
      <c r="AB118" s="372"/>
      <c r="AC118" s="372"/>
      <c r="AD118" s="372"/>
      <c r="AE118" s="372"/>
      <c r="AF118" s="372"/>
      <c r="AG118" s="372"/>
      <c r="AH118" s="372"/>
      <c r="AI118" s="372"/>
      <c r="AJ118" s="372"/>
      <c r="AK118" s="372"/>
      <c r="AL118" s="372"/>
      <c r="AM118" s="372"/>
    </row>
    <row r="119">
      <c r="A119" s="379" t="s">
        <v>469</v>
      </c>
      <c r="B119" s="379" t="str">
        <f t="array" ref="B119">if(len(A119)&lt;5,"-", iferror(Xlookup($A119,'Input WO'!$E:$E,'Input WO'!$F:$F),Xlookup($A119,'Input task'!$T:$T,'Input task'!$S:$S)
))</f>
        <v>myt_maung.maung11</v>
      </c>
      <c r="C119" s="398" t="str">
        <f>IFERROR(__xludf.DUMMYFUNCTION("if(len($A119)&lt;5,""-"",iferror(TEXTJOIN("" |=***=| "",TRUE,filter('Input task'!$D:$D&amp;"" : ""&amp;'Input task'!$E:$E&amp;"" : ""&amp;'Input task'!$K:$K&amp;"" + ""&amp;'Input task'!$H:$H,'Input task'!$J:$J="""",'Input task'!$T:$T=$A119)),""No see""))"),"Diode Kid Installation : TNI0236 Need to install diode kid :  + ")</f>
        <v>Diode Kid Installation : TNI0236 Need to install diode kid :  + </v>
      </c>
      <c r="D119" s="379" t="str">
        <f>IFERROR(__xludf.DUMMYFUNCTION("if(len($A119)&lt;5,""-"",iferror(TEXTJOIN("" |=***=| "",TRUE,FILTER(('Input WO'!$A:$A&amp;"" + ""&amp;'Input WO'!$B:$B&amp;"" : ""&amp;'Input WO'!$C:$C&amp;"" + ""&amp;'Input WO'!$F:$F),'Input WO'!$E:$E=$A119)),""No see""))"),"WO_ICMS_20260625_123632717 + Patrolling cable routes TNI0236-TNI0262_00, TNI0236 + null – TNI0262 + null : 545.66 + myt_maung.maung11")</f>
        <v>WO_ICMS_20260625_123632717 + Patrolling cable routes TNI0236-TNI0262_00, TNI0236 + null – TNI0262 + null : 545.66 + myt_maung.maung11</v>
      </c>
      <c r="E119" s="379"/>
      <c r="F119" s="372"/>
      <c r="G119" s="372"/>
      <c r="H119" s="372"/>
      <c r="I119" s="372"/>
      <c r="J119" s="372"/>
      <c r="K119" s="369"/>
      <c r="L119" s="369"/>
      <c r="M119" s="373"/>
      <c r="N119" s="369"/>
      <c r="O119" s="369"/>
      <c r="P119" s="374"/>
      <c r="Q119" s="372"/>
      <c r="R119" s="372"/>
      <c r="S119" s="372"/>
      <c r="T119" s="372"/>
      <c r="U119" s="372"/>
      <c r="V119" s="372"/>
      <c r="W119" s="372"/>
      <c r="X119" s="372"/>
      <c r="Y119" s="372"/>
      <c r="Z119" s="372"/>
      <c r="AA119" s="372"/>
      <c r="AB119" s="372"/>
      <c r="AC119" s="372"/>
      <c r="AD119" s="372"/>
      <c r="AE119" s="372"/>
      <c r="AF119" s="372"/>
      <c r="AG119" s="372"/>
      <c r="AH119" s="372"/>
      <c r="AI119" s="372"/>
      <c r="AJ119" s="372"/>
      <c r="AK119" s="372"/>
      <c r="AL119" s="372"/>
      <c r="AM119" s="372"/>
    </row>
    <row r="120">
      <c r="A120" s="379" t="s">
        <v>470</v>
      </c>
      <c r="B120" s="379" t="str">
        <f t="array" ref="B120">if(len(A120)&lt;5,"-", iferror(Xlookup($A120,'Input WO'!$E:$E,'Input WO'!$F:$F),Xlookup($A120,'Input task'!$T:$T,'Input task'!$S:$S)
))</f>
        <v>myt_maung.maung11</v>
      </c>
      <c r="C120" s="398" t="str">
        <f>IFERROR(__xludf.DUMMYFUNCTION("if(len($A120)&lt;5,""-"",iferror(TEXTJOIN("" |=***=| "",TRUE,filter('Input task'!$D:$D&amp;"" : ""&amp;'Input task'!$E:$E&amp;"" : ""&amp;'Input task'!$K:$K&amp;"" + ""&amp;'Input task'!$H:$H,'Input task'!$J:$J="""",'Input task'!$T:$T=$A120)),""No see""))"),"No see")</f>
        <v>No see</v>
      </c>
      <c r="D120" s="379" t="str">
        <f>IFERROR(__xludf.DUMMYFUNCTION("if(len($A120)&lt;5,""-"",iferror(TEXTJOIN("" |=***=| "",TRUE,FILTER(('Input WO'!$A:$A&amp;"" + ""&amp;'Input WO'!$B:$B&amp;"" : ""&amp;'Input WO'!$C:$C&amp;"" + ""&amp;'Input WO'!$F:$F),'Input WO'!$E:$E=$A120)),""No see""))"),"WO_ICMS_20260625_123632716 + Patrolling cable routes TNI0266-TNI0270_00, TNI0266 + null – TNI0270 + null : 545.66 + myt_maung.maung11")</f>
        <v>WO_ICMS_20260625_123632716 + Patrolling cable routes TNI0266-TNI0270_00, TNI0266 + null – TNI0270 + null : 545.66 + myt_maung.maung11</v>
      </c>
      <c r="E120" s="379"/>
      <c r="F120" s="372"/>
      <c r="G120" s="372"/>
      <c r="H120" s="372"/>
      <c r="I120" s="372"/>
      <c r="J120" s="372"/>
      <c r="K120" s="369"/>
      <c r="L120" s="369"/>
      <c r="M120" s="373"/>
      <c r="N120" s="369"/>
      <c r="O120" s="369"/>
      <c r="P120" s="374"/>
      <c r="Q120" s="372"/>
      <c r="R120" s="372"/>
      <c r="S120" s="372"/>
      <c r="T120" s="372"/>
      <c r="U120" s="372"/>
      <c r="V120" s="372"/>
      <c r="W120" s="372"/>
      <c r="X120" s="372"/>
      <c r="Y120" s="372"/>
      <c r="Z120" s="372"/>
      <c r="AA120" s="372"/>
      <c r="AB120" s="372"/>
      <c r="AC120" s="372"/>
      <c r="AD120" s="372"/>
      <c r="AE120" s="372"/>
      <c r="AF120" s="372"/>
      <c r="AG120" s="372"/>
      <c r="AH120" s="372"/>
      <c r="AI120" s="372"/>
      <c r="AJ120" s="372"/>
      <c r="AK120" s="372"/>
      <c r="AL120" s="372"/>
      <c r="AM120" s="372"/>
    </row>
    <row r="121">
      <c r="A121" s="379" t="s">
        <v>471</v>
      </c>
      <c r="B121" s="379" t="str">
        <f t="array" ref="B121">if(len(A121)&lt;5,"-", iferror(Xlookup($A121,'Input WO'!$E:$E,'Input WO'!$F:$F),Xlookup($A121,'Input task'!$T:$T,'Input task'!$S:$S)
))</f>
        <v>myt_maung.maung11</v>
      </c>
      <c r="C121" s="398" t="str">
        <f>IFERROR(__xludf.DUMMYFUNCTION("if(len($A121)&lt;5,""-"",iferror(TEXTJOIN("" |=***=| "",TRUE,filter('Input task'!$D:$D&amp;"" : ""&amp;'Input task'!$E:$E&amp;"" : ""&amp;'Input task'!$K:$K&amp;"" + ""&amp;'Input task'!$H:$H,'Input task'!$J:$J="""",'Input task'!$T:$T=$A121)),""No see""))"),"No see")</f>
        <v>No see</v>
      </c>
      <c r="D121" s="379" t="str">
        <f>IFERROR(__xludf.DUMMYFUNCTION("if(len($A121)&lt;5,""-"",iferror(TEXTJOIN("" |=***=| "",TRUE,FILTER(('Input WO'!$A:$A&amp;"" + ""&amp;'Input WO'!$B:$B&amp;"" : ""&amp;'Input WO'!$C:$C&amp;"" + ""&amp;'Input WO'!$F:$F),'Input WO'!$E:$E=$A121)),""No see""))"),"WO_ICMS_20260625_123632718 + Patrolling cable routes TNI0025-TNI0269_00, TNI0025 + null – TNI0269 + null : 545.66 + myt_maung.maung11 |=***=| WO_ICMS_20260625_123632738 + Patrolling cable routes TNI0025-TNI0258_00, TNI0025 + null – TNI0258 + null : 545.66"&amp;" + myt_pyikyaw.aung")</f>
        <v>WO_ICMS_20260625_123632718 + Patrolling cable routes TNI0025-TNI0269_00, TNI0025 + null – TNI0269 + null : 545.66 + myt_maung.maung11 |=***=| WO_ICMS_20260625_123632738 + Patrolling cable routes TNI0025-TNI0258_00, TNI0025 + null – TNI0258 + null : 545.66 + myt_pyikyaw.aung</v>
      </c>
      <c r="E121" s="379"/>
      <c r="F121" s="372"/>
      <c r="G121" s="372"/>
      <c r="H121" s="372"/>
      <c r="I121" s="372"/>
      <c r="J121" s="372"/>
      <c r="K121" s="369"/>
      <c r="L121" s="369"/>
      <c r="M121" s="373"/>
      <c r="N121" s="369"/>
      <c r="O121" s="369"/>
      <c r="P121" s="374"/>
      <c r="Q121" s="372"/>
      <c r="R121" s="372"/>
      <c r="S121" s="372"/>
      <c r="T121" s="372"/>
      <c r="U121" s="372"/>
      <c r="V121" s="372"/>
      <c r="W121" s="372"/>
      <c r="X121" s="372"/>
      <c r="Y121" s="372"/>
      <c r="Z121" s="372"/>
      <c r="AA121" s="372"/>
      <c r="AB121" s="372"/>
      <c r="AC121" s="372"/>
      <c r="AD121" s="372"/>
      <c r="AE121" s="372"/>
      <c r="AF121" s="372"/>
      <c r="AG121" s="372"/>
      <c r="AH121" s="372"/>
      <c r="AI121" s="372"/>
      <c r="AJ121" s="372"/>
      <c r="AK121" s="372"/>
      <c r="AL121" s="372"/>
      <c r="AM121" s="372"/>
    </row>
    <row r="122">
      <c r="A122" s="379" t="s">
        <v>225</v>
      </c>
      <c r="B122" s="379" t="str">
        <f t="array" ref="B122">if(len(A122)&lt;5,"-", iferror(Xlookup($A122,'Input WO'!$E:$E,'Input WO'!$F:$F),Xlookup($A122,'Input task'!$T:$T,'Input task'!$S:$S)
))</f>
        <v>myt_maung.maung11</v>
      </c>
      <c r="C122" s="398" t="str">
        <f>IFERROR(__xludf.DUMMYFUNCTION("if(len($A122)&lt;5,""-"",iferror(TEXTJOIN("" |=***=| "",TRUE,filter('Input task'!$D:$D&amp;"" : ""&amp;'Input task'!$E:$E&amp;"" : ""&amp;'Input task'!$K:$K&amp;"" + ""&amp;'Input task'!$H:$H,'Input task'!$J:$J="""",'Input task'!$T:$T=$A122)),""No see""))"),"Return to send Branch Office : TNI0003 Recall PU : 4 Pcs Serial: 219561075417, 219561075419, 219561075421, 219561075415 :  +  |=***=| Request Export material : TNI0003-TNI0007&gt;&gt;closure 2pcs and F8 cable 200,G72pcs . :  +  |=***=| Check&amp;fixing Main Node Si"&amp;"te : TNI0003, Check&amp;fixing Main Node &gt;&gt; Check power status and equipment room (Grounding, Air Con , Fire extinguisher, Light Bulb, ATS, DG Maintenance&gt;&gt; Check engine oil and filter change date) , all cabel into site from undergroun or not, Site Cleaning, "&amp;"Last pole status  :  + ")</f>
        <v>Return to send Branch Office : TNI0003 Recall PU : 4 Pcs Serial: 219561075417, 219561075419, 219561075421, 219561075415 :  +  |=***=| Request Export material : TNI0003-TNI0007&gt;&gt;closure 2pcs and F8 cable 200,G72pcs . :  +  |=***=| Check&amp;fixing Main Node Site : TNI0003, Check&amp;fixing Main Node &gt;&gt; Check power status and equipment room (Grounding, Air Con , Fire extinguisher, Light Bulb, ATS, DG Maintenance&gt;&gt; Check engine oil and filter change date) , all cabel into site from undergroun or not, Site Cleaning, Last pole status  :  + </v>
      </c>
      <c r="D122" s="379" t="str">
        <f>IFERROR(__xludf.DUMMYFUNCTION("if(len($A122)&lt;5,""-"",iferror(TEXTJOIN("" |=***=| "",TRUE,FILTER(('Input WO'!$A:$A&amp;"" + ""&amp;'Input WO'!$B:$B&amp;"" : ""&amp;'Input WO'!$C:$C&amp;"" + ""&amp;'Input WO'!$F:$F),'Input WO'!$E:$E=$A122)),""No see""))"),"WO_ICMS_20260625_123632259 + Patrolling cable routes TNI0003-TNI0007_00, TNI0003 + null – TNI0007 + null : 545.65 + myt_maung.maung11 |=***=| WO_ICMS_20260623_123613516 + TNI0003 MYT_Routine_Maintenance_Main_Station MYT_RTE_MTE_MAIN_STN : 502.17 + myt_mau"&amp;"ng.maung11 |=***=| WO_WFM-OTHERS_20260606_123460685 + IP : TNI0003SRT001-TNI0029SRT001 link down at 06/06/2026 11:40:00 : -594.45 + myt_naymyo.thu |=***=| WO_WFM-OTHERS_20260412_122987962 + IP : TNI0003AGG001 - TNI0346SRT001 link down at 12/04/2026 14:45:"&amp;"00 : -1913.45 + myt_naymyo.thu |=***=| WO_WFM-OTHERS_20260623_123612918 + Cable routes measure-AC-TNI0003-TNI0029 : 439.03 + myt_pyikyaw.aung |=***=| WO_WFM-OTHERS_20260623_123612907 + Cable routes measure-BB-TNI0003-TNIM003 : 439.03 + myt_pyikyaw.aung |="&amp;"***=| WO_WFM-OTHERS_20260623_123612905 + Cable routes measure-BB-TNI0003-TNIM002 : 439.03 + myt_pyikyaw.aung |=***=| WO_WFM-OTHERS_20260623_123616239 + Cable Patrol for (BB)-TNI0003-TNIM002 : 439.03 + myt_wanna.oo2 |=***=| WO_WFM-OTHERS_20260623_123616240"&amp;" + Cable Patrol for (BB)-TNI0003-TNIM003 : 439.03 + myt_wanna.oo2 |=***=| WO_WFM-OTHERS_20260623_123613120 + Cable routes measure-BB-TNI0003-TNIM002 : 439.03 + myt_wanna.oo2 |=***=| WO_WFM-OTHERS_20260623_123613122 + Cable routes measure-BB-TNI0003-TNIM00"&amp;"3 : 439.03 + myt_wanna.oo2")</f>
        <v>WO_ICMS_20260625_123632259 + Patrolling cable routes TNI0003-TNI0007_00, TNI0003 + null – TNI0007 + null : 545.65 + myt_maung.maung11 |=***=| WO_ICMS_20260623_123613516 + TNI0003 MYT_Routine_Maintenance_Main_Station MYT_RTE_MTE_MAIN_STN : 502.17 + myt_maung.maung11 |=***=| WO_WFM-OTHERS_20260606_123460685 + IP : TNI0003SRT001-TNI0029SRT001 link down at 06/06/2026 11:40:00 : -594.45 + myt_naymyo.thu |=***=| WO_WFM-OTHERS_20260412_122987962 + IP : TNI0003AGG001 - TNI0346SRT001 link down at 12/04/2026 14:45:00 : -1913.45 + myt_naymyo.thu |=***=| WO_WFM-OTHERS_20260623_123612918 + Cable routes measure-AC-TNI0003-TNI0029 : 439.03 + myt_pyikyaw.aung |=***=| WO_WFM-OTHERS_20260623_123612907 + Cable routes measure-BB-TNI0003-TNIM003 : 439.03 + myt_pyikyaw.aung |=***=| WO_WFM-OTHERS_20260623_123612905 + Cable routes measure-BB-TNI0003-TNIM002 : 439.03 + myt_pyikyaw.aung |=***=| WO_WFM-OTHERS_20260623_123616239 + Cable Patrol for (BB)-TNI0003-TNIM002 : 439.03 + myt_wanna.oo2 |=***=| WO_WFM-OTHERS_20260623_123616240 + Cable Patrol for (BB)-TNI0003-TNIM003 : 439.03 + myt_wanna.oo2 |=***=| WO_WFM-OTHERS_20260623_123613120 + Cable routes measure-BB-TNI0003-TNIM002 : 439.03 + myt_wanna.oo2 |=***=| WO_WFM-OTHERS_20260623_123613122 + Cable routes measure-BB-TNI0003-TNIM003 : 439.03 + myt_wanna.oo2</v>
      </c>
      <c r="E122" s="379"/>
      <c r="F122" s="372"/>
      <c r="G122" s="372"/>
      <c r="H122" s="372"/>
      <c r="I122" s="372"/>
      <c r="J122" s="372"/>
      <c r="K122" s="369"/>
      <c r="L122" s="369"/>
      <c r="M122" s="373"/>
      <c r="N122" s="369"/>
      <c r="O122" s="369"/>
      <c r="P122" s="374"/>
      <c r="Q122" s="372"/>
      <c r="R122" s="372"/>
      <c r="S122" s="372"/>
      <c r="T122" s="372"/>
      <c r="U122" s="372"/>
      <c r="V122" s="372"/>
      <c r="W122" s="372"/>
      <c r="X122" s="372"/>
      <c r="Y122" s="372"/>
      <c r="Z122" s="372"/>
      <c r="AA122" s="372"/>
      <c r="AB122" s="372"/>
      <c r="AC122" s="372"/>
      <c r="AD122" s="372"/>
      <c r="AE122" s="372"/>
      <c r="AF122" s="372"/>
      <c r="AG122" s="372"/>
      <c r="AH122" s="372"/>
      <c r="AI122" s="372"/>
      <c r="AJ122" s="372"/>
      <c r="AK122" s="372"/>
      <c r="AL122" s="372"/>
      <c r="AM122" s="372"/>
    </row>
    <row r="123">
      <c r="A123" s="379" t="s">
        <v>472</v>
      </c>
      <c r="B123" s="379" t="str">
        <f t="array" ref="B123">if(len(A123)&lt;5,"-", iferror(Xlookup($A123,'Input WO'!$E:$E,'Input WO'!$F:$F),Xlookup($A123,'Input task'!$T:$T,'Input task'!$S:$S)
))</f>
        <v>myt_maung.maung11</v>
      </c>
      <c r="C123" s="398" t="str">
        <f>IFERROR(__xludf.DUMMYFUNCTION("if(len($A123)&lt;5,""-"",iferror(TEXTJOIN("" |=***=| "",TRUE,filter('Input task'!$D:$D&amp;"" : ""&amp;'Input task'!$E:$E&amp;"" : ""&amp;'Input task'!$K:$K&amp;"" + ""&amp;'Input task'!$H:$H,'Input task'!$J:$J="""",'Input task'!$T:$T=$A123)),""No see""))"),"Request Export material : TNI0280-TNI0352&gt;&gt;F8 cable 200m,closure 2pcs :  +  |=***=| 100 point plan : TNI0280 100 point plan need to clean site overview inside and outeside and make to neatly patchord cable. :  + ")</f>
        <v>Request Export material : TNI0280-TNI0352&gt;&gt;F8 cable 200m,closure 2pcs :  +  |=***=| 100 point plan : TNI0280 100 point plan need to clean site overview inside and outeside and make to neatly patchord cable. :  + </v>
      </c>
      <c r="D123" s="379" t="str">
        <f>IFERROR(__xludf.DUMMYFUNCTION("if(len($A123)&lt;5,""-"",iferror(TEXTJOIN("" |=***=| "",TRUE,FILTER(('Input WO'!$A:$A&amp;"" + ""&amp;'Input WO'!$B:$B&amp;"" : ""&amp;'Input WO'!$C:$C&amp;"" + ""&amp;'Input WO'!$F:$F),'Input WO'!$E:$E=$A123)),""No see""))"),"WO_WFM-OTHERS_20260623_123616261 + Cable Patrol for (AC)-TNI0280-TNIM068 : 439.03 + myt_maung.maung11 |=***=| WO_WFM-OTHERS_20260623_123612908 + Cable routes measure-AC-TNI0280-TNI0352 : 439.03 + myt_pyikyaw.aung |=***=| WO_WFM-OTHERS_20260623_123613123 +"&amp;" Cable routes measure-AC-TNI0280-TNI0352 : 439.03 + myt_wanna.oo2")</f>
        <v>WO_WFM-OTHERS_20260623_123616261 + Cable Patrol for (AC)-TNI0280-TNIM068 : 439.03 + myt_maung.maung11 |=***=| WO_WFM-OTHERS_20260623_123612908 + Cable routes measure-AC-TNI0280-TNI0352 : 439.03 + myt_pyikyaw.aung |=***=| WO_WFM-OTHERS_20260623_123613123 + Cable routes measure-AC-TNI0280-TNI0352 : 439.03 + myt_wanna.oo2</v>
      </c>
      <c r="E123" s="379"/>
      <c r="F123" s="372"/>
      <c r="G123" s="372"/>
      <c r="H123" s="372"/>
      <c r="I123" s="372"/>
      <c r="J123" s="372"/>
      <c r="K123" s="369"/>
      <c r="L123" s="369"/>
      <c r="M123" s="373"/>
      <c r="N123" s="369"/>
      <c r="O123" s="369"/>
      <c r="P123" s="374"/>
      <c r="Q123" s="372"/>
      <c r="R123" s="372"/>
      <c r="S123" s="372"/>
      <c r="T123" s="372"/>
      <c r="U123" s="372"/>
      <c r="V123" s="372"/>
      <c r="W123" s="372"/>
      <c r="X123" s="372"/>
      <c r="Y123" s="372"/>
      <c r="Z123" s="372"/>
      <c r="AA123" s="372"/>
      <c r="AB123" s="372"/>
      <c r="AC123" s="372"/>
      <c r="AD123" s="372"/>
      <c r="AE123" s="372"/>
      <c r="AF123" s="372"/>
      <c r="AG123" s="372"/>
      <c r="AH123" s="372"/>
      <c r="AI123" s="372"/>
      <c r="AJ123" s="372"/>
      <c r="AK123" s="372"/>
      <c r="AL123" s="372"/>
      <c r="AM123" s="372"/>
    </row>
    <row r="124">
      <c r="A124" s="379" t="s">
        <v>473</v>
      </c>
      <c r="B124" s="379" t="str">
        <f t="array" ref="B124">if(len(A124)&lt;5,"-", iferror(Xlookup($A124,'Input WO'!$E:$E,'Input WO'!$F:$F),Xlookup($A124,'Input task'!$T:$T,'Input task'!$S:$S)
))</f>
        <v>myt_maung.maung11</v>
      </c>
      <c r="C124" s="398" t="str">
        <f>IFERROR(__xludf.DUMMYFUNCTION("if(len($A124)&lt;5,""-"",iferror(TEXTJOIN("" |=***=| "",TRUE,filter('Input task'!$D:$D&amp;"" : ""&amp;'Input task'!$E:$E&amp;"" : ""&amp;'Input task'!$K:$K&amp;"" + ""&amp;'Input task'!$H:$H,'Input task'!$J:$J="""",'Input task'!$T:$T=$A124)),""No see""))"),"No see")</f>
        <v>No see</v>
      </c>
      <c r="D124" s="379" t="str">
        <f>IFERROR(__xludf.DUMMYFUNCTION("if(len($A124)&lt;5,""-"",iferror(TEXTJOIN("" |=***=| "",TRUE,FILTER(('Input WO'!$A:$A&amp;"" + ""&amp;'Input WO'!$B:$B&amp;"" : ""&amp;'Input WO'!$C:$C&amp;"" + ""&amp;'Input WO'!$F:$F),'Input WO'!$E:$E=$A124)),""No see""))"),"WO_WFM-OTHERS_20260623_123616262 + Cable Patrol for (AC)-TNI0349-JB(TNI0003-TNI0007) : 439.03 + myt_maung.maung11")</f>
        <v>WO_WFM-OTHERS_20260623_123616262 + Cable Patrol for (AC)-TNI0349-JB(TNI0003-TNI0007) : 439.03 + myt_maung.maung11</v>
      </c>
      <c r="E124" s="379"/>
      <c r="F124" s="372"/>
      <c r="G124" s="372"/>
      <c r="H124" s="372"/>
      <c r="I124" s="372"/>
      <c r="J124" s="372"/>
      <c r="K124" s="369"/>
      <c r="L124" s="369"/>
      <c r="M124" s="373"/>
      <c r="N124" s="369"/>
      <c r="O124" s="369"/>
      <c r="P124" s="374"/>
      <c r="Q124" s="372"/>
      <c r="R124" s="372"/>
      <c r="S124" s="372"/>
      <c r="T124" s="372"/>
      <c r="U124" s="372"/>
      <c r="V124" s="372"/>
      <c r="W124" s="372"/>
      <c r="X124" s="372"/>
      <c r="Y124" s="372"/>
      <c r="Z124" s="372"/>
      <c r="AA124" s="372"/>
      <c r="AB124" s="372"/>
      <c r="AC124" s="372"/>
      <c r="AD124" s="372"/>
      <c r="AE124" s="372"/>
      <c r="AF124" s="372"/>
      <c r="AG124" s="372"/>
      <c r="AH124" s="372"/>
      <c r="AI124" s="372"/>
      <c r="AJ124" s="372"/>
      <c r="AK124" s="372"/>
      <c r="AL124" s="372"/>
      <c r="AM124" s="372"/>
    </row>
    <row r="125">
      <c r="A125" s="379" t="s">
        <v>474</v>
      </c>
      <c r="B125" s="379" t="str">
        <f t="array" ref="B125">if(len(A125)&lt;5,"-", iferror(Xlookup($A125,'Input WO'!$E:$E,'Input WO'!$F:$F),Xlookup($A125,'Input task'!$T:$T,'Input task'!$S:$S)
))</f>
        <v>myt_maung.maung11</v>
      </c>
      <c r="C125" s="398" t="str">
        <f>IFERROR(__xludf.DUMMYFUNCTION("if(len($A125)&lt;5,""-"",iferror(TEXTJOIN("" |=***=| "",TRUE,filter('Input task'!$D:$D&amp;"" : ""&amp;'Input task'!$E:$E&amp;"" : ""&amp;'Input task'!$K:$K&amp;"" + ""&amp;'Input task'!$H:$H,'Input task'!$J:$J="""",'Input task'!$T:$T=$A125)),""No see""))"),"Change MBB : TNI0339 Need to change shoto battery 4 pcs :  +  |=***=| Fuel Lose : TNI0339 Need to cover DG drain hole with cement. :  + VCM290207-Min Paing Oo, VCM811568-Aung Kyaw Latt |=***=| Smart CB : TNI0339 :  + ")</f>
        <v>Change MBB : TNI0339 Need to change shoto battery 4 pcs :  +  |=***=| Fuel Lose : TNI0339 Need to cover DG drain hole with cement. :  + VCM290207-Min Paing Oo, VCM811568-Aung Kyaw Latt |=***=| Smart CB : TNI0339 :  + </v>
      </c>
      <c r="D125" s="379" t="str">
        <f>IFERROR(__xludf.DUMMYFUNCTION("if(len($A125)&lt;5,""-"",iferror(TEXTJOIN("" |=***=| "",TRUE,FILTER(('Input WO'!$A:$A&amp;"" + ""&amp;'Input WO'!$B:$B&amp;"" : ""&amp;'Input WO'!$C:$C&amp;"" + ""&amp;'Input WO'!$F:$F),'Input WO'!$E:$E=$A125)),""No see""))"),"WO_WFM-OTHERS_20260623_123616260 + Cable Patrol for (AC)-TNI0339-JB(TNI0005-TNI0007) : 439.03 + myt_maung.maung11")</f>
        <v>WO_WFM-OTHERS_20260623_123616260 + Cable Patrol for (AC)-TNI0339-JB(TNI0005-TNI0007) : 439.03 + myt_maung.maung11</v>
      </c>
      <c r="E125" s="379"/>
      <c r="F125" s="372"/>
      <c r="G125" s="372"/>
      <c r="H125" s="372"/>
      <c r="I125" s="372"/>
      <c r="J125" s="372"/>
      <c r="K125" s="369"/>
      <c r="L125" s="369"/>
      <c r="M125" s="373"/>
      <c r="N125" s="369"/>
      <c r="O125" s="369"/>
      <c r="P125" s="374"/>
      <c r="Q125" s="372"/>
      <c r="R125" s="372"/>
      <c r="S125" s="372"/>
      <c r="T125" s="372"/>
      <c r="U125" s="372"/>
      <c r="V125" s="372"/>
      <c r="W125" s="372"/>
      <c r="X125" s="372"/>
      <c r="Y125" s="372"/>
      <c r="Z125" s="372"/>
      <c r="AA125" s="372"/>
      <c r="AB125" s="372"/>
      <c r="AC125" s="372"/>
      <c r="AD125" s="372"/>
      <c r="AE125" s="372"/>
      <c r="AF125" s="372"/>
      <c r="AG125" s="372"/>
      <c r="AH125" s="372"/>
      <c r="AI125" s="372"/>
      <c r="AJ125" s="372"/>
      <c r="AK125" s="372"/>
      <c r="AL125" s="372"/>
      <c r="AM125" s="372"/>
    </row>
    <row r="126">
      <c r="A126" s="379" t="s">
        <v>475</v>
      </c>
      <c r="B126" s="379" t="str">
        <f t="array" ref="B126">if(len(A126)&lt;5,"-", iferror(Xlookup($A126,'Input WO'!$E:$E,'Input WO'!$F:$F),Xlookup($A126,'Input task'!$T:$T,'Input task'!$S:$S)
))</f>
        <v>myt_maung.maung11</v>
      </c>
      <c r="C126" s="398" t="str">
        <f>IFERROR(__xludf.DUMMYFUNCTION("if(len($A126)&lt;5,""-"",iferror(TEXTJOIN("" |=***=| "",TRUE,filter('Input task'!$D:$D&amp;"" : ""&amp;'Input task'!$E:$E&amp;"" : ""&amp;'Input task'!$K:$K&amp;"" + ""&amp;'Input task'!$H:$H,'Input task'!$J:$J="""",'Input task'!$T:$T=$A126)),""No see""))"),"Request Export material : TNI0291-TNIM076&gt;&gt;closure 2 pcs ,24F8 cable- 150 m :  + ")</f>
        <v>Request Export material : TNI0291-TNIM076&gt;&gt;closure 2 pcs ,24F8 cable- 150 m :  + </v>
      </c>
      <c r="D126" s="379" t="str">
        <f>IFERROR(__xludf.DUMMYFUNCTION("if(len($A126)&lt;5,""-"",iferror(TEXTJOIN("" |=***=| "",TRUE,FILTER(('Input WO'!$A:$A&amp;"" + ""&amp;'Input WO'!$B:$B&amp;"" : ""&amp;'Input WO'!$C:$C&amp;"" + ""&amp;'Input WO'!$F:$F),'Input WO'!$E:$E=$A126)),""No see""))"),"WO_WFM-OTHERS_20260623_123616250 + Cable Patrol for (AC)-TNI0291-TNIM076 : 439.03 + myt_maung.maung11")</f>
        <v>WO_WFM-OTHERS_20260623_123616250 + Cable Patrol for (AC)-TNI0291-TNIM076 : 439.03 + myt_maung.maung11</v>
      </c>
      <c r="E126" s="379"/>
      <c r="F126" s="372"/>
      <c r="G126" s="372"/>
      <c r="H126" s="372"/>
      <c r="I126" s="372"/>
      <c r="J126" s="372"/>
      <c r="K126" s="369"/>
      <c r="L126" s="369"/>
      <c r="M126" s="373"/>
      <c r="N126" s="369"/>
      <c r="O126" s="369"/>
      <c r="P126" s="374"/>
      <c r="Q126" s="372"/>
      <c r="R126" s="372"/>
      <c r="S126" s="372"/>
      <c r="T126" s="372"/>
      <c r="U126" s="372"/>
      <c r="V126" s="372"/>
      <c r="W126" s="372"/>
      <c r="X126" s="372"/>
      <c r="Y126" s="372"/>
      <c r="Z126" s="372"/>
      <c r="AA126" s="372"/>
      <c r="AB126" s="372"/>
      <c r="AC126" s="372"/>
      <c r="AD126" s="372"/>
      <c r="AE126" s="372"/>
      <c r="AF126" s="372"/>
      <c r="AG126" s="372"/>
      <c r="AH126" s="372"/>
      <c r="AI126" s="372"/>
      <c r="AJ126" s="372"/>
      <c r="AK126" s="372"/>
      <c r="AL126" s="372"/>
      <c r="AM126" s="372"/>
    </row>
    <row r="127">
      <c r="A127" s="379" t="s">
        <v>476</v>
      </c>
      <c r="B127" s="379" t="str">
        <f t="array" ref="B127">if(len(A127)&lt;5,"-", iferror(Xlookup($A127,'Input WO'!$E:$E,'Input WO'!$F:$F),Xlookup($A127,'Input task'!$T:$T,'Input task'!$S:$S)
))</f>
        <v>myt_maung.maung11</v>
      </c>
      <c r="C127" s="398" t="str">
        <f>IFERROR(__xludf.DUMMYFUNCTION("if(len($A127)&lt;5,""-"",iferror(TEXTJOIN("" |=***=| "",TRUE,filter('Input task'!$D:$D&amp;"" : ""&amp;'Input task'!$E:$E&amp;"" : ""&amp;'Input task'!$K:$K&amp;"" + ""&amp;'Input task'!$H:$H,'Input task'!$J:$J="""",'Input task'!$T:$T=$A127)),""No see""))"),"No see")</f>
        <v>No see</v>
      </c>
      <c r="D127" s="379" t="str">
        <f>IFERROR(__xludf.DUMMYFUNCTION("if(len($A127)&lt;5,""-"",iferror(TEXTJOIN("" |=***=| "",TRUE,FILTER(('Input WO'!$A:$A&amp;"" + ""&amp;'Input WO'!$B:$B&amp;"" : ""&amp;'Input WO'!$C:$C&amp;"" + ""&amp;'Input WO'!$F:$F),'Input WO'!$E:$E=$A127)),""No see""))"),"WO_WFM-OTHERS_20260623_123616254 + Cable Patrol for (AC)-TNI0127-TNIM042 : 439.03 + myt_maung.maung11")</f>
        <v>WO_WFM-OTHERS_20260623_123616254 + Cable Patrol for (AC)-TNI0127-TNIM042 : 439.03 + myt_maung.maung11</v>
      </c>
      <c r="E127" s="379"/>
      <c r="F127" s="372"/>
      <c r="G127" s="372"/>
      <c r="H127" s="372"/>
      <c r="I127" s="372"/>
      <c r="J127" s="372"/>
      <c r="K127" s="369"/>
      <c r="L127" s="369"/>
      <c r="M127" s="373"/>
      <c r="N127" s="369"/>
      <c r="O127" s="369"/>
      <c r="P127" s="374"/>
      <c r="Q127" s="372"/>
      <c r="R127" s="372"/>
      <c r="S127" s="372"/>
      <c r="T127" s="372"/>
      <c r="U127" s="372"/>
      <c r="V127" s="372"/>
      <c r="W127" s="372"/>
      <c r="X127" s="372"/>
      <c r="Y127" s="372"/>
      <c r="Z127" s="372"/>
      <c r="AA127" s="372"/>
      <c r="AB127" s="372"/>
      <c r="AC127" s="372"/>
      <c r="AD127" s="372"/>
      <c r="AE127" s="372"/>
      <c r="AF127" s="372"/>
      <c r="AG127" s="372"/>
      <c r="AH127" s="372"/>
      <c r="AI127" s="372"/>
      <c r="AJ127" s="372"/>
      <c r="AK127" s="372"/>
      <c r="AL127" s="372"/>
      <c r="AM127" s="372"/>
    </row>
    <row r="128">
      <c r="A128" s="379" t="s">
        <v>477</v>
      </c>
      <c r="B128" s="379" t="str">
        <f t="array" ref="B128">if(len(A128)&lt;5,"-", iferror(Xlookup($A128,'Input WO'!$E:$E,'Input WO'!$F:$F),Xlookup($A128,'Input task'!$T:$T,'Input task'!$S:$S)
))</f>
        <v>myt_maung.maung11</v>
      </c>
      <c r="C128" s="398" t="str">
        <f>IFERROR(__xludf.DUMMYFUNCTION("if(len($A128)&lt;5,""-"",iferror(TEXTJOIN("" |=***=| "",TRUE,filter('Input task'!$D:$D&amp;"" : ""&amp;'Input task'!$E:$E&amp;"" : ""&amp;'Input task'!$K:$K&amp;"" + ""&amp;'Input task'!$H:$H,'Input task'!$J:$J="""",'Input task'!$T:$T=$A128)),""No see""))"),"No see")</f>
        <v>No see</v>
      </c>
      <c r="D128" s="379" t="str">
        <f>IFERROR(__xludf.DUMMYFUNCTION("if(len($A128)&lt;5,""-"",iferror(TEXTJOIN("" |=***=| "",TRUE,FILTER(('Input WO'!$A:$A&amp;"" + ""&amp;'Input WO'!$B:$B&amp;"" : ""&amp;'Input WO'!$C:$C&amp;"" + ""&amp;'Input WO'!$F:$F),'Input WO'!$E:$E=$A128)),""No see""))"),"WO_WFM-OTHERS_20260623_123616256 + Cable Patrol for (AC)-TNI0336-JB(TNI0005-TNI0007) : 439.03 + myt_maung.maung11 |=***=| WO_WFM-OTHERS_20260622_123603235 + TNI0336_Cleaning Radiator and change engine oil : -41.95 + myt_pyikyaw.aung")</f>
        <v>WO_WFM-OTHERS_20260623_123616256 + Cable Patrol for (AC)-TNI0336-JB(TNI0005-TNI0007) : 439.03 + myt_maung.maung11 |=***=| WO_WFM-OTHERS_20260622_123603235 + TNI0336_Cleaning Radiator and change engine oil : -41.95 + myt_pyikyaw.aung</v>
      </c>
      <c r="E128" s="379"/>
      <c r="F128" s="372"/>
      <c r="G128" s="372"/>
      <c r="H128" s="372"/>
      <c r="I128" s="372"/>
      <c r="J128" s="372"/>
      <c r="K128" s="369"/>
      <c r="L128" s="369"/>
      <c r="M128" s="373"/>
      <c r="N128" s="369"/>
      <c r="O128" s="369"/>
      <c r="P128" s="374"/>
      <c r="Q128" s="372"/>
      <c r="R128" s="372"/>
      <c r="S128" s="372"/>
      <c r="T128" s="372"/>
      <c r="U128" s="372"/>
      <c r="V128" s="372"/>
      <c r="W128" s="372"/>
      <c r="X128" s="372"/>
      <c r="Y128" s="372"/>
      <c r="Z128" s="372"/>
      <c r="AA128" s="372"/>
      <c r="AB128" s="372"/>
      <c r="AC128" s="372"/>
      <c r="AD128" s="372"/>
      <c r="AE128" s="372"/>
      <c r="AF128" s="372"/>
      <c r="AG128" s="372"/>
      <c r="AH128" s="372"/>
      <c r="AI128" s="372"/>
      <c r="AJ128" s="372"/>
      <c r="AK128" s="372"/>
      <c r="AL128" s="372"/>
      <c r="AM128" s="372"/>
    </row>
    <row r="129">
      <c r="A129" s="379" t="s">
        <v>478</v>
      </c>
      <c r="B129" s="379" t="str">
        <f t="array" ref="B129">if(len(A129)&lt;5,"-", iferror(Xlookup($A129,'Input WO'!$E:$E,'Input WO'!$F:$F),Xlookup($A129,'Input task'!$T:$T,'Input task'!$S:$S)
))</f>
        <v>myt_maung.maung11</v>
      </c>
      <c r="C129" s="398" t="str">
        <f>IFERROR(__xludf.DUMMYFUNCTION("if(len($A129)&lt;5,""-"",iferror(TEXTJOIN("" |=***=| "",TRUE,filter('Input task'!$D:$D&amp;"" : ""&amp;'Input task'!$E:$E&amp;"" : ""&amp;'Input task'!$K:$K&amp;"" + ""&amp;'Input task'!$H:$H,'Input task'!$J:$J="""",'Input task'!$T:$T=$A129)),""No see""))"),"No see")</f>
        <v>No see</v>
      </c>
      <c r="D129" s="379" t="str">
        <f>IFERROR(__xludf.DUMMYFUNCTION("if(len($A129)&lt;5,""-"",iferror(TEXTJOIN("" |=***=| "",TRUE,FILTER(('Input WO'!$A:$A&amp;"" + ""&amp;'Input WO'!$B:$B&amp;"" : ""&amp;'Input WO'!$C:$C&amp;"" + ""&amp;'Input WO'!$F:$F),'Input WO'!$E:$E=$A129)),""No see""))"),"WO_ICMS_20260623_123615115 + TNI0248 MYT_Routine_Maintenance_Mytel_Station MYT_RTE_MTE_SB_STN : 886.64 + myt_maung.maung11")</f>
        <v>WO_ICMS_20260623_123615115 + TNI0248 MYT_Routine_Maintenance_Mytel_Station MYT_RTE_MTE_SB_STN : 886.64 + myt_maung.maung11</v>
      </c>
      <c r="E129" s="379"/>
      <c r="F129" s="372"/>
      <c r="G129" s="372"/>
      <c r="H129" s="372"/>
      <c r="I129" s="372"/>
      <c r="J129" s="372"/>
      <c r="K129" s="369"/>
      <c r="L129" s="369"/>
      <c r="M129" s="373"/>
      <c r="N129" s="369"/>
      <c r="O129" s="369"/>
      <c r="P129" s="374"/>
      <c r="Q129" s="372"/>
      <c r="R129" s="372"/>
      <c r="S129" s="372"/>
      <c r="T129" s="372"/>
      <c r="U129" s="372"/>
      <c r="V129" s="372"/>
      <c r="W129" s="372"/>
      <c r="X129" s="372"/>
      <c r="Y129" s="372"/>
      <c r="Z129" s="372"/>
      <c r="AA129" s="372"/>
      <c r="AB129" s="372"/>
      <c r="AC129" s="372"/>
      <c r="AD129" s="372"/>
      <c r="AE129" s="372"/>
      <c r="AF129" s="372"/>
      <c r="AG129" s="372"/>
      <c r="AH129" s="372"/>
      <c r="AI129" s="372"/>
      <c r="AJ129" s="372"/>
      <c r="AK129" s="372"/>
      <c r="AL129" s="372"/>
      <c r="AM129" s="372"/>
    </row>
    <row r="130">
      <c r="A130" s="379" t="s">
        <v>479</v>
      </c>
      <c r="B130" s="379" t="str">
        <f t="array" ref="B130">if(len(A130)&lt;5,"-", iferror(Xlookup($A130,'Input WO'!$E:$E,'Input WO'!$F:$F),Xlookup($A130,'Input task'!$T:$T,'Input task'!$S:$S)
))</f>
        <v>myt_maung.maung11</v>
      </c>
      <c r="C130" s="398" t="str">
        <f>IFERROR(__xludf.DUMMYFUNCTION("if(len($A130)&lt;5,""-"",iferror(TEXTJOIN("" |=***=| "",TRUE,filter('Input task'!$D:$D&amp;"" : ""&amp;'Input task'!$E:$E&amp;"" : ""&amp;'Input task'!$K:$K&amp;"" + ""&amp;'Input task'!$H:$H,'Input task'!$J:$J="""",'Input task'!$T:$T=$A130)),""No see""))"),"100 point plan : TNI0258 100 point plan need to clean site overview inside and outeside and make to neatly patchord cable. :  + ")</f>
        <v>100 point plan : TNI0258 100 point plan need to clean site overview inside and outeside and make to neatly patchord cable. :  + </v>
      </c>
      <c r="D130" s="379" t="str">
        <f>IFERROR(__xludf.DUMMYFUNCTION("if(len($A130)&lt;5,""-"",iferror(TEXTJOIN("" |=***=| "",TRUE,FILTER(('Input WO'!$A:$A&amp;"" + ""&amp;'Input WO'!$B:$B&amp;"" : ""&amp;'Input WO'!$C:$C&amp;"" + ""&amp;'Input WO'!$F:$F),'Input WO'!$E:$E=$A130)),""No see""))"),"WO_ICMS_20260623_123615078 + TNI0258 MYT_Routine_Maintenance_Mytel_Station MYT_RTE_MTE_SB_STN : 886.64 + myt_maung.maung11 |=***=| WO_QLCTKT_20260506_123198422 + TNI0258 - Repair infrastructure - bla: Cleaning the station, remove grass, vines, tree, rubbi"&amp;"sh, recall unused equipment, material: Clean the station : -1208.01 + myt_maung.maung11")</f>
        <v>WO_ICMS_20260623_123615078 + TNI0258 MYT_Routine_Maintenance_Mytel_Station MYT_RTE_MTE_SB_STN : 886.64 + myt_maung.maung11 |=***=| WO_QLCTKT_20260506_123198422 + TNI0258 - Repair infrastructure - bla: Cleaning the station, remove grass, vines, tree, rubbish, recall unused equipment, material: Clean the station : -1208.01 + myt_maung.maung11</v>
      </c>
      <c r="E130" s="379"/>
      <c r="F130" s="372"/>
      <c r="G130" s="372"/>
      <c r="H130" s="372"/>
      <c r="I130" s="372"/>
      <c r="J130" s="372"/>
      <c r="K130" s="369"/>
      <c r="L130" s="369"/>
      <c r="M130" s="373"/>
      <c r="N130" s="369"/>
      <c r="O130" s="369"/>
      <c r="P130" s="374"/>
      <c r="Q130" s="372"/>
      <c r="R130" s="372"/>
      <c r="S130" s="372"/>
      <c r="T130" s="372"/>
      <c r="U130" s="372"/>
      <c r="V130" s="372"/>
      <c r="W130" s="372"/>
      <c r="X130" s="372"/>
      <c r="Y130" s="372"/>
      <c r="Z130" s="372"/>
      <c r="AA130" s="372"/>
      <c r="AB130" s="372"/>
      <c r="AC130" s="372"/>
      <c r="AD130" s="372"/>
      <c r="AE130" s="372"/>
      <c r="AF130" s="372"/>
      <c r="AG130" s="372"/>
      <c r="AH130" s="372"/>
      <c r="AI130" s="372"/>
      <c r="AJ130" s="372"/>
      <c r="AK130" s="372"/>
      <c r="AL130" s="372"/>
      <c r="AM130" s="372"/>
    </row>
    <row r="131">
      <c r="A131" s="379" t="s">
        <v>480</v>
      </c>
      <c r="B131" s="379" t="str">
        <f t="array" ref="B131">if(len(A131)&lt;5,"-", iferror(Xlookup($A131,'Input WO'!$E:$E,'Input WO'!$F:$F),Xlookup($A131,'Input task'!$T:$T,'Input task'!$S:$S)
))</f>
        <v>myt_maung.maung11</v>
      </c>
      <c r="C131" s="398" t="str">
        <f>IFERROR(__xludf.DUMMYFUNCTION("if(len($A131)&lt;5,""-"",iferror(TEXTJOIN("" |=***=| "",TRUE,filter('Input task'!$D:$D&amp;"" : ""&amp;'Input task'!$E:$E&amp;"" : ""&amp;'Input task'!$K:$K&amp;"" + ""&amp;'Input task'!$H:$H,'Input task'!$J:$J="""",'Input task'!$T:$T=$A131)),""No see""))"),"No see")</f>
        <v>No see</v>
      </c>
      <c r="D131" s="379" t="str">
        <f>IFERROR(__xludf.DUMMYFUNCTION("if(len($A131)&lt;5,""-"",iferror(TEXTJOIN("" |=***=| "",TRUE,FILTER(('Input WO'!$A:$A&amp;"" + ""&amp;'Input WO'!$B:$B&amp;"" : ""&amp;'Input WO'!$C:$C&amp;"" + ""&amp;'Input WO'!$F:$F),'Input WO'!$E:$E=$A131)),""No see""))"),"WO_ICMS_20260623_123614452 + TNI0294 MYT_Routine_Maintenance_Mytel_Station MYT_RTE_MTE_SB_STN : 886.64 + myt_maung.maung11")</f>
        <v>WO_ICMS_20260623_123614452 + TNI0294 MYT_Routine_Maintenance_Mytel_Station MYT_RTE_MTE_SB_STN : 886.64 + myt_maung.maung11</v>
      </c>
      <c r="E131" s="379"/>
      <c r="F131" s="372"/>
      <c r="G131" s="372"/>
      <c r="H131" s="372"/>
      <c r="I131" s="372"/>
      <c r="J131" s="372"/>
      <c r="K131" s="369"/>
      <c r="L131" s="369"/>
      <c r="M131" s="373"/>
      <c r="N131" s="369"/>
      <c r="O131" s="369"/>
      <c r="P131" s="374"/>
      <c r="Q131" s="372"/>
      <c r="R131" s="372"/>
      <c r="S131" s="372"/>
      <c r="T131" s="372"/>
      <c r="U131" s="372"/>
      <c r="V131" s="372"/>
      <c r="W131" s="372"/>
      <c r="X131" s="372"/>
      <c r="Y131" s="372"/>
      <c r="Z131" s="372"/>
      <c r="AA131" s="372"/>
      <c r="AB131" s="372"/>
      <c r="AC131" s="372"/>
      <c r="AD131" s="372"/>
      <c r="AE131" s="372"/>
      <c r="AF131" s="372"/>
      <c r="AG131" s="372"/>
      <c r="AH131" s="372"/>
      <c r="AI131" s="372"/>
      <c r="AJ131" s="372"/>
      <c r="AK131" s="372"/>
      <c r="AL131" s="372"/>
      <c r="AM131" s="372"/>
    </row>
    <row r="132">
      <c r="A132" s="379" t="s">
        <v>481</v>
      </c>
      <c r="B132" s="379" t="str">
        <f t="array" ref="B132">if(len(A132)&lt;5,"-", iferror(Xlookup($A132,'Input WO'!$E:$E,'Input WO'!$F:$F),Xlookup($A132,'Input task'!$T:$T,'Input task'!$S:$S)
))</f>
        <v>myt_maung.maung11</v>
      </c>
      <c r="C132" s="398" t="str">
        <f>IFERROR(__xludf.DUMMYFUNCTION("if(len($A132)&lt;5,""-"",iferror(TEXTJOIN("" |=***=| "",TRUE,filter('Input task'!$D:$D&amp;"" : ""&amp;'Input task'!$E:$E&amp;"" : ""&amp;'Input task'!$K:$K&amp;"" + ""&amp;'Input task'!$H:$H,'Input task'!$J:$J="""",'Input task'!$T:$T=$A132)),""No see""))"),"Grid fail long time : TNI0261 check Main fail alarm long time :  + #REF! |=***=| PVC PLAN : TNI0261 need to cover pvc pipe :  + ")</f>
        <v>Grid fail long time : TNI0261 check Main fail alarm long time :  + #REF! |=***=| PVC PLAN : TNI0261 need to cover pvc pipe :  + </v>
      </c>
      <c r="D132" s="379" t="str">
        <f>IFERROR(__xludf.DUMMYFUNCTION("if(len($A132)&lt;5,""-"",iferror(TEXTJOIN("" |=***=| "",TRUE,FILTER(('Input WO'!$A:$A&amp;"" + ""&amp;'Input WO'!$B:$B&amp;"" : ""&amp;'Input WO'!$C:$C&amp;"" + ""&amp;'Input WO'!$F:$F),'Input WO'!$E:$E=$A132)),""No see""))"),"WO_QLCTKT_20260604_123441793 + TNI0261 - Repair infrastructure - bla: Cleaning the station, remove grass, vines, tree, rubbish, recall unused equipment, material: Ensure: Cleaning tool, slipper : 42.47 + myt_maung.maung11 |=***=| WO_ICMS_20260623_12361507"&amp;"6 + TNI0261 MYT_Routine_Maintenance_Mytel_Station MYT_RTE_MTE_SB_STN : 886.64 + myt_naythurain.oo")</f>
        <v>WO_QLCTKT_20260604_123441793 + TNI0261 - Repair infrastructure - bla: Cleaning the station, remove grass, vines, tree, rubbish, recall unused equipment, material: Ensure: Cleaning tool, slipper : 42.47 + myt_maung.maung11 |=***=| WO_ICMS_20260623_123615076 + TNI0261 MYT_Routine_Maintenance_Mytel_Station MYT_RTE_MTE_SB_STN : 886.64 + myt_naythurain.oo</v>
      </c>
      <c r="E132" s="379"/>
      <c r="F132" s="372"/>
      <c r="G132" s="372"/>
      <c r="H132" s="372"/>
      <c r="I132" s="372"/>
      <c r="J132" s="372"/>
      <c r="K132" s="369"/>
      <c r="L132" s="369"/>
      <c r="M132" s="373"/>
      <c r="N132" s="369"/>
      <c r="O132" s="369"/>
      <c r="P132" s="374"/>
      <c r="Q132" s="372"/>
      <c r="R132" s="372"/>
      <c r="S132" s="372"/>
      <c r="T132" s="372"/>
      <c r="U132" s="372"/>
      <c r="V132" s="372"/>
      <c r="W132" s="372"/>
      <c r="X132" s="372"/>
      <c r="Y132" s="372"/>
      <c r="Z132" s="372"/>
      <c r="AA132" s="372"/>
      <c r="AB132" s="372"/>
      <c r="AC132" s="372"/>
      <c r="AD132" s="372"/>
      <c r="AE132" s="372"/>
      <c r="AF132" s="372"/>
      <c r="AG132" s="372"/>
      <c r="AH132" s="372"/>
      <c r="AI132" s="372"/>
      <c r="AJ132" s="372"/>
      <c r="AK132" s="372"/>
      <c r="AL132" s="372"/>
      <c r="AM132" s="372"/>
    </row>
    <row r="133">
      <c r="A133" s="379" t="s">
        <v>482</v>
      </c>
      <c r="B133" s="379" t="str">
        <f t="array" ref="B133">if(len(A133)&lt;5,"-", iferror(Xlookup($A133,'Input WO'!$E:$E,'Input WO'!$F:$F),Xlookup($A133,'Input task'!$T:$T,'Input task'!$S:$S)
))</f>
        <v>myt_minpaing.oo</v>
      </c>
      <c r="C133" s="398" t="str">
        <f>IFERROR(__xludf.DUMMYFUNCTION("if(len($A133)&lt;5,""-"",iferror(TEXTJOIN("" |=***=| "",TRUE,filter('Input task'!$D:$D&amp;"" : ""&amp;'Input task'!$E:$E&amp;"" : ""&amp;'Input task'!$K:$K&amp;"" + ""&amp;'Input task'!$H:$H,'Input task'!$J:$J="""",'Input task'!$T:$T=$A133)),""No see""))"),"No see")</f>
        <v>No see</v>
      </c>
      <c r="D133" s="379" t="str">
        <f>IFERROR(__xludf.DUMMYFUNCTION("if(len($A133)&lt;5,""-"",iferror(TEXTJOIN("" |=***=| "",TRUE,FILTER(('Input WO'!$A:$A&amp;"" + ""&amp;'Input WO'!$B:$B&amp;"" : ""&amp;'Input WO'!$C:$C&amp;"" + ""&amp;'Input WO'!$F:$F),'Input WO'!$E:$E=$A133)),""No see""))"),"WO_ICMS_20260626_123646327 + TNI0521 MYT_Routine_Maintenance_Mytel_Station MYT_RTE_MTE_SB_STN : 960.45 + myt_minpaing.oo")</f>
        <v>WO_ICMS_20260626_123646327 + TNI0521 MYT_Routine_Maintenance_Mytel_Station MYT_RTE_MTE_SB_STN : 960.45 + myt_minpaing.oo</v>
      </c>
      <c r="E133" s="379"/>
      <c r="F133" s="372"/>
      <c r="G133" s="372"/>
      <c r="H133" s="372"/>
      <c r="I133" s="372"/>
      <c r="J133" s="372"/>
      <c r="K133" s="369"/>
      <c r="L133" s="369"/>
      <c r="M133" s="373"/>
      <c r="N133" s="369"/>
      <c r="O133" s="369"/>
      <c r="P133" s="374"/>
      <c r="Q133" s="372"/>
      <c r="R133" s="372"/>
      <c r="S133" s="372"/>
      <c r="T133" s="372"/>
      <c r="U133" s="372"/>
      <c r="V133" s="372"/>
      <c r="W133" s="372"/>
      <c r="X133" s="372"/>
      <c r="Y133" s="372"/>
      <c r="Z133" s="372"/>
      <c r="AA133" s="372"/>
      <c r="AB133" s="372"/>
      <c r="AC133" s="372"/>
      <c r="AD133" s="372"/>
      <c r="AE133" s="372"/>
      <c r="AF133" s="372"/>
      <c r="AG133" s="372"/>
      <c r="AH133" s="372"/>
      <c r="AI133" s="372"/>
      <c r="AJ133" s="372"/>
      <c r="AK133" s="372"/>
      <c r="AL133" s="372"/>
      <c r="AM133" s="372"/>
    </row>
    <row r="134">
      <c r="A134" s="379" t="s">
        <v>483</v>
      </c>
      <c r="B134" s="379" t="str">
        <f t="array" ref="B134">if(len(A134)&lt;5,"-", iferror(Xlookup($A134,'Input WO'!$E:$E,'Input WO'!$F:$F),Xlookup($A134,'Input task'!$T:$T,'Input task'!$S:$S)
))</f>
        <v>myt_minpaing.oo</v>
      </c>
      <c r="C134" s="398" t="str">
        <f>IFERROR(__xludf.DUMMYFUNCTION("if(len($A134)&lt;5,""-"",iferror(TEXTJOIN("" |=***=| "",TRUE,filter('Input task'!$D:$D&amp;"" : ""&amp;'Input task'!$E:$E&amp;"" : ""&amp;'Input task'!$K:$K&amp;"" + ""&amp;'Input task'!$H:$H,'Input task'!$J:$J="""",'Input task'!$T:$T=$A134)),""No see""))"),"Request Export material : TNI0159-TNIM044&gt;&gt;24FX cable - 250 meters, Closure - 2 pcs :  +  |=***=| 100 point plan : TNI0159 100 point plan need to clean site overview inside and outeside and make to neatly patchord cable. :  + ")</f>
        <v>Request Export material : TNI0159-TNIM044&gt;&gt;24FX cable - 250 meters, Closure - 2 pcs :  +  |=***=| 100 point plan : TNI0159 100 point plan need to clean site overview inside and outeside and make to neatly patchord cable. :  + </v>
      </c>
      <c r="D134" s="379" t="str">
        <f>IFERROR(__xludf.DUMMYFUNCTION("if(len($A134)&lt;5,""-"",iferror(TEXTJOIN("" |=***=| "",TRUE,FILTER(('Input WO'!$A:$A&amp;"" + ""&amp;'Input WO'!$B:$B&amp;"" : ""&amp;'Input WO'!$C:$C&amp;"" + ""&amp;'Input WO'!$F:$F),'Input WO'!$E:$E=$A134)),""No see""))"),"WO_QLCTKT_20260509_123226303 + TNI0159 MYT_Routine_Maintenance_Towerco_Station_VCM : -256.95 + myt_minpaing.oo |=***=| WO_WFM-OTHERS_20260623_123616244 + Cable Patrol for (BB)-TNI0159-TNIM044 : 439.03 + myt_wanna.oo2")</f>
        <v>WO_QLCTKT_20260509_123226303 + TNI0159 MYT_Routine_Maintenance_Towerco_Station_VCM : -256.95 + myt_minpaing.oo |=***=| WO_WFM-OTHERS_20260623_123616244 + Cable Patrol for (BB)-TNI0159-TNIM044 : 439.03 + myt_wanna.oo2</v>
      </c>
      <c r="E134" s="379"/>
      <c r="F134" s="372"/>
      <c r="G134" s="372"/>
      <c r="H134" s="372"/>
      <c r="I134" s="372"/>
      <c r="J134" s="372"/>
      <c r="K134" s="369"/>
      <c r="L134" s="369"/>
      <c r="M134" s="373"/>
      <c r="N134" s="369"/>
      <c r="O134" s="369"/>
      <c r="P134" s="374"/>
      <c r="Q134" s="372"/>
      <c r="R134" s="372"/>
      <c r="S134" s="372"/>
      <c r="T134" s="372"/>
      <c r="U134" s="372"/>
      <c r="V134" s="372"/>
      <c r="W134" s="372"/>
      <c r="X134" s="372"/>
      <c r="Y134" s="372"/>
      <c r="Z134" s="372"/>
      <c r="AA134" s="372"/>
      <c r="AB134" s="372"/>
      <c r="AC134" s="372"/>
      <c r="AD134" s="372"/>
      <c r="AE134" s="372"/>
      <c r="AF134" s="372"/>
      <c r="AG134" s="372"/>
      <c r="AH134" s="372"/>
      <c r="AI134" s="372"/>
      <c r="AJ134" s="372"/>
      <c r="AK134" s="372"/>
      <c r="AL134" s="372"/>
      <c r="AM134" s="372"/>
    </row>
    <row r="135">
      <c r="A135" s="379" t="s">
        <v>484</v>
      </c>
      <c r="B135" s="379" t="str">
        <f t="array" ref="B135">if(len(A135)&lt;5,"-", iferror(Xlookup($A135,'Input WO'!$E:$E,'Input WO'!$F:$F),Xlookup($A135,'Input task'!$T:$T,'Input task'!$S:$S)
))</f>
        <v>myt_myintkoko.aung</v>
      </c>
      <c r="C135" s="398" t="str">
        <f>IFERROR(__xludf.DUMMYFUNCTION("if(len($A135)&lt;5,""-"",iferror(TEXTJOIN("" |=***=| "",TRUE,filter('Input task'!$D:$D&amp;"" : ""&amp;'Input task'!$E:$E&amp;"" : ""&amp;'Input task'!$K:$K&amp;"" + ""&amp;'Input task'!$H:$H,'Input task'!$J:$J="""",'Input task'!$T:$T=$A135)),""No see""))"),"No see")</f>
        <v>No see</v>
      </c>
      <c r="D135" s="379" t="str">
        <f>IFERROR(__xludf.DUMMYFUNCTION("if(len($A135)&lt;5,""-"",iferror(TEXTJOIN("" |=***=| "",TRUE,FILTER(('Input WO'!$A:$A&amp;"" + ""&amp;'Input WO'!$B:$B&amp;"" : ""&amp;'Input WO'!$C:$C&amp;"" + ""&amp;'Input WO'!$F:$F),'Input WO'!$E:$E=$A135)),""No see""))"),"WO_WFM-OTHERS_20260630_123682251 + IP : TNI0116SRT001-TNI0212SRT001 link down at 28/06/2026 16:37:00 : -17.45 + myt_myintkoko.aung")</f>
        <v>WO_WFM-OTHERS_20260630_123682251 + IP : TNI0116SRT001-TNI0212SRT001 link down at 28/06/2026 16:37:00 : -17.45 + myt_myintkoko.aung</v>
      </c>
      <c r="E135" s="379"/>
      <c r="F135" s="372"/>
      <c r="G135" s="372"/>
      <c r="H135" s="372"/>
      <c r="I135" s="372"/>
      <c r="J135" s="372"/>
      <c r="K135" s="369"/>
      <c r="L135" s="369"/>
      <c r="M135" s="373"/>
      <c r="N135" s="369"/>
      <c r="O135" s="369"/>
      <c r="P135" s="374"/>
      <c r="Q135" s="372"/>
      <c r="R135" s="372"/>
      <c r="S135" s="372"/>
      <c r="T135" s="372"/>
      <c r="U135" s="372"/>
      <c r="V135" s="372"/>
      <c r="W135" s="372"/>
      <c r="X135" s="372"/>
      <c r="Y135" s="372"/>
      <c r="Z135" s="372"/>
      <c r="AA135" s="372"/>
      <c r="AB135" s="372"/>
      <c r="AC135" s="372"/>
      <c r="AD135" s="372"/>
      <c r="AE135" s="372"/>
      <c r="AF135" s="372"/>
      <c r="AG135" s="372"/>
      <c r="AH135" s="372"/>
      <c r="AI135" s="372"/>
      <c r="AJ135" s="372"/>
      <c r="AK135" s="372"/>
      <c r="AL135" s="372"/>
      <c r="AM135" s="372"/>
    </row>
    <row r="136">
      <c r="A136" s="379" t="s">
        <v>485</v>
      </c>
      <c r="B136" s="379" t="str">
        <f t="array" ref="B136">if(len(A136)&lt;5,"-", iferror(Xlookup($A136,'Input WO'!$E:$E,'Input WO'!$F:$F),Xlookup($A136,'Input task'!$T:$T,'Input task'!$S:$S)
))</f>
        <v>myt_myintkoko.aung</v>
      </c>
      <c r="C136" s="398" t="str">
        <f>IFERROR(__xludf.DUMMYFUNCTION("if(len($A136)&lt;5,""-"",iferror(TEXTJOIN("" |=***=| "",TRUE,filter('Input task'!$D:$D&amp;"" : ""&amp;'Input task'!$E:$E&amp;"" : ""&amp;'Input task'!$K:$K&amp;"" + ""&amp;'Input task'!$H:$H,'Input task'!$J:$J="""",'Input task'!$T:$T=$A136)),""No see""))"),"No see")</f>
        <v>No see</v>
      </c>
      <c r="D136" s="379" t="str">
        <f>IFERROR(__xludf.DUMMYFUNCTION("if(len($A136)&lt;5,""-"",iferror(TEXTJOIN("" |=***=| "",TRUE,FILTER(('Input WO'!$A:$A&amp;"" + ""&amp;'Input WO'!$B:$B&amp;"" : ""&amp;'Input WO'!$C:$C&amp;"" + ""&amp;'Input WO'!$F:$F),'Input WO'!$E:$E=$A136)),""No see""))"),"WO_QLCTKT_20260624_123619140 + TNI0212 MYT_Maintenance_Generator_Change_Oil - MYT_Maintenance_Generator_Change_Oil_Filter - MYT_Maintenance_Generator_Change_Fuel_Filter - MYT_Checking quality for DG Fuel : -64.95 + myt_myintkoko.aung")</f>
        <v>WO_QLCTKT_20260624_123619140 + TNI0212 MYT_Maintenance_Generator_Change_Oil - MYT_Maintenance_Generator_Change_Oil_Filter - MYT_Maintenance_Generator_Change_Fuel_Filter - MYT_Checking quality for DG Fuel : -64.95 + myt_myintkoko.aung</v>
      </c>
      <c r="E136" s="379"/>
      <c r="F136" s="372"/>
      <c r="G136" s="372"/>
      <c r="H136" s="372"/>
      <c r="I136" s="372"/>
      <c r="J136" s="372"/>
      <c r="K136" s="369"/>
      <c r="L136" s="369"/>
      <c r="M136" s="373"/>
      <c r="N136" s="369"/>
      <c r="O136" s="369"/>
      <c r="P136" s="374"/>
      <c r="Q136" s="372"/>
      <c r="R136" s="372"/>
      <c r="S136" s="372"/>
      <c r="T136" s="372"/>
      <c r="U136" s="372"/>
      <c r="V136" s="372"/>
      <c r="W136" s="372"/>
      <c r="X136" s="372"/>
      <c r="Y136" s="372"/>
      <c r="Z136" s="372"/>
      <c r="AA136" s="372"/>
      <c r="AB136" s="372"/>
      <c r="AC136" s="372"/>
      <c r="AD136" s="372"/>
      <c r="AE136" s="372"/>
      <c r="AF136" s="372"/>
      <c r="AG136" s="372"/>
      <c r="AH136" s="372"/>
      <c r="AI136" s="372"/>
      <c r="AJ136" s="372"/>
      <c r="AK136" s="372"/>
      <c r="AL136" s="372"/>
      <c r="AM136" s="372"/>
    </row>
    <row r="137">
      <c r="A137" s="379" t="s">
        <v>486</v>
      </c>
      <c r="B137" s="379" t="str">
        <f t="array" ref="B137">if(len(A137)&lt;5,"-", iferror(Xlookup($A137,'Input WO'!$E:$E,'Input WO'!$F:$F),Xlookup($A137,'Input task'!$T:$T,'Input task'!$S:$S)
))</f>
        <v>myt_myintkoko.aung</v>
      </c>
      <c r="C137" s="398" t="str">
        <f>IFERROR(__xludf.DUMMYFUNCTION("if(len($A137)&lt;5,""-"",iferror(TEXTJOIN("" |=***=| "",TRUE,filter('Input task'!$D:$D&amp;"" : ""&amp;'Input task'!$E:$E&amp;"" : ""&amp;'Input task'!$K:$K&amp;"" + ""&amp;'Input task'!$H:$H,'Input task'!$J:$J="""",'Input task'!$T:$T=$A137)),""No see""))"),"Return to send Branch Office : TNI0004 Recall PU : 2 Pcs Serial: 219561075447, 219561075451 :  + VCM816540-Myint Ko Ko Aung |=***=| Request Export material : TNI0004-TNI0008&gt;&gt; closure 1 pcs :  + VCM276675-Pyae Phyo Zaw |=***=| Request Export material : TN"&amp;"I0004-TNIM05&gt;&gt;closure 1 pcs :  + VCM276675-Pyae Phyo Zaw |=***=| Check&amp;fixing Main Node Site : TNI0004, Check&amp;fixing Main Node &gt;&gt; Check power status and equipment room (Grounding, Air Con , Fire extinguisher, Light Bulb, ATS, DG Maintenance&gt;&gt; Check engine"&amp;" oil and filter change date) , all cabel into site from undergroun or not, Site Cleaning, Last pole status  :  +  |=***=| 100 point plan : TNI0004-01 100 point plan need to clean site overview inside and outeside and make to neatly patchord cable. :  + VC"&amp;"M852892-Tin Naing Lin |=***=| Export Materials : AU2(TNI0004-TNI0008)-UA2(TNI0004-TNI0008) &gt;&gt; closure 1 pcs :  +  |=***=| Export Materials : TNI0004-TNI0008&gt;&gt;&gt;F8 cable 200m closure 1pcs :  + ")</f>
        <v>Return to send Branch Office : TNI0004 Recall PU : 2 Pcs Serial: 219561075447, 219561075451 :  + VCM816540-Myint Ko Ko Aung |=***=| Request Export material : TNI0004-TNI0008&gt;&gt; closure 1 pcs :  + VCM276675-Pyae Phyo Zaw |=***=| Request Export material : TNI0004-TNIM05&gt;&gt;closure 1 pcs :  + VCM276675-Pyae Phyo Zaw |=***=| Check&amp;fixing Main Node Site : TNI0004, Check&amp;fixing Main Node &gt;&gt; Check power status and equipment room (Grounding, Air Con , Fire extinguisher, Light Bulb, ATS, DG Maintenance&gt;&gt; Check engine oil and filter change date) , all cabel into site from undergroun or not, Site Cleaning, Last pole status  :  +  |=***=| 100 point plan : TNI0004-01 100 point plan need to clean site overview inside and outeside and make to neatly patchord cable. :  + VCM852892-Tin Naing Lin |=***=| Export Materials : AU2(TNI0004-TNI0008)-UA2(TNI0004-TNI0008) &gt;&gt; closure 1 pcs :  +  |=***=| Export Materials : TNI0004-TNI0008&gt;&gt;&gt;F8 cable 200m closure 1pcs :  + </v>
      </c>
      <c r="D137" s="379" t="str">
        <f>IFERROR(__xludf.DUMMYFUNCTION("if(len($A137)&lt;5,""-"",iferror(TEXTJOIN("" |=***=| "",TRUE,FILTER(('Input WO'!$A:$A&amp;"" + ""&amp;'Input WO'!$B:$B&amp;"" : ""&amp;'Input WO'!$C:$C&amp;"" + ""&amp;'Input WO'!$F:$F),'Input WO'!$E:$E=$A137)),""No see""))"),"WO_ICMS_20260623_123613515 + TNI0004 MYT_Routine_Maintenance_Main_Station MYT_RTE_MTE_MAIN_STN : 502.17 + myt_myintkoko.aung |=***=| WO_QLCTKT_20260619_123565988 + TNI0004 MYT_Routine_Maintenance_Main_Station_VCM : 247.05 + myt_myintkoko.aung |=***=| WO_I"&amp;"CMS_20260625_123632258 + Patrolling cable routes TNI0004-TNI0003_00, TNI0004 + null – TNI0003 + null : 545.65 + myt_sithu.htun")</f>
        <v>WO_ICMS_20260623_123613515 + TNI0004 MYT_Routine_Maintenance_Main_Station MYT_RTE_MTE_MAIN_STN : 502.17 + myt_myintkoko.aung |=***=| WO_QLCTKT_20260619_123565988 + TNI0004 MYT_Routine_Maintenance_Main_Station_VCM : 247.05 + myt_myintkoko.aung |=***=| WO_ICMS_20260625_123632258 + Patrolling cable routes TNI0004-TNI0003_00, TNI0004 + null – TNI0003 + null : 545.65 + myt_sithu.htun</v>
      </c>
      <c r="E137" s="379"/>
      <c r="F137" s="372"/>
      <c r="G137" s="372"/>
      <c r="H137" s="372"/>
      <c r="I137" s="372"/>
      <c r="J137" s="372"/>
      <c r="K137" s="369"/>
      <c r="L137" s="369"/>
      <c r="M137" s="373"/>
      <c r="N137" s="369"/>
      <c r="O137" s="369"/>
      <c r="P137" s="374"/>
      <c r="Q137" s="372"/>
      <c r="R137" s="372"/>
      <c r="S137" s="372"/>
      <c r="T137" s="372"/>
      <c r="U137" s="372"/>
      <c r="V137" s="372"/>
      <c r="W137" s="372"/>
      <c r="X137" s="372"/>
      <c r="Y137" s="372"/>
      <c r="Z137" s="372"/>
      <c r="AA137" s="372"/>
      <c r="AB137" s="372"/>
      <c r="AC137" s="372"/>
      <c r="AD137" s="372"/>
      <c r="AE137" s="372"/>
      <c r="AF137" s="372"/>
      <c r="AG137" s="372"/>
      <c r="AH137" s="372"/>
      <c r="AI137" s="372"/>
      <c r="AJ137" s="372"/>
      <c r="AK137" s="372"/>
      <c r="AL137" s="372"/>
      <c r="AM137" s="372"/>
    </row>
    <row r="138">
      <c r="A138" s="379" t="s">
        <v>487</v>
      </c>
      <c r="B138" s="379" t="str">
        <f t="array" ref="B138">if(len(A138)&lt;5,"-", iferror(Xlookup($A138,'Input WO'!$E:$E,'Input WO'!$F:$F),Xlookup($A138,'Input task'!$T:$T,'Input task'!$S:$S)
))</f>
        <v>myt_myintkoko.aung</v>
      </c>
      <c r="C138" s="398" t="str">
        <f>IFERROR(__xludf.DUMMYFUNCTION("if(len($A138)&lt;5,""-"",iferror(TEXTJOIN("" |=***=| "",TRUE,filter('Input task'!$D:$D&amp;"" : ""&amp;'Input task'!$E:$E&amp;"" : ""&amp;'Input task'!$K:$K&amp;"" + ""&amp;'Input task'!$H:$H,'Input task'!$J:$J="""",'Input task'!$T:$T=$A138)),""No see""))"),"No see")</f>
        <v>No see</v>
      </c>
      <c r="D138" s="379" t="str">
        <f>IFERROR(__xludf.DUMMYFUNCTION("if(len($A138)&lt;5,""-"",iferror(TEXTJOIN("" |=***=| "",TRUE,FILTER(('Input WO'!$A:$A&amp;"" + ""&amp;'Input WO'!$B:$B&amp;"" : ""&amp;'Input WO'!$C:$C&amp;"" + ""&amp;'Input WO'!$F:$F),'Input WO'!$E:$E=$A138)),""No see""))"),"WO_WFM-OTHERS_20260623_123613142 + Cable routes measure-AC-TNI0179-JB(TNI0004-TNI0010) : 439.03 + myt_myintkoko.aung |=***=| WO_WFM-OTHERS_20260623_123612925 + Cable routes measure-AC-TNI0179-JB(TNI0004-TNI0010) : 439.03 + myt_tinnaing.lin11")</f>
        <v>WO_WFM-OTHERS_20260623_123613142 + Cable routes measure-AC-TNI0179-JB(TNI0004-TNI0010) : 439.03 + myt_myintkoko.aung |=***=| WO_WFM-OTHERS_20260623_123612925 + Cable routes measure-AC-TNI0179-JB(TNI0004-TNI0010) : 439.03 + myt_tinnaing.lin11</v>
      </c>
      <c r="E138" s="379"/>
      <c r="F138" s="372"/>
      <c r="G138" s="372"/>
      <c r="H138" s="372"/>
      <c r="I138" s="372"/>
      <c r="J138" s="372"/>
      <c r="K138" s="369"/>
      <c r="L138" s="369"/>
      <c r="M138" s="373"/>
      <c r="N138" s="369"/>
      <c r="O138" s="369"/>
      <c r="P138" s="374"/>
      <c r="Q138" s="372"/>
      <c r="R138" s="372"/>
      <c r="S138" s="372"/>
      <c r="T138" s="372"/>
      <c r="U138" s="372"/>
      <c r="V138" s="372"/>
      <c r="W138" s="372"/>
      <c r="X138" s="372"/>
      <c r="Y138" s="372"/>
      <c r="Z138" s="372"/>
      <c r="AA138" s="372"/>
      <c r="AB138" s="372"/>
      <c r="AC138" s="372"/>
      <c r="AD138" s="372"/>
      <c r="AE138" s="372"/>
      <c r="AF138" s="372"/>
      <c r="AG138" s="372"/>
      <c r="AH138" s="372"/>
      <c r="AI138" s="372"/>
      <c r="AJ138" s="372"/>
      <c r="AK138" s="372"/>
      <c r="AL138" s="372"/>
      <c r="AM138" s="372"/>
    </row>
    <row r="139">
      <c r="A139" s="379" t="s">
        <v>488</v>
      </c>
      <c r="B139" s="379" t="str">
        <f t="array" ref="B139">if(len(A139)&lt;5,"-", iferror(Xlookup($A139,'Input WO'!$E:$E,'Input WO'!$F:$F),Xlookup($A139,'Input task'!$T:$T,'Input task'!$S:$S)
))</f>
        <v>myt_myintkoko.aung</v>
      </c>
      <c r="C139" s="398" t="str">
        <f>IFERROR(__xludf.DUMMYFUNCTION("if(len($A139)&lt;5,""-"",iferror(TEXTJOIN("" |=***=| "",TRUE,filter('Input task'!$D:$D&amp;"" : ""&amp;'Input task'!$E:$E&amp;"" : ""&amp;'Input task'!$K:$K&amp;"" + ""&amp;'Input task'!$H:$H,'Input task'!$J:$J="""",'Input task'!$T:$T=$A139)),""No see""))"),"No see")</f>
        <v>No see</v>
      </c>
      <c r="D139" s="379" t="str">
        <f>IFERROR(__xludf.DUMMYFUNCTION("if(len($A139)&lt;5,""-"",iferror(TEXTJOIN("" |=***=| "",TRUE,FILTER(('Input WO'!$A:$A&amp;"" + ""&amp;'Input WO'!$B:$B&amp;"" : ""&amp;'Input WO'!$C:$C&amp;"" + ""&amp;'Input WO'!$F:$F),'Input WO'!$E:$E=$A139)),""No see""))"),"WO_WFM-OTHERS_20260623_123613148 + Cable routes measure-AC-TNI0079-TNIM033 : 439.03 + myt_myintkoko.aung |=***=| WO_WFM-OTHERS_20260623_123612930 + Cable routes measure-AC-TNI0079-TNIM033 : 439.03 + myt_myintkoko.aung")</f>
        <v>WO_WFM-OTHERS_20260623_123613148 + Cable routes measure-AC-TNI0079-TNIM033 : 439.03 + myt_myintkoko.aung |=***=| WO_WFM-OTHERS_20260623_123612930 + Cable routes measure-AC-TNI0079-TNIM033 : 439.03 + myt_myintkoko.aung</v>
      </c>
      <c r="E139" s="379"/>
      <c r="F139" s="372"/>
      <c r="G139" s="372"/>
      <c r="H139" s="372"/>
      <c r="I139" s="372"/>
      <c r="J139" s="372"/>
      <c r="K139" s="369"/>
      <c r="L139" s="369"/>
      <c r="M139" s="373"/>
      <c r="N139" s="369"/>
      <c r="O139" s="369"/>
      <c r="P139" s="374"/>
      <c r="Q139" s="372"/>
      <c r="R139" s="372"/>
      <c r="S139" s="372"/>
      <c r="T139" s="372"/>
      <c r="U139" s="372"/>
      <c r="V139" s="372"/>
      <c r="W139" s="372"/>
      <c r="X139" s="372"/>
      <c r="Y139" s="372"/>
      <c r="Z139" s="372"/>
      <c r="AA139" s="372"/>
      <c r="AB139" s="372"/>
      <c r="AC139" s="372"/>
      <c r="AD139" s="372"/>
      <c r="AE139" s="372"/>
      <c r="AF139" s="372"/>
      <c r="AG139" s="372"/>
      <c r="AH139" s="372"/>
      <c r="AI139" s="372"/>
      <c r="AJ139" s="372"/>
      <c r="AK139" s="372"/>
      <c r="AL139" s="372"/>
      <c r="AM139" s="372"/>
    </row>
    <row r="140">
      <c r="A140" s="379" t="s">
        <v>489</v>
      </c>
      <c r="B140" s="379" t="str">
        <f t="array" ref="B140">if(len(A140)&lt;5,"-", iferror(Xlookup($A140,'Input WO'!$E:$E,'Input WO'!$F:$F),Xlookup($A140,'Input task'!$T:$T,'Input task'!$S:$S)
))</f>
        <v>myt_myintkoko.aung</v>
      </c>
      <c r="C140" s="398" t="str">
        <f>IFERROR(__xludf.DUMMYFUNCTION("if(len($A140)&lt;5,""-"",iferror(TEXTJOIN("" |=***=| "",TRUE,filter('Input task'!$D:$D&amp;"" : ""&amp;'Input task'!$E:$E&amp;"" : ""&amp;'Input task'!$K:$K&amp;"" + ""&amp;'Input task'!$H:$H,'Input task'!$J:$J="""",'Input task'!$T:$T=$A140)),""No see""))"),"Export Materials : TNI0103-TNIM082 &gt;&gt; Closure 1pcs :  + ")</f>
        <v>Export Materials : TNI0103-TNIM082 &gt;&gt; Closure 1pcs :  + </v>
      </c>
      <c r="D140" s="379" t="str">
        <f>IFERROR(__xludf.DUMMYFUNCTION("if(len($A140)&lt;5,""-"",iferror(TEXTJOIN("" |=***=| "",TRUE,FILTER(('Input WO'!$A:$A&amp;"" + ""&amp;'Input WO'!$B:$B&amp;"" : ""&amp;'Input WO'!$C:$C&amp;"" + ""&amp;'Input WO'!$F:$F),'Input WO'!$E:$E=$A140)),""No see""))"),"WO_ICMS_20260623_123611286 + TNI0103 MYT_Routine_Maintenance_Towerco_Station MYT_RTE_MTE_TCO_STN : 882.55 + myt_myintkoko.aung |=***=| WO_WFM-OTHERS_20260623_123613146 + Cable routes measure-AC-TNI0103-TNIM082 : 439.03 + myt_tinnaing.lin11 |=***=| WO_WFM-"&amp;"OTHERS_20260623_123612929 + Cable routes measure-AC-TNI0103-TNIM082 : 439.03 + myt_tinnaing.lin11")</f>
        <v>WO_ICMS_20260623_123611286 + TNI0103 MYT_Routine_Maintenance_Towerco_Station MYT_RTE_MTE_TCO_STN : 882.55 + myt_myintkoko.aung |=***=| WO_WFM-OTHERS_20260623_123613146 + Cable routes measure-AC-TNI0103-TNIM082 : 439.03 + myt_tinnaing.lin11 |=***=| WO_WFM-OTHERS_20260623_123612929 + Cable routes measure-AC-TNI0103-TNIM082 : 439.03 + myt_tinnaing.lin11</v>
      </c>
      <c r="E140" s="379"/>
      <c r="F140" s="372"/>
      <c r="G140" s="372"/>
      <c r="H140" s="372"/>
      <c r="I140" s="372"/>
      <c r="J140" s="372"/>
      <c r="K140" s="369"/>
      <c r="L140" s="369"/>
      <c r="M140" s="373"/>
      <c r="N140" s="369"/>
      <c r="O140" s="369"/>
      <c r="P140" s="374"/>
      <c r="Q140" s="372"/>
      <c r="R140" s="372"/>
      <c r="S140" s="372"/>
      <c r="T140" s="372"/>
      <c r="U140" s="372"/>
      <c r="V140" s="372"/>
      <c r="W140" s="372"/>
      <c r="X140" s="372"/>
      <c r="Y140" s="372"/>
      <c r="Z140" s="372"/>
      <c r="AA140" s="372"/>
      <c r="AB140" s="372"/>
      <c r="AC140" s="372"/>
      <c r="AD140" s="372"/>
      <c r="AE140" s="372"/>
      <c r="AF140" s="372"/>
      <c r="AG140" s="372"/>
      <c r="AH140" s="372"/>
      <c r="AI140" s="372"/>
      <c r="AJ140" s="372"/>
      <c r="AK140" s="372"/>
      <c r="AL140" s="372"/>
      <c r="AM140" s="372"/>
    </row>
    <row r="141">
      <c r="A141" s="379" t="s">
        <v>490</v>
      </c>
      <c r="B141" s="379" t="str">
        <f t="array" ref="B141">if(len(A141)&lt;5,"-", iferror(Xlookup($A141,'Input WO'!$E:$E,'Input WO'!$F:$F),Xlookup($A141,'Input task'!$T:$T,'Input task'!$S:$S)
))</f>
        <v>myt_myintkoko.aung</v>
      </c>
      <c r="C141" s="398" t="str">
        <f>IFERROR(__xludf.DUMMYFUNCTION("if(len($A141)&lt;5,""-"",iferror(TEXTJOIN("" |=***=| "",TRUE,filter('Input task'!$D:$D&amp;"" : ""&amp;'Input task'!$E:$E&amp;"" : ""&amp;'Input task'!$K:$K&amp;"" + ""&amp;'Input task'!$H:$H,'Input task'!$J:$J="""",'Input task'!$T:$T=$A141)),""No see""))"),"Recall from site broken materials  : Broken PU at TNI0105 Need to recall from site in system &amp; physically  :  + VCM276675-Pyae Phyo Zaw |=***=| Return to send Branch Office : Broken PU from TNI0105 return send to Branch office.  :  + VCM276675-Pyae Phyo Z"&amp;"aw |=***=| Take photo Serial and asset : Broken PU at TNI0105 Need to recall from site physically and take photo Sn numbers &amp; share to me  :  + VCM276675-Pyae Phyo Zaw")</f>
        <v>Recall from site broken materials  : Broken PU at TNI0105 Need to recall from site in system &amp; physically  :  + VCM276675-Pyae Phyo Zaw |=***=| Return to send Branch Office : Broken PU from TNI0105 return send to Branch office.  :  + VCM276675-Pyae Phyo Zaw |=***=| Take photo Serial and asset : Broken PU at TNI0105 Need to recall from site physically and take photo Sn numbers &amp; share to me  :  + VCM276675-Pyae Phyo Zaw</v>
      </c>
      <c r="D141" s="379" t="str">
        <f>IFERROR(__xludf.DUMMYFUNCTION("if(len($A141)&lt;5,""-"",iferror(TEXTJOIN("" |=***=| "",TRUE,FILTER(('Input WO'!$A:$A&amp;"" + ""&amp;'Input WO'!$B:$B&amp;"" : ""&amp;'Input WO'!$C:$C&amp;"" + ""&amp;'Input WO'!$F:$F),'Input WO'!$E:$E=$A141)),""No see""))"),"WO_ICMS_20260623_123611285 + TNI0105 MYT_Routine_Maintenance_Towerco_Station MYT_RTE_MTE_TCO_STN : 882.55 + myt_myintkoko.aung |=***=| WO_WFM-OTHERS_20260623_123616279 + Cable Patrol for (AC)-TNI0105-TNIM083 : 439.03 + myt_tinnaing.lin11")</f>
        <v>WO_ICMS_20260623_123611285 + TNI0105 MYT_Routine_Maintenance_Towerco_Station MYT_RTE_MTE_TCO_STN : 882.55 + myt_myintkoko.aung |=***=| WO_WFM-OTHERS_20260623_123616279 + Cable Patrol for (AC)-TNI0105-TNIM083 : 439.03 + myt_tinnaing.lin11</v>
      </c>
      <c r="E141" s="379"/>
      <c r="F141" s="372"/>
      <c r="G141" s="372"/>
      <c r="H141" s="372"/>
      <c r="I141" s="372"/>
      <c r="J141" s="372"/>
      <c r="K141" s="369"/>
      <c r="L141" s="369"/>
      <c r="M141" s="373"/>
      <c r="N141" s="369"/>
      <c r="O141" s="369"/>
      <c r="P141" s="374"/>
      <c r="Q141" s="372"/>
      <c r="R141" s="372"/>
      <c r="S141" s="372"/>
      <c r="T141" s="372"/>
      <c r="U141" s="372"/>
      <c r="V141" s="372"/>
      <c r="W141" s="372"/>
      <c r="X141" s="372"/>
      <c r="Y141" s="372"/>
      <c r="Z141" s="372"/>
      <c r="AA141" s="372"/>
      <c r="AB141" s="372"/>
      <c r="AC141" s="372"/>
      <c r="AD141" s="372"/>
      <c r="AE141" s="372"/>
      <c r="AF141" s="372"/>
      <c r="AG141" s="372"/>
      <c r="AH141" s="372"/>
      <c r="AI141" s="372"/>
      <c r="AJ141" s="372"/>
      <c r="AK141" s="372"/>
      <c r="AL141" s="372"/>
      <c r="AM141" s="372"/>
    </row>
    <row r="142">
      <c r="A142" s="379" t="s">
        <v>491</v>
      </c>
      <c r="B142" s="379" t="str">
        <f t="array" ref="B142">if(len(A142)&lt;5,"-", iferror(Xlookup($A142,'Input WO'!$E:$E,'Input WO'!$F:$F),Xlookup($A142,'Input task'!$T:$T,'Input task'!$S:$S)
))</f>
        <v>myt_myothant.htoo</v>
      </c>
      <c r="C142" s="398" t="str">
        <f>IFERROR(__xludf.DUMMYFUNCTION("if(len($A142)&lt;5,""-"",iferror(TEXTJOIN("" |=***=| "",TRUE,filter('Input task'!$D:$D&amp;"" : ""&amp;'Input task'!$E:$E&amp;"" : ""&amp;'Input task'!$K:$K&amp;"" + ""&amp;'Input task'!$H:$H,'Input task'!$J:$J="""",'Input task'!$T:$T=$A142)),""No see""))"),"Fixing Fuel Level Monitoring : TNI0247 Need to fix fuel level cannot monitoring at NMS. :  +  |=***=| PVC PLAN : TNI0247 need to cover pvc pipe :  + ")</f>
        <v>Fixing Fuel Level Monitoring : TNI0247 Need to fix fuel level cannot monitoring at NMS. :  +  |=***=| PVC PLAN : TNI0247 need to cover pvc pipe :  + </v>
      </c>
      <c r="D142" s="379" t="str">
        <f>IFERROR(__xludf.DUMMYFUNCTION("if(len($A142)&lt;5,""-"",iferror(TEXTJOIN("" |=***=| "",TRUE,FILTER(('Input WO'!$A:$A&amp;"" + ""&amp;'Input WO'!$B:$B&amp;"" : ""&amp;'Input WO'!$C:$C&amp;"" + ""&amp;'Input WO'!$F:$F),'Input WO'!$E:$E=$A142)),""No see""))"),"WO_QLCTKT_20260521_123326056 + TNI0247 - Repair infrastructure - bla: Cleaning the station, remove grass, vines, tree, rubbish, recall unused equipment, material: Clean the station : -848.21 + myt_myothant.htoo |=***=| WO_WFM-OTHERS_20260622_123603056 + T"&amp;"NI0247_Cleaning Radiator and change engine oil : -41.95 + myt_phyoko.ko44")</f>
        <v>WO_QLCTKT_20260521_123326056 + TNI0247 - Repair infrastructure - bla: Cleaning the station, remove grass, vines, tree, rubbish, recall unused equipment, material: Clean the station : -848.21 + myt_myothant.htoo |=***=| WO_WFM-OTHERS_20260622_123603056 + TNI0247_Cleaning Radiator and change engine oil : -41.95 + myt_phyoko.ko44</v>
      </c>
      <c r="E142" s="379"/>
      <c r="F142" s="372"/>
      <c r="G142" s="372"/>
      <c r="H142" s="372"/>
      <c r="I142" s="372"/>
      <c r="J142" s="372"/>
      <c r="K142" s="369"/>
      <c r="L142" s="369"/>
      <c r="M142" s="373"/>
      <c r="N142" s="369"/>
      <c r="O142" s="369"/>
      <c r="P142" s="374"/>
      <c r="Q142" s="372"/>
      <c r="R142" s="372"/>
      <c r="S142" s="372"/>
      <c r="T142" s="372"/>
      <c r="U142" s="372"/>
      <c r="V142" s="372"/>
      <c r="W142" s="372"/>
      <c r="X142" s="372"/>
      <c r="Y142" s="372"/>
      <c r="Z142" s="372"/>
      <c r="AA142" s="372"/>
      <c r="AB142" s="372"/>
      <c r="AC142" s="372"/>
      <c r="AD142" s="372"/>
      <c r="AE142" s="372"/>
      <c r="AF142" s="372"/>
      <c r="AG142" s="372"/>
      <c r="AH142" s="372"/>
      <c r="AI142" s="372"/>
      <c r="AJ142" s="372"/>
      <c r="AK142" s="372"/>
      <c r="AL142" s="372"/>
      <c r="AM142" s="372"/>
    </row>
    <row r="143">
      <c r="A143" s="379" t="s">
        <v>492</v>
      </c>
      <c r="B143" s="379" t="str">
        <f t="array" ref="B143">if(len(A143)&lt;5,"-", iferror(Xlookup($A143,'Input WO'!$E:$E,'Input WO'!$F:$F),Xlookup($A143,'Input task'!$T:$T,'Input task'!$S:$S)
))</f>
        <v>myt_naingmyo.htun</v>
      </c>
      <c r="C143" s="398" t="str">
        <f>IFERROR(__xludf.DUMMYFUNCTION("if(len($A143)&lt;5,""-"",iferror(TEXTJOIN("" |=***=| "",TRUE,filter('Input task'!$D:$D&amp;"" : ""&amp;'Input task'!$E:$E&amp;"" : ""&amp;'Input task'!$K:$K&amp;"" + ""&amp;'Input task'!$H:$H,'Input task'!$J:$J="""",'Input task'!$T:$T=$A143)),""No see""))"),"No see")</f>
        <v>No see</v>
      </c>
      <c r="D143" s="379" t="str">
        <f>IFERROR(__xludf.DUMMYFUNCTION("if(len($A143)&lt;5,""-"",iferror(TEXTJOIN("" |=***=| "",TRUE,FILTER(('Input WO'!$A:$A&amp;"" + ""&amp;'Input WO'!$B:$B&amp;"" : ""&amp;'Input WO'!$C:$C&amp;"" + ""&amp;'Input WO'!$F:$F),'Input WO'!$E:$E=$A143)),""No see""))"),"WO_QLCTKT_20260408_122933921 + TNI0320 MYT_Routine_Maintenance_Towerco_Station_VCM : -1000.95 + myt_naingmyo.htun")</f>
        <v>WO_QLCTKT_20260408_122933921 + TNI0320 MYT_Routine_Maintenance_Towerco_Station_VCM : -1000.95 + myt_naingmyo.htun</v>
      </c>
      <c r="E143" s="379"/>
      <c r="F143" s="372"/>
      <c r="G143" s="372"/>
      <c r="H143" s="372"/>
      <c r="I143" s="372"/>
      <c r="J143" s="372"/>
      <c r="K143" s="369"/>
      <c r="L143" s="369"/>
      <c r="M143" s="373"/>
      <c r="N143" s="369"/>
      <c r="O143" s="369"/>
      <c r="P143" s="374"/>
      <c r="Q143" s="372"/>
      <c r="R143" s="372"/>
      <c r="S143" s="372"/>
      <c r="T143" s="372"/>
      <c r="U143" s="372"/>
      <c r="V143" s="372"/>
      <c r="W143" s="372"/>
      <c r="X143" s="372"/>
      <c r="Y143" s="372"/>
      <c r="Z143" s="372"/>
      <c r="AA143" s="372"/>
      <c r="AB143" s="372"/>
      <c r="AC143" s="372"/>
      <c r="AD143" s="372"/>
      <c r="AE143" s="372"/>
      <c r="AF143" s="372"/>
      <c r="AG143" s="372"/>
      <c r="AH143" s="372"/>
      <c r="AI143" s="372"/>
      <c r="AJ143" s="372"/>
      <c r="AK143" s="372"/>
      <c r="AL143" s="372"/>
      <c r="AM143" s="372"/>
    </row>
    <row r="144">
      <c r="A144" s="379" t="s">
        <v>493</v>
      </c>
      <c r="B144" s="379" t="str">
        <f t="array" ref="B144">if(len(A144)&lt;5,"-", iferror(Xlookup($A144,'Input WO'!$E:$E,'Input WO'!$F:$F),Xlookup($A144,'Input task'!$T:$T,'Input task'!$S:$S)
))</f>
        <v>myt_naymyo.thu</v>
      </c>
      <c r="C144" s="398" t="str">
        <f>IFERROR(__xludf.DUMMYFUNCTION("if(len($A144)&lt;5,""-"",iferror(TEXTJOIN("" |=***=| "",TRUE,filter('Input task'!$D:$D&amp;"" : ""&amp;'Input task'!$E:$E&amp;"" : ""&amp;'Input task'!$K:$K&amp;"" + ""&amp;'Input task'!$H:$H,'Input task'!$J:$J="""",'Input task'!$T:$T=$A144)),""No see""))"),"Diode Kid Installation : TNI0277 Need to install diode kid :  +  |=***=| 100 point plan : TNI0277 100 point plan need to clean site overview inside and outeside and make to neatly patchord cable. :  + ")</f>
        <v>Diode Kid Installation : TNI0277 Need to install diode kid :  +  |=***=| 100 point plan : TNI0277 100 point plan need to clean site overview inside and outeside and make to neatly patchord cable. :  + </v>
      </c>
      <c r="D144" s="379" t="str">
        <f>IFERROR(__xludf.DUMMYFUNCTION("if(len($A144)&lt;5,""-"",iferror(TEXTJOIN("" |=***=| "",TRUE,FILTER(('Input WO'!$A:$A&amp;"" + ""&amp;'Input WO'!$B:$B&amp;"" : ""&amp;'Input WO'!$C:$C&amp;"" + ""&amp;'Input WO'!$F:$F),'Input WO'!$E:$E=$A144)),""No see""))"),"WO_WFM-OTHERS_20260504_123184919 + IP : TNI0277SRT001-TNI0281SRT001 link down at 01/05/2026 10:34:00 : -1241.45 + myt_naymyo.thu |=***=| WO_WFM-OTHERS_20260623_123616249 + Cable Patrol for (AC)-TNI0277-TNIM065 : 439.03 + myt_wanna.oo2")</f>
        <v>WO_WFM-OTHERS_20260504_123184919 + IP : TNI0277SRT001-TNI0281SRT001 link down at 01/05/2026 10:34:00 : -1241.45 + myt_naymyo.thu |=***=| WO_WFM-OTHERS_20260623_123616249 + Cable Patrol for (AC)-TNI0277-TNIM065 : 439.03 + myt_wanna.oo2</v>
      </c>
      <c r="E144" s="379"/>
      <c r="F144" s="372"/>
      <c r="G144" s="372"/>
      <c r="H144" s="372"/>
      <c r="I144" s="372"/>
      <c r="J144" s="372"/>
      <c r="K144" s="369"/>
      <c r="L144" s="369"/>
      <c r="M144" s="373"/>
      <c r="N144" s="369"/>
      <c r="O144" s="369"/>
      <c r="P144" s="374"/>
      <c r="Q144" s="372"/>
      <c r="R144" s="372"/>
      <c r="S144" s="372"/>
      <c r="T144" s="372"/>
      <c r="U144" s="372"/>
      <c r="V144" s="372"/>
      <c r="W144" s="372"/>
      <c r="X144" s="372"/>
      <c r="Y144" s="372"/>
      <c r="Z144" s="372"/>
      <c r="AA144" s="372"/>
      <c r="AB144" s="372"/>
      <c r="AC144" s="372"/>
      <c r="AD144" s="372"/>
      <c r="AE144" s="372"/>
      <c r="AF144" s="372"/>
      <c r="AG144" s="372"/>
      <c r="AH144" s="372"/>
      <c r="AI144" s="372"/>
      <c r="AJ144" s="372"/>
      <c r="AK144" s="372"/>
      <c r="AL144" s="372"/>
      <c r="AM144" s="372"/>
    </row>
    <row r="145">
      <c r="A145" s="379" t="s">
        <v>494</v>
      </c>
      <c r="B145" s="379" t="str">
        <f t="array" ref="B145">if(len(A145)&lt;5,"-", iferror(Xlookup($A145,'Input WO'!$E:$E,'Input WO'!$F:$F),Xlookup($A145,'Input task'!$T:$T,'Input task'!$S:$S)
))</f>
        <v>myt_naythurain.oo</v>
      </c>
      <c r="C145" s="398" t="str">
        <f>IFERROR(__xludf.DUMMYFUNCTION("if(len($A145)&lt;5,""-"",iferror(TEXTJOIN("" |=***=| "",TRUE,filter('Input task'!$D:$D&amp;"" : ""&amp;'Input task'!$E:$E&amp;"" : ""&amp;'Input task'!$K:$K&amp;"" + ""&amp;'Input task'!$H:$H,'Input task'!$J:$J="""",'Input task'!$T:$T=$A145)),""No see""))"),"No see")</f>
        <v>No see</v>
      </c>
      <c r="D145" s="379" t="str">
        <f>IFERROR(__xludf.DUMMYFUNCTION("if(len($A145)&lt;5,""-"",iferror(TEXTJOIN("" |=***=| "",TRUE,FILTER(('Input WO'!$A:$A&amp;"" + ""&amp;'Input WO'!$B:$B&amp;"" : ""&amp;'Input WO'!$C:$C&amp;"" + ""&amp;'Input WO'!$F:$F),'Input WO'!$E:$E=$A145)),""No see""))"),"WO_QLCTKT_20260607_123463009 + TNI0519 MYT_Maintenance_Generator_Change_Oil - MYT_Checking quality for DG Fuel : -472.95 + myt_naythurain.oo")</f>
        <v>WO_QLCTKT_20260607_123463009 + TNI0519 MYT_Maintenance_Generator_Change_Oil - MYT_Checking quality for DG Fuel : -472.95 + myt_naythurain.oo</v>
      </c>
      <c r="E145" s="379"/>
      <c r="F145" s="372"/>
      <c r="G145" s="372"/>
      <c r="H145" s="372"/>
      <c r="I145" s="372"/>
      <c r="J145" s="372"/>
      <c r="K145" s="369"/>
      <c r="L145" s="369"/>
      <c r="M145" s="373"/>
      <c r="N145" s="369"/>
      <c r="O145" s="369"/>
      <c r="P145" s="374"/>
      <c r="Q145" s="372"/>
      <c r="R145" s="372"/>
      <c r="S145" s="372"/>
      <c r="T145" s="372"/>
      <c r="U145" s="372"/>
      <c r="V145" s="372"/>
      <c r="W145" s="372"/>
      <c r="X145" s="372"/>
      <c r="Y145" s="372"/>
      <c r="Z145" s="372"/>
      <c r="AA145" s="372"/>
      <c r="AB145" s="372"/>
      <c r="AC145" s="372"/>
      <c r="AD145" s="372"/>
      <c r="AE145" s="372"/>
      <c r="AF145" s="372"/>
      <c r="AG145" s="372"/>
      <c r="AH145" s="372"/>
      <c r="AI145" s="372"/>
      <c r="AJ145" s="372"/>
      <c r="AK145" s="372"/>
      <c r="AL145" s="372"/>
      <c r="AM145" s="372"/>
    </row>
    <row r="146">
      <c r="A146" s="379" t="s">
        <v>495</v>
      </c>
      <c r="B146" s="379" t="str">
        <f t="array" ref="B146">if(len(A146)&lt;5,"-", iferror(Xlookup($A146,'Input WO'!$E:$E,'Input WO'!$F:$F),Xlookup($A146,'Input task'!$T:$T,'Input task'!$S:$S)
))</f>
        <v>myt_naythurain.oo</v>
      </c>
      <c r="C146" s="398" t="str">
        <f>IFERROR(__xludf.DUMMYFUNCTION("if(len($A146)&lt;5,""-"",iferror(TEXTJOIN("" |=***=| "",TRUE,filter('Input task'!$D:$D&amp;"" : ""&amp;'Input task'!$E:$E&amp;"" : ""&amp;'Input task'!$K:$K&amp;"" + ""&amp;'Input task'!$H:$H,'Input task'!$J:$J="""",'Input task'!$T:$T=$A146)),""No see""))"),"No see")</f>
        <v>No see</v>
      </c>
      <c r="D146" s="379" t="str">
        <f>IFERROR(__xludf.DUMMYFUNCTION("if(len($A146)&lt;5,""-"",iferror(TEXTJOIN("" |=***=| "",TRUE,FILTER(('Input WO'!$A:$A&amp;"" + ""&amp;'Input WO'!$B:$B&amp;"" : ""&amp;'Input WO'!$C:$C&amp;"" + ""&amp;'Input WO'!$F:$F),'Input WO'!$E:$E=$A146)),""No see""))"),"WO_QLCTKT_20260410_122967696 + TNI0077 - Repair infrastructure - bla: Cleaning the station, remove grass, vines, tree, rubbish, recall unused equipment, material: Clean the all equipments, room, slabs, install the patchcod neatly, tidy : -1827.35 + myt_na"&amp;"ythurain.oo")</f>
        <v>WO_QLCTKT_20260410_122967696 + TNI0077 - Repair infrastructure - bla: Cleaning the station, remove grass, vines, tree, rubbish, recall unused equipment, material: Clean the all equipments, room, slabs, install the patchcod neatly, tidy : -1827.35 + myt_naythurain.oo</v>
      </c>
      <c r="E146" s="379"/>
      <c r="F146" s="372"/>
      <c r="G146" s="372"/>
      <c r="H146" s="372"/>
      <c r="I146" s="372"/>
      <c r="J146" s="372"/>
      <c r="K146" s="369"/>
      <c r="L146" s="369"/>
      <c r="M146" s="373"/>
      <c r="N146" s="369"/>
      <c r="O146" s="369"/>
      <c r="P146" s="374"/>
      <c r="Q146" s="372"/>
      <c r="R146" s="372"/>
      <c r="S146" s="372"/>
      <c r="T146" s="372"/>
      <c r="U146" s="372"/>
      <c r="V146" s="372"/>
      <c r="W146" s="372"/>
      <c r="X146" s="372"/>
      <c r="Y146" s="372"/>
      <c r="Z146" s="372"/>
      <c r="AA146" s="372"/>
      <c r="AB146" s="372"/>
      <c r="AC146" s="372"/>
      <c r="AD146" s="372"/>
      <c r="AE146" s="372"/>
      <c r="AF146" s="372"/>
      <c r="AG146" s="372"/>
      <c r="AH146" s="372"/>
      <c r="AI146" s="372"/>
      <c r="AJ146" s="372"/>
      <c r="AK146" s="372"/>
      <c r="AL146" s="372"/>
      <c r="AM146" s="372"/>
    </row>
    <row r="147">
      <c r="A147" s="379" t="s">
        <v>223</v>
      </c>
      <c r="B147" s="379" t="str">
        <f t="array" ref="B147">if(len(A147)&lt;5,"-", iferror(Xlookup($A147,'Input WO'!$E:$E,'Input WO'!$F:$F),Xlookup($A147,'Input task'!$T:$T,'Input task'!$S:$S)
))</f>
        <v>myt_paingaung.soe</v>
      </c>
      <c r="C147" s="398" t="str">
        <f>IFERROR(__xludf.DUMMYFUNCTION("if(len($A147)&lt;5,""-"",iferror(TEXTJOIN("" |=***=| "",TRUE,filter('Input task'!$D:$D&amp;"" : ""&amp;'Input task'!$E:$E&amp;"" : ""&amp;'Input task'!$K:$K&amp;"" + ""&amp;'Input task'!$H:$H,'Input task'!$J:$J="""",'Input task'!$T:$T=$A147)),""No see""))"),"Rescue long time site/link down : Save TNI0394 long time site down &gt; 24 Hrs :  + Wait CD Receive task |=***=| 100 point plan : TNI0394 100 point plan need to clean site overview inside and outeside and make to neatly patchord cable. :  +  |=***=| PVC PLAN"&amp;" : TNI0394 need to cover pvc pipe :  + ")</f>
        <v>Rescue long time site/link down : Save TNI0394 long time site down &gt; 24 Hrs :  + Wait CD Receive task |=***=| 100 point plan : TNI0394 100 point plan need to clean site overview inside and outeside and make to neatly patchord cable. :  +  |=***=| PVC PLAN : TNI0394 need to cover pvc pipe :  + </v>
      </c>
      <c r="D147" s="379" t="str">
        <f>IFERROR(__xludf.DUMMYFUNCTION("if(len($A147)&lt;5,""-"",iferror(TEXTJOIN("" |=***=| "",TRUE,FILTER(('Input WO'!$A:$A&amp;"" + ""&amp;'Input WO'!$B:$B&amp;"" : ""&amp;'Input WO'!$C:$C&amp;"" + ""&amp;'Input WO'!$F:$F),'Input WO'!$E:$E=$A147)),""No see""))"),"WO_ICMS_20260623_123615036 + TNI0394 MYT_Routine_Maintenance_Mytel_Station MYT_RTE_MTE_SB_STN : 886.64 + myt_paingaung.soe")</f>
        <v>WO_ICMS_20260623_123615036 + TNI0394 MYT_Routine_Maintenance_Mytel_Station MYT_RTE_MTE_SB_STN : 886.64 + myt_paingaung.soe</v>
      </c>
      <c r="E147" s="379"/>
      <c r="F147" s="372"/>
      <c r="G147" s="372"/>
      <c r="H147" s="372"/>
      <c r="I147" s="372"/>
      <c r="J147" s="372"/>
      <c r="K147" s="369"/>
      <c r="L147" s="369"/>
      <c r="M147" s="373"/>
      <c r="N147" s="369"/>
      <c r="O147" s="369"/>
      <c r="P147" s="374"/>
      <c r="Q147" s="372"/>
      <c r="R147" s="372"/>
      <c r="S147" s="372"/>
      <c r="T147" s="372"/>
      <c r="U147" s="372"/>
      <c r="V147" s="372"/>
      <c r="W147" s="372"/>
      <c r="X147" s="372"/>
      <c r="Y147" s="372"/>
      <c r="Z147" s="372"/>
      <c r="AA147" s="372"/>
      <c r="AB147" s="372"/>
      <c r="AC147" s="372"/>
      <c r="AD147" s="372"/>
      <c r="AE147" s="372"/>
      <c r="AF147" s="372"/>
      <c r="AG147" s="372"/>
      <c r="AH147" s="372"/>
      <c r="AI147" s="372"/>
      <c r="AJ147" s="372"/>
      <c r="AK147" s="372"/>
      <c r="AL147" s="372"/>
      <c r="AM147" s="372"/>
    </row>
    <row r="148">
      <c r="A148" s="379" t="s">
        <v>496</v>
      </c>
      <c r="B148" s="379" t="str">
        <f t="array" ref="B148">if(len(A148)&lt;5,"-", iferror(Xlookup($A148,'Input WO'!$E:$E,'Input WO'!$F:$F),Xlookup($A148,'Input task'!$T:$T,'Input task'!$S:$S)
))</f>
        <v>myt_phyoko.ko44</v>
      </c>
      <c r="C148" s="398" t="str">
        <f>IFERROR(__xludf.DUMMYFUNCTION("if(len($A148)&lt;5,""-"",iferror(TEXTJOIN("" |=***=| "",TRUE,filter('Input task'!$D:$D&amp;"" : ""&amp;'Input task'!$E:$E&amp;"" : ""&amp;'Input task'!$K:$K&amp;"" + ""&amp;'Input task'!$H:$H,'Input task'!$J:$J="""",'Input task'!$T:$T=$A148)),""No see""))"),"No see")</f>
        <v>No see</v>
      </c>
      <c r="D148" s="379" t="str">
        <f>IFERROR(__xludf.DUMMYFUNCTION("if(len($A148)&lt;5,""-"",iferror(TEXTJOIN("" |=***=| "",TRUE,FILTER(('Input WO'!$A:$A&amp;"" + ""&amp;'Input WO'!$B:$B&amp;"" : ""&amp;'Input WO'!$C:$C&amp;"" + ""&amp;'Input WO'!$F:$F),'Input WO'!$E:$E=$A148)),""No see""))"),"WO_WFM-OTHERS_20260623_123616222 + Cable Patrol for (AC)-TNI0288-TNIM073 : 439.03 + myt_phyoko.ko44")</f>
        <v>WO_WFM-OTHERS_20260623_123616222 + Cable Patrol for (AC)-TNI0288-TNIM073 : 439.03 + myt_phyoko.ko44</v>
      </c>
      <c r="E148" s="379"/>
      <c r="F148" s="372"/>
      <c r="G148" s="372"/>
      <c r="H148" s="372"/>
      <c r="I148" s="372"/>
      <c r="J148" s="372"/>
      <c r="K148" s="369"/>
      <c r="L148" s="369"/>
      <c r="M148" s="373"/>
      <c r="N148" s="369"/>
      <c r="O148" s="369"/>
      <c r="P148" s="374"/>
      <c r="Q148" s="372"/>
      <c r="R148" s="372"/>
      <c r="S148" s="372"/>
      <c r="T148" s="372"/>
      <c r="U148" s="372"/>
      <c r="V148" s="372"/>
      <c r="W148" s="372"/>
      <c r="X148" s="372"/>
      <c r="Y148" s="372"/>
      <c r="Z148" s="372"/>
      <c r="AA148" s="372"/>
      <c r="AB148" s="372"/>
      <c r="AC148" s="372"/>
      <c r="AD148" s="372"/>
      <c r="AE148" s="372"/>
      <c r="AF148" s="372"/>
      <c r="AG148" s="372"/>
      <c r="AH148" s="372"/>
      <c r="AI148" s="372"/>
      <c r="AJ148" s="372"/>
      <c r="AK148" s="372"/>
      <c r="AL148" s="372"/>
      <c r="AM148" s="372"/>
    </row>
    <row r="149">
      <c r="A149" s="379" t="s">
        <v>497</v>
      </c>
      <c r="B149" s="379" t="str">
        <f t="array" ref="B149">if(len(A149)&lt;5,"-", iferror(Xlookup($A149,'Input WO'!$E:$E,'Input WO'!$F:$F),Xlookup($A149,'Input task'!$T:$T,'Input task'!$S:$S)
))</f>
        <v>myt_phyoko.ko44</v>
      </c>
      <c r="C149" s="398" t="str">
        <f>IFERROR(__xludf.DUMMYFUNCTION("if(len($A149)&lt;5,""-"",iferror(TEXTJOIN("" |=***=| "",TRUE,filter('Input task'!$D:$D&amp;"" : ""&amp;'Input task'!$E:$E&amp;"" : ""&amp;'Input task'!$K:$K&amp;"" + ""&amp;'Input task'!$H:$H,'Input task'!$J:$J="""",'Input task'!$T:$T=$A149)),""No see""))"),"Fixing Fuel Level Monitoring : TNI0072 Need to fix fuel level cannot monitoring at NMS. :  + ")</f>
        <v>Fixing Fuel Level Monitoring : TNI0072 Need to fix fuel level cannot monitoring at NMS. :  + </v>
      </c>
      <c r="D149" s="379" t="str">
        <f>IFERROR(__xludf.DUMMYFUNCTION("if(len($A149)&lt;5,""-"",iferror(TEXTJOIN("" |=***=| "",TRUE,FILTER(('Input WO'!$A:$A&amp;"" + ""&amp;'Input WO'!$B:$B&amp;"" : ""&amp;'Input WO'!$C:$C&amp;"" + ""&amp;'Input WO'!$F:$F),'Input WO'!$E:$E=$A149)),""No see""))"),"WO_ICMS_20260623_123615126 + TNI0072 MYT_Routine_Maintenance_Mytel_Station MYT_RTE_MTE_SB_STN : 886.64 + myt_phyoko.ko44")</f>
        <v>WO_ICMS_20260623_123615126 + TNI0072 MYT_Routine_Maintenance_Mytel_Station MYT_RTE_MTE_SB_STN : 886.64 + myt_phyoko.ko44</v>
      </c>
      <c r="E149" s="379"/>
      <c r="F149" s="372"/>
      <c r="G149" s="372"/>
      <c r="H149" s="372"/>
      <c r="I149" s="372"/>
      <c r="J149" s="372"/>
      <c r="K149" s="369"/>
      <c r="L149" s="369"/>
      <c r="M149" s="373"/>
      <c r="N149" s="369"/>
      <c r="O149" s="369"/>
      <c r="P149" s="374"/>
      <c r="Q149" s="372"/>
      <c r="R149" s="372"/>
      <c r="S149" s="372"/>
      <c r="T149" s="372"/>
      <c r="U149" s="372"/>
      <c r="V149" s="372"/>
      <c r="W149" s="372"/>
      <c r="X149" s="372"/>
      <c r="Y149" s="372"/>
      <c r="Z149" s="372"/>
      <c r="AA149" s="372"/>
      <c r="AB149" s="372"/>
      <c r="AC149" s="372"/>
      <c r="AD149" s="372"/>
      <c r="AE149" s="372"/>
      <c r="AF149" s="372"/>
      <c r="AG149" s="372"/>
      <c r="AH149" s="372"/>
      <c r="AI149" s="372"/>
      <c r="AJ149" s="372"/>
      <c r="AK149" s="372"/>
      <c r="AL149" s="372"/>
      <c r="AM149" s="372"/>
    </row>
    <row r="150">
      <c r="A150" s="379" t="s">
        <v>498</v>
      </c>
      <c r="B150" s="379" t="str">
        <f t="array" ref="B150">if(len(A150)&lt;5,"-", iferror(Xlookup($A150,'Input WO'!$E:$E,'Input WO'!$F:$F),Xlookup($A150,'Input task'!$T:$T,'Input task'!$S:$S)
))</f>
        <v>myt_phyoko.ko44</v>
      </c>
      <c r="C150" s="398" t="str">
        <f>IFERROR(__xludf.DUMMYFUNCTION("if(len($A150)&lt;5,""-"",iferror(TEXTJOIN("" |=***=| "",TRUE,filter('Input task'!$D:$D&amp;"" : ""&amp;'Input task'!$E:$E&amp;"" : ""&amp;'Input task'!$K:$K&amp;"" + ""&amp;'Input task'!$H:$H,'Input task'!$J:$J="""",'Input task'!$T:$T=$A150)),""No see""))"),"No see")</f>
        <v>No see</v>
      </c>
      <c r="D150" s="379" t="str">
        <f>IFERROR(__xludf.DUMMYFUNCTION("if(len($A150)&lt;5,""-"",iferror(TEXTJOIN("" |=***=| "",TRUE,FILTER(('Input WO'!$A:$A&amp;"" + ""&amp;'Input WO'!$B:$B&amp;"" : ""&amp;'Input WO'!$C:$C&amp;"" + ""&amp;'Input WO'!$F:$F),'Input WO'!$E:$E=$A150)),""No see""))"),"WO_ICMS_20260623_123615079 + TNI0256 MYT_Routine_Maintenance_Mytel_Station MYT_RTE_MTE_SB_STN : 886.64 + myt_phyoko.ko44")</f>
        <v>WO_ICMS_20260623_123615079 + TNI0256 MYT_Routine_Maintenance_Mytel_Station MYT_RTE_MTE_SB_STN : 886.64 + myt_phyoko.ko44</v>
      </c>
      <c r="E150" s="379"/>
      <c r="F150" s="372"/>
      <c r="G150" s="372"/>
      <c r="H150" s="372"/>
      <c r="I150" s="372"/>
      <c r="J150" s="372"/>
      <c r="K150" s="369"/>
      <c r="L150" s="369"/>
      <c r="M150" s="373"/>
      <c r="N150" s="369"/>
      <c r="O150" s="369"/>
      <c r="P150" s="374"/>
      <c r="Q150" s="372"/>
      <c r="R150" s="372"/>
      <c r="S150" s="372"/>
      <c r="T150" s="372"/>
      <c r="U150" s="372"/>
      <c r="V150" s="372"/>
      <c r="W150" s="372"/>
      <c r="X150" s="372"/>
      <c r="Y150" s="372"/>
      <c r="Z150" s="372"/>
      <c r="AA150" s="372"/>
      <c r="AB150" s="372"/>
      <c r="AC150" s="372"/>
      <c r="AD150" s="372"/>
      <c r="AE150" s="372"/>
      <c r="AF150" s="372"/>
      <c r="AG150" s="372"/>
      <c r="AH150" s="372"/>
      <c r="AI150" s="372"/>
      <c r="AJ150" s="372"/>
      <c r="AK150" s="372"/>
      <c r="AL150" s="372"/>
      <c r="AM150" s="372"/>
    </row>
    <row r="151">
      <c r="A151" s="379" t="s">
        <v>499</v>
      </c>
      <c r="B151" s="379" t="str">
        <f t="array" ref="B151">if(len(A151)&lt;5,"-", iferror(Xlookup($A151,'Input WO'!$E:$E,'Input WO'!$F:$F),Xlookup($A151,'Input task'!$T:$T,'Input task'!$S:$S)
))</f>
        <v>myt_phyoko.ko44</v>
      </c>
      <c r="C151" s="398" t="str">
        <f>IFERROR(__xludf.DUMMYFUNCTION("if(len($A151)&lt;5,""-"",iferror(TEXTJOIN("" |=***=| "",TRUE,filter('Input task'!$D:$D&amp;"" : ""&amp;'Input task'!$E:$E&amp;"" : ""&amp;'Input task'!$K:$K&amp;"" + ""&amp;'Input task'!$H:$H,'Input task'!$J:$J="""",'Input task'!$T:$T=$A151)),""No see""))"),"No see")</f>
        <v>No see</v>
      </c>
      <c r="D151" s="379" t="str">
        <f>IFERROR(__xludf.DUMMYFUNCTION("if(len($A151)&lt;5,""-"",iferror(TEXTJOIN("" |=***=| "",TRUE,FILTER(('Input WO'!$A:$A&amp;"" + ""&amp;'Input WO'!$B:$B&amp;"" : ""&amp;'Input WO'!$C:$C&amp;"" + ""&amp;'Input WO'!$F:$F),'Input WO'!$E:$E=$A151)),""No see""))"),"WO_ICMS_20260623_123615073 + TNI0265 MYT_Routine_Maintenance_Mytel_Station MYT_RTE_MTE_SB_STN : 886.64 + myt_phyoko.ko44")</f>
        <v>WO_ICMS_20260623_123615073 + TNI0265 MYT_Routine_Maintenance_Mytel_Station MYT_RTE_MTE_SB_STN : 886.64 + myt_phyoko.ko44</v>
      </c>
      <c r="E151" s="379"/>
      <c r="F151" s="372"/>
      <c r="G151" s="372"/>
      <c r="H151" s="372"/>
      <c r="I151" s="372"/>
      <c r="J151" s="372"/>
      <c r="K151" s="369"/>
      <c r="L151" s="369"/>
      <c r="M151" s="373"/>
      <c r="N151" s="369"/>
      <c r="O151" s="369"/>
      <c r="P151" s="374"/>
      <c r="Q151" s="372"/>
      <c r="R151" s="372"/>
      <c r="S151" s="372"/>
      <c r="T151" s="372"/>
      <c r="U151" s="372"/>
      <c r="V151" s="372"/>
      <c r="W151" s="372"/>
      <c r="X151" s="372"/>
      <c r="Y151" s="372"/>
      <c r="Z151" s="372"/>
      <c r="AA151" s="372"/>
      <c r="AB151" s="372"/>
      <c r="AC151" s="372"/>
      <c r="AD151" s="372"/>
      <c r="AE151" s="372"/>
      <c r="AF151" s="372"/>
      <c r="AG151" s="372"/>
      <c r="AH151" s="372"/>
      <c r="AI151" s="372"/>
      <c r="AJ151" s="372"/>
      <c r="AK151" s="372"/>
      <c r="AL151" s="372"/>
      <c r="AM151" s="372"/>
    </row>
    <row r="152">
      <c r="A152" s="379" t="s">
        <v>500</v>
      </c>
      <c r="B152" s="379" t="str">
        <f t="array" ref="B152">if(len(A152)&lt;5,"-", iferror(Xlookup($A152,'Input WO'!$E:$E,'Input WO'!$F:$F),Xlookup($A152,'Input task'!$T:$T,'Input task'!$S:$S)
))</f>
        <v>myt_phyoko.ko44</v>
      </c>
      <c r="C152" s="398" t="str">
        <f>IFERROR(__xludf.DUMMYFUNCTION("if(len($A152)&lt;5,""-"",iferror(TEXTJOIN("" |=***=| "",TRUE,filter('Input task'!$D:$D&amp;"" : ""&amp;'Input task'!$E:$E&amp;"" : ""&amp;'Input task'!$K:$K&amp;"" + ""&amp;'Input task'!$H:$H,'Input task'!$J:$J="""",'Input task'!$T:$T=$A152)),""No see""))"),"No see")</f>
        <v>No see</v>
      </c>
      <c r="D152" s="379" t="str">
        <f>IFERROR(__xludf.DUMMYFUNCTION("if(len($A152)&lt;5,""-"",iferror(TEXTJOIN("" |=***=| "",TRUE,FILTER(('Input WO'!$A:$A&amp;"" + ""&amp;'Input WO'!$B:$B&amp;"" : ""&amp;'Input WO'!$C:$C&amp;"" + ""&amp;'Input WO'!$F:$F),'Input WO'!$E:$E=$A152)),""No see""))"),"WO_ICMS_20260623_123615067 + TNI0321 MYT_Routine_Maintenance_Mytel_Station MYT_RTE_MTE_SB_STN : 886.64 + myt_phyoko.ko44")</f>
        <v>WO_ICMS_20260623_123615067 + TNI0321 MYT_Routine_Maintenance_Mytel_Station MYT_RTE_MTE_SB_STN : 886.64 + myt_phyoko.ko44</v>
      </c>
      <c r="E152" s="379"/>
      <c r="F152" s="372"/>
      <c r="G152" s="372"/>
      <c r="H152" s="372"/>
      <c r="I152" s="372"/>
      <c r="J152" s="372"/>
      <c r="K152" s="369"/>
      <c r="L152" s="369"/>
      <c r="M152" s="373"/>
      <c r="N152" s="369"/>
      <c r="O152" s="369"/>
      <c r="P152" s="374"/>
      <c r="Q152" s="372"/>
      <c r="R152" s="372"/>
      <c r="S152" s="372"/>
      <c r="T152" s="372"/>
      <c r="U152" s="372"/>
      <c r="V152" s="372"/>
      <c r="W152" s="372"/>
      <c r="X152" s="372"/>
      <c r="Y152" s="372"/>
      <c r="Z152" s="372"/>
      <c r="AA152" s="372"/>
      <c r="AB152" s="372"/>
      <c r="AC152" s="372"/>
      <c r="AD152" s="372"/>
      <c r="AE152" s="372"/>
      <c r="AF152" s="372"/>
      <c r="AG152" s="372"/>
      <c r="AH152" s="372"/>
      <c r="AI152" s="372"/>
      <c r="AJ152" s="372"/>
      <c r="AK152" s="372"/>
      <c r="AL152" s="372"/>
      <c r="AM152" s="372"/>
    </row>
    <row r="153">
      <c r="A153" s="379" t="s">
        <v>501</v>
      </c>
      <c r="B153" s="379" t="str">
        <f t="array" ref="B153">if(len(A153)&lt;5,"-", iferror(Xlookup($A153,'Input WO'!$E:$E,'Input WO'!$F:$F),Xlookup($A153,'Input task'!$T:$T,'Input task'!$S:$S)
))</f>
        <v>myt_phyoko.ko44</v>
      </c>
      <c r="C153" s="398" t="str">
        <f>IFERROR(__xludf.DUMMYFUNCTION("if(len($A153)&lt;5,""-"",iferror(TEXTJOIN("" |=***=| "",TRUE,filter('Input task'!$D:$D&amp;"" : ""&amp;'Input task'!$E:$E&amp;"" : ""&amp;'Input task'!$K:$K&amp;"" + ""&amp;'Input task'!$H:$H,'Input task'!$J:$J="""",'Input task'!$T:$T=$A153)),""No see""))"),"PVC PLAN : TNI0245 need to cover pvc pipe :  + ")</f>
        <v>PVC PLAN : TNI0245 need to cover pvc pipe :  + </v>
      </c>
      <c r="D153" s="379" t="str">
        <f>IFERROR(__xludf.DUMMYFUNCTION("if(len($A153)&lt;5,""-"",iferror(TEXTJOIN("" |=***=| "",TRUE,FILTER(('Input WO'!$A:$A&amp;"" + ""&amp;'Input WO'!$B:$B&amp;"" : ""&amp;'Input WO'!$C:$C&amp;"" + ""&amp;'Input WO'!$F:$F),'Input WO'!$E:$E=$A153)),""No see""))"),"WO_WFM-OTHERS_20260622_123603209 + TNI0245_Cleaning Radiator and change engine oil : -41.95 + myt_phyoko.ko44")</f>
        <v>WO_WFM-OTHERS_20260622_123603209 + TNI0245_Cleaning Radiator and change engine oil : -41.95 + myt_phyoko.ko44</v>
      </c>
      <c r="E153" s="379"/>
      <c r="F153" s="372"/>
      <c r="G153" s="372"/>
      <c r="H153" s="372"/>
      <c r="I153" s="372"/>
      <c r="J153" s="372"/>
      <c r="K153" s="369"/>
      <c r="L153" s="369"/>
      <c r="M153" s="373"/>
      <c r="N153" s="369"/>
      <c r="O153" s="369"/>
      <c r="P153" s="374"/>
      <c r="Q153" s="372"/>
      <c r="R153" s="372"/>
      <c r="S153" s="372"/>
      <c r="T153" s="372"/>
      <c r="U153" s="372"/>
      <c r="V153" s="372"/>
      <c r="W153" s="372"/>
      <c r="X153" s="372"/>
      <c r="Y153" s="372"/>
      <c r="Z153" s="372"/>
      <c r="AA153" s="372"/>
      <c r="AB153" s="372"/>
      <c r="AC153" s="372"/>
      <c r="AD153" s="372"/>
      <c r="AE153" s="372"/>
      <c r="AF153" s="372"/>
      <c r="AG153" s="372"/>
      <c r="AH153" s="372"/>
      <c r="AI153" s="372"/>
      <c r="AJ153" s="372"/>
      <c r="AK153" s="372"/>
      <c r="AL153" s="372"/>
      <c r="AM153" s="372"/>
    </row>
    <row r="154">
      <c r="A154" s="379" t="s">
        <v>502</v>
      </c>
      <c r="B154" s="379" t="str">
        <f t="array" ref="B154">if(len(A154)&lt;5,"-", iferror(Xlookup($A154,'Input WO'!$E:$E,'Input WO'!$F:$F),Xlookup($A154,'Input task'!$T:$T,'Input task'!$S:$S)
))</f>
        <v>myt_phyoko.ko44</v>
      </c>
      <c r="C154" s="398" t="str">
        <f>IFERROR(__xludf.DUMMYFUNCTION("if(len($A154)&lt;5,""-"",iferror(TEXTJOIN("" |=***=| "",TRUE,filter('Input task'!$D:$D&amp;"" : ""&amp;'Input task'!$E:$E&amp;"" : ""&amp;'Input task'!$K:$K&amp;"" + ""&amp;'Input task'!$H:$H,'Input task'!$J:$J="""",'Input task'!$T:$T=$A154)),""No see""))"),"No see")</f>
        <v>No see</v>
      </c>
      <c r="D154" s="379" t="str">
        <f>IFERROR(__xludf.DUMMYFUNCTION("if(len($A154)&lt;5,""-"",iferror(TEXTJOIN("" |=***=| "",TRUE,FILTER(('Input WO'!$A:$A&amp;"" + ""&amp;'Input WO'!$B:$B&amp;"" : ""&amp;'Input WO'!$C:$C&amp;"" + ""&amp;'Input WO'!$F:$F),'Input WO'!$E:$E=$A154)),""No see""))"),"WO_QLCTKT_20260614_123519638 + TNI0198 MYT_Maintenance_Generator_Change_Oil - MYT_Maintenance_Generator_Change_Oil_Filter - MYT_Maintenance_Generator_Change_Fuel_Filter - MYT_Maintenance_Generator_Change_Air_Filter, Clean Radiator and Clean Engine Room - "&amp;"MYT_Checking quality for DG Fuel : -304.95 + myt_phyoko.ko44 |=***=| WO_QLCTKT_20260509_123226339 + TNI0198 MYT_Maintenance_Generator_Change_Oil - MYT_Maintenance_Generator_Change_Oil_Filter - MYT_Maintenance_Generator_Change_Fuel_Filter - MYT_Checking qu"&amp;"ality for DG Fuel : -1168.95 + myt_phyoko.ko44 |=***=| WO_QLCTKT_20260411_122972481 + TNI0198 MYT_Maintenance_Generator_Change_Oil - MYT_Maintenance_Generator_Change_Oil_Filter - MYT_Maintenance_Generator_Change_Fuel_Filter - MYT_Maintenance_Generator_Cha"&amp;"nge_Air_Filter and Clean_Radiator - MYT_Checking quality for DG Fuel : -1840.95 + myt_phyoko.ko44")</f>
        <v>WO_QLCTKT_20260614_123519638 + TNI0198 MYT_Maintenance_Generator_Change_Oil - MYT_Maintenance_Generator_Change_Oil_Filter - MYT_Maintenance_Generator_Change_Fuel_Filter - MYT_Maintenance_Generator_Change_Air_Filter, Clean Radiator and Clean Engine Room - MYT_Checking quality for DG Fuel : -304.95 + myt_phyoko.ko44 |=***=| WO_QLCTKT_20260509_123226339 + TNI0198 MYT_Maintenance_Generator_Change_Oil - MYT_Maintenance_Generator_Change_Oil_Filter - MYT_Maintenance_Generator_Change_Fuel_Filter - MYT_Checking quality for DG Fuel : -1168.95 + myt_phyoko.ko44 |=***=| WO_QLCTKT_20260411_122972481 + TNI0198 MYT_Maintenance_Generator_Change_Oil - MYT_Maintenance_Generator_Change_Oil_Filter - MYT_Maintenance_Generator_Change_Fuel_Filter - MYT_Maintenance_Generator_Change_Air_Filter and Clean_Radiator - MYT_Checking quality for DG Fuel : -1840.95 + myt_phyoko.ko44</v>
      </c>
      <c r="E154" s="379"/>
      <c r="F154" s="372"/>
      <c r="G154" s="372"/>
      <c r="H154" s="372"/>
      <c r="I154" s="372"/>
      <c r="J154" s="372"/>
      <c r="K154" s="369"/>
      <c r="L154" s="369"/>
      <c r="M154" s="373"/>
      <c r="N154" s="369"/>
      <c r="O154" s="369"/>
      <c r="P154" s="374"/>
      <c r="Q154" s="372"/>
      <c r="R154" s="372"/>
      <c r="S154" s="372"/>
      <c r="T154" s="372"/>
      <c r="U154" s="372"/>
      <c r="V154" s="372"/>
      <c r="W154" s="372"/>
      <c r="X154" s="372"/>
      <c r="Y154" s="372"/>
      <c r="Z154" s="372"/>
      <c r="AA154" s="372"/>
      <c r="AB154" s="372"/>
      <c r="AC154" s="372"/>
      <c r="AD154" s="372"/>
      <c r="AE154" s="372"/>
      <c r="AF154" s="372"/>
      <c r="AG154" s="372"/>
      <c r="AH154" s="372"/>
      <c r="AI154" s="372"/>
      <c r="AJ154" s="372"/>
      <c r="AK154" s="372"/>
      <c r="AL154" s="372"/>
      <c r="AM154" s="372"/>
    </row>
    <row r="155">
      <c r="A155" s="379" t="s">
        <v>503</v>
      </c>
      <c r="B155" s="379" t="str">
        <f t="array" ref="B155">if(len(A155)&lt;5,"-", iferror(Xlookup($A155,'Input WO'!$E:$E,'Input WO'!$F:$F),Xlookup($A155,'Input task'!$T:$T,'Input task'!$S:$S)
))</f>
        <v>myt_phyoko.ko44</v>
      </c>
      <c r="C155" s="398" t="str">
        <f>IFERROR(__xludf.DUMMYFUNCTION("if(len($A155)&lt;5,""-"",iferror(TEXTJOIN("" |=***=| "",TRUE,filter('Input task'!$D:$D&amp;"" : ""&amp;'Input task'!$E:$E&amp;"" : ""&amp;'Input task'!$K:$K&amp;"" + ""&amp;'Input task'!$H:$H,'Input task'!$J:$J="""",'Input task'!$T:$T=$A155)),""No see""))"),"No see")</f>
        <v>No see</v>
      </c>
      <c r="D155" s="379" t="str">
        <f>IFERROR(__xludf.DUMMYFUNCTION("if(len($A155)&lt;5,""-"",iferror(TEXTJOIN("" |=***=| "",TRUE,FILTER(('Input WO'!$A:$A&amp;"" + ""&amp;'Input WO'!$B:$B&amp;"" : ""&amp;'Input WO'!$C:$C&amp;"" + ""&amp;'Input WO'!$F:$F),'Input WO'!$E:$E=$A155)),""No see""))"),"WO_QLCTKT_20260531_123407700 + TNI0312 MYT_Maintenance_Generator_Change_Oil - MYT_Checking quality for DG Fuel : -640.95 + myt_phyoko.ko44")</f>
        <v>WO_QLCTKT_20260531_123407700 + TNI0312 MYT_Maintenance_Generator_Change_Oil - MYT_Checking quality for DG Fuel : -640.95 + myt_phyoko.ko44</v>
      </c>
      <c r="E155" s="379"/>
      <c r="F155" s="372"/>
      <c r="G155" s="372"/>
      <c r="H155" s="372"/>
      <c r="I155" s="372"/>
      <c r="J155" s="372"/>
      <c r="K155" s="369"/>
      <c r="L155" s="369"/>
      <c r="M155" s="373"/>
      <c r="N155" s="369"/>
      <c r="O155" s="369"/>
      <c r="P155" s="374"/>
      <c r="Q155" s="372"/>
      <c r="R155" s="372"/>
      <c r="S155" s="372"/>
      <c r="T155" s="372"/>
      <c r="U155" s="372"/>
      <c r="V155" s="372"/>
      <c r="W155" s="372"/>
      <c r="X155" s="372"/>
      <c r="Y155" s="372"/>
      <c r="Z155" s="372"/>
      <c r="AA155" s="372"/>
      <c r="AB155" s="372"/>
      <c r="AC155" s="372"/>
      <c r="AD155" s="372"/>
      <c r="AE155" s="372"/>
      <c r="AF155" s="372"/>
      <c r="AG155" s="372"/>
      <c r="AH155" s="372"/>
      <c r="AI155" s="372"/>
      <c r="AJ155" s="372"/>
      <c r="AK155" s="372"/>
      <c r="AL155" s="372"/>
      <c r="AM155" s="372"/>
    </row>
    <row r="156">
      <c r="A156" s="379" t="s">
        <v>504</v>
      </c>
      <c r="B156" s="379" t="str">
        <f t="array" ref="B156">if(len(A156)&lt;5,"-", iferror(Xlookup($A156,'Input WO'!$E:$E,'Input WO'!$F:$F),Xlookup($A156,'Input task'!$T:$T,'Input task'!$S:$S)
))</f>
        <v>myt_phyoko.ko44</v>
      </c>
      <c r="C156" s="398" t="str">
        <f>IFERROR(__xludf.DUMMYFUNCTION("if(len($A156)&lt;5,""-"",iferror(TEXTJOIN("" |=***=| "",TRUE,filter('Input task'!$D:$D&amp;"" : ""&amp;'Input task'!$E:$E&amp;"" : ""&amp;'Input task'!$K:$K&amp;"" + ""&amp;'Input task'!$H:$H,'Input task'!$J:$J="""",'Input task'!$T:$T=$A156)),""No see""))"),"No see")</f>
        <v>No see</v>
      </c>
      <c r="D156" s="379" t="str">
        <f>IFERROR(__xludf.DUMMYFUNCTION("if(len($A156)&lt;5,""-"",iferror(TEXTJOIN("" |=***=| "",TRUE,FILTER(('Input WO'!$A:$A&amp;"" + ""&amp;'Input WO'!$B:$B&amp;"" : ""&amp;'Input WO'!$C:$C&amp;"" + ""&amp;'Input WO'!$F:$F),'Input WO'!$E:$E=$A156)),""No see""))"),"WO_QLCTKT_20260426_123105173 + TNI0019 MYT_Maintenance_Generator_Change_Oil - MYT_Checking quality for DG Fuel : -1480.95 + myt_phyoko.ko44")</f>
        <v>WO_QLCTKT_20260426_123105173 + TNI0019 MYT_Maintenance_Generator_Change_Oil - MYT_Checking quality for DG Fuel : -1480.95 + myt_phyoko.ko44</v>
      </c>
      <c r="E156" s="379"/>
      <c r="F156" s="372"/>
      <c r="G156" s="372"/>
      <c r="H156" s="372"/>
      <c r="I156" s="372"/>
      <c r="J156" s="372"/>
      <c r="K156" s="369"/>
      <c r="L156" s="369"/>
      <c r="M156" s="373"/>
      <c r="N156" s="369"/>
      <c r="O156" s="369"/>
      <c r="P156" s="374"/>
      <c r="Q156" s="372"/>
      <c r="R156" s="372"/>
      <c r="S156" s="372"/>
      <c r="T156" s="372"/>
      <c r="U156" s="372"/>
      <c r="V156" s="372"/>
      <c r="W156" s="372"/>
      <c r="X156" s="372"/>
      <c r="Y156" s="372"/>
      <c r="Z156" s="372"/>
      <c r="AA156" s="372"/>
      <c r="AB156" s="372"/>
      <c r="AC156" s="372"/>
      <c r="AD156" s="372"/>
      <c r="AE156" s="372"/>
      <c r="AF156" s="372"/>
      <c r="AG156" s="372"/>
      <c r="AH156" s="372"/>
      <c r="AI156" s="372"/>
      <c r="AJ156" s="372"/>
      <c r="AK156" s="372"/>
      <c r="AL156" s="372"/>
      <c r="AM156" s="372"/>
    </row>
    <row r="157">
      <c r="A157" s="379" t="s">
        <v>505</v>
      </c>
      <c r="B157" s="379" t="str">
        <f t="array" ref="B157">if(len(A157)&lt;5,"-", iferror(Xlookup($A157,'Input WO'!$E:$E,'Input WO'!$F:$F),Xlookup($A157,'Input task'!$T:$T,'Input task'!$S:$S)
))</f>
        <v>myt_phyoko.ko44</v>
      </c>
      <c r="C157" s="398" t="str">
        <f>IFERROR(__xludf.DUMMYFUNCTION("if(len($A157)&lt;5,""-"",iferror(TEXTJOIN("" |=***=| "",TRUE,filter('Input task'!$D:$D&amp;"" : ""&amp;'Input task'!$E:$E&amp;"" : ""&amp;'Input task'!$K:$K&amp;"" + ""&amp;'Input task'!$H:$H,'Input task'!$J:$J="""",'Input task'!$T:$T=$A157)),""No see""))"),"No see")</f>
        <v>No see</v>
      </c>
      <c r="D157" s="379" t="str">
        <f>IFERROR(__xludf.DUMMYFUNCTION("if(len($A157)&lt;5,""-"",iferror(TEXTJOIN("" |=***=| "",TRUE,FILTER(('Input WO'!$A:$A&amp;"" + ""&amp;'Input WO'!$B:$B&amp;"" : ""&amp;'Input WO'!$C:$C&amp;"" + ""&amp;'Input WO'!$F:$F),'Input WO'!$E:$E=$A157)),""No see""))"),"WO_QLCTKT_20260408_122933219 + TNI0278 MYT_Routine_Maintenance_Towerco_Station_VCM : -1000.95 + myt_phyoko.ko44")</f>
        <v>WO_QLCTKT_20260408_122933219 + TNI0278 MYT_Routine_Maintenance_Towerco_Station_VCM : -1000.95 + myt_phyoko.ko44</v>
      </c>
      <c r="E157" s="379"/>
      <c r="F157" s="372"/>
      <c r="G157" s="372"/>
      <c r="H157" s="372"/>
      <c r="I157" s="372"/>
      <c r="J157" s="372"/>
      <c r="K157" s="369"/>
      <c r="L157" s="369"/>
      <c r="M157" s="373"/>
      <c r="N157" s="369"/>
      <c r="O157" s="369"/>
      <c r="P157" s="374"/>
      <c r="Q157" s="372"/>
      <c r="R157" s="372"/>
      <c r="S157" s="372"/>
      <c r="T157" s="372"/>
      <c r="U157" s="372"/>
      <c r="V157" s="372"/>
      <c r="W157" s="372"/>
      <c r="X157" s="372"/>
      <c r="Y157" s="372"/>
      <c r="Z157" s="372"/>
      <c r="AA157" s="372"/>
      <c r="AB157" s="372"/>
      <c r="AC157" s="372"/>
      <c r="AD157" s="372"/>
      <c r="AE157" s="372"/>
      <c r="AF157" s="372"/>
      <c r="AG157" s="372"/>
      <c r="AH157" s="372"/>
      <c r="AI157" s="372"/>
      <c r="AJ157" s="372"/>
      <c r="AK157" s="372"/>
      <c r="AL157" s="372"/>
      <c r="AM157" s="372"/>
    </row>
    <row r="158">
      <c r="A158" s="379" t="s">
        <v>506</v>
      </c>
      <c r="B158" s="379" t="str">
        <f t="array" ref="B158">if(len(A158)&lt;5,"-", iferror(Xlookup($A158,'Input WO'!$E:$E,'Input WO'!$F:$F),Xlookup($A158,'Input task'!$T:$T,'Input task'!$S:$S)
))</f>
        <v>myt_pyaephyo.zaw</v>
      </c>
      <c r="C158" s="398" t="str">
        <f>IFERROR(__xludf.DUMMYFUNCTION("if(len($A158)&lt;5,""-"",iferror(TEXTJOIN("" |=***=| "",TRUE,filter('Input task'!$D:$D&amp;"" : ""&amp;'Input task'!$E:$E&amp;"" : ""&amp;'Input task'!$K:$K&amp;"" + ""&amp;'Input task'!$H:$H,'Input task'!$J:$J="""",'Input task'!$T:$T=$A158)),""No see""))"),"Request Export material : TNI0009-TNI0015&gt;&gt;Cable f8, 150m -Closure 2pcs tension- 2pcs :  + VCM276675-Pyae Phyo Zaw |=***=| Request Export material : TNI0009-TNI0008&gt;&gt;F8 cable 120m, Closure 2pcs :  + VCM276675-Pyae Phyo Zaw |=***=| Fixing Fuel Level Monito"&amp;"ring : TNI0009 Need to fix fuel level cannot monitoring at NMS. :  + VCM289635-Si Thu Htun |=***=| Check&amp;fixing Main Node Site : TNI0009, Check&amp;fixing Main Node &gt;&gt; Check power status and equipment room (Grounding, Air Con , Fire extinguisher, Light Bulb, "&amp;"ATS, DG Maintenance&gt;&gt; Check engine oil and filter change date) , all cabel into site from undergroun or not, Site Cleaning, Last pole status  :  +  |=***=| Export Materials : TNI0009-TNI0015 &gt;&gt;F8 cable(120m), Closure (2), G7 (  2) :  +  |=***=| Export Mat"&amp;"erials : TNI0009-TNI0015&gt;&gt;24 F8 150m, Crouse 2pcs,  :  +  |=***=| Export Materials : TNI0009-TNI0015&gt;&gt;&gt;Crouse 1pcs,  :  +  |=***=| Surrvey Cable update form : TNI0009-TNI0015 Cable Broken many time, Check buy mapsme and sent kmz file and need to repair po"&amp;"int and repair deploy new cable :  + ")</f>
        <v>Request Export material : TNI0009-TNI0015&gt;&gt;Cable f8, 150m -Closure 2pcs tension- 2pcs :  + VCM276675-Pyae Phyo Zaw |=***=| Request Export material : TNI0009-TNI0008&gt;&gt;F8 cable 120m, Closure 2pcs :  + VCM276675-Pyae Phyo Zaw |=***=| Fixing Fuel Level Monitoring : TNI0009 Need to fix fuel level cannot monitoring at NMS. :  + VCM289635-Si Thu Htun |=***=| Check&amp;fixing Main Node Site : TNI0009, Check&amp;fixing Main Node &gt;&gt; Check power status and equipment room (Grounding, Air Con , Fire extinguisher, Light Bulb, ATS, DG Maintenance&gt;&gt; Check engine oil and filter change date) , all cabel into site from undergroun or not, Site Cleaning, Last pole status  :  +  |=***=| Export Materials : TNI0009-TNI0015 &gt;&gt;F8 cable(120m), Closure (2), G7 (  2) :  +  |=***=| Export Materials : TNI0009-TNI0015&gt;&gt;24 F8 150m, Crouse 2pcs,  :  +  |=***=| Export Materials : TNI0009-TNI0015&gt;&gt;&gt;Crouse 1pcs,  :  +  |=***=| Surrvey Cable update form : TNI0009-TNI0015 Cable Broken many time, Check buy mapsme and sent kmz file and need to repair point and repair deploy new cable :  + </v>
      </c>
      <c r="D158" s="379" t="str">
        <f>IFERROR(__xludf.DUMMYFUNCTION("if(len($A158)&lt;5,""-"",iferror(TEXTJOIN("" |=***=| "",TRUE,FILTER(('Input WO'!$A:$A&amp;"" + ""&amp;'Input WO'!$B:$B&amp;"" : ""&amp;'Input WO'!$C:$C&amp;"" + ""&amp;'Input WO'!$F:$F),'Input WO'!$E:$E=$A158)),""No see""))"),"WO_ICMS_20260623_123613617 + TNI0009 MYT_Routine_Maintenance_Main_Station MYT_RTE_MTE_MAIN_STN : 502.17 + myt_pyaephyo.zaw |=***=| WO_QLCTKT_20260625_123634937 + TNI0009 - Repair infrastructure - bla: Cleaning the station, remove grass, vines, tree, rubbi"&amp;"sh, recall unused equipment, material: Recall unused materials at site (cables, equipment broken...) : 165.29 + myt_sithu.htun |=***=| WO_WFM-OTHERS_20260623_123613140 + Cable routes measure-BB-TNI0009-TNIM016 : 439.03 + myt_sithu.htun |=***=| WO_WFM-OTHE"&amp;"RS_20260623_123612923 + Cable routes measure-BB-TNI0009-TNIM016 : 439.03 + myt_sithu.htun")</f>
        <v>WO_ICMS_20260623_123613617 + TNI0009 MYT_Routine_Maintenance_Main_Station MYT_RTE_MTE_MAIN_STN : 502.17 + myt_pyaephyo.zaw |=***=| WO_QLCTKT_20260625_123634937 + TNI0009 - Repair infrastructure - bla: Cleaning the station, remove grass, vines, tree, rubbish, recall unused equipment, material: Recall unused materials at site (cables, equipment broken...) : 165.29 + myt_sithu.htun |=***=| WO_WFM-OTHERS_20260623_123613140 + Cable routes measure-BB-TNI0009-TNIM016 : 439.03 + myt_sithu.htun |=***=| WO_WFM-OTHERS_20260623_123612923 + Cable routes measure-BB-TNI0009-TNIM016 : 439.03 + myt_sithu.htun</v>
      </c>
      <c r="E158" s="379"/>
      <c r="F158" s="372"/>
      <c r="G158" s="372"/>
      <c r="H158" s="372"/>
      <c r="I158" s="372"/>
      <c r="J158" s="372"/>
      <c r="K158" s="369"/>
      <c r="L158" s="369"/>
      <c r="M158" s="373"/>
      <c r="N158" s="369"/>
      <c r="O158" s="369"/>
      <c r="P158" s="374"/>
      <c r="Q158" s="372"/>
      <c r="R158" s="372"/>
      <c r="S158" s="372"/>
      <c r="T158" s="372"/>
      <c r="U158" s="372"/>
      <c r="V158" s="372"/>
      <c r="W158" s="372"/>
      <c r="X158" s="372"/>
      <c r="Y158" s="372"/>
      <c r="Z158" s="372"/>
      <c r="AA158" s="372"/>
      <c r="AB158" s="372"/>
      <c r="AC158" s="372"/>
      <c r="AD158" s="372"/>
      <c r="AE158" s="372"/>
      <c r="AF158" s="372"/>
      <c r="AG158" s="372"/>
      <c r="AH158" s="372"/>
      <c r="AI158" s="372"/>
      <c r="AJ158" s="372"/>
      <c r="AK158" s="372"/>
      <c r="AL158" s="372"/>
      <c r="AM158" s="372"/>
    </row>
    <row r="159">
      <c r="A159" s="379" t="s">
        <v>507</v>
      </c>
      <c r="B159" s="379" t="str">
        <f t="array" ref="B159">if(len(A159)&lt;5,"-", iferror(Xlookup($A159,'Input WO'!$E:$E,'Input WO'!$F:$F),Xlookup($A159,'Input task'!$T:$T,'Input task'!$S:$S)
))</f>
        <v>myt_pyikyaw.aung</v>
      </c>
      <c r="C159" s="398" t="str">
        <f>IFERROR(__xludf.DUMMYFUNCTION("if(len($A159)&lt;5,""-"",iferror(TEXTJOIN("" |=***=| "",TRUE,filter('Input task'!$D:$D&amp;"" : ""&amp;'Input task'!$E:$E&amp;"" : ""&amp;'Input task'!$K:$K&amp;"" + ""&amp;'Input task'!$H:$H,'Input task'!$J:$J="""",'Input task'!$T:$T=$A159)),""No see""))"),"No see")</f>
        <v>No see</v>
      </c>
      <c r="D159" s="379" t="str">
        <f>IFERROR(__xludf.DUMMYFUNCTION("if(len($A159)&lt;5,""-"",iferror(TEXTJOIN("" |=***=| "",TRUE,FILTER(('Input WO'!$A:$A&amp;"" + ""&amp;'Input WO'!$B:$B&amp;"" : ""&amp;'Input WO'!$C:$C&amp;"" + ""&amp;'Input WO'!$F:$F),'Input WO'!$E:$E=$A159)),""No see""))"),"WO_ICMS_20260701_123690030 + TNI0228 MYT_Checking quality for DG Fuel MYT_ME_DG_CHECK_FUEL; MYT_Maintenance_Generator_Change_Oil MYT_ME_DG_CHG_OIL : 234.08 + myt_pyikyaw.aung")</f>
        <v>WO_ICMS_20260701_123690030 + TNI0228 MYT_Checking quality for DG Fuel MYT_ME_DG_CHECK_FUEL; MYT_Maintenance_Generator_Change_Oil MYT_ME_DG_CHG_OIL : 234.08 + myt_pyikyaw.aung</v>
      </c>
      <c r="E159" s="379"/>
      <c r="F159" s="372"/>
      <c r="G159" s="372"/>
      <c r="H159" s="372"/>
      <c r="I159" s="372"/>
      <c r="J159" s="372"/>
      <c r="K159" s="369"/>
      <c r="L159" s="369"/>
      <c r="M159" s="373"/>
      <c r="N159" s="369"/>
      <c r="O159" s="369"/>
      <c r="P159" s="374"/>
      <c r="Q159" s="372"/>
      <c r="R159" s="372"/>
      <c r="S159" s="372"/>
      <c r="T159" s="372"/>
      <c r="U159" s="372"/>
      <c r="V159" s="372"/>
      <c r="W159" s="372"/>
      <c r="X159" s="372"/>
      <c r="Y159" s="372"/>
      <c r="Z159" s="372"/>
      <c r="AA159" s="372"/>
      <c r="AB159" s="372"/>
      <c r="AC159" s="372"/>
      <c r="AD159" s="372"/>
      <c r="AE159" s="372"/>
      <c r="AF159" s="372"/>
      <c r="AG159" s="372"/>
      <c r="AH159" s="372"/>
      <c r="AI159" s="372"/>
      <c r="AJ159" s="372"/>
      <c r="AK159" s="372"/>
      <c r="AL159" s="372"/>
      <c r="AM159" s="372"/>
    </row>
    <row r="160">
      <c r="A160" s="379" t="s">
        <v>508</v>
      </c>
      <c r="B160" s="379" t="str">
        <f t="array" ref="B160">if(len(A160)&lt;5,"-", iferror(Xlookup($A160,'Input WO'!$E:$E,'Input WO'!$F:$F),Xlookup($A160,'Input task'!$T:$T,'Input task'!$S:$S)
))</f>
        <v>myt_pyikyaw.aung</v>
      </c>
      <c r="C160" s="398" t="str">
        <f>IFERROR(__xludf.DUMMYFUNCTION("if(len($A160)&lt;5,""-"",iferror(TEXTJOIN("" |=***=| "",TRUE,filter('Input task'!$D:$D&amp;"" : ""&amp;'Input task'!$E:$E&amp;"" : ""&amp;'Input task'!$K:$K&amp;"" + ""&amp;'Input task'!$H:$H,'Input task'!$J:$J="""",'Input task'!$T:$T=$A160)),""No see""))"),"100 point plan : TNI0381 100 point plan need to clean site overview inside and outeside and make to neatly patchord cable. :  + ")</f>
        <v>100 point plan : TNI0381 100 point plan need to clean site overview inside and outeside and make to neatly patchord cable. :  + </v>
      </c>
      <c r="D160" s="379" t="str">
        <f>IFERROR(__xludf.DUMMYFUNCTION("if(len($A160)&lt;5,""-"",iferror(TEXTJOIN("" |=***=| "",TRUE,FILTER(('Input WO'!$A:$A&amp;"" + ""&amp;'Input WO'!$B:$B&amp;"" : ""&amp;'Input WO'!$C:$C&amp;"" + ""&amp;'Input WO'!$F:$F),'Input WO'!$E:$E=$A160)),""No see""))"),"WO_QLCTKT_20260629_123670443 + TNI0381 - Repair infrastructure - bla: Maintenance the equipments: Small Maintenance for Generator : 90.96 + myt_pyikyaw.aung")</f>
        <v>WO_QLCTKT_20260629_123670443 + TNI0381 - Repair infrastructure - bla: Maintenance the equipments: Small Maintenance for Generator : 90.96 + myt_pyikyaw.aung</v>
      </c>
      <c r="E160" s="379"/>
      <c r="F160" s="372"/>
      <c r="G160" s="372"/>
      <c r="H160" s="372"/>
      <c r="I160" s="372"/>
      <c r="J160" s="372"/>
      <c r="K160" s="369"/>
      <c r="L160" s="369"/>
      <c r="M160" s="373"/>
      <c r="N160" s="369"/>
      <c r="O160" s="369"/>
      <c r="P160" s="374"/>
      <c r="Q160" s="372"/>
      <c r="R160" s="372"/>
      <c r="S160" s="372"/>
      <c r="T160" s="372"/>
      <c r="U160" s="372"/>
      <c r="V160" s="372"/>
      <c r="W160" s="372"/>
      <c r="X160" s="372"/>
      <c r="Y160" s="372"/>
      <c r="Z160" s="372"/>
      <c r="AA160" s="372"/>
      <c r="AB160" s="372"/>
      <c r="AC160" s="372"/>
      <c r="AD160" s="372"/>
      <c r="AE160" s="372"/>
      <c r="AF160" s="372"/>
      <c r="AG160" s="372"/>
      <c r="AH160" s="372"/>
      <c r="AI160" s="372"/>
      <c r="AJ160" s="372"/>
      <c r="AK160" s="372"/>
      <c r="AL160" s="372"/>
      <c r="AM160" s="372"/>
    </row>
    <row r="161">
      <c r="A161" s="379" t="s">
        <v>509</v>
      </c>
      <c r="B161" s="379" t="str">
        <f t="array" ref="B161">if(len(A161)&lt;5,"-", iferror(Xlookup($A161,'Input WO'!$E:$E,'Input WO'!$F:$F),Xlookup($A161,'Input task'!$T:$T,'Input task'!$S:$S)
))</f>
        <v>myt_pyikyaw.aung</v>
      </c>
      <c r="C161" s="398" t="str">
        <f>IFERROR(__xludf.DUMMYFUNCTION("if(len($A161)&lt;5,""-"",iferror(TEXTJOIN("" |=***=| "",TRUE,filter('Input task'!$D:$D&amp;"" : ""&amp;'Input task'!$E:$E&amp;"" : ""&amp;'Input task'!$K:$K&amp;"" + ""&amp;'Input task'!$H:$H,'Input task'!$J:$J="""",'Input task'!$T:$T=$A161)),""No see""))"),"No see")</f>
        <v>No see</v>
      </c>
      <c r="D161" s="379" t="str">
        <f>IFERROR(__xludf.DUMMYFUNCTION("if(len($A161)&lt;5,""-"",iferror(TEXTJOIN("" |=***=| "",TRUE,FILTER(('Input WO'!$A:$A&amp;"" + ""&amp;'Input WO'!$B:$B&amp;"" : ""&amp;'Input WO'!$C:$C&amp;"" + ""&amp;'Input WO'!$F:$F),'Input WO'!$E:$E=$A161)),""No see""))"),"WO_ICMS_20260625_123632814 + Patrolling cable routes TNI0036-TNI0270_00, TNI0036 + null – TNI0270 + null : 545.66 + myt_pyikyaw.aung |=***=| WO_WFM-OTHERS_20260623_123616258 + Cable Patrol for (AC)-TNI0036-JB(TNI0036-TNI0270) : 439.03 + myt_wanna.oo2")</f>
        <v>WO_ICMS_20260625_123632814 + Patrolling cable routes TNI0036-TNI0270_00, TNI0036 + null – TNI0270 + null : 545.66 + myt_pyikyaw.aung |=***=| WO_WFM-OTHERS_20260623_123616258 + Cable Patrol for (AC)-TNI0036-JB(TNI0036-TNI0270) : 439.03 + myt_wanna.oo2</v>
      </c>
      <c r="E161" s="379"/>
      <c r="F161" s="372"/>
      <c r="G161" s="372"/>
      <c r="H161" s="372"/>
      <c r="I161" s="372"/>
      <c r="J161" s="372"/>
      <c r="K161" s="369"/>
      <c r="L161" s="369"/>
      <c r="M161" s="373"/>
      <c r="N161" s="369"/>
      <c r="O161" s="369"/>
      <c r="P161" s="374"/>
      <c r="Q161" s="372"/>
      <c r="R161" s="372"/>
      <c r="S161" s="372"/>
      <c r="T161" s="372"/>
      <c r="U161" s="372"/>
      <c r="V161" s="372"/>
      <c r="W161" s="372"/>
      <c r="X161" s="372"/>
      <c r="Y161" s="372"/>
      <c r="Z161" s="372"/>
      <c r="AA161" s="372"/>
      <c r="AB161" s="372"/>
      <c r="AC161" s="372"/>
      <c r="AD161" s="372"/>
      <c r="AE161" s="372"/>
      <c r="AF161" s="372"/>
      <c r="AG161" s="372"/>
      <c r="AH161" s="372"/>
      <c r="AI161" s="372"/>
      <c r="AJ161" s="372"/>
      <c r="AK161" s="372"/>
      <c r="AL161" s="372"/>
      <c r="AM161" s="372"/>
    </row>
    <row r="162">
      <c r="A162" s="379" t="s">
        <v>510</v>
      </c>
      <c r="B162" s="379" t="str">
        <f t="array" ref="B162">if(len(A162)&lt;5,"-", iferror(Xlookup($A162,'Input WO'!$E:$E,'Input WO'!$F:$F),Xlookup($A162,'Input task'!$T:$T,'Input task'!$S:$S)
))</f>
        <v>myt_pyikyaw.aung</v>
      </c>
      <c r="C162" s="398" t="str">
        <f>IFERROR(__xludf.DUMMYFUNCTION("if(len($A162)&lt;5,""-"",iferror(TEXTJOIN("" |=***=| "",TRUE,filter('Input task'!$D:$D&amp;"" : ""&amp;'Input task'!$E:$E&amp;"" : ""&amp;'Input task'!$K:$K&amp;"" + ""&amp;'Input task'!$H:$H,'Input task'!$J:$J="""",'Input task'!$T:$T=$A162)),""No see""))"),"No see")</f>
        <v>No see</v>
      </c>
      <c r="D162" s="379" t="str">
        <f>IFERROR(__xludf.DUMMYFUNCTION("if(len($A162)&lt;5,""-"",iferror(TEXTJOIN("" |=***=| "",TRUE,FILTER(('Input WO'!$A:$A&amp;"" + ""&amp;'Input WO'!$B:$B&amp;"" : ""&amp;'Input WO'!$C:$C&amp;"" + ""&amp;'Input WO'!$F:$F),'Input WO'!$E:$E=$A162)),""No see""))"),"WO_ICMS_20260625_123632734 + Patrolling cable routes TNI0024-TNI0258_00, TNI0024 + null – TNI0258 + null : 545.66 + myt_pyikyaw.aung")</f>
        <v>WO_ICMS_20260625_123632734 + Patrolling cable routes TNI0024-TNI0258_00, TNI0024 + null – TNI0258 + null : 545.66 + myt_pyikyaw.aung</v>
      </c>
      <c r="E162" s="379"/>
      <c r="F162" s="372"/>
      <c r="G162" s="372"/>
      <c r="H162" s="372"/>
      <c r="I162" s="372"/>
      <c r="J162" s="372"/>
      <c r="K162" s="369"/>
      <c r="L162" s="369"/>
      <c r="M162" s="373"/>
      <c r="N162" s="369"/>
      <c r="O162" s="369"/>
      <c r="P162" s="374"/>
      <c r="Q162" s="372"/>
      <c r="R162" s="372"/>
      <c r="S162" s="372"/>
      <c r="T162" s="372"/>
      <c r="U162" s="372"/>
      <c r="V162" s="372"/>
      <c r="W162" s="372"/>
      <c r="X162" s="372"/>
      <c r="Y162" s="372"/>
      <c r="Z162" s="372"/>
      <c r="AA162" s="372"/>
      <c r="AB162" s="372"/>
      <c r="AC162" s="372"/>
      <c r="AD162" s="372"/>
      <c r="AE162" s="372"/>
      <c r="AF162" s="372"/>
      <c r="AG162" s="372"/>
      <c r="AH162" s="372"/>
      <c r="AI162" s="372"/>
      <c r="AJ162" s="372"/>
      <c r="AK162" s="372"/>
      <c r="AL162" s="372"/>
      <c r="AM162" s="372"/>
    </row>
    <row r="163">
      <c r="A163" s="379" t="s">
        <v>511</v>
      </c>
      <c r="B163" s="379" t="str">
        <f t="array" ref="B163">if(len(A163)&lt;5,"-", iferror(Xlookup($A163,'Input WO'!$E:$E,'Input WO'!$F:$F),Xlookup($A163,'Input task'!$T:$T,'Input task'!$S:$S)
))</f>
        <v>myt_pyikyaw.aung</v>
      </c>
      <c r="C163" s="398" t="str">
        <f>IFERROR(__xludf.DUMMYFUNCTION("if(len($A163)&lt;5,""-"",iferror(TEXTJOIN("" |=***=| "",TRUE,filter('Input task'!$D:$D&amp;"" : ""&amp;'Input task'!$E:$E&amp;"" : ""&amp;'Input task'!$K:$K&amp;"" + ""&amp;'Input task'!$H:$H,'Input task'!$J:$J="""",'Input task'!$T:$T=$A163)),""No see""))"),"No see")</f>
        <v>No see</v>
      </c>
      <c r="D163" s="379" t="str">
        <f>IFERROR(__xludf.DUMMYFUNCTION("if(len($A163)&lt;5,""-"",iferror(TEXTJOIN("" |=***=| "",TRUE,FILTER(('Input WO'!$A:$A&amp;"" + ""&amp;'Input WO'!$B:$B&amp;"" : ""&amp;'Input WO'!$C:$C&amp;"" + ""&amp;'Input WO'!$F:$F),'Input WO'!$E:$E=$A163)),""No see""))"),"WO_ICMS_20260625_123632815 + Patrolling cable routes TNI0048-TNI0241_00, TNI0048 + null – TNI0241 + null : 545.66 + myt_pyikyaw.aung")</f>
        <v>WO_ICMS_20260625_123632815 + Patrolling cable routes TNI0048-TNI0241_00, TNI0048 + null – TNI0241 + null : 545.66 + myt_pyikyaw.aung</v>
      </c>
      <c r="E163" s="379"/>
      <c r="F163" s="372"/>
      <c r="G163" s="372"/>
      <c r="H163" s="372"/>
      <c r="I163" s="372"/>
      <c r="J163" s="372"/>
      <c r="K163" s="369"/>
      <c r="L163" s="369"/>
      <c r="M163" s="373"/>
      <c r="N163" s="369"/>
      <c r="O163" s="369"/>
      <c r="P163" s="374"/>
      <c r="Q163" s="372"/>
      <c r="R163" s="372"/>
      <c r="S163" s="372"/>
      <c r="T163" s="372"/>
      <c r="U163" s="372"/>
      <c r="V163" s="372"/>
      <c r="W163" s="372"/>
      <c r="X163" s="372"/>
      <c r="Y163" s="372"/>
      <c r="Z163" s="372"/>
      <c r="AA163" s="372"/>
      <c r="AB163" s="372"/>
      <c r="AC163" s="372"/>
      <c r="AD163" s="372"/>
      <c r="AE163" s="372"/>
      <c r="AF163" s="372"/>
      <c r="AG163" s="372"/>
      <c r="AH163" s="372"/>
      <c r="AI163" s="372"/>
      <c r="AJ163" s="372"/>
      <c r="AK163" s="372"/>
      <c r="AL163" s="372"/>
      <c r="AM163" s="372"/>
    </row>
    <row r="164">
      <c r="A164" s="379" t="s">
        <v>512</v>
      </c>
      <c r="B164" s="379" t="str">
        <f t="array" ref="B164">if(len(A164)&lt;5,"-", iferror(Xlookup($A164,'Input WO'!$E:$E,'Input WO'!$F:$F),Xlookup($A164,'Input task'!$T:$T,'Input task'!$S:$S)
))</f>
        <v>myt_pyikyaw.aung</v>
      </c>
      <c r="C164" s="398" t="str">
        <f>IFERROR(__xludf.DUMMYFUNCTION("if(len($A164)&lt;5,""-"",iferror(TEXTJOIN("" |=***=| "",TRUE,filter('Input task'!$D:$D&amp;"" : ""&amp;'Input task'!$E:$E&amp;"" : ""&amp;'Input task'!$K:$K&amp;"" + ""&amp;'Input task'!$H:$H,'Input task'!$J:$J="""",'Input task'!$T:$T=$A164)),""No see""))"),"No see")</f>
        <v>No see</v>
      </c>
      <c r="D164" s="379" t="str">
        <f>IFERROR(__xludf.DUMMYFUNCTION("if(len($A164)&lt;5,""-"",iferror(TEXTJOIN("" |=***=| "",TRUE,FILTER(('Input WO'!$A:$A&amp;"" + ""&amp;'Input WO'!$B:$B&amp;"" : ""&amp;'Input WO'!$C:$C&amp;"" + ""&amp;'Input WO'!$F:$F),'Input WO'!$E:$E=$A164)),""No see""))"),"WO_QLCTKT_20260624_123619038 + TNI0413 MYT_Maintenance_Generator_Change_Oil - MYT_Checking quality for DG Fuel : -64.95 + myt_pyikyaw.aung")</f>
        <v>WO_QLCTKT_20260624_123619038 + TNI0413 MYT_Maintenance_Generator_Change_Oil - MYT_Checking quality for DG Fuel : -64.95 + myt_pyikyaw.aung</v>
      </c>
      <c r="E164" s="379"/>
      <c r="F164" s="372"/>
      <c r="G164" s="372"/>
      <c r="H164" s="372"/>
      <c r="I164" s="372"/>
      <c r="J164" s="372"/>
      <c r="K164" s="369"/>
      <c r="L164" s="369"/>
      <c r="M164" s="373"/>
      <c r="N164" s="369"/>
      <c r="O164" s="369"/>
      <c r="P164" s="374"/>
      <c r="Q164" s="372"/>
      <c r="R164" s="372"/>
      <c r="S164" s="372"/>
      <c r="T164" s="372"/>
      <c r="U164" s="372"/>
      <c r="V164" s="372"/>
      <c r="W164" s="372"/>
      <c r="X164" s="372"/>
      <c r="Y164" s="372"/>
      <c r="Z164" s="372"/>
      <c r="AA164" s="372"/>
      <c r="AB164" s="372"/>
      <c r="AC164" s="372"/>
      <c r="AD164" s="372"/>
      <c r="AE164" s="372"/>
      <c r="AF164" s="372"/>
      <c r="AG164" s="372"/>
      <c r="AH164" s="372"/>
      <c r="AI164" s="372"/>
      <c r="AJ164" s="372"/>
      <c r="AK164" s="372"/>
      <c r="AL164" s="372"/>
      <c r="AM164" s="372"/>
    </row>
    <row r="165">
      <c r="A165" s="379" t="s">
        <v>513</v>
      </c>
      <c r="B165" s="379" t="str">
        <f t="array" ref="B165">if(len(A165)&lt;5,"-", iferror(Xlookup($A165,'Input WO'!$E:$E,'Input WO'!$F:$F),Xlookup($A165,'Input task'!$T:$T,'Input task'!$S:$S)
))</f>
        <v>myt_pyikyaw.aung</v>
      </c>
      <c r="C165" s="398" t="str">
        <f>IFERROR(__xludf.DUMMYFUNCTION("if(len($A165)&lt;5,""-"",iferror(TEXTJOIN("" |=***=| "",TRUE,filter('Input task'!$D:$D&amp;"" : ""&amp;'Input task'!$E:$E&amp;"" : ""&amp;'Input task'!$K:$K&amp;"" + ""&amp;'Input task'!$H:$H,'Input task'!$J:$J="""",'Input task'!$T:$T=$A165)),""No see""))"),"PVC PLAN : TNI0241 need to cover pvc pipe :  + VCM856046-Zin Min Shein, VCM818129-Ye Lin")</f>
        <v>PVC PLAN : TNI0241 need to cover pvc pipe :  + VCM856046-Zin Min Shein, VCM818129-Ye Lin</v>
      </c>
      <c r="D165" s="379" t="str">
        <f>IFERROR(__xludf.DUMMYFUNCTION("if(len($A165)&lt;5,""-"",iferror(TEXTJOIN("" |=***=| "",TRUE,FILTER(('Input WO'!$A:$A&amp;"" + ""&amp;'Input WO'!$B:$B&amp;"" : ""&amp;'Input WO'!$C:$C&amp;"" + ""&amp;'Input WO'!$F:$F),'Input WO'!$E:$E=$A165)),""No see""))"),"WO_ICMS_20260623_123615116 + TNI0241 MYT_Routine_Maintenance_Mytel_Station MYT_RTE_MTE_SB_STN : 886.64 + myt_pyikyaw.aung")</f>
        <v>WO_ICMS_20260623_123615116 + TNI0241 MYT_Routine_Maintenance_Mytel_Station MYT_RTE_MTE_SB_STN : 886.64 + myt_pyikyaw.aung</v>
      </c>
      <c r="E165" s="379"/>
      <c r="F165" s="372"/>
      <c r="G165" s="372"/>
      <c r="H165" s="372"/>
      <c r="I165" s="372"/>
      <c r="J165" s="372"/>
      <c r="K165" s="369"/>
      <c r="L165" s="369"/>
      <c r="M165" s="373"/>
      <c r="N165" s="369"/>
      <c r="O165" s="369"/>
      <c r="P165" s="374"/>
      <c r="Q165" s="372"/>
      <c r="R165" s="372"/>
      <c r="S165" s="372"/>
      <c r="T165" s="372"/>
      <c r="U165" s="372"/>
      <c r="V165" s="372"/>
      <c r="W165" s="372"/>
      <c r="X165" s="372"/>
      <c r="Y165" s="372"/>
      <c r="Z165" s="372"/>
      <c r="AA165" s="372"/>
      <c r="AB165" s="372"/>
      <c r="AC165" s="372"/>
      <c r="AD165" s="372"/>
      <c r="AE165" s="372"/>
      <c r="AF165" s="372"/>
      <c r="AG165" s="372"/>
      <c r="AH165" s="372"/>
      <c r="AI165" s="372"/>
      <c r="AJ165" s="372"/>
      <c r="AK165" s="372"/>
      <c r="AL165" s="372"/>
      <c r="AM165" s="372"/>
    </row>
    <row r="166">
      <c r="A166" s="379" t="s">
        <v>514</v>
      </c>
      <c r="B166" s="379" t="str">
        <f t="array" ref="B166">if(len(A166)&lt;5,"-", iferror(Xlookup($A166,'Input WO'!$E:$E,'Input WO'!$F:$F),Xlookup($A166,'Input task'!$T:$T,'Input task'!$S:$S)
))</f>
        <v>myt_pyikyaw.aung</v>
      </c>
      <c r="C166" s="398" t="str">
        <f>IFERROR(__xludf.DUMMYFUNCTION("if(len($A166)&lt;5,""-"",iferror(TEXTJOIN("" |=***=| "",TRUE,filter('Input task'!$D:$D&amp;"" : ""&amp;'Input task'!$E:$E&amp;"" : ""&amp;'Input task'!$K:$K&amp;"" + ""&amp;'Input task'!$H:$H,'Input task'!$J:$J="""",'Input task'!$T:$T=$A166)),""No see""))"),"Diode Kid Installation : TNI0279 Need to install diode k kid :  +  |=***=| 100 point plan : TNI0279 100 point plan need to clean site overview inside and outeside and make to neatly patchord cable. :  + ")</f>
        <v>Diode Kid Installation : TNI0279 Need to install diode k kid :  +  |=***=| 100 point plan : TNI0279 100 point plan need to clean site overview inside and outeside and make to neatly patchord cable. :  + </v>
      </c>
      <c r="D166" s="379" t="str">
        <f>IFERROR(__xludf.DUMMYFUNCTION("if(len($A166)&lt;5,""-"",iferror(TEXTJOIN("" |=***=| "",TRUE,FILTER(('Input WO'!$A:$A&amp;"" + ""&amp;'Input WO'!$B:$B&amp;"" : ""&amp;'Input WO'!$C:$C&amp;"" + ""&amp;'Input WO'!$F:$F),'Input WO'!$E:$E=$A166)),""No see""))"),"WO_WFM-OTHERS_20260623_123613135 + Cable routes measure-AC-TNI0279-TNIM067 : 439.03 + myt_pyikyaw.aung |=***=| WO_WFM-OTHERS_20260623_123612919 + Cable routes measure-AC-TNI0279-TNIM067 : 439.03 + myt_pyikyaw.aung")</f>
        <v>WO_WFM-OTHERS_20260623_123613135 + Cable routes measure-AC-TNI0279-TNIM067 : 439.03 + myt_pyikyaw.aung |=***=| WO_WFM-OTHERS_20260623_123612919 + Cable routes measure-AC-TNI0279-TNIM067 : 439.03 + myt_pyikyaw.aung</v>
      </c>
      <c r="E166" s="379"/>
      <c r="F166" s="372"/>
      <c r="G166" s="372"/>
      <c r="H166" s="372"/>
      <c r="I166" s="372"/>
      <c r="J166" s="372"/>
      <c r="K166" s="369"/>
      <c r="L166" s="369"/>
      <c r="M166" s="373"/>
      <c r="N166" s="369"/>
      <c r="O166" s="369"/>
      <c r="P166" s="374"/>
      <c r="Q166" s="372"/>
      <c r="R166" s="372"/>
      <c r="S166" s="372"/>
      <c r="T166" s="372"/>
      <c r="U166" s="372"/>
      <c r="V166" s="372"/>
      <c r="W166" s="372"/>
      <c r="X166" s="372"/>
      <c r="Y166" s="372"/>
      <c r="Z166" s="372"/>
      <c r="AA166" s="372"/>
      <c r="AB166" s="372"/>
      <c r="AC166" s="372"/>
      <c r="AD166" s="372"/>
      <c r="AE166" s="372"/>
      <c r="AF166" s="372"/>
      <c r="AG166" s="372"/>
      <c r="AH166" s="372"/>
      <c r="AI166" s="372"/>
      <c r="AJ166" s="372"/>
      <c r="AK166" s="372"/>
      <c r="AL166" s="372"/>
      <c r="AM166" s="372"/>
    </row>
    <row r="167">
      <c r="A167" s="379" t="s">
        <v>515</v>
      </c>
      <c r="B167" s="379" t="str">
        <f t="array" ref="B167">if(len(A167)&lt;5,"-", iferror(Xlookup($A167,'Input WO'!$E:$E,'Input WO'!$F:$F),Xlookup($A167,'Input task'!$T:$T,'Input task'!$S:$S)
))</f>
        <v>myt_pyikyaw.aung</v>
      </c>
      <c r="C167" s="398" t="str">
        <f>IFERROR(__xludf.DUMMYFUNCTION("if(len($A167)&lt;5,""-"",iferror(TEXTJOIN("" |=***=| "",TRUE,filter('Input task'!$D:$D&amp;"" : ""&amp;'Input task'!$E:$E&amp;"" : ""&amp;'Input task'!$K:$K&amp;"" + ""&amp;'Input task'!$H:$H,'Input task'!$J:$J="""",'Input task'!$T:$T=$A167)),""No see""))"),"Diode Kid Installation : TNI0028 Need to install diode id :  + ")</f>
        <v>Diode Kid Installation : TNI0028 Need to install diode id :  + </v>
      </c>
      <c r="D167" s="379" t="str">
        <f>IFERROR(__xludf.DUMMYFUNCTION("if(len($A167)&lt;5,""-"",iferror(TEXTJOIN("" |=***=| "",TRUE,FILTER(('Input WO'!$A:$A&amp;"" + ""&amp;'Input WO'!$B:$B&amp;"" : ""&amp;'Input WO'!$C:$C&amp;"" + ""&amp;'Input WO'!$F:$F),'Input WO'!$E:$E=$A167)),""No see""))"),"WO_WFM-OTHERS_20260623_123612913 + Cable routes measure-AC-TNI0028-TNI0044 : 439.03 + myt_pyikyaw.aung")</f>
        <v>WO_WFM-OTHERS_20260623_123612913 + Cable routes measure-AC-TNI0028-TNI0044 : 439.03 + myt_pyikyaw.aung</v>
      </c>
      <c r="E167" s="379"/>
      <c r="F167" s="372"/>
      <c r="G167" s="372"/>
      <c r="H167" s="372"/>
      <c r="I167" s="372"/>
      <c r="J167" s="372"/>
      <c r="K167" s="369"/>
      <c r="L167" s="369"/>
      <c r="M167" s="373"/>
      <c r="N167" s="369"/>
      <c r="O167" s="369"/>
      <c r="P167" s="374"/>
      <c r="Q167" s="372"/>
      <c r="R167" s="372"/>
      <c r="S167" s="372"/>
      <c r="T167" s="372"/>
      <c r="U167" s="372"/>
      <c r="V167" s="372"/>
      <c r="W167" s="372"/>
      <c r="X167" s="372"/>
      <c r="Y167" s="372"/>
      <c r="Z167" s="372"/>
      <c r="AA167" s="372"/>
      <c r="AB167" s="372"/>
      <c r="AC167" s="372"/>
      <c r="AD167" s="372"/>
      <c r="AE167" s="372"/>
      <c r="AF167" s="372"/>
      <c r="AG167" s="372"/>
      <c r="AH167" s="372"/>
      <c r="AI167" s="372"/>
      <c r="AJ167" s="372"/>
      <c r="AK167" s="372"/>
      <c r="AL167" s="372"/>
      <c r="AM167" s="372"/>
    </row>
    <row r="168">
      <c r="A168" s="379" t="s">
        <v>516</v>
      </c>
      <c r="B168" s="379" t="str">
        <f t="array" ref="B168">if(len(A168)&lt;5,"-", iferror(Xlookup($A168,'Input WO'!$E:$E,'Input WO'!$F:$F),Xlookup($A168,'Input task'!$T:$T,'Input task'!$S:$S)
))</f>
        <v>myt_pyikyaw.aung</v>
      </c>
      <c r="C168" s="398" t="str">
        <f>IFERROR(__xludf.DUMMYFUNCTION("if(len($A168)&lt;5,""-"",iferror(TEXTJOIN("" |=***=| "",TRUE,filter('Input task'!$D:$D&amp;"" : ""&amp;'Input task'!$E:$E&amp;"" : ""&amp;'Input task'!$K:$K&amp;"" + ""&amp;'Input task'!$H:$H,'Input task'!$J:$J="""",'Input task'!$T:$T=$A168)),""No see""))"),"No see")</f>
        <v>No see</v>
      </c>
      <c r="D168" s="379" t="str">
        <f>IFERROR(__xludf.DUMMYFUNCTION("if(len($A168)&lt;5,""-"",iferror(TEXTJOIN("" |=***=| "",TRUE,FILTER(('Input WO'!$A:$A&amp;"" + ""&amp;'Input WO'!$B:$B&amp;"" : ""&amp;'Input WO'!$C:$C&amp;"" + ""&amp;'Input WO'!$F:$F),'Input WO'!$E:$E=$A168)),""No see""))"),"WO_WFM-OTHERS_20260623_123612910 + Cable routes measure-AC-TNI0091-TNI0159 : 439.03 + myt_pyikyaw.aung")</f>
        <v>WO_WFM-OTHERS_20260623_123612910 + Cable routes measure-AC-TNI0091-TNI0159 : 439.03 + myt_pyikyaw.aung</v>
      </c>
      <c r="E168" s="379"/>
      <c r="F168" s="372"/>
      <c r="G168" s="372"/>
      <c r="H168" s="372"/>
      <c r="I168" s="372"/>
      <c r="J168" s="372"/>
      <c r="K168" s="369"/>
      <c r="L168" s="369"/>
      <c r="M168" s="373"/>
      <c r="N168" s="369"/>
      <c r="O168" s="369"/>
      <c r="P168" s="374"/>
      <c r="Q168" s="372"/>
      <c r="R168" s="372"/>
      <c r="S168" s="372"/>
      <c r="T168" s="372"/>
      <c r="U168" s="372"/>
      <c r="V168" s="372"/>
      <c r="W168" s="372"/>
      <c r="X168" s="372"/>
      <c r="Y168" s="372"/>
      <c r="Z168" s="372"/>
      <c r="AA168" s="372"/>
      <c r="AB168" s="372"/>
      <c r="AC168" s="372"/>
      <c r="AD168" s="372"/>
      <c r="AE168" s="372"/>
      <c r="AF168" s="372"/>
      <c r="AG168" s="372"/>
      <c r="AH168" s="372"/>
      <c r="AI168" s="372"/>
      <c r="AJ168" s="372"/>
      <c r="AK168" s="372"/>
      <c r="AL168" s="372"/>
      <c r="AM168" s="372"/>
    </row>
    <row r="169">
      <c r="A169" s="379" t="s">
        <v>517</v>
      </c>
      <c r="B169" s="379" t="str">
        <f t="array" ref="B169">if(len(A169)&lt;5,"-", iferror(Xlookup($A169,'Input WO'!$E:$E,'Input WO'!$F:$F),Xlookup($A169,'Input task'!$T:$T,'Input task'!$S:$S)
))</f>
        <v>myt_pyikyaw.aung</v>
      </c>
      <c r="C169" s="398" t="str">
        <f>IFERROR(__xludf.DUMMYFUNCTION("if(len($A169)&lt;5,""-"",iferror(TEXTJOIN("" |=***=| "",TRUE,filter('Input task'!$D:$D&amp;"" : ""&amp;'Input task'!$E:$E&amp;"" : ""&amp;'Input task'!$K:$K&amp;"" + ""&amp;'Input task'!$H:$H,'Input task'!$J:$J="""",'Input task'!$T:$T=$A169)),""No see""))"),"Request Export material : TNI0290-TNIM075&gt;&gt; 24 F8 cable 120 m, closure 2pcs :  +  |=***=| Request Export material : TNI0290-TNIM075&gt;&gt; closure - 2 pcs, 24FX cable - 200 M :  +  |=***=| Request Export material : TNI0290-TNIM075&gt;&gt;24FX cable - 150 M, closure "&amp;"- 2 pcs :  +  |=***=| Smart CB : TNI0290 :  + ")</f>
        <v>Request Export material : TNI0290-TNIM075&gt;&gt; 24 F8 cable 120 m, closure 2pcs :  +  |=***=| Request Export material : TNI0290-TNIM075&gt;&gt; closure - 2 pcs, 24FX cable - 200 M :  +  |=***=| Request Export material : TNI0290-TNIM075&gt;&gt;24FX cable - 150 M, closure - 2 pcs :  +  |=***=| Smart CB : TNI0290 :  + </v>
      </c>
      <c r="D169" s="379" t="str">
        <f>IFERROR(__xludf.DUMMYFUNCTION("if(len($A169)&lt;5,""-"",iferror(TEXTJOIN("" |=***=| "",TRUE,FILTER(('Input WO'!$A:$A&amp;"" + ""&amp;'Input WO'!$B:$B&amp;"" : ""&amp;'Input WO'!$C:$C&amp;"" + ""&amp;'Input WO'!$F:$F),'Input WO'!$E:$E=$A169)),""No see""))"),"WO_WFM-OTHERS_20260623_123612914 + Cable routes measure-AC-TNI0290-TNIM075 : 439.03 + myt_pyikyaw.aung")</f>
        <v>WO_WFM-OTHERS_20260623_123612914 + Cable routes measure-AC-TNI0290-TNIM075 : 439.03 + myt_pyikyaw.aung</v>
      </c>
      <c r="E169" s="379"/>
      <c r="F169" s="372"/>
      <c r="G169" s="372"/>
      <c r="H169" s="372"/>
      <c r="I169" s="372"/>
      <c r="J169" s="372"/>
      <c r="K169" s="369"/>
      <c r="L169" s="369"/>
      <c r="M169" s="373"/>
      <c r="N169" s="369"/>
      <c r="O169" s="369"/>
      <c r="P169" s="374"/>
      <c r="Q169" s="372"/>
      <c r="R169" s="372"/>
      <c r="S169" s="372"/>
      <c r="T169" s="372"/>
      <c r="U169" s="372"/>
      <c r="V169" s="372"/>
      <c r="W169" s="372"/>
      <c r="X169" s="372"/>
      <c r="Y169" s="372"/>
      <c r="Z169" s="372"/>
      <c r="AA169" s="372"/>
      <c r="AB169" s="372"/>
      <c r="AC169" s="372"/>
      <c r="AD169" s="372"/>
      <c r="AE169" s="372"/>
      <c r="AF169" s="372"/>
      <c r="AG169" s="372"/>
      <c r="AH169" s="372"/>
      <c r="AI169" s="372"/>
      <c r="AJ169" s="372"/>
      <c r="AK169" s="372"/>
      <c r="AL169" s="372"/>
      <c r="AM169" s="372"/>
    </row>
    <row r="170">
      <c r="A170" s="379" t="s">
        <v>518</v>
      </c>
      <c r="B170" s="379" t="str">
        <f t="array" ref="B170">if(len(A170)&lt;5,"-", iferror(Xlookup($A170,'Input WO'!$E:$E,'Input WO'!$F:$F),Xlookup($A170,'Input task'!$T:$T,'Input task'!$S:$S)
))</f>
        <v>myt_pyikyaw.aung</v>
      </c>
      <c r="C170" s="398" t="str">
        <f>IFERROR(__xludf.DUMMYFUNCTION("if(len($A170)&lt;5,""-"",iferror(TEXTJOIN("" |=***=| "",TRUE,filter('Input task'!$D:$D&amp;"" : ""&amp;'Input task'!$E:$E&amp;"" : ""&amp;'Input task'!$K:$K&amp;"" + ""&amp;'Input task'!$H:$H,'Input task'!$J:$J="""",'Input task'!$T:$T=$A170)),""No see""))"),"No see")</f>
        <v>No see</v>
      </c>
      <c r="D170" s="379" t="str">
        <f>IFERROR(__xludf.DUMMYFUNCTION("if(len($A170)&lt;5,""-"",iferror(TEXTJOIN("" |=***=| "",TRUE,FILTER(('Input WO'!$A:$A&amp;"" + ""&amp;'Input WO'!$B:$B&amp;"" : ""&amp;'Input WO'!$C:$C&amp;"" + ""&amp;'Input WO'!$F:$F),'Input WO'!$E:$E=$A170)),""No see""))"),"WO_WFM-OTHERS_20260623_123612912 + Cable routes measure-AC-TNI0044-TNIM027 : 439.03 + myt_pyikyaw.aung")</f>
        <v>WO_WFM-OTHERS_20260623_123612912 + Cable routes measure-AC-TNI0044-TNIM027 : 439.03 + myt_pyikyaw.aung</v>
      </c>
      <c r="E170" s="379"/>
      <c r="F170" s="372"/>
      <c r="G170" s="372"/>
      <c r="H170" s="372"/>
      <c r="I170" s="372"/>
      <c r="J170" s="372"/>
      <c r="K170" s="369"/>
      <c r="L170" s="369"/>
      <c r="M170" s="373"/>
      <c r="N170" s="369"/>
      <c r="O170" s="369"/>
      <c r="P170" s="374"/>
      <c r="Q170" s="372"/>
      <c r="R170" s="372"/>
      <c r="S170" s="372"/>
      <c r="T170" s="372"/>
      <c r="U170" s="372"/>
      <c r="V170" s="372"/>
      <c r="W170" s="372"/>
      <c r="X170" s="372"/>
      <c r="Y170" s="372"/>
      <c r="Z170" s="372"/>
      <c r="AA170" s="372"/>
      <c r="AB170" s="372"/>
      <c r="AC170" s="372"/>
      <c r="AD170" s="372"/>
      <c r="AE170" s="372"/>
      <c r="AF170" s="372"/>
      <c r="AG170" s="372"/>
      <c r="AH170" s="372"/>
      <c r="AI170" s="372"/>
      <c r="AJ170" s="372"/>
      <c r="AK170" s="372"/>
      <c r="AL170" s="372"/>
      <c r="AM170" s="372"/>
    </row>
    <row r="171">
      <c r="A171" s="379" t="s">
        <v>519</v>
      </c>
      <c r="B171" s="379" t="str">
        <f t="array" ref="B171">if(len(A171)&lt;5,"-", iferror(Xlookup($A171,'Input WO'!$E:$E,'Input WO'!$F:$F),Xlookup($A171,'Input task'!$T:$T,'Input task'!$S:$S)
))</f>
        <v>myt_pyikyaw.aung</v>
      </c>
      <c r="C171" s="398" t="str">
        <f>IFERROR(__xludf.DUMMYFUNCTION("if(len($A171)&lt;5,""-"",iferror(TEXTJOIN("" |=***=| "",TRUE,filter('Input task'!$D:$D&amp;"" : ""&amp;'Input task'!$E:$E&amp;"" : ""&amp;'Input task'!$K:$K&amp;"" + ""&amp;'Input task'!$H:$H,'Input task'!$J:$J="""",'Input task'!$T:$T=$A171)),""No see""))"),"No see")</f>
        <v>No see</v>
      </c>
      <c r="D171" s="379" t="str">
        <f>IFERROR(__xludf.DUMMYFUNCTION("if(len($A171)&lt;5,""-"",iferror(TEXTJOIN("" |=***=| "",TRUE,FILTER(('Input WO'!$A:$A&amp;"" + ""&amp;'Input WO'!$B:$B&amp;"" : ""&amp;'Input WO'!$C:$C&amp;"" + ""&amp;'Input WO'!$F:$F),'Input WO'!$E:$E=$A171)),""No see""))"),"WO_WFM-OTHERS_20260623_123612915 + Cable routes measure-AC-TNI0239-TNI0242 : 439.03 + myt_pyikyaw.aung")</f>
        <v>WO_WFM-OTHERS_20260623_123612915 + Cable routes measure-AC-TNI0239-TNI0242 : 439.03 + myt_pyikyaw.aung</v>
      </c>
      <c r="E171" s="379"/>
      <c r="F171" s="372"/>
      <c r="G171" s="372"/>
      <c r="H171" s="372"/>
      <c r="I171" s="372"/>
      <c r="J171" s="372"/>
      <c r="K171" s="369"/>
      <c r="L171" s="369"/>
      <c r="M171" s="373"/>
      <c r="N171" s="369"/>
      <c r="O171" s="369"/>
      <c r="P171" s="374"/>
      <c r="Q171" s="372"/>
      <c r="R171" s="372"/>
      <c r="S171" s="372"/>
      <c r="T171" s="372"/>
      <c r="U171" s="372"/>
      <c r="V171" s="372"/>
      <c r="W171" s="372"/>
      <c r="X171" s="372"/>
      <c r="Y171" s="372"/>
      <c r="Z171" s="372"/>
      <c r="AA171" s="372"/>
      <c r="AB171" s="372"/>
      <c r="AC171" s="372"/>
      <c r="AD171" s="372"/>
      <c r="AE171" s="372"/>
      <c r="AF171" s="372"/>
      <c r="AG171" s="372"/>
      <c r="AH171" s="372"/>
      <c r="AI171" s="372"/>
      <c r="AJ171" s="372"/>
      <c r="AK171" s="372"/>
      <c r="AL171" s="372"/>
      <c r="AM171" s="372"/>
    </row>
    <row r="172">
      <c r="A172" s="379" t="s">
        <v>520</v>
      </c>
      <c r="B172" s="379" t="str">
        <f t="array" ref="B172">if(len(A172)&lt;5,"-", iferror(Xlookup($A172,'Input WO'!$E:$E,'Input WO'!$F:$F),Xlookup($A172,'Input task'!$T:$T,'Input task'!$S:$S)
))</f>
        <v>myt_pyikyaw.aung</v>
      </c>
      <c r="C172" s="398" t="str">
        <f>IFERROR(__xludf.DUMMYFUNCTION("if(len($A172)&lt;5,""-"",iferror(TEXTJOIN("" |=***=| "",TRUE,filter('Input task'!$D:$D&amp;"" : ""&amp;'Input task'!$E:$E&amp;"" : ""&amp;'Input task'!$K:$K&amp;"" + ""&amp;'Input task'!$H:$H,'Input task'!$J:$J="""",'Input task'!$T:$T=$A172)),""No see""))"),"PVC PLAN : TNI0413 need to cover pvc pipe :  + ")</f>
        <v>PVC PLAN : TNI0413 need to cover pvc pipe :  + </v>
      </c>
      <c r="D172" s="379" t="str">
        <f>IFERROR(__xludf.DUMMYFUNCTION("if(len($A172)&lt;5,""-"",iferror(TEXTJOIN("" |=***=| "",TRUE,FILTER(('Input WO'!$A:$A&amp;"" + ""&amp;'Input WO'!$B:$B&amp;"" : ""&amp;'Input WO'!$C:$C&amp;"" + ""&amp;'Input WO'!$F:$F),'Input WO'!$E:$E=$A172)),""No see""))"),"WO_QLCTKT_20260615_123526933 + TNI0413 MYT_Generator Fuel Monitoring Abnormal Checking : -280.95 + myt_pyikyaw.aung |=***=| WO_ICMS_20260623_123615035 + TNI0413 MYT_Routine_Maintenance_Mytel_Station MYT_RTE_MTE_SB_STN : 886.64 + myt_ye.lin22")</f>
        <v>WO_QLCTKT_20260615_123526933 + TNI0413 MYT_Generator Fuel Monitoring Abnormal Checking : -280.95 + myt_pyikyaw.aung |=***=| WO_ICMS_20260623_123615035 + TNI0413 MYT_Routine_Maintenance_Mytel_Station MYT_RTE_MTE_SB_STN : 886.64 + myt_ye.lin22</v>
      </c>
      <c r="E172" s="379"/>
      <c r="F172" s="372"/>
      <c r="G172" s="372"/>
      <c r="H172" s="372"/>
      <c r="I172" s="372"/>
      <c r="J172" s="372"/>
      <c r="K172" s="369"/>
      <c r="L172" s="369"/>
      <c r="M172" s="373"/>
      <c r="N172" s="369"/>
      <c r="O172" s="369"/>
      <c r="P172" s="374"/>
      <c r="Q172" s="372"/>
      <c r="R172" s="372"/>
      <c r="S172" s="372"/>
      <c r="T172" s="372"/>
      <c r="U172" s="372"/>
      <c r="V172" s="372"/>
      <c r="W172" s="372"/>
      <c r="X172" s="372"/>
      <c r="Y172" s="372"/>
      <c r="Z172" s="372"/>
      <c r="AA172" s="372"/>
      <c r="AB172" s="372"/>
      <c r="AC172" s="372"/>
      <c r="AD172" s="372"/>
      <c r="AE172" s="372"/>
      <c r="AF172" s="372"/>
      <c r="AG172" s="372"/>
      <c r="AH172" s="372"/>
      <c r="AI172" s="372"/>
      <c r="AJ172" s="372"/>
      <c r="AK172" s="372"/>
      <c r="AL172" s="372"/>
      <c r="AM172" s="372"/>
    </row>
    <row r="173">
      <c r="A173" s="379" t="s">
        <v>521</v>
      </c>
      <c r="B173" s="379" t="str">
        <f t="array" ref="B173">if(len(A173)&lt;5,"-", iferror(Xlookup($A173,'Input WO'!$E:$E,'Input WO'!$F:$F),Xlookup($A173,'Input task'!$T:$T,'Input task'!$S:$S)
))</f>
        <v/>
      </c>
      <c r="C173" s="398" t="str">
        <f>IFERROR(__xludf.DUMMYFUNCTION("if(len($A173)&lt;5,""-"",iferror(TEXTJOIN("" |=***=| "",TRUE,filter('Input task'!$D:$D&amp;"" : ""&amp;'Input task'!$E:$E&amp;"" : ""&amp;'Input task'!$K:$K&amp;"" + ""&amp;'Input task'!$H:$H,'Input task'!$J:$J="""",'Input task'!$T:$T=$A173)),""No see""))"),"No see")</f>
        <v>No see</v>
      </c>
      <c r="D173" s="379" t="str">
        <f>IFERROR(__xludf.DUMMYFUNCTION("if(len($A173)&lt;5,""-"",iferror(TEXTJOIN("" |=***=| "",TRUE,FILTER(('Input WO'!$A:$A&amp;"" + ""&amp;'Input WO'!$B:$B&amp;"" : ""&amp;'Input WO'!$C:$C&amp;"" + ""&amp;'Input WO'!$F:$F),'Input WO'!$E:$E=$A173)),""No see""))"),"WO_WFM-FT_20260420_123042188 + 5s &amp; WH inventory file for TNI_team 02 : -1577.45 +  |=***=| WO_WFM-FT_20260513_123263386 + 5s and WH inventory for TNI_team 01 : -1001.45 + myt_aungthin.mya |=***=| WO_WFM-FT_20260420_123042391 + 5s &amp; WH inventory file for "&amp;"TNI_team 01 : -1577.45 + myt_aungthin.mya |=***=| WO_WFM-OTHERS_20260623_123616273 + Cable Patrol for (BB)-MYT_TNI_TEAM03 : 439.03 + myt_sithu.htun |=***=| WO_WFM-OTHERS_20260623_123616271 + Cable Patrol for (BB)-MYT_TNI_TEAM03 : 439.03 + myt_sithu.htun |"&amp;"=***=| WO_WFM-OTHERS_20260623_123616274 + Cable Patrol for (BB)-MYT_TNI_TEAM03 : 439.03 + myt_sithu.htun |=***=| WO_WFM-OTHERS_20260623_123616272 + Cable Patrol for (BB)-MYT_TNI_TEAM03 : 439.03 + myt_sithu.htun |=***=| WO_WFM-OTHERS_20260623_123616266 + C"&amp;"able Patrol for (BB)-MYT_TNI_TEAM03 : 439.03 + myt_sithu.htun |=***=| WO_WFM-OTHERS_20260623_123616268 + Cable Patrol for (BB)-MYT_TNI_TEAM03 : 439.03 + myt_sithu.htun |=***=| WO_WFM-OTHERS_20260623_123616264 + Cable Patrol for (BB)-MYT_TNI_TEAM03 : 439.0"&amp;"3 + myt_sithu.htun |=***=| WO_WFM-OTHERS_20260623_123616267 + Cable Patrol for (BB)-MYT_TNI_TEAM03 : 439.03 + myt_sithu.htun |=***=| WO_WFM-OTHERS_20260623_123616270 + Cable Patrol for (BB)-MYT_TNI_TEAM03 : 439.03 + myt_sithu.htun |=***=| WO_WFM-OTHERS_20"&amp;"260623_123616263 + Cable Patrol for (BB)-MYT_TNI_TEAM03 : 439.03 + myt_sithu.htun |=***=| WO_WFM-OTHERS_20260623_123616269 + Cable Patrol for (BB)-MYT_TNI_TEAM03 : 439.03 + myt_sithu.htun")</f>
        <v>WO_WFM-FT_20260420_123042188 + 5s &amp; WH inventory file for TNI_team 02 : -1577.45 +  |=***=| WO_WFM-FT_20260513_123263386 + 5s and WH inventory for TNI_team 01 : -1001.45 + myt_aungthin.mya |=***=| WO_WFM-FT_20260420_123042391 + 5s &amp; WH inventory file for TNI_team 01 : -1577.45 + myt_aungthin.mya |=***=| WO_WFM-OTHERS_20260623_123616273 + Cable Patrol for (BB)-MYT_TNI_TEAM03 : 439.03 + myt_sithu.htun |=***=| WO_WFM-OTHERS_20260623_123616271 + Cable Patrol for (BB)-MYT_TNI_TEAM03 : 439.03 + myt_sithu.htun |=***=| WO_WFM-OTHERS_20260623_123616274 + Cable Patrol for (BB)-MYT_TNI_TEAM03 : 439.03 + myt_sithu.htun |=***=| WO_WFM-OTHERS_20260623_123616272 + Cable Patrol for (BB)-MYT_TNI_TEAM03 : 439.03 + myt_sithu.htun |=***=| WO_WFM-OTHERS_20260623_123616266 + Cable Patrol for (BB)-MYT_TNI_TEAM03 : 439.03 + myt_sithu.htun |=***=| WO_WFM-OTHERS_20260623_123616268 + Cable Patrol for (BB)-MYT_TNI_TEAM03 : 439.03 + myt_sithu.htun |=***=| WO_WFM-OTHERS_20260623_123616264 + Cable Patrol for (BB)-MYT_TNI_TEAM03 : 439.03 + myt_sithu.htun |=***=| WO_WFM-OTHERS_20260623_123616267 + Cable Patrol for (BB)-MYT_TNI_TEAM03 : 439.03 + myt_sithu.htun |=***=| WO_WFM-OTHERS_20260623_123616270 + Cable Patrol for (BB)-MYT_TNI_TEAM03 : 439.03 + myt_sithu.htun |=***=| WO_WFM-OTHERS_20260623_123616263 + Cable Patrol for (BB)-MYT_TNI_TEAM03 : 439.03 + myt_sithu.htun |=***=| WO_WFM-OTHERS_20260623_123616269 + Cable Patrol for (BB)-MYT_TNI_TEAM03 : 439.03 + myt_sithu.htun</v>
      </c>
      <c r="E173" s="379"/>
      <c r="F173" s="372"/>
      <c r="G173" s="372"/>
      <c r="H173" s="372"/>
      <c r="I173" s="372"/>
      <c r="J173" s="372"/>
      <c r="K173" s="369"/>
      <c r="L173" s="369"/>
      <c r="M173" s="373"/>
      <c r="N173" s="369"/>
      <c r="O173" s="369"/>
      <c r="P173" s="374"/>
      <c r="Q173" s="372"/>
      <c r="R173" s="372"/>
      <c r="S173" s="372"/>
      <c r="T173" s="372"/>
      <c r="U173" s="372"/>
      <c r="V173" s="372"/>
      <c r="W173" s="372"/>
      <c r="X173" s="372"/>
      <c r="Y173" s="372"/>
      <c r="Z173" s="372"/>
      <c r="AA173" s="372"/>
      <c r="AB173" s="372"/>
      <c r="AC173" s="372"/>
      <c r="AD173" s="372"/>
      <c r="AE173" s="372"/>
      <c r="AF173" s="372"/>
      <c r="AG173" s="372"/>
      <c r="AH173" s="372"/>
      <c r="AI173" s="372"/>
      <c r="AJ173" s="372"/>
      <c r="AK173" s="372"/>
      <c r="AL173" s="372"/>
      <c r="AM173" s="372"/>
    </row>
    <row r="174">
      <c r="A174" s="379" t="s">
        <v>522</v>
      </c>
      <c r="B174" s="379" t="str">
        <f t="array" ref="B174">if(len(A174)&lt;5,"-", iferror(Xlookup($A174,'Input WO'!$E:$E,'Input WO'!$F:$F),Xlookup($A174,'Input task'!$T:$T,'Input task'!$S:$S)
))</f>
        <v>myt_sithu.htun</v>
      </c>
      <c r="C174" s="398" t="str">
        <f>IFERROR(__xludf.DUMMYFUNCTION("if(len($A174)&lt;5,""-"",iferror(TEXTJOIN("" |=***=| "",TRUE,filter('Input task'!$D:$D&amp;"" : ""&amp;'Input task'!$E:$E&amp;"" : ""&amp;'Input task'!$K:$K&amp;"" + ""&amp;'Input task'!$H:$H,'Input task'!$J:$J="""",'Input task'!$T:$T=$A174)),""No see""))"),"Change MBB : TNI0345_01  Need to change shoto battery 1pcs :  + VCM289635-Si Thu Htun |=***=| Diode Kid Installation : TNI0345 :  + VCM289635-Si Thu Htun")</f>
        <v>Change MBB : TNI0345_01  Need to change shoto battery 1pcs :  + VCM289635-Si Thu Htun |=***=| Diode Kid Installation : TNI0345 :  + VCM289635-Si Thu Htun</v>
      </c>
      <c r="D174" s="379" t="str">
        <f>IFERROR(__xludf.DUMMYFUNCTION("if(len($A174)&lt;5,""-"",iferror(TEXTJOIN("" |=***=| "",TRUE,FILTER(('Input WO'!$A:$A&amp;"" + ""&amp;'Input WO'!$B:$B&amp;"" : ""&amp;'Input WO'!$C:$C&amp;"" + ""&amp;'Input WO'!$F:$F),'Input WO'!$E:$E=$A174)),""No see""))"),"WO_WFM-OTHERS_20260623_123616275 + Cable Patrol for (AC)-TNI0345-TNI0345_01 : 439.03 + myt_sithu.htun |=***=| WO_WFM-OTHERS_20260623_123616278 + Cable Patrol for (AC)-TNI0345-JB(TNI0009-TNI0015) : 439.03 + myt_sithu.htun")</f>
        <v>WO_WFM-OTHERS_20260623_123616275 + Cable Patrol for (AC)-TNI0345-TNI0345_01 : 439.03 + myt_sithu.htun |=***=| WO_WFM-OTHERS_20260623_123616278 + Cable Patrol for (AC)-TNI0345-JB(TNI0009-TNI0015) : 439.03 + myt_sithu.htun</v>
      </c>
      <c r="E174" s="379"/>
      <c r="F174" s="372"/>
      <c r="G174" s="372"/>
      <c r="H174" s="372"/>
      <c r="I174" s="372"/>
      <c r="J174" s="372"/>
      <c r="K174" s="369"/>
      <c r="L174" s="369"/>
      <c r="M174" s="373"/>
      <c r="N174" s="369"/>
      <c r="O174" s="369"/>
      <c r="P174" s="374"/>
      <c r="Q174" s="372"/>
      <c r="R174" s="372"/>
      <c r="S174" s="372"/>
      <c r="T174" s="372"/>
      <c r="U174" s="372"/>
      <c r="V174" s="372"/>
      <c r="W174" s="372"/>
      <c r="X174" s="372"/>
      <c r="Y174" s="372"/>
      <c r="Z174" s="372"/>
      <c r="AA174" s="372"/>
      <c r="AB174" s="372"/>
      <c r="AC174" s="372"/>
      <c r="AD174" s="372"/>
      <c r="AE174" s="372"/>
      <c r="AF174" s="372"/>
      <c r="AG174" s="372"/>
      <c r="AH174" s="372"/>
      <c r="AI174" s="372"/>
      <c r="AJ174" s="372"/>
      <c r="AK174" s="372"/>
      <c r="AL174" s="372"/>
      <c r="AM174" s="372"/>
    </row>
    <row r="175">
      <c r="A175" s="379" t="s">
        <v>523</v>
      </c>
      <c r="B175" s="379" t="str">
        <f t="array" ref="B175">if(len(A175)&lt;5,"-", iferror(Xlookup($A175,'Input WO'!$E:$E,'Input WO'!$F:$F),Xlookup($A175,'Input task'!$T:$T,'Input task'!$S:$S)
))</f>
        <v>myt_sithu.htun</v>
      </c>
      <c r="C175" s="398" t="str">
        <f>IFERROR(__xludf.DUMMYFUNCTION("if(len($A175)&lt;5,""-"",iferror(TEXTJOIN("" |=***=| "",TRUE,filter('Input task'!$D:$D&amp;"" : ""&amp;'Input task'!$E:$E&amp;"" : ""&amp;'Input task'!$K:$K&amp;"" + ""&amp;'Input task'!$H:$H,'Input task'!$J:$J="""",'Input task'!$T:$T=$A175)),""No see""))"),"Diode Kid Installation : TNI0136  Need to install Diode Kid :  + VCM289635-Si Thu Htun")</f>
        <v>Diode Kid Installation : TNI0136  Need to install Diode Kid :  + VCM289635-Si Thu Htun</v>
      </c>
      <c r="D175" s="379" t="str">
        <f>IFERROR(__xludf.DUMMYFUNCTION("if(len($A175)&lt;5,""-"",iferror(TEXTJOIN("" |=***=| "",TRUE,FILTER(('Input WO'!$A:$A&amp;"" + ""&amp;'Input WO'!$B:$B&amp;"" : ""&amp;'Input WO'!$C:$C&amp;"" + ""&amp;'Input WO'!$F:$F),'Input WO'!$E:$E=$A175)),""No see""))"),"WO_WFM-OTHERS_20260623_123616280 + Cable Patrol for (AC)-TNI0136-TNIM085 : 439.03 + myt_sithu.htun")</f>
        <v>WO_WFM-OTHERS_20260623_123616280 + Cable Patrol for (AC)-TNI0136-TNIM085 : 439.03 + myt_sithu.htun</v>
      </c>
      <c r="E175" s="379"/>
      <c r="F175" s="372"/>
      <c r="G175" s="372"/>
      <c r="H175" s="372"/>
      <c r="I175" s="372"/>
      <c r="J175" s="372"/>
      <c r="K175" s="369"/>
      <c r="L175" s="369"/>
      <c r="M175" s="373"/>
      <c r="N175" s="369"/>
      <c r="O175" s="369"/>
      <c r="P175" s="374"/>
      <c r="Q175" s="372"/>
      <c r="R175" s="372"/>
      <c r="S175" s="372"/>
      <c r="T175" s="372"/>
      <c r="U175" s="372"/>
      <c r="V175" s="372"/>
      <c r="W175" s="372"/>
      <c r="X175" s="372"/>
      <c r="Y175" s="372"/>
      <c r="Z175" s="372"/>
      <c r="AA175" s="372"/>
      <c r="AB175" s="372"/>
      <c r="AC175" s="372"/>
      <c r="AD175" s="372"/>
      <c r="AE175" s="372"/>
      <c r="AF175" s="372"/>
      <c r="AG175" s="372"/>
      <c r="AH175" s="372"/>
      <c r="AI175" s="372"/>
      <c r="AJ175" s="372"/>
      <c r="AK175" s="372"/>
      <c r="AL175" s="372"/>
      <c r="AM175" s="372"/>
    </row>
    <row r="176">
      <c r="A176" s="379" t="s">
        <v>524</v>
      </c>
      <c r="B176" s="379" t="str">
        <f t="array" ref="B176">if(len(A176)&lt;5,"-", iferror(Xlookup($A176,'Input WO'!$E:$E,'Input WO'!$F:$F),Xlookup($A176,'Input task'!$T:$T,'Input task'!$S:$S)
))</f>
        <v>myt_sithu.htun</v>
      </c>
      <c r="C176" s="398" t="str">
        <f>IFERROR(__xludf.DUMMYFUNCTION("if(len($A176)&lt;5,""-"",iferror(TEXTJOIN("" |=***=| "",TRUE,filter('Input task'!$D:$D&amp;"" : ""&amp;'Input task'!$E:$E&amp;"" : ""&amp;'Input task'!$K:$K&amp;"" + ""&amp;'Input task'!$H:$H,'Input task'!$J:$J="""",'Input task'!$T:$T=$A176)),""No see""))"),"No see")</f>
        <v>No see</v>
      </c>
      <c r="D176" s="379" t="str">
        <f>IFERROR(__xludf.DUMMYFUNCTION("if(len($A176)&lt;5,""-"",iferror(TEXTJOIN("" |=***=| "",TRUE,FILTER(('Input WO'!$A:$A&amp;"" + ""&amp;'Input WO'!$B:$B&amp;"" : ""&amp;'Input WO'!$C:$C&amp;"" + ""&amp;'Input WO'!$F:$F),'Input WO'!$E:$E=$A176)),""No see""))"),"WO_WFM-OTHERS_20260623_123616276 + Cable Patrol for (AC)-TNI0341-JB(TNI0004-TNI0008) : 439.03 + myt_sithu.htun")</f>
        <v>WO_WFM-OTHERS_20260623_123616276 + Cable Patrol for (AC)-TNI0341-JB(TNI0004-TNI0008) : 439.03 + myt_sithu.htun</v>
      </c>
      <c r="E176" s="379"/>
      <c r="F176" s="372"/>
      <c r="G176" s="372"/>
      <c r="H176" s="372"/>
      <c r="I176" s="372"/>
      <c r="J176" s="372"/>
      <c r="K176" s="369"/>
      <c r="L176" s="369"/>
      <c r="M176" s="373"/>
      <c r="N176" s="369"/>
      <c r="O176" s="369"/>
      <c r="P176" s="374"/>
      <c r="Q176" s="372"/>
      <c r="R176" s="372"/>
      <c r="S176" s="372"/>
      <c r="T176" s="372"/>
      <c r="U176" s="372"/>
      <c r="V176" s="372"/>
      <c r="W176" s="372"/>
      <c r="X176" s="372"/>
      <c r="Y176" s="372"/>
      <c r="Z176" s="372"/>
      <c r="AA176" s="372"/>
      <c r="AB176" s="372"/>
      <c r="AC176" s="372"/>
      <c r="AD176" s="372"/>
      <c r="AE176" s="372"/>
      <c r="AF176" s="372"/>
      <c r="AG176" s="372"/>
      <c r="AH176" s="372"/>
      <c r="AI176" s="372"/>
      <c r="AJ176" s="372"/>
      <c r="AK176" s="372"/>
      <c r="AL176" s="372"/>
      <c r="AM176" s="372"/>
    </row>
    <row r="177">
      <c r="A177" s="379" t="s">
        <v>525</v>
      </c>
      <c r="B177" s="379" t="str">
        <f t="array" ref="B177">if(len(A177)&lt;5,"-", iferror(Xlookup($A177,'Input WO'!$E:$E,'Input WO'!$F:$F),Xlookup($A177,'Input task'!$T:$T,'Input task'!$S:$S)
))</f>
        <v>myt_sithu.htun</v>
      </c>
      <c r="C177" s="398" t="str">
        <f>IFERROR(__xludf.DUMMYFUNCTION("if(len($A177)&lt;5,""-"",iferror(TEXTJOIN("" |=***=| "",TRUE,filter('Input task'!$D:$D&amp;"" : ""&amp;'Input task'!$E:$E&amp;"" : ""&amp;'Input task'!$K:$K&amp;"" + ""&amp;'Input task'!$H:$H,'Input task'!$J:$J="""",'Input task'!$T:$T=$A177)),""No see""))"),"No see")</f>
        <v>No see</v>
      </c>
      <c r="D177" s="379" t="str">
        <f>IFERROR(__xludf.DUMMYFUNCTION("if(len($A177)&lt;5,""-"",iferror(TEXTJOIN("" |=***=| "",TRUE,FILTER(('Input WO'!$A:$A&amp;"" + ""&amp;'Input WO'!$B:$B&amp;"" : ""&amp;'Input WO'!$C:$C&amp;"" + ""&amp;'Input WO'!$F:$F),'Input WO'!$E:$E=$A177)),""No see""))"),"WO_ICMS_20260623_123615120 + TNI0209 MYT_Routine_Maintenance_Mytel_Station MYT_RTE_MTE_SB_STN : 886.64 + myt_sithu.htun")</f>
        <v>WO_ICMS_20260623_123615120 + TNI0209 MYT_Routine_Maintenance_Mytel_Station MYT_RTE_MTE_SB_STN : 886.64 + myt_sithu.htun</v>
      </c>
      <c r="E177" s="379"/>
      <c r="F177" s="372"/>
      <c r="G177" s="372"/>
      <c r="H177" s="372"/>
      <c r="I177" s="372"/>
      <c r="J177" s="372"/>
      <c r="K177" s="369"/>
      <c r="L177" s="369"/>
      <c r="M177" s="373"/>
      <c r="N177" s="369"/>
      <c r="O177" s="369"/>
      <c r="P177" s="374"/>
      <c r="Q177" s="372"/>
      <c r="R177" s="372"/>
      <c r="S177" s="372"/>
      <c r="T177" s="372"/>
      <c r="U177" s="372"/>
      <c r="V177" s="372"/>
      <c r="W177" s="372"/>
      <c r="X177" s="372"/>
      <c r="Y177" s="372"/>
      <c r="Z177" s="372"/>
      <c r="AA177" s="372"/>
      <c r="AB177" s="372"/>
      <c r="AC177" s="372"/>
      <c r="AD177" s="372"/>
      <c r="AE177" s="372"/>
      <c r="AF177" s="372"/>
      <c r="AG177" s="372"/>
      <c r="AH177" s="372"/>
      <c r="AI177" s="372"/>
      <c r="AJ177" s="372"/>
      <c r="AK177" s="372"/>
      <c r="AL177" s="372"/>
      <c r="AM177" s="372"/>
    </row>
    <row r="178">
      <c r="A178" s="379" t="s">
        <v>526</v>
      </c>
      <c r="B178" s="379" t="str">
        <f t="array" ref="B178">if(len(A178)&lt;5,"-", iferror(Xlookup($A178,'Input WO'!$E:$E,'Input WO'!$F:$F),Xlookup($A178,'Input task'!$T:$T,'Input task'!$S:$S)
))</f>
        <v>myt_sithu.htun</v>
      </c>
      <c r="C178" s="398" t="str">
        <f>IFERROR(__xludf.DUMMYFUNCTION("if(len($A178)&lt;5,""-"",iferror(TEXTJOIN("" |=***=| "",TRUE,filter('Input task'!$D:$D&amp;"" : ""&amp;'Input task'!$E:$E&amp;"" : ""&amp;'Input task'!$K:$K&amp;"" + ""&amp;'Input task'!$H:$H,'Input task'!$J:$J="""",'Input task'!$T:$T=$A178)),""No see""))"),"Return to send Branch Office : TNI0118 Recall PU : 1 Pcs Serial: 219561075245 :  + VCM289635-Si Thu Htun |=***=| 100 point plan : TNI0118 100 point plan need to clean site overview inside and outeside and make to neatly patchord cable. :  + VCM852892-Tin "&amp;"Naing Lin")</f>
        <v>Return to send Branch Office : TNI0118 Recall PU : 1 Pcs Serial: 219561075245 :  + VCM289635-Si Thu Htun |=***=| 100 point plan : TNI0118 100 point plan need to clean site overview inside and outeside and make to neatly patchord cable. :  + VCM852892-Tin Naing Lin</v>
      </c>
      <c r="D178" s="379" t="str">
        <f>IFERROR(__xludf.DUMMYFUNCTION("if(len($A178)&lt;5,""-"",iferror(TEXTJOIN("" |=***=| "",TRUE,FILTER(('Input WO'!$A:$A&amp;"" + ""&amp;'Input WO'!$B:$B&amp;"" : ""&amp;'Input WO'!$C:$C&amp;"" + ""&amp;'Input WO'!$F:$F),'Input WO'!$E:$E=$A178)),""No see""))"),"WO_ICMS_20260623_123615124 + TNI0118 MYT_Routine_Maintenance_Mytel_Station MYT_RTE_MTE_SB_STN : 886.64 + myt_sithu.htun")</f>
        <v>WO_ICMS_20260623_123615124 + TNI0118 MYT_Routine_Maintenance_Mytel_Station MYT_RTE_MTE_SB_STN : 886.64 + myt_sithu.htun</v>
      </c>
      <c r="E178" s="379"/>
      <c r="F178" s="372"/>
      <c r="G178" s="372"/>
      <c r="H178" s="372"/>
      <c r="I178" s="372"/>
      <c r="J178" s="372"/>
      <c r="K178" s="369"/>
      <c r="L178" s="369"/>
      <c r="M178" s="373"/>
      <c r="N178" s="369"/>
      <c r="O178" s="369"/>
      <c r="P178" s="374"/>
      <c r="Q178" s="372"/>
      <c r="R178" s="372"/>
      <c r="S178" s="372"/>
      <c r="T178" s="372"/>
      <c r="U178" s="372"/>
      <c r="V178" s="372"/>
      <c r="W178" s="372"/>
      <c r="X178" s="372"/>
      <c r="Y178" s="372"/>
      <c r="Z178" s="372"/>
      <c r="AA178" s="372"/>
      <c r="AB178" s="372"/>
      <c r="AC178" s="372"/>
      <c r="AD178" s="372"/>
      <c r="AE178" s="372"/>
      <c r="AF178" s="372"/>
      <c r="AG178" s="372"/>
      <c r="AH178" s="372"/>
      <c r="AI178" s="372"/>
      <c r="AJ178" s="372"/>
      <c r="AK178" s="372"/>
      <c r="AL178" s="372"/>
      <c r="AM178" s="372"/>
    </row>
    <row r="179">
      <c r="A179" s="379" t="s">
        <v>527</v>
      </c>
      <c r="B179" s="379" t="str">
        <f t="array" ref="B179">if(len(A179)&lt;5,"-", iferror(Xlookup($A179,'Input WO'!$E:$E,'Input WO'!$F:$F),Xlookup($A179,'Input task'!$T:$T,'Input task'!$S:$S)
))</f>
        <v>myt_sithu.htun</v>
      </c>
      <c r="C179" s="398" t="str">
        <f>IFERROR(__xludf.DUMMYFUNCTION("if(len($A179)&lt;5,""-"",iferror(TEXTJOIN("" |=***=| "",TRUE,filter('Input task'!$D:$D&amp;"" : ""&amp;'Input task'!$E:$E&amp;"" : ""&amp;'Input task'!$K:$K&amp;"" + ""&amp;'Input task'!$H:$H,'Input task'!$J:$J="""",'Input task'!$T:$T=$A179)),""No see""))"),"Return to send Branch Office : TNI0008 Recall PU : 1 Pcs Serial: 219561075253 :  + VCM289635-Si Thu Htun |=***=| Check&amp;fixing Main Node Site : TNI0008, Check&amp;fixing Main Node &gt;&gt; Check power status and equipment room (Grounding, Air Con , Fire extinguisher"&amp;", Light Bulb, ATS, DG Maintenance&gt;&gt; Check engine oil and filter change date) , all cabel into site from undergroun or not, Site Cleaning, Last pole status  :  + ")</f>
        <v>Return to send Branch Office : TNI0008 Recall PU : 1 Pcs Serial: 219561075253 :  + VCM289635-Si Thu Htun |=***=| Check&amp;fixing Main Node Site : TNI0008, Check&amp;fixing Main Node &gt;&gt; Check power status and equipment room (Grounding, Air Con , Fire extinguisher, Light Bulb, ATS, DG Maintenance&gt;&gt; Check engine oil and filter change date) , all cabel into site from undergroun or not, Site Cleaning, Last pole status  :  + </v>
      </c>
      <c r="D179" s="379" t="str">
        <f>IFERROR(__xludf.DUMMYFUNCTION("if(len($A179)&lt;5,""-"",iferror(TEXTJOIN("" |=***=| "",TRUE,FILTER(('Input WO'!$A:$A&amp;"" + ""&amp;'Input WO'!$B:$B&amp;"" : ""&amp;'Input WO'!$C:$C&amp;"" + ""&amp;'Input WO'!$F:$F),'Input WO'!$E:$E=$A179)),""No see""))"),"WO_ICMS_20260623_123613618 + TNI0008 MYT_Routine_Maintenance_Main_Station MYT_RTE_MTE_MAIN_STN : 502.17 + myt_sithu.htun")</f>
        <v>WO_ICMS_20260623_123613618 + TNI0008 MYT_Routine_Maintenance_Main_Station MYT_RTE_MTE_MAIN_STN : 502.17 + myt_sithu.htun</v>
      </c>
      <c r="E179" s="379"/>
      <c r="F179" s="372"/>
      <c r="G179" s="372"/>
      <c r="H179" s="372"/>
      <c r="I179" s="372"/>
      <c r="J179" s="372"/>
      <c r="K179" s="369"/>
      <c r="L179" s="369"/>
      <c r="M179" s="373"/>
      <c r="N179" s="369"/>
      <c r="O179" s="369"/>
      <c r="P179" s="374"/>
      <c r="Q179" s="372"/>
      <c r="R179" s="372"/>
      <c r="S179" s="372"/>
      <c r="T179" s="372"/>
      <c r="U179" s="372"/>
      <c r="V179" s="372"/>
      <c r="W179" s="372"/>
      <c r="X179" s="372"/>
      <c r="Y179" s="372"/>
      <c r="Z179" s="372"/>
      <c r="AA179" s="372"/>
      <c r="AB179" s="372"/>
      <c r="AC179" s="372"/>
      <c r="AD179" s="372"/>
      <c r="AE179" s="372"/>
      <c r="AF179" s="372"/>
      <c r="AG179" s="372"/>
      <c r="AH179" s="372"/>
      <c r="AI179" s="372"/>
      <c r="AJ179" s="372"/>
      <c r="AK179" s="372"/>
      <c r="AL179" s="372"/>
      <c r="AM179" s="372"/>
    </row>
    <row r="180">
      <c r="A180" s="379" t="s">
        <v>528</v>
      </c>
      <c r="B180" s="379" t="str">
        <f t="array" ref="B180">if(len(A180)&lt;5,"-", iferror(Xlookup($A180,'Input WO'!$E:$E,'Input WO'!$F:$F),Xlookup($A180,'Input task'!$T:$T,'Input task'!$S:$S)
))</f>
        <v>myt_tharhtoo.aung11</v>
      </c>
      <c r="C180" s="398" t="str">
        <f>IFERROR(__xludf.DUMMYFUNCTION("if(len($A180)&lt;5,""-"",iferror(TEXTJOIN("" |=***=| "",TRUE,filter('Input task'!$D:$D&amp;"" : ""&amp;'Input task'!$E:$E&amp;"" : ""&amp;'Input task'!$K:$K&amp;"" + ""&amp;'Input task'!$H:$H,'Input task'!$J:$J="""",'Input task'!$T:$T=$A180)),""No see""))"),"100 point plan : TNI0220 100 point plan need to clean site overview inside and outeside and make to neatly patchord cable. :  + ")</f>
        <v>100 point plan : TNI0220 100 point plan need to clean site overview inside and outeside and make to neatly patchord cable. :  + </v>
      </c>
      <c r="D180" s="379" t="str">
        <f>IFERROR(__xludf.DUMMYFUNCTION("if(len($A180)&lt;5,""-"",iferror(TEXTJOIN("" |=***=| "",TRUE,FILTER(('Input WO'!$A:$A&amp;"" + ""&amp;'Input WO'!$B:$B&amp;"" : ""&amp;'Input WO'!$C:$C&amp;"" + ""&amp;'Input WO'!$F:$F),'Input WO'!$E:$E=$A180)),""No see""))"),"WO_QLCTKT_20260626_123641952 + TNI0220 - Repair infrastructure - bla: Cleaning the station, remove grass, vines, tree, rubbish, recall unused equipment, material: Clean the station : 16.96 + myt_tharhtoo.aung11 |=***=| WO_QLCTKT_20260626_123641951 + TNI02"&amp;"20 - Repair infrastructure - bla: Install the cables at station: Install the Optical cable CPRI : 568.96 + myt_tharhtoo.aung11 |=***=| WO_QLCTKT_20260626_123641949 + TNI0220 - Repair infrastructure - bla: Cleaning the station, remove grass, vines, tree, r"&amp;"ubbish, recall unused equipment, material: Clean the station : 16.96 + myt_tharhtoo.aung11 |=***=| WO_QLCTKT_20260626_123642017 + TNI0220 - Repair infrastructure - bla: Install the cables at station: Install the Optical cable CPRI : 568.96 + myt_tharhtoo."&amp;"aung11 |=***=| WO_ICMS_20260623_123611231 + TNI0220 MYT_Routine_Maintenance_Towerco_Station MYT_RTE_MTE_TCO_STN : 882.54 + myt_tharhtoo.aung11 |=***=| WO_WFM-OTHERS_20260622_123603193 + TNI0220_Cleaning Radiator and change engine oil : -41.95 + myt_tharht"&amp;"oo.aung11 |=***=| WO_QLCTKT_20260330_122772154 + TNI0220 MYT_Routine_Maintenance_Mytel_Station_VCM : -1100.45 + myt_tharhtoo.aung11")</f>
        <v>WO_QLCTKT_20260626_123641952 + TNI0220 - Repair infrastructure - bla: Cleaning the station, remove grass, vines, tree, rubbish, recall unused equipment, material: Clean the station : 16.96 + myt_tharhtoo.aung11 |=***=| WO_QLCTKT_20260626_123641951 + TNI0220 - Repair infrastructure - bla: Install the cables at station: Install the Optical cable CPRI : 568.96 + myt_tharhtoo.aung11 |=***=| WO_QLCTKT_20260626_123641949 + TNI0220 - Repair infrastructure - bla: Cleaning the station, remove grass, vines, tree, rubbish, recall unused equipment, material: Clean the station : 16.96 + myt_tharhtoo.aung11 |=***=| WO_QLCTKT_20260626_123642017 + TNI0220 - Repair infrastructure - bla: Install the cables at station: Install the Optical cable CPRI : 568.96 + myt_tharhtoo.aung11 |=***=| WO_ICMS_20260623_123611231 + TNI0220 MYT_Routine_Maintenance_Towerco_Station MYT_RTE_MTE_TCO_STN : 882.54 + myt_tharhtoo.aung11 |=***=| WO_WFM-OTHERS_20260622_123603193 + TNI0220_Cleaning Radiator and change engine oil : -41.95 + myt_tharhtoo.aung11 |=***=| WO_QLCTKT_20260330_122772154 + TNI0220 MYT_Routine_Maintenance_Mytel_Station_VCM : -1100.45 + myt_tharhtoo.aung11</v>
      </c>
      <c r="E180" s="379"/>
      <c r="F180" s="372"/>
      <c r="G180" s="372"/>
      <c r="H180" s="372"/>
      <c r="I180" s="372"/>
      <c r="J180" s="372"/>
      <c r="K180" s="369"/>
      <c r="L180" s="369"/>
      <c r="M180" s="373"/>
      <c r="N180" s="369"/>
      <c r="O180" s="369"/>
      <c r="P180" s="374"/>
      <c r="Q180" s="372"/>
      <c r="R180" s="372"/>
      <c r="S180" s="372"/>
      <c r="T180" s="372"/>
      <c r="U180" s="372"/>
      <c r="V180" s="372"/>
      <c r="W180" s="372"/>
      <c r="X180" s="372"/>
      <c r="Y180" s="372"/>
      <c r="Z180" s="372"/>
      <c r="AA180" s="372"/>
      <c r="AB180" s="372"/>
      <c r="AC180" s="372"/>
      <c r="AD180" s="372"/>
      <c r="AE180" s="372"/>
      <c r="AF180" s="372"/>
      <c r="AG180" s="372"/>
      <c r="AH180" s="372"/>
      <c r="AI180" s="372"/>
      <c r="AJ180" s="372"/>
      <c r="AK180" s="372"/>
      <c r="AL180" s="372"/>
      <c r="AM180" s="372"/>
    </row>
    <row r="181">
      <c r="A181" s="379" t="s">
        <v>529</v>
      </c>
      <c r="B181" s="379" t="str">
        <f t="array" ref="B181">if(len(A181)&lt;5,"-", iferror(Xlookup($A181,'Input WO'!$E:$E,'Input WO'!$F:$F),Xlookup($A181,'Input task'!$T:$T,'Input task'!$S:$S)
))</f>
        <v>myt_tharhtoo.aung11</v>
      </c>
      <c r="C181" s="398" t="str">
        <f>IFERROR(__xludf.DUMMYFUNCTION("if(len($A181)&lt;5,""-"",iferror(TEXTJOIN("" |=***=| "",TRUE,filter('Input task'!$D:$D&amp;"" : ""&amp;'Input task'!$E:$E&amp;"" : ""&amp;'Input task'!$K:$K&amp;"" + ""&amp;'Input task'!$H:$H,'Input task'!$J:$J="""",'Input task'!$T:$T=$A181)),""No see""))"),"100 point plan : TNI0390 100 point plan need to clean site overview inside and outeside and make to neatly patchord cable. :  + ")</f>
        <v>100 point plan : TNI0390 100 point plan need to clean site overview inside and outeside and make to neatly patchord cable. :  + </v>
      </c>
      <c r="D181" s="379" t="str">
        <f>IFERROR(__xludf.DUMMYFUNCTION("if(len($A181)&lt;5,""-"",iferror(TEXTJOIN("" |=***=| "",TRUE,FILTER(('Input WO'!$A:$A&amp;"" + ""&amp;'Input WO'!$B:$B&amp;"" : ""&amp;'Input WO'!$C:$C&amp;"" + ""&amp;'Input WO'!$F:$F),'Input WO'!$E:$E=$A181)),""No see""))"),"WO_WFM-OTHERS_20260623_123616229 + Cable Patrol for (AC)-TNI0390-JB(MON0002-TNI0006) : 439.03 + myt_tharhtoo.aung11")</f>
        <v>WO_WFM-OTHERS_20260623_123616229 + Cable Patrol for (AC)-TNI0390-JB(MON0002-TNI0006) : 439.03 + myt_tharhtoo.aung11</v>
      </c>
      <c r="E181" s="379"/>
      <c r="F181" s="372"/>
      <c r="G181" s="372"/>
      <c r="H181" s="372"/>
      <c r="I181" s="372"/>
      <c r="J181" s="372"/>
      <c r="K181" s="369"/>
      <c r="L181" s="369"/>
      <c r="M181" s="373"/>
      <c r="N181" s="369"/>
      <c r="O181" s="369"/>
      <c r="P181" s="374"/>
      <c r="Q181" s="372"/>
      <c r="R181" s="372"/>
      <c r="S181" s="372"/>
      <c r="T181" s="372"/>
      <c r="U181" s="372"/>
      <c r="V181" s="372"/>
      <c r="W181" s="372"/>
      <c r="X181" s="372"/>
      <c r="Y181" s="372"/>
      <c r="Z181" s="372"/>
      <c r="AA181" s="372"/>
      <c r="AB181" s="372"/>
      <c r="AC181" s="372"/>
      <c r="AD181" s="372"/>
      <c r="AE181" s="372"/>
      <c r="AF181" s="372"/>
      <c r="AG181" s="372"/>
      <c r="AH181" s="372"/>
      <c r="AI181" s="372"/>
      <c r="AJ181" s="372"/>
      <c r="AK181" s="372"/>
      <c r="AL181" s="372"/>
      <c r="AM181" s="372"/>
    </row>
    <row r="182">
      <c r="A182" s="379" t="s">
        <v>530</v>
      </c>
      <c r="B182" s="379" t="str">
        <f t="array" ref="B182">if(len(A182)&lt;5,"-", iferror(Xlookup($A182,'Input WO'!$E:$E,'Input WO'!$F:$F),Xlookup($A182,'Input task'!$T:$T,'Input task'!$S:$S)
))</f>
        <v>myt_tharhtoo.aung11</v>
      </c>
      <c r="C182" s="398" t="str">
        <f>IFERROR(__xludf.DUMMYFUNCTION("if(len($A182)&lt;5,""-"",iferror(TEXTJOIN("" |=***=| "",TRUE,filter('Input task'!$D:$D&amp;"" : ""&amp;'Input task'!$E:$E&amp;"" : ""&amp;'Input task'!$K:$K&amp;"" + ""&amp;'Input task'!$H:$H,'Input task'!$J:$J="""",'Input task'!$T:$T=$A182)),""No see""))"),"MW link Error : TNI0309-TNI0511 (NEC) Need to check IDU and ODU :  + ")</f>
        <v>MW link Error : TNI0309-TNI0511 (NEC) Need to check IDU and ODU :  + </v>
      </c>
      <c r="D182" s="379" t="str">
        <f>IFERROR(__xludf.DUMMYFUNCTION("if(len($A182)&lt;5,""-"",iferror(TEXTJOIN("" |=***=| "",TRUE,FILTER(('Input WO'!$A:$A&amp;"" + ""&amp;'Input WO'!$B:$B&amp;"" : ""&amp;'Input WO'!$C:$C&amp;"" + ""&amp;'Input WO'!$F:$F),'Input WO'!$E:$E=$A182)),""No see""))"),"WO_WFM-OTHERS_20260623_123616233 + Cable Patrol for (AC)-TNI0309-JB(TNI0005-TNI0013) : 439.03 + myt_tharhtoo.aung11")</f>
        <v>WO_WFM-OTHERS_20260623_123616233 + Cable Patrol for (AC)-TNI0309-JB(TNI0005-TNI0013) : 439.03 + myt_tharhtoo.aung11</v>
      </c>
      <c r="E182" s="379"/>
      <c r="F182" s="372"/>
      <c r="G182" s="372"/>
      <c r="H182" s="372"/>
      <c r="I182" s="372"/>
      <c r="J182" s="372"/>
      <c r="K182" s="369"/>
      <c r="L182" s="369"/>
      <c r="M182" s="373"/>
      <c r="N182" s="369"/>
      <c r="O182" s="369"/>
      <c r="P182" s="374"/>
      <c r="Q182" s="372"/>
      <c r="R182" s="372"/>
      <c r="S182" s="372"/>
      <c r="T182" s="372"/>
      <c r="U182" s="372"/>
      <c r="V182" s="372"/>
      <c r="W182" s="372"/>
      <c r="X182" s="372"/>
      <c r="Y182" s="372"/>
      <c r="Z182" s="372"/>
      <c r="AA182" s="372"/>
      <c r="AB182" s="372"/>
      <c r="AC182" s="372"/>
      <c r="AD182" s="372"/>
      <c r="AE182" s="372"/>
      <c r="AF182" s="372"/>
      <c r="AG182" s="372"/>
      <c r="AH182" s="372"/>
      <c r="AI182" s="372"/>
      <c r="AJ182" s="372"/>
      <c r="AK182" s="372"/>
      <c r="AL182" s="372"/>
      <c r="AM182" s="372"/>
    </row>
    <row r="183">
      <c r="A183" s="379" t="s">
        <v>531</v>
      </c>
      <c r="B183" s="379" t="str">
        <f t="array" ref="B183">if(len(A183)&lt;5,"-", iferror(Xlookup($A183,'Input WO'!$E:$E,'Input WO'!$F:$F),Xlookup($A183,'Input task'!$T:$T,'Input task'!$S:$S)
))</f>
        <v>myt_tharhtoo.aung11</v>
      </c>
      <c r="C183" s="398" t="str">
        <f>IFERROR(__xludf.DUMMYFUNCTION("if(len($A183)&lt;5,""-"",iferror(TEXTJOIN("" |=***=| "",TRUE,filter('Input task'!$D:$D&amp;"" : ""&amp;'Input task'!$E:$E&amp;"" : ""&amp;'Input task'!$K:$K&amp;"" + ""&amp;'Input task'!$H:$H,'Input task'!$J:$J="""",'Input task'!$T:$T=$A183)),""No see""))"),"Request Export material : TNI0314-JB(TNI0147-TNI0148)&gt;&gt;Closure 2 pcs :  + ")</f>
        <v>Request Export material : TNI0314-JB(TNI0147-TNI0148)&gt;&gt;Closure 2 pcs :  + </v>
      </c>
      <c r="D183" s="379" t="str">
        <f>IFERROR(__xludf.DUMMYFUNCTION("if(len($A183)&lt;5,""-"",iferror(TEXTJOIN("" |=***=| "",TRUE,FILTER(('Input WO'!$A:$A&amp;"" + ""&amp;'Input WO'!$B:$B&amp;"" : ""&amp;'Input WO'!$C:$C&amp;"" + ""&amp;'Input WO'!$F:$F),'Input WO'!$E:$E=$A183)),""No see""))"),"WO_WFM-OTHERS_20260623_123616231 + Cable Patrol for (AC)-TNI0314-JB(TNI0147-TNI0148) : 439.03 + myt_tharhtoo.aung11")</f>
        <v>WO_WFM-OTHERS_20260623_123616231 + Cable Patrol for (AC)-TNI0314-JB(TNI0147-TNI0148) : 439.03 + myt_tharhtoo.aung11</v>
      </c>
      <c r="E183" s="379"/>
      <c r="F183" s="372"/>
      <c r="G183" s="372"/>
      <c r="H183" s="372"/>
      <c r="I183" s="372"/>
      <c r="J183" s="372"/>
      <c r="K183" s="369"/>
      <c r="L183" s="369"/>
      <c r="M183" s="373"/>
      <c r="N183" s="369"/>
      <c r="O183" s="369"/>
      <c r="P183" s="374"/>
      <c r="Q183" s="372"/>
      <c r="R183" s="372"/>
      <c r="S183" s="372"/>
      <c r="T183" s="372"/>
      <c r="U183" s="372"/>
      <c r="V183" s="372"/>
      <c r="W183" s="372"/>
      <c r="X183" s="372"/>
      <c r="Y183" s="372"/>
      <c r="Z183" s="372"/>
      <c r="AA183" s="372"/>
      <c r="AB183" s="372"/>
      <c r="AC183" s="372"/>
      <c r="AD183" s="372"/>
      <c r="AE183" s="372"/>
      <c r="AF183" s="372"/>
      <c r="AG183" s="372"/>
      <c r="AH183" s="372"/>
      <c r="AI183" s="372"/>
      <c r="AJ183" s="372"/>
      <c r="AK183" s="372"/>
      <c r="AL183" s="372"/>
      <c r="AM183" s="372"/>
    </row>
    <row r="184">
      <c r="A184" s="379" t="s">
        <v>532</v>
      </c>
      <c r="B184" s="379" t="str">
        <f t="array" ref="B184">if(len(A184)&lt;5,"-", iferror(Xlookup($A184,'Input WO'!$E:$E,'Input WO'!$F:$F),Xlookup($A184,'Input task'!$T:$T,'Input task'!$S:$S)
))</f>
        <v>myt_tharhtoo.aung11</v>
      </c>
      <c r="C184" s="398" t="str">
        <f>IFERROR(__xludf.DUMMYFUNCTION("if(len($A184)&lt;5,""-"",iferror(TEXTJOIN("" |=***=| "",TRUE,filter('Input task'!$D:$D&amp;"" : ""&amp;'Input task'!$E:$E&amp;"" : ""&amp;'Input task'!$K:$K&amp;"" + ""&amp;'Input task'!$H:$H,'Input task'!$J:$J="""",'Input task'!$T:$T=$A184)),""No see""))"),"Smart CB : TNI0214 :  + ")</f>
        <v>Smart CB : TNI0214 :  + </v>
      </c>
      <c r="D184" s="379" t="str">
        <f>IFERROR(__xludf.DUMMYFUNCTION("if(len($A184)&lt;5,""-"",iferror(TEXTJOIN("" |=***=| "",TRUE,FILTER(('Input WO'!$A:$A&amp;"" + ""&amp;'Input WO'!$B:$B&amp;"" : ""&amp;'Input WO'!$C:$C&amp;"" + ""&amp;'Input WO'!$F:$F),'Input WO'!$E:$E=$A184)),""No see""))"),"WO_ICMS_20260623_123615119 + TNI0214 MYT_Routine_Maintenance_Mytel_Station MYT_RTE_MTE_SB_STN : 886.64 + myt_tharhtoo.aung11")</f>
        <v>WO_ICMS_20260623_123615119 + TNI0214 MYT_Routine_Maintenance_Mytel_Station MYT_RTE_MTE_SB_STN : 886.64 + myt_tharhtoo.aung11</v>
      </c>
      <c r="E184" s="379"/>
      <c r="F184" s="372"/>
      <c r="G184" s="372"/>
      <c r="H184" s="372"/>
      <c r="I184" s="372"/>
      <c r="J184" s="372"/>
      <c r="K184" s="369"/>
      <c r="L184" s="369"/>
      <c r="M184" s="373"/>
      <c r="N184" s="369"/>
      <c r="O184" s="369"/>
      <c r="P184" s="374"/>
      <c r="Q184" s="372"/>
      <c r="R184" s="372"/>
      <c r="S184" s="372"/>
      <c r="T184" s="372"/>
      <c r="U184" s="372"/>
      <c r="V184" s="372"/>
      <c r="W184" s="372"/>
      <c r="X184" s="372"/>
      <c r="Y184" s="372"/>
      <c r="Z184" s="372"/>
      <c r="AA184" s="372"/>
      <c r="AB184" s="372"/>
      <c r="AC184" s="372"/>
      <c r="AD184" s="372"/>
      <c r="AE184" s="372"/>
      <c r="AF184" s="372"/>
      <c r="AG184" s="372"/>
      <c r="AH184" s="372"/>
      <c r="AI184" s="372"/>
      <c r="AJ184" s="372"/>
      <c r="AK184" s="372"/>
      <c r="AL184" s="372"/>
      <c r="AM184" s="372"/>
    </row>
    <row r="185">
      <c r="A185" s="379" t="s">
        <v>533</v>
      </c>
      <c r="B185" s="379" t="str">
        <f t="array" ref="B185">if(len(A185)&lt;5,"-", iferror(Xlookup($A185,'Input WO'!$E:$E,'Input WO'!$F:$F),Xlookup($A185,'Input task'!$T:$T,'Input task'!$S:$S)
))</f>
        <v>myt_tharhtoo.aung11</v>
      </c>
      <c r="C185" s="398" t="str">
        <f>IFERROR(__xludf.DUMMYFUNCTION("if(len($A185)&lt;5,""-"",iferror(TEXTJOIN("" |=***=| "",TRUE,filter('Input task'!$D:$D&amp;"" : ""&amp;'Input task'!$E:$E&amp;"" : ""&amp;'Input task'!$K:$K&amp;"" + ""&amp;'Input task'!$H:$H,'Input task'!$J:$J="""",'Input task'!$T:$T=$A185)),""No see""))"),"DG Starter Battery : TNI0305 Need to confirm DG starter battery changing finish sites with M&amp;E :  + ")</f>
        <v>DG Starter Battery : TNI0305 Need to confirm DG starter battery changing finish sites with M&amp;E :  + </v>
      </c>
      <c r="D185" s="379" t="str">
        <f>IFERROR(__xludf.DUMMYFUNCTION("if(len($A185)&lt;5,""-"",iferror(TEXTJOIN("" |=***=| "",TRUE,FILTER(('Input WO'!$A:$A&amp;"" + ""&amp;'Input WO'!$B:$B&amp;"" : ""&amp;'Input WO'!$C:$C&amp;"" + ""&amp;'Input WO'!$F:$F),'Input WO'!$E:$E=$A185)),""No see""))"),"WO_ICMS_20260623_123615068 + TNI0305 MYT_Routine_Maintenance_Mytel_Station MYT_RTE_MTE_SB_STN : 886.64 + myt_tharhtoo.aung11")</f>
        <v>WO_ICMS_20260623_123615068 + TNI0305 MYT_Routine_Maintenance_Mytel_Station MYT_RTE_MTE_SB_STN : 886.64 + myt_tharhtoo.aung11</v>
      </c>
      <c r="E185" s="379"/>
      <c r="F185" s="372"/>
      <c r="G185" s="372"/>
      <c r="H185" s="372"/>
      <c r="I185" s="372"/>
      <c r="J185" s="372"/>
      <c r="K185" s="369"/>
      <c r="L185" s="369"/>
      <c r="M185" s="373"/>
      <c r="N185" s="369"/>
      <c r="O185" s="369"/>
      <c r="P185" s="374"/>
      <c r="Q185" s="372"/>
      <c r="R185" s="372"/>
      <c r="S185" s="372"/>
      <c r="T185" s="372"/>
      <c r="U185" s="372"/>
      <c r="V185" s="372"/>
      <c r="W185" s="372"/>
      <c r="X185" s="372"/>
      <c r="Y185" s="372"/>
      <c r="Z185" s="372"/>
      <c r="AA185" s="372"/>
      <c r="AB185" s="372"/>
      <c r="AC185" s="372"/>
      <c r="AD185" s="372"/>
      <c r="AE185" s="372"/>
      <c r="AF185" s="372"/>
      <c r="AG185" s="372"/>
      <c r="AH185" s="372"/>
      <c r="AI185" s="372"/>
      <c r="AJ185" s="372"/>
      <c r="AK185" s="372"/>
      <c r="AL185" s="372"/>
      <c r="AM185" s="372"/>
    </row>
    <row r="186">
      <c r="A186" s="379" t="s">
        <v>534</v>
      </c>
      <c r="B186" s="379" t="str">
        <f t="array" ref="B186">if(len(A186)&lt;5,"-", iferror(Xlookup($A186,'Input WO'!$E:$E,'Input WO'!$F:$F),Xlookup($A186,'Input task'!$T:$T,'Input task'!$S:$S)
))</f>
        <v>myt_tharhtoo.aung11</v>
      </c>
      <c r="C186" s="398" t="str">
        <f>IFERROR(__xludf.DUMMYFUNCTION("if(len($A186)&lt;5,""-"",iferror(TEXTJOIN("" |=***=| "",TRUE,filter('Input task'!$D:$D&amp;"" : ""&amp;'Input task'!$E:$E&amp;"" : ""&amp;'Input task'!$K:$K&amp;"" + ""&amp;'Input task'!$H:$H,'Input task'!$J:$J="""",'Input task'!$T:$T=$A186)),""No see""))"),"No see")</f>
        <v>No see</v>
      </c>
      <c r="D186" s="379" t="str">
        <f>IFERROR(__xludf.DUMMYFUNCTION("if(len($A186)&lt;5,""-"",iferror(TEXTJOIN("" |=***=| "",TRUE,FILTER(('Input WO'!$A:$A&amp;"" + ""&amp;'Input WO'!$B:$B&amp;"" : ""&amp;'Input WO'!$C:$C&amp;"" + ""&amp;'Input WO'!$F:$F),'Input WO'!$E:$E=$A186)),""No see""))"),"WO_QLCTKT_20260607_123463093 + TNI0314 MYT_Maintenance_Generator_Change_Oil - MYT_Maintenance_Generator_Change_Oil_Filter - MYT_Maintenance_Generator_Change_Fuel_Filter - MYT_Maintenance_Generator_Change_Air_Filter, Clean Radiator and Clean Engine Room - "&amp;"MYT_Checking quality for DG Fuel : -472.95 + myt_tharhtoo.aung11 |=***=| WO_QLCTKT_20260524_123348547 + TNI0314 MYT_Maintenance_Generator_Change_Oil - MYT_Maintenance_Generator_Change_Oil_Filter - MYT_Checking quality for DG Fuel : -808.95 + myt_tharhtoo."&amp;"aung11 |=***=| WO_QLCTKT_20260426_123105079 + TNI0314 MYT_Maintenance_Generator_Change_Oil - MYT_Maintenance_Generator_Change_Oil_Filter - MYT_Maintenance_Generator_Change_Fuel_Filter - MYT_Maintenance_Generator_Change_Air_Filter and Clean_Radiator - MYT_"&amp;"Checking quality for DG Fuel : -1480.95 + myt_tharhtoo.aung11")</f>
        <v>WO_QLCTKT_20260607_123463093 + TNI0314 MYT_Maintenance_Generator_Change_Oil - MYT_Maintenance_Generator_Change_Oil_Filter - MYT_Maintenance_Generator_Change_Fuel_Filter - MYT_Maintenance_Generator_Change_Air_Filter, Clean Radiator and Clean Engine Room - MYT_Checking quality for DG Fuel : -472.95 + myt_tharhtoo.aung11 |=***=| WO_QLCTKT_20260524_123348547 + TNI0314 MYT_Maintenance_Generator_Change_Oil - MYT_Maintenance_Generator_Change_Oil_Filter - MYT_Checking quality for DG Fuel : -808.95 + myt_tharhtoo.aung11 |=***=| WO_QLCTKT_20260426_123105079 + TNI0314 MYT_Maintenance_Generator_Change_Oil - MYT_Maintenance_Generator_Change_Oil_Filter - MYT_Maintenance_Generator_Change_Fuel_Filter - MYT_Maintenance_Generator_Change_Air_Filter and Clean_Radiator - MYT_Checking quality for DG Fuel : -1480.95 + myt_tharhtoo.aung11</v>
      </c>
      <c r="E186" s="379"/>
      <c r="F186" s="372"/>
      <c r="G186" s="372"/>
      <c r="H186" s="372"/>
      <c r="I186" s="372"/>
      <c r="J186" s="372"/>
      <c r="K186" s="369"/>
      <c r="L186" s="369"/>
      <c r="M186" s="373"/>
      <c r="N186" s="369"/>
      <c r="O186" s="369"/>
      <c r="P186" s="374"/>
      <c r="Q186" s="372"/>
      <c r="R186" s="372"/>
      <c r="S186" s="372"/>
      <c r="T186" s="372"/>
      <c r="U186" s="372"/>
      <c r="V186" s="372"/>
      <c r="W186" s="372"/>
      <c r="X186" s="372"/>
      <c r="Y186" s="372"/>
      <c r="Z186" s="372"/>
      <c r="AA186" s="372"/>
      <c r="AB186" s="372"/>
      <c r="AC186" s="372"/>
      <c r="AD186" s="372"/>
      <c r="AE186" s="372"/>
      <c r="AF186" s="372"/>
      <c r="AG186" s="372"/>
      <c r="AH186" s="372"/>
      <c r="AI186" s="372"/>
      <c r="AJ186" s="372"/>
      <c r="AK186" s="372"/>
      <c r="AL186" s="372"/>
      <c r="AM186" s="372"/>
    </row>
    <row r="187">
      <c r="A187" s="379" t="s">
        <v>535</v>
      </c>
      <c r="B187" s="379" t="str">
        <f t="array" ref="B187">if(len(A187)&lt;5,"-", iferror(Xlookup($A187,'Input WO'!$E:$E,'Input WO'!$F:$F),Xlookup($A187,'Input task'!$T:$T,'Input task'!$S:$S)
))</f>
        <v>myt_tharhtoo.aung11</v>
      </c>
      <c r="C187" s="398" t="str">
        <f>IFERROR(__xludf.DUMMYFUNCTION("if(len($A187)&lt;5,""-"",iferror(TEXTJOIN("" |=***=| "",TRUE,filter('Input task'!$D:$D&amp;"" : ""&amp;'Input task'!$E:$E&amp;"" : ""&amp;'Input task'!$K:$K&amp;"" + ""&amp;'Input task'!$H:$H,'Input task'!$J:$J="""",'Input task'!$T:$T=$A187)),""No see""))"),"No see")</f>
        <v>No see</v>
      </c>
      <c r="D187" s="379" t="str">
        <f>IFERROR(__xludf.DUMMYFUNCTION("if(len($A187)&lt;5,""-"",iferror(TEXTJOIN("" |=***=| "",TRUE,FILTER(('Input WO'!$A:$A&amp;"" + ""&amp;'Input WO'!$B:$B&amp;"" : ""&amp;'Input WO'!$C:$C&amp;"" + ""&amp;'Input WO'!$F:$F),'Input WO'!$E:$E=$A187)),""No see""))"),"WO_QLCTKT_20260531_123407571 + TNI0129 MYT_Maintenance_Generator_Change_Oil - MYT_Checking quality for DG Fuel : -640.95 + myt_tharhtoo.aung11 |=***=| WO_QLCTKT_20260516_123282802 + TNI0129 MYT_Maintenance_Generator_Change_Oil - MYT_Maintenance_Generator_"&amp;"Change_Oil_Filter - MYT_Maintenance_Generator_Change_Fuel_Filter - MYT_Maintenance_Generator_Change_Air_Filter, Clean Radiator and Clean Engine Room - MYT_Checking quality for DG Fuel : -1000.95 + myt_tharhtoo.aung11 |=***=| WO_QLCTKT_20260402_122825649 +"&amp;" TNI0129 MYT_Maintenance_Generator_Change_Oil - MYT_Checking quality for DG Fuel : -1995.95 + myt_tharhtoo.aung11")</f>
        <v>WO_QLCTKT_20260531_123407571 + TNI0129 MYT_Maintenance_Generator_Change_Oil - MYT_Checking quality for DG Fuel : -640.95 + myt_tharhtoo.aung11 |=***=| WO_QLCTKT_20260516_123282802 + TNI0129 MYT_Maintenance_Generator_Change_Oil - MYT_Maintenance_Generator_Change_Oil_Filter - MYT_Maintenance_Generator_Change_Fuel_Filter - MYT_Maintenance_Generator_Change_Air_Filter, Clean Radiator and Clean Engine Room - MYT_Checking quality for DG Fuel : -1000.95 + myt_tharhtoo.aung11 |=***=| WO_QLCTKT_20260402_122825649 + TNI0129 MYT_Maintenance_Generator_Change_Oil - MYT_Checking quality for DG Fuel : -1995.95 + myt_tharhtoo.aung11</v>
      </c>
      <c r="E187" s="379"/>
      <c r="F187" s="372"/>
      <c r="G187" s="372"/>
      <c r="H187" s="372"/>
      <c r="I187" s="372"/>
      <c r="J187" s="372"/>
      <c r="K187" s="369"/>
      <c r="L187" s="369"/>
      <c r="M187" s="373"/>
      <c r="N187" s="369"/>
      <c r="O187" s="369"/>
      <c r="P187" s="374"/>
      <c r="Q187" s="372"/>
      <c r="R187" s="372"/>
      <c r="S187" s="372"/>
      <c r="T187" s="372"/>
      <c r="U187" s="372"/>
      <c r="V187" s="372"/>
      <c r="W187" s="372"/>
      <c r="X187" s="372"/>
      <c r="Y187" s="372"/>
      <c r="Z187" s="372"/>
      <c r="AA187" s="372"/>
      <c r="AB187" s="372"/>
      <c r="AC187" s="372"/>
      <c r="AD187" s="372"/>
      <c r="AE187" s="372"/>
      <c r="AF187" s="372"/>
      <c r="AG187" s="372"/>
      <c r="AH187" s="372"/>
      <c r="AI187" s="372"/>
      <c r="AJ187" s="372"/>
      <c r="AK187" s="372"/>
      <c r="AL187" s="372"/>
      <c r="AM187" s="372"/>
    </row>
    <row r="188">
      <c r="A188" s="379" t="s">
        <v>536</v>
      </c>
      <c r="B188" s="379" t="str">
        <f t="array" ref="B188">if(len(A188)&lt;5,"-", iferror(Xlookup($A188,'Input WO'!$E:$E,'Input WO'!$F:$F),Xlookup($A188,'Input task'!$T:$T,'Input task'!$S:$S)
))</f>
        <v>myt_tharhtoo.aung11</v>
      </c>
      <c r="C188" s="398" t="str">
        <f>IFERROR(__xludf.DUMMYFUNCTION("if(len($A188)&lt;5,""-"",iferror(TEXTJOIN("" |=***=| "",TRUE,filter('Input task'!$D:$D&amp;"" : ""&amp;'Input task'!$E:$E&amp;"" : ""&amp;'Input task'!$K:$K&amp;"" + ""&amp;'Input task'!$H:$H,'Input task'!$J:$J="""",'Input task'!$T:$T=$A188)),""No see""))"),"No see")</f>
        <v>No see</v>
      </c>
      <c r="D188" s="379" t="str">
        <f>IFERROR(__xludf.DUMMYFUNCTION("if(len($A188)&lt;5,""-"",iferror(TEXTJOIN("" |=***=| "",TRUE,FILTER(('Input WO'!$A:$A&amp;"" + ""&amp;'Input WO'!$B:$B&amp;"" : ""&amp;'Input WO'!$C:$C&amp;"" + ""&amp;'Input WO'!$F:$F),'Input WO'!$E:$E=$A188)),""No see""))"),"WO_QLCTKT_20260516_123282507 + TNI0351 MYT_Maintenance_Generator_Change_Oil - MYT_Maintenance_Generator_Change_Oil_Filter - MYT_Maintenance_Generator_Change_Fuel_Filter - MYT_Checking quality for DG Fuel : -1000.95 + myt_tharhtoo.aung11 |=***=| WO_QLCTKT_"&amp;"20260422_123061452 + TNI0351 MYT_Maintenance_Generator_Change_Oil - MYT_Maintenance_Generator_Change_Oil_Filter - MYT_Maintenance_Generator_Change_Fuel_Filter - MYT_Maintenance_Generator_Coolant_Water - MYT_Maintenance_Generator_Change_Air_Filter and Clea"&amp;"n_Radiator - MYT_Checking quality for DG Fuel : -1576.95 + myt_tharhtoo.aung11")</f>
        <v>WO_QLCTKT_20260516_123282507 + TNI0351 MYT_Maintenance_Generator_Change_Oil - MYT_Maintenance_Generator_Change_Oil_Filter - MYT_Maintenance_Generator_Change_Fuel_Filter - MYT_Checking quality for DG Fuel : -1000.95 + myt_tharhtoo.aung11 |=***=| WO_QLCTKT_20260422_123061452 + TNI0351 MYT_Maintenance_Generator_Change_Oil - MYT_Maintenance_Generator_Change_Oil_Filter - MYT_Maintenance_Generator_Change_Fuel_Filter - MYT_Maintenance_Generator_Coolant_Water - MYT_Maintenance_Generator_Change_Air_Filter and Clean_Radiator - MYT_Checking quality for DG Fuel : -1576.95 + myt_tharhtoo.aung11</v>
      </c>
      <c r="E188" s="379"/>
      <c r="F188" s="372"/>
      <c r="G188" s="372"/>
      <c r="H188" s="372"/>
      <c r="I188" s="372"/>
      <c r="J188" s="372"/>
      <c r="K188" s="369"/>
      <c r="L188" s="369"/>
      <c r="M188" s="373"/>
      <c r="N188" s="369"/>
      <c r="O188" s="369"/>
      <c r="P188" s="374"/>
      <c r="Q188" s="372"/>
      <c r="R188" s="372"/>
      <c r="S188" s="372"/>
      <c r="T188" s="372"/>
      <c r="U188" s="372"/>
      <c r="V188" s="372"/>
      <c r="W188" s="372"/>
      <c r="X188" s="372"/>
      <c r="Y188" s="372"/>
      <c r="Z188" s="372"/>
      <c r="AA188" s="372"/>
      <c r="AB188" s="372"/>
      <c r="AC188" s="372"/>
      <c r="AD188" s="372"/>
      <c r="AE188" s="372"/>
      <c r="AF188" s="372"/>
      <c r="AG188" s="372"/>
      <c r="AH188" s="372"/>
      <c r="AI188" s="372"/>
      <c r="AJ188" s="372"/>
      <c r="AK188" s="372"/>
      <c r="AL188" s="372"/>
      <c r="AM188" s="372"/>
    </row>
    <row r="189">
      <c r="A189" s="379" t="s">
        <v>537</v>
      </c>
      <c r="B189" s="379" t="str">
        <f t="array" ref="B189">if(len(A189)&lt;5,"-", iferror(Xlookup($A189,'Input WO'!$E:$E,'Input WO'!$F:$F),Xlookup($A189,'Input task'!$T:$T,'Input task'!$S:$S)
))</f>
        <v>myt_tharhtoo.aung11</v>
      </c>
      <c r="C189" s="398" t="str">
        <f>IFERROR(__xludf.DUMMYFUNCTION("if(len($A189)&lt;5,""-"",iferror(TEXTJOIN("" |=***=| "",TRUE,filter('Input task'!$D:$D&amp;"" : ""&amp;'Input task'!$E:$E&amp;"" : ""&amp;'Input task'!$K:$K&amp;"" + ""&amp;'Input task'!$H:$H,'Input task'!$J:$J="""",'Input task'!$T:$T=$A189)),""No see""))"),"No see")</f>
        <v>No see</v>
      </c>
      <c r="D189" s="379" t="str">
        <f>IFERROR(__xludf.DUMMYFUNCTION("if(len($A189)&lt;5,""-"",iferror(TEXTJOIN("" |=***=| "",TRUE,FILTER(('Input WO'!$A:$A&amp;"" + ""&amp;'Input WO'!$B:$B&amp;"" : ""&amp;'Input WO'!$C:$C&amp;"" + ""&amp;'Input WO'!$F:$F),'Input WO'!$E:$E=$A189)),""No see""))"),"WO_QLCTKT_20260509_123225930 + TNI0351 MYT_Routine_Maintenance_Towerco_Station_VCM : -256.95 + myt_tharhtoo.aung11")</f>
        <v>WO_QLCTKT_20260509_123225930 + TNI0351 MYT_Routine_Maintenance_Towerco_Station_VCM : -256.95 + myt_tharhtoo.aung11</v>
      </c>
      <c r="E189" s="379"/>
      <c r="F189" s="372"/>
      <c r="G189" s="372"/>
      <c r="H189" s="372"/>
      <c r="I189" s="372"/>
      <c r="J189" s="372"/>
      <c r="K189" s="369"/>
      <c r="L189" s="369"/>
      <c r="M189" s="373"/>
      <c r="N189" s="369"/>
      <c r="O189" s="369"/>
      <c r="P189" s="374"/>
      <c r="Q189" s="372"/>
      <c r="R189" s="372"/>
      <c r="S189" s="372"/>
      <c r="T189" s="372"/>
      <c r="U189" s="372"/>
      <c r="V189" s="372"/>
      <c r="W189" s="372"/>
      <c r="X189" s="372"/>
      <c r="Y189" s="372"/>
      <c r="Z189" s="372"/>
      <c r="AA189" s="372"/>
      <c r="AB189" s="372"/>
      <c r="AC189" s="372"/>
      <c r="AD189" s="372"/>
      <c r="AE189" s="372"/>
      <c r="AF189" s="372"/>
      <c r="AG189" s="372"/>
      <c r="AH189" s="372"/>
      <c r="AI189" s="372"/>
      <c r="AJ189" s="372"/>
      <c r="AK189" s="372"/>
      <c r="AL189" s="372"/>
      <c r="AM189" s="372"/>
    </row>
    <row r="190">
      <c r="A190" s="379" t="s">
        <v>538</v>
      </c>
      <c r="B190" s="379" t="str">
        <f t="array" ref="B190">if(len(A190)&lt;5,"-", iferror(Xlookup($A190,'Input WO'!$E:$E,'Input WO'!$F:$F),Xlookup($A190,'Input task'!$T:$T,'Input task'!$S:$S)
))</f>
        <v>myt_tharhtoo.aung11</v>
      </c>
      <c r="C190" s="398" t="str">
        <f>IFERROR(__xludf.DUMMYFUNCTION("if(len($A190)&lt;5,""-"",iferror(TEXTJOIN("" |=***=| "",TRUE,filter('Input task'!$D:$D&amp;"" : ""&amp;'Input task'!$E:$E&amp;"" : ""&amp;'Input task'!$K:$K&amp;"" + ""&amp;'Input task'!$H:$H,'Input task'!$J:$J="""",'Input task'!$T:$T=$A190)),""No see""))"),"No see")</f>
        <v>No see</v>
      </c>
      <c r="D190" s="379" t="str">
        <f>IFERROR(__xludf.DUMMYFUNCTION("if(len($A190)&lt;5,""-"",iferror(TEXTJOIN("" |=***=| "",TRUE,FILTER(('Input WO'!$A:$A&amp;"" + ""&amp;'Input WO'!$B:$B&amp;"" : ""&amp;'Input WO'!$C:$C&amp;"" + ""&amp;'Input WO'!$F:$F),'Input WO'!$E:$E=$A190)),""No see""))"),"WO_QLCTKT_20260421_123047251 + TNI0043 MYT_Maintenacne_Solar : -1048.95 + myt_tharhtoo.aung11")</f>
        <v>WO_QLCTKT_20260421_123047251 + TNI0043 MYT_Maintenacne_Solar : -1048.95 + myt_tharhtoo.aung11</v>
      </c>
      <c r="E190" s="379"/>
      <c r="F190" s="372"/>
      <c r="G190" s="372"/>
      <c r="H190" s="372"/>
      <c r="I190" s="372"/>
      <c r="J190" s="372"/>
      <c r="K190" s="369"/>
      <c r="L190" s="369"/>
      <c r="M190" s="373"/>
      <c r="N190" s="369"/>
      <c r="O190" s="369"/>
      <c r="P190" s="374"/>
      <c r="Q190" s="372"/>
      <c r="R190" s="372"/>
      <c r="S190" s="372"/>
      <c r="T190" s="372"/>
      <c r="U190" s="372"/>
      <c r="V190" s="372"/>
      <c r="W190" s="372"/>
      <c r="X190" s="372"/>
      <c r="Y190" s="372"/>
      <c r="Z190" s="372"/>
      <c r="AA190" s="372"/>
      <c r="AB190" s="372"/>
      <c r="AC190" s="372"/>
      <c r="AD190" s="372"/>
      <c r="AE190" s="372"/>
      <c r="AF190" s="372"/>
      <c r="AG190" s="372"/>
      <c r="AH190" s="372"/>
      <c r="AI190" s="372"/>
      <c r="AJ190" s="372"/>
      <c r="AK190" s="372"/>
      <c r="AL190" s="372"/>
      <c r="AM190" s="372"/>
    </row>
    <row r="191">
      <c r="A191" s="379" t="s">
        <v>539</v>
      </c>
      <c r="B191" s="379" t="str">
        <f t="array" ref="B191">if(len(A191)&lt;5,"-", iferror(Xlookup($A191,'Input WO'!$E:$E,'Input WO'!$F:$F),Xlookup($A191,'Input task'!$T:$T,'Input task'!$S:$S)
))</f>
        <v>myt_tharhtoo.aung11</v>
      </c>
      <c r="C191" s="398" t="str">
        <f>IFERROR(__xludf.DUMMYFUNCTION("if(len($A191)&lt;5,""-"",iferror(TEXTJOIN("" |=***=| "",TRUE,filter('Input task'!$D:$D&amp;"" : ""&amp;'Input task'!$E:$E&amp;"" : ""&amp;'Input task'!$K:$K&amp;"" + ""&amp;'Input task'!$H:$H,'Input task'!$J:$J="""",'Input task'!$T:$T=$A191)),""No see""))"),"No see")</f>
        <v>No see</v>
      </c>
      <c r="D191" s="379" t="str">
        <f>IFERROR(__xludf.DUMMYFUNCTION("if(len($A191)&lt;5,""-"",iferror(TEXTJOIN("" |=***=| "",TRUE,FILTER(('Input WO'!$A:$A&amp;"" + ""&amp;'Input WO'!$B:$B&amp;"" : ""&amp;'Input WO'!$C:$C&amp;"" + ""&amp;'Input WO'!$F:$F),'Input WO'!$E:$E=$A191)),""No see""))"),"WO_QLCTKT_20260411_122972128 + TNI0284 MYT_Maintenance_Generator_Change_Oil - MYT_Checking quality for DG Fuel : -1840.95 + myt_tharhtoo.aung11")</f>
        <v>WO_QLCTKT_20260411_122972128 + TNI0284 MYT_Maintenance_Generator_Change_Oil - MYT_Checking quality for DG Fuel : -1840.95 + myt_tharhtoo.aung11</v>
      </c>
      <c r="E191" s="379"/>
      <c r="F191" s="372"/>
      <c r="G191" s="372"/>
      <c r="H191" s="372"/>
      <c r="I191" s="372"/>
      <c r="J191" s="372"/>
      <c r="K191" s="369"/>
      <c r="L191" s="369"/>
      <c r="M191" s="373"/>
      <c r="N191" s="369"/>
      <c r="O191" s="369"/>
      <c r="P191" s="374"/>
      <c r="Q191" s="372"/>
      <c r="R191" s="372"/>
      <c r="S191" s="372"/>
      <c r="T191" s="372"/>
      <c r="U191" s="372"/>
      <c r="V191" s="372"/>
      <c r="W191" s="372"/>
      <c r="X191" s="372"/>
      <c r="Y191" s="372"/>
      <c r="Z191" s="372"/>
      <c r="AA191" s="372"/>
      <c r="AB191" s="372"/>
      <c r="AC191" s="372"/>
      <c r="AD191" s="372"/>
      <c r="AE191" s="372"/>
      <c r="AF191" s="372"/>
      <c r="AG191" s="372"/>
      <c r="AH191" s="372"/>
      <c r="AI191" s="372"/>
      <c r="AJ191" s="372"/>
      <c r="AK191" s="372"/>
      <c r="AL191" s="372"/>
      <c r="AM191" s="372"/>
    </row>
    <row r="192">
      <c r="A192" s="379" t="s">
        <v>540</v>
      </c>
      <c r="B192" s="379" t="str">
        <f t="array" ref="B192">if(len(A192)&lt;5,"-", iferror(Xlookup($A192,'Input WO'!$E:$E,'Input WO'!$F:$F),Xlookup($A192,'Input task'!$T:$T,'Input task'!$S:$S)
))</f>
        <v>myt_tharhtoo.aung11</v>
      </c>
      <c r="C192" s="398" t="str">
        <f>IFERROR(__xludf.DUMMYFUNCTION("if(len($A192)&lt;5,""-"",iferror(TEXTJOIN("" |=***=| "",TRUE,filter('Input task'!$D:$D&amp;"" : ""&amp;'Input task'!$E:$E&amp;"" : ""&amp;'Input task'!$K:$K&amp;"" + ""&amp;'Input task'!$H:$H,'Input task'!$J:$J="""",'Input task'!$T:$T=$A192)),""No see""))"),"No see")</f>
        <v>No see</v>
      </c>
      <c r="D192" s="379" t="str">
        <f>IFERROR(__xludf.DUMMYFUNCTION("if(len($A192)&lt;5,""-"",iferror(TEXTJOIN("" |=***=| "",TRUE,FILTER(('Input WO'!$A:$A&amp;"" + ""&amp;'Input WO'!$B:$B&amp;"" : ""&amp;'Input WO'!$C:$C&amp;"" + ""&amp;'Input WO'!$F:$F),'Input WO'!$E:$E=$A192)),""No see""))"),"WO_QLCTKT_20260408_122933226 + TNI0283 MYT_Routine_Maintenance_Towerco_Station_VCM : -1000.95 + myt_tharhtoo.aung11")</f>
        <v>WO_QLCTKT_20260408_122933226 + TNI0283 MYT_Routine_Maintenance_Towerco_Station_VCM : -1000.95 + myt_tharhtoo.aung11</v>
      </c>
      <c r="E192" s="379"/>
      <c r="F192" s="372"/>
      <c r="G192" s="372"/>
      <c r="H192" s="372"/>
      <c r="I192" s="372"/>
      <c r="J192" s="372"/>
      <c r="K192" s="369"/>
      <c r="L192" s="369"/>
      <c r="M192" s="373"/>
      <c r="N192" s="369"/>
      <c r="O192" s="369"/>
      <c r="P192" s="374"/>
      <c r="Q192" s="372"/>
      <c r="R192" s="372"/>
      <c r="S192" s="372"/>
      <c r="T192" s="372"/>
      <c r="U192" s="372"/>
      <c r="V192" s="372"/>
      <c r="W192" s="372"/>
      <c r="X192" s="372"/>
      <c r="Y192" s="372"/>
      <c r="Z192" s="372"/>
      <c r="AA192" s="372"/>
      <c r="AB192" s="372"/>
      <c r="AC192" s="372"/>
      <c r="AD192" s="372"/>
      <c r="AE192" s="372"/>
      <c r="AF192" s="372"/>
      <c r="AG192" s="372"/>
      <c r="AH192" s="372"/>
      <c r="AI192" s="372"/>
      <c r="AJ192" s="372"/>
      <c r="AK192" s="372"/>
      <c r="AL192" s="372"/>
      <c r="AM192" s="372"/>
    </row>
    <row r="193">
      <c r="A193" s="379" t="s">
        <v>541</v>
      </c>
      <c r="B193" s="379" t="str">
        <f t="array" ref="B193">if(len(A193)&lt;5,"-", iferror(Xlookup($A193,'Input WO'!$E:$E,'Input WO'!$F:$F),Xlookup($A193,'Input task'!$T:$T,'Input task'!$S:$S)
))</f>
        <v>myt_tharhtoo.aung11</v>
      </c>
      <c r="C193" s="398" t="str">
        <f>IFERROR(__xludf.DUMMYFUNCTION("if(len($A193)&lt;5,""-"",iferror(TEXTJOIN("" |=***=| "",TRUE,filter('Input task'!$D:$D&amp;"" : ""&amp;'Input task'!$E:$E&amp;"" : ""&amp;'Input task'!$K:$K&amp;"" + ""&amp;'Input task'!$H:$H,'Input task'!$J:$J="""",'Input task'!$T:$T=$A193)),""No see""))"),"No see")</f>
        <v>No see</v>
      </c>
      <c r="D193" s="379" t="str">
        <f>IFERROR(__xludf.DUMMYFUNCTION("if(len($A193)&lt;5,""-"",iferror(TEXTJOIN("" |=***=| "",TRUE,FILTER(('Input WO'!$A:$A&amp;"" + ""&amp;'Input WO'!$B:$B&amp;"" : ""&amp;'Input WO'!$C:$C&amp;"" + ""&amp;'Input WO'!$F:$F),'Input WO'!$E:$E=$A193)),""No see""))"),"WO_QLCTKT_20260408_122932520 + TNI0498 MYT_Routine_Maintenance_Towerco_Station_VCM : -1000.95 + myt_tharhtoo.aung11")</f>
        <v>WO_QLCTKT_20260408_122932520 + TNI0498 MYT_Routine_Maintenance_Towerco_Station_VCM : -1000.95 + myt_tharhtoo.aung11</v>
      </c>
      <c r="E193" s="379"/>
      <c r="F193" s="372"/>
      <c r="G193" s="372"/>
      <c r="H193" s="372"/>
      <c r="I193" s="372"/>
      <c r="J193" s="372"/>
      <c r="K193" s="369"/>
      <c r="L193" s="369"/>
      <c r="M193" s="373"/>
      <c r="N193" s="369"/>
      <c r="O193" s="369"/>
      <c r="P193" s="374"/>
      <c r="Q193" s="372"/>
      <c r="R193" s="372"/>
      <c r="S193" s="372"/>
      <c r="T193" s="372"/>
      <c r="U193" s="372"/>
      <c r="V193" s="372"/>
      <c r="W193" s="372"/>
      <c r="X193" s="372"/>
      <c r="Y193" s="372"/>
      <c r="Z193" s="372"/>
      <c r="AA193" s="372"/>
      <c r="AB193" s="372"/>
      <c r="AC193" s="372"/>
      <c r="AD193" s="372"/>
      <c r="AE193" s="372"/>
      <c r="AF193" s="372"/>
      <c r="AG193" s="372"/>
      <c r="AH193" s="372"/>
      <c r="AI193" s="372"/>
      <c r="AJ193" s="372"/>
      <c r="AK193" s="372"/>
      <c r="AL193" s="372"/>
      <c r="AM193" s="372"/>
    </row>
    <row r="194">
      <c r="A194" s="379" t="s">
        <v>542</v>
      </c>
      <c r="B194" s="379" t="str">
        <f t="array" ref="B194">if(len(A194)&lt;5,"-", iferror(Xlookup($A194,'Input WO'!$E:$E,'Input WO'!$F:$F),Xlookup($A194,'Input task'!$T:$T,'Input task'!$S:$S)
))</f>
        <v>myt_tinmaung.win</v>
      </c>
      <c r="C194" s="398" t="str">
        <f>IFERROR(__xludf.DUMMYFUNCTION("if(len($A194)&lt;5,""-"",iferror(TEXTJOIN("" |=***=| "",TRUE,filter('Input task'!$D:$D&amp;"" : ""&amp;'Input task'!$E:$E&amp;"" : ""&amp;'Input task'!$K:$K&amp;"" + ""&amp;'Input task'!$H:$H,'Input task'!$J:$J="""",'Input task'!$T:$T=$A194)),""No see""))"),"No see")</f>
        <v>No see</v>
      </c>
      <c r="D194" s="379" t="str">
        <f>IFERROR(__xludf.DUMMYFUNCTION("if(len($A194)&lt;5,""-"",iferror(TEXTJOIN("" |=***=| "",TRUE,FILTER(('Input WO'!$A:$A&amp;"" + ""&amp;'Input WO'!$B:$B&amp;"" : ""&amp;'Input WO'!$C:$C&amp;"" + ""&amp;'Input WO'!$F:$F),'Input WO'!$E:$E=$A194)),""No see""))"),"WO_ICMS_20260701_123690041 + TNI0015 MYT_Checking quality for DG Fuel MYT_ME_DG_CHECK_FUEL; MYT_Maintenance_Generator_Change_Fuel_Filter MYT_ME_DG_CHG_FUEL_FIL; MYT_Maintenance_Generator_Change_Oil MYT_ME_DG_CHG_OIL; MYT_Maintenance_Generator_Change_Oil_F"&amp;"ilter MYT_ME_DG_CHG_OIL_FIL : 234.08 + myt_tinmaung.win")</f>
        <v>WO_ICMS_20260701_123690041 + TNI0015 MYT_Checking quality for DG Fuel MYT_ME_DG_CHECK_FUEL; MYT_Maintenance_Generator_Change_Fuel_Filter MYT_ME_DG_CHG_FUEL_FIL; MYT_Maintenance_Generator_Change_Oil MYT_ME_DG_CHG_OIL; MYT_Maintenance_Generator_Change_Oil_Filter MYT_ME_DG_CHG_OIL_FIL : 234.08 + myt_tinmaung.win</v>
      </c>
      <c r="E194" s="379"/>
      <c r="F194" s="372"/>
      <c r="G194" s="372"/>
      <c r="H194" s="372"/>
      <c r="I194" s="372"/>
      <c r="J194" s="372"/>
      <c r="K194" s="369"/>
      <c r="L194" s="369"/>
      <c r="M194" s="373"/>
      <c r="N194" s="369"/>
      <c r="O194" s="369"/>
      <c r="P194" s="374"/>
      <c r="Q194" s="372"/>
      <c r="R194" s="372"/>
      <c r="S194" s="372"/>
      <c r="T194" s="372"/>
      <c r="U194" s="372"/>
      <c r="V194" s="372"/>
      <c r="W194" s="372"/>
      <c r="X194" s="372"/>
      <c r="Y194" s="372"/>
      <c r="Z194" s="372"/>
      <c r="AA194" s="372"/>
      <c r="AB194" s="372"/>
      <c r="AC194" s="372"/>
      <c r="AD194" s="372"/>
      <c r="AE194" s="372"/>
      <c r="AF194" s="372"/>
      <c r="AG194" s="372"/>
      <c r="AH194" s="372"/>
      <c r="AI194" s="372"/>
      <c r="AJ194" s="372"/>
      <c r="AK194" s="372"/>
      <c r="AL194" s="372"/>
      <c r="AM194" s="372"/>
    </row>
    <row r="195">
      <c r="A195" s="379" t="s">
        <v>543</v>
      </c>
      <c r="B195" s="379" t="str">
        <f t="array" ref="B195">if(len(A195)&lt;5,"-", iferror(Xlookup($A195,'Input WO'!$E:$E,'Input WO'!$F:$F),Xlookup($A195,'Input task'!$T:$T,'Input task'!$S:$S)
))</f>
        <v>myt_tinmaung.win</v>
      </c>
      <c r="C195" s="398" t="str">
        <f>IFERROR(__xludf.DUMMYFUNCTION("if(len($A195)&lt;5,""-"",iferror(TEXTJOIN("" |=***=| "",TRUE,filter('Input task'!$D:$D&amp;"" : ""&amp;'Input task'!$E:$E&amp;"" : ""&amp;'Input task'!$K:$K&amp;"" + ""&amp;'Input task'!$H:$H,'Input task'!$J:$J="""",'Input task'!$T:$T=$A195)),""No see""))"),"100 point plan : TNI0243 100 point plan need to clean site overview inside and outeside and make to neatly patchord cable. :  + VCM818134-Tin Maung Win, VCM859716-Khant Chaw Nyo")</f>
        <v>100 point plan : TNI0243 100 point plan need to clean site overview inside and outeside and make to neatly patchord cable. :  + VCM818134-Tin Maung Win, VCM859716-Khant Chaw Nyo</v>
      </c>
      <c r="D195" s="379" t="str">
        <f>IFERROR(__xludf.DUMMYFUNCTION("if(len($A195)&lt;5,""-"",iferror(TEXTJOIN("" |=***=| "",TRUE,FILTER(('Input WO'!$A:$A&amp;"" + ""&amp;'Input WO'!$B:$B&amp;"" : ""&amp;'Input WO'!$C:$C&amp;"" + ""&amp;'Input WO'!$F:$F),'Input WO'!$E:$E=$A195)),""No see""))"),"WO_ICMS_20260625_123632808 + Patrolling cable routes TNI0243-TNI0254_00, TNI0243 + null – TNI0254 + null : 545.66 + myt_tinmaung.win |=***=| WO_ICMS_20260625_123632711 + Patrolling cable routes TNI0243-TNI0249_00, TNI0243 + null – TNI0249 + null : 545.66 "&amp;"+ myt_tinmaung.win")</f>
        <v>WO_ICMS_20260625_123632808 + Patrolling cable routes TNI0243-TNI0254_00, TNI0243 + null – TNI0254 + null : 545.66 + myt_tinmaung.win |=***=| WO_ICMS_20260625_123632711 + Patrolling cable routes TNI0243-TNI0249_00, TNI0243 + null – TNI0249 + null : 545.66 + myt_tinmaung.win</v>
      </c>
      <c r="E195" s="379"/>
      <c r="F195" s="372"/>
      <c r="G195" s="372"/>
      <c r="H195" s="372"/>
      <c r="I195" s="372"/>
      <c r="J195" s="372"/>
      <c r="K195" s="369"/>
      <c r="L195" s="369"/>
      <c r="M195" s="373"/>
      <c r="N195" s="369"/>
      <c r="O195" s="369"/>
      <c r="P195" s="374"/>
      <c r="Q195" s="372"/>
      <c r="R195" s="372"/>
      <c r="S195" s="372"/>
      <c r="T195" s="372"/>
      <c r="U195" s="372"/>
      <c r="V195" s="372"/>
      <c r="W195" s="372"/>
      <c r="X195" s="372"/>
      <c r="Y195" s="372"/>
      <c r="Z195" s="372"/>
      <c r="AA195" s="372"/>
      <c r="AB195" s="372"/>
      <c r="AC195" s="372"/>
      <c r="AD195" s="372"/>
      <c r="AE195" s="372"/>
      <c r="AF195" s="372"/>
      <c r="AG195" s="372"/>
      <c r="AH195" s="372"/>
      <c r="AI195" s="372"/>
      <c r="AJ195" s="372"/>
      <c r="AK195" s="372"/>
      <c r="AL195" s="372"/>
      <c r="AM195" s="372"/>
    </row>
    <row r="196">
      <c r="A196" s="379" t="s">
        <v>544</v>
      </c>
      <c r="B196" s="379" t="str">
        <f t="array" ref="B196">if(len(A196)&lt;5,"-", iferror(Xlookup($A196,'Input WO'!$E:$E,'Input WO'!$F:$F),Xlookup($A196,'Input task'!$T:$T,'Input task'!$S:$S)
))</f>
        <v>myt_tinmaung.win</v>
      </c>
      <c r="C196" s="398" t="str">
        <f>IFERROR(__xludf.DUMMYFUNCTION("if(len($A196)&lt;5,""-"",iferror(TEXTJOIN("" |=***=| "",TRUE,filter('Input task'!$D:$D&amp;"" : ""&amp;'Input task'!$E:$E&amp;"" : ""&amp;'Input task'!$K:$K&amp;"" + ""&amp;'Input task'!$H:$H,'Input task'!$J:$J="""",'Input task'!$T:$T=$A196)),""No see""))"),"No see")</f>
        <v>No see</v>
      </c>
      <c r="D196" s="379" t="str">
        <f>IFERROR(__xludf.DUMMYFUNCTION("if(len($A196)&lt;5,""-"",iferror(TEXTJOIN("" |=***=| "",TRUE,FILTER(('Input WO'!$A:$A&amp;"" + ""&amp;'Input WO'!$B:$B&amp;"" : ""&amp;'Input WO'!$C:$C&amp;"" + ""&amp;'Input WO'!$F:$F),'Input WO'!$E:$E=$A196)),""No see""))"),"WO_ICMS_20260625_123632715 + Patrolling cable routes TNI0016-TNI0235_00, TNI0016 + null – TNI0235 + null : 545.66 + myt_tinmaung.win")</f>
        <v>WO_ICMS_20260625_123632715 + Patrolling cable routes TNI0016-TNI0235_00, TNI0016 + null – TNI0235 + null : 545.66 + myt_tinmaung.win</v>
      </c>
      <c r="E196" s="379"/>
      <c r="F196" s="372"/>
      <c r="G196" s="372"/>
      <c r="H196" s="372"/>
      <c r="I196" s="372"/>
      <c r="J196" s="372"/>
      <c r="K196" s="369"/>
      <c r="L196" s="369"/>
      <c r="M196" s="373"/>
      <c r="N196" s="369"/>
      <c r="O196" s="369"/>
      <c r="P196" s="374"/>
      <c r="Q196" s="372"/>
      <c r="R196" s="372"/>
      <c r="S196" s="372"/>
      <c r="T196" s="372"/>
      <c r="U196" s="372"/>
      <c r="V196" s="372"/>
      <c r="W196" s="372"/>
      <c r="X196" s="372"/>
      <c r="Y196" s="372"/>
      <c r="Z196" s="372"/>
      <c r="AA196" s="372"/>
      <c r="AB196" s="372"/>
      <c r="AC196" s="372"/>
      <c r="AD196" s="372"/>
      <c r="AE196" s="372"/>
      <c r="AF196" s="372"/>
      <c r="AG196" s="372"/>
      <c r="AH196" s="372"/>
      <c r="AI196" s="372"/>
      <c r="AJ196" s="372"/>
      <c r="AK196" s="372"/>
      <c r="AL196" s="372"/>
      <c r="AM196" s="372"/>
    </row>
    <row r="197">
      <c r="A197" s="379" t="s">
        <v>545</v>
      </c>
      <c r="B197" s="379" t="str">
        <f t="array" ref="B197">if(len(A197)&lt;5,"-", iferror(Xlookup($A197,'Input WO'!$E:$E,'Input WO'!$F:$F),Xlookup($A197,'Input task'!$T:$T,'Input task'!$S:$S)
))</f>
        <v>myt_tinmaung.win</v>
      </c>
      <c r="C197" s="398" t="str">
        <f>IFERROR(__xludf.DUMMYFUNCTION("if(len($A197)&lt;5,""-"",iferror(TEXTJOIN("" |=***=| "",TRUE,filter('Input task'!$D:$D&amp;"" : ""&amp;'Input task'!$E:$E&amp;"" : ""&amp;'Input task'!$K:$K&amp;"" + ""&amp;'Input task'!$H:$H,'Input task'!$J:$J="""",'Input task'!$T:$T=$A197)),""No see""))"),"No see")</f>
        <v>No see</v>
      </c>
      <c r="D197" s="379" t="str">
        <f>IFERROR(__xludf.DUMMYFUNCTION("if(len($A197)&lt;5,""-"",iferror(TEXTJOIN("" |=***=| "",TRUE,FILTER(('Input WO'!$A:$A&amp;"" + ""&amp;'Input WO'!$B:$B&amp;"" : ""&amp;'Input WO'!$C:$C&amp;"" + ""&amp;'Input WO'!$F:$F),'Input WO'!$E:$E=$A197)),""No see""))"),"WO_ICMS_20260625_123632809 + Patrolling cable routes TNI0080-TNI0249_00, TNI0080 + null – TNI0249 + null : 545.66 + myt_tinmaung.win")</f>
        <v>WO_ICMS_20260625_123632809 + Patrolling cable routes TNI0080-TNI0249_00, TNI0080 + null – TNI0249 + null : 545.66 + myt_tinmaung.win</v>
      </c>
      <c r="E197" s="379"/>
      <c r="F197" s="372"/>
      <c r="G197" s="372"/>
      <c r="H197" s="372"/>
      <c r="I197" s="372"/>
      <c r="J197" s="372"/>
      <c r="K197" s="369"/>
      <c r="L197" s="369"/>
      <c r="M197" s="373"/>
      <c r="N197" s="369"/>
      <c r="O197" s="369"/>
      <c r="P197" s="374"/>
      <c r="Q197" s="372"/>
      <c r="R197" s="372"/>
      <c r="S197" s="372"/>
      <c r="T197" s="372"/>
      <c r="U197" s="372"/>
      <c r="V197" s="372"/>
      <c r="W197" s="372"/>
      <c r="X197" s="372"/>
      <c r="Y197" s="372"/>
      <c r="Z197" s="372"/>
      <c r="AA197" s="372"/>
      <c r="AB197" s="372"/>
      <c r="AC197" s="372"/>
      <c r="AD197" s="372"/>
      <c r="AE197" s="372"/>
      <c r="AF197" s="372"/>
      <c r="AG197" s="372"/>
      <c r="AH197" s="372"/>
      <c r="AI197" s="372"/>
      <c r="AJ197" s="372"/>
      <c r="AK197" s="372"/>
      <c r="AL197" s="372"/>
      <c r="AM197" s="372"/>
    </row>
    <row r="198">
      <c r="A198" s="379" t="s">
        <v>546</v>
      </c>
      <c r="B198" s="379" t="str">
        <f t="array" ref="B198">if(len(A198)&lt;5,"-", iferror(Xlookup($A198,'Input WO'!$E:$E,'Input WO'!$F:$F),Xlookup($A198,'Input task'!$T:$T,'Input task'!$S:$S)
))</f>
        <v>myt_tinmaung.win</v>
      </c>
      <c r="C198" s="398" t="str">
        <f>IFERROR(__xludf.DUMMYFUNCTION("if(len($A198)&lt;5,""-"",iferror(TEXTJOIN("" |=***=| "",TRUE,filter('Input task'!$D:$D&amp;"" : ""&amp;'Input task'!$E:$E&amp;"" : ""&amp;'Input task'!$K:$K&amp;"" + ""&amp;'Input task'!$H:$H,'Input task'!$J:$J="""",'Input task'!$T:$T=$A198)),""No see""))"),"No see")</f>
        <v>No see</v>
      </c>
      <c r="D198" s="379" t="str">
        <f>IFERROR(__xludf.DUMMYFUNCTION("if(len($A198)&lt;5,""-"",iferror(TEXTJOIN("" |=***=| "",TRUE,FILTER(('Input WO'!$A:$A&amp;"" + ""&amp;'Input WO'!$B:$B&amp;"" : ""&amp;'Input WO'!$C:$C&amp;"" + ""&amp;'Input WO'!$F:$F),'Input WO'!$E:$E=$A198)),""No see""))"),"WO_ICMS_20260625_123632710 + Patrolling cable routes TNI0229-TNI0244_00, TNI0229 + null – TNI0244 + null : 545.66 + myt_tinmaung.win")</f>
        <v>WO_ICMS_20260625_123632710 + Patrolling cable routes TNI0229-TNI0244_00, TNI0229 + null – TNI0244 + null : 545.66 + myt_tinmaung.win</v>
      </c>
      <c r="E198" s="379"/>
      <c r="F198" s="372"/>
      <c r="G198" s="372"/>
      <c r="H198" s="372"/>
      <c r="I198" s="372"/>
      <c r="J198" s="372"/>
      <c r="K198" s="369"/>
      <c r="L198" s="369"/>
      <c r="M198" s="373"/>
      <c r="N198" s="369"/>
      <c r="O198" s="369"/>
      <c r="P198" s="374"/>
      <c r="Q198" s="372"/>
      <c r="R198" s="372"/>
      <c r="S198" s="372"/>
      <c r="T198" s="372"/>
      <c r="U198" s="372"/>
      <c r="V198" s="372"/>
      <c r="W198" s="372"/>
      <c r="X198" s="372"/>
      <c r="Y198" s="372"/>
      <c r="Z198" s="372"/>
      <c r="AA198" s="372"/>
      <c r="AB198" s="372"/>
      <c r="AC198" s="372"/>
      <c r="AD198" s="372"/>
      <c r="AE198" s="372"/>
      <c r="AF198" s="372"/>
      <c r="AG198" s="372"/>
      <c r="AH198" s="372"/>
      <c r="AI198" s="372"/>
      <c r="AJ198" s="372"/>
      <c r="AK198" s="372"/>
      <c r="AL198" s="372"/>
      <c r="AM198" s="372"/>
    </row>
    <row r="199">
      <c r="A199" s="379" t="s">
        <v>547</v>
      </c>
      <c r="B199" s="379" t="str">
        <f t="array" ref="B199">if(len(A199)&lt;5,"-", iferror(Xlookup($A199,'Input WO'!$E:$E,'Input WO'!$F:$F),Xlookup($A199,'Input task'!$T:$T,'Input task'!$S:$S)
))</f>
        <v>myt_tinmaung.win</v>
      </c>
      <c r="C199" s="398" t="str">
        <f>IFERROR(__xludf.DUMMYFUNCTION("if(len($A199)&lt;5,""-"",iferror(TEXTJOIN("" |=***=| "",TRUE,filter('Input task'!$D:$D&amp;"" : ""&amp;'Input task'!$E:$E&amp;"" : ""&amp;'Input task'!$K:$K&amp;"" + ""&amp;'Input task'!$H:$H,'Input task'!$J:$J="""",'Input task'!$T:$T=$A199)),""No see""))"),"No see")</f>
        <v>No see</v>
      </c>
      <c r="D199" s="379" t="str">
        <f>IFERROR(__xludf.DUMMYFUNCTION("if(len($A199)&lt;5,""-"",iferror(TEXTJOIN("" |=***=| "",TRUE,FILTER(('Input WO'!$A:$A&amp;"" + ""&amp;'Input WO'!$B:$B&amp;"" : ""&amp;'Input WO'!$C:$C&amp;"" + ""&amp;'Input WO'!$F:$F),'Input WO'!$E:$E=$A199)),""No see""))"),"WO_WFM-OTHERS_20260623_123616296 + Cable Patrol for (AC)-TNI0282-TNIM070 : 439.03 + myt_tinmaung.win")</f>
        <v>WO_WFM-OTHERS_20260623_123616296 + Cable Patrol for (AC)-TNI0282-TNIM070 : 439.03 + myt_tinmaung.win</v>
      </c>
      <c r="E199" s="379"/>
      <c r="F199" s="372"/>
      <c r="G199" s="372"/>
      <c r="H199" s="372"/>
      <c r="I199" s="372"/>
      <c r="J199" s="372"/>
      <c r="K199" s="369"/>
      <c r="L199" s="369"/>
      <c r="M199" s="373"/>
      <c r="N199" s="369"/>
      <c r="O199" s="369"/>
      <c r="P199" s="374"/>
      <c r="Q199" s="372"/>
      <c r="R199" s="372"/>
      <c r="S199" s="372"/>
      <c r="T199" s="372"/>
      <c r="U199" s="372"/>
      <c r="V199" s="372"/>
      <c r="W199" s="372"/>
      <c r="X199" s="372"/>
      <c r="Y199" s="372"/>
      <c r="Z199" s="372"/>
      <c r="AA199" s="372"/>
      <c r="AB199" s="372"/>
      <c r="AC199" s="372"/>
      <c r="AD199" s="372"/>
      <c r="AE199" s="372"/>
      <c r="AF199" s="372"/>
      <c r="AG199" s="372"/>
      <c r="AH199" s="372"/>
      <c r="AI199" s="372"/>
      <c r="AJ199" s="372"/>
      <c r="AK199" s="372"/>
      <c r="AL199" s="372"/>
      <c r="AM199" s="372"/>
    </row>
    <row r="200">
      <c r="A200" s="379" t="s">
        <v>548</v>
      </c>
      <c r="B200" s="379" t="str">
        <f t="array" ref="B200">if(len(A200)&lt;5,"-", iferror(Xlookup($A200,'Input WO'!$E:$E,'Input WO'!$F:$F),Xlookup($A200,'Input task'!$T:$T,'Input task'!$S:$S)
))</f>
        <v>myt_tinmaung.win</v>
      </c>
      <c r="C200" s="398" t="str">
        <f>IFERROR(__xludf.DUMMYFUNCTION("if(len($A200)&lt;5,""-"",iferror(TEXTJOIN("" |=***=| "",TRUE,filter('Input task'!$D:$D&amp;"" : ""&amp;'Input task'!$E:$E&amp;"" : ""&amp;'Input task'!$K:$K&amp;"" + ""&amp;'Input task'!$H:$H,'Input task'!$J:$J="""",'Input task'!$T:$T=$A200)),""No see""))"),"No see")</f>
        <v>No see</v>
      </c>
      <c r="D200" s="379" t="str">
        <f>IFERROR(__xludf.DUMMYFUNCTION("if(len($A200)&lt;5,""-"",iferror(TEXTJOIN("" |=***=| "",TRUE,FILTER(('Input WO'!$A:$A&amp;"" + ""&amp;'Input WO'!$B:$B&amp;"" : ""&amp;'Input WO'!$C:$C&amp;"" + ""&amp;'Input WO'!$F:$F),'Input WO'!$E:$E=$A200)),""No see""))"),"WO_QLCTKT_20260607_123462917 + TNI0392 MYT_Maintenance_Generator_Change_Oil - MYT_Maintenance_Generator_Change_Oil_Filter - MYT_Maintenance_Generator_Change_Fuel_Filter - MYT_Checking quality for DG Fuel : -472.95 + myt_tinmaung.win")</f>
        <v>WO_QLCTKT_20260607_123462917 + TNI0392 MYT_Maintenance_Generator_Change_Oil - MYT_Maintenance_Generator_Change_Oil_Filter - MYT_Maintenance_Generator_Change_Fuel_Filter - MYT_Checking quality for DG Fuel : -472.95 + myt_tinmaung.win</v>
      </c>
      <c r="E200" s="379"/>
      <c r="F200" s="372"/>
      <c r="G200" s="372"/>
      <c r="H200" s="372"/>
      <c r="I200" s="372"/>
      <c r="J200" s="372"/>
      <c r="K200" s="369"/>
      <c r="L200" s="369"/>
      <c r="M200" s="373"/>
      <c r="N200" s="369"/>
      <c r="O200" s="369"/>
      <c r="P200" s="374"/>
      <c r="Q200" s="372"/>
      <c r="R200" s="372"/>
      <c r="S200" s="372"/>
      <c r="T200" s="372"/>
      <c r="U200" s="372"/>
      <c r="V200" s="372"/>
      <c r="W200" s="372"/>
      <c r="X200" s="372"/>
      <c r="Y200" s="372"/>
      <c r="Z200" s="372"/>
      <c r="AA200" s="372"/>
      <c r="AB200" s="372"/>
      <c r="AC200" s="372"/>
      <c r="AD200" s="372"/>
      <c r="AE200" s="372"/>
      <c r="AF200" s="372"/>
      <c r="AG200" s="372"/>
      <c r="AH200" s="372"/>
      <c r="AI200" s="372"/>
      <c r="AJ200" s="372"/>
      <c r="AK200" s="372"/>
      <c r="AL200" s="372"/>
      <c r="AM200" s="372"/>
    </row>
    <row r="201">
      <c r="A201" s="379" t="s">
        <v>549</v>
      </c>
      <c r="B201" s="379" t="str">
        <f t="array" ref="B201">if(len(A201)&lt;5,"-", iferror(Xlookup($A201,'Input WO'!$E:$E,'Input WO'!$F:$F),Xlookup($A201,'Input task'!$T:$T,'Input task'!$S:$S)
))</f>
        <v>myt_tinnaing.lin11</v>
      </c>
      <c r="C201" s="398" t="str">
        <f>IFERROR(__xludf.DUMMYFUNCTION("if(len($A201)&lt;5,""-"",iferror(TEXTJOIN("" |=***=| "",TRUE,filter('Input task'!$D:$D&amp;"" : ""&amp;'Input task'!$E:$E&amp;"" : ""&amp;'Input task'!$K:$K&amp;"" + ""&amp;'Input task'!$H:$H,'Input task'!$J:$J="""",'Input task'!$T:$T=$A201)),""No see""))"),"No see")</f>
        <v>No see</v>
      </c>
      <c r="D201" s="379" t="str">
        <f>IFERROR(__xludf.DUMMYFUNCTION("if(len($A201)&lt;5,""-"",iferror(TEXTJOIN("" |=***=| "",TRUE,FILTER(('Input WO'!$A:$A&amp;"" + ""&amp;'Input WO'!$B:$B&amp;"" : ""&amp;'Input WO'!$C:$C&amp;"" + ""&amp;'Input WO'!$F:$F),'Input WO'!$E:$E=$A201)),""No see""))"),"WO_ICMS_20260701_123690034 + TNI0103 MYT_Checking quality for DG Fuel MYT_ME_DG_CHECK_FUEL; MYT_Maintenance_Generator_Change_Air_Filter, Clean Radiator and Clean Engine Room MYT_ME_DG_CHG_AIR_FIL_CLN_RAD_ENG; MYT_Maintenance_Generator_Change_Fuel_Filter M"&amp;"YT_ME_DG_CHG_FUEL_FIL; MYT_Maintenance_Generator_Change_Oil MYT_ME_DG_CHG_OIL; MYT_Maintenance_Generator_Change_Oil_Filter MYT_ME_DG_CHG_OIL_FIL : 234.08 + myt_tinnaing.lin11")</f>
        <v>WO_ICMS_20260701_123690034 + TNI0103 MYT_Checking quality for DG Fuel MYT_ME_DG_CHECK_FUEL; MYT_Maintenance_Generator_Change_Air_Filter, Clean Radiator and Clean Engine Room MYT_ME_DG_CHG_AIR_FIL_CLN_RAD_ENG; MYT_Maintenance_Generator_Change_Fuel_Filter MYT_ME_DG_CHG_FUEL_FIL; MYT_Maintenance_Generator_Change_Oil MYT_ME_DG_CHG_OIL; MYT_Maintenance_Generator_Change_Oil_Filter MYT_ME_DG_CHG_OIL_FIL : 234.08 + myt_tinnaing.lin11</v>
      </c>
      <c r="E201" s="379"/>
      <c r="F201" s="372"/>
      <c r="G201" s="372"/>
      <c r="H201" s="372"/>
      <c r="I201" s="372"/>
      <c r="J201" s="372"/>
      <c r="K201" s="369"/>
      <c r="L201" s="369"/>
      <c r="M201" s="373"/>
      <c r="N201" s="369"/>
      <c r="O201" s="369"/>
      <c r="P201" s="374"/>
      <c r="Q201" s="372"/>
      <c r="R201" s="372"/>
      <c r="S201" s="372"/>
      <c r="T201" s="372"/>
      <c r="U201" s="372"/>
      <c r="V201" s="372"/>
      <c r="W201" s="372"/>
      <c r="X201" s="372"/>
      <c r="Y201" s="372"/>
      <c r="Z201" s="372"/>
      <c r="AA201" s="372"/>
      <c r="AB201" s="372"/>
      <c r="AC201" s="372"/>
      <c r="AD201" s="372"/>
      <c r="AE201" s="372"/>
      <c r="AF201" s="372"/>
      <c r="AG201" s="372"/>
      <c r="AH201" s="372"/>
      <c r="AI201" s="372"/>
      <c r="AJ201" s="372"/>
      <c r="AK201" s="372"/>
      <c r="AL201" s="372"/>
      <c r="AM201" s="372"/>
    </row>
    <row r="202">
      <c r="A202" s="379" t="s">
        <v>550</v>
      </c>
      <c r="B202" s="379" t="str">
        <f t="array" ref="B202">if(len(A202)&lt;5,"-", iferror(Xlookup($A202,'Input WO'!$E:$E,'Input WO'!$F:$F),Xlookup($A202,'Input task'!$T:$T,'Input task'!$S:$S)
))</f>
        <v>myt_tinnaing.lin11</v>
      </c>
      <c r="C202" s="398" t="str">
        <f>IFERROR(__xludf.DUMMYFUNCTION("if(len($A202)&lt;5,""-"",iferror(TEXTJOIN("" |=***=| "",TRUE,filter('Input task'!$D:$D&amp;"" : ""&amp;'Input task'!$E:$E&amp;"" : ""&amp;'Input task'!$K:$K&amp;"" + ""&amp;'Input task'!$H:$H,'Input task'!$J:$J="""",'Input task'!$T:$T=$A202)),""No see""))"),"No see")</f>
        <v>No see</v>
      </c>
      <c r="D202" s="379" t="str">
        <f>IFERROR(__xludf.DUMMYFUNCTION("if(len($A202)&lt;5,""-"",iferror(TEXTJOIN("" |=***=| "",TRUE,FILTER(('Input WO'!$A:$A&amp;"" + ""&amp;'Input WO'!$B:$B&amp;"" : ""&amp;'Input WO'!$C:$C&amp;"" + ""&amp;'Input WO'!$F:$F),'Input WO'!$E:$E=$A202)),""No see""))"),"WO_ICMS_20260701_123690033 + TNI0105 MYT_Checking quality for DG Fuel MYT_ME_DG_CHECK_FUEL; MYT_Maintenance_Generator_Change_Air_Filter, Clean Radiator and Clean Engine Room MYT_ME_DG_CHG_AIR_FIL_CLN_RAD_ENG; MYT_Maintenance_Generator_Change_Fuel_Filter M"&amp;"YT_ME_DG_CHG_FUEL_FIL; MYT_Maintenance_Generator_Change_Oil MYT_ME_DG_CHG_OIL; MYT_Maintenance_Generator_Change_Oil_Filter MYT_ME_DG_CHG_OIL_FIL : 234.08 + myt_tinnaing.lin11")</f>
        <v>WO_ICMS_20260701_123690033 + TNI0105 MYT_Checking quality for DG Fuel MYT_ME_DG_CHECK_FUEL; MYT_Maintenance_Generator_Change_Air_Filter, Clean Radiator and Clean Engine Room MYT_ME_DG_CHG_AIR_FIL_CLN_RAD_ENG; MYT_Maintenance_Generator_Change_Fuel_Filter MYT_ME_DG_CHG_FUEL_FIL; MYT_Maintenance_Generator_Change_Oil MYT_ME_DG_CHG_OIL; MYT_Maintenance_Generator_Change_Oil_Filter MYT_ME_DG_CHG_OIL_FIL : 234.08 + myt_tinnaing.lin11</v>
      </c>
      <c r="E202" s="379"/>
      <c r="F202" s="372"/>
      <c r="G202" s="372"/>
      <c r="H202" s="372"/>
      <c r="I202" s="372"/>
      <c r="J202" s="372"/>
      <c r="K202" s="369"/>
      <c r="L202" s="369"/>
      <c r="M202" s="373"/>
      <c r="N202" s="369"/>
      <c r="O202" s="369"/>
      <c r="P202" s="374"/>
      <c r="Q202" s="372"/>
      <c r="R202" s="372"/>
      <c r="S202" s="372"/>
      <c r="T202" s="372"/>
      <c r="U202" s="372"/>
      <c r="V202" s="372"/>
      <c r="W202" s="372"/>
      <c r="X202" s="372"/>
      <c r="Y202" s="372"/>
      <c r="Z202" s="372"/>
      <c r="AA202" s="372"/>
      <c r="AB202" s="372"/>
      <c r="AC202" s="372"/>
      <c r="AD202" s="372"/>
      <c r="AE202" s="372"/>
      <c r="AF202" s="372"/>
      <c r="AG202" s="372"/>
      <c r="AH202" s="372"/>
      <c r="AI202" s="372"/>
      <c r="AJ202" s="372"/>
      <c r="AK202" s="372"/>
      <c r="AL202" s="372"/>
      <c r="AM202" s="372"/>
    </row>
    <row r="203">
      <c r="A203" s="379" t="s">
        <v>551</v>
      </c>
      <c r="B203" s="379" t="str">
        <f t="array" ref="B203">if(len(A203)&lt;5,"-", iferror(Xlookup($A203,'Input WO'!$E:$E,'Input WO'!$F:$F),Xlookup($A203,'Input task'!$T:$T,'Input task'!$S:$S)
))</f>
        <v>myt_tinnaing.lin11</v>
      </c>
      <c r="C203" s="398" t="str">
        <f>IFERROR(__xludf.DUMMYFUNCTION("if(len($A203)&lt;5,""-"",iferror(TEXTJOIN("" |=***=| "",TRUE,filter('Input task'!$D:$D&amp;"" : ""&amp;'Input task'!$E:$E&amp;"" : ""&amp;'Input task'!$K:$K&amp;"" + ""&amp;'Input task'!$H:$H,'Input task'!$J:$J="""",'Input task'!$T:$T=$A203)),""No see""))"),"No see")</f>
        <v>No see</v>
      </c>
      <c r="D203" s="379" t="str">
        <f>IFERROR(__xludf.DUMMYFUNCTION("if(len($A203)&lt;5,""-"",iferror(TEXTJOIN("" |=***=| "",TRUE,FILTER(('Input WO'!$A:$A&amp;"" + ""&amp;'Input WO'!$B:$B&amp;"" : ""&amp;'Input WO'!$C:$C&amp;"" + ""&amp;'Input WO'!$F:$F),'Input WO'!$E:$E=$A203)),""No see""))"),"WO_QLCTKT_20260624_123619093 + TNI0008 MYT_Maintenance_Generator_Change_Oil - MYT_Maintenance_Generator_Change_Oil_Filter - MYT_Maintenance_Generator_Change_Fuel_Filter - MYT_Checking quality for DG Fuel : -64.95 + myt_tinnaing.lin11")</f>
        <v>WO_QLCTKT_20260624_123619093 + TNI0008 MYT_Maintenance_Generator_Change_Oil - MYT_Maintenance_Generator_Change_Oil_Filter - MYT_Maintenance_Generator_Change_Fuel_Filter - MYT_Checking quality for DG Fuel : -64.95 + myt_tinnaing.lin11</v>
      </c>
      <c r="E203" s="379"/>
      <c r="F203" s="372"/>
      <c r="G203" s="372"/>
      <c r="H203" s="372"/>
      <c r="I203" s="372"/>
      <c r="J203" s="372"/>
      <c r="K203" s="369"/>
      <c r="L203" s="369"/>
      <c r="M203" s="373"/>
      <c r="N203" s="369"/>
      <c r="O203" s="369"/>
      <c r="P203" s="374"/>
      <c r="Q203" s="372"/>
      <c r="R203" s="372"/>
      <c r="S203" s="372"/>
      <c r="T203" s="372"/>
      <c r="U203" s="372"/>
      <c r="V203" s="372"/>
      <c r="W203" s="372"/>
      <c r="X203" s="372"/>
      <c r="Y203" s="372"/>
      <c r="Z203" s="372"/>
      <c r="AA203" s="372"/>
      <c r="AB203" s="372"/>
      <c r="AC203" s="372"/>
      <c r="AD203" s="372"/>
      <c r="AE203" s="372"/>
      <c r="AF203" s="372"/>
      <c r="AG203" s="372"/>
      <c r="AH203" s="372"/>
      <c r="AI203" s="372"/>
      <c r="AJ203" s="372"/>
      <c r="AK203" s="372"/>
      <c r="AL203" s="372"/>
      <c r="AM203" s="372"/>
    </row>
    <row r="204">
      <c r="A204" s="379" t="s">
        <v>552</v>
      </c>
      <c r="B204" s="379" t="str">
        <f t="array" ref="B204">if(len(A204)&lt;5,"-", iferror(Xlookup($A204,'Input WO'!$E:$E,'Input WO'!$F:$F),Xlookup($A204,'Input task'!$T:$T,'Input task'!$S:$S)
))</f>
        <v>myt_tinnaing.lin11</v>
      </c>
      <c r="C204" s="398" t="str">
        <f>IFERROR(__xludf.DUMMYFUNCTION("if(len($A204)&lt;5,""-"",iferror(TEXTJOIN("" |=***=| "",TRUE,filter('Input task'!$D:$D&amp;"" : ""&amp;'Input task'!$E:$E&amp;"" : ""&amp;'Input task'!$K:$K&amp;"" + ""&amp;'Input task'!$H:$H,'Input task'!$J:$J="""",'Input task'!$T:$T=$A204)),""No see""))"),"No see")</f>
        <v>No see</v>
      </c>
      <c r="D204" s="379" t="str">
        <f>IFERROR(__xludf.DUMMYFUNCTION("if(len($A204)&lt;5,""-"",iferror(TEXTJOIN("" |=***=| "",TRUE,FILTER(('Input WO'!$A:$A&amp;"" + ""&amp;'Input WO'!$B:$B&amp;"" : ""&amp;'Input WO'!$C:$C&amp;"" + ""&amp;'Input WO'!$F:$F),'Input WO'!$E:$E=$A204)),""No see""))"),"WO_WFM-OTHERS_20260623_123616283 + Cable Patrol for (AC)-TNI0348-JB(TNI0004-TNI0010) : 439.03 + myt_tinnaing.lin11")</f>
        <v>WO_WFM-OTHERS_20260623_123616283 + Cable Patrol for (AC)-TNI0348-JB(TNI0004-TNI0010) : 439.03 + myt_tinnaing.lin11</v>
      </c>
      <c r="E204" s="379"/>
      <c r="F204" s="372"/>
      <c r="G204" s="372"/>
      <c r="H204" s="372"/>
      <c r="I204" s="372"/>
      <c r="J204" s="372"/>
      <c r="K204" s="369"/>
      <c r="L204" s="369"/>
      <c r="M204" s="373"/>
      <c r="N204" s="369"/>
      <c r="O204" s="369"/>
      <c r="P204" s="374"/>
      <c r="Q204" s="372"/>
      <c r="R204" s="372"/>
      <c r="S204" s="372"/>
      <c r="T204" s="372"/>
      <c r="U204" s="372"/>
      <c r="V204" s="372"/>
      <c r="W204" s="372"/>
      <c r="X204" s="372"/>
      <c r="Y204" s="372"/>
      <c r="Z204" s="372"/>
      <c r="AA204" s="372"/>
      <c r="AB204" s="372"/>
      <c r="AC204" s="372"/>
      <c r="AD204" s="372"/>
      <c r="AE204" s="372"/>
      <c r="AF204" s="372"/>
      <c r="AG204" s="372"/>
      <c r="AH204" s="372"/>
      <c r="AI204" s="372"/>
      <c r="AJ204" s="372"/>
      <c r="AK204" s="372"/>
      <c r="AL204" s="372"/>
      <c r="AM204" s="372"/>
    </row>
    <row r="205">
      <c r="A205" s="379" t="s">
        <v>553</v>
      </c>
      <c r="B205" s="379" t="str">
        <f t="array" ref="B205">if(len(A205)&lt;5,"-", iferror(Xlookup($A205,'Input WO'!$E:$E,'Input WO'!$F:$F),Xlookup($A205,'Input task'!$T:$T,'Input task'!$S:$S)
))</f>
        <v>myt_tinnaing.lin11</v>
      </c>
      <c r="C205" s="398" t="str">
        <f>IFERROR(__xludf.DUMMYFUNCTION("if(len($A205)&lt;5,""-"",iferror(TEXTJOIN("" |=***=| "",TRUE,filter('Input task'!$D:$D&amp;"" : ""&amp;'Input task'!$E:$E&amp;"" : ""&amp;'Input task'!$K:$K&amp;"" + ""&amp;'Input task'!$H:$H,'Input task'!$J:$J="""",'Input task'!$T:$T=$A205)),""No see""))"),"No see")</f>
        <v>No see</v>
      </c>
      <c r="D205" s="379" t="str">
        <f>IFERROR(__xludf.DUMMYFUNCTION("if(len($A205)&lt;5,""-"",iferror(TEXTJOIN("" |=***=| "",TRUE,FILTER(('Input WO'!$A:$A&amp;"" + ""&amp;'Input WO'!$B:$B&amp;"" : ""&amp;'Input WO'!$C:$C&amp;"" + ""&amp;'Input WO'!$F:$F),'Input WO'!$E:$E=$A205)),""No see""))"),"WO_WFM-OTHERS_20260623_123616277 + Cable Patrol for (AC)-TNI0292-TNIM077 : 439.03 + myt_tinnaing.lin11")</f>
        <v>WO_WFM-OTHERS_20260623_123616277 + Cable Patrol for (AC)-TNI0292-TNIM077 : 439.03 + myt_tinnaing.lin11</v>
      </c>
      <c r="E205" s="379"/>
      <c r="F205" s="372"/>
      <c r="G205" s="372"/>
      <c r="H205" s="372"/>
      <c r="I205" s="372"/>
      <c r="J205" s="372"/>
      <c r="K205" s="369"/>
      <c r="L205" s="369"/>
      <c r="M205" s="373"/>
      <c r="N205" s="369"/>
      <c r="O205" s="369"/>
      <c r="P205" s="374"/>
      <c r="Q205" s="372"/>
      <c r="R205" s="372"/>
      <c r="S205" s="372"/>
      <c r="T205" s="372"/>
      <c r="U205" s="372"/>
      <c r="V205" s="372"/>
      <c r="W205" s="372"/>
      <c r="X205" s="372"/>
      <c r="Y205" s="372"/>
      <c r="Z205" s="372"/>
      <c r="AA205" s="372"/>
      <c r="AB205" s="372"/>
      <c r="AC205" s="372"/>
      <c r="AD205" s="372"/>
      <c r="AE205" s="372"/>
      <c r="AF205" s="372"/>
      <c r="AG205" s="372"/>
      <c r="AH205" s="372"/>
      <c r="AI205" s="372"/>
      <c r="AJ205" s="372"/>
      <c r="AK205" s="372"/>
      <c r="AL205" s="372"/>
      <c r="AM205" s="372"/>
    </row>
    <row r="206">
      <c r="A206" s="379" t="s">
        <v>554</v>
      </c>
      <c r="B206" s="379" t="str">
        <f t="array" ref="B206">if(len(A206)&lt;5,"-", iferror(Xlookup($A206,'Input WO'!$E:$E,'Input WO'!$F:$F),Xlookup($A206,'Input task'!$T:$T,'Input task'!$S:$S)
))</f>
        <v>myt_tinnaing.lin11</v>
      </c>
      <c r="C206" s="398" t="str">
        <f>IFERROR(__xludf.DUMMYFUNCTION("if(len($A206)&lt;5,""-"",iferror(TEXTJOIN("" |=***=| "",TRUE,filter('Input task'!$D:$D&amp;"" : ""&amp;'Input task'!$E:$E&amp;"" : ""&amp;'Input task'!$K:$K&amp;"" + ""&amp;'Input task'!$H:$H,'Input task'!$J:$J="""",'Input task'!$T:$T=$A206)),""No see""))"),"Request Export material : TNI0212-TNIM058&gt;&gt;1.25G , 40km module :  + VCM276675-Pyae Phyo Zaw |=***=| Request Export material : TNI0212-TNIM058&gt;&gt;closure 1 pcs , Tension 4 pcs :  + VCM276675-Pyae Phyo Zaw |=***=| 100 point plan : TNI0212 100 point plan need "&amp;"to clean site overview inside and outeside and make to neatly patchord cable. :  + VCM276675-Pyae Phyo Zaw |=***=| Export Materials : TNI0212-TNIM058&gt;&gt;closure 1 pcs  :  +  |=***=| Export Materials : TNI0212-TNIM058&gt;&gt; closure 1 pcs  :  +  |=***=| Surrvey C"&amp;"able update form : TNI0212-TNIM058 Cable Broken many time, Check buy mapsme and sent kmz file and need to repair point and repair deploy new cable :  + ")</f>
        <v>Request Export material : TNI0212-TNIM058&gt;&gt;1.25G , 40km module :  + VCM276675-Pyae Phyo Zaw |=***=| Request Export material : TNI0212-TNIM058&gt;&gt;closure 1 pcs , Tension 4 pcs :  + VCM276675-Pyae Phyo Zaw |=***=| 100 point plan : TNI0212 100 point plan need to clean site overview inside and outeside and make to neatly patchord cable. :  + VCM276675-Pyae Phyo Zaw |=***=| Export Materials : TNI0212-TNIM058&gt;&gt;closure 1 pcs  :  +  |=***=| Export Materials : TNI0212-TNIM058&gt;&gt; closure 1 pcs  :  +  |=***=| Surrvey Cable update form : TNI0212-TNIM058 Cable Broken many time, Check buy mapsme and sent kmz file and need to repair point and repair deploy new cable :  + </v>
      </c>
      <c r="D206" s="379" t="str">
        <f>IFERROR(__xludf.DUMMYFUNCTION("if(len($A206)&lt;5,""-"",iferror(TEXTJOIN("" |=***=| "",TRUE,FILTER(('Input WO'!$A:$A&amp;"" + ""&amp;'Input WO'!$B:$B&amp;"" : ""&amp;'Input WO'!$C:$C&amp;"" + ""&amp;'Input WO'!$F:$F),'Input WO'!$E:$E=$A206)),""No see""))"),"WO_WFM-OTHERS_20260623_123612924 + Cable routes measure-AC-TNI0212-TNI0389 : 439.03 + myt_tinnaing.lin11")</f>
        <v>WO_WFM-OTHERS_20260623_123612924 + Cable routes measure-AC-TNI0212-TNI0389 : 439.03 + myt_tinnaing.lin11</v>
      </c>
      <c r="E206" s="379"/>
      <c r="F206" s="372"/>
      <c r="G206" s="372"/>
      <c r="H206" s="372"/>
      <c r="I206" s="372"/>
      <c r="J206" s="372"/>
      <c r="K206" s="369"/>
      <c r="L206" s="369"/>
      <c r="M206" s="373"/>
      <c r="N206" s="369"/>
      <c r="O206" s="369"/>
      <c r="P206" s="374"/>
      <c r="Q206" s="372"/>
      <c r="R206" s="372"/>
      <c r="S206" s="372"/>
      <c r="T206" s="372"/>
      <c r="U206" s="372"/>
      <c r="V206" s="372"/>
      <c r="W206" s="372"/>
      <c r="X206" s="372"/>
      <c r="Y206" s="372"/>
      <c r="Z206" s="372"/>
      <c r="AA206" s="372"/>
      <c r="AB206" s="372"/>
      <c r="AC206" s="372"/>
      <c r="AD206" s="372"/>
      <c r="AE206" s="372"/>
      <c r="AF206" s="372"/>
      <c r="AG206" s="372"/>
      <c r="AH206" s="372"/>
      <c r="AI206" s="372"/>
      <c r="AJ206" s="372"/>
      <c r="AK206" s="372"/>
      <c r="AL206" s="372"/>
      <c r="AM206" s="372"/>
    </row>
    <row r="207">
      <c r="A207" s="379" t="s">
        <v>555</v>
      </c>
      <c r="B207" s="379" t="str">
        <f t="array" ref="B207">if(len(A207)&lt;5,"-", iferror(Xlookup($A207,'Input WO'!$E:$E,'Input WO'!$F:$F),Xlookup($A207,'Input task'!$T:$T,'Input task'!$S:$S)
))</f>
        <v>myt_wanna.oo2</v>
      </c>
      <c r="C207" s="398" t="str">
        <f>IFERROR(__xludf.DUMMYFUNCTION("if(len($A207)&lt;5,""-"",iferror(TEXTJOIN("" |=***=| "",TRUE,filter('Input task'!$D:$D&amp;"" : ""&amp;'Input task'!$E:$E&amp;"" : ""&amp;'Input task'!$K:$K&amp;"" + ""&amp;'Input task'!$H:$H,'Input task'!$J:$J="""",'Input task'!$T:$T=$A207)),""No see""))"),"No see")</f>
        <v>No see</v>
      </c>
      <c r="D207" s="379" t="str">
        <f>IFERROR(__xludf.DUMMYFUNCTION("if(len($A207)&lt;5,""-"",iferror(TEXTJOIN("" |=***=| "",TRUE,FILTER(('Input WO'!$A:$A&amp;"" + ""&amp;'Input WO'!$B:$B&amp;"" : ""&amp;'Input WO'!$C:$C&amp;"" + ""&amp;'Input WO'!$F:$F),'Input WO'!$E:$E=$A207)),""No see""))"),"WO_WFM-OTHERS_20260623_123616259 + Cable Patrol for (AC)-TNI0108-TNIM038 : 439.03 + myt_wanna.oo2")</f>
        <v>WO_WFM-OTHERS_20260623_123616259 + Cable Patrol for (AC)-TNI0108-TNIM038 : 439.03 + myt_wanna.oo2</v>
      </c>
      <c r="E207" s="379"/>
      <c r="F207" s="372"/>
      <c r="G207" s="372"/>
      <c r="H207" s="372"/>
      <c r="I207" s="372"/>
      <c r="J207" s="372"/>
      <c r="K207" s="369"/>
      <c r="L207" s="369"/>
      <c r="M207" s="373"/>
      <c r="N207" s="369"/>
      <c r="O207" s="369"/>
      <c r="P207" s="374"/>
      <c r="Q207" s="372"/>
      <c r="R207" s="372"/>
      <c r="S207" s="372"/>
      <c r="T207" s="372"/>
      <c r="U207" s="372"/>
      <c r="V207" s="372"/>
      <c r="W207" s="372"/>
      <c r="X207" s="372"/>
      <c r="Y207" s="372"/>
      <c r="Z207" s="372"/>
      <c r="AA207" s="372"/>
      <c r="AB207" s="372"/>
      <c r="AC207" s="372"/>
      <c r="AD207" s="372"/>
      <c r="AE207" s="372"/>
      <c r="AF207" s="372"/>
      <c r="AG207" s="372"/>
      <c r="AH207" s="372"/>
      <c r="AI207" s="372"/>
      <c r="AJ207" s="372"/>
      <c r="AK207" s="372"/>
      <c r="AL207" s="372"/>
      <c r="AM207" s="372"/>
    </row>
    <row r="208">
      <c r="A208" s="379" t="s">
        <v>556</v>
      </c>
      <c r="B208" s="379" t="str">
        <f t="array" ref="B208">if(len(A208)&lt;5,"-", iferror(Xlookup($A208,'Input WO'!$E:$E,'Input WO'!$F:$F),Xlookup($A208,'Input task'!$T:$T,'Input task'!$S:$S)
))</f>
        <v>myt_wanna.oo2</v>
      </c>
      <c r="C208" s="398" t="str">
        <f>IFERROR(__xludf.DUMMYFUNCTION("if(len($A208)&lt;5,""-"",iferror(TEXTJOIN("" |=***=| "",TRUE,filter('Input task'!$D:$D&amp;"" : ""&amp;'Input task'!$E:$E&amp;"" : ""&amp;'Input task'!$K:$K&amp;"" + ""&amp;'Input task'!$H:$H,'Input task'!$J:$J="""",'Input task'!$T:$T=$A208)),""No see""))"),"Request Export material : TNI0164-TNIM045&gt;&gt;Closure : 2 pcs, 24FX cable - 250 M :  + ")</f>
        <v>Request Export material : TNI0164-TNIM045&gt;&gt;Closure : 2 pcs, 24FX cable - 250 M :  + </v>
      </c>
      <c r="D208" s="379" t="str">
        <f>IFERROR(__xludf.DUMMYFUNCTION("if(len($A208)&lt;5,""-"",iferror(TEXTJOIN("" |=***=| "",TRUE,FILTER(('Input WO'!$A:$A&amp;"" + ""&amp;'Input WO'!$B:$B&amp;"" : ""&amp;'Input WO'!$C:$C&amp;"" + ""&amp;'Input WO'!$F:$F),'Input WO'!$E:$E=$A208)),""No see""))"),"WO_WFM-OTHERS_20260623_123616247 + Cable Patrol for (AC)-TNI0164-TNIM045 : 439.03 + myt_wanna.oo2")</f>
        <v>WO_WFM-OTHERS_20260623_123616247 + Cable Patrol for (AC)-TNI0164-TNIM045 : 439.03 + myt_wanna.oo2</v>
      </c>
      <c r="E208" s="379"/>
      <c r="F208" s="372"/>
      <c r="G208" s="372"/>
      <c r="H208" s="372"/>
      <c r="I208" s="372"/>
      <c r="J208" s="372"/>
      <c r="K208" s="369"/>
      <c r="L208" s="369"/>
      <c r="M208" s="373"/>
      <c r="N208" s="369"/>
      <c r="O208" s="369"/>
      <c r="P208" s="374"/>
      <c r="Q208" s="372"/>
      <c r="R208" s="372"/>
      <c r="S208" s="372"/>
      <c r="T208" s="372"/>
      <c r="U208" s="372"/>
      <c r="V208" s="372"/>
      <c r="W208" s="372"/>
      <c r="X208" s="372"/>
      <c r="Y208" s="372"/>
      <c r="Z208" s="372"/>
      <c r="AA208" s="372"/>
      <c r="AB208" s="372"/>
      <c r="AC208" s="372"/>
      <c r="AD208" s="372"/>
      <c r="AE208" s="372"/>
      <c r="AF208" s="372"/>
      <c r="AG208" s="372"/>
      <c r="AH208" s="372"/>
      <c r="AI208" s="372"/>
      <c r="AJ208" s="372"/>
      <c r="AK208" s="372"/>
      <c r="AL208" s="372"/>
      <c r="AM208" s="372"/>
    </row>
    <row r="209">
      <c r="A209" s="379" t="s">
        <v>557</v>
      </c>
      <c r="B209" s="379" t="str">
        <f t="array" ref="B209">if(len(A209)&lt;5,"-", iferror(Xlookup($A209,'Input WO'!$E:$E,'Input WO'!$F:$F),Xlookup($A209,'Input task'!$T:$T,'Input task'!$S:$S)
))</f>
        <v>myt_wanna.oo2</v>
      </c>
      <c r="C209" s="398" t="str">
        <f>IFERROR(__xludf.DUMMYFUNCTION("if(len($A209)&lt;5,""-"",iferror(TEXTJOIN("" |=***=| "",TRUE,filter('Input task'!$D:$D&amp;"" : ""&amp;'Input task'!$E:$E&amp;"" : ""&amp;'Input task'!$K:$K&amp;"" + ""&amp;'Input task'!$H:$H,'Input task'!$J:$J="""",'Input task'!$T:$T=$A209)),""No see""))"),"PVC PLAN : TNI0519 need to cover pvc pipe :  + VCM860513-Win Htet Aung")</f>
        <v>PVC PLAN : TNI0519 need to cover pvc pipe :  + VCM860513-Win Htet Aung</v>
      </c>
      <c r="D209" s="379" t="str">
        <f>IFERROR(__xludf.DUMMYFUNCTION("if(len($A209)&lt;5,""-"",iferror(TEXTJOIN("" |=***=| "",TRUE,FILTER(('Input WO'!$A:$A&amp;"" + ""&amp;'Input WO'!$B:$B&amp;"" : ""&amp;'Input WO'!$C:$C&amp;"" + ""&amp;'Input WO'!$F:$F),'Input WO'!$E:$E=$A209)),""No see""))"),"WO_ICMS_20260623_123614447 + TNI0519 MYT_Routine_Maintenance_Mytel_Station MYT_RTE_MTE_SB_STN : 886.64 + myt_wanna.oo2")</f>
        <v>WO_ICMS_20260623_123614447 + TNI0519 MYT_Routine_Maintenance_Mytel_Station MYT_RTE_MTE_SB_STN : 886.64 + myt_wanna.oo2</v>
      </c>
      <c r="E209" s="379"/>
      <c r="F209" s="372"/>
      <c r="G209" s="372"/>
      <c r="H209" s="372"/>
      <c r="I209" s="372"/>
      <c r="J209" s="372"/>
      <c r="K209" s="369"/>
      <c r="L209" s="369"/>
      <c r="M209" s="373"/>
      <c r="N209" s="369"/>
      <c r="O209" s="369"/>
      <c r="P209" s="374"/>
      <c r="Q209" s="372"/>
      <c r="R209" s="372"/>
      <c r="S209" s="372"/>
      <c r="T209" s="372"/>
      <c r="U209" s="372"/>
      <c r="V209" s="372"/>
      <c r="W209" s="372"/>
      <c r="X209" s="372"/>
      <c r="Y209" s="372"/>
      <c r="Z209" s="372"/>
      <c r="AA209" s="372"/>
      <c r="AB209" s="372"/>
      <c r="AC209" s="372"/>
      <c r="AD209" s="372"/>
      <c r="AE209" s="372"/>
      <c r="AF209" s="372"/>
      <c r="AG209" s="372"/>
      <c r="AH209" s="372"/>
      <c r="AI209" s="372"/>
      <c r="AJ209" s="372"/>
      <c r="AK209" s="372"/>
      <c r="AL209" s="372"/>
      <c r="AM209" s="372"/>
    </row>
    <row r="210">
      <c r="A210" s="379" t="s">
        <v>558</v>
      </c>
      <c r="B210" s="379" t="str">
        <f t="array" ref="B210">if(len(A210)&lt;5,"-", iferror(Xlookup($A210,'Input WO'!$E:$E,'Input WO'!$F:$F),Xlookup($A210,'Input task'!$T:$T,'Input task'!$S:$S)
))</f>
        <v>myt_wanna.oo2</v>
      </c>
      <c r="C210" s="398" t="str">
        <f>IFERROR(__xludf.DUMMYFUNCTION("if(len($A210)&lt;5,""-"",iferror(TEXTJOIN("" |=***=| "",TRUE,filter('Input task'!$D:$D&amp;"" : ""&amp;'Input task'!$E:$E&amp;"" : ""&amp;'Input task'!$K:$K&amp;"" + ""&amp;'Input task'!$H:$H,'Input task'!$J:$J="""",'Input task'!$T:$T=$A210)),""No see""))"),"No see")</f>
        <v>No see</v>
      </c>
      <c r="D210" s="379" t="str">
        <f>IFERROR(__xludf.DUMMYFUNCTION("if(len($A210)&lt;5,""-"",iferror(TEXTJOIN("" |=***=| "",TRUE,FILTER(('Input WO'!$A:$A&amp;"" + ""&amp;'Input WO'!$B:$B&amp;"" : ""&amp;'Input WO'!$C:$C&amp;"" + ""&amp;'Input WO'!$F:$F),'Input WO'!$E:$E=$A210)),""No see""))"),"WO_WFM-OTHERS_20260623_123612920 + Cable routes measure-AC-TNI0029-TNI0042 : 439.03 + myt_wanna.oo2 |=***=| WO_WFM-OTHERS_20260623_123613136 + Cable routes measure-AC-TNI0029-TNI0042 : 439.03 + myt_zinmin.shein")</f>
        <v>WO_WFM-OTHERS_20260623_123612920 + Cable routes measure-AC-TNI0029-TNI0042 : 439.03 + myt_wanna.oo2 |=***=| WO_WFM-OTHERS_20260623_123613136 + Cable routes measure-AC-TNI0029-TNI0042 : 439.03 + myt_zinmin.shein</v>
      </c>
      <c r="E210" s="379"/>
      <c r="F210" s="372"/>
      <c r="G210" s="372"/>
      <c r="H210" s="372"/>
      <c r="I210" s="372"/>
      <c r="J210" s="372"/>
      <c r="K210" s="369"/>
      <c r="L210" s="369"/>
      <c r="M210" s="373"/>
      <c r="N210" s="369"/>
      <c r="O210" s="369"/>
      <c r="P210" s="374"/>
      <c r="Q210" s="372"/>
      <c r="R210" s="372"/>
      <c r="S210" s="372"/>
      <c r="T210" s="372"/>
      <c r="U210" s="372"/>
      <c r="V210" s="372"/>
      <c r="W210" s="372"/>
      <c r="X210" s="372"/>
      <c r="Y210" s="372"/>
      <c r="Z210" s="372"/>
      <c r="AA210" s="372"/>
      <c r="AB210" s="372"/>
      <c r="AC210" s="372"/>
      <c r="AD210" s="372"/>
      <c r="AE210" s="372"/>
      <c r="AF210" s="372"/>
      <c r="AG210" s="372"/>
      <c r="AH210" s="372"/>
      <c r="AI210" s="372"/>
      <c r="AJ210" s="372"/>
      <c r="AK210" s="372"/>
      <c r="AL210" s="372"/>
      <c r="AM210" s="372"/>
    </row>
    <row r="211">
      <c r="A211" s="379" t="s">
        <v>559</v>
      </c>
      <c r="B211" s="379" t="str">
        <f t="array" ref="B211">if(len(A211)&lt;5,"-", iferror(Xlookup($A211,'Input WO'!$E:$E,'Input WO'!$F:$F),Xlookup($A211,'Input task'!$T:$T,'Input task'!$S:$S)
))</f>
        <v>myt_wanna.oo2</v>
      </c>
      <c r="C211" s="398" t="str">
        <f>IFERROR(__xludf.DUMMYFUNCTION("if(len($A211)&lt;5,""-"",iferror(TEXTJOIN("" |=***=| "",TRUE,filter('Input task'!$D:$D&amp;"" : ""&amp;'Input task'!$E:$E&amp;"" : ""&amp;'Input task'!$K:$K&amp;"" + ""&amp;'Input task'!$H:$H,'Input task'!$J:$J="""",'Input task'!$T:$T=$A211)),""No see""))"),"No see")</f>
        <v>No see</v>
      </c>
      <c r="D211" s="379" t="str">
        <f>IFERROR(__xludf.DUMMYFUNCTION("if(len($A211)&lt;5,""-"",iferror(TEXTJOIN("" |=***=| "",TRUE,FILTER(('Input WO'!$A:$A&amp;"" + ""&amp;'Input WO'!$B:$B&amp;"" : ""&amp;'Input WO'!$C:$C&amp;"" + ""&amp;'Input WO'!$F:$F),'Input WO'!$E:$E=$A211)),""No see""))"),"WO_QLCTKT_20260605_123449689 + TNI0516 - Repair infrastructure - bla: Prevent insect, mause, squirrel attack: Cover all cable hole , gaps of room, door, cabinet, ODF : -581.67 + myt_wanna.oo2")</f>
        <v>WO_QLCTKT_20260605_123449689 + TNI0516 - Repair infrastructure - bla: Prevent insect, mause, squirrel attack: Cover all cable hole , gaps of room, door, cabinet, ODF : -581.67 + myt_wanna.oo2</v>
      </c>
      <c r="E211" s="379"/>
      <c r="F211" s="372"/>
      <c r="G211" s="372"/>
      <c r="H211" s="372"/>
      <c r="I211" s="372"/>
      <c r="J211" s="372"/>
      <c r="K211" s="369"/>
      <c r="L211" s="369"/>
      <c r="M211" s="373"/>
      <c r="N211" s="369"/>
      <c r="O211" s="369"/>
      <c r="P211" s="374"/>
      <c r="Q211" s="372"/>
      <c r="R211" s="372"/>
      <c r="S211" s="372"/>
      <c r="T211" s="372"/>
      <c r="U211" s="372"/>
      <c r="V211" s="372"/>
      <c r="W211" s="372"/>
      <c r="X211" s="372"/>
      <c r="Y211" s="372"/>
      <c r="Z211" s="372"/>
      <c r="AA211" s="372"/>
      <c r="AB211" s="372"/>
      <c r="AC211" s="372"/>
      <c r="AD211" s="372"/>
      <c r="AE211" s="372"/>
      <c r="AF211" s="372"/>
      <c r="AG211" s="372"/>
      <c r="AH211" s="372"/>
      <c r="AI211" s="372"/>
      <c r="AJ211" s="372"/>
      <c r="AK211" s="372"/>
      <c r="AL211" s="372"/>
      <c r="AM211" s="372"/>
    </row>
    <row r="212">
      <c r="A212" s="369" t="s">
        <v>560</v>
      </c>
      <c r="B212" s="369"/>
      <c r="C212" s="398" t="str">
        <f>IFERROR(__xludf.DUMMYFUNCTION("if(len($A212)&lt;5,""-"",iferror(TEXTJOIN("" |=***=| "",TRUE,filter('Input task'!$D:$D&amp;"" : ""&amp;'Input task'!$E:$E&amp;"" : ""&amp;'Input task'!$K:$K&amp;"" + ""&amp;'Input task'!$H:$H,'Input task'!$J:$J="""",'Input task'!$T:$T=$A212)),""No see""))"),"No see")</f>
        <v>No see</v>
      </c>
      <c r="D212" s="369"/>
      <c r="E212" s="369"/>
      <c r="F212" s="372"/>
      <c r="G212" s="372"/>
      <c r="H212" s="372"/>
      <c r="I212" s="372"/>
      <c r="J212" s="372"/>
      <c r="K212" s="369"/>
      <c r="L212" s="369"/>
      <c r="M212" s="373"/>
      <c r="N212" s="369"/>
      <c r="O212" s="369"/>
      <c r="P212" s="374"/>
      <c r="Q212" s="372"/>
      <c r="R212" s="372"/>
      <c r="S212" s="372"/>
      <c r="T212" s="372"/>
      <c r="U212" s="372"/>
      <c r="V212" s="372"/>
      <c r="W212" s="372"/>
      <c r="X212" s="372"/>
      <c r="Y212" s="372"/>
      <c r="Z212" s="372"/>
      <c r="AA212" s="372"/>
      <c r="AB212" s="372"/>
      <c r="AC212" s="372"/>
      <c r="AD212" s="372"/>
      <c r="AE212" s="372"/>
      <c r="AF212" s="372"/>
      <c r="AG212" s="372"/>
      <c r="AH212" s="372"/>
      <c r="AI212" s="372"/>
      <c r="AJ212" s="372"/>
      <c r="AK212" s="372"/>
      <c r="AL212" s="372"/>
      <c r="AM212" s="372"/>
    </row>
    <row r="213">
      <c r="A213" s="369" t="s">
        <v>561</v>
      </c>
      <c r="B213" s="369"/>
      <c r="C213" s="405"/>
      <c r="D213" s="369"/>
      <c r="E213" s="369"/>
      <c r="F213" s="372"/>
      <c r="G213" s="372"/>
      <c r="H213" s="372"/>
      <c r="I213" s="372"/>
      <c r="J213" s="372"/>
      <c r="K213" s="369"/>
      <c r="L213" s="369"/>
      <c r="M213" s="373"/>
      <c r="N213" s="369"/>
      <c r="O213" s="369"/>
      <c r="P213" s="374"/>
      <c r="Q213" s="372"/>
      <c r="R213" s="372"/>
      <c r="S213" s="372"/>
      <c r="T213" s="372"/>
      <c r="U213" s="372"/>
      <c r="V213" s="372"/>
      <c r="W213" s="372"/>
      <c r="X213" s="372"/>
      <c r="Y213" s="372"/>
      <c r="Z213" s="372"/>
      <c r="AA213" s="372"/>
      <c r="AB213" s="372"/>
      <c r="AC213" s="372"/>
      <c r="AD213" s="372"/>
      <c r="AE213" s="372"/>
      <c r="AF213" s="372"/>
      <c r="AG213" s="372"/>
      <c r="AH213" s="372"/>
      <c r="AI213" s="372"/>
      <c r="AJ213" s="372"/>
      <c r="AK213" s="372"/>
      <c r="AL213" s="372"/>
      <c r="AM213" s="372"/>
    </row>
    <row r="214">
      <c r="A214" s="369" t="s">
        <v>562</v>
      </c>
      <c r="B214" s="369"/>
      <c r="C214" s="405"/>
      <c r="D214" s="369"/>
      <c r="E214" s="369"/>
      <c r="F214" s="372"/>
      <c r="G214" s="372"/>
      <c r="H214" s="372"/>
      <c r="I214" s="372"/>
      <c r="J214" s="372"/>
      <c r="K214" s="369"/>
      <c r="L214" s="369"/>
      <c r="M214" s="373"/>
      <c r="N214" s="369"/>
      <c r="O214" s="369"/>
      <c r="P214" s="374"/>
      <c r="Q214" s="372"/>
      <c r="R214" s="372"/>
      <c r="S214" s="372"/>
      <c r="T214" s="372"/>
      <c r="U214" s="372"/>
      <c r="V214" s="372"/>
      <c r="W214" s="372"/>
      <c r="X214" s="372"/>
      <c r="Y214" s="372"/>
      <c r="Z214" s="372"/>
      <c r="AA214" s="372"/>
      <c r="AB214" s="372"/>
      <c r="AC214" s="372"/>
      <c r="AD214" s="372"/>
      <c r="AE214" s="372"/>
      <c r="AF214" s="372"/>
      <c r="AG214" s="372"/>
      <c r="AH214" s="372"/>
      <c r="AI214" s="372"/>
      <c r="AJ214" s="372"/>
      <c r="AK214" s="372"/>
      <c r="AL214" s="372"/>
      <c r="AM214" s="372"/>
    </row>
    <row r="215">
      <c r="A215" s="369" t="s">
        <v>563</v>
      </c>
      <c r="B215" s="369"/>
      <c r="C215" s="405"/>
      <c r="D215" s="369"/>
      <c r="E215" s="369"/>
      <c r="F215" s="372"/>
      <c r="G215" s="372"/>
      <c r="H215" s="372"/>
      <c r="I215" s="372"/>
      <c r="J215" s="372"/>
      <c r="K215" s="369"/>
      <c r="L215" s="369"/>
      <c r="M215" s="373"/>
      <c r="N215" s="369"/>
      <c r="O215" s="369"/>
      <c r="P215" s="374"/>
      <c r="Q215" s="372"/>
      <c r="R215" s="372"/>
      <c r="S215" s="372"/>
      <c r="T215" s="372"/>
      <c r="U215" s="372"/>
      <c r="V215" s="372"/>
      <c r="W215" s="372"/>
      <c r="X215" s="372"/>
      <c r="Y215" s="372"/>
      <c r="Z215" s="372"/>
      <c r="AA215" s="372"/>
      <c r="AB215" s="372"/>
      <c r="AC215" s="372"/>
      <c r="AD215" s="372"/>
      <c r="AE215" s="372"/>
      <c r="AF215" s="372"/>
      <c r="AG215" s="372"/>
      <c r="AH215" s="372"/>
      <c r="AI215" s="372"/>
      <c r="AJ215" s="372"/>
      <c r="AK215" s="372"/>
      <c r="AL215" s="372"/>
      <c r="AM215" s="372"/>
    </row>
    <row r="216">
      <c r="A216" s="369" t="s">
        <v>564</v>
      </c>
      <c r="B216" s="369"/>
      <c r="C216" s="405"/>
      <c r="D216" s="369"/>
      <c r="E216" s="369"/>
      <c r="F216" s="372"/>
      <c r="G216" s="372"/>
      <c r="H216" s="372"/>
      <c r="I216" s="372"/>
      <c r="J216" s="372"/>
      <c r="K216" s="369"/>
      <c r="L216" s="369"/>
      <c r="M216" s="373"/>
      <c r="N216" s="369"/>
      <c r="O216" s="369"/>
      <c r="P216" s="374"/>
      <c r="Q216" s="372"/>
      <c r="R216" s="372"/>
      <c r="S216" s="372"/>
      <c r="T216" s="372"/>
      <c r="U216" s="372"/>
      <c r="V216" s="372"/>
      <c r="W216" s="372"/>
      <c r="X216" s="372"/>
      <c r="Y216" s="372"/>
      <c r="Z216" s="372"/>
      <c r="AA216" s="372"/>
      <c r="AB216" s="372"/>
      <c r="AC216" s="372"/>
      <c r="AD216" s="372"/>
      <c r="AE216" s="372"/>
      <c r="AF216" s="372"/>
      <c r="AG216" s="372"/>
      <c r="AH216" s="372"/>
      <c r="AI216" s="372"/>
      <c r="AJ216" s="372"/>
      <c r="AK216" s="372"/>
      <c r="AL216" s="372"/>
      <c r="AM216" s="372"/>
    </row>
    <row r="217">
      <c r="A217" s="369" t="s">
        <v>565</v>
      </c>
      <c r="B217" s="369"/>
      <c r="C217" s="405"/>
      <c r="D217" s="369"/>
      <c r="E217" s="369"/>
      <c r="F217" s="372"/>
      <c r="G217" s="372"/>
      <c r="H217" s="372"/>
      <c r="I217" s="372"/>
      <c r="J217" s="372"/>
      <c r="K217" s="369"/>
      <c r="L217" s="369"/>
      <c r="M217" s="373"/>
      <c r="N217" s="369"/>
      <c r="O217" s="369"/>
      <c r="P217" s="374"/>
      <c r="Q217" s="372"/>
      <c r="R217" s="372"/>
      <c r="S217" s="372"/>
      <c r="T217" s="372"/>
      <c r="U217" s="372"/>
      <c r="V217" s="372"/>
      <c r="W217" s="372"/>
      <c r="X217" s="372"/>
      <c r="Y217" s="372"/>
      <c r="Z217" s="372"/>
      <c r="AA217" s="372"/>
      <c r="AB217" s="372"/>
      <c r="AC217" s="372"/>
      <c r="AD217" s="372"/>
      <c r="AE217" s="372"/>
      <c r="AF217" s="372"/>
      <c r="AG217" s="372"/>
      <c r="AH217" s="372"/>
      <c r="AI217" s="372"/>
      <c r="AJ217" s="372"/>
      <c r="AK217" s="372"/>
      <c r="AL217" s="372"/>
      <c r="AM217" s="372"/>
    </row>
    <row r="218">
      <c r="A218" s="369" t="s">
        <v>566</v>
      </c>
      <c r="B218" s="369"/>
      <c r="C218" s="405"/>
      <c r="D218" s="369"/>
      <c r="E218" s="369"/>
      <c r="F218" s="372"/>
      <c r="G218" s="372"/>
      <c r="H218" s="372"/>
      <c r="I218" s="372"/>
      <c r="J218" s="372"/>
      <c r="K218" s="369"/>
      <c r="L218" s="369"/>
      <c r="M218" s="373"/>
      <c r="N218" s="369"/>
      <c r="O218" s="369"/>
      <c r="P218" s="374"/>
      <c r="Q218" s="372"/>
      <c r="R218" s="372"/>
      <c r="S218" s="372"/>
      <c r="T218" s="372"/>
      <c r="U218" s="372"/>
      <c r="V218" s="372"/>
      <c r="W218" s="372"/>
      <c r="X218" s="372"/>
      <c r="Y218" s="372"/>
      <c r="Z218" s="372"/>
      <c r="AA218" s="372"/>
      <c r="AB218" s="372"/>
      <c r="AC218" s="372"/>
      <c r="AD218" s="372"/>
      <c r="AE218" s="372"/>
      <c r="AF218" s="372"/>
      <c r="AG218" s="372"/>
      <c r="AH218" s="372"/>
      <c r="AI218" s="372"/>
      <c r="AJ218" s="372"/>
      <c r="AK218" s="372"/>
      <c r="AL218" s="372"/>
      <c r="AM218" s="372"/>
    </row>
    <row r="219">
      <c r="A219" s="369" t="s">
        <v>567</v>
      </c>
      <c r="B219" s="369"/>
      <c r="C219" s="405"/>
      <c r="D219" s="369"/>
      <c r="E219" s="369"/>
      <c r="F219" s="372"/>
      <c r="G219" s="372"/>
      <c r="H219" s="372"/>
      <c r="I219" s="372"/>
      <c r="J219" s="372"/>
      <c r="K219" s="369"/>
      <c r="L219" s="369"/>
      <c r="M219" s="373"/>
      <c r="N219" s="369"/>
      <c r="O219" s="369"/>
      <c r="P219" s="374"/>
      <c r="Q219" s="372"/>
      <c r="R219" s="372"/>
      <c r="S219" s="372"/>
      <c r="T219" s="372"/>
      <c r="U219" s="372"/>
      <c r="V219" s="372"/>
      <c r="W219" s="372"/>
      <c r="X219" s="372"/>
      <c r="Y219" s="372"/>
      <c r="Z219" s="372"/>
      <c r="AA219" s="372"/>
      <c r="AB219" s="372"/>
      <c r="AC219" s="372"/>
      <c r="AD219" s="372"/>
      <c r="AE219" s="372"/>
      <c r="AF219" s="372"/>
      <c r="AG219" s="372"/>
      <c r="AH219" s="372"/>
      <c r="AI219" s="372"/>
      <c r="AJ219" s="372"/>
      <c r="AK219" s="372"/>
      <c r="AL219" s="372"/>
      <c r="AM219" s="372"/>
    </row>
    <row r="220">
      <c r="A220" s="369" t="s">
        <v>568</v>
      </c>
      <c r="B220" s="369"/>
      <c r="C220" s="405"/>
      <c r="D220" s="369"/>
      <c r="E220" s="369"/>
      <c r="F220" s="372"/>
      <c r="G220" s="372"/>
      <c r="H220" s="372"/>
      <c r="I220" s="372"/>
      <c r="J220" s="372"/>
      <c r="K220" s="369"/>
      <c r="L220" s="369"/>
      <c r="M220" s="373"/>
      <c r="N220" s="369"/>
      <c r="O220" s="369"/>
      <c r="P220" s="374"/>
      <c r="Q220" s="372"/>
      <c r="R220" s="372"/>
      <c r="S220" s="372"/>
      <c r="T220" s="372"/>
      <c r="U220" s="372"/>
      <c r="V220" s="372"/>
      <c r="W220" s="372"/>
      <c r="X220" s="372"/>
      <c r="Y220" s="372"/>
      <c r="Z220" s="372"/>
      <c r="AA220" s="372"/>
      <c r="AB220" s="372"/>
      <c r="AC220" s="372"/>
      <c r="AD220" s="372"/>
      <c r="AE220" s="372"/>
      <c r="AF220" s="372"/>
      <c r="AG220" s="372"/>
      <c r="AH220" s="372"/>
      <c r="AI220" s="372"/>
      <c r="AJ220" s="372"/>
      <c r="AK220" s="372"/>
      <c r="AL220" s="372"/>
      <c r="AM220" s="372"/>
    </row>
    <row r="221">
      <c r="A221" s="369"/>
      <c r="B221" s="369"/>
      <c r="C221" s="405"/>
      <c r="D221" s="369"/>
      <c r="E221" s="369"/>
      <c r="F221" s="372"/>
      <c r="G221" s="372"/>
      <c r="H221" s="372"/>
      <c r="I221" s="372"/>
      <c r="J221" s="372"/>
      <c r="K221" s="369"/>
      <c r="L221" s="369"/>
      <c r="M221" s="373"/>
      <c r="N221" s="369"/>
      <c r="O221" s="369"/>
      <c r="P221" s="374"/>
      <c r="Q221" s="372"/>
      <c r="R221" s="372"/>
      <c r="S221" s="372"/>
      <c r="T221" s="372"/>
      <c r="U221" s="372"/>
      <c r="V221" s="372"/>
      <c r="W221" s="372"/>
      <c r="X221" s="372"/>
      <c r="Y221" s="372"/>
      <c r="Z221" s="372"/>
      <c r="AA221" s="372"/>
      <c r="AB221" s="372"/>
      <c r="AC221" s="372"/>
      <c r="AD221" s="372"/>
      <c r="AE221" s="372"/>
      <c r="AF221" s="372"/>
      <c r="AG221" s="372"/>
      <c r="AH221" s="372"/>
      <c r="AI221" s="372"/>
      <c r="AJ221" s="372"/>
      <c r="AK221" s="372"/>
      <c r="AL221" s="372"/>
      <c r="AM221" s="372"/>
    </row>
    <row r="222">
      <c r="A222" s="369" t="s">
        <v>569</v>
      </c>
      <c r="B222" s="369"/>
      <c r="C222" s="405"/>
      <c r="D222" s="369"/>
      <c r="E222" s="369"/>
      <c r="F222" s="372"/>
      <c r="G222" s="372"/>
      <c r="H222" s="372"/>
      <c r="I222" s="372"/>
      <c r="J222" s="372"/>
      <c r="K222" s="369"/>
      <c r="L222" s="369"/>
      <c r="M222" s="373"/>
      <c r="N222" s="369"/>
      <c r="O222" s="369"/>
      <c r="P222" s="374"/>
      <c r="Q222" s="372"/>
      <c r="R222" s="372"/>
      <c r="S222" s="372"/>
      <c r="T222" s="372"/>
      <c r="U222" s="372"/>
      <c r="V222" s="372"/>
      <c r="W222" s="372"/>
      <c r="X222" s="372"/>
      <c r="Y222" s="372"/>
      <c r="Z222" s="372"/>
      <c r="AA222" s="372"/>
      <c r="AB222" s="372"/>
      <c r="AC222" s="372"/>
      <c r="AD222" s="372"/>
      <c r="AE222" s="372"/>
      <c r="AF222" s="372"/>
      <c r="AG222" s="372"/>
      <c r="AH222" s="372"/>
      <c r="AI222" s="372"/>
      <c r="AJ222" s="372"/>
      <c r="AK222" s="372"/>
      <c r="AL222" s="372"/>
      <c r="AM222" s="372"/>
    </row>
    <row r="223">
      <c r="A223" s="369" t="s">
        <v>570</v>
      </c>
      <c r="B223" s="369"/>
      <c r="C223" s="405"/>
      <c r="D223" s="369"/>
      <c r="E223" s="369"/>
      <c r="F223" s="372"/>
      <c r="G223" s="372"/>
      <c r="H223" s="372"/>
      <c r="I223" s="372"/>
      <c r="J223" s="372"/>
      <c r="K223" s="369"/>
      <c r="L223" s="369"/>
      <c r="M223" s="373"/>
      <c r="N223" s="369"/>
      <c r="O223" s="369"/>
      <c r="P223" s="374"/>
      <c r="Q223" s="372"/>
      <c r="R223" s="372"/>
      <c r="S223" s="372"/>
      <c r="T223" s="372"/>
      <c r="U223" s="372"/>
      <c r="V223" s="372"/>
      <c r="W223" s="372"/>
      <c r="X223" s="372"/>
      <c r="Y223" s="372"/>
      <c r="Z223" s="372"/>
      <c r="AA223" s="372"/>
      <c r="AB223" s="372"/>
      <c r="AC223" s="372"/>
      <c r="AD223" s="372"/>
      <c r="AE223" s="372"/>
      <c r="AF223" s="372"/>
      <c r="AG223" s="372"/>
      <c r="AH223" s="372"/>
      <c r="AI223" s="372"/>
      <c r="AJ223" s="372"/>
      <c r="AK223" s="372"/>
      <c r="AL223" s="372"/>
      <c r="AM223" s="372"/>
    </row>
    <row r="224">
      <c r="A224" s="369" t="s">
        <v>571</v>
      </c>
      <c r="B224" s="369"/>
      <c r="C224" s="405"/>
      <c r="D224" s="369"/>
      <c r="E224" s="369"/>
      <c r="F224" s="372"/>
      <c r="G224" s="372"/>
      <c r="H224" s="372"/>
      <c r="I224" s="372"/>
      <c r="J224" s="372"/>
      <c r="K224" s="369"/>
      <c r="L224" s="369"/>
      <c r="M224" s="373"/>
      <c r="N224" s="369"/>
      <c r="O224" s="369"/>
      <c r="P224" s="374"/>
      <c r="Q224" s="372"/>
      <c r="R224" s="372"/>
      <c r="S224" s="372"/>
      <c r="T224" s="372"/>
      <c r="U224" s="372"/>
      <c r="V224" s="372"/>
      <c r="W224" s="372"/>
      <c r="X224" s="372"/>
      <c r="Y224" s="372"/>
      <c r="Z224" s="372"/>
      <c r="AA224" s="372"/>
      <c r="AB224" s="372"/>
      <c r="AC224" s="372"/>
      <c r="AD224" s="372"/>
      <c r="AE224" s="372"/>
      <c r="AF224" s="372"/>
      <c r="AG224" s="372"/>
      <c r="AH224" s="372"/>
      <c r="AI224" s="372"/>
      <c r="AJ224" s="372"/>
      <c r="AK224" s="372"/>
      <c r="AL224" s="372"/>
      <c r="AM224" s="372"/>
    </row>
    <row r="225">
      <c r="A225" s="369" t="s">
        <v>572</v>
      </c>
      <c r="B225" s="369"/>
      <c r="C225" s="405"/>
      <c r="D225" s="369"/>
      <c r="E225" s="369"/>
      <c r="F225" s="372"/>
      <c r="G225" s="372"/>
      <c r="H225" s="372"/>
      <c r="I225" s="372"/>
      <c r="J225" s="372"/>
      <c r="K225" s="369"/>
      <c r="L225" s="369"/>
      <c r="M225" s="373"/>
      <c r="N225" s="369"/>
      <c r="O225" s="369"/>
      <c r="P225" s="374"/>
      <c r="Q225" s="372"/>
      <c r="R225" s="372"/>
      <c r="S225" s="372"/>
      <c r="T225" s="372"/>
      <c r="U225" s="372"/>
      <c r="V225" s="372"/>
      <c r="W225" s="372"/>
      <c r="X225" s="372"/>
      <c r="Y225" s="372"/>
      <c r="Z225" s="372"/>
      <c r="AA225" s="372"/>
      <c r="AB225" s="372"/>
      <c r="AC225" s="372"/>
      <c r="AD225" s="372"/>
      <c r="AE225" s="372"/>
      <c r="AF225" s="372"/>
      <c r="AG225" s="372"/>
      <c r="AH225" s="372"/>
      <c r="AI225" s="372"/>
      <c r="AJ225" s="372"/>
      <c r="AK225" s="372"/>
      <c r="AL225" s="372"/>
      <c r="AM225" s="372"/>
    </row>
    <row r="226">
      <c r="A226" s="369" t="s">
        <v>573</v>
      </c>
      <c r="B226" s="369"/>
      <c r="C226" s="405"/>
      <c r="D226" s="369"/>
      <c r="E226" s="369"/>
      <c r="F226" s="372"/>
      <c r="G226" s="372"/>
      <c r="H226" s="372"/>
      <c r="I226" s="372"/>
      <c r="J226" s="372"/>
      <c r="K226" s="369"/>
      <c r="L226" s="369"/>
      <c r="M226" s="373"/>
      <c r="N226" s="369"/>
      <c r="O226" s="369"/>
      <c r="P226" s="374"/>
      <c r="Q226" s="372"/>
      <c r="R226" s="372"/>
      <c r="S226" s="372"/>
      <c r="T226" s="372"/>
      <c r="U226" s="372"/>
      <c r="V226" s="372"/>
      <c r="W226" s="372"/>
      <c r="X226" s="372"/>
      <c r="Y226" s="372"/>
      <c r="Z226" s="372"/>
      <c r="AA226" s="372"/>
      <c r="AB226" s="372"/>
      <c r="AC226" s="372"/>
      <c r="AD226" s="372"/>
      <c r="AE226" s="372"/>
      <c r="AF226" s="372"/>
      <c r="AG226" s="372"/>
      <c r="AH226" s="372"/>
      <c r="AI226" s="372"/>
      <c r="AJ226" s="372"/>
      <c r="AK226" s="372"/>
      <c r="AL226" s="372"/>
      <c r="AM226" s="372"/>
    </row>
    <row r="227">
      <c r="A227" s="369" t="s">
        <v>574</v>
      </c>
      <c r="B227" s="369"/>
      <c r="C227" s="405"/>
      <c r="D227" s="369"/>
      <c r="E227" s="369"/>
      <c r="F227" s="372"/>
      <c r="G227" s="372"/>
      <c r="H227" s="372"/>
      <c r="I227" s="372"/>
      <c r="J227" s="372"/>
      <c r="K227" s="369"/>
      <c r="L227" s="369"/>
      <c r="M227" s="373"/>
      <c r="N227" s="369"/>
      <c r="O227" s="369"/>
      <c r="P227" s="374"/>
      <c r="Q227" s="372"/>
      <c r="R227" s="372"/>
      <c r="S227" s="372"/>
      <c r="T227" s="372"/>
      <c r="U227" s="372"/>
      <c r="V227" s="372"/>
      <c r="W227" s="372"/>
      <c r="X227" s="372"/>
      <c r="Y227" s="372"/>
      <c r="Z227" s="372"/>
      <c r="AA227" s="372"/>
      <c r="AB227" s="372"/>
      <c r="AC227" s="372"/>
      <c r="AD227" s="372"/>
      <c r="AE227" s="372"/>
      <c r="AF227" s="372"/>
      <c r="AG227" s="372"/>
      <c r="AH227" s="372"/>
      <c r="AI227" s="372"/>
      <c r="AJ227" s="372"/>
      <c r="AK227" s="372"/>
      <c r="AL227" s="372"/>
      <c r="AM227" s="372"/>
    </row>
    <row r="228">
      <c r="A228" s="369" t="s">
        <v>575</v>
      </c>
      <c r="B228" s="369"/>
      <c r="C228" s="405"/>
      <c r="D228" s="369"/>
      <c r="E228" s="369"/>
      <c r="F228" s="372"/>
      <c r="G228" s="372"/>
      <c r="H228" s="372"/>
      <c r="I228" s="372"/>
      <c r="J228" s="372"/>
      <c r="K228" s="369"/>
      <c r="L228" s="369"/>
      <c r="M228" s="373"/>
      <c r="N228" s="369"/>
      <c r="O228" s="369"/>
      <c r="P228" s="374"/>
      <c r="Q228" s="372"/>
      <c r="R228" s="372"/>
      <c r="S228" s="372"/>
      <c r="T228" s="372"/>
      <c r="U228" s="372"/>
      <c r="V228" s="372"/>
      <c r="W228" s="372"/>
      <c r="X228" s="372"/>
      <c r="Y228" s="372"/>
      <c r="Z228" s="372"/>
      <c r="AA228" s="372"/>
      <c r="AB228" s="372"/>
      <c r="AC228" s="372"/>
      <c r="AD228" s="372"/>
      <c r="AE228" s="372"/>
      <c r="AF228" s="372"/>
      <c r="AG228" s="372"/>
      <c r="AH228" s="372"/>
      <c r="AI228" s="372"/>
      <c r="AJ228" s="372"/>
      <c r="AK228" s="372"/>
      <c r="AL228" s="372"/>
      <c r="AM228" s="372"/>
    </row>
    <row r="229">
      <c r="A229" s="369" t="s">
        <v>576</v>
      </c>
      <c r="B229" s="369"/>
      <c r="C229" s="405"/>
      <c r="D229" s="369"/>
      <c r="E229" s="369"/>
      <c r="F229" s="372"/>
      <c r="G229" s="372"/>
      <c r="H229" s="372"/>
      <c r="I229" s="372"/>
      <c r="J229" s="372"/>
      <c r="K229" s="369"/>
      <c r="L229" s="369"/>
      <c r="M229" s="373"/>
      <c r="N229" s="369"/>
      <c r="O229" s="369"/>
      <c r="P229" s="374"/>
      <c r="Q229" s="372"/>
      <c r="R229" s="372"/>
      <c r="S229" s="372"/>
      <c r="T229" s="372"/>
      <c r="U229" s="372"/>
      <c r="V229" s="372"/>
      <c r="W229" s="372"/>
      <c r="X229" s="372"/>
      <c r="Y229" s="372"/>
      <c r="Z229" s="372"/>
      <c r="AA229" s="372"/>
      <c r="AB229" s="372"/>
      <c r="AC229" s="372"/>
      <c r="AD229" s="372"/>
      <c r="AE229" s="372"/>
      <c r="AF229" s="372"/>
      <c r="AG229" s="372"/>
      <c r="AH229" s="372"/>
      <c r="AI229" s="372"/>
      <c r="AJ229" s="372"/>
      <c r="AK229" s="372"/>
      <c r="AL229" s="372"/>
      <c r="AM229" s="372"/>
    </row>
    <row r="230">
      <c r="A230" s="369" t="s">
        <v>577</v>
      </c>
      <c r="B230" s="369"/>
      <c r="C230" s="405"/>
      <c r="D230" s="369"/>
      <c r="E230" s="369"/>
      <c r="F230" s="372"/>
      <c r="G230" s="372"/>
      <c r="H230" s="372"/>
      <c r="I230" s="372"/>
      <c r="J230" s="372"/>
      <c r="K230" s="369"/>
      <c r="L230" s="369"/>
      <c r="M230" s="373"/>
      <c r="N230" s="369"/>
      <c r="O230" s="369"/>
      <c r="P230" s="374"/>
      <c r="Q230" s="372"/>
      <c r="R230" s="372"/>
      <c r="S230" s="372"/>
      <c r="T230" s="372"/>
      <c r="U230" s="372"/>
      <c r="V230" s="372"/>
      <c r="W230" s="372"/>
      <c r="X230" s="372"/>
      <c r="Y230" s="372"/>
      <c r="Z230" s="372"/>
      <c r="AA230" s="372"/>
      <c r="AB230" s="372"/>
      <c r="AC230" s="372"/>
      <c r="AD230" s="372"/>
      <c r="AE230" s="372"/>
      <c r="AF230" s="372"/>
      <c r="AG230" s="372"/>
      <c r="AH230" s="372"/>
      <c r="AI230" s="372"/>
      <c r="AJ230" s="372"/>
      <c r="AK230" s="372"/>
      <c r="AL230" s="372"/>
      <c r="AM230" s="372"/>
    </row>
    <row r="231">
      <c r="A231" s="369" t="s">
        <v>578</v>
      </c>
      <c r="B231" s="369"/>
      <c r="C231" s="405"/>
      <c r="D231" s="369"/>
      <c r="E231" s="369"/>
      <c r="F231" s="372"/>
      <c r="G231" s="372"/>
      <c r="H231" s="372"/>
      <c r="I231" s="372"/>
      <c r="J231" s="372"/>
      <c r="K231" s="369"/>
      <c r="L231" s="369"/>
      <c r="M231" s="373"/>
      <c r="N231" s="369"/>
      <c r="O231" s="369"/>
      <c r="P231" s="374"/>
      <c r="Q231" s="372"/>
      <c r="R231" s="372"/>
      <c r="S231" s="372"/>
      <c r="T231" s="372"/>
      <c r="U231" s="372"/>
      <c r="V231" s="372"/>
      <c r="W231" s="372"/>
      <c r="X231" s="372"/>
      <c r="Y231" s="372"/>
      <c r="Z231" s="372"/>
      <c r="AA231" s="372"/>
      <c r="AB231" s="372"/>
      <c r="AC231" s="372"/>
      <c r="AD231" s="372"/>
      <c r="AE231" s="372"/>
      <c r="AF231" s="372"/>
      <c r="AG231" s="372"/>
      <c r="AH231" s="372"/>
      <c r="AI231" s="372"/>
      <c r="AJ231" s="372"/>
      <c r="AK231" s="372"/>
      <c r="AL231" s="372"/>
      <c r="AM231" s="372"/>
    </row>
    <row r="232">
      <c r="A232" s="369" t="s">
        <v>579</v>
      </c>
      <c r="B232" s="369"/>
      <c r="C232" s="405"/>
      <c r="D232" s="369"/>
      <c r="E232" s="369"/>
      <c r="F232" s="372"/>
      <c r="G232" s="372"/>
      <c r="H232" s="372"/>
      <c r="I232" s="372"/>
      <c r="J232" s="372"/>
      <c r="K232" s="369"/>
      <c r="L232" s="369"/>
      <c r="M232" s="373"/>
      <c r="N232" s="369"/>
      <c r="O232" s="369"/>
      <c r="P232" s="374"/>
      <c r="Q232" s="372"/>
      <c r="R232" s="372"/>
      <c r="S232" s="372"/>
      <c r="T232" s="372"/>
      <c r="U232" s="372"/>
      <c r="V232" s="372"/>
      <c r="W232" s="372"/>
      <c r="X232" s="372"/>
      <c r="Y232" s="372"/>
      <c r="Z232" s="372"/>
      <c r="AA232" s="372"/>
      <c r="AB232" s="372"/>
      <c r="AC232" s="372"/>
      <c r="AD232" s="372"/>
      <c r="AE232" s="372"/>
      <c r="AF232" s="372"/>
      <c r="AG232" s="372"/>
      <c r="AH232" s="372"/>
      <c r="AI232" s="372"/>
      <c r="AJ232" s="372"/>
      <c r="AK232" s="372"/>
      <c r="AL232" s="372"/>
      <c r="AM232" s="372"/>
    </row>
    <row r="233">
      <c r="A233" s="369" t="s">
        <v>580</v>
      </c>
      <c r="B233" s="369"/>
      <c r="C233" s="405"/>
      <c r="D233" s="369"/>
      <c r="E233" s="369"/>
      <c r="F233" s="372"/>
      <c r="G233" s="372"/>
      <c r="H233" s="372"/>
      <c r="I233" s="372"/>
      <c r="J233" s="372"/>
      <c r="K233" s="369"/>
      <c r="L233" s="369"/>
      <c r="M233" s="373"/>
      <c r="N233" s="369"/>
      <c r="O233" s="369"/>
      <c r="P233" s="374"/>
      <c r="Q233" s="372"/>
      <c r="R233" s="372"/>
      <c r="S233" s="372"/>
      <c r="T233" s="372"/>
      <c r="U233" s="372"/>
      <c r="V233" s="372"/>
      <c r="W233" s="372"/>
      <c r="X233" s="372"/>
      <c r="Y233" s="372"/>
      <c r="Z233" s="372"/>
      <c r="AA233" s="372"/>
      <c r="AB233" s="372"/>
      <c r="AC233" s="372"/>
      <c r="AD233" s="372"/>
      <c r="AE233" s="372"/>
      <c r="AF233" s="372"/>
      <c r="AG233" s="372"/>
      <c r="AH233" s="372"/>
      <c r="AI233" s="372"/>
      <c r="AJ233" s="372"/>
      <c r="AK233" s="372"/>
      <c r="AL233" s="372"/>
      <c r="AM233" s="372"/>
    </row>
    <row r="234">
      <c r="A234" s="369" t="s">
        <v>581</v>
      </c>
      <c r="B234" s="369"/>
      <c r="C234" s="405"/>
      <c r="D234" s="369"/>
      <c r="E234" s="369"/>
      <c r="F234" s="372"/>
      <c r="G234" s="372"/>
      <c r="H234" s="372"/>
      <c r="I234" s="372"/>
      <c r="J234" s="372"/>
      <c r="K234" s="369"/>
      <c r="L234" s="369"/>
      <c r="M234" s="373"/>
      <c r="N234" s="369"/>
      <c r="O234" s="369"/>
      <c r="P234" s="374"/>
      <c r="Q234" s="372"/>
      <c r="R234" s="372"/>
      <c r="S234" s="372"/>
      <c r="T234" s="372"/>
      <c r="U234" s="372"/>
      <c r="V234" s="372"/>
      <c r="W234" s="372"/>
      <c r="X234" s="372"/>
      <c r="Y234" s="372"/>
      <c r="Z234" s="372"/>
      <c r="AA234" s="372"/>
      <c r="AB234" s="372"/>
      <c r="AC234" s="372"/>
      <c r="AD234" s="372"/>
      <c r="AE234" s="372"/>
      <c r="AF234" s="372"/>
      <c r="AG234" s="372"/>
      <c r="AH234" s="372"/>
      <c r="AI234" s="372"/>
      <c r="AJ234" s="372"/>
      <c r="AK234" s="372"/>
      <c r="AL234" s="372"/>
      <c r="AM234" s="372"/>
    </row>
    <row r="235">
      <c r="A235" s="369" t="s">
        <v>582</v>
      </c>
      <c r="B235" s="369"/>
      <c r="C235" s="405"/>
      <c r="D235" s="369"/>
      <c r="E235" s="369"/>
      <c r="F235" s="372"/>
      <c r="G235" s="372"/>
      <c r="H235" s="372"/>
      <c r="I235" s="372"/>
      <c r="J235" s="372"/>
      <c r="K235" s="369"/>
      <c r="L235" s="369"/>
      <c r="M235" s="373"/>
      <c r="N235" s="369"/>
      <c r="O235" s="369"/>
      <c r="P235" s="374"/>
      <c r="Q235" s="372"/>
      <c r="R235" s="372"/>
      <c r="S235" s="372"/>
      <c r="T235" s="372"/>
      <c r="U235" s="372"/>
      <c r="V235" s="372"/>
      <c r="W235" s="372"/>
      <c r="X235" s="372"/>
      <c r="Y235" s="372"/>
      <c r="Z235" s="372"/>
      <c r="AA235" s="372"/>
      <c r="AB235" s="372"/>
      <c r="AC235" s="372"/>
      <c r="AD235" s="372"/>
      <c r="AE235" s="372"/>
      <c r="AF235" s="372"/>
      <c r="AG235" s="372"/>
      <c r="AH235" s="372"/>
      <c r="AI235" s="372"/>
      <c r="AJ235" s="372"/>
      <c r="AK235" s="372"/>
      <c r="AL235" s="372"/>
      <c r="AM235" s="372"/>
    </row>
    <row r="236">
      <c r="A236" s="369" t="s">
        <v>583</v>
      </c>
      <c r="B236" s="369"/>
      <c r="C236" s="405"/>
      <c r="D236" s="369"/>
      <c r="E236" s="369"/>
      <c r="F236" s="372"/>
      <c r="G236" s="372"/>
      <c r="H236" s="372"/>
      <c r="I236" s="372"/>
      <c r="J236" s="372"/>
      <c r="K236" s="369"/>
      <c r="L236" s="369"/>
      <c r="M236" s="373"/>
      <c r="N236" s="369"/>
      <c r="O236" s="369"/>
      <c r="P236" s="374"/>
      <c r="Q236" s="372"/>
      <c r="R236" s="372"/>
      <c r="S236" s="372"/>
      <c r="T236" s="372"/>
      <c r="U236" s="372"/>
      <c r="V236" s="372"/>
      <c r="W236" s="372"/>
      <c r="X236" s="372"/>
      <c r="Y236" s="372"/>
      <c r="Z236" s="372"/>
      <c r="AA236" s="372"/>
      <c r="AB236" s="372"/>
      <c r="AC236" s="372"/>
      <c r="AD236" s="372"/>
      <c r="AE236" s="372"/>
      <c r="AF236" s="372"/>
      <c r="AG236" s="372"/>
      <c r="AH236" s="372"/>
      <c r="AI236" s="372"/>
      <c r="AJ236" s="372"/>
      <c r="AK236" s="372"/>
      <c r="AL236" s="372"/>
      <c r="AM236" s="372"/>
    </row>
    <row r="237">
      <c r="A237" s="369" t="s">
        <v>584</v>
      </c>
      <c r="B237" s="369"/>
      <c r="C237" s="405"/>
      <c r="D237" s="369"/>
      <c r="E237" s="369"/>
      <c r="F237" s="372"/>
      <c r="G237" s="372"/>
      <c r="H237" s="372"/>
      <c r="I237" s="372"/>
      <c r="J237" s="372"/>
      <c r="K237" s="369"/>
      <c r="L237" s="369"/>
      <c r="M237" s="373"/>
      <c r="N237" s="369"/>
      <c r="O237" s="369"/>
      <c r="P237" s="374"/>
      <c r="Q237" s="372"/>
      <c r="R237" s="372"/>
      <c r="S237" s="372"/>
      <c r="T237" s="372"/>
      <c r="U237" s="372"/>
      <c r="V237" s="372"/>
      <c r="W237" s="372"/>
      <c r="X237" s="372"/>
      <c r="Y237" s="372"/>
      <c r="Z237" s="372"/>
      <c r="AA237" s="372"/>
      <c r="AB237" s="372"/>
      <c r="AC237" s="372"/>
      <c r="AD237" s="372"/>
      <c r="AE237" s="372"/>
      <c r="AF237" s="372"/>
      <c r="AG237" s="372"/>
      <c r="AH237" s="372"/>
      <c r="AI237" s="372"/>
      <c r="AJ237" s="372"/>
      <c r="AK237" s="372"/>
      <c r="AL237" s="372"/>
      <c r="AM237" s="372"/>
    </row>
    <row r="238">
      <c r="A238" s="369" t="s">
        <v>585</v>
      </c>
      <c r="B238" s="369"/>
      <c r="C238" s="405"/>
      <c r="D238" s="369"/>
      <c r="E238" s="369"/>
      <c r="F238" s="372"/>
      <c r="G238" s="372"/>
      <c r="H238" s="372"/>
      <c r="I238" s="372"/>
      <c r="J238" s="372"/>
      <c r="K238" s="369"/>
      <c r="L238" s="369"/>
      <c r="M238" s="373"/>
      <c r="N238" s="369"/>
      <c r="O238" s="369"/>
      <c r="P238" s="374"/>
      <c r="Q238" s="372"/>
      <c r="R238" s="372"/>
      <c r="S238" s="372"/>
      <c r="T238" s="372"/>
      <c r="U238" s="372"/>
      <c r="V238" s="372"/>
      <c r="W238" s="372"/>
      <c r="X238" s="372"/>
      <c r="Y238" s="372"/>
      <c r="Z238" s="372"/>
      <c r="AA238" s="372"/>
      <c r="AB238" s="372"/>
      <c r="AC238" s="372"/>
      <c r="AD238" s="372"/>
      <c r="AE238" s="372"/>
      <c r="AF238" s="372"/>
      <c r="AG238" s="372"/>
      <c r="AH238" s="372"/>
      <c r="AI238" s="372"/>
      <c r="AJ238" s="372"/>
      <c r="AK238" s="372"/>
      <c r="AL238" s="372"/>
      <c r="AM238" s="372"/>
    </row>
    <row r="239">
      <c r="A239" s="369" t="s">
        <v>586</v>
      </c>
      <c r="B239" s="369"/>
      <c r="C239" s="405"/>
      <c r="D239" s="369"/>
      <c r="E239" s="369"/>
      <c r="F239" s="372"/>
      <c r="G239" s="372"/>
      <c r="H239" s="372"/>
      <c r="I239" s="372"/>
      <c r="J239" s="372"/>
      <c r="K239" s="369"/>
      <c r="L239" s="369"/>
      <c r="M239" s="373"/>
      <c r="N239" s="369"/>
      <c r="O239" s="369"/>
      <c r="P239" s="374"/>
      <c r="Q239" s="372"/>
      <c r="R239" s="372"/>
      <c r="S239" s="372"/>
      <c r="T239" s="372"/>
      <c r="U239" s="372"/>
      <c r="V239" s="372"/>
      <c r="W239" s="372"/>
      <c r="X239" s="372"/>
      <c r="Y239" s="372"/>
      <c r="Z239" s="372"/>
      <c r="AA239" s="372"/>
      <c r="AB239" s="372"/>
      <c r="AC239" s="372"/>
      <c r="AD239" s="372"/>
      <c r="AE239" s="372"/>
      <c r="AF239" s="372"/>
      <c r="AG239" s="372"/>
      <c r="AH239" s="372"/>
      <c r="AI239" s="372"/>
      <c r="AJ239" s="372"/>
      <c r="AK239" s="372"/>
      <c r="AL239" s="372"/>
      <c r="AM239" s="372"/>
    </row>
    <row r="240">
      <c r="A240" s="369" t="s">
        <v>587</v>
      </c>
      <c r="B240" s="369"/>
      <c r="C240" s="405"/>
      <c r="D240" s="369"/>
      <c r="E240" s="369"/>
      <c r="F240" s="372"/>
      <c r="G240" s="372"/>
      <c r="H240" s="372"/>
      <c r="I240" s="372"/>
      <c r="J240" s="372"/>
      <c r="K240" s="369"/>
      <c r="L240" s="369"/>
      <c r="M240" s="373"/>
      <c r="N240" s="369"/>
      <c r="O240" s="369"/>
      <c r="P240" s="374"/>
      <c r="Q240" s="372"/>
      <c r="R240" s="372"/>
      <c r="S240" s="372"/>
      <c r="T240" s="372"/>
      <c r="U240" s="372"/>
      <c r="V240" s="372"/>
      <c r="W240" s="372"/>
      <c r="X240" s="372"/>
      <c r="Y240" s="372"/>
      <c r="Z240" s="372"/>
      <c r="AA240" s="372"/>
      <c r="AB240" s="372"/>
      <c r="AC240" s="372"/>
      <c r="AD240" s="372"/>
      <c r="AE240" s="372"/>
      <c r="AF240" s="372"/>
      <c r="AG240" s="372"/>
      <c r="AH240" s="372"/>
      <c r="AI240" s="372"/>
      <c r="AJ240" s="372"/>
      <c r="AK240" s="372"/>
      <c r="AL240" s="372"/>
      <c r="AM240" s="372"/>
    </row>
    <row r="241">
      <c r="A241" s="369" t="s">
        <v>588</v>
      </c>
      <c r="B241" s="369"/>
      <c r="C241" s="405"/>
      <c r="D241" s="369"/>
      <c r="E241" s="369"/>
      <c r="F241" s="372"/>
      <c r="G241" s="372"/>
      <c r="H241" s="372"/>
      <c r="I241" s="372"/>
      <c r="J241" s="372"/>
      <c r="K241" s="369"/>
      <c r="L241" s="369"/>
      <c r="M241" s="373"/>
      <c r="N241" s="369"/>
      <c r="O241" s="369"/>
      <c r="P241" s="374"/>
      <c r="Q241" s="372"/>
      <c r="R241" s="372"/>
      <c r="S241" s="372"/>
      <c r="T241" s="372"/>
      <c r="U241" s="372"/>
      <c r="V241" s="372"/>
      <c r="W241" s="372"/>
      <c r="X241" s="372"/>
      <c r="Y241" s="372"/>
      <c r="Z241" s="372"/>
      <c r="AA241" s="372"/>
      <c r="AB241" s="372"/>
      <c r="AC241" s="372"/>
      <c r="AD241" s="372"/>
      <c r="AE241" s="372"/>
      <c r="AF241" s="372"/>
      <c r="AG241" s="372"/>
      <c r="AH241" s="372"/>
      <c r="AI241" s="372"/>
      <c r="AJ241" s="372"/>
      <c r="AK241" s="372"/>
      <c r="AL241" s="372"/>
      <c r="AM241" s="372"/>
    </row>
    <row r="242">
      <c r="A242" s="369" t="s">
        <v>589</v>
      </c>
      <c r="B242" s="369"/>
      <c r="C242" s="405"/>
      <c r="D242" s="369"/>
      <c r="E242" s="369"/>
      <c r="F242" s="372"/>
      <c r="G242" s="372"/>
      <c r="H242" s="372"/>
      <c r="I242" s="372"/>
      <c r="J242" s="372"/>
      <c r="K242" s="369"/>
      <c r="L242" s="369"/>
      <c r="M242" s="373"/>
      <c r="N242" s="369"/>
      <c r="O242" s="369"/>
      <c r="P242" s="374"/>
      <c r="Q242" s="372"/>
      <c r="R242" s="372"/>
      <c r="S242" s="372"/>
      <c r="T242" s="372"/>
      <c r="U242" s="372"/>
      <c r="V242" s="372"/>
      <c r="W242" s="372"/>
      <c r="X242" s="372"/>
      <c r="Y242" s="372"/>
      <c r="Z242" s="372"/>
      <c r="AA242" s="372"/>
      <c r="AB242" s="372"/>
      <c r="AC242" s="372"/>
      <c r="AD242" s="372"/>
      <c r="AE242" s="372"/>
      <c r="AF242" s="372"/>
      <c r="AG242" s="372"/>
      <c r="AH242" s="372"/>
      <c r="AI242" s="372"/>
      <c r="AJ242" s="372"/>
      <c r="AK242" s="372"/>
      <c r="AL242" s="372"/>
      <c r="AM242" s="372"/>
    </row>
    <row r="243">
      <c r="A243" s="369" t="s">
        <v>590</v>
      </c>
      <c r="B243" s="369"/>
      <c r="C243" s="405"/>
      <c r="D243" s="369"/>
      <c r="E243" s="369"/>
      <c r="F243" s="372"/>
      <c r="G243" s="372"/>
      <c r="H243" s="372"/>
      <c r="I243" s="372"/>
      <c r="J243" s="372"/>
      <c r="K243" s="369"/>
      <c r="L243" s="369"/>
      <c r="M243" s="373"/>
      <c r="N243" s="369"/>
      <c r="O243" s="369"/>
      <c r="P243" s="374"/>
      <c r="Q243" s="372"/>
      <c r="R243" s="372"/>
      <c r="S243" s="372"/>
      <c r="T243" s="372"/>
      <c r="U243" s="372"/>
      <c r="V243" s="372"/>
      <c r="W243" s="372"/>
      <c r="X243" s="372"/>
      <c r="Y243" s="372"/>
      <c r="Z243" s="372"/>
      <c r="AA243" s="372"/>
      <c r="AB243" s="372"/>
      <c r="AC243" s="372"/>
      <c r="AD243" s="372"/>
      <c r="AE243" s="372"/>
      <c r="AF243" s="372"/>
      <c r="AG243" s="372"/>
      <c r="AH243" s="372"/>
      <c r="AI243" s="372"/>
      <c r="AJ243" s="372"/>
      <c r="AK243" s="372"/>
      <c r="AL243" s="372"/>
      <c r="AM243" s="372"/>
    </row>
    <row r="244">
      <c r="A244" s="369" t="s">
        <v>591</v>
      </c>
      <c r="B244" s="369"/>
      <c r="C244" s="405"/>
      <c r="D244" s="369"/>
      <c r="E244" s="369"/>
      <c r="F244" s="372"/>
      <c r="G244" s="372"/>
      <c r="H244" s="372"/>
      <c r="I244" s="372"/>
      <c r="J244" s="372"/>
      <c r="K244" s="369"/>
      <c r="L244" s="369"/>
      <c r="M244" s="373"/>
      <c r="N244" s="369"/>
      <c r="O244" s="369"/>
      <c r="P244" s="374"/>
      <c r="Q244" s="372"/>
      <c r="R244" s="372"/>
      <c r="S244" s="372"/>
      <c r="T244" s="372"/>
      <c r="U244" s="372"/>
      <c r="V244" s="372"/>
      <c r="W244" s="372"/>
      <c r="X244" s="372"/>
      <c r="Y244" s="372"/>
      <c r="Z244" s="372"/>
      <c r="AA244" s="372"/>
      <c r="AB244" s="372"/>
      <c r="AC244" s="372"/>
      <c r="AD244" s="372"/>
      <c r="AE244" s="372"/>
      <c r="AF244" s="372"/>
      <c r="AG244" s="372"/>
      <c r="AH244" s="372"/>
      <c r="AI244" s="372"/>
      <c r="AJ244" s="372"/>
      <c r="AK244" s="372"/>
      <c r="AL244" s="372"/>
      <c r="AM244" s="372"/>
    </row>
    <row r="245">
      <c r="A245" s="369" t="s">
        <v>592</v>
      </c>
      <c r="B245" s="369"/>
      <c r="C245" s="405"/>
      <c r="D245" s="369"/>
      <c r="E245" s="369"/>
      <c r="F245" s="372"/>
      <c r="G245" s="372"/>
      <c r="H245" s="372"/>
      <c r="I245" s="372"/>
      <c r="J245" s="372"/>
      <c r="K245" s="369"/>
      <c r="L245" s="369"/>
      <c r="M245" s="373"/>
      <c r="N245" s="369"/>
      <c r="O245" s="369"/>
      <c r="P245" s="374"/>
      <c r="Q245" s="372"/>
      <c r="R245" s="372"/>
      <c r="S245" s="372"/>
      <c r="T245" s="372"/>
      <c r="U245" s="372"/>
      <c r="V245" s="372"/>
      <c r="W245" s="372"/>
      <c r="X245" s="372"/>
      <c r="Y245" s="372"/>
      <c r="Z245" s="372"/>
      <c r="AA245" s="372"/>
      <c r="AB245" s="372"/>
      <c r="AC245" s="372"/>
      <c r="AD245" s="372"/>
      <c r="AE245" s="372"/>
      <c r="AF245" s="372"/>
      <c r="AG245" s="372"/>
      <c r="AH245" s="372"/>
      <c r="AI245" s="372"/>
      <c r="AJ245" s="372"/>
      <c r="AK245" s="372"/>
      <c r="AL245" s="372"/>
      <c r="AM245" s="372"/>
    </row>
    <row r="246">
      <c r="A246" s="369" t="s">
        <v>593</v>
      </c>
      <c r="B246" s="369"/>
      <c r="C246" s="405"/>
      <c r="D246" s="369"/>
      <c r="E246" s="369"/>
      <c r="F246" s="372"/>
      <c r="G246" s="372"/>
      <c r="H246" s="372"/>
      <c r="I246" s="372"/>
      <c r="J246" s="372"/>
      <c r="K246" s="369"/>
      <c r="L246" s="369"/>
      <c r="M246" s="373"/>
      <c r="N246" s="369"/>
      <c r="O246" s="369"/>
      <c r="P246" s="374"/>
      <c r="Q246" s="372"/>
      <c r="R246" s="372"/>
      <c r="S246" s="372"/>
      <c r="T246" s="372"/>
      <c r="U246" s="372"/>
      <c r="V246" s="372"/>
      <c r="W246" s="372"/>
      <c r="X246" s="372"/>
      <c r="Y246" s="372"/>
      <c r="Z246" s="372"/>
      <c r="AA246" s="372"/>
      <c r="AB246" s="372"/>
      <c r="AC246" s="372"/>
      <c r="AD246" s="372"/>
      <c r="AE246" s="372"/>
      <c r="AF246" s="372"/>
      <c r="AG246" s="372"/>
      <c r="AH246" s="372"/>
      <c r="AI246" s="372"/>
      <c r="AJ246" s="372"/>
      <c r="AK246" s="372"/>
      <c r="AL246" s="372"/>
      <c r="AM246" s="372"/>
    </row>
    <row r="247">
      <c r="A247" s="369" t="s">
        <v>594</v>
      </c>
      <c r="B247" s="369"/>
      <c r="C247" s="405"/>
      <c r="D247" s="369"/>
      <c r="E247" s="369"/>
      <c r="F247" s="372"/>
      <c r="G247" s="372"/>
      <c r="H247" s="372"/>
      <c r="I247" s="372"/>
      <c r="J247" s="372"/>
      <c r="K247" s="369"/>
      <c r="L247" s="369"/>
      <c r="M247" s="373"/>
      <c r="N247" s="369"/>
      <c r="O247" s="369"/>
      <c r="P247" s="374"/>
      <c r="Q247" s="372"/>
      <c r="R247" s="372"/>
      <c r="S247" s="372"/>
      <c r="T247" s="372"/>
      <c r="U247" s="372"/>
      <c r="V247" s="372"/>
      <c r="W247" s="372"/>
      <c r="X247" s="372"/>
      <c r="Y247" s="372"/>
      <c r="Z247" s="372"/>
      <c r="AA247" s="372"/>
      <c r="AB247" s="372"/>
      <c r="AC247" s="372"/>
      <c r="AD247" s="372"/>
      <c r="AE247" s="372"/>
      <c r="AF247" s="372"/>
      <c r="AG247" s="372"/>
      <c r="AH247" s="372"/>
      <c r="AI247" s="372"/>
      <c r="AJ247" s="372"/>
      <c r="AK247" s="372"/>
      <c r="AL247" s="372"/>
      <c r="AM247" s="372"/>
    </row>
    <row r="248">
      <c r="A248" s="369" t="s">
        <v>595</v>
      </c>
      <c r="B248" s="369"/>
      <c r="C248" s="405"/>
      <c r="D248" s="369"/>
      <c r="E248" s="369"/>
      <c r="F248" s="372"/>
      <c r="G248" s="372"/>
      <c r="H248" s="372"/>
      <c r="I248" s="372"/>
      <c r="J248" s="372"/>
      <c r="K248" s="369"/>
      <c r="L248" s="369"/>
      <c r="M248" s="373"/>
      <c r="N248" s="369"/>
      <c r="O248" s="369"/>
      <c r="P248" s="374"/>
      <c r="Q248" s="372"/>
      <c r="R248" s="372"/>
      <c r="S248" s="372"/>
      <c r="T248" s="372"/>
      <c r="U248" s="372"/>
      <c r="V248" s="372"/>
      <c r="W248" s="372"/>
      <c r="X248" s="372"/>
      <c r="Y248" s="372"/>
      <c r="Z248" s="372"/>
      <c r="AA248" s="372"/>
      <c r="AB248" s="372"/>
      <c r="AC248" s="372"/>
      <c r="AD248" s="372"/>
      <c r="AE248" s="372"/>
      <c r="AF248" s="372"/>
      <c r="AG248" s="372"/>
      <c r="AH248" s="372"/>
      <c r="AI248" s="372"/>
      <c r="AJ248" s="372"/>
      <c r="AK248" s="372"/>
      <c r="AL248" s="372"/>
      <c r="AM248" s="372"/>
    </row>
    <row r="249">
      <c r="A249" s="369" t="s">
        <v>596</v>
      </c>
      <c r="B249" s="369"/>
      <c r="C249" s="405"/>
      <c r="D249" s="369"/>
      <c r="E249" s="369"/>
      <c r="F249" s="372"/>
      <c r="G249" s="372"/>
      <c r="H249" s="372"/>
      <c r="I249" s="372"/>
      <c r="J249" s="372"/>
      <c r="K249" s="369"/>
      <c r="L249" s="369"/>
      <c r="M249" s="373"/>
      <c r="N249" s="369"/>
      <c r="O249" s="369"/>
      <c r="P249" s="374"/>
      <c r="Q249" s="372"/>
      <c r="R249" s="372"/>
      <c r="S249" s="372"/>
      <c r="T249" s="372"/>
      <c r="U249" s="372"/>
      <c r="V249" s="372"/>
      <c r="W249" s="372"/>
      <c r="X249" s="372"/>
      <c r="Y249" s="372"/>
      <c r="Z249" s="372"/>
      <c r="AA249" s="372"/>
      <c r="AB249" s="372"/>
      <c r="AC249" s="372"/>
      <c r="AD249" s="372"/>
      <c r="AE249" s="372"/>
      <c r="AF249" s="372"/>
      <c r="AG249" s="372"/>
      <c r="AH249" s="372"/>
      <c r="AI249" s="372"/>
      <c r="AJ249" s="372"/>
      <c r="AK249" s="372"/>
      <c r="AL249" s="372"/>
      <c r="AM249" s="372"/>
    </row>
    <row r="250">
      <c r="A250" s="369" t="s">
        <v>597</v>
      </c>
      <c r="B250" s="369"/>
      <c r="C250" s="405"/>
      <c r="D250" s="369"/>
      <c r="E250" s="369"/>
      <c r="F250" s="372"/>
      <c r="G250" s="372"/>
      <c r="H250" s="372"/>
      <c r="I250" s="372"/>
      <c r="J250" s="372"/>
      <c r="K250" s="369"/>
      <c r="L250" s="369"/>
      <c r="M250" s="373"/>
      <c r="N250" s="369"/>
      <c r="O250" s="369"/>
      <c r="P250" s="374"/>
      <c r="Q250" s="372"/>
      <c r="R250" s="372"/>
      <c r="S250" s="372"/>
      <c r="T250" s="372"/>
      <c r="U250" s="372"/>
      <c r="V250" s="372"/>
      <c r="W250" s="372"/>
      <c r="X250" s="372"/>
      <c r="Y250" s="372"/>
      <c r="Z250" s="372"/>
      <c r="AA250" s="372"/>
      <c r="AB250" s="372"/>
      <c r="AC250" s="372"/>
      <c r="AD250" s="372"/>
      <c r="AE250" s="372"/>
      <c r="AF250" s="372"/>
      <c r="AG250" s="372"/>
      <c r="AH250" s="372"/>
      <c r="AI250" s="372"/>
      <c r="AJ250" s="372"/>
      <c r="AK250" s="372"/>
      <c r="AL250" s="372"/>
      <c r="AM250" s="372"/>
    </row>
    <row r="251">
      <c r="A251" s="369" t="s">
        <v>598</v>
      </c>
      <c r="B251" s="369"/>
      <c r="C251" s="405"/>
      <c r="D251" s="369"/>
      <c r="E251" s="369"/>
      <c r="F251" s="372"/>
      <c r="G251" s="372"/>
      <c r="H251" s="372"/>
      <c r="I251" s="372"/>
      <c r="J251" s="372"/>
      <c r="K251" s="369"/>
      <c r="L251" s="369"/>
      <c r="M251" s="373"/>
      <c r="N251" s="369"/>
      <c r="O251" s="369"/>
      <c r="P251" s="374"/>
      <c r="Q251" s="372"/>
      <c r="R251" s="372"/>
      <c r="S251" s="372"/>
      <c r="T251" s="372"/>
      <c r="U251" s="372"/>
      <c r="V251" s="372"/>
      <c r="W251" s="372"/>
      <c r="X251" s="372"/>
      <c r="Y251" s="372"/>
      <c r="Z251" s="372"/>
      <c r="AA251" s="372"/>
      <c r="AB251" s="372"/>
      <c r="AC251" s="372"/>
      <c r="AD251" s="372"/>
      <c r="AE251" s="372"/>
      <c r="AF251" s="372"/>
      <c r="AG251" s="372"/>
      <c r="AH251" s="372"/>
      <c r="AI251" s="372"/>
      <c r="AJ251" s="372"/>
      <c r="AK251" s="372"/>
      <c r="AL251" s="372"/>
      <c r="AM251" s="372"/>
    </row>
    <row r="252">
      <c r="A252" s="369" t="s">
        <v>599</v>
      </c>
      <c r="B252" s="369"/>
      <c r="C252" s="405"/>
      <c r="D252" s="369"/>
      <c r="E252" s="369"/>
      <c r="F252" s="372"/>
      <c r="G252" s="372"/>
      <c r="H252" s="372"/>
      <c r="I252" s="372"/>
      <c r="J252" s="372"/>
      <c r="K252" s="369"/>
      <c r="L252" s="369"/>
      <c r="M252" s="373"/>
      <c r="N252" s="369"/>
      <c r="O252" s="369"/>
      <c r="P252" s="374"/>
      <c r="Q252" s="372"/>
      <c r="R252" s="372"/>
      <c r="S252" s="372"/>
      <c r="T252" s="372"/>
      <c r="U252" s="372"/>
      <c r="V252" s="372"/>
      <c r="W252" s="372"/>
      <c r="X252" s="372"/>
      <c r="Y252" s="372"/>
      <c r="Z252" s="372"/>
      <c r="AA252" s="372"/>
      <c r="AB252" s="372"/>
      <c r="AC252" s="372"/>
      <c r="AD252" s="372"/>
      <c r="AE252" s="372"/>
      <c r="AF252" s="372"/>
      <c r="AG252" s="372"/>
      <c r="AH252" s="372"/>
      <c r="AI252" s="372"/>
      <c r="AJ252" s="372"/>
      <c r="AK252" s="372"/>
      <c r="AL252" s="372"/>
      <c r="AM252" s="372"/>
    </row>
    <row r="253">
      <c r="A253" s="369" t="s">
        <v>600</v>
      </c>
      <c r="B253" s="369"/>
      <c r="C253" s="405"/>
      <c r="D253" s="369"/>
      <c r="E253" s="369"/>
      <c r="F253" s="372"/>
      <c r="G253" s="372"/>
      <c r="H253" s="372"/>
      <c r="I253" s="372"/>
      <c r="J253" s="372"/>
      <c r="K253" s="369"/>
      <c r="L253" s="369"/>
      <c r="M253" s="373"/>
      <c r="N253" s="369"/>
      <c r="O253" s="369"/>
      <c r="P253" s="374"/>
      <c r="Q253" s="372"/>
      <c r="R253" s="372"/>
      <c r="S253" s="372"/>
      <c r="T253" s="372"/>
      <c r="U253" s="372"/>
      <c r="V253" s="372"/>
      <c r="W253" s="372"/>
      <c r="X253" s="372"/>
      <c r="Y253" s="372"/>
      <c r="Z253" s="372"/>
      <c r="AA253" s="372"/>
      <c r="AB253" s="372"/>
      <c r="AC253" s="372"/>
      <c r="AD253" s="372"/>
      <c r="AE253" s="372"/>
      <c r="AF253" s="372"/>
      <c r="AG253" s="372"/>
      <c r="AH253" s="372"/>
      <c r="AI253" s="372"/>
      <c r="AJ253" s="372"/>
      <c r="AK253" s="372"/>
      <c r="AL253" s="372"/>
      <c r="AM253" s="372"/>
    </row>
    <row r="254">
      <c r="A254" s="369" t="s">
        <v>601</v>
      </c>
      <c r="B254" s="369"/>
      <c r="C254" s="405"/>
      <c r="D254" s="369"/>
      <c r="E254" s="369"/>
      <c r="F254" s="372"/>
      <c r="G254" s="372"/>
      <c r="H254" s="372"/>
      <c r="I254" s="372"/>
      <c r="J254" s="372"/>
      <c r="K254" s="369"/>
      <c r="L254" s="369"/>
      <c r="M254" s="373"/>
      <c r="N254" s="369"/>
      <c r="O254" s="369"/>
      <c r="P254" s="374"/>
      <c r="Q254" s="372"/>
      <c r="R254" s="372"/>
      <c r="S254" s="372"/>
      <c r="T254" s="372"/>
      <c r="U254" s="372"/>
      <c r="V254" s="372"/>
      <c r="W254" s="372"/>
      <c r="X254" s="372"/>
      <c r="Y254" s="372"/>
      <c r="Z254" s="372"/>
      <c r="AA254" s="372"/>
      <c r="AB254" s="372"/>
      <c r="AC254" s="372"/>
      <c r="AD254" s="372"/>
      <c r="AE254" s="372"/>
      <c r="AF254" s="372"/>
      <c r="AG254" s="372"/>
      <c r="AH254" s="372"/>
      <c r="AI254" s="372"/>
      <c r="AJ254" s="372"/>
      <c r="AK254" s="372"/>
      <c r="AL254" s="372"/>
      <c r="AM254" s="372"/>
    </row>
    <row r="255">
      <c r="A255" s="369" t="s">
        <v>602</v>
      </c>
      <c r="B255" s="369"/>
      <c r="C255" s="405"/>
      <c r="D255" s="369"/>
      <c r="E255" s="369"/>
      <c r="F255" s="372"/>
      <c r="G255" s="372"/>
      <c r="H255" s="372"/>
      <c r="I255" s="372"/>
      <c r="J255" s="372"/>
      <c r="K255" s="369"/>
      <c r="L255" s="369"/>
      <c r="M255" s="373"/>
      <c r="N255" s="369"/>
      <c r="O255" s="369"/>
      <c r="P255" s="374"/>
      <c r="Q255" s="372"/>
      <c r="R255" s="372"/>
      <c r="S255" s="372"/>
      <c r="T255" s="372"/>
      <c r="U255" s="372"/>
      <c r="V255" s="372"/>
      <c r="W255" s="372"/>
      <c r="X255" s="372"/>
      <c r="Y255" s="372"/>
      <c r="Z255" s="372"/>
      <c r="AA255" s="372"/>
      <c r="AB255" s="372"/>
      <c r="AC255" s="372"/>
      <c r="AD255" s="372"/>
      <c r="AE255" s="372"/>
      <c r="AF255" s="372"/>
      <c r="AG255" s="372"/>
      <c r="AH255" s="372"/>
      <c r="AI255" s="372"/>
      <c r="AJ255" s="372"/>
      <c r="AK255" s="372"/>
      <c r="AL255" s="372"/>
      <c r="AM255" s="372"/>
    </row>
    <row r="256">
      <c r="A256" s="369" t="s">
        <v>603</v>
      </c>
      <c r="B256" s="369"/>
      <c r="C256" s="405"/>
      <c r="D256" s="369"/>
      <c r="E256" s="369"/>
      <c r="F256" s="372"/>
      <c r="G256" s="372"/>
      <c r="H256" s="372"/>
      <c r="I256" s="372"/>
      <c r="J256" s="372"/>
      <c r="K256" s="369"/>
      <c r="L256" s="369"/>
      <c r="M256" s="373"/>
      <c r="N256" s="369"/>
      <c r="O256" s="369"/>
      <c r="P256" s="374"/>
      <c r="Q256" s="372"/>
      <c r="R256" s="372"/>
      <c r="S256" s="372"/>
      <c r="T256" s="372"/>
      <c r="U256" s="372"/>
      <c r="V256" s="372"/>
      <c r="W256" s="372"/>
      <c r="X256" s="372"/>
      <c r="Y256" s="372"/>
      <c r="Z256" s="372"/>
      <c r="AA256" s="372"/>
      <c r="AB256" s="372"/>
      <c r="AC256" s="372"/>
      <c r="AD256" s="372"/>
      <c r="AE256" s="372"/>
      <c r="AF256" s="372"/>
      <c r="AG256" s="372"/>
      <c r="AH256" s="372"/>
      <c r="AI256" s="372"/>
      <c r="AJ256" s="372"/>
      <c r="AK256" s="372"/>
      <c r="AL256" s="372"/>
      <c r="AM256" s="372"/>
    </row>
    <row r="257">
      <c r="A257" s="369" t="s">
        <v>604</v>
      </c>
      <c r="B257" s="369"/>
      <c r="C257" s="405"/>
      <c r="D257" s="369"/>
      <c r="E257" s="369"/>
      <c r="F257" s="372"/>
      <c r="G257" s="372"/>
      <c r="H257" s="372"/>
      <c r="I257" s="372"/>
      <c r="J257" s="372"/>
      <c r="K257" s="369"/>
      <c r="L257" s="369"/>
      <c r="M257" s="373"/>
      <c r="N257" s="369"/>
      <c r="O257" s="369"/>
      <c r="P257" s="374"/>
      <c r="Q257" s="372"/>
      <c r="R257" s="372"/>
      <c r="S257" s="372"/>
      <c r="T257" s="372"/>
      <c r="U257" s="372"/>
      <c r="V257" s="372"/>
      <c r="W257" s="372"/>
      <c r="X257" s="372"/>
      <c r="Y257" s="372"/>
      <c r="Z257" s="372"/>
      <c r="AA257" s="372"/>
      <c r="AB257" s="372"/>
      <c r="AC257" s="372"/>
      <c r="AD257" s="372"/>
      <c r="AE257" s="372"/>
      <c r="AF257" s="372"/>
      <c r="AG257" s="372"/>
      <c r="AH257" s="372"/>
      <c r="AI257" s="372"/>
      <c r="AJ257" s="372"/>
      <c r="AK257" s="372"/>
      <c r="AL257" s="372"/>
      <c r="AM257" s="372"/>
    </row>
    <row r="258">
      <c r="A258" s="369" t="s">
        <v>605</v>
      </c>
      <c r="B258" s="369"/>
      <c r="C258" s="405"/>
      <c r="D258" s="369"/>
      <c r="E258" s="369"/>
      <c r="F258" s="372"/>
      <c r="G258" s="372"/>
      <c r="H258" s="372"/>
      <c r="I258" s="372"/>
      <c r="J258" s="372"/>
      <c r="K258" s="369"/>
      <c r="L258" s="369"/>
      <c r="M258" s="373"/>
      <c r="N258" s="369"/>
      <c r="O258" s="369"/>
      <c r="P258" s="374"/>
      <c r="Q258" s="372"/>
      <c r="R258" s="372"/>
      <c r="S258" s="372"/>
      <c r="T258" s="372"/>
      <c r="U258" s="372"/>
      <c r="V258" s="372"/>
      <c r="W258" s="372"/>
      <c r="X258" s="372"/>
      <c r="Y258" s="372"/>
      <c r="Z258" s="372"/>
      <c r="AA258" s="372"/>
      <c r="AB258" s="372"/>
      <c r="AC258" s="372"/>
      <c r="AD258" s="372"/>
      <c r="AE258" s="372"/>
      <c r="AF258" s="372"/>
      <c r="AG258" s="372"/>
      <c r="AH258" s="372"/>
      <c r="AI258" s="372"/>
      <c r="AJ258" s="372"/>
      <c r="AK258" s="372"/>
      <c r="AL258" s="372"/>
      <c r="AM258" s="372"/>
    </row>
    <row r="259">
      <c r="A259" s="369" t="s">
        <v>606</v>
      </c>
      <c r="B259" s="369"/>
      <c r="C259" s="405"/>
      <c r="D259" s="369"/>
      <c r="E259" s="369"/>
      <c r="F259" s="372"/>
      <c r="G259" s="372"/>
      <c r="H259" s="372"/>
      <c r="I259" s="372"/>
      <c r="J259" s="372"/>
      <c r="K259" s="369"/>
      <c r="L259" s="369"/>
      <c r="M259" s="373"/>
      <c r="N259" s="369"/>
      <c r="O259" s="369"/>
      <c r="P259" s="374"/>
      <c r="Q259" s="372"/>
      <c r="R259" s="372"/>
      <c r="S259" s="372"/>
      <c r="T259" s="372"/>
      <c r="U259" s="372"/>
      <c r="V259" s="372"/>
      <c r="W259" s="372"/>
      <c r="X259" s="372"/>
      <c r="Y259" s="372"/>
      <c r="Z259" s="372"/>
      <c r="AA259" s="372"/>
      <c r="AB259" s="372"/>
      <c r="AC259" s="372"/>
      <c r="AD259" s="372"/>
      <c r="AE259" s="372"/>
      <c r="AF259" s="372"/>
      <c r="AG259" s="372"/>
      <c r="AH259" s="372"/>
      <c r="AI259" s="372"/>
      <c r="AJ259" s="372"/>
      <c r="AK259" s="372"/>
      <c r="AL259" s="372"/>
      <c r="AM259" s="372"/>
    </row>
    <row r="260">
      <c r="A260" s="369" t="s">
        <v>607</v>
      </c>
      <c r="B260" s="369"/>
      <c r="C260" s="405"/>
      <c r="D260" s="369"/>
      <c r="E260" s="369"/>
      <c r="F260" s="372"/>
      <c r="G260" s="372"/>
      <c r="H260" s="372"/>
      <c r="I260" s="372"/>
      <c r="J260" s="372"/>
      <c r="K260" s="369"/>
      <c r="L260" s="369"/>
      <c r="M260" s="373"/>
      <c r="N260" s="369"/>
      <c r="O260" s="369"/>
      <c r="P260" s="374"/>
      <c r="Q260" s="372"/>
      <c r="R260" s="372"/>
      <c r="S260" s="372"/>
      <c r="T260" s="372"/>
      <c r="U260" s="372"/>
      <c r="V260" s="372"/>
      <c r="W260" s="372"/>
      <c r="X260" s="372"/>
      <c r="Y260" s="372"/>
      <c r="Z260" s="372"/>
      <c r="AA260" s="372"/>
      <c r="AB260" s="372"/>
      <c r="AC260" s="372"/>
      <c r="AD260" s="372"/>
      <c r="AE260" s="372"/>
      <c r="AF260" s="372"/>
      <c r="AG260" s="372"/>
      <c r="AH260" s="372"/>
      <c r="AI260" s="372"/>
      <c r="AJ260" s="372"/>
      <c r="AK260" s="372"/>
      <c r="AL260" s="372"/>
      <c r="AM260" s="372"/>
    </row>
    <row r="261">
      <c r="A261" s="369" t="s">
        <v>608</v>
      </c>
      <c r="B261" s="369"/>
      <c r="C261" s="405"/>
      <c r="D261" s="369"/>
      <c r="E261" s="369"/>
      <c r="F261" s="372"/>
      <c r="G261" s="372"/>
      <c r="H261" s="372"/>
      <c r="I261" s="372"/>
      <c r="J261" s="372"/>
      <c r="K261" s="369"/>
      <c r="L261" s="369"/>
      <c r="M261" s="373"/>
      <c r="N261" s="369"/>
      <c r="O261" s="369"/>
      <c r="P261" s="374"/>
      <c r="Q261" s="372"/>
      <c r="R261" s="372"/>
      <c r="S261" s="372"/>
      <c r="T261" s="372"/>
      <c r="U261" s="372"/>
      <c r="V261" s="372"/>
      <c r="W261" s="372"/>
      <c r="X261" s="372"/>
      <c r="Y261" s="372"/>
      <c r="Z261" s="372"/>
      <c r="AA261" s="372"/>
      <c r="AB261" s="372"/>
      <c r="AC261" s="372"/>
      <c r="AD261" s="372"/>
      <c r="AE261" s="372"/>
      <c r="AF261" s="372"/>
      <c r="AG261" s="372"/>
      <c r="AH261" s="372"/>
      <c r="AI261" s="372"/>
      <c r="AJ261" s="372"/>
      <c r="AK261" s="372"/>
      <c r="AL261" s="372"/>
      <c r="AM261" s="372"/>
    </row>
    <row r="262">
      <c r="A262" s="369" t="s">
        <v>609</v>
      </c>
      <c r="B262" s="369"/>
      <c r="C262" s="405"/>
      <c r="D262" s="369"/>
      <c r="E262" s="369"/>
      <c r="F262" s="372"/>
      <c r="G262" s="372"/>
      <c r="H262" s="372"/>
      <c r="I262" s="372"/>
      <c r="J262" s="372"/>
      <c r="K262" s="369"/>
      <c r="L262" s="369"/>
      <c r="M262" s="373"/>
      <c r="N262" s="369"/>
      <c r="O262" s="369"/>
      <c r="P262" s="374"/>
      <c r="Q262" s="372"/>
      <c r="R262" s="372"/>
      <c r="S262" s="372"/>
      <c r="T262" s="372"/>
      <c r="U262" s="372"/>
      <c r="V262" s="372"/>
      <c r="W262" s="372"/>
      <c r="X262" s="372"/>
      <c r="Y262" s="372"/>
      <c r="Z262" s="372"/>
      <c r="AA262" s="372"/>
      <c r="AB262" s="372"/>
      <c r="AC262" s="372"/>
      <c r="AD262" s="372"/>
      <c r="AE262" s="372"/>
      <c r="AF262" s="372"/>
      <c r="AG262" s="372"/>
      <c r="AH262" s="372"/>
      <c r="AI262" s="372"/>
      <c r="AJ262" s="372"/>
      <c r="AK262" s="372"/>
      <c r="AL262" s="372"/>
      <c r="AM262" s="372"/>
    </row>
    <row r="263">
      <c r="A263" s="369" t="s">
        <v>610</v>
      </c>
      <c r="B263" s="369"/>
      <c r="C263" s="405"/>
      <c r="D263" s="369"/>
      <c r="E263" s="369"/>
      <c r="F263" s="372"/>
      <c r="G263" s="372"/>
      <c r="H263" s="372"/>
      <c r="I263" s="372"/>
      <c r="J263" s="372"/>
      <c r="K263" s="369"/>
      <c r="L263" s="369"/>
      <c r="M263" s="373"/>
      <c r="N263" s="369"/>
      <c r="O263" s="369"/>
      <c r="P263" s="374"/>
      <c r="Q263" s="372"/>
      <c r="R263" s="372"/>
      <c r="S263" s="372"/>
      <c r="T263" s="372"/>
      <c r="U263" s="372"/>
      <c r="V263" s="372"/>
      <c r="W263" s="372"/>
      <c r="X263" s="372"/>
      <c r="Y263" s="372"/>
      <c r="Z263" s="372"/>
      <c r="AA263" s="372"/>
      <c r="AB263" s="372"/>
      <c r="AC263" s="372"/>
      <c r="AD263" s="372"/>
      <c r="AE263" s="372"/>
      <c r="AF263" s="372"/>
      <c r="AG263" s="372"/>
      <c r="AH263" s="372"/>
      <c r="AI263" s="372"/>
      <c r="AJ263" s="372"/>
      <c r="AK263" s="372"/>
      <c r="AL263" s="372"/>
      <c r="AM263" s="372"/>
    </row>
    <row r="264">
      <c r="A264" s="369" t="s">
        <v>611</v>
      </c>
      <c r="B264" s="369"/>
      <c r="C264" s="405"/>
      <c r="D264" s="369"/>
      <c r="E264" s="369"/>
      <c r="F264" s="372"/>
      <c r="G264" s="372"/>
      <c r="H264" s="372"/>
      <c r="I264" s="372"/>
      <c r="J264" s="372"/>
      <c r="K264" s="369"/>
      <c r="L264" s="369"/>
      <c r="M264" s="373"/>
      <c r="N264" s="369"/>
      <c r="O264" s="369"/>
      <c r="P264" s="374"/>
      <c r="Q264" s="372"/>
      <c r="R264" s="372"/>
      <c r="S264" s="372"/>
      <c r="T264" s="372"/>
      <c r="U264" s="372"/>
      <c r="V264" s="372"/>
      <c r="W264" s="372"/>
      <c r="X264" s="372"/>
      <c r="Y264" s="372"/>
      <c r="Z264" s="372"/>
      <c r="AA264" s="372"/>
      <c r="AB264" s="372"/>
      <c r="AC264" s="372"/>
      <c r="AD264" s="372"/>
      <c r="AE264" s="372"/>
      <c r="AF264" s="372"/>
      <c r="AG264" s="372"/>
      <c r="AH264" s="372"/>
      <c r="AI264" s="372"/>
      <c r="AJ264" s="372"/>
      <c r="AK264" s="372"/>
      <c r="AL264" s="372"/>
      <c r="AM264" s="372"/>
    </row>
    <row r="265">
      <c r="A265" s="369" t="s">
        <v>612</v>
      </c>
      <c r="B265" s="369"/>
      <c r="C265" s="405"/>
      <c r="D265" s="369"/>
      <c r="E265" s="369"/>
      <c r="F265" s="372"/>
      <c r="G265" s="372"/>
      <c r="H265" s="372"/>
      <c r="I265" s="372"/>
      <c r="J265" s="372"/>
      <c r="K265" s="369"/>
      <c r="L265" s="369"/>
      <c r="M265" s="373"/>
      <c r="N265" s="369"/>
      <c r="O265" s="369"/>
      <c r="P265" s="374"/>
      <c r="Q265" s="372"/>
      <c r="R265" s="372"/>
      <c r="S265" s="372"/>
      <c r="T265" s="372"/>
      <c r="U265" s="372"/>
      <c r="V265" s="372"/>
      <c r="W265" s="372"/>
      <c r="X265" s="372"/>
      <c r="Y265" s="372"/>
      <c r="Z265" s="372"/>
      <c r="AA265" s="372"/>
      <c r="AB265" s="372"/>
      <c r="AC265" s="372"/>
      <c r="AD265" s="372"/>
      <c r="AE265" s="372"/>
      <c r="AF265" s="372"/>
      <c r="AG265" s="372"/>
      <c r="AH265" s="372"/>
      <c r="AI265" s="372"/>
      <c r="AJ265" s="372"/>
      <c r="AK265" s="372"/>
      <c r="AL265" s="372"/>
      <c r="AM265" s="372"/>
    </row>
    <row r="266">
      <c r="A266" s="369" t="s">
        <v>613</v>
      </c>
      <c r="B266" s="369"/>
      <c r="C266" s="405"/>
      <c r="D266" s="369"/>
      <c r="E266" s="369"/>
      <c r="F266" s="372"/>
      <c r="G266" s="372"/>
      <c r="H266" s="372"/>
      <c r="I266" s="372"/>
      <c r="J266" s="372"/>
      <c r="K266" s="369"/>
      <c r="L266" s="369"/>
      <c r="M266" s="373"/>
      <c r="N266" s="369"/>
      <c r="O266" s="369"/>
      <c r="P266" s="374"/>
      <c r="Q266" s="372"/>
      <c r="R266" s="372"/>
      <c r="S266" s="372"/>
      <c r="T266" s="372"/>
      <c r="U266" s="372"/>
      <c r="V266" s="372"/>
      <c r="W266" s="372"/>
      <c r="X266" s="372"/>
      <c r="Y266" s="372"/>
      <c r="Z266" s="372"/>
      <c r="AA266" s="372"/>
      <c r="AB266" s="372"/>
      <c r="AC266" s="372"/>
      <c r="AD266" s="372"/>
      <c r="AE266" s="372"/>
      <c r="AF266" s="372"/>
      <c r="AG266" s="372"/>
      <c r="AH266" s="372"/>
      <c r="AI266" s="372"/>
      <c r="AJ266" s="372"/>
      <c r="AK266" s="372"/>
      <c r="AL266" s="372"/>
      <c r="AM266" s="372"/>
    </row>
    <row r="267">
      <c r="A267" s="369" t="s">
        <v>614</v>
      </c>
      <c r="B267" s="369"/>
      <c r="C267" s="405"/>
      <c r="D267" s="369"/>
      <c r="E267" s="369"/>
      <c r="F267" s="372"/>
      <c r="G267" s="372"/>
      <c r="H267" s="372"/>
      <c r="I267" s="372"/>
      <c r="J267" s="372"/>
      <c r="K267" s="369"/>
      <c r="L267" s="369"/>
      <c r="M267" s="373"/>
      <c r="N267" s="369"/>
      <c r="O267" s="369"/>
      <c r="P267" s="374"/>
      <c r="Q267" s="372"/>
      <c r="R267" s="372"/>
      <c r="S267" s="372"/>
      <c r="T267" s="372"/>
      <c r="U267" s="372"/>
      <c r="V267" s="372"/>
      <c r="W267" s="372"/>
      <c r="X267" s="372"/>
      <c r="Y267" s="372"/>
      <c r="Z267" s="372"/>
      <c r="AA267" s="372"/>
      <c r="AB267" s="372"/>
      <c r="AC267" s="372"/>
      <c r="AD267" s="372"/>
      <c r="AE267" s="372"/>
      <c r="AF267" s="372"/>
      <c r="AG267" s="372"/>
      <c r="AH267" s="372"/>
      <c r="AI267" s="372"/>
      <c r="AJ267" s="372"/>
      <c r="AK267" s="372"/>
      <c r="AL267" s="372"/>
      <c r="AM267" s="372"/>
    </row>
    <row r="268">
      <c r="A268" s="369" t="s">
        <v>615</v>
      </c>
      <c r="B268" s="369"/>
      <c r="C268" s="405"/>
      <c r="D268" s="369"/>
      <c r="E268" s="369"/>
      <c r="F268" s="372"/>
      <c r="G268" s="372"/>
      <c r="H268" s="372"/>
      <c r="I268" s="372"/>
      <c r="J268" s="372"/>
      <c r="K268" s="369"/>
      <c r="L268" s="369"/>
      <c r="M268" s="373"/>
      <c r="N268" s="369"/>
      <c r="O268" s="369"/>
      <c r="P268" s="374"/>
      <c r="Q268" s="372"/>
      <c r="R268" s="372"/>
      <c r="S268" s="372"/>
      <c r="T268" s="372"/>
      <c r="U268" s="372"/>
      <c r="V268" s="372"/>
      <c r="W268" s="372"/>
      <c r="X268" s="372"/>
      <c r="Y268" s="372"/>
      <c r="Z268" s="372"/>
      <c r="AA268" s="372"/>
      <c r="AB268" s="372"/>
      <c r="AC268" s="372"/>
      <c r="AD268" s="372"/>
      <c r="AE268" s="372"/>
      <c r="AF268" s="372"/>
      <c r="AG268" s="372"/>
      <c r="AH268" s="372"/>
      <c r="AI268" s="372"/>
      <c r="AJ268" s="372"/>
      <c r="AK268" s="372"/>
      <c r="AL268" s="372"/>
      <c r="AM268" s="372"/>
    </row>
    <row r="269">
      <c r="A269" s="369" t="s">
        <v>616</v>
      </c>
      <c r="B269" s="369"/>
      <c r="C269" s="405"/>
      <c r="D269" s="369"/>
      <c r="E269" s="369"/>
      <c r="F269" s="372"/>
      <c r="G269" s="372"/>
      <c r="H269" s="372"/>
      <c r="I269" s="372"/>
      <c r="J269" s="372"/>
      <c r="K269" s="369"/>
      <c r="L269" s="369"/>
      <c r="M269" s="373"/>
      <c r="N269" s="369"/>
      <c r="O269" s="369"/>
      <c r="P269" s="374"/>
      <c r="Q269" s="372"/>
      <c r="R269" s="372"/>
      <c r="S269" s="372"/>
      <c r="T269" s="372"/>
      <c r="U269" s="372"/>
      <c r="V269" s="372"/>
      <c r="W269" s="372"/>
      <c r="X269" s="372"/>
      <c r="Y269" s="372"/>
      <c r="Z269" s="372"/>
      <c r="AA269" s="372"/>
      <c r="AB269" s="372"/>
      <c r="AC269" s="372"/>
      <c r="AD269" s="372"/>
      <c r="AE269" s="372"/>
      <c r="AF269" s="372"/>
      <c r="AG269" s="372"/>
      <c r="AH269" s="372"/>
      <c r="AI269" s="372"/>
      <c r="AJ269" s="372"/>
      <c r="AK269" s="372"/>
      <c r="AL269" s="372"/>
      <c r="AM269" s="372"/>
    </row>
    <row r="270">
      <c r="A270" s="369" t="s">
        <v>617</v>
      </c>
      <c r="B270" s="369"/>
      <c r="C270" s="405"/>
      <c r="D270" s="369"/>
      <c r="E270" s="369"/>
      <c r="F270" s="372"/>
      <c r="G270" s="372"/>
      <c r="H270" s="372"/>
      <c r="I270" s="372"/>
      <c r="J270" s="372"/>
      <c r="K270" s="369"/>
      <c r="L270" s="369"/>
      <c r="M270" s="373"/>
      <c r="N270" s="369"/>
      <c r="O270" s="369"/>
      <c r="P270" s="374"/>
      <c r="Q270" s="372"/>
      <c r="R270" s="372"/>
      <c r="S270" s="372"/>
      <c r="T270" s="372"/>
      <c r="U270" s="372"/>
      <c r="V270" s="372"/>
      <c r="W270" s="372"/>
      <c r="X270" s="372"/>
      <c r="Y270" s="372"/>
      <c r="Z270" s="372"/>
      <c r="AA270" s="372"/>
      <c r="AB270" s="372"/>
      <c r="AC270" s="372"/>
      <c r="AD270" s="372"/>
      <c r="AE270" s="372"/>
      <c r="AF270" s="372"/>
      <c r="AG270" s="372"/>
      <c r="AH270" s="372"/>
      <c r="AI270" s="372"/>
      <c r="AJ270" s="372"/>
      <c r="AK270" s="372"/>
      <c r="AL270" s="372"/>
      <c r="AM270" s="372"/>
    </row>
    <row r="271">
      <c r="A271" s="369" t="s">
        <v>618</v>
      </c>
      <c r="B271" s="369"/>
      <c r="C271" s="405"/>
      <c r="D271" s="369"/>
      <c r="E271" s="369"/>
      <c r="F271" s="372"/>
      <c r="G271" s="372"/>
      <c r="H271" s="372"/>
      <c r="I271" s="372"/>
      <c r="J271" s="372"/>
      <c r="K271" s="369"/>
      <c r="L271" s="369"/>
      <c r="M271" s="373"/>
      <c r="N271" s="369"/>
      <c r="O271" s="369"/>
      <c r="P271" s="374"/>
      <c r="Q271" s="372"/>
      <c r="R271" s="372"/>
      <c r="S271" s="372"/>
      <c r="T271" s="372"/>
      <c r="U271" s="372"/>
      <c r="V271" s="372"/>
      <c r="W271" s="372"/>
      <c r="X271" s="372"/>
      <c r="Y271" s="372"/>
      <c r="Z271" s="372"/>
      <c r="AA271" s="372"/>
      <c r="AB271" s="372"/>
      <c r="AC271" s="372"/>
      <c r="AD271" s="372"/>
      <c r="AE271" s="372"/>
      <c r="AF271" s="372"/>
      <c r="AG271" s="372"/>
      <c r="AH271" s="372"/>
      <c r="AI271" s="372"/>
      <c r="AJ271" s="372"/>
      <c r="AK271" s="372"/>
      <c r="AL271" s="372"/>
      <c r="AM271" s="372"/>
    </row>
    <row r="272">
      <c r="A272" s="369" t="s">
        <v>619</v>
      </c>
      <c r="B272" s="369"/>
      <c r="C272" s="405"/>
      <c r="D272" s="369"/>
      <c r="E272" s="369"/>
      <c r="F272" s="372"/>
      <c r="G272" s="372"/>
      <c r="H272" s="372"/>
      <c r="I272" s="372"/>
      <c r="J272" s="372"/>
      <c r="K272" s="369"/>
      <c r="L272" s="369"/>
      <c r="M272" s="373"/>
      <c r="N272" s="369"/>
      <c r="O272" s="369"/>
      <c r="P272" s="374"/>
      <c r="Q272" s="372"/>
      <c r="R272" s="372"/>
      <c r="S272" s="372"/>
      <c r="T272" s="372"/>
      <c r="U272" s="372"/>
      <c r="V272" s="372"/>
      <c r="W272" s="372"/>
      <c r="X272" s="372"/>
      <c r="Y272" s="372"/>
      <c r="Z272" s="372"/>
      <c r="AA272" s="372"/>
      <c r="AB272" s="372"/>
      <c r="AC272" s="372"/>
      <c r="AD272" s="372"/>
      <c r="AE272" s="372"/>
      <c r="AF272" s="372"/>
      <c r="AG272" s="372"/>
      <c r="AH272" s="372"/>
      <c r="AI272" s="372"/>
      <c r="AJ272" s="372"/>
      <c r="AK272" s="372"/>
      <c r="AL272" s="372"/>
      <c r="AM272" s="372"/>
    </row>
    <row r="273">
      <c r="A273" s="369" t="s">
        <v>620</v>
      </c>
      <c r="B273" s="369"/>
      <c r="C273" s="405"/>
      <c r="D273" s="369"/>
      <c r="E273" s="369"/>
      <c r="F273" s="372"/>
      <c r="G273" s="372"/>
      <c r="H273" s="372"/>
      <c r="I273" s="372"/>
      <c r="J273" s="372"/>
      <c r="K273" s="369"/>
      <c r="L273" s="369"/>
      <c r="M273" s="373"/>
      <c r="N273" s="369"/>
      <c r="O273" s="369"/>
      <c r="P273" s="374"/>
      <c r="Q273" s="372"/>
      <c r="R273" s="372"/>
      <c r="S273" s="372"/>
      <c r="T273" s="372"/>
      <c r="U273" s="372"/>
      <c r="V273" s="372"/>
      <c r="W273" s="372"/>
      <c r="X273" s="372"/>
      <c r="Y273" s="372"/>
      <c r="Z273" s="372"/>
      <c r="AA273" s="372"/>
      <c r="AB273" s="372"/>
      <c r="AC273" s="372"/>
      <c r="AD273" s="372"/>
      <c r="AE273" s="372"/>
      <c r="AF273" s="372"/>
      <c r="AG273" s="372"/>
      <c r="AH273" s="372"/>
      <c r="AI273" s="372"/>
      <c r="AJ273" s="372"/>
      <c r="AK273" s="372"/>
      <c r="AL273" s="372"/>
      <c r="AM273" s="372"/>
    </row>
    <row r="274">
      <c r="A274" s="369" t="s">
        <v>621</v>
      </c>
      <c r="B274" s="369"/>
      <c r="C274" s="405"/>
      <c r="D274" s="369"/>
      <c r="E274" s="369"/>
      <c r="F274" s="372"/>
      <c r="G274" s="372"/>
      <c r="H274" s="372"/>
      <c r="I274" s="372"/>
      <c r="J274" s="372"/>
      <c r="K274" s="369"/>
      <c r="L274" s="369"/>
      <c r="M274" s="373"/>
      <c r="N274" s="369"/>
      <c r="O274" s="369"/>
      <c r="P274" s="374"/>
      <c r="Q274" s="372"/>
      <c r="R274" s="372"/>
      <c r="S274" s="372"/>
      <c r="T274" s="372"/>
      <c r="U274" s="372"/>
      <c r="V274" s="372"/>
      <c r="W274" s="372"/>
      <c r="X274" s="372"/>
      <c r="Y274" s="372"/>
      <c r="Z274" s="372"/>
      <c r="AA274" s="372"/>
      <c r="AB274" s="372"/>
      <c r="AC274" s="372"/>
      <c r="AD274" s="372"/>
      <c r="AE274" s="372"/>
      <c r="AF274" s="372"/>
      <c r="AG274" s="372"/>
      <c r="AH274" s="372"/>
      <c r="AI274" s="372"/>
      <c r="AJ274" s="372"/>
      <c r="AK274" s="372"/>
      <c r="AL274" s="372"/>
      <c r="AM274" s="372"/>
    </row>
    <row r="275">
      <c r="A275" s="369" t="s">
        <v>622</v>
      </c>
      <c r="B275" s="369"/>
      <c r="C275" s="405"/>
      <c r="D275" s="369"/>
      <c r="E275" s="369"/>
      <c r="F275" s="372"/>
      <c r="G275" s="372"/>
      <c r="H275" s="372"/>
      <c r="I275" s="372"/>
      <c r="J275" s="372"/>
      <c r="K275" s="369"/>
      <c r="L275" s="369"/>
      <c r="M275" s="373"/>
      <c r="N275" s="369"/>
      <c r="O275" s="369"/>
      <c r="P275" s="374"/>
      <c r="Q275" s="372"/>
      <c r="R275" s="372"/>
      <c r="S275" s="372"/>
      <c r="T275" s="372"/>
      <c r="U275" s="372"/>
      <c r="V275" s="372"/>
      <c r="W275" s="372"/>
      <c r="X275" s="372"/>
      <c r="Y275" s="372"/>
      <c r="Z275" s="372"/>
      <c r="AA275" s="372"/>
      <c r="AB275" s="372"/>
      <c r="AC275" s="372"/>
      <c r="AD275" s="372"/>
      <c r="AE275" s="372"/>
      <c r="AF275" s="372"/>
      <c r="AG275" s="372"/>
      <c r="AH275" s="372"/>
      <c r="AI275" s="372"/>
      <c r="AJ275" s="372"/>
      <c r="AK275" s="372"/>
      <c r="AL275" s="372"/>
      <c r="AM275" s="372"/>
    </row>
    <row r="276">
      <c r="A276" s="369" t="s">
        <v>623</v>
      </c>
      <c r="B276" s="369"/>
      <c r="C276" s="405"/>
      <c r="D276" s="369"/>
      <c r="E276" s="369"/>
      <c r="F276" s="372"/>
      <c r="G276" s="372"/>
      <c r="H276" s="372"/>
      <c r="I276" s="372"/>
      <c r="J276" s="372"/>
      <c r="K276" s="369"/>
      <c r="L276" s="369"/>
      <c r="M276" s="373"/>
      <c r="N276" s="369"/>
      <c r="O276" s="369"/>
      <c r="P276" s="374"/>
      <c r="Q276" s="372"/>
      <c r="R276" s="372"/>
      <c r="S276" s="372"/>
      <c r="T276" s="372"/>
      <c r="U276" s="372"/>
      <c r="V276" s="372"/>
      <c r="W276" s="372"/>
      <c r="X276" s="372"/>
      <c r="Y276" s="372"/>
      <c r="Z276" s="372"/>
      <c r="AA276" s="372"/>
      <c r="AB276" s="372"/>
      <c r="AC276" s="372"/>
      <c r="AD276" s="372"/>
      <c r="AE276" s="372"/>
      <c r="AF276" s="372"/>
      <c r="AG276" s="372"/>
      <c r="AH276" s="372"/>
      <c r="AI276" s="372"/>
      <c r="AJ276" s="372"/>
      <c r="AK276" s="372"/>
      <c r="AL276" s="372"/>
      <c r="AM276" s="372"/>
    </row>
    <row r="277">
      <c r="A277" s="369" t="s">
        <v>624</v>
      </c>
      <c r="B277" s="369"/>
      <c r="C277" s="405"/>
      <c r="D277" s="369"/>
      <c r="E277" s="369"/>
      <c r="F277" s="372"/>
      <c r="G277" s="372"/>
      <c r="H277" s="372"/>
      <c r="I277" s="372"/>
      <c r="J277" s="372"/>
      <c r="K277" s="369"/>
      <c r="L277" s="369"/>
      <c r="M277" s="373"/>
      <c r="N277" s="369"/>
      <c r="O277" s="369"/>
      <c r="P277" s="374"/>
      <c r="Q277" s="372"/>
      <c r="R277" s="372"/>
      <c r="S277" s="372"/>
      <c r="T277" s="372"/>
      <c r="U277" s="372"/>
      <c r="V277" s="372"/>
      <c r="W277" s="372"/>
      <c r="X277" s="372"/>
      <c r="Y277" s="372"/>
      <c r="Z277" s="372"/>
      <c r="AA277" s="372"/>
      <c r="AB277" s="372"/>
      <c r="AC277" s="372"/>
      <c r="AD277" s="372"/>
      <c r="AE277" s="372"/>
      <c r="AF277" s="372"/>
      <c r="AG277" s="372"/>
      <c r="AH277" s="372"/>
      <c r="AI277" s="372"/>
      <c r="AJ277" s="372"/>
      <c r="AK277" s="372"/>
      <c r="AL277" s="372"/>
      <c r="AM277" s="372"/>
    </row>
    <row r="278">
      <c r="A278" s="369" t="s">
        <v>625</v>
      </c>
      <c r="B278" s="369"/>
      <c r="C278" s="405"/>
      <c r="D278" s="369"/>
      <c r="E278" s="369"/>
      <c r="F278" s="372"/>
      <c r="G278" s="372"/>
      <c r="H278" s="372"/>
      <c r="I278" s="372"/>
      <c r="J278" s="372"/>
      <c r="K278" s="369"/>
      <c r="L278" s="369"/>
      <c r="M278" s="373"/>
      <c r="N278" s="369"/>
      <c r="O278" s="369"/>
      <c r="P278" s="374"/>
      <c r="Q278" s="372"/>
      <c r="R278" s="372"/>
      <c r="S278" s="372"/>
      <c r="T278" s="372"/>
      <c r="U278" s="372"/>
      <c r="V278" s="372"/>
      <c r="W278" s="372"/>
      <c r="X278" s="372"/>
      <c r="Y278" s="372"/>
      <c r="Z278" s="372"/>
      <c r="AA278" s="372"/>
      <c r="AB278" s="372"/>
      <c r="AC278" s="372"/>
      <c r="AD278" s="372"/>
      <c r="AE278" s="372"/>
      <c r="AF278" s="372"/>
      <c r="AG278" s="372"/>
      <c r="AH278" s="372"/>
      <c r="AI278" s="372"/>
      <c r="AJ278" s="372"/>
      <c r="AK278" s="372"/>
      <c r="AL278" s="372"/>
      <c r="AM278" s="372"/>
    </row>
    <row r="279">
      <c r="A279" s="369" t="s">
        <v>626</v>
      </c>
      <c r="B279" s="369"/>
      <c r="C279" s="405"/>
      <c r="D279" s="369"/>
      <c r="E279" s="369"/>
      <c r="F279" s="372"/>
      <c r="G279" s="372"/>
      <c r="H279" s="372"/>
      <c r="I279" s="372"/>
      <c r="J279" s="372"/>
      <c r="K279" s="369"/>
      <c r="L279" s="369"/>
      <c r="M279" s="373"/>
      <c r="N279" s="369"/>
      <c r="O279" s="369"/>
      <c r="P279" s="374"/>
      <c r="Q279" s="372"/>
      <c r="R279" s="372"/>
      <c r="S279" s="372"/>
      <c r="T279" s="372"/>
      <c r="U279" s="372"/>
      <c r="V279" s="372"/>
      <c r="W279" s="372"/>
      <c r="X279" s="372"/>
      <c r="Y279" s="372"/>
      <c r="Z279" s="372"/>
      <c r="AA279" s="372"/>
      <c r="AB279" s="372"/>
      <c r="AC279" s="372"/>
      <c r="AD279" s="372"/>
      <c r="AE279" s="372"/>
      <c r="AF279" s="372"/>
      <c r="AG279" s="372"/>
      <c r="AH279" s="372"/>
      <c r="AI279" s="372"/>
      <c r="AJ279" s="372"/>
      <c r="AK279" s="372"/>
      <c r="AL279" s="372"/>
      <c r="AM279" s="372"/>
    </row>
    <row r="280">
      <c r="A280" s="369" t="s">
        <v>627</v>
      </c>
      <c r="B280" s="369"/>
      <c r="C280" s="405"/>
      <c r="D280" s="369"/>
      <c r="E280" s="369"/>
      <c r="F280" s="372"/>
      <c r="G280" s="372"/>
      <c r="H280" s="372"/>
      <c r="I280" s="372"/>
      <c r="J280" s="372"/>
      <c r="K280" s="369"/>
      <c r="L280" s="369"/>
      <c r="M280" s="373"/>
      <c r="N280" s="369"/>
      <c r="O280" s="369"/>
      <c r="P280" s="374"/>
      <c r="Q280" s="372"/>
      <c r="R280" s="372"/>
      <c r="S280" s="372"/>
      <c r="T280" s="372"/>
      <c r="U280" s="372"/>
      <c r="V280" s="372"/>
      <c r="W280" s="372"/>
      <c r="X280" s="372"/>
      <c r="Y280" s="372"/>
      <c r="Z280" s="372"/>
      <c r="AA280" s="372"/>
      <c r="AB280" s="372"/>
      <c r="AC280" s="372"/>
      <c r="AD280" s="372"/>
      <c r="AE280" s="372"/>
      <c r="AF280" s="372"/>
      <c r="AG280" s="372"/>
      <c r="AH280" s="372"/>
      <c r="AI280" s="372"/>
      <c r="AJ280" s="372"/>
      <c r="AK280" s="372"/>
      <c r="AL280" s="372"/>
      <c r="AM280" s="372"/>
    </row>
    <row r="281">
      <c r="A281" s="369" t="s">
        <v>628</v>
      </c>
      <c r="B281" s="369"/>
      <c r="C281" s="405"/>
      <c r="D281" s="369"/>
      <c r="E281" s="369"/>
      <c r="F281" s="372"/>
      <c r="G281" s="372"/>
      <c r="H281" s="372"/>
      <c r="I281" s="372"/>
      <c r="J281" s="372"/>
      <c r="K281" s="369"/>
      <c r="L281" s="369"/>
      <c r="M281" s="373"/>
      <c r="N281" s="369"/>
      <c r="O281" s="369"/>
      <c r="P281" s="374"/>
      <c r="Q281" s="372"/>
      <c r="R281" s="372"/>
      <c r="S281" s="372"/>
      <c r="T281" s="372"/>
      <c r="U281" s="372"/>
      <c r="V281" s="372"/>
      <c r="W281" s="372"/>
      <c r="X281" s="372"/>
      <c r="Y281" s="372"/>
      <c r="Z281" s="372"/>
      <c r="AA281" s="372"/>
      <c r="AB281" s="372"/>
      <c r="AC281" s="372"/>
      <c r="AD281" s="372"/>
      <c r="AE281" s="372"/>
      <c r="AF281" s="372"/>
      <c r="AG281" s="372"/>
      <c r="AH281" s="372"/>
      <c r="AI281" s="372"/>
      <c r="AJ281" s="372"/>
      <c r="AK281" s="372"/>
      <c r="AL281" s="372"/>
      <c r="AM281" s="372"/>
    </row>
    <row r="282">
      <c r="A282" s="369" t="s">
        <v>629</v>
      </c>
      <c r="B282" s="369"/>
      <c r="C282" s="405"/>
      <c r="D282" s="369"/>
      <c r="E282" s="369"/>
      <c r="F282" s="372"/>
      <c r="G282" s="372"/>
      <c r="H282" s="372"/>
      <c r="I282" s="372"/>
      <c r="J282" s="372"/>
      <c r="K282" s="369"/>
      <c r="L282" s="369"/>
      <c r="M282" s="373"/>
      <c r="N282" s="369"/>
      <c r="O282" s="369"/>
      <c r="P282" s="374"/>
      <c r="Q282" s="372"/>
      <c r="R282" s="372"/>
      <c r="S282" s="372"/>
      <c r="T282" s="372"/>
      <c r="U282" s="372"/>
      <c r="V282" s="372"/>
      <c r="W282" s="372"/>
      <c r="X282" s="372"/>
      <c r="Y282" s="372"/>
      <c r="Z282" s="372"/>
      <c r="AA282" s="372"/>
      <c r="AB282" s="372"/>
      <c r="AC282" s="372"/>
      <c r="AD282" s="372"/>
      <c r="AE282" s="372"/>
      <c r="AF282" s="372"/>
      <c r="AG282" s="372"/>
      <c r="AH282" s="372"/>
      <c r="AI282" s="372"/>
      <c r="AJ282" s="372"/>
      <c r="AK282" s="372"/>
      <c r="AL282" s="372"/>
      <c r="AM282" s="372"/>
    </row>
    <row r="283">
      <c r="A283" s="369" t="s">
        <v>630</v>
      </c>
      <c r="B283" s="369"/>
      <c r="C283" s="405"/>
      <c r="D283" s="369"/>
      <c r="E283" s="369"/>
      <c r="F283" s="372"/>
      <c r="G283" s="372"/>
      <c r="H283" s="372"/>
      <c r="I283" s="372"/>
      <c r="J283" s="372"/>
      <c r="K283" s="369"/>
      <c r="L283" s="369"/>
      <c r="M283" s="373"/>
      <c r="N283" s="369"/>
      <c r="O283" s="369"/>
      <c r="P283" s="374"/>
      <c r="Q283" s="372"/>
      <c r="R283" s="372"/>
      <c r="S283" s="372"/>
      <c r="T283" s="372"/>
      <c r="U283" s="372"/>
      <c r="V283" s="372"/>
      <c r="W283" s="372"/>
      <c r="X283" s="372"/>
      <c r="Y283" s="372"/>
      <c r="Z283" s="372"/>
      <c r="AA283" s="372"/>
      <c r="AB283" s="372"/>
      <c r="AC283" s="372"/>
      <c r="AD283" s="372"/>
      <c r="AE283" s="372"/>
      <c r="AF283" s="372"/>
      <c r="AG283" s="372"/>
      <c r="AH283" s="372"/>
      <c r="AI283" s="372"/>
      <c r="AJ283" s="372"/>
      <c r="AK283" s="372"/>
      <c r="AL283" s="372"/>
      <c r="AM283" s="372"/>
    </row>
    <row r="284">
      <c r="A284" s="369" t="s">
        <v>631</v>
      </c>
      <c r="B284" s="369"/>
      <c r="C284" s="405"/>
      <c r="D284" s="369"/>
      <c r="E284" s="369"/>
      <c r="F284" s="372"/>
      <c r="G284" s="372"/>
      <c r="H284" s="372"/>
      <c r="I284" s="372"/>
      <c r="J284" s="372"/>
      <c r="K284" s="369"/>
      <c r="L284" s="369"/>
      <c r="M284" s="373"/>
      <c r="N284" s="369"/>
      <c r="O284" s="369"/>
      <c r="P284" s="374"/>
      <c r="Q284" s="372"/>
      <c r="R284" s="372"/>
      <c r="S284" s="372"/>
      <c r="T284" s="372"/>
      <c r="U284" s="372"/>
      <c r="V284" s="372"/>
      <c r="W284" s="372"/>
      <c r="X284" s="372"/>
      <c r="Y284" s="372"/>
      <c r="Z284" s="372"/>
      <c r="AA284" s="372"/>
      <c r="AB284" s="372"/>
      <c r="AC284" s="372"/>
      <c r="AD284" s="372"/>
      <c r="AE284" s="372"/>
      <c r="AF284" s="372"/>
      <c r="AG284" s="372"/>
      <c r="AH284" s="372"/>
      <c r="AI284" s="372"/>
      <c r="AJ284" s="372"/>
      <c r="AK284" s="372"/>
      <c r="AL284" s="372"/>
      <c r="AM284" s="372"/>
    </row>
    <row r="285">
      <c r="A285" s="369" t="s">
        <v>632</v>
      </c>
      <c r="B285" s="369"/>
      <c r="C285" s="405"/>
      <c r="D285" s="369"/>
      <c r="E285" s="369"/>
      <c r="F285" s="372"/>
      <c r="G285" s="372"/>
      <c r="H285" s="372"/>
      <c r="I285" s="372"/>
      <c r="J285" s="372"/>
      <c r="K285" s="369"/>
      <c r="L285" s="369"/>
      <c r="M285" s="373"/>
      <c r="N285" s="369"/>
      <c r="O285" s="369"/>
      <c r="P285" s="374"/>
      <c r="Q285" s="372"/>
      <c r="R285" s="372"/>
      <c r="S285" s="372"/>
      <c r="T285" s="372"/>
      <c r="U285" s="372"/>
      <c r="V285" s="372"/>
      <c r="W285" s="372"/>
      <c r="X285" s="372"/>
      <c r="Y285" s="372"/>
      <c r="Z285" s="372"/>
      <c r="AA285" s="372"/>
      <c r="AB285" s="372"/>
      <c r="AC285" s="372"/>
      <c r="AD285" s="372"/>
      <c r="AE285" s="372"/>
      <c r="AF285" s="372"/>
      <c r="AG285" s="372"/>
      <c r="AH285" s="372"/>
      <c r="AI285" s="372"/>
      <c r="AJ285" s="372"/>
      <c r="AK285" s="372"/>
      <c r="AL285" s="372"/>
      <c r="AM285" s="372"/>
    </row>
    <row r="286">
      <c r="A286" s="369" t="s">
        <v>633</v>
      </c>
      <c r="B286" s="369"/>
      <c r="C286" s="405"/>
      <c r="D286" s="369"/>
      <c r="E286" s="369"/>
      <c r="F286" s="372"/>
      <c r="G286" s="372"/>
      <c r="H286" s="372"/>
      <c r="I286" s="372"/>
      <c r="J286" s="372"/>
      <c r="K286" s="369"/>
      <c r="L286" s="369"/>
      <c r="M286" s="373"/>
      <c r="N286" s="369"/>
      <c r="O286" s="369"/>
      <c r="P286" s="374"/>
      <c r="Q286" s="372"/>
      <c r="R286" s="372"/>
      <c r="S286" s="372"/>
      <c r="T286" s="372"/>
      <c r="U286" s="372"/>
      <c r="V286" s="372"/>
      <c r="W286" s="372"/>
      <c r="X286" s="372"/>
      <c r="Y286" s="372"/>
      <c r="Z286" s="372"/>
      <c r="AA286" s="372"/>
      <c r="AB286" s="372"/>
      <c r="AC286" s="372"/>
      <c r="AD286" s="372"/>
      <c r="AE286" s="372"/>
      <c r="AF286" s="372"/>
      <c r="AG286" s="372"/>
      <c r="AH286" s="372"/>
      <c r="AI286" s="372"/>
      <c r="AJ286" s="372"/>
      <c r="AK286" s="372"/>
      <c r="AL286" s="372"/>
      <c r="AM286" s="372"/>
    </row>
    <row r="287">
      <c r="A287" s="369" t="s">
        <v>634</v>
      </c>
      <c r="B287" s="369"/>
      <c r="C287" s="405"/>
      <c r="D287" s="369"/>
      <c r="E287" s="369"/>
      <c r="F287" s="372"/>
      <c r="G287" s="372"/>
      <c r="H287" s="372"/>
      <c r="I287" s="372"/>
      <c r="J287" s="372"/>
      <c r="K287" s="369"/>
      <c r="L287" s="369"/>
      <c r="M287" s="373"/>
      <c r="N287" s="369"/>
      <c r="O287" s="369"/>
      <c r="P287" s="374"/>
      <c r="Q287" s="372"/>
      <c r="R287" s="372"/>
      <c r="S287" s="372"/>
      <c r="T287" s="372"/>
      <c r="U287" s="372"/>
      <c r="V287" s="372"/>
      <c r="W287" s="372"/>
      <c r="X287" s="372"/>
      <c r="Y287" s="372"/>
      <c r="Z287" s="372"/>
      <c r="AA287" s="372"/>
      <c r="AB287" s="372"/>
      <c r="AC287" s="372"/>
      <c r="AD287" s="372"/>
      <c r="AE287" s="372"/>
      <c r="AF287" s="372"/>
      <c r="AG287" s="372"/>
      <c r="AH287" s="372"/>
      <c r="AI287" s="372"/>
      <c r="AJ287" s="372"/>
      <c r="AK287" s="372"/>
      <c r="AL287" s="372"/>
      <c r="AM287" s="372"/>
    </row>
    <row r="288">
      <c r="A288" s="369" t="s">
        <v>635</v>
      </c>
      <c r="B288" s="369"/>
      <c r="C288" s="405"/>
      <c r="D288" s="369"/>
      <c r="E288" s="369"/>
      <c r="F288" s="372"/>
      <c r="G288" s="372"/>
      <c r="H288" s="372"/>
      <c r="I288" s="372"/>
      <c r="J288" s="372"/>
      <c r="K288" s="369"/>
      <c r="L288" s="369"/>
      <c r="M288" s="373"/>
      <c r="N288" s="369"/>
      <c r="O288" s="369"/>
      <c r="P288" s="374"/>
      <c r="Q288" s="372"/>
      <c r="R288" s="372"/>
      <c r="S288" s="372"/>
      <c r="T288" s="372"/>
      <c r="U288" s="372"/>
      <c r="V288" s="372"/>
      <c r="W288" s="372"/>
      <c r="X288" s="372"/>
      <c r="Y288" s="372"/>
      <c r="Z288" s="372"/>
      <c r="AA288" s="372"/>
      <c r="AB288" s="372"/>
      <c r="AC288" s="372"/>
      <c r="AD288" s="372"/>
      <c r="AE288" s="372"/>
      <c r="AF288" s="372"/>
      <c r="AG288" s="372"/>
      <c r="AH288" s="372"/>
      <c r="AI288" s="372"/>
      <c r="AJ288" s="372"/>
      <c r="AK288" s="372"/>
      <c r="AL288" s="372"/>
      <c r="AM288" s="372"/>
    </row>
    <row r="289">
      <c r="A289" s="369" t="s">
        <v>636</v>
      </c>
      <c r="B289" s="369"/>
      <c r="C289" s="405"/>
      <c r="D289" s="369"/>
      <c r="E289" s="369"/>
      <c r="F289" s="372"/>
      <c r="G289" s="372"/>
      <c r="H289" s="372"/>
      <c r="I289" s="372"/>
      <c r="J289" s="372"/>
      <c r="K289" s="369"/>
      <c r="L289" s="369"/>
      <c r="M289" s="373"/>
      <c r="N289" s="369"/>
      <c r="O289" s="369"/>
      <c r="P289" s="374"/>
      <c r="Q289" s="372"/>
      <c r="R289" s="372"/>
      <c r="S289" s="372"/>
      <c r="T289" s="372"/>
      <c r="U289" s="372"/>
      <c r="V289" s="372"/>
      <c r="W289" s="372"/>
      <c r="X289" s="372"/>
      <c r="Y289" s="372"/>
      <c r="Z289" s="372"/>
      <c r="AA289" s="372"/>
      <c r="AB289" s="372"/>
      <c r="AC289" s="372"/>
      <c r="AD289" s="372"/>
      <c r="AE289" s="372"/>
      <c r="AF289" s="372"/>
      <c r="AG289" s="372"/>
      <c r="AH289" s="372"/>
      <c r="AI289" s="372"/>
      <c r="AJ289" s="372"/>
      <c r="AK289" s="372"/>
      <c r="AL289" s="372"/>
      <c r="AM289" s="372"/>
    </row>
    <row r="290">
      <c r="A290" s="369" t="s">
        <v>637</v>
      </c>
      <c r="B290" s="369"/>
      <c r="C290" s="405"/>
      <c r="D290" s="369"/>
      <c r="E290" s="369"/>
      <c r="F290" s="372"/>
      <c r="G290" s="372"/>
      <c r="H290" s="372"/>
      <c r="I290" s="372"/>
      <c r="J290" s="372"/>
      <c r="K290" s="369"/>
      <c r="L290" s="369"/>
      <c r="M290" s="373"/>
      <c r="N290" s="369"/>
      <c r="O290" s="369"/>
      <c r="P290" s="374"/>
      <c r="Q290" s="372"/>
      <c r="R290" s="372"/>
      <c r="S290" s="372"/>
      <c r="T290" s="372"/>
      <c r="U290" s="372"/>
      <c r="V290" s="372"/>
      <c r="W290" s="372"/>
      <c r="X290" s="372"/>
      <c r="Y290" s="372"/>
      <c r="Z290" s="372"/>
      <c r="AA290" s="372"/>
      <c r="AB290" s="372"/>
      <c r="AC290" s="372"/>
      <c r="AD290" s="372"/>
      <c r="AE290" s="372"/>
      <c r="AF290" s="372"/>
      <c r="AG290" s="372"/>
      <c r="AH290" s="372"/>
      <c r="AI290" s="372"/>
      <c r="AJ290" s="372"/>
      <c r="AK290" s="372"/>
      <c r="AL290" s="372"/>
      <c r="AM290" s="372"/>
    </row>
    <row r="291">
      <c r="A291" s="369" t="s">
        <v>638</v>
      </c>
      <c r="B291" s="369"/>
      <c r="C291" s="405"/>
      <c r="D291" s="369"/>
      <c r="E291" s="369"/>
      <c r="F291" s="372"/>
      <c r="G291" s="372"/>
      <c r="H291" s="372"/>
      <c r="I291" s="372"/>
      <c r="J291" s="372"/>
      <c r="K291" s="369"/>
      <c r="L291" s="369"/>
      <c r="M291" s="373"/>
      <c r="N291" s="369"/>
      <c r="O291" s="369"/>
      <c r="P291" s="374"/>
      <c r="Q291" s="372"/>
      <c r="R291" s="372"/>
      <c r="S291" s="372"/>
      <c r="T291" s="372"/>
      <c r="U291" s="372"/>
      <c r="V291" s="372"/>
      <c r="W291" s="372"/>
      <c r="X291" s="372"/>
      <c r="Y291" s="372"/>
      <c r="Z291" s="372"/>
      <c r="AA291" s="372"/>
      <c r="AB291" s="372"/>
      <c r="AC291" s="372"/>
      <c r="AD291" s="372"/>
      <c r="AE291" s="372"/>
      <c r="AF291" s="372"/>
      <c r="AG291" s="372"/>
      <c r="AH291" s="372"/>
      <c r="AI291" s="372"/>
      <c r="AJ291" s="372"/>
      <c r="AK291" s="372"/>
      <c r="AL291" s="372"/>
      <c r="AM291" s="372"/>
    </row>
    <row r="292">
      <c r="A292" s="369" t="s">
        <v>639</v>
      </c>
      <c r="B292" s="369"/>
      <c r="C292" s="405"/>
      <c r="D292" s="369"/>
      <c r="E292" s="369"/>
      <c r="F292" s="372"/>
      <c r="G292" s="372"/>
      <c r="H292" s="372"/>
      <c r="I292" s="372"/>
      <c r="J292" s="372"/>
      <c r="K292" s="369"/>
      <c r="L292" s="369"/>
      <c r="M292" s="373"/>
      <c r="N292" s="369"/>
      <c r="O292" s="369"/>
      <c r="P292" s="374"/>
      <c r="Q292" s="372"/>
      <c r="R292" s="372"/>
      <c r="S292" s="372"/>
      <c r="T292" s="372"/>
      <c r="U292" s="372"/>
      <c r="V292" s="372"/>
      <c r="W292" s="372"/>
      <c r="X292" s="372"/>
      <c r="Y292" s="372"/>
      <c r="Z292" s="372"/>
      <c r="AA292" s="372"/>
      <c r="AB292" s="372"/>
      <c r="AC292" s="372"/>
      <c r="AD292" s="372"/>
      <c r="AE292" s="372"/>
      <c r="AF292" s="372"/>
      <c r="AG292" s="372"/>
      <c r="AH292" s="372"/>
      <c r="AI292" s="372"/>
      <c r="AJ292" s="372"/>
      <c r="AK292" s="372"/>
      <c r="AL292" s="372"/>
      <c r="AM292" s="372"/>
    </row>
    <row r="293">
      <c r="A293" s="369" t="s">
        <v>640</v>
      </c>
      <c r="B293" s="369"/>
      <c r="C293" s="405"/>
      <c r="D293" s="369"/>
      <c r="E293" s="369"/>
      <c r="F293" s="372"/>
      <c r="G293" s="372"/>
      <c r="H293" s="372"/>
      <c r="I293" s="372"/>
      <c r="J293" s="372"/>
      <c r="K293" s="369"/>
      <c r="L293" s="369"/>
      <c r="M293" s="373"/>
      <c r="N293" s="369"/>
      <c r="O293" s="369"/>
      <c r="P293" s="374"/>
      <c r="Q293" s="372"/>
      <c r="R293" s="372"/>
      <c r="S293" s="372"/>
      <c r="T293" s="372"/>
      <c r="U293" s="372"/>
      <c r="V293" s="372"/>
      <c r="W293" s="372"/>
      <c r="X293" s="372"/>
      <c r="Y293" s="372"/>
      <c r="Z293" s="372"/>
      <c r="AA293" s="372"/>
      <c r="AB293" s="372"/>
      <c r="AC293" s="372"/>
      <c r="AD293" s="372"/>
      <c r="AE293" s="372"/>
      <c r="AF293" s="372"/>
      <c r="AG293" s="372"/>
      <c r="AH293" s="372"/>
      <c r="AI293" s="372"/>
      <c r="AJ293" s="372"/>
      <c r="AK293" s="372"/>
      <c r="AL293" s="372"/>
      <c r="AM293" s="372"/>
    </row>
    <row r="294">
      <c r="A294" s="369" t="s">
        <v>641</v>
      </c>
      <c r="B294" s="369"/>
      <c r="C294" s="405"/>
      <c r="D294" s="369"/>
      <c r="E294" s="369"/>
      <c r="F294" s="372"/>
      <c r="G294" s="372"/>
      <c r="H294" s="372"/>
      <c r="I294" s="372"/>
      <c r="J294" s="372"/>
      <c r="K294" s="369"/>
      <c r="L294" s="369"/>
      <c r="M294" s="373"/>
      <c r="N294" s="369"/>
      <c r="O294" s="369"/>
      <c r="P294" s="374"/>
      <c r="Q294" s="372"/>
      <c r="R294" s="372"/>
      <c r="S294" s="372"/>
      <c r="T294" s="372"/>
      <c r="U294" s="372"/>
      <c r="V294" s="372"/>
      <c r="W294" s="372"/>
      <c r="X294" s="372"/>
      <c r="Y294" s="372"/>
      <c r="Z294" s="372"/>
      <c r="AA294" s="372"/>
      <c r="AB294" s="372"/>
      <c r="AC294" s="372"/>
      <c r="AD294" s="372"/>
      <c r="AE294" s="372"/>
      <c r="AF294" s="372"/>
      <c r="AG294" s="372"/>
      <c r="AH294" s="372"/>
      <c r="AI294" s="372"/>
      <c r="AJ294" s="372"/>
      <c r="AK294" s="372"/>
      <c r="AL294" s="372"/>
      <c r="AM294" s="372"/>
    </row>
    <row r="295">
      <c r="A295" s="369" t="s">
        <v>642</v>
      </c>
      <c r="B295" s="369"/>
      <c r="C295" s="405"/>
      <c r="D295" s="369"/>
      <c r="E295" s="369"/>
      <c r="F295" s="372"/>
      <c r="G295" s="372"/>
      <c r="H295" s="372"/>
      <c r="I295" s="372"/>
      <c r="J295" s="372"/>
      <c r="K295" s="369"/>
      <c r="L295" s="369"/>
      <c r="M295" s="373"/>
      <c r="N295" s="369"/>
      <c r="O295" s="369"/>
      <c r="P295" s="374"/>
      <c r="Q295" s="372"/>
      <c r="R295" s="372"/>
      <c r="S295" s="372"/>
      <c r="T295" s="372"/>
      <c r="U295" s="372"/>
      <c r="V295" s="372"/>
      <c r="W295" s="372"/>
      <c r="X295" s="372"/>
      <c r="Y295" s="372"/>
      <c r="Z295" s="372"/>
      <c r="AA295" s="372"/>
      <c r="AB295" s="372"/>
      <c r="AC295" s="372"/>
      <c r="AD295" s="372"/>
      <c r="AE295" s="372"/>
      <c r="AF295" s="372"/>
      <c r="AG295" s="372"/>
      <c r="AH295" s="372"/>
      <c r="AI295" s="372"/>
      <c r="AJ295" s="372"/>
      <c r="AK295" s="372"/>
      <c r="AL295" s="372"/>
      <c r="AM295" s="372"/>
    </row>
    <row r="296">
      <c r="A296" s="369" t="s">
        <v>643</v>
      </c>
      <c r="B296" s="369"/>
      <c r="C296" s="405"/>
      <c r="D296" s="369"/>
      <c r="E296" s="369"/>
      <c r="F296" s="372"/>
      <c r="G296" s="372"/>
      <c r="H296" s="372"/>
      <c r="I296" s="372"/>
      <c r="J296" s="372"/>
      <c r="K296" s="369"/>
      <c r="L296" s="369"/>
      <c r="M296" s="373"/>
      <c r="N296" s="369"/>
      <c r="O296" s="369"/>
      <c r="P296" s="374"/>
      <c r="Q296" s="372"/>
      <c r="R296" s="372"/>
      <c r="S296" s="372"/>
      <c r="T296" s="372"/>
      <c r="U296" s="372"/>
      <c r="V296" s="372"/>
      <c r="W296" s="372"/>
      <c r="X296" s="372"/>
      <c r="Y296" s="372"/>
      <c r="Z296" s="372"/>
      <c r="AA296" s="372"/>
      <c r="AB296" s="372"/>
      <c r="AC296" s="372"/>
      <c r="AD296" s="372"/>
      <c r="AE296" s="372"/>
      <c r="AF296" s="372"/>
      <c r="AG296" s="372"/>
      <c r="AH296" s="372"/>
      <c r="AI296" s="372"/>
      <c r="AJ296" s="372"/>
      <c r="AK296" s="372"/>
      <c r="AL296" s="372"/>
      <c r="AM296" s="372"/>
    </row>
    <row r="297">
      <c r="A297" s="369" t="s">
        <v>644</v>
      </c>
      <c r="B297" s="369"/>
      <c r="C297" s="405"/>
      <c r="D297" s="369"/>
      <c r="E297" s="369"/>
      <c r="F297" s="372"/>
      <c r="G297" s="372"/>
      <c r="H297" s="372"/>
      <c r="I297" s="372"/>
      <c r="J297" s="372"/>
      <c r="K297" s="369"/>
      <c r="L297" s="369"/>
      <c r="M297" s="373"/>
      <c r="N297" s="369"/>
      <c r="O297" s="369"/>
      <c r="P297" s="374"/>
      <c r="Q297" s="372"/>
      <c r="R297" s="372"/>
      <c r="S297" s="372"/>
      <c r="T297" s="372"/>
      <c r="U297" s="372"/>
      <c r="V297" s="372"/>
      <c r="W297" s="372"/>
      <c r="X297" s="372"/>
      <c r="Y297" s="372"/>
      <c r="Z297" s="372"/>
      <c r="AA297" s="372"/>
      <c r="AB297" s="372"/>
      <c r="AC297" s="372"/>
      <c r="AD297" s="372"/>
      <c r="AE297" s="372"/>
      <c r="AF297" s="372"/>
      <c r="AG297" s="372"/>
      <c r="AH297" s="372"/>
      <c r="AI297" s="372"/>
      <c r="AJ297" s="372"/>
      <c r="AK297" s="372"/>
      <c r="AL297" s="372"/>
      <c r="AM297" s="372"/>
    </row>
    <row r="298">
      <c r="A298" s="369" t="s">
        <v>645</v>
      </c>
      <c r="B298" s="369"/>
      <c r="C298" s="405"/>
      <c r="D298" s="369"/>
      <c r="E298" s="369"/>
      <c r="F298" s="372"/>
      <c r="G298" s="372"/>
      <c r="H298" s="372"/>
      <c r="I298" s="372"/>
      <c r="J298" s="372"/>
      <c r="K298" s="369"/>
      <c r="L298" s="369"/>
      <c r="M298" s="373"/>
      <c r="N298" s="369"/>
      <c r="O298" s="369"/>
      <c r="P298" s="374"/>
      <c r="Q298" s="372"/>
      <c r="R298" s="372"/>
      <c r="S298" s="372"/>
      <c r="T298" s="372"/>
      <c r="U298" s="372"/>
      <c r="V298" s="372"/>
      <c r="W298" s="372"/>
      <c r="X298" s="372"/>
      <c r="Y298" s="372"/>
      <c r="Z298" s="372"/>
      <c r="AA298" s="372"/>
      <c r="AB298" s="372"/>
      <c r="AC298" s="372"/>
      <c r="AD298" s="372"/>
      <c r="AE298" s="372"/>
      <c r="AF298" s="372"/>
      <c r="AG298" s="372"/>
      <c r="AH298" s="372"/>
      <c r="AI298" s="372"/>
      <c r="AJ298" s="372"/>
      <c r="AK298" s="372"/>
      <c r="AL298" s="372"/>
      <c r="AM298" s="372"/>
    </row>
    <row r="299">
      <c r="A299" s="369" t="s">
        <v>646</v>
      </c>
      <c r="B299" s="369"/>
      <c r="C299" s="405"/>
      <c r="D299" s="369"/>
      <c r="E299" s="369"/>
      <c r="F299" s="372"/>
      <c r="G299" s="372"/>
      <c r="H299" s="372"/>
      <c r="I299" s="372"/>
      <c r="J299" s="372"/>
      <c r="K299" s="369"/>
      <c r="L299" s="369"/>
      <c r="M299" s="373"/>
      <c r="N299" s="369"/>
      <c r="O299" s="369"/>
      <c r="P299" s="374"/>
      <c r="Q299" s="372"/>
      <c r="R299" s="372"/>
      <c r="S299" s="372"/>
      <c r="T299" s="372"/>
      <c r="U299" s="372"/>
      <c r="V299" s="372"/>
      <c r="W299" s="372"/>
      <c r="X299" s="372"/>
      <c r="Y299" s="372"/>
      <c r="Z299" s="372"/>
      <c r="AA299" s="372"/>
      <c r="AB299" s="372"/>
      <c r="AC299" s="372"/>
      <c r="AD299" s="372"/>
      <c r="AE299" s="372"/>
      <c r="AF299" s="372"/>
      <c r="AG299" s="372"/>
      <c r="AH299" s="372"/>
      <c r="AI299" s="372"/>
      <c r="AJ299" s="372"/>
      <c r="AK299" s="372"/>
      <c r="AL299" s="372"/>
      <c r="AM299" s="372"/>
    </row>
    <row r="300">
      <c r="A300" s="369" t="s">
        <v>647</v>
      </c>
      <c r="B300" s="369"/>
      <c r="C300" s="405"/>
      <c r="D300" s="369"/>
      <c r="E300" s="369"/>
      <c r="F300" s="372"/>
      <c r="G300" s="372"/>
      <c r="H300" s="372"/>
      <c r="I300" s="372"/>
      <c r="J300" s="372"/>
      <c r="K300" s="369"/>
      <c r="L300" s="369"/>
      <c r="M300" s="373"/>
      <c r="N300" s="369"/>
      <c r="O300" s="369"/>
      <c r="P300" s="374"/>
      <c r="Q300" s="372"/>
      <c r="R300" s="372"/>
      <c r="S300" s="372"/>
      <c r="T300" s="372"/>
      <c r="U300" s="372"/>
      <c r="V300" s="372"/>
      <c r="W300" s="372"/>
      <c r="X300" s="372"/>
      <c r="Y300" s="372"/>
      <c r="Z300" s="372"/>
      <c r="AA300" s="372"/>
      <c r="AB300" s="372"/>
      <c r="AC300" s="372"/>
      <c r="AD300" s="372"/>
      <c r="AE300" s="372"/>
      <c r="AF300" s="372"/>
      <c r="AG300" s="372"/>
      <c r="AH300" s="372"/>
      <c r="AI300" s="372"/>
      <c r="AJ300" s="372"/>
      <c r="AK300" s="372"/>
      <c r="AL300" s="372"/>
      <c r="AM300" s="372"/>
    </row>
    <row r="301">
      <c r="A301" s="369" t="s">
        <v>648</v>
      </c>
      <c r="B301" s="369"/>
      <c r="C301" s="405"/>
      <c r="D301" s="369"/>
      <c r="E301" s="369"/>
      <c r="F301" s="372"/>
      <c r="G301" s="372"/>
      <c r="H301" s="372"/>
      <c r="I301" s="372"/>
      <c r="J301" s="372"/>
      <c r="K301" s="369"/>
      <c r="L301" s="369"/>
      <c r="M301" s="373"/>
      <c r="N301" s="369"/>
      <c r="O301" s="369"/>
      <c r="P301" s="374"/>
      <c r="Q301" s="372"/>
      <c r="R301" s="372"/>
      <c r="S301" s="372"/>
      <c r="T301" s="372"/>
      <c r="U301" s="372"/>
      <c r="V301" s="372"/>
      <c r="W301" s="372"/>
      <c r="X301" s="372"/>
      <c r="Y301" s="372"/>
      <c r="Z301" s="372"/>
      <c r="AA301" s="372"/>
      <c r="AB301" s="372"/>
      <c r="AC301" s="372"/>
      <c r="AD301" s="372"/>
      <c r="AE301" s="372"/>
      <c r="AF301" s="372"/>
      <c r="AG301" s="372"/>
      <c r="AH301" s="372"/>
      <c r="AI301" s="372"/>
      <c r="AJ301" s="372"/>
      <c r="AK301" s="372"/>
      <c r="AL301" s="372"/>
      <c r="AM301" s="372"/>
    </row>
    <row r="302">
      <c r="A302" s="369" t="s">
        <v>649</v>
      </c>
      <c r="B302" s="369"/>
      <c r="C302" s="405"/>
      <c r="D302" s="369"/>
      <c r="E302" s="369"/>
      <c r="F302" s="372"/>
      <c r="G302" s="372"/>
      <c r="H302" s="372"/>
      <c r="I302" s="372"/>
      <c r="J302" s="372"/>
      <c r="K302" s="369"/>
      <c r="L302" s="369"/>
      <c r="M302" s="373"/>
      <c r="N302" s="369"/>
      <c r="O302" s="369"/>
      <c r="P302" s="374"/>
      <c r="Q302" s="372"/>
      <c r="R302" s="372"/>
      <c r="S302" s="372"/>
      <c r="T302" s="372"/>
      <c r="U302" s="372"/>
      <c r="V302" s="372"/>
      <c r="W302" s="372"/>
      <c r="X302" s="372"/>
      <c r="Y302" s="372"/>
      <c r="Z302" s="372"/>
      <c r="AA302" s="372"/>
      <c r="AB302" s="372"/>
      <c r="AC302" s="372"/>
      <c r="AD302" s="372"/>
      <c r="AE302" s="372"/>
      <c r="AF302" s="372"/>
      <c r="AG302" s="372"/>
      <c r="AH302" s="372"/>
      <c r="AI302" s="372"/>
      <c r="AJ302" s="372"/>
      <c r="AK302" s="372"/>
      <c r="AL302" s="372"/>
      <c r="AM302" s="372"/>
    </row>
    <row r="303">
      <c r="A303" s="369" t="s">
        <v>650</v>
      </c>
      <c r="B303" s="369"/>
      <c r="C303" s="405"/>
      <c r="D303" s="369"/>
      <c r="E303" s="369"/>
      <c r="F303" s="372"/>
      <c r="G303" s="372"/>
      <c r="H303" s="372"/>
      <c r="I303" s="372"/>
      <c r="J303" s="372"/>
      <c r="K303" s="369"/>
      <c r="L303" s="369"/>
      <c r="M303" s="373"/>
      <c r="N303" s="369"/>
      <c r="O303" s="369"/>
      <c r="P303" s="374"/>
      <c r="Q303" s="372"/>
      <c r="R303" s="372"/>
      <c r="S303" s="372"/>
      <c r="T303" s="372"/>
      <c r="U303" s="372"/>
      <c r="V303" s="372"/>
      <c r="W303" s="372"/>
      <c r="X303" s="372"/>
      <c r="Y303" s="372"/>
      <c r="Z303" s="372"/>
      <c r="AA303" s="372"/>
      <c r="AB303" s="372"/>
      <c r="AC303" s="372"/>
      <c r="AD303" s="372"/>
      <c r="AE303" s="372"/>
      <c r="AF303" s="372"/>
      <c r="AG303" s="372"/>
      <c r="AH303" s="372"/>
      <c r="AI303" s="372"/>
      <c r="AJ303" s="372"/>
      <c r="AK303" s="372"/>
      <c r="AL303" s="372"/>
      <c r="AM303" s="372"/>
    </row>
    <row r="304">
      <c r="A304" s="369" t="s">
        <v>651</v>
      </c>
      <c r="B304" s="369"/>
      <c r="C304" s="405"/>
      <c r="D304" s="369"/>
      <c r="E304" s="369"/>
      <c r="F304" s="372"/>
      <c r="G304" s="372"/>
      <c r="H304" s="372"/>
      <c r="I304" s="372"/>
      <c r="J304" s="372"/>
      <c r="K304" s="369"/>
      <c r="L304" s="369"/>
      <c r="M304" s="373"/>
      <c r="N304" s="369"/>
      <c r="O304" s="369"/>
      <c r="P304" s="374"/>
      <c r="Q304" s="372"/>
      <c r="R304" s="372"/>
      <c r="S304" s="372"/>
      <c r="T304" s="372"/>
      <c r="U304" s="372"/>
      <c r="V304" s="372"/>
      <c r="W304" s="372"/>
      <c r="X304" s="372"/>
      <c r="Y304" s="372"/>
      <c r="Z304" s="372"/>
      <c r="AA304" s="372"/>
      <c r="AB304" s="372"/>
      <c r="AC304" s="372"/>
      <c r="AD304" s="372"/>
      <c r="AE304" s="372"/>
      <c r="AF304" s="372"/>
      <c r="AG304" s="372"/>
      <c r="AH304" s="372"/>
      <c r="AI304" s="372"/>
      <c r="AJ304" s="372"/>
      <c r="AK304" s="372"/>
      <c r="AL304" s="372"/>
      <c r="AM304" s="372"/>
    </row>
    <row r="305">
      <c r="A305" s="369" t="s">
        <v>652</v>
      </c>
      <c r="B305" s="369"/>
      <c r="C305" s="405"/>
      <c r="D305" s="369"/>
      <c r="E305" s="369"/>
      <c r="F305" s="372"/>
      <c r="G305" s="372"/>
      <c r="H305" s="372"/>
      <c r="I305" s="372"/>
      <c r="J305" s="372"/>
      <c r="K305" s="369"/>
      <c r="L305" s="369"/>
      <c r="M305" s="373"/>
      <c r="N305" s="369"/>
      <c r="O305" s="369"/>
      <c r="P305" s="374"/>
      <c r="Q305" s="372"/>
      <c r="R305" s="372"/>
      <c r="S305" s="372"/>
      <c r="T305" s="372"/>
      <c r="U305" s="372"/>
      <c r="V305" s="372"/>
      <c r="W305" s="372"/>
      <c r="X305" s="372"/>
      <c r="Y305" s="372"/>
      <c r="Z305" s="372"/>
      <c r="AA305" s="372"/>
      <c r="AB305" s="372"/>
      <c r="AC305" s="372"/>
      <c r="AD305" s="372"/>
      <c r="AE305" s="372"/>
      <c r="AF305" s="372"/>
      <c r="AG305" s="372"/>
      <c r="AH305" s="372"/>
      <c r="AI305" s="372"/>
      <c r="AJ305" s="372"/>
      <c r="AK305" s="372"/>
      <c r="AL305" s="372"/>
      <c r="AM305" s="372"/>
    </row>
    <row r="306">
      <c r="A306" s="369" t="s">
        <v>653</v>
      </c>
      <c r="B306" s="369"/>
      <c r="C306" s="405"/>
      <c r="D306" s="369"/>
      <c r="E306" s="369"/>
      <c r="F306" s="372"/>
      <c r="G306" s="372"/>
      <c r="H306" s="372"/>
      <c r="I306" s="372"/>
      <c r="J306" s="372"/>
      <c r="K306" s="369"/>
      <c r="L306" s="369"/>
      <c r="M306" s="373"/>
      <c r="N306" s="369"/>
      <c r="O306" s="369"/>
      <c r="P306" s="374"/>
      <c r="Q306" s="372"/>
      <c r="R306" s="372"/>
      <c r="S306" s="372"/>
      <c r="T306" s="372"/>
      <c r="U306" s="372"/>
      <c r="V306" s="372"/>
      <c r="W306" s="372"/>
      <c r="X306" s="372"/>
      <c r="Y306" s="372"/>
      <c r="Z306" s="372"/>
      <c r="AA306" s="372"/>
      <c r="AB306" s="372"/>
      <c r="AC306" s="372"/>
      <c r="AD306" s="372"/>
      <c r="AE306" s="372"/>
      <c r="AF306" s="372"/>
      <c r="AG306" s="372"/>
      <c r="AH306" s="372"/>
      <c r="AI306" s="372"/>
      <c r="AJ306" s="372"/>
      <c r="AK306" s="372"/>
      <c r="AL306" s="372"/>
      <c r="AM306" s="372"/>
    </row>
    <row r="307">
      <c r="A307" s="369" t="s">
        <v>654</v>
      </c>
      <c r="B307" s="369"/>
      <c r="C307" s="405"/>
      <c r="D307" s="369"/>
      <c r="E307" s="369"/>
      <c r="F307" s="372"/>
      <c r="G307" s="372"/>
      <c r="H307" s="372"/>
      <c r="I307" s="372"/>
      <c r="J307" s="372"/>
      <c r="K307" s="369"/>
      <c r="L307" s="369"/>
      <c r="M307" s="373"/>
      <c r="N307" s="369"/>
      <c r="O307" s="369"/>
      <c r="P307" s="374"/>
      <c r="Q307" s="372"/>
      <c r="R307" s="372"/>
      <c r="S307" s="372"/>
      <c r="T307" s="372"/>
      <c r="U307" s="372"/>
      <c r="V307" s="372"/>
      <c r="W307" s="372"/>
      <c r="X307" s="372"/>
      <c r="Y307" s="372"/>
      <c r="Z307" s="372"/>
      <c r="AA307" s="372"/>
      <c r="AB307" s="372"/>
      <c r="AC307" s="372"/>
      <c r="AD307" s="372"/>
      <c r="AE307" s="372"/>
      <c r="AF307" s="372"/>
      <c r="AG307" s="372"/>
      <c r="AH307" s="372"/>
      <c r="AI307" s="372"/>
      <c r="AJ307" s="372"/>
      <c r="AK307" s="372"/>
      <c r="AL307" s="372"/>
      <c r="AM307" s="372"/>
    </row>
    <row r="308">
      <c r="A308" s="369" t="s">
        <v>655</v>
      </c>
      <c r="B308" s="369"/>
      <c r="C308" s="405"/>
      <c r="D308" s="369"/>
      <c r="E308" s="369"/>
      <c r="F308" s="372"/>
      <c r="G308" s="372"/>
      <c r="H308" s="372"/>
      <c r="I308" s="372"/>
      <c r="J308" s="372"/>
      <c r="K308" s="369"/>
      <c r="L308" s="369"/>
      <c r="M308" s="373"/>
      <c r="N308" s="369"/>
      <c r="O308" s="369"/>
      <c r="P308" s="374"/>
      <c r="Q308" s="372"/>
      <c r="R308" s="372"/>
      <c r="S308" s="372"/>
      <c r="T308" s="372"/>
      <c r="U308" s="372"/>
      <c r="V308" s="372"/>
      <c r="W308" s="372"/>
      <c r="X308" s="372"/>
      <c r="Y308" s="372"/>
      <c r="Z308" s="372"/>
      <c r="AA308" s="372"/>
      <c r="AB308" s="372"/>
      <c r="AC308" s="372"/>
      <c r="AD308" s="372"/>
      <c r="AE308" s="372"/>
      <c r="AF308" s="372"/>
      <c r="AG308" s="372"/>
      <c r="AH308" s="372"/>
      <c r="AI308" s="372"/>
      <c r="AJ308" s="372"/>
      <c r="AK308" s="372"/>
      <c r="AL308" s="372"/>
      <c r="AM308" s="372"/>
    </row>
    <row r="309">
      <c r="A309" s="369" t="s">
        <v>656</v>
      </c>
      <c r="B309" s="369"/>
      <c r="C309" s="405"/>
      <c r="D309" s="369"/>
      <c r="E309" s="369"/>
      <c r="F309" s="372"/>
      <c r="G309" s="372"/>
      <c r="H309" s="372"/>
      <c r="I309" s="372"/>
      <c r="J309" s="372"/>
      <c r="K309" s="369"/>
      <c r="L309" s="369"/>
      <c r="M309" s="373"/>
      <c r="N309" s="369"/>
      <c r="O309" s="369"/>
      <c r="P309" s="374"/>
      <c r="Q309" s="372"/>
      <c r="R309" s="372"/>
      <c r="S309" s="372"/>
      <c r="T309" s="372"/>
      <c r="U309" s="372"/>
      <c r="V309" s="372"/>
      <c r="W309" s="372"/>
      <c r="X309" s="372"/>
      <c r="Y309" s="372"/>
      <c r="Z309" s="372"/>
      <c r="AA309" s="372"/>
      <c r="AB309" s="372"/>
      <c r="AC309" s="372"/>
      <c r="AD309" s="372"/>
      <c r="AE309" s="372"/>
      <c r="AF309" s="372"/>
      <c r="AG309" s="372"/>
      <c r="AH309" s="372"/>
      <c r="AI309" s="372"/>
      <c r="AJ309" s="372"/>
      <c r="AK309" s="372"/>
      <c r="AL309" s="372"/>
      <c r="AM309" s="372"/>
    </row>
    <row r="310">
      <c r="A310" s="369" t="s">
        <v>657</v>
      </c>
      <c r="B310" s="369"/>
      <c r="C310" s="405"/>
      <c r="D310" s="369"/>
      <c r="E310" s="369"/>
      <c r="F310" s="372"/>
      <c r="G310" s="372"/>
      <c r="H310" s="372"/>
      <c r="I310" s="372"/>
      <c r="J310" s="372"/>
      <c r="K310" s="369"/>
      <c r="L310" s="369"/>
      <c r="M310" s="373"/>
      <c r="N310" s="369"/>
      <c r="O310" s="369"/>
      <c r="P310" s="374"/>
      <c r="Q310" s="372"/>
      <c r="R310" s="372"/>
      <c r="S310" s="372"/>
      <c r="T310" s="372"/>
      <c r="U310" s="372"/>
      <c r="V310" s="372"/>
      <c r="W310" s="372"/>
      <c r="X310" s="372"/>
      <c r="Y310" s="372"/>
      <c r="Z310" s="372"/>
      <c r="AA310" s="372"/>
      <c r="AB310" s="372"/>
      <c r="AC310" s="372"/>
      <c r="AD310" s="372"/>
      <c r="AE310" s="372"/>
      <c r="AF310" s="372"/>
      <c r="AG310" s="372"/>
      <c r="AH310" s="372"/>
      <c r="AI310" s="372"/>
      <c r="AJ310" s="372"/>
      <c r="AK310" s="372"/>
      <c r="AL310" s="372"/>
      <c r="AM310" s="372"/>
    </row>
    <row r="311">
      <c r="A311" s="369" t="s">
        <v>658</v>
      </c>
      <c r="B311" s="369"/>
      <c r="C311" s="405"/>
      <c r="D311" s="369"/>
      <c r="E311" s="369"/>
      <c r="F311" s="372"/>
      <c r="G311" s="372"/>
      <c r="H311" s="372"/>
      <c r="I311" s="372"/>
      <c r="J311" s="372"/>
      <c r="K311" s="369"/>
      <c r="L311" s="369"/>
      <c r="M311" s="373"/>
      <c r="N311" s="369"/>
      <c r="O311" s="369"/>
      <c r="P311" s="374"/>
      <c r="Q311" s="372"/>
      <c r="R311" s="372"/>
      <c r="S311" s="372"/>
      <c r="T311" s="372"/>
      <c r="U311" s="372"/>
      <c r="V311" s="372"/>
      <c r="W311" s="372"/>
      <c r="X311" s="372"/>
      <c r="Y311" s="372"/>
      <c r="Z311" s="372"/>
      <c r="AA311" s="372"/>
      <c r="AB311" s="372"/>
      <c r="AC311" s="372"/>
      <c r="AD311" s="372"/>
      <c r="AE311" s="372"/>
      <c r="AF311" s="372"/>
      <c r="AG311" s="372"/>
      <c r="AH311" s="372"/>
      <c r="AI311" s="372"/>
      <c r="AJ311" s="372"/>
      <c r="AK311" s="372"/>
      <c r="AL311" s="372"/>
      <c r="AM311" s="372"/>
    </row>
    <row r="312">
      <c r="A312" s="369" t="s">
        <v>160</v>
      </c>
      <c r="B312" s="369"/>
      <c r="C312" s="405"/>
      <c r="D312" s="369"/>
      <c r="E312" s="369"/>
      <c r="F312" s="372"/>
      <c r="G312" s="372"/>
      <c r="H312" s="372"/>
      <c r="I312" s="372"/>
      <c r="J312" s="372"/>
      <c r="K312" s="369"/>
      <c r="L312" s="369"/>
      <c r="M312" s="373"/>
      <c r="N312" s="369"/>
      <c r="O312" s="369"/>
      <c r="P312" s="374"/>
      <c r="Q312" s="372"/>
      <c r="R312" s="372"/>
      <c r="S312" s="372"/>
      <c r="T312" s="372"/>
      <c r="U312" s="372"/>
      <c r="V312" s="372"/>
      <c r="W312" s="372"/>
      <c r="X312" s="372"/>
      <c r="Y312" s="372"/>
      <c r="Z312" s="372"/>
      <c r="AA312" s="372"/>
      <c r="AB312" s="372"/>
      <c r="AC312" s="372"/>
      <c r="AD312" s="372"/>
      <c r="AE312" s="372"/>
      <c r="AF312" s="372"/>
      <c r="AG312" s="372"/>
      <c r="AH312" s="372"/>
      <c r="AI312" s="372"/>
      <c r="AJ312" s="372"/>
      <c r="AK312" s="372"/>
      <c r="AL312" s="372"/>
      <c r="AM312" s="372"/>
    </row>
    <row r="313">
      <c r="A313" s="369" t="s">
        <v>659</v>
      </c>
      <c r="B313" s="369"/>
      <c r="C313" s="405"/>
      <c r="D313" s="369"/>
      <c r="E313" s="369"/>
      <c r="F313" s="372"/>
      <c r="G313" s="372"/>
      <c r="H313" s="372"/>
      <c r="I313" s="372"/>
      <c r="J313" s="372"/>
      <c r="K313" s="369"/>
      <c r="L313" s="369"/>
      <c r="M313" s="373"/>
      <c r="N313" s="369"/>
      <c r="O313" s="369"/>
      <c r="P313" s="374"/>
      <c r="Q313" s="372"/>
      <c r="R313" s="372"/>
      <c r="S313" s="372"/>
      <c r="T313" s="372"/>
      <c r="U313" s="372"/>
      <c r="V313" s="372"/>
      <c r="W313" s="372"/>
      <c r="X313" s="372"/>
      <c r="Y313" s="372"/>
      <c r="Z313" s="372"/>
      <c r="AA313" s="372"/>
      <c r="AB313" s="372"/>
      <c r="AC313" s="372"/>
      <c r="AD313" s="372"/>
      <c r="AE313" s="372"/>
      <c r="AF313" s="372"/>
      <c r="AG313" s="372"/>
      <c r="AH313" s="372"/>
      <c r="AI313" s="372"/>
      <c r="AJ313" s="372"/>
      <c r="AK313" s="372"/>
      <c r="AL313" s="372"/>
      <c r="AM313" s="372"/>
    </row>
    <row r="314">
      <c r="A314" s="369" t="s">
        <v>660</v>
      </c>
      <c r="B314" s="369"/>
      <c r="C314" s="405"/>
      <c r="D314" s="369"/>
      <c r="E314" s="369"/>
      <c r="F314" s="372"/>
      <c r="G314" s="372"/>
      <c r="H314" s="372"/>
      <c r="I314" s="372"/>
      <c r="J314" s="372"/>
      <c r="K314" s="369"/>
      <c r="L314" s="369"/>
      <c r="M314" s="373"/>
      <c r="N314" s="369"/>
      <c r="O314" s="369"/>
      <c r="P314" s="374"/>
      <c r="Q314" s="372"/>
      <c r="R314" s="372"/>
      <c r="S314" s="372"/>
      <c r="T314" s="372"/>
      <c r="U314" s="372"/>
      <c r="V314" s="372"/>
      <c r="W314" s="372"/>
      <c r="X314" s="372"/>
      <c r="Y314" s="372"/>
      <c r="Z314" s="372"/>
      <c r="AA314" s="372"/>
      <c r="AB314" s="372"/>
      <c r="AC314" s="372"/>
      <c r="AD314" s="372"/>
      <c r="AE314" s="372"/>
      <c r="AF314" s="372"/>
      <c r="AG314" s="372"/>
      <c r="AH314" s="372"/>
      <c r="AI314" s="372"/>
      <c r="AJ314" s="372"/>
      <c r="AK314" s="372"/>
      <c r="AL314" s="372"/>
      <c r="AM314" s="372"/>
    </row>
    <row r="315">
      <c r="A315" s="369" t="s">
        <v>661</v>
      </c>
      <c r="B315" s="369"/>
      <c r="C315" s="405"/>
      <c r="D315" s="369"/>
      <c r="E315" s="369"/>
      <c r="F315" s="372"/>
      <c r="G315" s="372"/>
      <c r="H315" s="372"/>
      <c r="I315" s="372"/>
      <c r="J315" s="372"/>
      <c r="K315" s="369"/>
      <c r="L315" s="369"/>
      <c r="M315" s="373"/>
      <c r="N315" s="369"/>
      <c r="O315" s="369"/>
      <c r="P315" s="374"/>
      <c r="Q315" s="372"/>
      <c r="R315" s="372"/>
      <c r="S315" s="372"/>
      <c r="T315" s="372"/>
      <c r="U315" s="372"/>
      <c r="V315" s="372"/>
      <c r="W315" s="372"/>
      <c r="X315" s="372"/>
      <c r="Y315" s="372"/>
      <c r="Z315" s="372"/>
      <c r="AA315" s="372"/>
      <c r="AB315" s="372"/>
      <c r="AC315" s="372"/>
      <c r="AD315" s="372"/>
      <c r="AE315" s="372"/>
      <c r="AF315" s="372"/>
      <c r="AG315" s="372"/>
      <c r="AH315" s="372"/>
      <c r="AI315" s="372"/>
      <c r="AJ315" s="372"/>
      <c r="AK315" s="372"/>
      <c r="AL315" s="372"/>
      <c r="AM315" s="372"/>
    </row>
    <row r="316">
      <c r="A316" s="369" t="s">
        <v>662</v>
      </c>
      <c r="B316" s="369"/>
      <c r="C316" s="405"/>
      <c r="D316" s="369"/>
      <c r="E316" s="369"/>
      <c r="F316" s="372"/>
      <c r="G316" s="372"/>
      <c r="H316" s="372"/>
      <c r="I316" s="372"/>
      <c r="J316" s="372"/>
      <c r="K316" s="369"/>
      <c r="L316" s="369"/>
      <c r="M316" s="373"/>
      <c r="N316" s="369"/>
      <c r="O316" s="369"/>
      <c r="P316" s="374"/>
      <c r="Q316" s="372"/>
      <c r="R316" s="372"/>
      <c r="S316" s="372"/>
      <c r="T316" s="372"/>
      <c r="U316" s="372"/>
      <c r="V316" s="372"/>
      <c r="W316" s="372"/>
      <c r="X316" s="372"/>
      <c r="Y316" s="372"/>
      <c r="Z316" s="372"/>
      <c r="AA316" s="372"/>
      <c r="AB316" s="372"/>
      <c r="AC316" s="372"/>
      <c r="AD316" s="372"/>
      <c r="AE316" s="372"/>
      <c r="AF316" s="372"/>
      <c r="AG316" s="372"/>
      <c r="AH316" s="372"/>
      <c r="AI316" s="372"/>
      <c r="AJ316" s="372"/>
      <c r="AK316" s="372"/>
      <c r="AL316" s="372"/>
      <c r="AM316" s="372"/>
    </row>
    <row r="317">
      <c r="A317" s="369" t="s">
        <v>663</v>
      </c>
      <c r="B317" s="369"/>
      <c r="C317" s="405"/>
      <c r="D317" s="369"/>
      <c r="E317" s="369"/>
      <c r="F317" s="372"/>
      <c r="G317" s="372"/>
      <c r="H317" s="372"/>
      <c r="I317" s="372"/>
      <c r="J317" s="372"/>
      <c r="K317" s="369"/>
      <c r="L317" s="369"/>
      <c r="M317" s="373"/>
      <c r="N317" s="369"/>
      <c r="O317" s="369"/>
      <c r="P317" s="374"/>
      <c r="Q317" s="372"/>
      <c r="R317" s="372"/>
      <c r="S317" s="372"/>
      <c r="T317" s="372"/>
      <c r="U317" s="372"/>
      <c r="V317" s="372"/>
      <c r="W317" s="372"/>
      <c r="X317" s="372"/>
      <c r="Y317" s="372"/>
      <c r="Z317" s="372"/>
      <c r="AA317" s="372"/>
      <c r="AB317" s="372"/>
      <c r="AC317" s="372"/>
      <c r="AD317" s="372"/>
      <c r="AE317" s="372"/>
      <c r="AF317" s="372"/>
      <c r="AG317" s="372"/>
      <c r="AH317" s="372"/>
      <c r="AI317" s="372"/>
      <c r="AJ317" s="372"/>
      <c r="AK317" s="372"/>
      <c r="AL317" s="372"/>
      <c r="AM317" s="372"/>
    </row>
    <row r="318">
      <c r="A318" s="369" t="s">
        <v>664</v>
      </c>
      <c r="B318" s="369"/>
      <c r="C318" s="405"/>
      <c r="D318" s="369"/>
      <c r="E318" s="369"/>
      <c r="F318" s="372"/>
      <c r="G318" s="372"/>
      <c r="H318" s="372"/>
      <c r="I318" s="372"/>
      <c r="J318" s="372"/>
      <c r="K318" s="369"/>
      <c r="L318" s="369"/>
      <c r="M318" s="373"/>
      <c r="N318" s="369"/>
      <c r="O318" s="369"/>
      <c r="P318" s="374"/>
      <c r="Q318" s="372"/>
      <c r="R318" s="372"/>
      <c r="S318" s="372"/>
      <c r="T318" s="372"/>
      <c r="U318" s="372"/>
      <c r="V318" s="372"/>
      <c r="W318" s="372"/>
      <c r="X318" s="372"/>
      <c r="Y318" s="372"/>
      <c r="Z318" s="372"/>
      <c r="AA318" s="372"/>
      <c r="AB318" s="372"/>
      <c r="AC318" s="372"/>
      <c r="AD318" s="372"/>
      <c r="AE318" s="372"/>
      <c r="AF318" s="372"/>
      <c r="AG318" s="372"/>
      <c r="AH318" s="372"/>
      <c r="AI318" s="372"/>
      <c r="AJ318" s="372"/>
      <c r="AK318" s="372"/>
      <c r="AL318" s="372"/>
      <c r="AM318" s="372"/>
    </row>
    <row r="319">
      <c r="A319" s="369" t="s">
        <v>665</v>
      </c>
      <c r="B319" s="369"/>
      <c r="C319" s="405"/>
      <c r="D319" s="369"/>
      <c r="E319" s="369"/>
      <c r="F319" s="372"/>
      <c r="G319" s="372"/>
      <c r="H319" s="372"/>
      <c r="I319" s="372"/>
      <c r="J319" s="372"/>
      <c r="K319" s="369"/>
      <c r="L319" s="369"/>
      <c r="M319" s="373"/>
      <c r="N319" s="369"/>
      <c r="O319" s="369"/>
      <c r="P319" s="374"/>
      <c r="Q319" s="372"/>
      <c r="R319" s="372"/>
      <c r="S319" s="372"/>
      <c r="T319" s="372"/>
      <c r="U319" s="372"/>
      <c r="V319" s="372"/>
      <c r="W319" s="372"/>
      <c r="X319" s="372"/>
      <c r="Y319" s="372"/>
      <c r="Z319" s="372"/>
      <c r="AA319" s="372"/>
      <c r="AB319" s="372"/>
      <c r="AC319" s="372"/>
      <c r="AD319" s="372"/>
      <c r="AE319" s="372"/>
      <c r="AF319" s="372"/>
      <c r="AG319" s="372"/>
      <c r="AH319" s="372"/>
      <c r="AI319" s="372"/>
      <c r="AJ319" s="372"/>
      <c r="AK319" s="372"/>
      <c r="AL319" s="372"/>
      <c r="AM319" s="372"/>
    </row>
    <row r="320">
      <c r="A320" s="369" t="s">
        <v>666</v>
      </c>
      <c r="B320" s="369"/>
      <c r="C320" s="405"/>
      <c r="D320" s="369"/>
      <c r="E320" s="369"/>
      <c r="F320" s="372"/>
      <c r="G320" s="372"/>
      <c r="H320" s="372"/>
      <c r="I320" s="372"/>
      <c r="J320" s="372"/>
      <c r="K320" s="369"/>
      <c r="L320" s="369"/>
      <c r="M320" s="373"/>
      <c r="N320" s="369"/>
      <c r="O320" s="369"/>
      <c r="P320" s="374"/>
      <c r="Q320" s="372"/>
      <c r="R320" s="372"/>
      <c r="S320" s="372"/>
      <c r="T320" s="372"/>
      <c r="U320" s="372"/>
      <c r="V320" s="372"/>
      <c r="W320" s="372"/>
      <c r="X320" s="372"/>
      <c r="Y320" s="372"/>
      <c r="Z320" s="372"/>
      <c r="AA320" s="372"/>
      <c r="AB320" s="372"/>
      <c r="AC320" s="372"/>
      <c r="AD320" s="372"/>
      <c r="AE320" s="372"/>
      <c r="AF320" s="372"/>
      <c r="AG320" s="372"/>
      <c r="AH320" s="372"/>
      <c r="AI320" s="372"/>
      <c r="AJ320" s="372"/>
      <c r="AK320" s="372"/>
      <c r="AL320" s="372"/>
      <c r="AM320" s="372"/>
    </row>
    <row r="321">
      <c r="A321" s="369" t="s">
        <v>667</v>
      </c>
      <c r="B321" s="369"/>
      <c r="C321" s="405"/>
      <c r="D321" s="369"/>
      <c r="E321" s="369"/>
      <c r="F321" s="372"/>
      <c r="G321" s="372"/>
      <c r="H321" s="372"/>
      <c r="I321" s="372"/>
      <c r="J321" s="372"/>
      <c r="K321" s="369"/>
      <c r="L321" s="369"/>
      <c r="M321" s="373"/>
      <c r="N321" s="369"/>
      <c r="O321" s="369"/>
      <c r="P321" s="374"/>
      <c r="Q321" s="372"/>
      <c r="R321" s="372"/>
      <c r="S321" s="372"/>
      <c r="T321" s="372"/>
      <c r="U321" s="372"/>
      <c r="V321" s="372"/>
      <c r="W321" s="372"/>
      <c r="X321" s="372"/>
      <c r="Y321" s="372"/>
      <c r="Z321" s="372"/>
      <c r="AA321" s="372"/>
      <c r="AB321" s="372"/>
      <c r="AC321" s="372"/>
      <c r="AD321" s="372"/>
      <c r="AE321" s="372"/>
      <c r="AF321" s="372"/>
      <c r="AG321" s="372"/>
      <c r="AH321" s="372"/>
      <c r="AI321" s="372"/>
      <c r="AJ321" s="372"/>
      <c r="AK321" s="372"/>
      <c r="AL321" s="372"/>
      <c r="AM321" s="372"/>
    </row>
    <row r="322">
      <c r="A322" s="369" t="s">
        <v>668</v>
      </c>
      <c r="B322" s="369"/>
      <c r="C322" s="405"/>
      <c r="D322" s="369"/>
      <c r="E322" s="369"/>
      <c r="F322" s="372"/>
      <c r="G322" s="372"/>
      <c r="H322" s="372"/>
      <c r="I322" s="372"/>
      <c r="J322" s="372"/>
      <c r="K322" s="369"/>
      <c r="L322" s="369"/>
      <c r="M322" s="373"/>
      <c r="N322" s="369"/>
      <c r="O322" s="369"/>
      <c r="P322" s="374"/>
      <c r="Q322" s="372"/>
      <c r="R322" s="372"/>
      <c r="S322" s="372"/>
      <c r="T322" s="372"/>
      <c r="U322" s="372"/>
      <c r="V322" s="372"/>
      <c r="W322" s="372"/>
      <c r="X322" s="372"/>
      <c r="Y322" s="372"/>
      <c r="Z322" s="372"/>
      <c r="AA322" s="372"/>
      <c r="AB322" s="372"/>
      <c r="AC322" s="372"/>
      <c r="AD322" s="372"/>
      <c r="AE322" s="372"/>
      <c r="AF322" s="372"/>
      <c r="AG322" s="372"/>
      <c r="AH322" s="372"/>
      <c r="AI322" s="372"/>
      <c r="AJ322" s="372"/>
      <c r="AK322" s="372"/>
      <c r="AL322" s="372"/>
      <c r="AM322" s="372"/>
    </row>
    <row r="323">
      <c r="A323" s="369" t="s">
        <v>669</v>
      </c>
      <c r="B323" s="369"/>
      <c r="C323" s="405"/>
      <c r="D323" s="369"/>
      <c r="E323" s="369"/>
      <c r="F323" s="372"/>
      <c r="G323" s="372"/>
      <c r="H323" s="372"/>
      <c r="I323" s="372"/>
      <c r="J323" s="372"/>
      <c r="K323" s="369"/>
      <c r="L323" s="369"/>
      <c r="M323" s="373"/>
      <c r="N323" s="369"/>
      <c r="O323" s="369"/>
      <c r="P323" s="374"/>
      <c r="Q323" s="372"/>
      <c r="R323" s="372"/>
      <c r="S323" s="372"/>
      <c r="T323" s="372"/>
      <c r="U323" s="372"/>
      <c r="V323" s="372"/>
      <c r="W323" s="372"/>
      <c r="X323" s="372"/>
      <c r="Y323" s="372"/>
      <c r="Z323" s="372"/>
      <c r="AA323" s="372"/>
      <c r="AB323" s="372"/>
      <c r="AC323" s="372"/>
      <c r="AD323" s="372"/>
      <c r="AE323" s="372"/>
      <c r="AF323" s="372"/>
      <c r="AG323" s="372"/>
      <c r="AH323" s="372"/>
      <c r="AI323" s="372"/>
      <c r="AJ323" s="372"/>
      <c r="AK323" s="372"/>
      <c r="AL323" s="372"/>
      <c r="AM323" s="372"/>
    </row>
    <row r="324">
      <c r="A324" s="369" t="s">
        <v>670</v>
      </c>
      <c r="B324" s="369"/>
      <c r="C324" s="405"/>
      <c r="D324" s="369"/>
      <c r="E324" s="369"/>
      <c r="F324" s="372"/>
      <c r="G324" s="372"/>
      <c r="H324" s="372"/>
      <c r="I324" s="372"/>
      <c r="J324" s="372"/>
      <c r="K324" s="369"/>
      <c r="L324" s="369"/>
      <c r="M324" s="373"/>
      <c r="N324" s="369"/>
      <c r="O324" s="369"/>
      <c r="P324" s="374"/>
      <c r="Q324" s="372"/>
      <c r="R324" s="372"/>
      <c r="S324" s="372"/>
      <c r="T324" s="372"/>
      <c r="U324" s="372"/>
      <c r="V324" s="372"/>
      <c r="W324" s="372"/>
      <c r="X324" s="372"/>
      <c r="Y324" s="372"/>
      <c r="Z324" s="372"/>
      <c r="AA324" s="372"/>
      <c r="AB324" s="372"/>
      <c r="AC324" s="372"/>
      <c r="AD324" s="372"/>
      <c r="AE324" s="372"/>
      <c r="AF324" s="372"/>
      <c r="AG324" s="372"/>
      <c r="AH324" s="372"/>
      <c r="AI324" s="372"/>
      <c r="AJ324" s="372"/>
      <c r="AK324" s="372"/>
      <c r="AL324" s="372"/>
      <c r="AM324" s="372"/>
    </row>
    <row r="325">
      <c r="A325" s="369" t="s">
        <v>671</v>
      </c>
      <c r="B325" s="369"/>
      <c r="C325" s="405"/>
      <c r="D325" s="369"/>
      <c r="E325" s="369"/>
      <c r="F325" s="372"/>
      <c r="G325" s="372"/>
      <c r="H325" s="372"/>
      <c r="I325" s="372"/>
      <c r="J325" s="372"/>
      <c r="K325" s="369"/>
      <c r="L325" s="369"/>
      <c r="M325" s="373"/>
      <c r="N325" s="369"/>
      <c r="O325" s="369"/>
      <c r="P325" s="374"/>
      <c r="Q325" s="372"/>
      <c r="R325" s="372"/>
      <c r="S325" s="372"/>
      <c r="T325" s="372"/>
      <c r="U325" s="372"/>
      <c r="V325" s="372"/>
      <c r="W325" s="372"/>
      <c r="X325" s="372"/>
      <c r="Y325" s="372"/>
      <c r="Z325" s="372"/>
      <c r="AA325" s="372"/>
      <c r="AB325" s="372"/>
      <c r="AC325" s="372"/>
      <c r="AD325" s="372"/>
      <c r="AE325" s="372"/>
      <c r="AF325" s="372"/>
      <c r="AG325" s="372"/>
      <c r="AH325" s="372"/>
      <c r="AI325" s="372"/>
      <c r="AJ325" s="372"/>
      <c r="AK325" s="372"/>
      <c r="AL325" s="372"/>
      <c r="AM325" s="372"/>
    </row>
    <row r="326">
      <c r="A326" s="369" t="s">
        <v>672</v>
      </c>
      <c r="B326" s="369"/>
      <c r="C326" s="405"/>
      <c r="D326" s="369"/>
      <c r="E326" s="369"/>
      <c r="F326" s="372"/>
      <c r="G326" s="372"/>
      <c r="H326" s="372"/>
      <c r="I326" s="372"/>
      <c r="J326" s="372"/>
      <c r="K326" s="369"/>
      <c r="L326" s="369"/>
      <c r="M326" s="373"/>
      <c r="N326" s="369"/>
      <c r="O326" s="369"/>
      <c r="P326" s="374"/>
      <c r="Q326" s="372"/>
      <c r="R326" s="372"/>
      <c r="S326" s="372"/>
      <c r="T326" s="372"/>
      <c r="U326" s="372"/>
      <c r="V326" s="372"/>
      <c r="W326" s="372"/>
      <c r="X326" s="372"/>
      <c r="Y326" s="372"/>
      <c r="Z326" s="372"/>
      <c r="AA326" s="372"/>
      <c r="AB326" s="372"/>
      <c r="AC326" s="372"/>
      <c r="AD326" s="372"/>
      <c r="AE326" s="372"/>
      <c r="AF326" s="372"/>
      <c r="AG326" s="372"/>
      <c r="AH326" s="372"/>
      <c r="AI326" s="372"/>
      <c r="AJ326" s="372"/>
      <c r="AK326" s="372"/>
      <c r="AL326" s="372"/>
      <c r="AM326" s="372"/>
    </row>
    <row r="327">
      <c r="A327" s="369" t="s">
        <v>673</v>
      </c>
      <c r="B327" s="369"/>
      <c r="C327" s="405"/>
      <c r="D327" s="369"/>
      <c r="E327" s="369"/>
      <c r="F327" s="372"/>
      <c r="G327" s="372"/>
      <c r="H327" s="372"/>
      <c r="I327" s="372"/>
      <c r="J327" s="372"/>
      <c r="K327" s="369"/>
      <c r="L327" s="369"/>
      <c r="M327" s="373"/>
      <c r="N327" s="369"/>
      <c r="O327" s="369"/>
      <c r="P327" s="374"/>
      <c r="Q327" s="372"/>
      <c r="R327" s="372"/>
      <c r="S327" s="372"/>
      <c r="T327" s="372"/>
      <c r="U327" s="372"/>
      <c r="V327" s="372"/>
      <c r="W327" s="372"/>
      <c r="X327" s="372"/>
      <c r="Y327" s="372"/>
      <c r="Z327" s="372"/>
      <c r="AA327" s="372"/>
      <c r="AB327" s="372"/>
      <c r="AC327" s="372"/>
      <c r="AD327" s="372"/>
      <c r="AE327" s="372"/>
      <c r="AF327" s="372"/>
      <c r="AG327" s="372"/>
      <c r="AH327" s="372"/>
      <c r="AI327" s="372"/>
      <c r="AJ327" s="372"/>
      <c r="AK327" s="372"/>
      <c r="AL327" s="372"/>
      <c r="AM327" s="372"/>
    </row>
    <row r="328">
      <c r="A328" s="369" t="s">
        <v>674</v>
      </c>
      <c r="B328" s="369"/>
      <c r="C328" s="405"/>
      <c r="D328" s="369"/>
      <c r="E328" s="369"/>
      <c r="F328" s="372"/>
      <c r="G328" s="372"/>
      <c r="H328" s="372"/>
      <c r="I328" s="372"/>
      <c r="J328" s="372"/>
      <c r="K328" s="369"/>
      <c r="L328" s="369"/>
      <c r="M328" s="373"/>
      <c r="N328" s="369"/>
      <c r="O328" s="369"/>
      <c r="P328" s="374"/>
      <c r="Q328" s="372"/>
      <c r="R328" s="372"/>
      <c r="S328" s="372"/>
      <c r="T328" s="372"/>
      <c r="U328" s="372"/>
      <c r="V328" s="372"/>
      <c r="W328" s="372"/>
      <c r="X328" s="372"/>
      <c r="Y328" s="372"/>
      <c r="Z328" s="372"/>
      <c r="AA328" s="372"/>
      <c r="AB328" s="372"/>
      <c r="AC328" s="372"/>
      <c r="AD328" s="372"/>
      <c r="AE328" s="372"/>
      <c r="AF328" s="372"/>
      <c r="AG328" s="372"/>
      <c r="AH328" s="372"/>
      <c r="AI328" s="372"/>
      <c r="AJ328" s="372"/>
      <c r="AK328" s="372"/>
      <c r="AL328" s="372"/>
      <c r="AM328" s="372"/>
    </row>
    <row r="329">
      <c r="A329" s="369" t="s">
        <v>207</v>
      </c>
      <c r="B329" s="369"/>
      <c r="C329" s="405"/>
      <c r="D329" s="369"/>
      <c r="E329" s="369"/>
      <c r="F329" s="372"/>
      <c r="G329" s="372"/>
      <c r="H329" s="372"/>
      <c r="I329" s="372"/>
      <c r="J329" s="372"/>
      <c r="K329" s="369"/>
      <c r="L329" s="369"/>
      <c r="M329" s="373"/>
      <c r="N329" s="369"/>
      <c r="O329" s="369"/>
      <c r="P329" s="374"/>
      <c r="Q329" s="372"/>
      <c r="R329" s="372"/>
      <c r="S329" s="372"/>
      <c r="T329" s="372"/>
      <c r="U329" s="372"/>
      <c r="V329" s="372"/>
      <c r="W329" s="372"/>
      <c r="X329" s="372"/>
      <c r="Y329" s="372"/>
      <c r="Z329" s="372"/>
      <c r="AA329" s="372"/>
      <c r="AB329" s="372"/>
      <c r="AC329" s="372"/>
      <c r="AD329" s="372"/>
      <c r="AE329" s="372"/>
      <c r="AF329" s="372"/>
      <c r="AG329" s="372"/>
      <c r="AH329" s="372"/>
      <c r="AI329" s="372"/>
      <c r="AJ329" s="372"/>
      <c r="AK329" s="372"/>
      <c r="AL329" s="372"/>
      <c r="AM329" s="372"/>
    </row>
    <row r="330">
      <c r="A330" s="369" t="s">
        <v>675</v>
      </c>
      <c r="B330" s="369"/>
      <c r="C330" s="405"/>
      <c r="D330" s="369"/>
      <c r="E330" s="369"/>
      <c r="F330" s="372"/>
      <c r="G330" s="372"/>
      <c r="H330" s="372"/>
      <c r="I330" s="372"/>
      <c r="J330" s="372"/>
      <c r="K330" s="369"/>
      <c r="L330" s="369"/>
      <c r="M330" s="373"/>
      <c r="N330" s="369"/>
      <c r="O330" s="369"/>
      <c r="P330" s="374"/>
      <c r="Q330" s="372"/>
      <c r="R330" s="372"/>
      <c r="S330" s="372"/>
      <c r="T330" s="372"/>
      <c r="U330" s="372"/>
      <c r="V330" s="372"/>
      <c r="W330" s="372"/>
      <c r="X330" s="372"/>
      <c r="Y330" s="372"/>
      <c r="Z330" s="372"/>
      <c r="AA330" s="372"/>
      <c r="AB330" s="372"/>
      <c r="AC330" s="372"/>
      <c r="AD330" s="372"/>
      <c r="AE330" s="372"/>
      <c r="AF330" s="372"/>
      <c r="AG330" s="372"/>
      <c r="AH330" s="372"/>
      <c r="AI330" s="372"/>
      <c r="AJ330" s="372"/>
      <c r="AK330" s="372"/>
      <c r="AL330" s="372"/>
      <c r="AM330" s="372"/>
    </row>
    <row r="331">
      <c r="A331" s="369" t="s">
        <v>676</v>
      </c>
      <c r="B331" s="369"/>
      <c r="C331" s="405"/>
      <c r="D331" s="369"/>
      <c r="E331" s="369"/>
      <c r="F331" s="372"/>
      <c r="G331" s="372"/>
      <c r="H331" s="372"/>
      <c r="I331" s="372"/>
      <c r="J331" s="372"/>
      <c r="K331" s="369"/>
      <c r="L331" s="369"/>
      <c r="M331" s="373"/>
      <c r="N331" s="369"/>
      <c r="O331" s="369"/>
      <c r="P331" s="374"/>
      <c r="Q331" s="372"/>
      <c r="R331" s="372"/>
      <c r="S331" s="372"/>
      <c r="T331" s="372"/>
      <c r="U331" s="372"/>
      <c r="V331" s="372"/>
      <c r="W331" s="372"/>
      <c r="X331" s="372"/>
      <c r="Y331" s="372"/>
      <c r="Z331" s="372"/>
      <c r="AA331" s="372"/>
      <c r="AB331" s="372"/>
      <c r="AC331" s="372"/>
      <c r="AD331" s="372"/>
      <c r="AE331" s="372"/>
      <c r="AF331" s="372"/>
      <c r="AG331" s="372"/>
      <c r="AH331" s="372"/>
      <c r="AI331" s="372"/>
      <c r="AJ331" s="372"/>
      <c r="AK331" s="372"/>
      <c r="AL331" s="372"/>
      <c r="AM331" s="372"/>
    </row>
    <row r="332">
      <c r="A332" s="369" t="s">
        <v>677</v>
      </c>
      <c r="B332" s="369"/>
      <c r="C332" s="405"/>
      <c r="D332" s="369"/>
      <c r="E332" s="369"/>
      <c r="F332" s="372"/>
      <c r="G332" s="372"/>
      <c r="H332" s="372"/>
      <c r="I332" s="372"/>
      <c r="J332" s="372"/>
      <c r="K332" s="369"/>
      <c r="L332" s="369"/>
      <c r="M332" s="373"/>
      <c r="N332" s="369"/>
      <c r="O332" s="369"/>
      <c r="P332" s="374"/>
      <c r="Q332" s="372"/>
      <c r="R332" s="372"/>
      <c r="S332" s="372"/>
      <c r="T332" s="372"/>
      <c r="U332" s="372"/>
      <c r="V332" s="372"/>
      <c r="W332" s="372"/>
      <c r="X332" s="372"/>
      <c r="Y332" s="372"/>
      <c r="Z332" s="372"/>
      <c r="AA332" s="372"/>
      <c r="AB332" s="372"/>
      <c r="AC332" s="372"/>
      <c r="AD332" s="372"/>
      <c r="AE332" s="372"/>
      <c r="AF332" s="372"/>
      <c r="AG332" s="372"/>
      <c r="AH332" s="372"/>
      <c r="AI332" s="372"/>
      <c r="AJ332" s="372"/>
      <c r="AK332" s="372"/>
      <c r="AL332" s="372"/>
      <c r="AM332" s="372"/>
    </row>
    <row r="333">
      <c r="A333" s="369" t="s">
        <v>678</v>
      </c>
      <c r="B333" s="369"/>
      <c r="C333" s="405"/>
      <c r="D333" s="369"/>
      <c r="E333" s="369"/>
      <c r="F333" s="372"/>
      <c r="G333" s="372"/>
      <c r="H333" s="372"/>
      <c r="I333" s="372"/>
      <c r="J333" s="372"/>
      <c r="K333" s="369"/>
      <c r="L333" s="369"/>
      <c r="M333" s="373"/>
      <c r="N333" s="369"/>
      <c r="O333" s="369"/>
      <c r="P333" s="374"/>
      <c r="Q333" s="372"/>
      <c r="R333" s="372"/>
      <c r="S333" s="372"/>
      <c r="T333" s="372"/>
      <c r="U333" s="372"/>
      <c r="V333" s="372"/>
      <c r="W333" s="372"/>
      <c r="X333" s="372"/>
      <c r="Y333" s="372"/>
      <c r="Z333" s="372"/>
      <c r="AA333" s="372"/>
      <c r="AB333" s="372"/>
      <c r="AC333" s="372"/>
      <c r="AD333" s="372"/>
      <c r="AE333" s="372"/>
      <c r="AF333" s="372"/>
      <c r="AG333" s="372"/>
      <c r="AH333" s="372"/>
      <c r="AI333" s="372"/>
      <c r="AJ333" s="372"/>
      <c r="AK333" s="372"/>
      <c r="AL333" s="372"/>
      <c r="AM333" s="372"/>
    </row>
    <row r="334">
      <c r="A334" s="369" t="s">
        <v>679</v>
      </c>
      <c r="B334" s="369"/>
      <c r="C334" s="405"/>
      <c r="D334" s="369"/>
      <c r="E334" s="369"/>
      <c r="F334" s="372"/>
      <c r="G334" s="372"/>
      <c r="H334" s="372"/>
      <c r="I334" s="372"/>
      <c r="J334" s="372"/>
      <c r="K334" s="369"/>
      <c r="L334" s="369"/>
      <c r="M334" s="373"/>
      <c r="N334" s="369"/>
      <c r="O334" s="369"/>
      <c r="P334" s="374"/>
      <c r="Q334" s="372"/>
      <c r="R334" s="372"/>
      <c r="S334" s="372"/>
      <c r="T334" s="372"/>
      <c r="U334" s="372"/>
      <c r="V334" s="372"/>
      <c r="W334" s="372"/>
      <c r="X334" s="372"/>
      <c r="Y334" s="372"/>
      <c r="Z334" s="372"/>
      <c r="AA334" s="372"/>
      <c r="AB334" s="372"/>
      <c r="AC334" s="372"/>
      <c r="AD334" s="372"/>
      <c r="AE334" s="372"/>
      <c r="AF334" s="372"/>
      <c r="AG334" s="372"/>
      <c r="AH334" s="372"/>
      <c r="AI334" s="372"/>
      <c r="AJ334" s="372"/>
      <c r="AK334" s="372"/>
      <c r="AL334" s="372"/>
      <c r="AM334" s="372"/>
    </row>
    <row r="335">
      <c r="A335" s="369" t="s">
        <v>680</v>
      </c>
      <c r="B335" s="369"/>
      <c r="C335" s="405"/>
      <c r="D335" s="369"/>
      <c r="E335" s="369"/>
      <c r="F335" s="372"/>
      <c r="G335" s="372"/>
      <c r="H335" s="372"/>
      <c r="I335" s="372"/>
      <c r="J335" s="372"/>
      <c r="K335" s="369"/>
      <c r="L335" s="369"/>
      <c r="M335" s="373"/>
      <c r="N335" s="369"/>
      <c r="O335" s="369"/>
      <c r="P335" s="374"/>
      <c r="Q335" s="372"/>
      <c r="R335" s="372"/>
      <c r="S335" s="372"/>
      <c r="T335" s="372"/>
      <c r="U335" s="372"/>
      <c r="V335" s="372"/>
      <c r="W335" s="372"/>
      <c r="X335" s="372"/>
      <c r="Y335" s="372"/>
      <c r="Z335" s="372"/>
      <c r="AA335" s="372"/>
      <c r="AB335" s="372"/>
      <c r="AC335" s="372"/>
      <c r="AD335" s="372"/>
      <c r="AE335" s="372"/>
      <c r="AF335" s="372"/>
      <c r="AG335" s="372"/>
      <c r="AH335" s="372"/>
      <c r="AI335" s="372"/>
      <c r="AJ335" s="372"/>
      <c r="AK335" s="372"/>
      <c r="AL335" s="372"/>
      <c r="AM335" s="372"/>
    </row>
    <row r="336">
      <c r="A336" s="369" t="s">
        <v>681</v>
      </c>
      <c r="B336" s="369"/>
      <c r="C336" s="405"/>
      <c r="D336" s="369"/>
      <c r="E336" s="369"/>
      <c r="F336" s="372"/>
      <c r="G336" s="372"/>
      <c r="H336" s="372"/>
      <c r="I336" s="372"/>
      <c r="J336" s="372"/>
      <c r="K336" s="369"/>
      <c r="L336" s="369"/>
      <c r="M336" s="373"/>
      <c r="N336" s="369"/>
      <c r="O336" s="369"/>
      <c r="P336" s="374"/>
      <c r="Q336" s="372"/>
      <c r="R336" s="372"/>
      <c r="S336" s="372"/>
      <c r="T336" s="372"/>
      <c r="U336" s="372"/>
      <c r="V336" s="372"/>
      <c r="W336" s="372"/>
      <c r="X336" s="372"/>
      <c r="Y336" s="372"/>
      <c r="Z336" s="372"/>
      <c r="AA336" s="372"/>
      <c r="AB336" s="372"/>
      <c r="AC336" s="372"/>
      <c r="AD336" s="372"/>
      <c r="AE336" s="372"/>
      <c r="AF336" s="372"/>
      <c r="AG336" s="372"/>
      <c r="AH336" s="372"/>
      <c r="AI336" s="372"/>
      <c r="AJ336" s="372"/>
      <c r="AK336" s="372"/>
      <c r="AL336" s="372"/>
      <c r="AM336" s="372"/>
    </row>
    <row r="337">
      <c r="A337" s="369" t="s">
        <v>682</v>
      </c>
      <c r="B337" s="369"/>
      <c r="C337" s="405"/>
      <c r="D337" s="369"/>
      <c r="E337" s="369"/>
      <c r="F337" s="372"/>
      <c r="G337" s="372"/>
      <c r="H337" s="372"/>
      <c r="I337" s="372"/>
      <c r="J337" s="372"/>
      <c r="K337" s="369"/>
      <c r="L337" s="369"/>
      <c r="M337" s="373"/>
      <c r="N337" s="369"/>
      <c r="O337" s="369"/>
      <c r="P337" s="374"/>
      <c r="Q337" s="372"/>
      <c r="R337" s="372"/>
      <c r="S337" s="372"/>
      <c r="T337" s="372"/>
      <c r="U337" s="372"/>
      <c r="V337" s="372"/>
      <c r="W337" s="372"/>
      <c r="X337" s="372"/>
      <c r="Y337" s="372"/>
      <c r="Z337" s="372"/>
      <c r="AA337" s="372"/>
      <c r="AB337" s="372"/>
      <c r="AC337" s="372"/>
      <c r="AD337" s="372"/>
      <c r="AE337" s="372"/>
      <c r="AF337" s="372"/>
      <c r="AG337" s="372"/>
      <c r="AH337" s="372"/>
      <c r="AI337" s="372"/>
      <c r="AJ337" s="372"/>
      <c r="AK337" s="372"/>
      <c r="AL337" s="372"/>
      <c r="AM337" s="372"/>
    </row>
    <row r="338">
      <c r="A338" s="369" t="s">
        <v>683</v>
      </c>
      <c r="B338" s="369"/>
      <c r="C338" s="405"/>
      <c r="D338" s="369"/>
      <c r="E338" s="369"/>
      <c r="F338" s="372"/>
      <c r="G338" s="372"/>
      <c r="H338" s="372"/>
      <c r="I338" s="372"/>
      <c r="J338" s="372"/>
      <c r="K338" s="369"/>
      <c r="L338" s="369"/>
      <c r="M338" s="373"/>
      <c r="N338" s="369"/>
      <c r="O338" s="369"/>
      <c r="P338" s="374"/>
      <c r="Q338" s="372"/>
      <c r="R338" s="372"/>
      <c r="S338" s="372"/>
      <c r="T338" s="372"/>
      <c r="U338" s="372"/>
      <c r="V338" s="372"/>
      <c r="W338" s="372"/>
      <c r="X338" s="372"/>
      <c r="Y338" s="372"/>
      <c r="Z338" s="372"/>
      <c r="AA338" s="372"/>
      <c r="AB338" s="372"/>
      <c r="AC338" s="372"/>
      <c r="AD338" s="372"/>
      <c r="AE338" s="372"/>
      <c r="AF338" s="372"/>
      <c r="AG338" s="372"/>
      <c r="AH338" s="372"/>
      <c r="AI338" s="372"/>
      <c r="AJ338" s="372"/>
      <c r="AK338" s="372"/>
      <c r="AL338" s="372"/>
      <c r="AM338" s="372"/>
    </row>
    <row r="339">
      <c r="A339" s="369" t="s">
        <v>684</v>
      </c>
      <c r="B339" s="369"/>
      <c r="C339" s="405"/>
      <c r="D339" s="369"/>
      <c r="E339" s="369"/>
      <c r="F339" s="372"/>
      <c r="G339" s="372"/>
      <c r="H339" s="372"/>
      <c r="I339" s="372"/>
      <c r="J339" s="372"/>
      <c r="K339" s="369"/>
      <c r="L339" s="369"/>
      <c r="M339" s="373"/>
      <c r="N339" s="369"/>
      <c r="O339" s="369"/>
      <c r="P339" s="374"/>
      <c r="Q339" s="372"/>
      <c r="R339" s="372"/>
      <c r="S339" s="372"/>
      <c r="T339" s="372"/>
      <c r="U339" s="372"/>
      <c r="V339" s="372"/>
      <c r="W339" s="372"/>
      <c r="X339" s="372"/>
      <c r="Y339" s="372"/>
      <c r="Z339" s="372"/>
      <c r="AA339" s="372"/>
      <c r="AB339" s="372"/>
      <c r="AC339" s="372"/>
      <c r="AD339" s="372"/>
      <c r="AE339" s="372"/>
      <c r="AF339" s="372"/>
      <c r="AG339" s="372"/>
      <c r="AH339" s="372"/>
      <c r="AI339" s="372"/>
      <c r="AJ339" s="372"/>
      <c r="AK339" s="372"/>
      <c r="AL339" s="372"/>
      <c r="AM339" s="372"/>
    </row>
    <row r="340">
      <c r="A340" s="369" t="s">
        <v>685</v>
      </c>
      <c r="B340" s="369"/>
      <c r="C340" s="405"/>
      <c r="D340" s="369"/>
      <c r="E340" s="369"/>
      <c r="F340" s="372"/>
      <c r="G340" s="372"/>
      <c r="H340" s="372"/>
      <c r="I340" s="372"/>
      <c r="J340" s="372"/>
      <c r="K340" s="369"/>
      <c r="L340" s="369"/>
      <c r="M340" s="373"/>
      <c r="N340" s="369"/>
      <c r="O340" s="369"/>
      <c r="P340" s="374"/>
      <c r="Q340" s="372"/>
      <c r="R340" s="372"/>
      <c r="S340" s="372"/>
      <c r="T340" s="372"/>
      <c r="U340" s="372"/>
      <c r="V340" s="372"/>
      <c r="W340" s="372"/>
      <c r="X340" s="372"/>
      <c r="Y340" s="372"/>
      <c r="Z340" s="372"/>
      <c r="AA340" s="372"/>
      <c r="AB340" s="372"/>
      <c r="AC340" s="372"/>
      <c r="AD340" s="372"/>
      <c r="AE340" s="372"/>
      <c r="AF340" s="372"/>
      <c r="AG340" s="372"/>
      <c r="AH340" s="372"/>
      <c r="AI340" s="372"/>
      <c r="AJ340" s="372"/>
      <c r="AK340" s="372"/>
      <c r="AL340" s="372"/>
      <c r="AM340" s="372"/>
    </row>
    <row r="341">
      <c r="A341" s="369" t="s">
        <v>686</v>
      </c>
      <c r="B341" s="369"/>
      <c r="C341" s="405"/>
      <c r="D341" s="369"/>
      <c r="E341" s="369"/>
      <c r="F341" s="372"/>
      <c r="G341" s="372"/>
      <c r="H341" s="372"/>
      <c r="I341" s="372"/>
      <c r="J341" s="372"/>
      <c r="K341" s="369"/>
      <c r="L341" s="369"/>
      <c r="M341" s="373"/>
      <c r="N341" s="369"/>
      <c r="O341" s="369"/>
      <c r="P341" s="374"/>
      <c r="Q341" s="372"/>
      <c r="R341" s="372"/>
      <c r="S341" s="372"/>
      <c r="T341" s="372"/>
      <c r="U341" s="372"/>
      <c r="V341" s="372"/>
      <c r="W341" s="372"/>
      <c r="X341" s="372"/>
      <c r="Y341" s="372"/>
      <c r="Z341" s="372"/>
      <c r="AA341" s="372"/>
      <c r="AB341" s="372"/>
      <c r="AC341" s="372"/>
      <c r="AD341" s="372"/>
      <c r="AE341" s="372"/>
      <c r="AF341" s="372"/>
      <c r="AG341" s="372"/>
      <c r="AH341" s="372"/>
      <c r="AI341" s="372"/>
      <c r="AJ341" s="372"/>
      <c r="AK341" s="372"/>
      <c r="AL341" s="372"/>
      <c r="AM341" s="372"/>
    </row>
    <row r="342">
      <c r="A342" s="369" t="s">
        <v>687</v>
      </c>
      <c r="B342" s="369"/>
      <c r="C342" s="405"/>
      <c r="D342" s="369"/>
      <c r="E342" s="369"/>
      <c r="F342" s="372"/>
      <c r="G342" s="372"/>
      <c r="H342" s="372"/>
      <c r="I342" s="372"/>
      <c r="J342" s="372"/>
      <c r="K342" s="369"/>
      <c r="L342" s="369"/>
      <c r="M342" s="373"/>
      <c r="N342" s="369"/>
      <c r="O342" s="369"/>
      <c r="P342" s="374"/>
      <c r="Q342" s="372"/>
      <c r="R342" s="372"/>
      <c r="S342" s="372"/>
      <c r="T342" s="372"/>
      <c r="U342" s="372"/>
      <c r="V342" s="372"/>
      <c r="W342" s="372"/>
      <c r="X342" s="372"/>
      <c r="Y342" s="372"/>
      <c r="Z342" s="372"/>
      <c r="AA342" s="372"/>
      <c r="AB342" s="372"/>
      <c r="AC342" s="372"/>
      <c r="AD342" s="372"/>
      <c r="AE342" s="372"/>
      <c r="AF342" s="372"/>
      <c r="AG342" s="372"/>
      <c r="AH342" s="372"/>
      <c r="AI342" s="372"/>
      <c r="AJ342" s="372"/>
      <c r="AK342" s="372"/>
      <c r="AL342" s="372"/>
      <c r="AM342" s="372"/>
    </row>
    <row r="343">
      <c r="A343" s="369" t="s">
        <v>688</v>
      </c>
      <c r="B343" s="369"/>
      <c r="C343" s="405"/>
      <c r="D343" s="369"/>
      <c r="E343" s="369"/>
      <c r="F343" s="372"/>
      <c r="G343" s="372"/>
      <c r="H343" s="372"/>
      <c r="I343" s="372"/>
      <c r="J343" s="372"/>
      <c r="K343" s="369"/>
      <c r="L343" s="369"/>
      <c r="M343" s="373"/>
      <c r="N343" s="369"/>
      <c r="O343" s="369"/>
      <c r="P343" s="374"/>
      <c r="Q343" s="372"/>
      <c r="R343" s="372"/>
      <c r="S343" s="372"/>
      <c r="T343" s="372"/>
      <c r="U343" s="372"/>
      <c r="V343" s="372"/>
      <c r="W343" s="372"/>
      <c r="X343" s="372"/>
      <c r="Y343" s="372"/>
      <c r="Z343" s="372"/>
      <c r="AA343" s="372"/>
      <c r="AB343" s="372"/>
      <c r="AC343" s="372"/>
      <c r="AD343" s="372"/>
      <c r="AE343" s="372"/>
      <c r="AF343" s="372"/>
      <c r="AG343" s="372"/>
      <c r="AH343" s="372"/>
      <c r="AI343" s="372"/>
      <c r="AJ343" s="372"/>
      <c r="AK343" s="372"/>
      <c r="AL343" s="372"/>
      <c r="AM343" s="372"/>
    </row>
    <row r="344">
      <c r="A344" s="369" t="s">
        <v>689</v>
      </c>
      <c r="B344" s="369"/>
      <c r="C344" s="405"/>
      <c r="D344" s="369"/>
      <c r="E344" s="369"/>
      <c r="F344" s="372"/>
      <c r="G344" s="372"/>
      <c r="H344" s="372"/>
      <c r="I344" s="372"/>
      <c r="J344" s="372"/>
      <c r="K344" s="369"/>
      <c r="L344" s="369"/>
      <c r="M344" s="373"/>
      <c r="N344" s="369"/>
      <c r="O344" s="369"/>
      <c r="P344" s="374"/>
      <c r="Q344" s="372"/>
      <c r="R344" s="372"/>
      <c r="S344" s="372"/>
      <c r="T344" s="372"/>
      <c r="U344" s="372"/>
      <c r="V344" s="372"/>
      <c r="W344" s="372"/>
      <c r="X344" s="372"/>
      <c r="Y344" s="372"/>
      <c r="Z344" s="372"/>
      <c r="AA344" s="372"/>
      <c r="AB344" s="372"/>
      <c r="AC344" s="372"/>
      <c r="AD344" s="372"/>
      <c r="AE344" s="372"/>
      <c r="AF344" s="372"/>
      <c r="AG344" s="372"/>
      <c r="AH344" s="372"/>
      <c r="AI344" s="372"/>
      <c r="AJ344" s="372"/>
      <c r="AK344" s="372"/>
      <c r="AL344" s="372"/>
      <c r="AM344" s="372"/>
    </row>
    <row r="345">
      <c r="A345" s="369" t="s">
        <v>690</v>
      </c>
      <c r="B345" s="369"/>
      <c r="C345" s="405"/>
      <c r="D345" s="369"/>
      <c r="E345" s="369"/>
      <c r="F345" s="372"/>
      <c r="G345" s="372"/>
      <c r="H345" s="372"/>
      <c r="I345" s="372"/>
      <c r="J345" s="372"/>
      <c r="K345" s="369"/>
      <c r="L345" s="369"/>
      <c r="M345" s="373"/>
      <c r="N345" s="369"/>
      <c r="O345" s="369"/>
      <c r="P345" s="374"/>
      <c r="Q345" s="372"/>
      <c r="R345" s="372"/>
      <c r="S345" s="372"/>
      <c r="T345" s="372"/>
      <c r="U345" s="372"/>
      <c r="V345" s="372"/>
      <c r="W345" s="372"/>
      <c r="X345" s="372"/>
      <c r="Y345" s="372"/>
      <c r="Z345" s="372"/>
      <c r="AA345" s="372"/>
      <c r="AB345" s="372"/>
      <c r="AC345" s="372"/>
      <c r="AD345" s="372"/>
      <c r="AE345" s="372"/>
      <c r="AF345" s="372"/>
      <c r="AG345" s="372"/>
      <c r="AH345" s="372"/>
      <c r="AI345" s="372"/>
      <c r="AJ345" s="372"/>
      <c r="AK345" s="372"/>
      <c r="AL345" s="372"/>
      <c r="AM345" s="372"/>
    </row>
    <row r="346">
      <c r="A346" s="369" t="s">
        <v>691</v>
      </c>
      <c r="B346" s="369"/>
      <c r="C346" s="405"/>
      <c r="D346" s="369"/>
      <c r="E346" s="369"/>
      <c r="F346" s="372"/>
      <c r="G346" s="372"/>
      <c r="H346" s="372"/>
      <c r="I346" s="372"/>
      <c r="J346" s="372"/>
      <c r="K346" s="369"/>
      <c r="L346" s="369"/>
      <c r="M346" s="373"/>
      <c r="N346" s="369"/>
      <c r="O346" s="369"/>
      <c r="P346" s="374"/>
      <c r="Q346" s="372"/>
      <c r="R346" s="372"/>
      <c r="S346" s="372"/>
      <c r="T346" s="372"/>
      <c r="U346" s="372"/>
      <c r="V346" s="372"/>
      <c r="W346" s="372"/>
      <c r="X346" s="372"/>
      <c r="Y346" s="372"/>
      <c r="Z346" s="372"/>
      <c r="AA346" s="372"/>
      <c r="AB346" s="372"/>
      <c r="AC346" s="372"/>
      <c r="AD346" s="372"/>
      <c r="AE346" s="372"/>
      <c r="AF346" s="372"/>
      <c r="AG346" s="372"/>
      <c r="AH346" s="372"/>
      <c r="AI346" s="372"/>
      <c r="AJ346" s="372"/>
      <c r="AK346" s="372"/>
      <c r="AL346" s="372"/>
      <c r="AM346" s="372"/>
    </row>
    <row r="347">
      <c r="A347" s="369" t="s">
        <v>221</v>
      </c>
      <c r="B347" s="369"/>
      <c r="C347" s="405"/>
      <c r="D347" s="369"/>
      <c r="E347" s="369"/>
      <c r="F347" s="372"/>
      <c r="G347" s="372"/>
      <c r="H347" s="372"/>
      <c r="I347" s="372"/>
      <c r="J347" s="372"/>
      <c r="K347" s="369"/>
      <c r="L347" s="369"/>
      <c r="M347" s="373"/>
      <c r="N347" s="369"/>
      <c r="O347" s="369"/>
      <c r="P347" s="374"/>
      <c r="Q347" s="372"/>
      <c r="R347" s="372"/>
      <c r="S347" s="372"/>
      <c r="T347" s="372"/>
      <c r="U347" s="372"/>
      <c r="V347" s="372"/>
      <c r="W347" s="372"/>
      <c r="X347" s="372"/>
      <c r="Y347" s="372"/>
      <c r="Z347" s="372"/>
      <c r="AA347" s="372"/>
      <c r="AB347" s="372"/>
      <c r="AC347" s="372"/>
      <c r="AD347" s="372"/>
      <c r="AE347" s="372"/>
      <c r="AF347" s="372"/>
      <c r="AG347" s="372"/>
      <c r="AH347" s="372"/>
      <c r="AI347" s="372"/>
      <c r="AJ347" s="372"/>
      <c r="AK347" s="372"/>
      <c r="AL347" s="372"/>
      <c r="AM347" s="372"/>
    </row>
    <row r="348">
      <c r="A348" s="369" t="s">
        <v>692</v>
      </c>
      <c r="B348" s="369"/>
      <c r="C348" s="405"/>
      <c r="D348" s="369"/>
      <c r="E348" s="369"/>
      <c r="F348" s="372"/>
      <c r="G348" s="372"/>
      <c r="H348" s="372"/>
      <c r="I348" s="372"/>
      <c r="J348" s="372"/>
      <c r="K348" s="369"/>
      <c r="L348" s="369"/>
      <c r="M348" s="373"/>
      <c r="N348" s="369"/>
      <c r="O348" s="369"/>
      <c r="P348" s="374"/>
      <c r="Q348" s="372"/>
      <c r="R348" s="372"/>
      <c r="S348" s="372"/>
      <c r="T348" s="372"/>
      <c r="U348" s="372"/>
      <c r="V348" s="372"/>
      <c r="W348" s="372"/>
      <c r="X348" s="372"/>
      <c r="Y348" s="372"/>
      <c r="Z348" s="372"/>
      <c r="AA348" s="372"/>
      <c r="AB348" s="372"/>
      <c r="AC348" s="372"/>
      <c r="AD348" s="372"/>
      <c r="AE348" s="372"/>
      <c r="AF348" s="372"/>
      <c r="AG348" s="372"/>
      <c r="AH348" s="372"/>
      <c r="AI348" s="372"/>
      <c r="AJ348" s="372"/>
      <c r="AK348" s="372"/>
      <c r="AL348" s="372"/>
      <c r="AM348" s="372"/>
    </row>
    <row r="349">
      <c r="A349" s="369" t="s">
        <v>693</v>
      </c>
      <c r="B349" s="369"/>
      <c r="C349" s="405"/>
      <c r="D349" s="369"/>
      <c r="E349" s="369"/>
      <c r="F349" s="372"/>
      <c r="G349" s="372"/>
      <c r="H349" s="372"/>
      <c r="I349" s="372"/>
      <c r="J349" s="372"/>
      <c r="K349" s="369"/>
      <c r="L349" s="369"/>
      <c r="M349" s="373"/>
      <c r="N349" s="369"/>
      <c r="O349" s="369"/>
      <c r="P349" s="374"/>
      <c r="Q349" s="372"/>
      <c r="R349" s="372"/>
      <c r="S349" s="372"/>
      <c r="T349" s="372"/>
      <c r="U349" s="372"/>
      <c r="V349" s="372"/>
      <c r="W349" s="372"/>
      <c r="X349" s="372"/>
      <c r="Y349" s="372"/>
      <c r="Z349" s="372"/>
      <c r="AA349" s="372"/>
      <c r="AB349" s="372"/>
      <c r="AC349" s="372"/>
      <c r="AD349" s="372"/>
      <c r="AE349" s="372"/>
      <c r="AF349" s="372"/>
      <c r="AG349" s="372"/>
      <c r="AH349" s="372"/>
      <c r="AI349" s="372"/>
      <c r="AJ349" s="372"/>
      <c r="AK349" s="372"/>
      <c r="AL349" s="372"/>
      <c r="AM349" s="372"/>
    </row>
    <row r="350">
      <c r="A350" s="369" t="s">
        <v>694</v>
      </c>
      <c r="B350" s="369"/>
      <c r="C350" s="405"/>
      <c r="D350" s="369"/>
      <c r="E350" s="369"/>
      <c r="F350" s="372"/>
      <c r="G350" s="372"/>
      <c r="H350" s="372"/>
      <c r="I350" s="372"/>
      <c r="J350" s="372"/>
      <c r="K350" s="369"/>
      <c r="L350" s="369"/>
      <c r="M350" s="373"/>
      <c r="N350" s="369"/>
      <c r="O350" s="369"/>
      <c r="P350" s="374"/>
      <c r="Q350" s="372"/>
      <c r="R350" s="372"/>
      <c r="S350" s="372"/>
      <c r="T350" s="372"/>
      <c r="U350" s="372"/>
      <c r="V350" s="372"/>
      <c r="W350" s="372"/>
      <c r="X350" s="372"/>
      <c r="Y350" s="372"/>
      <c r="Z350" s="372"/>
      <c r="AA350" s="372"/>
      <c r="AB350" s="372"/>
      <c r="AC350" s="372"/>
      <c r="AD350" s="372"/>
      <c r="AE350" s="372"/>
      <c r="AF350" s="372"/>
      <c r="AG350" s="372"/>
      <c r="AH350" s="372"/>
      <c r="AI350" s="372"/>
      <c r="AJ350" s="372"/>
      <c r="AK350" s="372"/>
      <c r="AL350" s="372"/>
      <c r="AM350" s="372"/>
    </row>
    <row r="351">
      <c r="A351" s="369" t="s">
        <v>695</v>
      </c>
      <c r="B351" s="369"/>
      <c r="C351" s="405"/>
      <c r="D351" s="369"/>
      <c r="E351" s="369"/>
      <c r="F351" s="372"/>
      <c r="G351" s="372"/>
      <c r="H351" s="372"/>
      <c r="I351" s="372"/>
      <c r="J351" s="372"/>
      <c r="K351" s="369"/>
      <c r="L351" s="369"/>
      <c r="M351" s="373"/>
      <c r="N351" s="369"/>
      <c r="O351" s="369"/>
      <c r="P351" s="374"/>
      <c r="Q351" s="372"/>
      <c r="R351" s="372"/>
      <c r="S351" s="372"/>
      <c r="T351" s="372"/>
      <c r="U351" s="372"/>
      <c r="V351" s="372"/>
      <c r="W351" s="372"/>
      <c r="X351" s="372"/>
      <c r="Y351" s="372"/>
      <c r="Z351" s="372"/>
      <c r="AA351" s="372"/>
      <c r="AB351" s="372"/>
      <c r="AC351" s="372"/>
      <c r="AD351" s="372"/>
      <c r="AE351" s="372"/>
      <c r="AF351" s="372"/>
      <c r="AG351" s="372"/>
      <c r="AH351" s="372"/>
      <c r="AI351" s="372"/>
      <c r="AJ351" s="372"/>
      <c r="AK351" s="372"/>
      <c r="AL351" s="372"/>
      <c r="AM351" s="372"/>
    </row>
    <row r="352">
      <c r="A352" s="369" t="s">
        <v>696</v>
      </c>
      <c r="B352" s="369"/>
      <c r="C352" s="405"/>
      <c r="D352" s="369"/>
      <c r="E352" s="369"/>
      <c r="F352" s="372"/>
      <c r="G352" s="372"/>
      <c r="H352" s="372"/>
      <c r="I352" s="372"/>
      <c r="J352" s="372"/>
      <c r="K352" s="369"/>
      <c r="L352" s="369"/>
      <c r="M352" s="373"/>
      <c r="N352" s="369"/>
      <c r="O352" s="369"/>
      <c r="P352" s="374"/>
      <c r="Q352" s="372"/>
      <c r="R352" s="372"/>
      <c r="S352" s="372"/>
      <c r="T352" s="372"/>
      <c r="U352" s="372"/>
      <c r="V352" s="372"/>
      <c r="W352" s="372"/>
      <c r="X352" s="372"/>
      <c r="Y352" s="372"/>
      <c r="Z352" s="372"/>
      <c r="AA352" s="372"/>
      <c r="AB352" s="372"/>
      <c r="AC352" s="372"/>
      <c r="AD352" s="372"/>
      <c r="AE352" s="372"/>
      <c r="AF352" s="372"/>
      <c r="AG352" s="372"/>
      <c r="AH352" s="372"/>
      <c r="AI352" s="372"/>
      <c r="AJ352" s="372"/>
      <c r="AK352" s="372"/>
      <c r="AL352" s="372"/>
      <c r="AM352" s="372"/>
    </row>
    <row r="353">
      <c r="A353" s="369" t="s">
        <v>697</v>
      </c>
      <c r="B353" s="369"/>
      <c r="C353" s="405"/>
      <c r="D353" s="369"/>
      <c r="E353" s="369"/>
      <c r="F353" s="372"/>
      <c r="G353" s="372"/>
      <c r="H353" s="372"/>
      <c r="I353" s="372"/>
      <c r="J353" s="372"/>
      <c r="K353" s="369"/>
      <c r="L353" s="369"/>
      <c r="M353" s="373"/>
      <c r="N353" s="369"/>
      <c r="O353" s="369"/>
      <c r="P353" s="374"/>
      <c r="Q353" s="372"/>
      <c r="R353" s="372"/>
      <c r="S353" s="372"/>
      <c r="T353" s="372"/>
      <c r="U353" s="372"/>
      <c r="V353" s="372"/>
      <c r="W353" s="372"/>
      <c r="X353" s="372"/>
      <c r="Y353" s="372"/>
      <c r="Z353" s="372"/>
      <c r="AA353" s="372"/>
      <c r="AB353" s="372"/>
      <c r="AC353" s="372"/>
      <c r="AD353" s="372"/>
      <c r="AE353" s="372"/>
      <c r="AF353" s="372"/>
      <c r="AG353" s="372"/>
      <c r="AH353" s="372"/>
      <c r="AI353" s="372"/>
      <c r="AJ353" s="372"/>
      <c r="AK353" s="372"/>
      <c r="AL353" s="372"/>
      <c r="AM353" s="372"/>
    </row>
    <row r="354">
      <c r="A354" s="369" t="s">
        <v>698</v>
      </c>
      <c r="B354" s="369"/>
      <c r="C354" s="405"/>
      <c r="D354" s="369"/>
      <c r="E354" s="369"/>
      <c r="F354" s="372"/>
      <c r="G354" s="372"/>
      <c r="H354" s="372"/>
      <c r="I354" s="372"/>
      <c r="J354" s="372"/>
      <c r="K354" s="369"/>
      <c r="L354" s="369"/>
      <c r="M354" s="373"/>
      <c r="N354" s="369"/>
      <c r="O354" s="369"/>
      <c r="P354" s="374"/>
      <c r="Q354" s="372"/>
      <c r="R354" s="372"/>
      <c r="S354" s="372"/>
      <c r="T354" s="372"/>
      <c r="U354" s="372"/>
      <c r="V354" s="372"/>
      <c r="W354" s="372"/>
      <c r="X354" s="372"/>
      <c r="Y354" s="372"/>
      <c r="Z354" s="372"/>
      <c r="AA354" s="372"/>
      <c r="AB354" s="372"/>
      <c r="AC354" s="372"/>
      <c r="AD354" s="372"/>
      <c r="AE354" s="372"/>
      <c r="AF354" s="372"/>
      <c r="AG354" s="372"/>
      <c r="AH354" s="372"/>
      <c r="AI354" s="372"/>
      <c r="AJ354" s="372"/>
      <c r="AK354" s="372"/>
      <c r="AL354" s="372"/>
      <c r="AM354" s="372"/>
    </row>
    <row r="355">
      <c r="A355" s="369" t="s">
        <v>699</v>
      </c>
      <c r="B355" s="369"/>
      <c r="C355" s="405"/>
      <c r="D355" s="369"/>
      <c r="E355" s="369"/>
      <c r="F355" s="372"/>
      <c r="G355" s="372"/>
      <c r="H355" s="372"/>
      <c r="I355" s="372"/>
      <c r="J355" s="372"/>
      <c r="K355" s="369"/>
      <c r="L355" s="369"/>
      <c r="M355" s="373"/>
      <c r="N355" s="369"/>
      <c r="O355" s="369"/>
      <c r="P355" s="374"/>
      <c r="Q355" s="372"/>
      <c r="R355" s="372"/>
      <c r="S355" s="372"/>
      <c r="T355" s="372"/>
      <c r="U355" s="372"/>
      <c r="V355" s="372"/>
      <c r="W355" s="372"/>
      <c r="X355" s="372"/>
      <c r="Y355" s="372"/>
      <c r="Z355" s="372"/>
      <c r="AA355" s="372"/>
      <c r="AB355" s="372"/>
      <c r="AC355" s="372"/>
      <c r="AD355" s="372"/>
      <c r="AE355" s="372"/>
      <c r="AF355" s="372"/>
      <c r="AG355" s="372"/>
      <c r="AH355" s="372"/>
      <c r="AI355" s="372"/>
      <c r="AJ355" s="372"/>
      <c r="AK355" s="372"/>
      <c r="AL355" s="372"/>
      <c r="AM355" s="372"/>
    </row>
    <row r="356">
      <c r="A356" s="369" t="s">
        <v>700</v>
      </c>
      <c r="B356" s="369"/>
      <c r="C356" s="405"/>
      <c r="D356" s="369"/>
      <c r="E356" s="369"/>
      <c r="F356" s="372"/>
      <c r="G356" s="372"/>
      <c r="H356" s="372"/>
      <c r="I356" s="372"/>
      <c r="J356" s="372"/>
      <c r="K356" s="369"/>
      <c r="L356" s="369"/>
      <c r="M356" s="373"/>
      <c r="N356" s="369"/>
      <c r="O356" s="369"/>
      <c r="P356" s="374"/>
      <c r="Q356" s="372"/>
      <c r="R356" s="372"/>
      <c r="S356" s="372"/>
      <c r="T356" s="372"/>
      <c r="U356" s="372"/>
      <c r="V356" s="372"/>
      <c r="W356" s="372"/>
      <c r="X356" s="372"/>
      <c r="Y356" s="372"/>
      <c r="Z356" s="372"/>
      <c r="AA356" s="372"/>
      <c r="AB356" s="372"/>
      <c r="AC356" s="372"/>
      <c r="AD356" s="372"/>
      <c r="AE356" s="372"/>
      <c r="AF356" s="372"/>
      <c r="AG356" s="372"/>
      <c r="AH356" s="372"/>
      <c r="AI356" s="372"/>
      <c r="AJ356" s="372"/>
      <c r="AK356" s="372"/>
      <c r="AL356" s="372"/>
      <c r="AM356" s="372"/>
    </row>
    <row r="357">
      <c r="A357" s="369" t="s">
        <v>701</v>
      </c>
      <c r="B357" s="369"/>
      <c r="C357" s="405"/>
      <c r="D357" s="369"/>
      <c r="E357" s="369"/>
      <c r="F357" s="372"/>
      <c r="G357" s="372"/>
      <c r="H357" s="372"/>
      <c r="I357" s="372"/>
      <c r="J357" s="372"/>
      <c r="K357" s="369"/>
      <c r="L357" s="369"/>
      <c r="M357" s="373"/>
      <c r="N357" s="369"/>
      <c r="O357" s="369"/>
      <c r="P357" s="374"/>
      <c r="Q357" s="372"/>
      <c r="R357" s="372"/>
      <c r="S357" s="372"/>
      <c r="T357" s="372"/>
      <c r="U357" s="372"/>
      <c r="V357" s="372"/>
      <c r="W357" s="372"/>
      <c r="X357" s="372"/>
      <c r="Y357" s="372"/>
      <c r="Z357" s="372"/>
      <c r="AA357" s="372"/>
      <c r="AB357" s="372"/>
      <c r="AC357" s="372"/>
      <c r="AD357" s="372"/>
      <c r="AE357" s="372"/>
      <c r="AF357" s="372"/>
      <c r="AG357" s="372"/>
      <c r="AH357" s="372"/>
      <c r="AI357" s="372"/>
      <c r="AJ357" s="372"/>
      <c r="AK357" s="372"/>
      <c r="AL357" s="372"/>
      <c r="AM357" s="372"/>
    </row>
    <row r="358">
      <c r="A358" s="369" t="s">
        <v>702</v>
      </c>
      <c r="B358" s="369"/>
      <c r="C358" s="405"/>
      <c r="D358" s="369"/>
      <c r="E358" s="369"/>
      <c r="F358" s="372"/>
      <c r="G358" s="372"/>
      <c r="H358" s="372"/>
      <c r="I358" s="372"/>
      <c r="J358" s="372"/>
      <c r="K358" s="369"/>
      <c r="L358" s="369"/>
      <c r="M358" s="373"/>
      <c r="N358" s="369"/>
      <c r="O358" s="369"/>
      <c r="P358" s="374"/>
      <c r="Q358" s="372"/>
      <c r="R358" s="372"/>
      <c r="S358" s="372"/>
      <c r="T358" s="372"/>
      <c r="U358" s="372"/>
      <c r="V358" s="372"/>
      <c r="W358" s="372"/>
      <c r="X358" s="372"/>
      <c r="Y358" s="372"/>
      <c r="Z358" s="372"/>
      <c r="AA358" s="372"/>
      <c r="AB358" s="372"/>
      <c r="AC358" s="372"/>
      <c r="AD358" s="372"/>
      <c r="AE358" s="372"/>
      <c r="AF358" s="372"/>
      <c r="AG358" s="372"/>
      <c r="AH358" s="372"/>
      <c r="AI358" s="372"/>
      <c r="AJ358" s="372"/>
      <c r="AK358" s="372"/>
      <c r="AL358" s="372"/>
      <c r="AM358" s="372"/>
    </row>
    <row r="359">
      <c r="A359" s="369" t="s">
        <v>703</v>
      </c>
      <c r="B359" s="369"/>
      <c r="C359" s="405"/>
      <c r="D359" s="369"/>
      <c r="E359" s="369"/>
      <c r="F359" s="372"/>
      <c r="G359" s="372"/>
      <c r="H359" s="372"/>
      <c r="I359" s="372"/>
      <c r="J359" s="372"/>
      <c r="K359" s="369"/>
      <c r="L359" s="369"/>
      <c r="M359" s="373"/>
      <c r="N359" s="369"/>
      <c r="O359" s="369"/>
      <c r="P359" s="374"/>
      <c r="Q359" s="372"/>
      <c r="R359" s="372"/>
      <c r="S359" s="372"/>
      <c r="T359" s="372"/>
      <c r="U359" s="372"/>
      <c r="V359" s="372"/>
      <c r="W359" s="372"/>
      <c r="X359" s="372"/>
      <c r="Y359" s="372"/>
      <c r="Z359" s="372"/>
      <c r="AA359" s="372"/>
      <c r="AB359" s="372"/>
      <c r="AC359" s="372"/>
      <c r="AD359" s="372"/>
      <c r="AE359" s="372"/>
      <c r="AF359" s="372"/>
      <c r="AG359" s="372"/>
      <c r="AH359" s="372"/>
      <c r="AI359" s="372"/>
      <c r="AJ359" s="372"/>
      <c r="AK359" s="372"/>
      <c r="AL359" s="372"/>
      <c r="AM359" s="372"/>
    </row>
    <row r="360">
      <c r="A360" s="369" t="s">
        <v>704</v>
      </c>
      <c r="B360" s="369"/>
      <c r="C360" s="405"/>
      <c r="D360" s="369"/>
      <c r="E360" s="369"/>
      <c r="F360" s="372"/>
      <c r="G360" s="372"/>
      <c r="H360" s="372"/>
      <c r="I360" s="372"/>
      <c r="J360" s="372"/>
      <c r="K360" s="369"/>
      <c r="L360" s="369"/>
      <c r="M360" s="373"/>
      <c r="N360" s="369"/>
      <c r="O360" s="369"/>
      <c r="P360" s="374"/>
      <c r="Q360" s="372"/>
      <c r="R360" s="372"/>
      <c r="S360" s="372"/>
      <c r="T360" s="372"/>
      <c r="U360" s="372"/>
      <c r="V360" s="372"/>
      <c r="W360" s="372"/>
      <c r="X360" s="372"/>
      <c r="Y360" s="372"/>
      <c r="Z360" s="372"/>
      <c r="AA360" s="372"/>
      <c r="AB360" s="372"/>
      <c r="AC360" s="372"/>
      <c r="AD360" s="372"/>
      <c r="AE360" s="372"/>
      <c r="AF360" s="372"/>
      <c r="AG360" s="372"/>
      <c r="AH360" s="372"/>
      <c r="AI360" s="372"/>
      <c r="AJ360" s="372"/>
      <c r="AK360" s="372"/>
      <c r="AL360" s="372"/>
      <c r="AM360" s="372"/>
    </row>
    <row r="361">
      <c r="A361" s="369" t="s">
        <v>705</v>
      </c>
      <c r="B361" s="369"/>
      <c r="C361" s="405"/>
      <c r="D361" s="369"/>
      <c r="E361" s="369"/>
      <c r="F361" s="372"/>
      <c r="G361" s="372"/>
      <c r="H361" s="372"/>
      <c r="I361" s="372"/>
      <c r="J361" s="372"/>
      <c r="K361" s="369"/>
      <c r="L361" s="369"/>
      <c r="M361" s="373"/>
      <c r="N361" s="369"/>
      <c r="O361" s="369"/>
      <c r="P361" s="374"/>
      <c r="Q361" s="372"/>
      <c r="R361" s="372"/>
      <c r="S361" s="372"/>
      <c r="T361" s="372"/>
      <c r="U361" s="372"/>
      <c r="V361" s="372"/>
      <c r="W361" s="372"/>
      <c r="X361" s="372"/>
      <c r="Y361" s="372"/>
      <c r="Z361" s="372"/>
      <c r="AA361" s="372"/>
      <c r="AB361" s="372"/>
      <c r="AC361" s="372"/>
      <c r="AD361" s="372"/>
      <c r="AE361" s="372"/>
      <c r="AF361" s="372"/>
      <c r="AG361" s="372"/>
      <c r="AH361" s="372"/>
      <c r="AI361" s="372"/>
      <c r="AJ361" s="372"/>
      <c r="AK361" s="372"/>
      <c r="AL361" s="372"/>
      <c r="AM361" s="372"/>
    </row>
    <row r="362">
      <c r="A362" s="369" t="s">
        <v>706</v>
      </c>
      <c r="B362" s="369"/>
      <c r="C362" s="405"/>
      <c r="D362" s="369"/>
      <c r="E362" s="369"/>
      <c r="F362" s="372"/>
      <c r="G362" s="372"/>
      <c r="H362" s="372"/>
      <c r="I362" s="372"/>
      <c r="J362" s="372"/>
      <c r="K362" s="369"/>
      <c r="L362" s="369"/>
      <c r="M362" s="373"/>
      <c r="N362" s="369"/>
      <c r="O362" s="369"/>
      <c r="P362" s="374"/>
      <c r="Q362" s="372"/>
      <c r="R362" s="372"/>
      <c r="S362" s="372"/>
      <c r="T362" s="372"/>
      <c r="U362" s="372"/>
      <c r="V362" s="372"/>
      <c r="W362" s="372"/>
      <c r="X362" s="372"/>
      <c r="Y362" s="372"/>
      <c r="Z362" s="372"/>
      <c r="AA362" s="372"/>
      <c r="AB362" s="372"/>
      <c r="AC362" s="372"/>
      <c r="AD362" s="372"/>
      <c r="AE362" s="372"/>
      <c r="AF362" s="372"/>
      <c r="AG362" s="372"/>
      <c r="AH362" s="372"/>
      <c r="AI362" s="372"/>
      <c r="AJ362" s="372"/>
      <c r="AK362" s="372"/>
      <c r="AL362" s="372"/>
      <c r="AM362" s="372"/>
    </row>
    <row r="363">
      <c r="A363" s="369" t="s">
        <v>707</v>
      </c>
      <c r="B363" s="369"/>
      <c r="C363" s="405"/>
      <c r="D363" s="369"/>
      <c r="E363" s="369"/>
      <c r="F363" s="372"/>
      <c r="G363" s="372"/>
      <c r="H363" s="372"/>
      <c r="I363" s="372"/>
      <c r="J363" s="372"/>
      <c r="K363" s="369"/>
      <c r="L363" s="369"/>
      <c r="M363" s="373"/>
      <c r="N363" s="369"/>
      <c r="O363" s="369"/>
      <c r="P363" s="374"/>
      <c r="Q363" s="372"/>
      <c r="R363" s="372"/>
      <c r="S363" s="372"/>
      <c r="T363" s="372"/>
      <c r="U363" s="372"/>
      <c r="V363" s="372"/>
      <c r="W363" s="372"/>
      <c r="X363" s="372"/>
      <c r="Y363" s="372"/>
      <c r="Z363" s="372"/>
      <c r="AA363" s="372"/>
      <c r="AB363" s="372"/>
      <c r="AC363" s="372"/>
      <c r="AD363" s="372"/>
      <c r="AE363" s="372"/>
      <c r="AF363" s="372"/>
      <c r="AG363" s="372"/>
      <c r="AH363" s="372"/>
      <c r="AI363" s="372"/>
      <c r="AJ363" s="372"/>
      <c r="AK363" s="372"/>
      <c r="AL363" s="372"/>
      <c r="AM363" s="372"/>
    </row>
    <row r="364">
      <c r="A364" s="369" t="s">
        <v>708</v>
      </c>
      <c r="B364" s="369"/>
      <c r="C364" s="405"/>
      <c r="D364" s="369"/>
      <c r="E364" s="369"/>
      <c r="F364" s="372"/>
      <c r="G364" s="372"/>
      <c r="H364" s="372"/>
      <c r="I364" s="372"/>
      <c r="J364" s="372"/>
      <c r="K364" s="369"/>
      <c r="L364" s="369"/>
      <c r="M364" s="373"/>
      <c r="N364" s="369"/>
      <c r="O364" s="369"/>
      <c r="P364" s="374"/>
      <c r="Q364" s="372"/>
      <c r="R364" s="372"/>
      <c r="S364" s="372"/>
      <c r="T364" s="372"/>
      <c r="U364" s="372"/>
      <c r="V364" s="372"/>
      <c r="W364" s="372"/>
      <c r="X364" s="372"/>
      <c r="Y364" s="372"/>
      <c r="Z364" s="372"/>
      <c r="AA364" s="372"/>
      <c r="AB364" s="372"/>
      <c r="AC364" s="372"/>
      <c r="AD364" s="372"/>
      <c r="AE364" s="372"/>
      <c r="AF364" s="372"/>
      <c r="AG364" s="372"/>
      <c r="AH364" s="372"/>
      <c r="AI364" s="372"/>
      <c r="AJ364" s="372"/>
      <c r="AK364" s="372"/>
      <c r="AL364" s="372"/>
      <c r="AM364" s="372"/>
    </row>
    <row r="365">
      <c r="A365" s="369"/>
      <c r="B365" s="369"/>
      <c r="C365" s="405"/>
      <c r="D365" s="369"/>
      <c r="E365" s="369"/>
      <c r="F365" s="372"/>
      <c r="G365" s="372"/>
      <c r="H365" s="372"/>
      <c r="I365" s="372"/>
      <c r="J365" s="372"/>
      <c r="K365" s="369"/>
      <c r="L365" s="369"/>
      <c r="M365" s="373"/>
      <c r="N365" s="369"/>
      <c r="O365" s="369"/>
      <c r="P365" s="374"/>
      <c r="Q365" s="372"/>
      <c r="R365" s="372"/>
      <c r="S365" s="372"/>
      <c r="T365" s="372"/>
      <c r="U365" s="372"/>
      <c r="V365" s="372"/>
      <c r="W365" s="372"/>
      <c r="X365" s="372"/>
      <c r="Y365" s="372"/>
      <c r="Z365" s="372"/>
      <c r="AA365" s="372"/>
      <c r="AB365" s="372"/>
      <c r="AC365" s="372"/>
      <c r="AD365" s="372"/>
      <c r="AE365" s="372"/>
      <c r="AF365" s="372"/>
      <c r="AG365" s="372"/>
      <c r="AH365" s="372"/>
      <c r="AI365" s="372"/>
      <c r="AJ365" s="372"/>
      <c r="AK365" s="372"/>
      <c r="AL365" s="372"/>
      <c r="AM365" s="372"/>
    </row>
    <row r="366">
      <c r="A366" s="369"/>
      <c r="B366" s="369"/>
      <c r="C366" s="405"/>
      <c r="D366" s="369"/>
      <c r="E366" s="369"/>
      <c r="F366" s="372"/>
      <c r="G366" s="372"/>
      <c r="H366" s="372"/>
      <c r="I366" s="372"/>
      <c r="J366" s="372"/>
      <c r="K366" s="369"/>
      <c r="L366" s="369"/>
      <c r="M366" s="373"/>
      <c r="N366" s="369"/>
      <c r="O366" s="369"/>
      <c r="P366" s="374"/>
      <c r="Q366" s="372"/>
      <c r="R366" s="372"/>
      <c r="S366" s="372"/>
      <c r="T366" s="372"/>
      <c r="U366" s="372"/>
      <c r="V366" s="372"/>
      <c r="W366" s="372"/>
      <c r="X366" s="372"/>
      <c r="Y366" s="372"/>
      <c r="Z366" s="372"/>
      <c r="AA366" s="372"/>
      <c r="AB366" s="372"/>
      <c r="AC366" s="372"/>
      <c r="AD366" s="372"/>
      <c r="AE366" s="372"/>
      <c r="AF366" s="372"/>
      <c r="AG366" s="372"/>
      <c r="AH366" s="372"/>
      <c r="AI366" s="372"/>
      <c r="AJ366" s="372"/>
      <c r="AK366" s="372"/>
      <c r="AL366" s="372"/>
      <c r="AM366" s="372"/>
    </row>
    <row r="367">
      <c r="A367" s="369"/>
      <c r="B367" s="369"/>
      <c r="C367" s="405"/>
      <c r="D367" s="369"/>
      <c r="E367" s="369"/>
      <c r="F367" s="372"/>
      <c r="G367" s="372"/>
      <c r="H367" s="372"/>
      <c r="I367" s="372"/>
      <c r="J367" s="372"/>
      <c r="K367" s="369"/>
      <c r="L367" s="369"/>
      <c r="M367" s="373"/>
      <c r="N367" s="369"/>
      <c r="O367" s="369"/>
      <c r="P367" s="374"/>
      <c r="Q367" s="372"/>
      <c r="R367" s="372"/>
      <c r="S367" s="372"/>
      <c r="T367" s="372"/>
      <c r="U367" s="372"/>
      <c r="V367" s="372"/>
      <c r="W367" s="372"/>
      <c r="X367" s="372"/>
      <c r="Y367" s="372"/>
      <c r="Z367" s="372"/>
      <c r="AA367" s="372"/>
      <c r="AB367" s="372"/>
      <c r="AC367" s="372"/>
      <c r="AD367" s="372"/>
      <c r="AE367" s="372"/>
      <c r="AF367" s="372"/>
      <c r="AG367" s="372"/>
      <c r="AH367" s="372"/>
      <c r="AI367" s="372"/>
      <c r="AJ367" s="372"/>
      <c r="AK367" s="372"/>
      <c r="AL367" s="372"/>
      <c r="AM367" s="372"/>
    </row>
    <row r="368">
      <c r="A368" s="369"/>
      <c r="B368" s="369"/>
      <c r="C368" s="405"/>
      <c r="D368" s="369"/>
      <c r="E368" s="369"/>
      <c r="F368" s="372"/>
      <c r="G368" s="372"/>
      <c r="H368" s="372"/>
      <c r="I368" s="372"/>
      <c r="J368" s="372"/>
      <c r="K368" s="369"/>
      <c r="L368" s="369"/>
      <c r="M368" s="373"/>
      <c r="N368" s="369"/>
      <c r="O368" s="369"/>
      <c r="P368" s="374"/>
      <c r="Q368" s="372"/>
      <c r="R368" s="372"/>
      <c r="S368" s="372"/>
      <c r="T368" s="372"/>
      <c r="U368" s="372"/>
      <c r="V368" s="372"/>
      <c r="W368" s="372"/>
      <c r="X368" s="372"/>
      <c r="Y368" s="372"/>
      <c r="Z368" s="372"/>
      <c r="AA368" s="372"/>
      <c r="AB368" s="372"/>
      <c r="AC368" s="372"/>
      <c r="AD368" s="372"/>
      <c r="AE368" s="372"/>
      <c r="AF368" s="372"/>
      <c r="AG368" s="372"/>
      <c r="AH368" s="372"/>
      <c r="AI368" s="372"/>
      <c r="AJ368" s="372"/>
      <c r="AK368" s="372"/>
      <c r="AL368" s="372"/>
      <c r="AM368" s="372"/>
    </row>
    <row r="369">
      <c r="A369" s="369"/>
      <c r="B369" s="369"/>
      <c r="C369" s="405"/>
      <c r="D369" s="369"/>
      <c r="E369" s="369"/>
      <c r="F369" s="372"/>
      <c r="G369" s="372"/>
      <c r="H369" s="372"/>
      <c r="I369" s="372"/>
      <c r="J369" s="372"/>
      <c r="K369" s="369"/>
      <c r="L369" s="369"/>
      <c r="M369" s="373"/>
      <c r="N369" s="369"/>
      <c r="O369" s="369"/>
      <c r="P369" s="374"/>
      <c r="Q369" s="372"/>
      <c r="R369" s="372"/>
      <c r="S369" s="372"/>
      <c r="T369" s="372"/>
      <c r="U369" s="372"/>
      <c r="V369" s="372"/>
      <c r="W369" s="372"/>
      <c r="X369" s="372"/>
      <c r="Y369" s="372"/>
      <c r="Z369" s="372"/>
      <c r="AA369" s="372"/>
      <c r="AB369" s="372"/>
      <c r="AC369" s="372"/>
      <c r="AD369" s="372"/>
      <c r="AE369" s="372"/>
      <c r="AF369" s="372"/>
      <c r="AG369" s="372"/>
      <c r="AH369" s="372"/>
      <c r="AI369" s="372"/>
      <c r="AJ369" s="372"/>
      <c r="AK369" s="372"/>
      <c r="AL369" s="372"/>
      <c r="AM369" s="372"/>
    </row>
    <row r="370">
      <c r="A370" s="369"/>
      <c r="B370" s="369"/>
      <c r="C370" s="405"/>
      <c r="D370" s="369"/>
      <c r="E370" s="369"/>
      <c r="F370" s="372"/>
      <c r="G370" s="372"/>
      <c r="H370" s="372"/>
      <c r="I370" s="372"/>
      <c r="J370" s="372"/>
      <c r="K370" s="369"/>
      <c r="L370" s="369"/>
      <c r="M370" s="373"/>
      <c r="N370" s="369"/>
      <c r="O370" s="369"/>
      <c r="P370" s="374"/>
      <c r="Q370" s="372"/>
      <c r="R370" s="372"/>
      <c r="S370" s="372"/>
      <c r="T370" s="372"/>
      <c r="U370" s="372"/>
      <c r="V370" s="372"/>
      <c r="W370" s="372"/>
      <c r="X370" s="372"/>
      <c r="Y370" s="372"/>
      <c r="Z370" s="372"/>
      <c r="AA370" s="372"/>
      <c r="AB370" s="372"/>
      <c r="AC370" s="372"/>
      <c r="AD370" s="372"/>
      <c r="AE370" s="372"/>
      <c r="AF370" s="372"/>
      <c r="AG370" s="372"/>
      <c r="AH370" s="372"/>
      <c r="AI370" s="372"/>
      <c r="AJ370" s="372"/>
      <c r="AK370" s="372"/>
      <c r="AL370" s="372"/>
      <c r="AM370" s="372"/>
    </row>
    <row r="371">
      <c r="A371" s="369"/>
      <c r="B371" s="369"/>
      <c r="C371" s="405"/>
      <c r="D371" s="369"/>
      <c r="E371" s="369"/>
      <c r="F371" s="372"/>
      <c r="G371" s="372"/>
      <c r="H371" s="372"/>
      <c r="I371" s="372"/>
      <c r="J371" s="372"/>
      <c r="K371" s="369"/>
      <c r="L371" s="369"/>
      <c r="M371" s="373"/>
      <c r="N371" s="369"/>
      <c r="O371" s="369"/>
      <c r="P371" s="374"/>
      <c r="Q371" s="372"/>
      <c r="R371" s="372"/>
      <c r="S371" s="372"/>
      <c r="T371" s="372"/>
      <c r="U371" s="372"/>
      <c r="V371" s="372"/>
      <c r="W371" s="372"/>
      <c r="X371" s="372"/>
      <c r="Y371" s="372"/>
      <c r="Z371" s="372"/>
      <c r="AA371" s="372"/>
      <c r="AB371" s="372"/>
      <c r="AC371" s="372"/>
      <c r="AD371" s="372"/>
      <c r="AE371" s="372"/>
      <c r="AF371" s="372"/>
      <c r="AG371" s="372"/>
      <c r="AH371" s="372"/>
      <c r="AI371" s="372"/>
      <c r="AJ371" s="372"/>
      <c r="AK371" s="372"/>
      <c r="AL371" s="372"/>
      <c r="AM371" s="372"/>
    </row>
    <row r="372">
      <c r="A372" s="369"/>
      <c r="B372" s="369"/>
      <c r="C372" s="405"/>
      <c r="D372" s="369"/>
      <c r="E372" s="369"/>
      <c r="F372" s="372"/>
      <c r="G372" s="372"/>
      <c r="H372" s="372"/>
      <c r="I372" s="372"/>
      <c r="J372" s="372"/>
      <c r="K372" s="369"/>
      <c r="L372" s="369"/>
      <c r="M372" s="373"/>
      <c r="N372" s="369"/>
      <c r="O372" s="369"/>
      <c r="P372" s="374"/>
      <c r="Q372" s="372"/>
      <c r="R372" s="372"/>
      <c r="S372" s="372"/>
      <c r="T372" s="372"/>
      <c r="U372" s="372"/>
      <c r="V372" s="372"/>
      <c r="W372" s="372"/>
      <c r="X372" s="372"/>
      <c r="Y372" s="372"/>
      <c r="Z372" s="372"/>
      <c r="AA372" s="372"/>
      <c r="AB372" s="372"/>
      <c r="AC372" s="372"/>
      <c r="AD372" s="372"/>
      <c r="AE372" s="372"/>
      <c r="AF372" s="372"/>
      <c r="AG372" s="372"/>
      <c r="AH372" s="372"/>
      <c r="AI372" s="372"/>
      <c r="AJ372" s="372"/>
      <c r="AK372" s="372"/>
      <c r="AL372" s="372"/>
      <c r="AM372" s="372"/>
    </row>
    <row r="373">
      <c r="A373" s="369"/>
      <c r="B373" s="369"/>
      <c r="C373" s="405"/>
      <c r="D373" s="369"/>
      <c r="E373" s="369"/>
      <c r="F373" s="372"/>
      <c r="G373" s="372"/>
      <c r="H373" s="372"/>
      <c r="I373" s="372"/>
      <c r="J373" s="372"/>
      <c r="K373" s="369"/>
      <c r="L373" s="369"/>
      <c r="M373" s="373"/>
      <c r="N373" s="369"/>
      <c r="O373" s="369"/>
      <c r="P373" s="374"/>
      <c r="Q373" s="372"/>
      <c r="R373" s="372"/>
      <c r="S373" s="372"/>
      <c r="T373" s="372"/>
      <c r="U373" s="372"/>
      <c r="V373" s="372"/>
      <c r="W373" s="372"/>
      <c r="X373" s="372"/>
      <c r="Y373" s="372"/>
      <c r="Z373" s="372"/>
      <c r="AA373" s="372"/>
      <c r="AB373" s="372"/>
      <c r="AC373" s="372"/>
      <c r="AD373" s="372"/>
      <c r="AE373" s="372"/>
      <c r="AF373" s="372"/>
      <c r="AG373" s="372"/>
      <c r="AH373" s="372"/>
      <c r="AI373" s="372"/>
      <c r="AJ373" s="372"/>
      <c r="AK373" s="372"/>
      <c r="AL373" s="372"/>
      <c r="AM373" s="372"/>
    </row>
    <row r="374">
      <c r="A374" s="369"/>
      <c r="B374" s="369"/>
      <c r="C374" s="405"/>
      <c r="D374" s="369"/>
      <c r="E374" s="369"/>
      <c r="F374" s="372"/>
      <c r="G374" s="372"/>
      <c r="H374" s="372"/>
      <c r="I374" s="372"/>
      <c r="J374" s="372"/>
      <c r="K374" s="369"/>
      <c r="L374" s="369"/>
      <c r="M374" s="373"/>
      <c r="N374" s="369"/>
      <c r="O374" s="369"/>
      <c r="P374" s="374"/>
      <c r="Q374" s="372"/>
      <c r="R374" s="372"/>
      <c r="S374" s="372"/>
      <c r="T374" s="372"/>
      <c r="U374" s="372"/>
      <c r="V374" s="372"/>
      <c r="W374" s="372"/>
      <c r="X374" s="372"/>
      <c r="Y374" s="372"/>
      <c r="Z374" s="372"/>
      <c r="AA374" s="372"/>
      <c r="AB374" s="372"/>
      <c r="AC374" s="372"/>
      <c r="AD374" s="372"/>
      <c r="AE374" s="372"/>
      <c r="AF374" s="372"/>
      <c r="AG374" s="372"/>
      <c r="AH374" s="372"/>
      <c r="AI374" s="372"/>
      <c r="AJ374" s="372"/>
      <c r="AK374" s="372"/>
      <c r="AL374" s="372"/>
      <c r="AM374" s="372"/>
    </row>
    <row r="375">
      <c r="A375" s="369"/>
      <c r="B375" s="369"/>
      <c r="C375" s="405"/>
      <c r="D375" s="369"/>
      <c r="E375" s="369"/>
      <c r="F375" s="372"/>
      <c r="G375" s="372"/>
      <c r="H375" s="372"/>
      <c r="I375" s="372"/>
      <c r="J375" s="372"/>
      <c r="K375" s="369"/>
      <c r="L375" s="369"/>
      <c r="M375" s="373"/>
      <c r="N375" s="369"/>
      <c r="O375" s="369"/>
      <c r="P375" s="374"/>
      <c r="Q375" s="372"/>
      <c r="R375" s="372"/>
      <c r="S375" s="372"/>
      <c r="T375" s="372"/>
      <c r="U375" s="372"/>
      <c r="V375" s="372"/>
      <c r="W375" s="372"/>
      <c r="X375" s="372"/>
      <c r="Y375" s="372"/>
      <c r="Z375" s="372"/>
      <c r="AA375" s="372"/>
      <c r="AB375" s="372"/>
      <c r="AC375" s="372"/>
      <c r="AD375" s="372"/>
      <c r="AE375" s="372"/>
      <c r="AF375" s="372"/>
      <c r="AG375" s="372"/>
      <c r="AH375" s="372"/>
      <c r="AI375" s="372"/>
      <c r="AJ375" s="372"/>
      <c r="AK375" s="372"/>
      <c r="AL375" s="372"/>
      <c r="AM375" s="372"/>
    </row>
    <row r="376">
      <c r="A376" s="369"/>
      <c r="B376" s="369"/>
      <c r="C376" s="405"/>
      <c r="D376" s="369"/>
      <c r="E376" s="369"/>
      <c r="F376" s="372"/>
      <c r="G376" s="372"/>
      <c r="H376" s="372"/>
      <c r="I376" s="372"/>
      <c r="J376" s="372"/>
      <c r="K376" s="369"/>
      <c r="L376" s="369"/>
      <c r="M376" s="373"/>
      <c r="N376" s="369"/>
      <c r="O376" s="369"/>
      <c r="P376" s="374"/>
      <c r="Q376" s="372"/>
      <c r="R376" s="372"/>
      <c r="S376" s="372"/>
      <c r="T376" s="372"/>
      <c r="U376" s="372"/>
      <c r="V376" s="372"/>
      <c r="W376" s="372"/>
      <c r="X376" s="372"/>
      <c r="Y376" s="372"/>
      <c r="Z376" s="372"/>
      <c r="AA376" s="372"/>
      <c r="AB376" s="372"/>
      <c r="AC376" s="372"/>
      <c r="AD376" s="372"/>
      <c r="AE376" s="372"/>
      <c r="AF376" s="372"/>
      <c r="AG376" s="372"/>
      <c r="AH376" s="372"/>
      <c r="AI376" s="372"/>
      <c r="AJ376" s="372"/>
      <c r="AK376" s="372"/>
      <c r="AL376" s="372"/>
      <c r="AM376" s="372"/>
    </row>
    <row r="377">
      <c r="A377" s="369"/>
      <c r="B377" s="369"/>
      <c r="C377" s="405"/>
      <c r="D377" s="369"/>
      <c r="E377" s="369"/>
      <c r="F377" s="372"/>
      <c r="G377" s="372"/>
      <c r="H377" s="372"/>
      <c r="I377" s="372"/>
      <c r="J377" s="372"/>
      <c r="K377" s="369"/>
      <c r="L377" s="369"/>
      <c r="M377" s="373"/>
      <c r="N377" s="369"/>
      <c r="O377" s="369"/>
      <c r="P377" s="374"/>
      <c r="Q377" s="372"/>
      <c r="R377" s="372"/>
      <c r="S377" s="372"/>
      <c r="T377" s="372"/>
      <c r="U377" s="372"/>
      <c r="V377" s="372"/>
      <c r="W377" s="372"/>
      <c r="X377" s="372"/>
      <c r="Y377" s="372"/>
      <c r="Z377" s="372"/>
      <c r="AA377" s="372"/>
      <c r="AB377" s="372"/>
      <c r="AC377" s="372"/>
      <c r="AD377" s="372"/>
      <c r="AE377" s="372"/>
      <c r="AF377" s="372"/>
      <c r="AG377" s="372"/>
      <c r="AH377" s="372"/>
      <c r="AI377" s="372"/>
      <c r="AJ377" s="372"/>
      <c r="AK377" s="372"/>
      <c r="AL377" s="372"/>
      <c r="AM377" s="372"/>
    </row>
    <row r="378">
      <c r="A378" s="369"/>
      <c r="B378" s="369"/>
      <c r="C378" s="405"/>
      <c r="D378" s="369"/>
      <c r="E378" s="369"/>
      <c r="F378" s="372"/>
      <c r="G378" s="372"/>
      <c r="H378" s="372"/>
      <c r="I378" s="372"/>
      <c r="J378" s="372"/>
      <c r="K378" s="369"/>
      <c r="L378" s="369"/>
      <c r="M378" s="373"/>
      <c r="N378" s="369"/>
      <c r="O378" s="369"/>
      <c r="P378" s="374"/>
      <c r="Q378" s="372"/>
      <c r="R378" s="372"/>
      <c r="S378" s="372"/>
      <c r="T378" s="372"/>
      <c r="U378" s="372"/>
      <c r="V378" s="372"/>
      <c r="W378" s="372"/>
      <c r="X378" s="372"/>
      <c r="Y378" s="372"/>
      <c r="Z378" s="372"/>
      <c r="AA378" s="372"/>
      <c r="AB378" s="372"/>
      <c r="AC378" s="372"/>
      <c r="AD378" s="372"/>
      <c r="AE378" s="372"/>
      <c r="AF378" s="372"/>
      <c r="AG378" s="372"/>
      <c r="AH378" s="372"/>
      <c r="AI378" s="372"/>
      <c r="AJ378" s="372"/>
      <c r="AK378" s="372"/>
      <c r="AL378" s="372"/>
      <c r="AM378" s="372"/>
    </row>
    <row r="379">
      <c r="A379" s="369"/>
      <c r="B379" s="369"/>
      <c r="C379" s="405"/>
      <c r="D379" s="369"/>
      <c r="E379" s="369"/>
      <c r="F379" s="372"/>
      <c r="G379" s="372"/>
      <c r="H379" s="372"/>
      <c r="I379" s="372"/>
      <c r="J379" s="372"/>
      <c r="K379" s="369"/>
      <c r="L379" s="369"/>
      <c r="M379" s="373"/>
      <c r="N379" s="369"/>
      <c r="O379" s="369"/>
      <c r="P379" s="374"/>
      <c r="Q379" s="372"/>
      <c r="R379" s="372"/>
      <c r="S379" s="372"/>
      <c r="T379" s="372"/>
      <c r="U379" s="372"/>
      <c r="V379" s="372"/>
      <c r="W379" s="372"/>
      <c r="X379" s="372"/>
      <c r="Y379" s="372"/>
      <c r="Z379" s="372"/>
      <c r="AA379" s="372"/>
      <c r="AB379" s="372"/>
      <c r="AC379" s="372"/>
      <c r="AD379" s="372"/>
      <c r="AE379" s="372"/>
      <c r="AF379" s="372"/>
      <c r="AG379" s="372"/>
      <c r="AH379" s="372"/>
      <c r="AI379" s="372"/>
      <c r="AJ379" s="372"/>
      <c r="AK379" s="372"/>
      <c r="AL379" s="372"/>
      <c r="AM379" s="372"/>
    </row>
    <row r="380">
      <c r="A380" s="369"/>
      <c r="B380" s="369"/>
      <c r="C380" s="405"/>
      <c r="D380" s="369"/>
      <c r="E380" s="369"/>
      <c r="F380" s="372"/>
      <c r="G380" s="372"/>
      <c r="H380" s="372"/>
      <c r="I380" s="372"/>
      <c r="J380" s="372"/>
      <c r="K380" s="369"/>
      <c r="L380" s="369"/>
      <c r="M380" s="373"/>
      <c r="N380" s="369"/>
      <c r="O380" s="369"/>
      <c r="P380" s="374"/>
      <c r="Q380" s="372"/>
      <c r="R380" s="372"/>
      <c r="S380" s="372"/>
      <c r="T380" s="372"/>
      <c r="U380" s="372"/>
      <c r="V380" s="372"/>
      <c r="W380" s="372"/>
      <c r="X380" s="372"/>
      <c r="Y380" s="372"/>
      <c r="Z380" s="372"/>
      <c r="AA380" s="372"/>
      <c r="AB380" s="372"/>
      <c r="AC380" s="372"/>
      <c r="AD380" s="372"/>
      <c r="AE380" s="372"/>
      <c r="AF380" s="372"/>
      <c r="AG380" s="372"/>
      <c r="AH380" s="372"/>
      <c r="AI380" s="372"/>
      <c r="AJ380" s="372"/>
      <c r="AK380" s="372"/>
      <c r="AL380" s="372"/>
      <c r="AM380" s="372"/>
    </row>
    <row r="381">
      <c r="A381" s="369"/>
      <c r="B381" s="369"/>
      <c r="C381" s="405"/>
      <c r="D381" s="369"/>
      <c r="E381" s="369"/>
      <c r="F381" s="372"/>
      <c r="G381" s="372"/>
      <c r="H381" s="372"/>
      <c r="I381" s="372"/>
      <c r="J381" s="372"/>
      <c r="K381" s="369"/>
      <c r="L381" s="369"/>
      <c r="M381" s="373"/>
      <c r="N381" s="369"/>
      <c r="O381" s="369"/>
      <c r="P381" s="374"/>
      <c r="Q381" s="372"/>
      <c r="R381" s="372"/>
      <c r="S381" s="372"/>
      <c r="T381" s="372"/>
      <c r="U381" s="372"/>
      <c r="V381" s="372"/>
      <c r="W381" s="372"/>
      <c r="X381" s="372"/>
      <c r="Y381" s="372"/>
      <c r="Z381" s="372"/>
      <c r="AA381" s="372"/>
      <c r="AB381" s="372"/>
      <c r="AC381" s="372"/>
      <c r="AD381" s="372"/>
      <c r="AE381" s="372"/>
      <c r="AF381" s="372"/>
      <c r="AG381" s="372"/>
      <c r="AH381" s="372"/>
      <c r="AI381" s="372"/>
      <c r="AJ381" s="372"/>
      <c r="AK381" s="372"/>
      <c r="AL381" s="372"/>
      <c r="AM381" s="372"/>
    </row>
    <row r="382">
      <c r="A382" s="369"/>
      <c r="B382" s="369"/>
      <c r="C382" s="405"/>
      <c r="D382" s="369"/>
      <c r="E382" s="369"/>
      <c r="F382" s="372"/>
      <c r="G382" s="372"/>
      <c r="H382" s="372"/>
      <c r="I382" s="372"/>
      <c r="J382" s="372"/>
      <c r="K382" s="369"/>
      <c r="L382" s="369"/>
      <c r="M382" s="373"/>
      <c r="N382" s="369"/>
      <c r="O382" s="369"/>
      <c r="P382" s="374"/>
      <c r="Q382" s="372"/>
      <c r="R382" s="372"/>
      <c r="S382" s="372"/>
      <c r="T382" s="372"/>
      <c r="U382" s="372"/>
      <c r="V382" s="372"/>
      <c r="W382" s="372"/>
      <c r="X382" s="372"/>
      <c r="Y382" s="372"/>
      <c r="Z382" s="372"/>
      <c r="AA382" s="372"/>
      <c r="AB382" s="372"/>
      <c r="AC382" s="372"/>
      <c r="AD382" s="372"/>
      <c r="AE382" s="372"/>
      <c r="AF382" s="372"/>
      <c r="AG382" s="372"/>
      <c r="AH382" s="372"/>
      <c r="AI382" s="372"/>
      <c r="AJ382" s="372"/>
      <c r="AK382" s="372"/>
      <c r="AL382" s="372"/>
      <c r="AM382" s="372"/>
    </row>
    <row r="383">
      <c r="A383" s="369"/>
      <c r="B383" s="369"/>
      <c r="C383" s="405"/>
      <c r="D383" s="369"/>
      <c r="E383" s="369"/>
      <c r="F383" s="372"/>
      <c r="G383" s="372"/>
      <c r="H383" s="372"/>
      <c r="I383" s="372"/>
      <c r="J383" s="372"/>
      <c r="K383" s="369"/>
      <c r="L383" s="369"/>
      <c r="M383" s="373"/>
      <c r="N383" s="369"/>
      <c r="O383" s="369"/>
      <c r="P383" s="374"/>
      <c r="Q383" s="372"/>
      <c r="R383" s="372"/>
      <c r="S383" s="372"/>
      <c r="T383" s="372"/>
      <c r="U383" s="372"/>
      <c r="V383" s="372"/>
      <c r="W383" s="372"/>
      <c r="X383" s="372"/>
      <c r="Y383" s="372"/>
      <c r="Z383" s="372"/>
      <c r="AA383" s="372"/>
      <c r="AB383" s="372"/>
      <c r="AC383" s="372"/>
      <c r="AD383" s="372"/>
      <c r="AE383" s="372"/>
      <c r="AF383" s="372"/>
      <c r="AG383" s="372"/>
      <c r="AH383" s="372"/>
      <c r="AI383" s="372"/>
      <c r="AJ383" s="372"/>
      <c r="AK383" s="372"/>
      <c r="AL383" s="372"/>
      <c r="AM383" s="372"/>
    </row>
    <row r="384">
      <c r="A384" s="369"/>
      <c r="B384" s="369"/>
      <c r="C384" s="405"/>
      <c r="D384" s="369"/>
      <c r="E384" s="369"/>
      <c r="F384" s="372"/>
      <c r="G384" s="372"/>
      <c r="H384" s="372"/>
      <c r="I384" s="372"/>
      <c r="J384" s="372"/>
      <c r="K384" s="369"/>
      <c r="L384" s="369"/>
      <c r="M384" s="373"/>
      <c r="N384" s="369"/>
      <c r="O384" s="369"/>
      <c r="P384" s="374"/>
      <c r="Q384" s="372"/>
      <c r="R384" s="372"/>
      <c r="S384" s="372"/>
      <c r="T384" s="372"/>
      <c r="U384" s="372"/>
      <c r="V384" s="372"/>
      <c r="W384" s="372"/>
      <c r="X384" s="372"/>
      <c r="Y384" s="372"/>
      <c r="Z384" s="372"/>
      <c r="AA384" s="372"/>
      <c r="AB384" s="372"/>
      <c r="AC384" s="372"/>
      <c r="AD384" s="372"/>
      <c r="AE384" s="372"/>
      <c r="AF384" s="372"/>
      <c r="AG384" s="372"/>
      <c r="AH384" s="372"/>
      <c r="AI384" s="372"/>
      <c r="AJ384" s="372"/>
      <c r="AK384" s="372"/>
      <c r="AL384" s="372"/>
      <c r="AM384" s="372"/>
    </row>
    <row r="385">
      <c r="A385" s="369"/>
      <c r="B385" s="369"/>
      <c r="C385" s="405"/>
      <c r="D385" s="369"/>
      <c r="E385" s="369"/>
      <c r="F385" s="372"/>
      <c r="G385" s="372"/>
      <c r="H385" s="372"/>
      <c r="I385" s="372"/>
      <c r="J385" s="372"/>
      <c r="K385" s="369"/>
      <c r="L385" s="369"/>
      <c r="M385" s="373"/>
      <c r="N385" s="369"/>
      <c r="O385" s="369"/>
      <c r="P385" s="374"/>
      <c r="Q385" s="372"/>
      <c r="R385" s="372"/>
      <c r="S385" s="372"/>
      <c r="T385" s="372"/>
      <c r="U385" s="372"/>
      <c r="V385" s="372"/>
      <c r="W385" s="372"/>
      <c r="X385" s="372"/>
      <c r="Y385" s="372"/>
      <c r="Z385" s="372"/>
      <c r="AA385" s="372"/>
      <c r="AB385" s="372"/>
      <c r="AC385" s="372"/>
      <c r="AD385" s="372"/>
      <c r="AE385" s="372"/>
      <c r="AF385" s="372"/>
      <c r="AG385" s="372"/>
      <c r="AH385" s="372"/>
      <c r="AI385" s="372"/>
      <c r="AJ385" s="372"/>
      <c r="AK385" s="372"/>
      <c r="AL385" s="372"/>
      <c r="AM385" s="372"/>
    </row>
    <row r="386">
      <c r="A386" s="369"/>
      <c r="B386" s="369"/>
      <c r="C386" s="405"/>
      <c r="D386" s="369"/>
      <c r="E386" s="369"/>
      <c r="F386" s="372"/>
      <c r="G386" s="372"/>
      <c r="H386" s="372"/>
      <c r="I386" s="372"/>
      <c r="J386" s="372"/>
      <c r="K386" s="369"/>
      <c r="L386" s="369"/>
      <c r="M386" s="373"/>
      <c r="N386" s="369"/>
      <c r="O386" s="369"/>
      <c r="P386" s="374"/>
      <c r="Q386" s="372"/>
      <c r="R386" s="372"/>
      <c r="S386" s="372"/>
      <c r="T386" s="372"/>
      <c r="U386" s="372"/>
      <c r="V386" s="372"/>
      <c r="W386" s="372"/>
      <c r="X386" s="372"/>
      <c r="Y386" s="372"/>
      <c r="Z386" s="372"/>
      <c r="AA386" s="372"/>
      <c r="AB386" s="372"/>
      <c r="AC386" s="372"/>
      <c r="AD386" s="372"/>
      <c r="AE386" s="372"/>
      <c r="AF386" s="372"/>
      <c r="AG386" s="372"/>
      <c r="AH386" s="372"/>
      <c r="AI386" s="372"/>
      <c r="AJ386" s="372"/>
      <c r="AK386" s="372"/>
      <c r="AL386" s="372"/>
      <c r="AM386" s="372"/>
    </row>
    <row r="387">
      <c r="A387" s="369"/>
      <c r="B387" s="369"/>
      <c r="C387" s="405"/>
      <c r="D387" s="369"/>
      <c r="E387" s="369"/>
      <c r="F387" s="372"/>
      <c r="G387" s="372"/>
      <c r="H387" s="372"/>
      <c r="I387" s="372"/>
      <c r="J387" s="372"/>
      <c r="K387" s="369"/>
      <c r="L387" s="369"/>
      <c r="M387" s="373"/>
      <c r="N387" s="369"/>
      <c r="O387" s="369"/>
      <c r="P387" s="374"/>
      <c r="Q387" s="372"/>
      <c r="R387" s="372"/>
      <c r="S387" s="372"/>
      <c r="T387" s="372"/>
      <c r="U387" s="372"/>
      <c r="V387" s="372"/>
      <c r="W387" s="372"/>
      <c r="X387" s="372"/>
      <c r="Y387" s="372"/>
      <c r="Z387" s="372"/>
      <c r="AA387" s="372"/>
      <c r="AB387" s="372"/>
      <c r="AC387" s="372"/>
      <c r="AD387" s="372"/>
      <c r="AE387" s="372"/>
      <c r="AF387" s="372"/>
      <c r="AG387" s="372"/>
      <c r="AH387" s="372"/>
      <c r="AI387" s="372"/>
      <c r="AJ387" s="372"/>
      <c r="AK387" s="372"/>
      <c r="AL387" s="372"/>
      <c r="AM387" s="372"/>
    </row>
    <row r="388">
      <c r="A388" s="369"/>
      <c r="B388" s="369"/>
      <c r="C388" s="405"/>
      <c r="D388" s="369"/>
      <c r="E388" s="369"/>
      <c r="F388" s="372"/>
      <c r="G388" s="372"/>
      <c r="H388" s="372"/>
      <c r="I388" s="372"/>
      <c r="J388" s="372"/>
      <c r="K388" s="369"/>
      <c r="L388" s="369"/>
      <c r="M388" s="373"/>
      <c r="N388" s="369"/>
      <c r="O388" s="369"/>
      <c r="P388" s="374"/>
      <c r="Q388" s="372"/>
      <c r="R388" s="372"/>
      <c r="S388" s="372"/>
      <c r="T388" s="372"/>
      <c r="U388" s="372"/>
      <c r="V388" s="372"/>
      <c r="W388" s="372"/>
      <c r="X388" s="372"/>
      <c r="Y388" s="372"/>
      <c r="Z388" s="372"/>
      <c r="AA388" s="372"/>
      <c r="AB388" s="372"/>
      <c r="AC388" s="372"/>
      <c r="AD388" s="372"/>
      <c r="AE388" s="372"/>
      <c r="AF388" s="372"/>
      <c r="AG388" s="372"/>
      <c r="AH388" s="372"/>
      <c r="AI388" s="372"/>
      <c r="AJ388" s="372"/>
      <c r="AK388" s="372"/>
      <c r="AL388" s="372"/>
      <c r="AM388" s="372"/>
    </row>
    <row r="389">
      <c r="A389" s="369"/>
      <c r="B389" s="369"/>
      <c r="C389" s="405"/>
      <c r="D389" s="369"/>
      <c r="E389" s="369"/>
      <c r="F389" s="372"/>
      <c r="G389" s="372"/>
      <c r="H389" s="372"/>
      <c r="I389" s="372"/>
      <c r="J389" s="372"/>
      <c r="K389" s="369"/>
      <c r="L389" s="369"/>
      <c r="M389" s="373"/>
      <c r="N389" s="369"/>
      <c r="O389" s="369"/>
      <c r="P389" s="374"/>
      <c r="Q389" s="372"/>
      <c r="R389" s="372"/>
      <c r="S389" s="372"/>
      <c r="T389" s="372"/>
      <c r="U389" s="372"/>
      <c r="V389" s="372"/>
      <c r="W389" s="372"/>
      <c r="X389" s="372"/>
      <c r="Y389" s="372"/>
      <c r="Z389" s="372"/>
      <c r="AA389" s="372"/>
      <c r="AB389" s="372"/>
      <c r="AC389" s="372"/>
      <c r="AD389" s="372"/>
      <c r="AE389" s="372"/>
      <c r="AF389" s="372"/>
      <c r="AG389" s="372"/>
      <c r="AH389" s="372"/>
      <c r="AI389" s="372"/>
      <c r="AJ389" s="372"/>
      <c r="AK389" s="372"/>
      <c r="AL389" s="372"/>
      <c r="AM389" s="372"/>
    </row>
    <row r="390">
      <c r="A390" s="369"/>
      <c r="B390" s="369"/>
      <c r="C390" s="405"/>
      <c r="D390" s="369"/>
      <c r="E390" s="369"/>
      <c r="F390" s="372"/>
      <c r="G390" s="372"/>
      <c r="H390" s="372"/>
      <c r="I390" s="372"/>
      <c r="J390" s="372"/>
      <c r="K390" s="369"/>
      <c r="L390" s="369"/>
      <c r="M390" s="373"/>
      <c r="N390" s="369"/>
      <c r="O390" s="369"/>
      <c r="P390" s="374"/>
      <c r="Q390" s="372"/>
      <c r="R390" s="372"/>
      <c r="S390" s="372"/>
      <c r="T390" s="372"/>
      <c r="U390" s="372"/>
      <c r="V390" s="372"/>
      <c r="W390" s="372"/>
      <c r="X390" s="372"/>
      <c r="Y390" s="372"/>
      <c r="Z390" s="372"/>
      <c r="AA390" s="372"/>
      <c r="AB390" s="372"/>
      <c r="AC390" s="372"/>
      <c r="AD390" s="372"/>
      <c r="AE390" s="372"/>
      <c r="AF390" s="372"/>
      <c r="AG390" s="372"/>
      <c r="AH390" s="372"/>
      <c r="AI390" s="372"/>
      <c r="AJ390" s="372"/>
      <c r="AK390" s="372"/>
      <c r="AL390" s="372"/>
      <c r="AM390" s="372"/>
    </row>
    <row r="391">
      <c r="A391" s="369"/>
      <c r="B391" s="369"/>
      <c r="C391" s="405"/>
      <c r="D391" s="369"/>
      <c r="E391" s="369"/>
      <c r="F391" s="372"/>
      <c r="G391" s="372"/>
      <c r="H391" s="372"/>
      <c r="I391" s="372"/>
      <c r="J391" s="372"/>
      <c r="K391" s="369"/>
      <c r="L391" s="369"/>
      <c r="M391" s="373"/>
      <c r="N391" s="369"/>
      <c r="O391" s="369"/>
      <c r="P391" s="374"/>
      <c r="Q391" s="372"/>
      <c r="R391" s="372"/>
      <c r="S391" s="372"/>
      <c r="T391" s="372"/>
      <c r="U391" s="372"/>
      <c r="V391" s="372"/>
      <c r="W391" s="372"/>
      <c r="X391" s="372"/>
      <c r="Y391" s="372"/>
      <c r="Z391" s="372"/>
      <c r="AA391" s="372"/>
      <c r="AB391" s="372"/>
      <c r="AC391" s="372"/>
      <c r="AD391" s="372"/>
      <c r="AE391" s="372"/>
      <c r="AF391" s="372"/>
      <c r="AG391" s="372"/>
      <c r="AH391" s="372"/>
      <c r="AI391" s="372"/>
      <c r="AJ391" s="372"/>
      <c r="AK391" s="372"/>
      <c r="AL391" s="372"/>
      <c r="AM391" s="372"/>
    </row>
    <row r="392">
      <c r="A392" s="369"/>
      <c r="B392" s="369"/>
      <c r="C392" s="405"/>
      <c r="D392" s="369"/>
      <c r="E392" s="369"/>
      <c r="F392" s="372"/>
      <c r="G392" s="372"/>
      <c r="H392" s="372"/>
      <c r="I392" s="372"/>
      <c r="J392" s="372"/>
      <c r="K392" s="369"/>
      <c r="L392" s="369"/>
      <c r="M392" s="373"/>
      <c r="N392" s="369"/>
      <c r="O392" s="369"/>
      <c r="P392" s="374"/>
      <c r="Q392" s="372"/>
      <c r="R392" s="372"/>
      <c r="S392" s="372"/>
      <c r="T392" s="372"/>
      <c r="U392" s="372"/>
      <c r="V392" s="372"/>
      <c r="W392" s="372"/>
      <c r="X392" s="372"/>
      <c r="Y392" s="372"/>
      <c r="Z392" s="372"/>
      <c r="AA392" s="372"/>
      <c r="AB392" s="372"/>
      <c r="AC392" s="372"/>
      <c r="AD392" s="372"/>
      <c r="AE392" s="372"/>
      <c r="AF392" s="372"/>
      <c r="AG392" s="372"/>
      <c r="AH392" s="372"/>
      <c r="AI392" s="372"/>
      <c r="AJ392" s="372"/>
      <c r="AK392" s="372"/>
      <c r="AL392" s="372"/>
      <c r="AM392" s="372"/>
    </row>
    <row r="393">
      <c r="A393" s="369"/>
      <c r="B393" s="369"/>
      <c r="C393" s="405"/>
      <c r="D393" s="369"/>
      <c r="E393" s="369"/>
      <c r="F393" s="372"/>
      <c r="G393" s="372"/>
      <c r="H393" s="372"/>
      <c r="I393" s="372"/>
      <c r="J393" s="372"/>
      <c r="K393" s="369"/>
      <c r="L393" s="369"/>
      <c r="M393" s="373"/>
      <c r="N393" s="369"/>
      <c r="O393" s="369"/>
      <c r="P393" s="374"/>
      <c r="Q393" s="372"/>
      <c r="R393" s="372"/>
      <c r="S393" s="372"/>
      <c r="T393" s="372"/>
      <c r="U393" s="372"/>
      <c r="V393" s="372"/>
      <c r="W393" s="372"/>
      <c r="X393" s="372"/>
      <c r="Y393" s="372"/>
      <c r="Z393" s="372"/>
      <c r="AA393" s="372"/>
      <c r="AB393" s="372"/>
      <c r="AC393" s="372"/>
      <c r="AD393" s="372"/>
      <c r="AE393" s="372"/>
      <c r="AF393" s="372"/>
      <c r="AG393" s="372"/>
      <c r="AH393" s="372"/>
      <c r="AI393" s="372"/>
      <c r="AJ393" s="372"/>
      <c r="AK393" s="372"/>
      <c r="AL393" s="372"/>
      <c r="AM393" s="372"/>
    </row>
    <row r="394">
      <c r="A394" s="369"/>
      <c r="B394" s="369"/>
      <c r="C394" s="405"/>
      <c r="D394" s="369"/>
      <c r="E394" s="369"/>
      <c r="F394" s="372"/>
      <c r="G394" s="372"/>
      <c r="H394" s="372"/>
      <c r="I394" s="372"/>
      <c r="J394" s="372"/>
      <c r="K394" s="369"/>
      <c r="L394" s="369"/>
      <c r="M394" s="373"/>
      <c r="N394" s="369"/>
      <c r="O394" s="369"/>
      <c r="P394" s="374"/>
      <c r="Q394" s="372"/>
      <c r="R394" s="372"/>
      <c r="S394" s="372"/>
      <c r="T394" s="372"/>
      <c r="U394" s="372"/>
      <c r="V394" s="372"/>
      <c r="W394" s="372"/>
      <c r="X394" s="372"/>
      <c r="Y394" s="372"/>
      <c r="Z394" s="372"/>
      <c r="AA394" s="372"/>
      <c r="AB394" s="372"/>
      <c r="AC394" s="372"/>
      <c r="AD394" s="372"/>
      <c r="AE394" s="372"/>
      <c r="AF394" s="372"/>
      <c r="AG394" s="372"/>
      <c r="AH394" s="372"/>
      <c r="AI394" s="372"/>
      <c r="AJ394" s="372"/>
      <c r="AK394" s="372"/>
      <c r="AL394" s="372"/>
      <c r="AM394" s="372"/>
    </row>
    <row r="395">
      <c r="A395" s="369"/>
      <c r="B395" s="369"/>
      <c r="C395" s="405"/>
      <c r="D395" s="369"/>
      <c r="E395" s="369"/>
      <c r="F395" s="372"/>
      <c r="G395" s="372"/>
      <c r="H395" s="372"/>
      <c r="I395" s="372"/>
      <c r="J395" s="372"/>
      <c r="K395" s="369"/>
      <c r="L395" s="369"/>
      <c r="M395" s="373"/>
      <c r="N395" s="369"/>
      <c r="O395" s="369"/>
      <c r="P395" s="374"/>
      <c r="Q395" s="372"/>
      <c r="R395" s="372"/>
      <c r="S395" s="372"/>
      <c r="T395" s="372"/>
      <c r="U395" s="372"/>
      <c r="V395" s="372"/>
      <c r="W395" s="372"/>
      <c r="X395" s="372"/>
      <c r="Y395" s="372"/>
      <c r="Z395" s="372"/>
      <c r="AA395" s="372"/>
      <c r="AB395" s="372"/>
      <c r="AC395" s="372"/>
      <c r="AD395" s="372"/>
      <c r="AE395" s="372"/>
      <c r="AF395" s="372"/>
      <c r="AG395" s="372"/>
      <c r="AH395" s="372"/>
      <c r="AI395" s="372"/>
      <c r="AJ395" s="372"/>
      <c r="AK395" s="372"/>
      <c r="AL395" s="372"/>
      <c r="AM395" s="372"/>
    </row>
    <row r="396">
      <c r="A396" s="369"/>
      <c r="B396" s="369"/>
      <c r="C396" s="405"/>
      <c r="D396" s="369"/>
      <c r="E396" s="369"/>
      <c r="F396" s="372"/>
      <c r="G396" s="372"/>
      <c r="H396" s="372"/>
      <c r="I396" s="372"/>
      <c r="J396" s="372"/>
      <c r="K396" s="369"/>
      <c r="L396" s="369"/>
      <c r="M396" s="373"/>
      <c r="N396" s="369"/>
      <c r="O396" s="369"/>
      <c r="P396" s="374"/>
      <c r="Q396" s="372"/>
      <c r="R396" s="372"/>
      <c r="S396" s="372"/>
      <c r="T396" s="372"/>
      <c r="U396" s="372"/>
      <c r="V396" s="372"/>
      <c r="W396" s="372"/>
      <c r="X396" s="372"/>
      <c r="Y396" s="372"/>
      <c r="Z396" s="372"/>
      <c r="AA396" s="372"/>
      <c r="AB396" s="372"/>
      <c r="AC396" s="372"/>
      <c r="AD396" s="372"/>
      <c r="AE396" s="372"/>
      <c r="AF396" s="372"/>
      <c r="AG396" s="372"/>
      <c r="AH396" s="372"/>
      <c r="AI396" s="372"/>
      <c r="AJ396" s="372"/>
      <c r="AK396" s="372"/>
      <c r="AL396" s="372"/>
      <c r="AM396" s="372"/>
    </row>
    <row r="397">
      <c r="A397" s="369"/>
      <c r="B397" s="369"/>
      <c r="C397" s="405"/>
      <c r="D397" s="369"/>
      <c r="E397" s="369"/>
      <c r="F397" s="372"/>
      <c r="G397" s="372"/>
      <c r="H397" s="372"/>
      <c r="I397" s="372"/>
      <c r="J397" s="372"/>
      <c r="K397" s="369"/>
      <c r="L397" s="369"/>
      <c r="M397" s="373"/>
      <c r="N397" s="369"/>
      <c r="O397" s="369"/>
      <c r="P397" s="374"/>
      <c r="Q397" s="372"/>
      <c r="R397" s="372"/>
      <c r="S397" s="372"/>
      <c r="T397" s="372"/>
      <c r="U397" s="372"/>
      <c r="V397" s="372"/>
      <c r="W397" s="372"/>
      <c r="X397" s="372"/>
      <c r="Y397" s="372"/>
      <c r="Z397" s="372"/>
      <c r="AA397" s="372"/>
      <c r="AB397" s="372"/>
      <c r="AC397" s="372"/>
      <c r="AD397" s="372"/>
      <c r="AE397" s="372"/>
      <c r="AF397" s="372"/>
      <c r="AG397" s="372"/>
      <c r="AH397" s="372"/>
      <c r="AI397" s="372"/>
      <c r="AJ397" s="372"/>
      <c r="AK397" s="372"/>
      <c r="AL397" s="372"/>
      <c r="AM397" s="372"/>
    </row>
    <row r="398">
      <c r="A398" s="369"/>
      <c r="B398" s="369"/>
      <c r="C398" s="405"/>
      <c r="D398" s="369"/>
      <c r="E398" s="369"/>
      <c r="F398" s="372"/>
      <c r="G398" s="372"/>
      <c r="H398" s="372"/>
      <c r="I398" s="372"/>
      <c r="J398" s="372"/>
      <c r="K398" s="369"/>
      <c r="L398" s="369"/>
      <c r="M398" s="373"/>
      <c r="N398" s="369"/>
      <c r="O398" s="369"/>
      <c r="P398" s="374"/>
      <c r="Q398" s="372"/>
      <c r="R398" s="372"/>
      <c r="S398" s="372"/>
      <c r="T398" s="372"/>
      <c r="U398" s="372"/>
      <c r="V398" s="372"/>
      <c r="W398" s="372"/>
      <c r="X398" s="372"/>
      <c r="Y398" s="372"/>
      <c r="Z398" s="372"/>
      <c r="AA398" s="372"/>
      <c r="AB398" s="372"/>
      <c r="AC398" s="372"/>
      <c r="AD398" s="372"/>
      <c r="AE398" s="372"/>
      <c r="AF398" s="372"/>
      <c r="AG398" s="372"/>
      <c r="AH398" s="372"/>
      <c r="AI398" s="372"/>
      <c r="AJ398" s="372"/>
      <c r="AK398" s="372"/>
      <c r="AL398" s="372"/>
      <c r="AM398" s="372"/>
    </row>
    <row r="399">
      <c r="A399" s="369"/>
      <c r="B399" s="369"/>
      <c r="C399" s="405"/>
      <c r="D399" s="369"/>
      <c r="E399" s="369"/>
      <c r="F399" s="372"/>
      <c r="G399" s="372"/>
      <c r="H399" s="372"/>
      <c r="I399" s="372"/>
      <c r="J399" s="372"/>
      <c r="K399" s="369"/>
      <c r="L399" s="369"/>
      <c r="M399" s="373"/>
      <c r="N399" s="369"/>
      <c r="O399" s="369"/>
      <c r="P399" s="374"/>
      <c r="Q399" s="372"/>
      <c r="R399" s="372"/>
      <c r="S399" s="372"/>
      <c r="T399" s="372"/>
      <c r="U399" s="372"/>
      <c r="V399" s="372"/>
      <c r="W399" s="372"/>
      <c r="X399" s="372"/>
      <c r="Y399" s="372"/>
      <c r="Z399" s="372"/>
      <c r="AA399" s="372"/>
      <c r="AB399" s="372"/>
      <c r="AC399" s="372"/>
      <c r="AD399" s="372"/>
      <c r="AE399" s="372"/>
      <c r="AF399" s="372"/>
      <c r="AG399" s="372"/>
      <c r="AH399" s="372"/>
      <c r="AI399" s="372"/>
      <c r="AJ399" s="372"/>
      <c r="AK399" s="372"/>
      <c r="AL399" s="372"/>
      <c r="AM399" s="372"/>
    </row>
    <row r="400">
      <c r="A400" s="369"/>
      <c r="B400" s="369"/>
      <c r="C400" s="405"/>
      <c r="D400" s="369"/>
      <c r="E400" s="369"/>
      <c r="F400" s="372"/>
      <c r="G400" s="372"/>
      <c r="H400" s="372"/>
      <c r="I400" s="372"/>
      <c r="J400" s="372"/>
      <c r="K400" s="369"/>
      <c r="L400" s="369"/>
      <c r="M400" s="373"/>
      <c r="N400" s="369"/>
      <c r="O400" s="369"/>
      <c r="P400" s="374"/>
      <c r="Q400" s="372"/>
      <c r="R400" s="372"/>
      <c r="S400" s="372"/>
      <c r="T400" s="372"/>
      <c r="U400" s="372"/>
      <c r="V400" s="372"/>
      <c r="W400" s="372"/>
      <c r="X400" s="372"/>
      <c r="Y400" s="372"/>
      <c r="Z400" s="372"/>
      <c r="AA400" s="372"/>
      <c r="AB400" s="372"/>
      <c r="AC400" s="372"/>
      <c r="AD400" s="372"/>
      <c r="AE400" s="372"/>
      <c r="AF400" s="372"/>
      <c r="AG400" s="372"/>
      <c r="AH400" s="372"/>
      <c r="AI400" s="372"/>
      <c r="AJ400" s="372"/>
      <c r="AK400" s="372"/>
      <c r="AL400" s="372"/>
      <c r="AM400" s="372"/>
    </row>
    <row r="401">
      <c r="A401" s="369"/>
      <c r="B401" s="369"/>
      <c r="C401" s="405"/>
      <c r="D401" s="369"/>
      <c r="E401" s="369"/>
      <c r="F401" s="372"/>
      <c r="G401" s="372"/>
      <c r="H401" s="372"/>
      <c r="I401" s="372"/>
      <c r="J401" s="372"/>
      <c r="K401" s="369"/>
      <c r="L401" s="369"/>
      <c r="M401" s="373"/>
      <c r="N401" s="369"/>
      <c r="O401" s="369"/>
      <c r="P401" s="374"/>
      <c r="Q401" s="372"/>
      <c r="R401" s="372"/>
      <c r="S401" s="372"/>
      <c r="T401" s="372"/>
      <c r="U401" s="372"/>
      <c r="V401" s="372"/>
      <c r="W401" s="372"/>
      <c r="X401" s="372"/>
      <c r="Y401" s="372"/>
      <c r="Z401" s="372"/>
      <c r="AA401" s="372"/>
      <c r="AB401" s="372"/>
      <c r="AC401" s="372"/>
      <c r="AD401" s="372"/>
      <c r="AE401" s="372"/>
      <c r="AF401" s="372"/>
      <c r="AG401" s="372"/>
      <c r="AH401" s="372"/>
      <c r="AI401" s="372"/>
      <c r="AJ401" s="372"/>
      <c r="AK401" s="372"/>
      <c r="AL401" s="372"/>
      <c r="AM401" s="372"/>
    </row>
    <row r="402">
      <c r="A402" s="369"/>
      <c r="B402" s="369"/>
      <c r="C402" s="405"/>
      <c r="D402" s="369"/>
      <c r="E402" s="369"/>
      <c r="F402" s="372"/>
      <c r="G402" s="372"/>
      <c r="H402" s="372"/>
      <c r="I402" s="372"/>
      <c r="J402" s="372"/>
      <c r="K402" s="369"/>
      <c r="L402" s="369"/>
      <c r="M402" s="373"/>
      <c r="N402" s="369"/>
      <c r="O402" s="369"/>
      <c r="P402" s="374"/>
      <c r="Q402" s="372"/>
      <c r="R402" s="372"/>
      <c r="S402" s="372"/>
      <c r="T402" s="372"/>
      <c r="U402" s="372"/>
      <c r="V402" s="372"/>
      <c r="W402" s="372"/>
      <c r="X402" s="372"/>
      <c r="Y402" s="372"/>
      <c r="Z402" s="372"/>
      <c r="AA402" s="372"/>
      <c r="AB402" s="372"/>
      <c r="AC402" s="372"/>
      <c r="AD402" s="372"/>
      <c r="AE402" s="372"/>
      <c r="AF402" s="372"/>
      <c r="AG402" s="372"/>
      <c r="AH402" s="372"/>
      <c r="AI402" s="372"/>
      <c r="AJ402" s="372"/>
      <c r="AK402" s="372"/>
      <c r="AL402" s="372"/>
      <c r="AM402" s="372"/>
    </row>
    <row r="403">
      <c r="A403" s="369"/>
      <c r="B403" s="369"/>
      <c r="C403" s="405"/>
      <c r="D403" s="369"/>
      <c r="E403" s="369"/>
      <c r="F403" s="372"/>
      <c r="G403" s="372"/>
      <c r="H403" s="372"/>
      <c r="I403" s="372"/>
      <c r="J403" s="372"/>
      <c r="K403" s="369"/>
      <c r="L403" s="369"/>
      <c r="M403" s="373"/>
      <c r="N403" s="369"/>
      <c r="O403" s="369"/>
      <c r="P403" s="374"/>
      <c r="Q403" s="372"/>
      <c r="R403" s="372"/>
      <c r="S403" s="372"/>
      <c r="T403" s="372"/>
      <c r="U403" s="372"/>
      <c r="V403" s="372"/>
      <c r="W403" s="372"/>
      <c r="X403" s="372"/>
      <c r="Y403" s="372"/>
      <c r="Z403" s="372"/>
      <c r="AA403" s="372"/>
      <c r="AB403" s="372"/>
      <c r="AC403" s="372"/>
      <c r="AD403" s="372"/>
      <c r="AE403" s="372"/>
      <c r="AF403" s="372"/>
      <c r="AG403" s="372"/>
      <c r="AH403" s="372"/>
      <c r="AI403" s="372"/>
      <c r="AJ403" s="372"/>
      <c r="AK403" s="372"/>
      <c r="AL403" s="372"/>
      <c r="AM403" s="372"/>
    </row>
    <row r="404">
      <c r="A404" s="369"/>
      <c r="B404" s="369"/>
      <c r="C404" s="405"/>
      <c r="D404" s="369"/>
      <c r="E404" s="369"/>
      <c r="F404" s="372"/>
      <c r="G404" s="372"/>
      <c r="H404" s="372"/>
      <c r="I404" s="372"/>
      <c r="J404" s="372"/>
      <c r="K404" s="369"/>
      <c r="L404" s="369"/>
      <c r="M404" s="373"/>
      <c r="N404" s="369"/>
      <c r="O404" s="369"/>
      <c r="P404" s="374"/>
      <c r="Q404" s="372"/>
      <c r="R404" s="372"/>
      <c r="S404" s="372"/>
      <c r="T404" s="372"/>
      <c r="U404" s="372"/>
      <c r="V404" s="372"/>
      <c r="W404" s="372"/>
      <c r="X404" s="372"/>
      <c r="Y404" s="372"/>
      <c r="Z404" s="372"/>
      <c r="AA404" s="372"/>
      <c r="AB404" s="372"/>
      <c r="AC404" s="372"/>
      <c r="AD404" s="372"/>
      <c r="AE404" s="372"/>
      <c r="AF404" s="372"/>
      <c r="AG404" s="372"/>
      <c r="AH404" s="372"/>
      <c r="AI404" s="372"/>
      <c r="AJ404" s="372"/>
      <c r="AK404" s="372"/>
      <c r="AL404" s="372"/>
      <c r="AM404" s="372"/>
    </row>
    <row r="405">
      <c r="A405" s="369"/>
      <c r="B405" s="369"/>
      <c r="C405" s="405"/>
      <c r="D405" s="369"/>
      <c r="E405" s="369"/>
      <c r="F405" s="372"/>
      <c r="G405" s="372"/>
      <c r="H405" s="372"/>
      <c r="I405" s="372"/>
      <c r="J405" s="372"/>
      <c r="K405" s="369"/>
      <c r="L405" s="369"/>
      <c r="M405" s="373"/>
      <c r="N405" s="369"/>
      <c r="O405" s="369"/>
      <c r="P405" s="374"/>
      <c r="Q405" s="372"/>
      <c r="R405" s="372"/>
      <c r="S405" s="372"/>
      <c r="T405" s="372"/>
      <c r="U405" s="372"/>
      <c r="V405" s="372"/>
      <c r="W405" s="372"/>
      <c r="X405" s="372"/>
      <c r="Y405" s="372"/>
      <c r="Z405" s="372"/>
      <c r="AA405" s="372"/>
      <c r="AB405" s="372"/>
      <c r="AC405" s="372"/>
      <c r="AD405" s="372"/>
      <c r="AE405" s="372"/>
      <c r="AF405" s="372"/>
      <c r="AG405" s="372"/>
      <c r="AH405" s="372"/>
      <c r="AI405" s="372"/>
      <c r="AJ405" s="372"/>
      <c r="AK405" s="372"/>
      <c r="AL405" s="372"/>
      <c r="AM405" s="372"/>
    </row>
    <row r="406">
      <c r="A406" s="369"/>
      <c r="B406" s="369"/>
      <c r="C406" s="405"/>
      <c r="D406" s="369"/>
      <c r="E406" s="369"/>
      <c r="F406" s="372"/>
      <c r="G406" s="372"/>
      <c r="H406" s="372"/>
      <c r="I406" s="372"/>
      <c r="J406" s="372"/>
      <c r="K406" s="369"/>
      <c r="L406" s="369"/>
      <c r="M406" s="373"/>
      <c r="N406" s="369"/>
      <c r="O406" s="369"/>
      <c r="P406" s="374"/>
      <c r="Q406" s="372"/>
      <c r="R406" s="372"/>
      <c r="S406" s="372"/>
      <c r="T406" s="372"/>
      <c r="U406" s="372"/>
      <c r="V406" s="372"/>
      <c r="W406" s="372"/>
      <c r="X406" s="372"/>
      <c r="Y406" s="372"/>
      <c r="Z406" s="372"/>
      <c r="AA406" s="372"/>
      <c r="AB406" s="372"/>
      <c r="AC406" s="372"/>
      <c r="AD406" s="372"/>
      <c r="AE406" s="372"/>
      <c r="AF406" s="372"/>
      <c r="AG406" s="372"/>
      <c r="AH406" s="372"/>
      <c r="AI406" s="372"/>
      <c r="AJ406" s="372"/>
      <c r="AK406" s="372"/>
      <c r="AL406" s="372"/>
      <c r="AM406" s="372"/>
    </row>
    <row r="407">
      <c r="A407" s="369"/>
      <c r="B407" s="369"/>
      <c r="C407" s="405"/>
      <c r="D407" s="369"/>
      <c r="E407" s="369"/>
      <c r="F407" s="372"/>
      <c r="G407" s="372"/>
      <c r="H407" s="372"/>
      <c r="I407" s="372"/>
      <c r="J407" s="372"/>
      <c r="K407" s="369"/>
      <c r="L407" s="369"/>
      <c r="M407" s="373"/>
      <c r="N407" s="369"/>
      <c r="O407" s="369"/>
      <c r="P407" s="374"/>
      <c r="Q407" s="372"/>
      <c r="R407" s="372"/>
      <c r="S407" s="372"/>
      <c r="T407" s="372"/>
      <c r="U407" s="372"/>
      <c r="V407" s="372"/>
      <c r="W407" s="372"/>
      <c r="X407" s="372"/>
      <c r="Y407" s="372"/>
      <c r="Z407" s="372"/>
      <c r="AA407" s="372"/>
      <c r="AB407" s="372"/>
      <c r="AC407" s="372"/>
      <c r="AD407" s="372"/>
      <c r="AE407" s="372"/>
      <c r="AF407" s="372"/>
      <c r="AG407" s="372"/>
      <c r="AH407" s="372"/>
      <c r="AI407" s="372"/>
      <c r="AJ407" s="372"/>
      <c r="AK407" s="372"/>
      <c r="AL407" s="372"/>
      <c r="AM407" s="372"/>
    </row>
    <row r="408">
      <c r="A408" s="369"/>
      <c r="B408" s="369"/>
      <c r="C408" s="405"/>
      <c r="D408" s="369"/>
      <c r="E408" s="369"/>
      <c r="F408" s="372"/>
      <c r="G408" s="372"/>
      <c r="H408" s="372"/>
      <c r="I408" s="372"/>
      <c r="J408" s="372"/>
      <c r="K408" s="369"/>
      <c r="L408" s="369"/>
      <c r="M408" s="373"/>
      <c r="N408" s="369"/>
      <c r="O408" s="369"/>
      <c r="P408" s="374"/>
      <c r="Q408" s="372"/>
      <c r="R408" s="372"/>
      <c r="S408" s="372"/>
      <c r="T408" s="372"/>
      <c r="U408" s="372"/>
      <c r="V408" s="372"/>
      <c r="W408" s="372"/>
      <c r="X408" s="372"/>
      <c r="Y408" s="372"/>
      <c r="Z408" s="372"/>
      <c r="AA408" s="372"/>
      <c r="AB408" s="372"/>
      <c r="AC408" s="372"/>
      <c r="AD408" s="372"/>
      <c r="AE408" s="372"/>
      <c r="AF408" s="372"/>
      <c r="AG408" s="372"/>
      <c r="AH408" s="372"/>
      <c r="AI408" s="372"/>
      <c r="AJ408" s="372"/>
      <c r="AK408" s="372"/>
      <c r="AL408" s="372"/>
      <c r="AM408" s="372"/>
    </row>
    <row r="409">
      <c r="A409" s="369"/>
      <c r="B409" s="369"/>
      <c r="C409" s="405"/>
      <c r="D409" s="369"/>
      <c r="E409" s="369"/>
      <c r="F409" s="372"/>
      <c r="G409" s="372"/>
      <c r="H409" s="372"/>
      <c r="I409" s="372"/>
      <c r="J409" s="372"/>
      <c r="K409" s="369"/>
      <c r="L409" s="369"/>
      <c r="M409" s="373"/>
      <c r="N409" s="369"/>
      <c r="O409" s="369"/>
      <c r="P409" s="374"/>
      <c r="Q409" s="372"/>
      <c r="R409" s="372"/>
      <c r="S409" s="372"/>
      <c r="T409" s="372"/>
      <c r="U409" s="372"/>
      <c r="V409" s="372"/>
      <c r="W409" s="372"/>
      <c r="X409" s="372"/>
      <c r="Y409" s="372"/>
      <c r="Z409" s="372"/>
      <c r="AA409" s="372"/>
      <c r="AB409" s="372"/>
      <c r="AC409" s="372"/>
      <c r="AD409" s="372"/>
      <c r="AE409" s="372"/>
      <c r="AF409" s="372"/>
      <c r="AG409" s="372"/>
      <c r="AH409" s="372"/>
      <c r="AI409" s="372"/>
      <c r="AJ409" s="372"/>
      <c r="AK409" s="372"/>
      <c r="AL409" s="372"/>
      <c r="AM409" s="372"/>
    </row>
    <row r="410">
      <c r="A410" s="369"/>
      <c r="B410" s="369"/>
      <c r="C410" s="405"/>
      <c r="D410" s="369"/>
      <c r="E410" s="369"/>
      <c r="F410" s="372"/>
      <c r="G410" s="372"/>
      <c r="H410" s="372"/>
      <c r="I410" s="372"/>
      <c r="J410" s="372"/>
      <c r="K410" s="369"/>
      <c r="L410" s="369"/>
      <c r="M410" s="373"/>
      <c r="N410" s="369"/>
      <c r="O410" s="369"/>
      <c r="P410" s="374"/>
      <c r="Q410" s="372"/>
      <c r="R410" s="372"/>
      <c r="S410" s="372"/>
      <c r="T410" s="372"/>
      <c r="U410" s="372"/>
      <c r="V410" s="372"/>
      <c r="W410" s="372"/>
      <c r="X410" s="372"/>
      <c r="Y410" s="372"/>
      <c r="Z410" s="372"/>
      <c r="AA410" s="372"/>
      <c r="AB410" s="372"/>
      <c r="AC410" s="372"/>
      <c r="AD410" s="372"/>
      <c r="AE410" s="372"/>
      <c r="AF410" s="372"/>
      <c r="AG410" s="372"/>
      <c r="AH410" s="372"/>
      <c r="AI410" s="372"/>
      <c r="AJ410" s="372"/>
      <c r="AK410" s="372"/>
      <c r="AL410" s="372"/>
      <c r="AM410" s="372"/>
    </row>
    <row r="411">
      <c r="A411" s="369"/>
      <c r="B411" s="369"/>
      <c r="C411" s="405"/>
      <c r="D411" s="369"/>
      <c r="E411" s="369"/>
      <c r="F411" s="372"/>
      <c r="G411" s="372"/>
      <c r="H411" s="372"/>
      <c r="I411" s="372"/>
      <c r="J411" s="372"/>
      <c r="K411" s="369"/>
      <c r="L411" s="369"/>
      <c r="M411" s="373"/>
      <c r="N411" s="369"/>
      <c r="O411" s="369"/>
      <c r="P411" s="374"/>
      <c r="Q411" s="372"/>
      <c r="R411" s="372"/>
      <c r="S411" s="372"/>
      <c r="T411" s="372"/>
      <c r="U411" s="372"/>
      <c r="V411" s="372"/>
      <c r="W411" s="372"/>
      <c r="X411" s="372"/>
      <c r="Y411" s="372"/>
      <c r="Z411" s="372"/>
      <c r="AA411" s="372"/>
      <c r="AB411" s="372"/>
      <c r="AC411" s="372"/>
      <c r="AD411" s="372"/>
      <c r="AE411" s="372"/>
      <c r="AF411" s="372"/>
      <c r="AG411" s="372"/>
      <c r="AH411" s="372"/>
      <c r="AI411" s="372"/>
      <c r="AJ411" s="372"/>
      <c r="AK411" s="372"/>
      <c r="AL411" s="372"/>
      <c r="AM411" s="372"/>
    </row>
    <row r="412">
      <c r="A412" s="369"/>
      <c r="B412" s="369"/>
      <c r="C412" s="405"/>
      <c r="D412" s="369"/>
      <c r="E412" s="369"/>
      <c r="F412" s="372"/>
      <c r="G412" s="372"/>
      <c r="H412" s="372"/>
      <c r="I412" s="372"/>
      <c r="J412" s="372"/>
      <c r="K412" s="369"/>
      <c r="L412" s="369"/>
      <c r="M412" s="373"/>
      <c r="N412" s="369"/>
      <c r="O412" s="369"/>
      <c r="P412" s="374"/>
      <c r="Q412" s="372"/>
      <c r="R412" s="372"/>
      <c r="S412" s="372"/>
      <c r="T412" s="372"/>
      <c r="U412" s="372"/>
      <c r="V412" s="372"/>
      <c r="W412" s="372"/>
      <c r="X412" s="372"/>
      <c r="Y412" s="372"/>
      <c r="Z412" s="372"/>
      <c r="AA412" s="372"/>
      <c r="AB412" s="372"/>
      <c r="AC412" s="372"/>
      <c r="AD412" s="372"/>
      <c r="AE412" s="372"/>
      <c r="AF412" s="372"/>
      <c r="AG412" s="372"/>
      <c r="AH412" s="372"/>
      <c r="AI412" s="372"/>
      <c r="AJ412" s="372"/>
      <c r="AK412" s="372"/>
      <c r="AL412" s="372"/>
      <c r="AM412" s="372"/>
    </row>
    <row r="413">
      <c r="A413" s="369"/>
      <c r="B413" s="369"/>
      <c r="C413" s="405"/>
      <c r="D413" s="369"/>
      <c r="E413" s="369"/>
      <c r="F413" s="372"/>
      <c r="G413" s="372"/>
      <c r="H413" s="372"/>
      <c r="I413" s="372"/>
      <c r="J413" s="372"/>
      <c r="K413" s="369"/>
      <c r="L413" s="369"/>
      <c r="M413" s="373"/>
      <c r="N413" s="369"/>
      <c r="O413" s="369"/>
      <c r="P413" s="374"/>
      <c r="Q413" s="372"/>
      <c r="R413" s="372"/>
      <c r="S413" s="372"/>
      <c r="T413" s="372"/>
      <c r="U413" s="372"/>
      <c r="V413" s="372"/>
      <c r="W413" s="372"/>
      <c r="X413" s="372"/>
      <c r="Y413" s="372"/>
      <c r="Z413" s="372"/>
      <c r="AA413" s="372"/>
      <c r="AB413" s="372"/>
      <c r="AC413" s="372"/>
      <c r="AD413" s="372"/>
      <c r="AE413" s="372"/>
      <c r="AF413" s="372"/>
      <c r="AG413" s="372"/>
      <c r="AH413" s="372"/>
      <c r="AI413" s="372"/>
      <c r="AJ413" s="372"/>
      <c r="AK413" s="372"/>
      <c r="AL413" s="372"/>
      <c r="AM413" s="372"/>
    </row>
    <row r="414">
      <c r="A414" s="369"/>
      <c r="B414" s="369"/>
      <c r="C414" s="405"/>
      <c r="D414" s="369"/>
      <c r="E414" s="369"/>
      <c r="F414" s="372"/>
      <c r="G414" s="372"/>
      <c r="H414" s="372"/>
      <c r="I414" s="372"/>
      <c r="J414" s="372"/>
      <c r="K414" s="369"/>
      <c r="L414" s="369"/>
      <c r="M414" s="373"/>
      <c r="N414" s="369"/>
      <c r="O414" s="369"/>
      <c r="P414" s="374"/>
      <c r="Q414" s="372"/>
      <c r="R414" s="372"/>
      <c r="S414" s="372"/>
      <c r="T414" s="372"/>
      <c r="U414" s="372"/>
      <c r="V414" s="372"/>
      <c r="W414" s="372"/>
      <c r="X414" s="372"/>
      <c r="Y414" s="372"/>
      <c r="Z414" s="372"/>
      <c r="AA414" s="372"/>
      <c r="AB414" s="372"/>
      <c r="AC414" s="372"/>
      <c r="AD414" s="372"/>
      <c r="AE414" s="372"/>
      <c r="AF414" s="372"/>
      <c r="AG414" s="372"/>
      <c r="AH414" s="372"/>
      <c r="AI414" s="372"/>
      <c r="AJ414" s="372"/>
      <c r="AK414" s="372"/>
      <c r="AL414" s="372"/>
      <c r="AM414" s="372"/>
    </row>
    <row r="415">
      <c r="A415" s="369"/>
      <c r="B415" s="369"/>
      <c r="C415" s="405"/>
      <c r="D415" s="369"/>
      <c r="E415" s="369"/>
      <c r="F415" s="372"/>
      <c r="G415" s="372"/>
      <c r="H415" s="372"/>
      <c r="I415" s="372"/>
      <c r="J415" s="372"/>
      <c r="K415" s="369"/>
      <c r="L415" s="369"/>
      <c r="M415" s="373"/>
      <c r="N415" s="369"/>
      <c r="O415" s="369"/>
      <c r="P415" s="374"/>
      <c r="Q415" s="372"/>
      <c r="R415" s="372"/>
      <c r="S415" s="372"/>
      <c r="T415" s="372"/>
      <c r="U415" s="372"/>
      <c r="V415" s="372"/>
      <c r="W415" s="372"/>
      <c r="X415" s="372"/>
      <c r="Y415" s="372"/>
      <c r="Z415" s="372"/>
      <c r="AA415" s="372"/>
      <c r="AB415" s="372"/>
      <c r="AC415" s="372"/>
      <c r="AD415" s="372"/>
      <c r="AE415" s="372"/>
      <c r="AF415" s="372"/>
      <c r="AG415" s="372"/>
      <c r="AH415" s="372"/>
      <c r="AI415" s="372"/>
      <c r="AJ415" s="372"/>
      <c r="AK415" s="372"/>
      <c r="AL415" s="372"/>
      <c r="AM415" s="372"/>
    </row>
    <row r="416">
      <c r="A416" s="369"/>
      <c r="B416" s="369"/>
      <c r="C416" s="405"/>
      <c r="D416" s="369"/>
      <c r="E416" s="369"/>
      <c r="F416" s="372"/>
      <c r="G416" s="372"/>
      <c r="H416" s="372"/>
      <c r="I416" s="372"/>
      <c r="J416" s="372"/>
      <c r="K416" s="369"/>
      <c r="L416" s="369"/>
      <c r="M416" s="373"/>
      <c r="N416" s="369"/>
      <c r="O416" s="369"/>
      <c r="P416" s="374"/>
      <c r="Q416" s="372"/>
      <c r="R416" s="372"/>
      <c r="S416" s="372"/>
      <c r="T416" s="372"/>
      <c r="U416" s="372"/>
      <c r="V416" s="372"/>
      <c r="W416" s="372"/>
      <c r="X416" s="372"/>
      <c r="Y416" s="372"/>
      <c r="Z416" s="372"/>
      <c r="AA416" s="372"/>
      <c r="AB416" s="372"/>
      <c r="AC416" s="372"/>
      <c r="AD416" s="372"/>
      <c r="AE416" s="372"/>
      <c r="AF416" s="372"/>
      <c r="AG416" s="372"/>
      <c r="AH416" s="372"/>
      <c r="AI416" s="372"/>
      <c r="AJ416" s="372"/>
      <c r="AK416" s="372"/>
      <c r="AL416" s="372"/>
      <c r="AM416" s="372"/>
    </row>
    <row r="417">
      <c r="A417" s="369"/>
      <c r="B417" s="369"/>
      <c r="C417" s="405"/>
      <c r="D417" s="369"/>
      <c r="E417" s="369"/>
      <c r="F417" s="372"/>
      <c r="G417" s="372"/>
      <c r="H417" s="372"/>
      <c r="I417" s="372"/>
      <c r="J417" s="372"/>
      <c r="K417" s="369"/>
      <c r="L417" s="369"/>
      <c r="M417" s="373"/>
      <c r="N417" s="369"/>
      <c r="O417" s="369"/>
      <c r="P417" s="374"/>
      <c r="Q417" s="372"/>
      <c r="R417" s="372"/>
      <c r="S417" s="372"/>
      <c r="T417" s="372"/>
      <c r="U417" s="372"/>
      <c r="V417" s="372"/>
      <c r="W417" s="372"/>
      <c r="X417" s="372"/>
      <c r="Y417" s="372"/>
      <c r="Z417" s="372"/>
      <c r="AA417" s="372"/>
      <c r="AB417" s="372"/>
      <c r="AC417" s="372"/>
      <c r="AD417" s="372"/>
      <c r="AE417" s="372"/>
      <c r="AF417" s="372"/>
      <c r="AG417" s="372"/>
      <c r="AH417" s="372"/>
      <c r="AI417" s="372"/>
      <c r="AJ417" s="372"/>
      <c r="AK417" s="372"/>
      <c r="AL417" s="372"/>
      <c r="AM417" s="372"/>
    </row>
    <row r="418">
      <c r="A418" s="369"/>
      <c r="B418" s="369"/>
      <c r="C418" s="405"/>
      <c r="D418" s="369"/>
      <c r="E418" s="369"/>
      <c r="F418" s="372"/>
      <c r="G418" s="372"/>
      <c r="H418" s="372"/>
      <c r="I418" s="372"/>
      <c r="J418" s="372"/>
      <c r="K418" s="369"/>
      <c r="L418" s="369"/>
      <c r="M418" s="373"/>
      <c r="N418" s="369"/>
      <c r="O418" s="369"/>
      <c r="P418" s="374"/>
      <c r="Q418" s="372"/>
      <c r="R418" s="372"/>
      <c r="S418" s="372"/>
      <c r="T418" s="372"/>
      <c r="U418" s="372"/>
      <c r="V418" s="372"/>
      <c r="W418" s="372"/>
      <c r="X418" s="372"/>
      <c r="Y418" s="372"/>
      <c r="Z418" s="372"/>
      <c r="AA418" s="372"/>
      <c r="AB418" s="372"/>
      <c r="AC418" s="372"/>
      <c r="AD418" s="372"/>
      <c r="AE418" s="372"/>
      <c r="AF418" s="372"/>
      <c r="AG418" s="372"/>
      <c r="AH418" s="372"/>
      <c r="AI418" s="372"/>
      <c r="AJ418" s="372"/>
      <c r="AK418" s="372"/>
      <c r="AL418" s="372"/>
      <c r="AM418" s="372"/>
    </row>
    <row r="419">
      <c r="A419" s="369"/>
      <c r="B419" s="369"/>
      <c r="C419" s="405"/>
      <c r="D419" s="369"/>
      <c r="E419" s="369"/>
      <c r="F419" s="372"/>
      <c r="G419" s="372"/>
      <c r="H419" s="372"/>
      <c r="I419" s="372"/>
      <c r="J419" s="372"/>
      <c r="K419" s="369"/>
      <c r="L419" s="369"/>
      <c r="M419" s="373"/>
      <c r="N419" s="369"/>
      <c r="O419" s="369"/>
      <c r="P419" s="374"/>
      <c r="Q419" s="372"/>
      <c r="R419" s="372"/>
      <c r="S419" s="372"/>
      <c r="T419" s="372"/>
      <c r="U419" s="372"/>
      <c r="V419" s="372"/>
      <c r="W419" s="372"/>
      <c r="X419" s="372"/>
      <c r="Y419" s="372"/>
      <c r="Z419" s="372"/>
      <c r="AA419" s="372"/>
      <c r="AB419" s="372"/>
      <c r="AC419" s="372"/>
      <c r="AD419" s="372"/>
      <c r="AE419" s="372"/>
      <c r="AF419" s="372"/>
      <c r="AG419" s="372"/>
      <c r="AH419" s="372"/>
      <c r="AI419" s="372"/>
      <c r="AJ419" s="372"/>
      <c r="AK419" s="372"/>
      <c r="AL419" s="372"/>
      <c r="AM419" s="372"/>
    </row>
    <row r="420">
      <c r="A420" s="369"/>
      <c r="B420" s="369"/>
      <c r="C420" s="405"/>
      <c r="D420" s="369"/>
      <c r="E420" s="369"/>
      <c r="F420" s="372"/>
      <c r="G420" s="372"/>
      <c r="H420" s="372"/>
      <c r="I420" s="372"/>
      <c r="J420" s="372"/>
      <c r="K420" s="369"/>
      <c r="L420" s="369"/>
      <c r="M420" s="373"/>
      <c r="N420" s="369"/>
      <c r="O420" s="369"/>
      <c r="P420" s="374"/>
      <c r="Q420" s="372"/>
      <c r="R420" s="372"/>
      <c r="S420" s="372"/>
      <c r="T420" s="372"/>
      <c r="U420" s="372"/>
      <c r="V420" s="372"/>
      <c r="W420" s="372"/>
      <c r="X420" s="372"/>
      <c r="Y420" s="372"/>
      <c r="Z420" s="372"/>
      <c r="AA420" s="372"/>
      <c r="AB420" s="372"/>
      <c r="AC420" s="372"/>
      <c r="AD420" s="372"/>
      <c r="AE420" s="372"/>
      <c r="AF420" s="372"/>
      <c r="AG420" s="372"/>
      <c r="AH420" s="372"/>
      <c r="AI420" s="372"/>
      <c r="AJ420" s="372"/>
      <c r="AK420" s="372"/>
      <c r="AL420" s="372"/>
      <c r="AM420" s="372"/>
    </row>
    <row r="421">
      <c r="A421" s="369"/>
      <c r="B421" s="369"/>
      <c r="C421" s="405"/>
      <c r="D421" s="369"/>
      <c r="E421" s="369"/>
      <c r="F421" s="372"/>
      <c r="G421" s="372"/>
      <c r="H421" s="372"/>
      <c r="I421" s="372"/>
      <c r="J421" s="372"/>
      <c r="K421" s="369"/>
      <c r="L421" s="369"/>
      <c r="M421" s="373"/>
      <c r="N421" s="369"/>
      <c r="O421" s="369"/>
      <c r="P421" s="374"/>
      <c r="Q421" s="372"/>
      <c r="R421" s="372"/>
      <c r="S421" s="372"/>
      <c r="T421" s="372"/>
      <c r="U421" s="372"/>
      <c r="V421" s="372"/>
      <c r="W421" s="372"/>
      <c r="X421" s="372"/>
      <c r="Y421" s="372"/>
      <c r="Z421" s="372"/>
      <c r="AA421" s="372"/>
      <c r="AB421" s="372"/>
      <c r="AC421" s="372"/>
      <c r="AD421" s="372"/>
      <c r="AE421" s="372"/>
      <c r="AF421" s="372"/>
      <c r="AG421" s="372"/>
      <c r="AH421" s="372"/>
      <c r="AI421" s="372"/>
      <c r="AJ421" s="372"/>
      <c r="AK421" s="372"/>
      <c r="AL421" s="372"/>
      <c r="AM421" s="372"/>
    </row>
    <row r="422">
      <c r="A422" s="369"/>
      <c r="B422" s="369"/>
      <c r="C422" s="405"/>
      <c r="D422" s="369"/>
      <c r="E422" s="369"/>
      <c r="F422" s="372"/>
      <c r="G422" s="372"/>
      <c r="H422" s="372"/>
      <c r="I422" s="372"/>
      <c r="J422" s="372"/>
      <c r="K422" s="369"/>
      <c r="L422" s="369"/>
      <c r="M422" s="373"/>
      <c r="N422" s="369"/>
      <c r="O422" s="369"/>
      <c r="P422" s="374"/>
      <c r="Q422" s="372"/>
      <c r="R422" s="372"/>
      <c r="S422" s="372"/>
      <c r="T422" s="372"/>
      <c r="U422" s="372"/>
      <c r="V422" s="372"/>
      <c r="W422" s="372"/>
      <c r="X422" s="372"/>
      <c r="Y422" s="372"/>
      <c r="Z422" s="372"/>
      <c r="AA422" s="372"/>
      <c r="AB422" s="372"/>
      <c r="AC422" s="372"/>
      <c r="AD422" s="372"/>
      <c r="AE422" s="372"/>
      <c r="AF422" s="372"/>
      <c r="AG422" s="372"/>
      <c r="AH422" s="372"/>
      <c r="AI422" s="372"/>
      <c r="AJ422" s="372"/>
      <c r="AK422" s="372"/>
      <c r="AL422" s="372"/>
      <c r="AM422" s="372"/>
    </row>
    <row r="423">
      <c r="A423" s="369"/>
      <c r="B423" s="369"/>
      <c r="C423" s="405"/>
      <c r="D423" s="369"/>
      <c r="E423" s="369"/>
      <c r="F423" s="372"/>
      <c r="G423" s="372"/>
      <c r="H423" s="372"/>
      <c r="I423" s="372"/>
      <c r="J423" s="372"/>
      <c r="K423" s="369"/>
      <c r="L423" s="369"/>
      <c r="M423" s="373"/>
      <c r="N423" s="369"/>
      <c r="O423" s="369"/>
      <c r="P423" s="374"/>
      <c r="Q423" s="372"/>
      <c r="R423" s="372"/>
      <c r="S423" s="372"/>
      <c r="T423" s="372"/>
      <c r="U423" s="372"/>
      <c r="V423" s="372"/>
      <c r="W423" s="372"/>
      <c r="X423" s="372"/>
      <c r="Y423" s="372"/>
      <c r="Z423" s="372"/>
      <c r="AA423" s="372"/>
      <c r="AB423" s="372"/>
      <c r="AC423" s="372"/>
      <c r="AD423" s="372"/>
      <c r="AE423" s="372"/>
      <c r="AF423" s="372"/>
      <c r="AG423" s="372"/>
      <c r="AH423" s="372"/>
      <c r="AI423" s="372"/>
      <c r="AJ423" s="372"/>
      <c r="AK423" s="372"/>
      <c r="AL423" s="372"/>
      <c r="AM423" s="372"/>
    </row>
    <row r="424">
      <c r="A424" s="369"/>
      <c r="B424" s="369"/>
      <c r="C424" s="405"/>
      <c r="D424" s="369"/>
      <c r="E424" s="369"/>
      <c r="F424" s="372"/>
      <c r="G424" s="372"/>
      <c r="H424" s="372"/>
      <c r="I424" s="372"/>
      <c r="J424" s="372"/>
      <c r="K424" s="369"/>
      <c r="L424" s="369"/>
      <c r="M424" s="373"/>
      <c r="N424" s="369"/>
      <c r="O424" s="369"/>
      <c r="P424" s="374"/>
      <c r="Q424" s="372"/>
      <c r="R424" s="372"/>
      <c r="S424" s="372"/>
      <c r="T424" s="372"/>
      <c r="U424" s="372"/>
      <c r="V424" s="372"/>
      <c r="W424" s="372"/>
      <c r="X424" s="372"/>
      <c r="Y424" s="372"/>
      <c r="Z424" s="372"/>
      <c r="AA424" s="372"/>
      <c r="AB424" s="372"/>
      <c r="AC424" s="372"/>
      <c r="AD424" s="372"/>
      <c r="AE424" s="372"/>
      <c r="AF424" s="372"/>
      <c r="AG424" s="372"/>
      <c r="AH424" s="372"/>
      <c r="AI424" s="372"/>
      <c r="AJ424" s="372"/>
      <c r="AK424" s="372"/>
      <c r="AL424" s="372"/>
      <c r="AM424" s="372"/>
    </row>
    <row r="425">
      <c r="A425" s="369"/>
      <c r="B425" s="369"/>
      <c r="C425" s="405"/>
      <c r="D425" s="369"/>
      <c r="E425" s="369"/>
      <c r="F425" s="372"/>
      <c r="G425" s="372"/>
      <c r="H425" s="372"/>
      <c r="I425" s="372"/>
      <c r="J425" s="372"/>
      <c r="K425" s="369"/>
      <c r="L425" s="369"/>
      <c r="M425" s="373"/>
      <c r="N425" s="369"/>
      <c r="O425" s="369"/>
      <c r="P425" s="374"/>
      <c r="Q425" s="372"/>
      <c r="R425" s="372"/>
      <c r="S425" s="372"/>
      <c r="T425" s="372"/>
      <c r="U425" s="372"/>
      <c r="V425" s="372"/>
      <c r="W425" s="372"/>
      <c r="X425" s="372"/>
      <c r="Y425" s="372"/>
      <c r="Z425" s="372"/>
      <c r="AA425" s="372"/>
      <c r="AB425" s="372"/>
      <c r="AC425" s="372"/>
      <c r="AD425" s="372"/>
      <c r="AE425" s="372"/>
      <c r="AF425" s="372"/>
      <c r="AG425" s="372"/>
      <c r="AH425" s="372"/>
      <c r="AI425" s="372"/>
      <c r="AJ425" s="372"/>
      <c r="AK425" s="372"/>
      <c r="AL425" s="372"/>
      <c r="AM425" s="372"/>
    </row>
    <row r="426">
      <c r="A426" s="369"/>
      <c r="B426" s="369"/>
      <c r="C426" s="405"/>
      <c r="D426" s="369"/>
      <c r="E426" s="369"/>
      <c r="F426" s="372"/>
      <c r="G426" s="372"/>
      <c r="H426" s="372"/>
      <c r="I426" s="372"/>
      <c r="J426" s="372"/>
      <c r="K426" s="369"/>
      <c r="L426" s="369"/>
      <c r="M426" s="373"/>
      <c r="N426" s="369"/>
      <c r="O426" s="369"/>
      <c r="P426" s="374"/>
      <c r="Q426" s="372"/>
      <c r="R426" s="372"/>
      <c r="S426" s="372"/>
      <c r="T426" s="372"/>
      <c r="U426" s="372"/>
      <c r="V426" s="372"/>
      <c r="W426" s="372"/>
      <c r="X426" s="372"/>
      <c r="Y426" s="372"/>
      <c r="Z426" s="372"/>
      <c r="AA426" s="372"/>
      <c r="AB426" s="372"/>
      <c r="AC426" s="372"/>
      <c r="AD426" s="372"/>
      <c r="AE426" s="372"/>
      <c r="AF426" s="372"/>
      <c r="AG426" s="372"/>
      <c r="AH426" s="372"/>
      <c r="AI426" s="372"/>
      <c r="AJ426" s="372"/>
      <c r="AK426" s="372"/>
      <c r="AL426" s="372"/>
      <c r="AM426" s="372"/>
    </row>
    <row r="427">
      <c r="A427" s="369"/>
      <c r="B427" s="369"/>
      <c r="C427" s="405"/>
      <c r="D427" s="369"/>
      <c r="E427" s="369"/>
      <c r="F427" s="372"/>
      <c r="G427" s="372"/>
      <c r="H427" s="372"/>
      <c r="I427" s="372"/>
      <c r="J427" s="372"/>
      <c r="K427" s="369"/>
      <c r="L427" s="369"/>
      <c r="M427" s="373"/>
      <c r="N427" s="369"/>
      <c r="O427" s="369"/>
      <c r="P427" s="374"/>
      <c r="Q427" s="372"/>
      <c r="R427" s="372"/>
      <c r="S427" s="372"/>
      <c r="T427" s="372"/>
      <c r="U427" s="372"/>
      <c r="V427" s="372"/>
      <c r="W427" s="372"/>
      <c r="X427" s="372"/>
      <c r="Y427" s="372"/>
      <c r="Z427" s="372"/>
      <c r="AA427" s="372"/>
      <c r="AB427" s="372"/>
      <c r="AC427" s="372"/>
      <c r="AD427" s="372"/>
      <c r="AE427" s="372"/>
      <c r="AF427" s="372"/>
      <c r="AG427" s="372"/>
      <c r="AH427" s="372"/>
      <c r="AI427" s="372"/>
      <c r="AJ427" s="372"/>
      <c r="AK427" s="372"/>
      <c r="AL427" s="372"/>
      <c r="AM427" s="372"/>
    </row>
    <row r="428">
      <c r="A428" s="369"/>
      <c r="B428" s="369"/>
      <c r="C428" s="405"/>
      <c r="D428" s="369"/>
      <c r="E428" s="369"/>
      <c r="F428" s="372"/>
      <c r="G428" s="372"/>
      <c r="H428" s="372"/>
      <c r="I428" s="372"/>
      <c r="J428" s="372"/>
      <c r="K428" s="369"/>
      <c r="L428" s="369"/>
      <c r="M428" s="373"/>
      <c r="N428" s="369"/>
      <c r="O428" s="369"/>
      <c r="P428" s="374"/>
      <c r="Q428" s="372"/>
      <c r="R428" s="372"/>
      <c r="S428" s="372"/>
      <c r="T428" s="372"/>
      <c r="U428" s="372"/>
      <c r="V428" s="372"/>
      <c r="W428" s="372"/>
      <c r="X428" s="372"/>
      <c r="Y428" s="372"/>
      <c r="Z428" s="372"/>
      <c r="AA428" s="372"/>
      <c r="AB428" s="372"/>
      <c r="AC428" s="372"/>
      <c r="AD428" s="372"/>
      <c r="AE428" s="372"/>
      <c r="AF428" s="372"/>
      <c r="AG428" s="372"/>
      <c r="AH428" s="372"/>
      <c r="AI428" s="372"/>
      <c r="AJ428" s="372"/>
      <c r="AK428" s="372"/>
      <c r="AL428" s="372"/>
      <c r="AM428" s="372"/>
    </row>
    <row r="429">
      <c r="A429" s="369"/>
      <c r="B429" s="369"/>
      <c r="C429" s="405"/>
      <c r="D429" s="369"/>
      <c r="E429" s="369"/>
      <c r="F429" s="372"/>
      <c r="G429" s="372"/>
      <c r="H429" s="372"/>
      <c r="I429" s="372"/>
      <c r="J429" s="372"/>
      <c r="K429" s="369"/>
      <c r="L429" s="369"/>
      <c r="M429" s="373"/>
      <c r="N429" s="369"/>
      <c r="O429" s="369"/>
      <c r="P429" s="374"/>
      <c r="Q429" s="372"/>
      <c r="R429" s="372"/>
      <c r="S429" s="372"/>
      <c r="T429" s="372"/>
      <c r="U429" s="372"/>
      <c r="V429" s="372"/>
      <c r="W429" s="372"/>
      <c r="X429" s="372"/>
      <c r="Y429" s="372"/>
      <c r="Z429" s="372"/>
      <c r="AA429" s="372"/>
      <c r="AB429" s="372"/>
      <c r="AC429" s="372"/>
      <c r="AD429" s="372"/>
      <c r="AE429" s="372"/>
      <c r="AF429" s="372"/>
      <c r="AG429" s="372"/>
      <c r="AH429" s="372"/>
      <c r="AI429" s="372"/>
      <c r="AJ429" s="372"/>
      <c r="AK429" s="372"/>
      <c r="AL429" s="372"/>
      <c r="AM429" s="372"/>
    </row>
    <row r="430">
      <c r="A430" s="369"/>
      <c r="B430" s="369"/>
      <c r="C430" s="405"/>
      <c r="D430" s="369"/>
      <c r="E430" s="369"/>
      <c r="F430" s="372"/>
      <c r="G430" s="372"/>
      <c r="H430" s="372"/>
      <c r="I430" s="372"/>
      <c r="J430" s="372"/>
      <c r="K430" s="369"/>
      <c r="L430" s="369"/>
      <c r="M430" s="373"/>
      <c r="N430" s="369"/>
      <c r="O430" s="369"/>
      <c r="P430" s="374"/>
      <c r="Q430" s="372"/>
      <c r="R430" s="372"/>
      <c r="S430" s="372"/>
      <c r="T430" s="372"/>
      <c r="U430" s="372"/>
      <c r="V430" s="372"/>
      <c r="W430" s="372"/>
      <c r="X430" s="372"/>
      <c r="Y430" s="372"/>
      <c r="Z430" s="372"/>
      <c r="AA430" s="372"/>
      <c r="AB430" s="372"/>
      <c r="AC430" s="372"/>
      <c r="AD430" s="372"/>
      <c r="AE430" s="372"/>
      <c r="AF430" s="372"/>
      <c r="AG430" s="372"/>
      <c r="AH430" s="372"/>
      <c r="AI430" s="372"/>
      <c r="AJ430" s="372"/>
      <c r="AK430" s="372"/>
      <c r="AL430" s="372"/>
      <c r="AM430" s="372"/>
    </row>
    <row r="431">
      <c r="A431" s="369"/>
      <c r="B431" s="369"/>
      <c r="C431" s="405"/>
      <c r="D431" s="369"/>
      <c r="E431" s="369"/>
      <c r="F431" s="372"/>
      <c r="G431" s="372"/>
      <c r="H431" s="372"/>
      <c r="I431" s="372"/>
      <c r="J431" s="372"/>
      <c r="K431" s="369"/>
      <c r="L431" s="369"/>
      <c r="M431" s="373"/>
      <c r="N431" s="369"/>
      <c r="O431" s="369"/>
      <c r="P431" s="374"/>
      <c r="Q431" s="372"/>
      <c r="R431" s="372"/>
      <c r="S431" s="372"/>
      <c r="T431" s="372"/>
      <c r="U431" s="372"/>
      <c r="V431" s="372"/>
      <c r="W431" s="372"/>
      <c r="X431" s="372"/>
      <c r="Y431" s="372"/>
      <c r="Z431" s="372"/>
      <c r="AA431" s="372"/>
      <c r="AB431" s="372"/>
      <c r="AC431" s="372"/>
      <c r="AD431" s="372"/>
      <c r="AE431" s="372"/>
      <c r="AF431" s="372"/>
      <c r="AG431" s="372"/>
      <c r="AH431" s="372"/>
      <c r="AI431" s="372"/>
      <c r="AJ431" s="372"/>
      <c r="AK431" s="372"/>
      <c r="AL431" s="372"/>
      <c r="AM431" s="372"/>
    </row>
    <row r="432">
      <c r="A432" s="369"/>
      <c r="B432" s="369"/>
      <c r="C432" s="405"/>
      <c r="D432" s="369"/>
      <c r="E432" s="369"/>
      <c r="F432" s="372"/>
      <c r="G432" s="372"/>
      <c r="H432" s="372"/>
      <c r="I432" s="372"/>
      <c r="J432" s="372"/>
      <c r="K432" s="369"/>
      <c r="L432" s="369"/>
      <c r="M432" s="373"/>
      <c r="N432" s="369"/>
      <c r="O432" s="369"/>
      <c r="P432" s="374"/>
      <c r="Q432" s="372"/>
      <c r="R432" s="372"/>
      <c r="S432" s="372"/>
      <c r="T432" s="372"/>
      <c r="U432" s="372"/>
      <c r="V432" s="372"/>
      <c r="W432" s="372"/>
      <c r="X432" s="372"/>
      <c r="Y432" s="372"/>
      <c r="Z432" s="372"/>
      <c r="AA432" s="372"/>
      <c r="AB432" s="372"/>
      <c r="AC432" s="372"/>
      <c r="AD432" s="372"/>
      <c r="AE432" s="372"/>
      <c r="AF432" s="372"/>
      <c r="AG432" s="372"/>
      <c r="AH432" s="372"/>
      <c r="AI432" s="372"/>
      <c r="AJ432" s="372"/>
      <c r="AK432" s="372"/>
      <c r="AL432" s="372"/>
      <c r="AM432" s="372"/>
    </row>
    <row r="433">
      <c r="A433" s="369"/>
      <c r="B433" s="369"/>
      <c r="C433" s="405"/>
      <c r="D433" s="369"/>
      <c r="E433" s="369"/>
      <c r="F433" s="372"/>
      <c r="G433" s="372"/>
      <c r="H433" s="372"/>
      <c r="I433" s="372"/>
      <c r="J433" s="372"/>
      <c r="K433" s="369"/>
      <c r="L433" s="369"/>
      <c r="M433" s="373"/>
      <c r="N433" s="369"/>
      <c r="O433" s="369"/>
      <c r="P433" s="374"/>
      <c r="Q433" s="372"/>
      <c r="R433" s="372"/>
      <c r="S433" s="372"/>
      <c r="T433" s="372"/>
      <c r="U433" s="372"/>
      <c r="V433" s="372"/>
      <c r="W433" s="372"/>
      <c r="X433" s="372"/>
      <c r="Y433" s="372"/>
      <c r="Z433" s="372"/>
      <c r="AA433" s="372"/>
      <c r="AB433" s="372"/>
      <c r="AC433" s="372"/>
      <c r="AD433" s="372"/>
      <c r="AE433" s="372"/>
      <c r="AF433" s="372"/>
      <c r="AG433" s="372"/>
      <c r="AH433" s="372"/>
      <c r="AI433" s="372"/>
      <c r="AJ433" s="372"/>
      <c r="AK433" s="372"/>
      <c r="AL433" s="372"/>
      <c r="AM433" s="372"/>
    </row>
    <row r="434">
      <c r="A434" s="369"/>
      <c r="B434" s="369"/>
      <c r="C434" s="405"/>
      <c r="D434" s="369"/>
      <c r="E434" s="369"/>
      <c r="F434" s="372"/>
      <c r="G434" s="372"/>
      <c r="H434" s="372"/>
      <c r="I434" s="372"/>
      <c r="J434" s="372"/>
      <c r="K434" s="369"/>
      <c r="L434" s="369"/>
      <c r="M434" s="373"/>
      <c r="N434" s="369"/>
      <c r="O434" s="369"/>
      <c r="P434" s="374"/>
      <c r="Q434" s="372"/>
      <c r="R434" s="372"/>
      <c r="S434" s="372"/>
      <c r="T434" s="372"/>
      <c r="U434" s="372"/>
      <c r="V434" s="372"/>
      <c r="W434" s="372"/>
      <c r="X434" s="372"/>
      <c r="Y434" s="372"/>
      <c r="Z434" s="372"/>
      <c r="AA434" s="372"/>
      <c r="AB434" s="372"/>
      <c r="AC434" s="372"/>
      <c r="AD434" s="372"/>
      <c r="AE434" s="372"/>
      <c r="AF434" s="372"/>
      <c r="AG434" s="372"/>
      <c r="AH434" s="372"/>
      <c r="AI434" s="372"/>
      <c r="AJ434" s="372"/>
      <c r="AK434" s="372"/>
      <c r="AL434" s="372"/>
      <c r="AM434" s="372"/>
    </row>
    <row r="435">
      <c r="A435" s="369"/>
      <c r="B435" s="369"/>
      <c r="C435" s="405"/>
      <c r="D435" s="369"/>
      <c r="E435" s="369"/>
      <c r="F435" s="372"/>
      <c r="G435" s="372"/>
      <c r="H435" s="372"/>
      <c r="I435" s="372"/>
      <c r="J435" s="372"/>
      <c r="K435" s="369"/>
      <c r="L435" s="369"/>
      <c r="M435" s="373"/>
      <c r="N435" s="369"/>
      <c r="O435" s="369"/>
      <c r="P435" s="374"/>
      <c r="Q435" s="372"/>
      <c r="R435" s="372"/>
      <c r="S435" s="372"/>
      <c r="T435" s="372"/>
      <c r="U435" s="372"/>
      <c r="V435" s="372"/>
      <c r="W435" s="372"/>
      <c r="X435" s="372"/>
      <c r="Y435" s="372"/>
      <c r="Z435" s="372"/>
      <c r="AA435" s="372"/>
      <c r="AB435" s="372"/>
      <c r="AC435" s="372"/>
      <c r="AD435" s="372"/>
      <c r="AE435" s="372"/>
      <c r="AF435" s="372"/>
      <c r="AG435" s="372"/>
      <c r="AH435" s="372"/>
      <c r="AI435" s="372"/>
      <c r="AJ435" s="372"/>
      <c r="AK435" s="372"/>
      <c r="AL435" s="372"/>
      <c r="AM435" s="372"/>
    </row>
    <row r="436">
      <c r="A436" s="369"/>
      <c r="B436" s="369"/>
      <c r="C436" s="405"/>
      <c r="D436" s="369"/>
      <c r="E436" s="369"/>
      <c r="F436" s="372"/>
      <c r="G436" s="372"/>
      <c r="H436" s="372"/>
      <c r="I436" s="372"/>
      <c r="J436" s="372"/>
      <c r="K436" s="369"/>
      <c r="L436" s="369"/>
      <c r="M436" s="373"/>
      <c r="N436" s="369"/>
      <c r="O436" s="369"/>
      <c r="P436" s="374"/>
      <c r="Q436" s="372"/>
      <c r="R436" s="372"/>
      <c r="S436" s="372"/>
      <c r="T436" s="372"/>
      <c r="U436" s="372"/>
      <c r="V436" s="372"/>
      <c r="W436" s="372"/>
      <c r="X436" s="372"/>
      <c r="Y436" s="372"/>
      <c r="Z436" s="372"/>
      <c r="AA436" s="372"/>
      <c r="AB436" s="372"/>
      <c r="AC436" s="372"/>
      <c r="AD436" s="372"/>
      <c r="AE436" s="372"/>
      <c r="AF436" s="372"/>
      <c r="AG436" s="372"/>
      <c r="AH436" s="372"/>
      <c r="AI436" s="372"/>
      <c r="AJ436" s="372"/>
      <c r="AK436" s="372"/>
      <c r="AL436" s="372"/>
      <c r="AM436" s="372"/>
    </row>
    <row r="437">
      <c r="A437" s="369"/>
      <c r="B437" s="369"/>
      <c r="C437" s="405"/>
      <c r="D437" s="369"/>
      <c r="E437" s="369"/>
      <c r="F437" s="372"/>
      <c r="G437" s="372"/>
      <c r="H437" s="372"/>
      <c r="I437" s="372"/>
      <c r="J437" s="372"/>
      <c r="K437" s="369"/>
      <c r="L437" s="369"/>
      <c r="M437" s="373"/>
      <c r="N437" s="369"/>
      <c r="O437" s="369"/>
      <c r="P437" s="374"/>
      <c r="Q437" s="372"/>
      <c r="R437" s="372"/>
      <c r="S437" s="372"/>
      <c r="T437" s="372"/>
      <c r="U437" s="372"/>
      <c r="V437" s="372"/>
      <c r="W437" s="372"/>
      <c r="X437" s="372"/>
      <c r="Y437" s="372"/>
      <c r="Z437" s="372"/>
      <c r="AA437" s="372"/>
      <c r="AB437" s="372"/>
      <c r="AC437" s="372"/>
      <c r="AD437" s="372"/>
      <c r="AE437" s="372"/>
      <c r="AF437" s="372"/>
      <c r="AG437" s="372"/>
      <c r="AH437" s="372"/>
      <c r="AI437" s="372"/>
      <c r="AJ437" s="372"/>
      <c r="AK437" s="372"/>
      <c r="AL437" s="372"/>
      <c r="AM437" s="372"/>
    </row>
    <row r="438">
      <c r="A438" s="369"/>
      <c r="B438" s="369"/>
      <c r="C438" s="405"/>
      <c r="D438" s="369"/>
      <c r="E438" s="369"/>
      <c r="F438" s="372"/>
      <c r="G438" s="372"/>
      <c r="H438" s="372"/>
      <c r="I438" s="372"/>
      <c r="J438" s="372"/>
      <c r="K438" s="369"/>
      <c r="L438" s="369"/>
      <c r="M438" s="373"/>
      <c r="N438" s="369"/>
      <c r="O438" s="369"/>
      <c r="P438" s="374"/>
      <c r="Q438" s="372"/>
      <c r="R438" s="372"/>
      <c r="S438" s="372"/>
      <c r="T438" s="372"/>
      <c r="U438" s="372"/>
      <c r="V438" s="372"/>
      <c r="W438" s="372"/>
      <c r="X438" s="372"/>
      <c r="Y438" s="372"/>
      <c r="Z438" s="372"/>
      <c r="AA438" s="372"/>
      <c r="AB438" s="372"/>
      <c r="AC438" s="372"/>
      <c r="AD438" s="372"/>
      <c r="AE438" s="372"/>
      <c r="AF438" s="372"/>
      <c r="AG438" s="372"/>
      <c r="AH438" s="372"/>
      <c r="AI438" s="372"/>
      <c r="AJ438" s="372"/>
      <c r="AK438" s="372"/>
      <c r="AL438" s="372"/>
      <c r="AM438" s="372"/>
    </row>
    <row r="439">
      <c r="A439" s="369"/>
      <c r="B439" s="369"/>
      <c r="C439" s="405"/>
      <c r="D439" s="369"/>
      <c r="E439" s="369"/>
      <c r="F439" s="372"/>
      <c r="G439" s="372"/>
      <c r="H439" s="372"/>
      <c r="I439" s="372"/>
      <c r="J439" s="372"/>
      <c r="K439" s="369"/>
      <c r="L439" s="369"/>
      <c r="M439" s="373"/>
      <c r="N439" s="369"/>
      <c r="O439" s="369"/>
      <c r="P439" s="374"/>
      <c r="Q439" s="372"/>
      <c r="R439" s="372"/>
      <c r="S439" s="372"/>
      <c r="T439" s="372"/>
      <c r="U439" s="372"/>
      <c r="V439" s="372"/>
      <c r="W439" s="372"/>
      <c r="X439" s="372"/>
      <c r="Y439" s="372"/>
      <c r="Z439" s="372"/>
      <c r="AA439" s="372"/>
      <c r="AB439" s="372"/>
      <c r="AC439" s="372"/>
      <c r="AD439" s="372"/>
      <c r="AE439" s="372"/>
      <c r="AF439" s="372"/>
      <c r="AG439" s="372"/>
      <c r="AH439" s="372"/>
      <c r="AI439" s="372"/>
      <c r="AJ439" s="372"/>
      <c r="AK439" s="372"/>
      <c r="AL439" s="372"/>
      <c r="AM439" s="372"/>
    </row>
    <row r="440">
      <c r="A440" s="369"/>
      <c r="B440" s="369"/>
      <c r="C440" s="405"/>
      <c r="D440" s="369"/>
      <c r="E440" s="369"/>
      <c r="F440" s="372"/>
      <c r="G440" s="372"/>
      <c r="H440" s="372"/>
      <c r="I440" s="372"/>
      <c r="J440" s="372"/>
      <c r="K440" s="369"/>
      <c r="L440" s="369"/>
      <c r="M440" s="373"/>
      <c r="N440" s="369"/>
      <c r="O440" s="369"/>
      <c r="P440" s="374"/>
      <c r="Q440" s="372"/>
      <c r="R440" s="372"/>
      <c r="S440" s="372"/>
      <c r="T440" s="372"/>
      <c r="U440" s="372"/>
      <c r="V440" s="372"/>
      <c r="W440" s="372"/>
      <c r="X440" s="372"/>
      <c r="Y440" s="372"/>
      <c r="Z440" s="372"/>
      <c r="AA440" s="372"/>
      <c r="AB440" s="372"/>
      <c r="AC440" s="372"/>
      <c r="AD440" s="372"/>
      <c r="AE440" s="372"/>
      <c r="AF440" s="372"/>
      <c r="AG440" s="372"/>
      <c r="AH440" s="372"/>
      <c r="AI440" s="372"/>
      <c r="AJ440" s="372"/>
      <c r="AK440" s="372"/>
      <c r="AL440" s="372"/>
      <c r="AM440" s="372"/>
    </row>
    <row r="441">
      <c r="A441" s="369"/>
      <c r="B441" s="369"/>
      <c r="C441" s="405"/>
      <c r="D441" s="369"/>
      <c r="E441" s="369"/>
      <c r="F441" s="372"/>
      <c r="G441" s="372"/>
      <c r="H441" s="372"/>
      <c r="I441" s="372"/>
      <c r="J441" s="372"/>
      <c r="K441" s="369"/>
      <c r="L441" s="369"/>
      <c r="M441" s="373"/>
      <c r="N441" s="369"/>
      <c r="O441" s="369"/>
      <c r="P441" s="374"/>
      <c r="Q441" s="372"/>
      <c r="R441" s="372"/>
      <c r="S441" s="372"/>
      <c r="T441" s="372"/>
      <c r="U441" s="372"/>
      <c r="V441" s="372"/>
      <c r="W441" s="372"/>
      <c r="X441" s="372"/>
      <c r="Y441" s="372"/>
      <c r="Z441" s="372"/>
      <c r="AA441" s="372"/>
      <c r="AB441" s="372"/>
      <c r="AC441" s="372"/>
      <c r="AD441" s="372"/>
      <c r="AE441" s="372"/>
      <c r="AF441" s="372"/>
      <c r="AG441" s="372"/>
      <c r="AH441" s="372"/>
      <c r="AI441" s="372"/>
      <c r="AJ441" s="372"/>
      <c r="AK441" s="372"/>
      <c r="AL441" s="372"/>
      <c r="AM441" s="372"/>
    </row>
    <row r="442">
      <c r="A442" s="369"/>
      <c r="B442" s="369"/>
      <c r="C442" s="405"/>
      <c r="D442" s="369"/>
      <c r="E442" s="369"/>
      <c r="F442" s="372"/>
      <c r="G442" s="372"/>
      <c r="H442" s="372"/>
      <c r="I442" s="372"/>
      <c r="J442" s="372"/>
      <c r="K442" s="369"/>
      <c r="L442" s="369"/>
      <c r="M442" s="373"/>
      <c r="N442" s="369"/>
      <c r="O442" s="369"/>
      <c r="P442" s="374"/>
      <c r="Q442" s="372"/>
      <c r="R442" s="372"/>
      <c r="S442" s="372"/>
      <c r="T442" s="372"/>
      <c r="U442" s="372"/>
      <c r="V442" s="372"/>
      <c r="W442" s="372"/>
      <c r="X442" s="372"/>
      <c r="Y442" s="372"/>
      <c r="Z442" s="372"/>
      <c r="AA442" s="372"/>
      <c r="AB442" s="372"/>
      <c r="AC442" s="372"/>
      <c r="AD442" s="372"/>
      <c r="AE442" s="372"/>
      <c r="AF442" s="372"/>
      <c r="AG442" s="372"/>
      <c r="AH442" s="372"/>
      <c r="AI442" s="372"/>
      <c r="AJ442" s="372"/>
      <c r="AK442" s="372"/>
      <c r="AL442" s="372"/>
      <c r="AM442" s="372"/>
    </row>
    <row r="443">
      <c r="A443" s="369"/>
      <c r="B443" s="369"/>
      <c r="C443" s="405"/>
      <c r="D443" s="369"/>
      <c r="E443" s="369"/>
      <c r="F443" s="372"/>
      <c r="G443" s="372"/>
      <c r="H443" s="372"/>
      <c r="I443" s="372"/>
      <c r="J443" s="372"/>
      <c r="K443" s="369"/>
      <c r="L443" s="369"/>
      <c r="M443" s="373"/>
      <c r="N443" s="369"/>
      <c r="O443" s="369"/>
      <c r="P443" s="374"/>
      <c r="Q443" s="372"/>
      <c r="R443" s="372"/>
      <c r="S443" s="372"/>
      <c r="T443" s="372"/>
      <c r="U443" s="372"/>
      <c r="V443" s="372"/>
      <c r="W443" s="372"/>
      <c r="X443" s="372"/>
      <c r="Y443" s="372"/>
      <c r="Z443" s="372"/>
      <c r="AA443" s="372"/>
      <c r="AB443" s="372"/>
      <c r="AC443" s="372"/>
      <c r="AD443" s="372"/>
      <c r="AE443" s="372"/>
      <c r="AF443" s="372"/>
      <c r="AG443" s="372"/>
      <c r="AH443" s="372"/>
      <c r="AI443" s="372"/>
      <c r="AJ443" s="372"/>
      <c r="AK443" s="372"/>
      <c r="AL443" s="372"/>
      <c r="AM443" s="372"/>
    </row>
    <row r="444">
      <c r="A444" s="369"/>
      <c r="B444" s="369"/>
      <c r="C444" s="405"/>
      <c r="D444" s="369"/>
      <c r="E444" s="369"/>
      <c r="F444" s="372"/>
      <c r="G444" s="372"/>
      <c r="H444" s="372"/>
      <c r="I444" s="372"/>
      <c r="J444" s="372"/>
      <c r="K444" s="369"/>
      <c r="L444" s="369"/>
      <c r="M444" s="373"/>
      <c r="N444" s="369"/>
      <c r="O444" s="369"/>
      <c r="P444" s="374"/>
      <c r="Q444" s="372"/>
      <c r="R444" s="372"/>
      <c r="S444" s="372"/>
      <c r="T444" s="372"/>
      <c r="U444" s="372"/>
      <c r="V444" s="372"/>
      <c r="W444" s="372"/>
      <c r="X444" s="372"/>
      <c r="Y444" s="372"/>
      <c r="Z444" s="372"/>
      <c r="AA444" s="372"/>
      <c r="AB444" s="372"/>
      <c r="AC444" s="372"/>
      <c r="AD444" s="372"/>
      <c r="AE444" s="372"/>
      <c r="AF444" s="372"/>
      <c r="AG444" s="372"/>
      <c r="AH444" s="372"/>
      <c r="AI444" s="372"/>
      <c r="AJ444" s="372"/>
      <c r="AK444" s="372"/>
      <c r="AL444" s="372"/>
      <c r="AM444" s="372"/>
    </row>
    <row r="445">
      <c r="A445" s="369"/>
      <c r="B445" s="369"/>
      <c r="C445" s="405"/>
      <c r="D445" s="369"/>
      <c r="E445" s="369"/>
      <c r="F445" s="372"/>
      <c r="G445" s="372"/>
      <c r="H445" s="372"/>
      <c r="I445" s="372"/>
      <c r="J445" s="372"/>
      <c r="K445" s="369"/>
      <c r="L445" s="369"/>
      <c r="M445" s="373"/>
      <c r="N445" s="369"/>
      <c r="O445" s="369"/>
      <c r="P445" s="374"/>
      <c r="Q445" s="372"/>
      <c r="R445" s="372"/>
      <c r="S445" s="372"/>
      <c r="T445" s="372"/>
      <c r="U445" s="372"/>
      <c r="V445" s="372"/>
      <c r="W445" s="372"/>
      <c r="X445" s="372"/>
      <c r="Y445" s="372"/>
      <c r="Z445" s="372"/>
      <c r="AA445" s="372"/>
      <c r="AB445" s="372"/>
      <c r="AC445" s="372"/>
      <c r="AD445" s="372"/>
      <c r="AE445" s="372"/>
      <c r="AF445" s="372"/>
      <c r="AG445" s="372"/>
      <c r="AH445" s="372"/>
      <c r="AI445" s="372"/>
      <c r="AJ445" s="372"/>
      <c r="AK445" s="372"/>
      <c r="AL445" s="372"/>
      <c r="AM445" s="372"/>
    </row>
    <row r="446">
      <c r="A446" s="369"/>
      <c r="B446" s="369"/>
      <c r="C446" s="405"/>
      <c r="D446" s="369"/>
      <c r="E446" s="369"/>
      <c r="F446" s="372"/>
      <c r="G446" s="372"/>
      <c r="H446" s="372"/>
      <c r="I446" s="372"/>
      <c r="J446" s="372"/>
      <c r="K446" s="369"/>
      <c r="L446" s="369"/>
      <c r="M446" s="373"/>
      <c r="N446" s="369"/>
      <c r="O446" s="369"/>
      <c r="P446" s="374"/>
      <c r="Q446" s="372"/>
      <c r="R446" s="372"/>
      <c r="S446" s="372"/>
      <c r="T446" s="372"/>
      <c r="U446" s="372"/>
      <c r="V446" s="372"/>
      <c r="W446" s="372"/>
      <c r="X446" s="372"/>
      <c r="Y446" s="372"/>
      <c r="Z446" s="372"/>
      <c r="AA446" s="372"/>
      <c r="AB446" s="372"/>
      <c r="AC446" s="372"/>
      <c r="AD446" s="372"/>
      <c r="AE446" s="372"/>
      <c r="AF446" s="372"/>
      <c r="AG446" s="372"/>
      <c r="AH446" s="372"/>
      <c r="AI446" s="372"/>
      <c r="AJ446" s="372"/>
      <c r="AK446" s="372"/>
      <c r="AL446" s="372"/>
      <c r="AM446" s="372"/>
    </row>
    <row r="447">
      <c r="A447" s="369"/>
      <c r="B447" s="369"/>
      <c r="C447" s="405"/>
      <c r="D447" s="369"/>
      <c r="E447" s="369"/>
      <c r="F447" s="372"/>
      <c r="G447" s="372"/>
      <c r="H447" s="372"/>
      <c r="I447" s="372"/>
      <c r="J447" s="372"/>
      <c r="K447" s="369"/>
      <c r="L447" s="369"/>
      <c r="M447" s="373"/>
      <c r="N447" s="369"/>
      <c r="O447" s="369"/>
      <c r="P447" s="374"/>
      <c r="Q447" s="372"/>
      <c r="R447" s="372"/>
      <c r="S447" s="372"/>
      <c r="T447" s="372"/>
      <c r="U447" s="372"/>
      <c r="V447" s="372"/>
      <c r="W447" s="372"/>
      <c r="X447" s="372"/>
      <c r="Y447" s="372"/>
      <c r="Z447" s="372"/>
      <c r="AA447" s="372"/>
      <c r="AB447" s="372"/>
      <c r="AC447" s="372"/>
      <c r="AD447" s="372"/>
      <c r="AE447" s="372"/>
      <c r="AF447" s="372"/>
      <c r="AG447" s="372"/>
      <c r="AH447" s="372"/>
      <c r="AI447" s="372"/>
      <c r="AJ447" s="372"/>
      <c r="AK447" s="372"/>
      <c r="AL447" s="372"/>
      <c r="AM447" s="372"/>
    </row>
    <row r="448">
      <c r="A448" s="369"/>
      <c r="B448" s="369"/>
      <c r="C448" s="405"/>
      <c r="D448" s="369"/>
      <c r="E448" s="369"/>
      <c r="F448" s="372"/>
      <c r="G448" s="372"/>
      <c r="H448" s="372"/>
      <c r="I448" s="372"/>
      <c r="J448" s="372"/>
      <c r="K448" s="369"/>
      <c r="L448" s="369"/>
      <c r="M448" s="373"/>
      <c r="N448" s="369"/>
      <c r="O448" s="369"/>
      <c r="P448" s="374"/>
      <c r="Q448" s="372"/>
      <c r="R448" s="372"/>
      <c r="S448" s="372"/>
      <c r="T448" s="372"/>
      <c r="U448" s="372"/>
      <c r="V448" s="372"/>
      <c r="W448" s="372"/>
      <c r="X448" s="372"/>
      <c r="Y448" s="372"/>
      <c r="Z448" s="372"/>
      <c r="AA448" s="372"/>
      <c r="AB448" s="372"/>
      <c r="AC448" s="372"/>
      <c r="AD448" s="372"/>
      <c r="AE448" s="372"/>
      <c r="AF448" s="372"/>
      <c r="AG448" s="372"/>
      <c r="AH448" s="372"/>
      <c r="AI448" s="372"/>
      <c r="AJ448" s="372"/>
      <c r="AK448" s="372"/>
      <c r="AL448" s="372"/>
      <c r="AM448" s="372"/>
    </row>
    <row r="449">
      <c r="A449" s="369"/>
      <c r="B449" s="369"/>
      <c r="C449" s="405"/>
      <c r="D449" s="369"/>
      <c r="E449" s="369"/>
      <c r="F449" s="372"/>
      <c r="G449" s="372"/>
      <c r="H449" s="372"/>
      <c r="I449" s="372"/>
      <c r="J449" s="372"/>
      <c r="K449" s="369"/>
      <c r="L449" s="369"/>
      <c r="M449" s="373"/>
      <c r="N449" s="369"/>
      <c r="O449" s="369"/>
      <c r="P449" s="374"/>
      <c r="Q449" s="372"/>
      <c r="R449" s="372"/>
      <c r="S449" s="372"/>
      <c r="T449" s="372"/>
      <c r="U449" s="372"/>
      <c r="V449" s="372"/>
      <c r="W449" s="372"/>
      <c r="X449" s="372"/>
      <c r="Y449" s="372"/>
      <c r="Z449" s="372"/>
      <c r="AA449" s="372"/>
      <c r="AB449" s="372"/>
      <c r="AC449" s="372"/>
      <c r="AD449" s="372"/>
      <c r="AE449" s="372"/>
      <c r="AF449" s="372"/>
      <c r="AG449" s="372"/>
      <c r="AH449" s="372"/>
      <c r="AI449" s="372"/>
      <c r="AJ449" s="372"/>
      <c r="AK449" s="372"/>
      <c r="AL449" s="372"/>
      <c r="AM449" s="372"/>
    </row>
    <row r="450">
      <c r="A450" s="369"/>
      <c r="B450" s="369"/>
      <c r="C450" s="405"/>
      <c r="D450" s="369"/>
      <c r="E450" s="369"/>
      <c r="F450" s="372"/>
      <c r="G450" s="372"/>
      <c r="H450" s="372"/>
      <c r="I450" s="372"/>
      <c r="J450" s="372"/>
      <c r="K450" s="369"/>
      <c r="L450" s="369"/>
      <c r="M450" s="373"/>
      <c r="N450" s="369"/>
      <c r="O450" s="369"/>
      <c r="P450" s="374"/>
      <c r="Q450" s="372"/>
      <c r="R450" s="372"/>
      <c r="S450" s="372"/>
      <c r="T450" s="372"/>
      <c r="U450" s="372"/>
      <c r="V450" s="372"/>
      <c r="W450" s="372"/>
      <c r="X450" s="372"/>
      <c r="Y450" s="372"/>
      <c r="Z450" s="372"/>
      <c r="AA450" s="372"/>
      <c r="AB450" s="372"/>
      <c r="AC450" s="372"/>
      <c r="AD450" s="372"/>
      <c r="AE450" s="372"/>
      <c r="AF450" s="372"/>
      <c r="AG450" s="372"/>
      <c r="AH450" s="372"/>
      <c r="AI450" s="372"/>
      <c r="AJ450" s="372"/>
      <c r="AK450" s="372"/>
      <c r="AL450" s="372"/>
      <c r="AM450" s="372"/>
    </row>
    <row r="451">
      <c r="A451" s="369"/>
      <c r="B451" s="369"/>
      <c r="C451" s="405"/>
      <c r="D451" s="369"/>
      <c r="E451" s="369"/>
      <c r="F451" s="372"/>
      <c r="G451" s="372"/>
      <c r="H451" s="372"/>
      <c r="I451" s="372"/>
      <c r="J451" s="372"/>
      <c r="K451" s="369"/>
      <c r="L451" s="369"/>
      <c r="M451" s="373"/>
      <c r="N451" s="369"/>
      <c r="O451" s="369"/>
      <c r="P451" s="374"/>
      <c r="Q451" s="372"/>
      <c r="R451" s="372"/>
      <c r="S451" s="372"/>
      <c r="T451" s="372"/>
      <c r="U451" s="372"/>
      <c r="V451" s="372"/>
      <c r="W451" s="372"/>
      <c r="X451" s="372"/>
      <c r="Y451" s="372"/>
      <c r="Z451" s="372"/>
      <c r="AA451" s="372"/>
      <c r="AB451" s="372"/>
      <c r="AC451" s="372"/>
      <c r="AD451" s="372"/>
      <c r="AE451" s="372"/>
      <c r="AF451" s="372"/>
      <c r="AG451" s="372"/>
      <c r="AH451" s="372"/>
      <c r="AI451" s="372"/>
      <c r="AJ451" s="372"/>
      <c r="AK451" s="372"/>
      <c r="AL451" s="372"/>
      <c r="AM451" s="372"/>
    </row>
    <row r="452">
      <c r="A452" s="369"/>
      <c r="B452" s="369"/>
      <c r="C452" s="405"/>
      <c r="D452" s="369"/>
      <c r="E452" s="369"/>
      <c r="F452" s="372"/>
      <c r="G452" s="372"/>
      <c r="H452" s="372"/>
      <c r="I452" s="372"/>
      <c r="J452" s="372"/>
      <c r="K452" s="369"/>
      <c r="L452" s="369"/>
      <c r="M452" s="373"/>
      <c r="N452" s="369"/>
      <c r="O452" s="369"/>
      <c r="P452" s="374"/>
      <c r="Q452" s="372"/>
      <c r="R452" s="372"/>
      <c r="S452" s="372"/>
      <c r="T452" s="372"/>
      <c r="U452" s="372"/>
      <c r="V452" s="372"/>
      <c r="W452" s="372"/>
      <c r="X452" s="372"/>
      <c r="Y452" s="372"/>
      <c r="Z452" s="372"/>
      <c r="AA452" s="372"/>
      <c r="AB452" s="372"/>
      <c r="AC452" s="372"/>
      <c r="AD452" s="372"/>
      <c r="AE452" s="372"/>
      <c r="AF452" s="372"/>
      <c r="AG452" s="372"/>
      <c r="AH452" s="372"/>
      <c r="AI452" s="372"/>
      <c r="AJ452" s="372"/>
      <c r="AK452" s="372"/>
      <c r="AL452" s="372"/>
      <c r="AM452" s="372"/>
    </row>
    <row r="453">
      <c r="A453" s="369"/>
      <c r="B453" s="369"/>
      <c r="C453" s="405"/>
      <c r="D453" s="369"/>
      <c r="E453" s="369"/>
      <c r="F453" s="372"/>
      <c r="G453" s="372"/>
      <c r="H453" s="372"/>
      <c r="I453" s="372"/>
      <c r="J453" s="372"/>
      <c r="K453" s="369"/>
      <c r="L453" s="369"/>
      <c r="M453" s="373"/>
      <c r="N453" s="369"/>
      <c r="O453" s="369"/>
      <c r="P453" s="374"/>
      <c r="Q453" s="372"/>
      <c r="R453" s="372"/>
      <c r="S453" s="372"/>
      <c r="T453" s="372"/>
      <c r="U453" s="372"/>
      <c r="V453" s="372"/>
      <c r="W453" s="372"/>
      <c r="X453" s="372"/>
      <c r="Y453" s="372"/>
      <c r="Z453" s="372"/>
      <c r="AA453" s="372"/>
      <c r="AB453" s="372"/>
      <c r="AC453" s="372"/>
      <c r="AD453" s="372"/>
      <c r="AE453" s="372"/>
      <c r="AF453" s="372"/>
      <c r="AG453" s="372"/>
      <c r="AH453" s="372"/>
      <c r="AI453" s="372"/>
      <c r="AJ453" s="372"/>
      <c r="AK453" s="372"/>
      <c r="AL453" s="372"/>
      <c r="AM453" s="372"/>
    </row>
    <row r="454">
      <c r="A454" s="369"/>
      <c r="B454" s="369"/>
      <c r="C454" s="405"/>
      <c r="D454" s="369"/>
      <c r="E454" s="369"/>
      <c r="F454" s="372"/>
      <c r="G454" s="372"/>
      <c r="H454" s="372"/>
      <c r="I454" s="372"/>
      <c r="J454" s="372"/>
      <c r="K454" s="369"/>
      <c r="L454" s="369"/>
      <c r="M454" s="373"/>
      <c r="N454" s="369"/>
      <c r="O454" s="369"/>
      <c r="P454" s="374"/>
      <c r="Q454" s="372"/>
      <c r="R454" s="372"/>
      <c r="S454" s="372"/>
      <c r="T454" s="372"/>
      <c r="U454" s="372"/>
      <c r="V454" s="372"/>
      <c r="W454" s="372"/>
      <c r="X454" s="372"/>
      <c r="Y454" s="372"/>
      <c r="Z454" s="372"/>
      <c r="AA454" s="372"/>
      <c r="AB454" s="372"/>
      <c r="AC454" s="372"/>
      <c r="AD454" s="372"/>
      <c r="AE454" s="372"/>
      <c r="AF454" s="372"/>
      <c r="AG454" s="372"/>
      <c r="AH454" s="372"/>
      <c r="AI454" s="372"/>
      <c r="AJ454" s="372"/>
      <c r="AK454" s="372"/>
      <c r="AL454" s="372"/>
      <c r="AM454" s="372"/>
    </row>
    <row r="455">
      <c r="A455" s="369"/>
      <c r="B455" s="369"/>
      <c r="C455" s="405"/>
      <c r="D455" s="369"/>
      <c r="E455" s="369"/>
      <c r="F455" s="372"/>
      <c r="G455" s="372"/>
      <c r="H455" s="372"/>
      <c r="I455" s="372"/>
      <c r="J455" s="372"/>
      <c r="K455" s="369"/>
      <c r="L455" s="369"/>
      <c r="M455" s="373"/>
      <c r="N455" s="369"/>
      <c r="O455" s="369"/>
      <c r="P455" s="374"/>
      <c r="Q455" s="372"/>
      <c r="R455" s="372"/>
      <c r="S455" s="372"/>
      <c r="T455" s="372"/>
      <c r="U455" s="372"/>
      <c r="V455" s="372"/>
      <c r="W455" s="372"/>
      <c r="X455" s="372"/>
      <c r="Y455" s="372"/>
      <c r="Z455" s="372"/>
      <c r="AA455" s="372"/>
      <c r="AB455" s="372"/>
      <c r="AC455" s="372"/>
      <c r="AD455" s="372"/>
      <c r="AE455" s="372"/>
      <c r="AF455" s="372"/>
      <c r="AG455" s="372"/>
      <c r="AH455" s="372"/>
      <c r="AI455" s="372"/>
      <c r="AJ455" s="372"/>
      <c r="AK455" s="372"/>
      <c r="AL455" s="372"/>
      <c r="AM455" s="372"/>
    </row>
    <row r="456">
      <c r="A456" s="369"/>
      <c r="B456" s="369"/>
      <c r="C456" s="405"/>
      <c r="D456" s="369"/>
      <c r="E456" s="369"/>
      <c r="F456" s="372"/>
      <c r="G456" s="372"/>
      <c r="H456" s="372"/>
      <c r="I456" s="372"/>
      <c r="J456" s="372"/>
      <c r="K456" s="369"/>
      <c r="L456" s="369"/>
      <c r="M456" s="373"/>
      <c r="N456" s="369"/>
      <c r="O456" s="369"/>
      <c r="P456" s="374"/>
      <c r="Q456" s="372"/>
      <c r="R456" s="372"/>
      <c r="S456" s="372"/>
      <c r="T456" s="372"/>
      <c r="U456" s="372"/>
      <c r="V456" s="372"/>
      <c r="W456" s="372"/>
      <c r="X456" s="372"/>
      <c r="Y456" s="372"/>
      <c r="Z456" s="372"/>
      <c r="AA456" s="372"/>
      <c r="AB456" s="372"/>
      <c r="AC456" s="372"/>
      <c r="AD456" s="372"/>
      <c r="AE456" s="372"/>
      <c r="AF456" s="372"/>
      <c r="AG456" s="372"/>
      <c r="AH456" s="372"/>
      <c r="AI456" s="372"/>
      <c r="AJ456" s="372"/>
      <c r="AK456" s="372"/>
      <c r="AL456" s="372"/>
      <c r="AM456" s="372"/>
    </row>
    <row r="457">
      <c r="A457" s="369"/>
      <c r="B457" s="369"/>
      <c r="C457" s="405"/>
      <c r="D457" s="369"/>
      <c r="E457" s="369"/>
      <c r="F457" s="372"/>
      <c r="G457" s="372"/>
      <c r="H457" s="372"/>
      <c r="I457" s="372"/>
      <c r="J457" s="372"/>
      <c r="K457" s="369"/>
      <c r="L457" s="369"/>
      <c r="M457" s="373"/>
      <c r="N457" s="369"/>
      <c r="O457" s="369"/>
      <c r="P457" s="374"/>
      <c r="Q457" s="372"/>
      <c r="R457" s="372"/>
      <c r="S457" s="372"/>
      <c r="T457" s="372"/>
      <c r="U457" s="372"/>
      <c r="V457" s="372"/>
      <c r="W457" s="372"/>
      <c r="X457" s="372"/>
      <c r="Y457" s="372"/>
      <c r="Z457" s="372"/>
      <c r="AA457" s="372"/>
      <c r="AB457" s="372"/>
      <c r="AC457" s="372"/>
      <c r="AD457" s="372"/>
      <c r="AE457" s="372"/>
      <c r="AF457" s="372"/>
      <c r="AG457" s="372"/>
      <c r="AH457" s="372"/>
      <c r="AI457" s="372"/>
      <c r="AJ457" s="372"/>
      <c r="AK457" s="372"/>
      <c r="AL457" s="372"/>
      <c r="AM457" s="372"/>
    </row>
    <row r="458">
      <c r="A458" s="369"/>
      <c r="B458" s="369"/>
      <c r="C458" s="405"/>
      <c r="D458" s="369"/>
      <c r="E458" s="369"/>
      <c r="F458" s="372"/>
      <c r="G458" s="372"/>
      <c r="H458" s="372"/>
      <c r="I458" s="372"/>
      <c r="J458" s="372"/>
      <c r="K458" s="369"/>
      <c r="L458" s="369"/>
      <c r="M458" s="373"/>
      <c r="N458" s="369"/>
      <c r="O458" s="369"/>
      <c r="P458" s="374"/>
      <c r="Q458" s="372"/>
      <c r="R458" s="372"/>
      <c r="S458" s="372"/>
      <c r="T458" s="372"/>
      <c r="U458" s="372"/>
      <c r="V458" s="372"/>
      <c r="W458" s="372"/>
      <c r="X458" s="372"/>
      <c r="Y458" s="372"/>
      <c r="Z458" s="372"/>
      <c r="AA458" s="372"/>
      <c r="AB458" s="372"/>
      <c r="AC458" s="372"/>
      <c r="AD458" s="372"/>
      <c r="AE458" s="372"/>
      <c r="AF458" s="372"/>
      <c r="AG458" s="372"/>
      <c r="AH458" s="372"/>
      <c r="AI458" s="372"/>
      <c r="AJ458" s="372"/>
      <c r="AK458" s="372"/>
      <c r="AL458" s="372"/>
      <c r="AM458" s="372"/>
    </row>
    <row r="459">
      <c r="A459" s="369"/>
      <c r="B459" s="369"/>
      <c r="C459" s="405"/>
      <c r="D459" s="369"/>
      <c r="E459" s="369"/>
      <c r="F459" s="372"/>
      <c r="G459" s="372"/>
      <c r="H459" s="372"/>
      <c r="I459" s="372"/>
      <c r="J459" s="372"/>
      <c r="K459" s="369"/>
      <c r="L459" s="369"/>
      <c r="M459" s="373"/>
      <c r="N459" s="369"/>
      <c r="O459" s="369"/>
      <c r="P459" s="374"/>
      <c r="Q459" s="372"/>
      <c r="R459" s="372"/>
      <c r="S459" s="372"/>
      <c r="T459" s="372"/>
      <c r="U459" s="372"/>
      <c r="V459" s="372"/>
      <c r="W459" s="372"/>
      <c r="X459" s="372"/>
      <c r="Y459" s="372"/>
      <c r="Z459" s="372"/>
      <c r="AA459" s="372"/>
      <c r="AB459" s="372"/>
      <c r="AC459" s="372"/>
      <c r="AD459" s="372"/>
      <c r="AE459" s="372"/>
      <c r="AF459" s="372"/>
      <c r="AG459" s="372"/>
      <c r="AH459" s="372"/>
      <c r="AI459" s="372"/>
      <c r="AJ459" s="372"/>
      <c r="AK459" s="372"/>
      <c r="AL459" s="372"/>
      <c r="AM459" s="372"/>
    </row>
    <row r="460">
      <c r="A460" s="369"/>
      <c r="B460" s="369"/>
      <c r="C460" s="405"/>
      <c r="D460" s="369"/>
      <c r="E460" s="369"/>
      <c r="F460" s="372"/>
      <c r="G460" s="372"/>
      <c r="H460" s="372"/>
      <c r="I460" s="372"/>
      <c r="J460" s="372"/>
      <c r="K460" s="369"/>
      <c r="L460" s="369"/>
      <c r="M460" s="373"/>
      <c r="N460" s="369"/>
      <c r="O460" s="369"/>
      <c r="P460" s="374"/>
      <c r="Q460" s="372"/>
      <c r="R460" s="372"/>
      <c r="S460" s="372"/>
      <c r="T460" s="372"/>
      <c r="U460" s="372"/>
      <c r="V460" s="372"/>
      <c r="W460" s="372"/>
      <c r="X460" s="372"/>
      <c r="Y460" s="372"/>
      <c r="Z460" s="372"/>
      <c r="AA460" s="372"/>
      <c r="AB460" s="372"/>
      <c r="AC460" s="372"/>
      <c r="AD460" s="372"/>
      <c r="AE460" s="372"/>
      <c r="AF460" s="372"/>
      <c r="AG460" s="372"/>
      <c r="AH460" s="372"/>
      <c r="AI460" s="372"/>
      <c r="AJ460" s="372"/>
      <c r="AK460" s="372"/>
      <c r="AL460" s="372"/>
      <c r="AM460" s="372"/>
    </row>
    <row r="461">
      <c r="A461" s="369"/>
      <c r="B461" s="369"/>
      <c r="C461" s="405"/>
      <c r="D461" s="369"/>
      <c r="E461" s="369"/>
      <c r="F461" s="372"/>
      <c r="G461" s="372"/>
      <c r="H461" s="372"/>
      <c r="I461" s="372"/>
      <c r="J461" s="372"/>
      <c r="K461" s="369"/>
      <c r="L461" s="369"/>
      <c r="M461" s="373"/>
      <c r="N461" s="369"/>
      <c r="O461" s="369"/>
      <c r="P461" s="374"/>
      <c r="Q461" s="372"/>
      <c r="R461" s="372"/>
      <c r="S461" s="372"/>
      <c r="T461" s="372"/>
      <c r="U461" s="372"/>
      <c r="V461" s="372"/>
      <c r="W461" s="372"/>
      <c r="X461" s="372"/>
      <c r="Y461" s="372"/>
      <c r="Z461" s="372"/>
      <c r="AA461" s="372"/>
      <c r="AB461" s="372"/>
      <c r="AC461" s="372"/>
      <c r="AD461" s="372"/>
      <c r="AE461" s="372"/>
      <c r="AF461" s="372"/>
      <c r="AG461" s="372"/>
      <c r="AH461" s="372"/>
      <c r="AI461" s="372"/>
      <c r="AJ461" s="372"/>
      <c r="AK461" s="372"/>
      <c r="AL461" s="372"/>
      <c r="AM461" s="372"/>
    </row>
    <row r="462">
      <c r="A462" s="369"/>
      <c r="B462" s="369"/>
      <c r="C462" s="405"/>
      <c r="D462" s="369"/>
      <c r="E462" s="369"/>
      <c r="F462" s="372"/>
      <c r="G462" s="372"/>
      <c r="H462" s="372"/>
      <c r="I462" s="372"/>
      <c r="J462" s="372"/>
      <c r="K462" s="369"/>
      <c r="L462" s="369"/>
      <c r="M462" s="373"/>
      <c r="N462" s="369"/>
      <c r="O462" s="369"/>
      <c r="P462" s="374"/>
      <c r="Q462" s="372"/>
      <c r="R462" s="372"/>
      <c r="S462" s="372"/>
      <c r="T462" s="372"/>
      <c r="U462" s="372"/>
      <c r="V462" s="372"/>
      <c r="W462" s="372"/>
      <c r="X462" s="372"/>
      <c r="Y462" s="372"/>
      <c r="Z462" s="372"/>
      <c r="AA462" s="372"/>
      <c r="AB462" s="372"/>
      <c r="AC462" s="372"/>
      <c r="AD462" s="372"/>
      <c r="AE462" s="372"/>
      <c r="AF462" s="372"/>
      <c r="AG462" s="372"/>
      <c r="AH462" s="372"/>
      <c r="AI462" s="372"/>
      <c r="AJ462" s="372"/>
      <c r="AK462" s="372"/>
      <c r="AL462" s="372"/>
      <c r="AM462" s="372"/>
    </row>
    <row r="463">
      <c r="A463" s="369"/>
      <c r="B463" s="369"/>
      <c r="C463" s="405"/>
      <c r="D463" s="369"/>
      <c r="E463" s="369"/>
      <c r="F463" s="372"/>
      <c r="G463" s="372"/>
      <c r="H463" s="372"/>
      <c r="I463" s="372"/>
      <c r="J463" s="372"/>
      <c r="K463" s="369"/>
      <c r="L463" s="369"/>
      <c r="M463" s="373"/>
      <c r="N463" s="369"/>
      <c r="O463" s="369"/>
      <c r="P463" s="374"/>
      <c r="Q463" s="372"/>
      <c r="R463" s="372"/>
      <c r="S463" s="372"/>
      <c r="T463" s="372"/>
      <c r="U463" s="372"/>
      <c r="V463" s="372"/>
      <c r="W463" s="372"/>
      <c r="X463" s="372"/>
      <c r="Y463" s="372"/>
      <c r="Z463" s="372"/>
      <c r="AA463" s="372"/>
      <c r="AB463" s="372"/>
      <c r="AC463" s="372"/>
      <c r="AD463" s="372"/>
      <c r="AE463" s="372"/>
      <c r="AF463" s="372"/>
      <c r="AG463" s="372"/>
      <c r="AH463" s="372"/>
      <c r="AI463" s="372"/>
      <c r="AJ463" s="372"/>
      <c r="AK463" s="372"/>
      <c r="AL463" s="372"/>
      <c r="AM463" s="372"/>
    </row>
    <row r="464">
      <c r="A464" s="369"/>
      <c r="B464" s="369"/>
      <c r="C464" s="405"/>
      <c r="D464" s="369"/>
      <c r="E464" s="369"/>
      <c r="F464" s="372"/>
      <c r="G464" s="372"/>
      <c r="H464" s="372"/>
      <c r="I464" s="372"/>
      <c r="J464" s="372"/>
      <c r="K464" s="369"/>
      <c r="L464" s="369"/>
      <c r="M464" s="373"/>
      <c r="N464" s="369"/>
      <c r="O464" s="369"/>
      <c r="P464" s="374"/>
      <c r="Q464" s="372"/>
      <c r="R464" s="372"/>
      <c r="S464" s="372"/>
      <c r="T464" s="372"/>
      <c r="U464" s="372"/>
      <c r="V464" s="372"/>
      <c r="W464" s="372"/>
      <c r="X464" s="372"/>
      <c r="Y464" s="372"/>
      <c r="Z464" s="372"/>
      <c r="AA464" s="372"/>
      <c r="AB464" s="372"/>
      <c r="AC464" s="372"/>
      <c r="AD464" s="372"/>
      <c r="AE464" s="372"/>
      <c r="AF464" s="372"/>
      <c r="AG464" s="372"/>
      <c r="AH464" s="372"/>
      <c r="AI464" s="372"/>
      <c r="AJ464" s="372"/>
      <c r="AK464" s="372"/>
      <c r="AL464" s="372"/>
      <c r="AM464" s="372"/>
    </row>
    <row r="465">
      <c r="A465" s="369"/>
      <c r="B465" s="369"/>
      <c r="C465" s="405"/>
      <c r="D465" s="369"/>
      <c r="E465" s="369"/>
      <c r="F465" s="372"/>
      <c r="G465" s="372"/>
      <c r="H465" s="372"/>
      <c r="I465" s="372"/>
      <c r="J465" s="372"/>
      <c r="K465" s="369"/>
      <c r="L465" s="369"/>
      <c r="M465" s="373"/>
      <c r="N465" s="369"/>
      <c r="O465" s="369"/>
      <c r="P465" s="374"/>
      <c r="Q465" s="372"/>
      <c r="R465" s="372"/>
      <c r="S465" s="372"/>
      <c r="T465" s="372"/>
      <c r="U465" s="372"/>
      <c r="V465" s="372"/>
      <c r="W465" s="372"/>
      <c r="X465" s="372"/>
      <c r="Y465" s="372"/>
      <c r="Z465" s="372"/>
      <c r="AA465" s="372"/>
      <c r="AB465" s="372"/>
      <c r="AC465" s="372"/>
      <c r="AD465" s="372"/>
      <c r="AE465" s="372"/>
      <c r="AF465" s="372"/>
      <c r="AG465" s="372"/>
      <c r="AH465" s="372"/>
      <c r="AI465" s="372"/>
      <c r="AJ465" s="372"/>
      <c r="AK465" s="372"/>
      <c r="AL465" s="372"/>
      <c r="AM465" s="372"/>
    </row>
    <row r="466">
      <c r="A466" s="369"/>
      <c r="B466" s="369"/>
      <c r="C466" s="405"/>
      <c r="D466" s="369"/>
      <c r="E466" s="369"/>
      <c r="F466" s="372"/>
      <c r="G466" s="372"/>
      <c r="H466" s="372"/>
      <c r="I466" s="372"/>
      <c r="J466" s="372"/>
      <c r="K466" s="369"/>
      <c r="L466" s="369"/>
      <c r="M466" s="373"/>
      <c r="N466" s="369"/>
      <c r="O466" s="369"/>
      <c r="P466" s="374"/>
      <c r="Q466" s="372"/>
      <c r="R466" s="372"/>
      <c r="S466" s="372"/>
      <c r="T466" s="372"/>
      <c r="U466" s="372"/>
      <c r="V466" s="372"/>
      <c r="W466" s="372"/>
      <c r="X466" s="372"/>
      <c r="Y466" s="372"/>
      <c r="Z466" s="372"/>
      <c r="AA466" s="372"/>
      <c r="AB466" s="372"/>
      <c r="AC466" s="372"/>
      <c r="AD466" s="372"/>
      <c r="AE466" s="372"/>
      <c r="AF466" s="372"/>
      <c r="AG466" s="372"/>
      <c r="AH466" s="372"/>
      <c r="AI466" s="372"/>
      <c r="AJ466" s="372"/>
      <c r="AK466" s="372"/>
      <c r="AL466" s="372"/>
      <c r="AM466" s="372"/>
    </row>
    <row r="467">
      <c r="A467" s="369"/>
      <c r="B467" s="369"/>
      <c r="C467" s="405"/>
      <c r="D467" s="369"/>
      <c r="E467" s="369"/>
      <c r="F467" s="372"/>
      <c r="G467" s="372"/>
      <c r="H467" s="372"/>
      <c r="I467" s="372"/>
      <c r="J467" s="372"/>
      <c r="K467" s="369"/>
      <c r="L467" s="369"/>
      <c r="M467" s="373"/>
      <c r="N467" s="369"/>
      <c r="O467" s="369"/>
      <c r="P467" s="374"/>
      <c r="Q467" s="372"/>
      <c r="R467" s="372"/>
      <c r="S467" s="372"/>
      <c r="T467" s="372"/>
      <c r="U467" s="372"/>
      <c r="V467" s="372"/>
      <c r="W467" s="372"/>
      <c r="X467" s="372"/>
      <c r="Y467" s="372"/>
      <c r="Z467" s="372"/>
      <c r="AA467" s="372"/>
      <c r="AB467" s="372"/>
      <c r="AC467" s="372"/>
      <c r="AD467" s="372"/>
      <c r="AE467" s="372"/>
      <c r="AF467" s="372"/>
      <c r="AG467" s="372"/>
      <c r="AH467" s="372"/>
      <c r="AI467" s="372"/>
      <c r="AJ467" s="372"/>
      <c r="AK467" s="372"/>
      <c r="AL467" s="372"/>
      <c r="AM467" s="372"/>
    </row>
    <row r="468">
      <c r="A468" s="369"/>
      <c r="B468" s="369"/>
      <c r="C468" s="405"/>
      <c r="D468" s="369"/>
      <c r="E468" s="369"/>
      <c r="F468" s="372"/>
      <c r="G468" s="372"/>
      <c r="H468" s="372"/>
      <c r="I468" s="372"/>
      <c r="J468" s="372"/>
      <c r="K468" s="369"/>
      <c r="L468" s="369"/>
      <c r="M468" s="373"/>
      <c r="N468" s="369"/>
      <c r="O468" s="369"/>
      <c r="P468" s="374"/>
      <c r="Q468" s="372"/>
      <c r="R468" s="372"/>
      <c r="S468" s="372"/>
      <c r="T468" s="372"/>
      <c r="U468" s="372"/>
      <c r="V468" s="372"/>
      <c r="W468" s="372"/>
      <c r="X468" s="372"/>
      <c r="Y468" s="372"/>
      <c r="Z468" s="372"/>
      <c r="AA468" s="372"/>
      <c r="AB468" s="372"/>
      <c r="AC468" s="372"/>
      <c r="AD468" s="372"/>
      <c r="AE468" s="372"/>
      <c r="AF468" s="372"/>
      <c r="AG468" s="372"/>
      <c r="AH468" s="372"/>
      <c r="AI468" s="372"/>
      <c r="AJ468" s="372"/>
      <c r="AK468" s="372"/>
      <c r="AL468" s="372"/>
      <c r="AM468" s="372"/>
    </row>
    <row r="469">
      <c r="A469" s="369"/>
      <c r="B469" s="369"/>
      <c r="C469" s="405"/>
      <c r="D469" s="369"/>
      <c r="E469" s="369"/>
      <c r="F469" s="372"/>
      <c r="G469" s="372"/>
      <c r="H469" s="372"/>
      <c r="I469" s="372"/>
      <c r="J469" s="372"/>
      <c r="K469" s="369"/>
      <c r="L469" s="369"/>
      <c r="M469" s="373"/>
      <c r="N469" s="369"/>
      <c r="O469" s="369"/>
      <c r="P469" s="374"/>
      <c r="Q469" s="372"/>
      <c r="R469" s="372"/>
      <c r="S469" s="372"/>
      <c r="T469" s="372"/>
      <c r="U469" s="372"/>
      <c r="V469" s="372"/>
      <c r="W469" s="372"/>
      <c r="X469" s="372"/>
      <c r="Y469" s="372"/>
      <c r="Z469" s="372"/>
      <c r="AA469" s="372"/>
      <c r="AB469" s="372"/>
      <c r="AC469" s="372"/>
      <c r="AD469" s="372"/>
      <c r="AE469" s="372"/>
      <c r="AF469" s="372"/>
      <c r="AG469" s="372"/>
      <c r="AH469" s="372"/>
      <c r="AI469" s="372"/>
      <c r="AJ469" s="372"/>
      <c r="AK469" s="372"/>
      <c r="AL469" s="372"/>
      <c r="AM469" s="372"/>
    </row>
    <row r="470">
      <c r="A470" s="369"/>
      <c r="B470" s="369"/>
      <c r="C470" s="405"/>
      <c r="D470" s="369"/>
      <c r="E470" s="369"/>
      <c r="F470" s="372"/>
      <c r="G470" s="372"/>
      <c r="H470" s="372"/>
      <c r="I470" s="372"/>
      <c r="J470" s="372"/>
      <c r="K470" s="369"/>
      <c r="L470" s="369"/>
      <c r="M470" s="373"/>
      <c r="N470" s="369"/>
      <c r="O470" s="369"/>
      <c r="P470" s="374"/>
      <c r="Q470" s="372"/>
      <c r="R470" s="372"/>
      <c r="S470" s="372"/>
      <c r="T470" s="372"/>
      <c r="U470" s="372"/>
      <c r="V470" s="372"/>
      <c r="W470" s="372"/>
      <c r="X470" s="372"/>
      <c r="Y470" s="372"/>
      <c r="Z470" s="372"/>
      <c r="AA470" s="372"/>
      <c r="AB470" s="372"/>
      <c r="AC470" s="372"/>
      <c r="AD470" s="372"/>
      <c r="AE470" s="372"/>
      <c r="AF470" s="372"/>
      <c r="AG470" s="372"/>
      <c r="AH470" s="372"/>
      <c r="AI470" s="372"/>
      <c r="AJ470" s="372"/>
      <c r="AK470" s="372"/>
      <c r="AL470" s="372"/>
      <c r="AM470" s="372"/>
    </row>
    <row r="471">
      <c r="A471" s="369"/>
      <c r="B471" s="369"/>
      <c r="C471" s="405"/>
      <c r="D471" s="369"/>
      <c r="E471" s="369"/>
      <c r="F471" s="372"/>
      <c r="G471" s="372"/>
      <c r="H471" s="372"/>
      <c r="I471" s="372"/>
      <c r="J471" s="372"/>
      <c r="K471" s="369"/>
      <c r="L471" s="369"/>
      <c r="M471" s="373"/>
      <c r="N471" s="369"/>
      <c r="O471" s="369"/>
      <c r="P471" s="374"/>
      <c r="Q471" s="372"/>
      <c r="R471" s="372"/>
      <c r="S471" s="372"/>
      <c r="T471" s="372"/>
      <c r="U471" s="372"/>
      <c r="V471" s="372"/>
      <c r="W471" s="372"/>
      <c r="X471" s="372"/>
      <c r="Y471" s="372"/>
      <c r="Z471" s="372"/>
      <c r="AA471" s="372"/>
      <c r="AB471" s="372"/>
      <c r="AC471" s="372"/>
      <c r="AD471" s="372"/>
      <c r="AE471" s="372"/>
      <c r="AF471" s="372"/>
      <c r="AG471" s="372"/>
      <c r="AH471" s="372"/>
      <c r="AI471" s="372"/>
      <c r="AJ471" s="372"/>
      <c r="AK471" s="372"/>
      <c r="AL471" s="372"/>
      <c r="AM471" s="372"/>
    </row>
    <row r="472">
      <c r="A472" s="369"/>
      <c r="B472" s="369"/>
      <c r="C472" s="405"/>
      <c r="D472" s="369"/>
      <c r="E472" s="369"/>
      <c r="F472" s="372"/>
      <c r="G472" s="372"/>
      <c r="H472" s="372"/>
      <c r="I472" s="372"/>
      <c r="J472" s="372"/>
      <c r="K472" s="369"/>
      <c r="L472" s="369"/>
      <c r="M472" s="373"/>
      <c r="N472" s="369"/>
      <c r="O472" s="369"/>
      <c r="P472" s="374"/>
      <c r="Q472" s="372"/>
      <c r="R472" s="372"/>
      <c r="S472" s="372"/>
      <c r="T472" s="372"/>
      <c r="U472" s="372"/>
      <c r="V472" s="372"/>
      <c r="W472" s="372"/>
      <c r="X472" s="372"/>
      <c r="Y472" s="372"/>
      <c r="Z472" s="372"/>
      <c r="AA472" s="372"/>
      <c r="AB472" s="372"/>
      <c r="AC472" s="372"/>
      <c r="AD472" s="372"/>
      <c r="AE472" s="372"/>
      <c r="AF472" s="372"/>
      <c r="AG472" s="372"/>
      <c r="AH472" s="372"/>
      <c r="AI472" s="372"/>
      <c r="AJ472" s="372"/>
      <c r="AK472" s="372"/>
      <c r="AL472" s="372"/>
      <c r="AM472" s="372"/>
    </row>
    <row r="473">
      <c r="A473" s="369"/>
      <c r="B473" s="369"/>
      <c r="C473" s="405"/>
      <c r="D473" s="369"/>
      <c r="E473" s="369"/>
      <c r="F473" s="372"/>
      <c r="G473" s="372"/>
      <c r="H473" s="372"/>
      <c r="I473" s="372"/>
      <c r="J473" s="372"/>
      <c r="K473" s="369"/>
      <c r="L473" s="369"/>
      <c r="M473" s="373"/>
      <c r="N473" s="369"/>
      <c r="O473" s="369"/>
      <c r="P473" s="374"/>
      <c r="Q473" s="372"/>
      <c r="R473" s="372"/>
      <c r="S473" s="372"/>
      <c r="T473" s="372"/>
      <c r="U473" s="372"/>
      <c r="V473" s="372"/>
      <c r="W473" s="372"/>
      <c r="X473" s="372"/>
      <c r="Y473" s="372"/>
      <c r="Z473" s="372"/>
      <c r="AA473" s="372"/>
      <c r="AB473" s="372"/>
      <c r="AC473" s="372"/>
      <c r="AD473" s="372"/>
      <c r="AE473" s="372"/>
      <c r="AF473" s="372"/>
      <c r="AG473" s="372"/>
      <c r="AH473" s="372"/>
      <c r="AI473" s="372"/>
      <c r="AJ473" s="372"/>
      <c r="AK473" s="372"/>
      <c r="AL473" s="372"/>
      <c r="AM473" s="372"/>
    </row>
    <row r="474">
      <c r="A474" s="369"/>
      <c r="B474" s="369"/>
      <c r="C474" s="405"/>
      <c r="D474" s="369"/>
      <c r="E474" s="369"/>
      <c r="F474" s="372"/>
      <c r="G474" s="372"/>
      <c r="H474" s="372"/>
      <c r="I474" s="372"/>
      <c r="J474" s="372"/>
      <c r="K474" s="369"/>
      <c r="L474" s="369"/>
      <c r="M474" s="373"/>
      <c r="N474" s="369"/>
      <c r="O474" s="369"/>
      <c r="P474" s="374"/>
      <c r="Q474" s="372"/>
      <c r="R474" s="372"/>
      <c r="S474" s="372"/>
      <c r="T474" s="372"/>
      <c r="U474" s="372"/>
      <c r="V474" s="372"/>
      <c r="W474" s="372"/>
      <c r="X474" s="372"/>
      <c r="Y474" s="372"/>
      <c r="Z474" s="372"/>
      <c r="AA474" s="372"/>
      <c r="AB474" s="372"/>
      <c r="AC474" s="372"/>
      <c r="AD474" s="372"/>
      <c r="AE474" s="372"/>
      <c r="AF474" s="372"/>
      <c r="AG474" s="372"/>
      <c r="AH474" s="372"/>
      <c r="AI474" s="372"/>
      <c r="AJ474" s="372"/>
      <c r="AK474" s="372"/>
      <c r="AL474" s="372"/>
      <c r="AM474" s="372"/>
    </row>
    <row r="475">
      <c r="A475" s="369"/>
      <c r="B475" s="369"/>
      <c r="C475" s="405"/>
      <c r="D475" s="369"/>
      <c r="E475" s="369"/>
      <c r="F475" s="372"/>
      <c r="G475" s="372"/>
      <c r="H475" s="372"/>
      <c r="I475" s="372"/>
      <c r="J475" s="372"/>
      <c r="K475" s="369"/>
      <c r="L475" s="369"/>
      <c r="M475" s="373"/>
      <c r="N475" s="369"/>
      <c r="O475" s="369"/>
      <c r="P475" s="374"/>
      <c r="Q475" s="372"/>
      <c r="R475" s="372"/>
      <c r="S475" s="372"/>
      <c r="T475" s="372"/>
      <c r="U475" s="372"/>
      <c r="V475" s="372"/>
      <c r="W475" s="372"/>
      <c r="X475" s="372"/>
      <c r="Y475" s="372"/>
      <c r="Z475" s="372"/>
      <c r="AA475" s="372"/>
      <c r="AB475" s="372"/>
      <c r="AC475" s="372"/>
      <c r="AD475" s="372"/>
      <c r="AE475" s="372"/>
      <c r="AF475" s="372"/>
      <c r="AG475" s="372"/>
      <c r="AH475" s="372"/>
      <c r="AI475" s="372"/>
      <c r="AJ475" s="372"/>
      <c r="AK475" s="372"/>
      <c r="AL475" s="372"/>
      <c r="AM475" s="372"/>
    </row>
    <row r="476">
      <c r="A476" s="369"/>
      <c r="B476" s="369"/>
      <c r="C476" s="405"/>
      <c r="D476" s="369"/>
      <c r="E476" s="369"/>
      <c r="F476" s="372"/>
      <c r="G476" s="372"/>
      <c r="H476" s="372"/>
      <c r="I476" s="372"/>
      <c r="J476" s="372"/>
      <c r="K476" s="369"/>
      <c r="L476" s="369"/>
      <c r="M476" s="373"/>
      <c r="N476" s="369"/>
      <c r="O476" s="369"/>
      <c r="P476" s="374"/>
      <c r="Q476" s="372"/>
      <c r="R476" s="372"/>
      <c r="S476" s="372"/>
      <c r="T476" s="372"/>
      <c r="U476" s="372"/>
      <c r="V476" s="372"/>
      <c r="W476" s="372"/>
      <c r="X476" s="372"/>
      <c r="Y476" s="372"/>
      <c r="Z476" s="372"/>
      <c r="AA476" s="372"/>
      <c r="AB476" s="372"/>
      <c r="AC476" s="372"/>
      <c r="AD476" s="372"/>
      <c r="AE476" s="372"/>
      <c r="AF476" s="372"/>
      <c r="AG476" s="372"/>
      <c r="AH476" s="372"/>
      <c r="AI476" s="372"/>
      <c r="AJ476" s="372"/>
      <c r="AK476" s="372"/>
      <c r="AL476" s="372"/>
      <c r="AM476" s="372"/>
    </row>
    <row r="477">
      <c r="A477" s="369"/>
      <c r="B477" s="369"/>
      <c r="C477" s="405"/>
      <c r="D477" s="369"/>
      <c r="E477" s="369"/>
      <c r="F477" s="372"/>
      <c r="G477" s="372"/>
      <c r="H477" s="372"/>
      <c r="I477" s="372"/>
      <c r="J477" s="372"/>
      <c r="K477" s="369"/>
      <c r="L477" s="369"/>
      <c r="M477" s="373"/>
      <c r="N477" s="369"/>
      <c r="O477" s="369"/>
      <c r="P477" s="374"/>
      <c r="Q477" s="372"/>
      <c r="R477" s="372"/>
      <c r="S477" s="372"/>
      <c r="T477" s="372"/>
      <c r="U477" s="372"/>
      <c r="V477" s="372"/>
      <c r="W477" s="372"/>
      <c r="X477" s="372"/>
      <c r="Y477" s="372"/>
      <c r="Z477" s="372"/>
      <c r="AA477" s="372"/>
      <c r="AB477" s="372"/>
      <c r="AC477" s="372"/>
      <c r="AD477" s="372"/>
      <c r="AE477" s="372"/>
      <c r="AF477" s="372"/>
      <c r="AG477" s="372"/>
      <c r="AH477" s="372"/>
      <c r="AI477" s="372"/>
      <c r="AJ477" s="372"/>
      <c r="AK477" s="372"/>
      <c r="AL477" s="372"/>
      <c r="AM477" s="372"/>
    </row>
    <row r="478">
      <c r="A478" s="369"/>
      <c r="B478" s="369"/>
      <c r="C478" s="405"/>
      <c r="D478" s="369"/>
      <c r="E478" s="369"/>
      <c r="F478" s="372"/>
      <c r="G478" s="372"/>
      <c r="H478" s="372"/>
      <c r="I478" s="372"/>
      <c r="J478" s="372"/>
      <c r="K478" s="369"/>
      <c r="L478" s="369"/>
      <c r="M478" s="373"/>
      <c r="N478" s="369"/>
      <c r="O478" s="369"/>
      <c r="P478" s="374"/>
      <c r="Q478" s="372"/>
      <c r="R478" s="372"/>
      <c r="S478" s="372"/>
      <c r="T478" s="372"/>
      <c r="U478" s="372"/>
      <c r="V478" s="372"/>
      <c r="W478" s="372"/>
      <c r="X478" s="372"/>
      <c r="Y478" s="372"/>
      <c r="Z478" s="372"/>
      <c r="AA478" s="372"/>
      <c r="AB478" s="372"/>
      <c r="AC478" s="372"/>
      <c r="AD478" s="372"/>
      <c r="AE478" s="372"/>
      <c r="AF478" s="372"/>
      <c r="AG478" s="372"/>
      <c r="AH478" s="372"/>
      <c r="AI478" s="372"/>
      <c r="AJ478" s="372"/>
      <c r="AK478" s="372"/>
      <c r="AL478" s="372"/>
      <c r="AM478" s="372"/>
    </row>
    <row r="479">
      <c r="A479" s="369"/>
      <c r="B479" s="369"/>
      <c r="C479" s="405"/>
      <c r="D479" s="369"/>
      <c r="E479" s="369"/>
      <c r="F479" s="372"/>
      <c r="G479" s="372"/>
      <c r="H479" s="372"/>
      <c r="I479" s="372"/>
      <c r="J479" s="372"/>
      <c r="K479" s="369"/>
      <c r="L479" s="369"/>
      <c r="M479" s="373"/>
      <c r="N479" s="369"/>
      <c r="O479" s="369"/>
      <c r="P479" s="374"/>
      <c r="Q479" s="372"/>
      <c r="R479" s="372"/>
      <c r="S479" s="372"/>
      <c r="T479" s="372"/>
      <c r="U479" s="372"/>
      <c r="V479" s="372"/>
      <c r="W479" s="372"/>
      <c r="X479" s="372"/>
      <c r="Y479" s="372"/>
      <c r="Z479" s="372"/>
      <c r="AA479" s="372"/>
      <c r="AB479" s="372"/>
      <c r="AC479" s="372"/>
      <c r="AD479" s="372"/>
      <c r="AE479" s="372"/>
      <c r="AF479" s="372"/>
      <c r="AG479" s="372"/>
      <c r="AH479" s="372"/>
      <c r="AI479" s="372"/>
      <c r="AJ479" s="372"/>
      <c r="AK479" s="372"/>
      <c r="AL479" s="372"/>
      <c r="AM479" s="372"/>
    </row>
    <row r="480">
      <c r="A480" s="369"/>
      <c r="B480" s="369"/>
      <c r="C480" s="405"/>
      <c r="D480" s="369"/>
      <c r="E480" s="369"/>
      <c r="F480" s="372"/>
      <c r="G480" s="372"/>
      <c r="H480" s="372"/>
      <c r="I480" s="372"/>
      <c r="J480" s="372"/>
      <c r="K480" s="369"/>
      <c r="L480" s="369"/>
      <c r="M480" s="373"/>
      <c r="N480" s="369"/>
      <c r="O480" s="369"/>
      <c r="P480" s="374"/>
      <c r="Q480" s="372"/>
      <c r="R480" s="372"/>
      <c r="S480" s="372"/>
      <c r="T480" s="372"/>
      <c r="U480" s="372"/>
      <c r="V480" s="372"/>
      <c r="W480" s="372"/>
      <c r="X480" s="372"/>
      <c r="Y480" s="372"/>
      <c r="Z480" s="372"/>
      <c r="AA480" s="372"/>
      <c r="AB480" s="372"/>
      <c r="AC480" s="372"/>
      <c r="AD480" s="372"/>
      <c r="AE480" s="372"/>
      <c r="AF480" s="372"/>
      <c r="AG480" s="372"/>
      <c r="AH480" s="372"/>
      <c r="AI480" s="372"/>
      <c r="AJ480" s="372"/>
      <c r="AK480" s="372"/>
      <c r="AL480" s="372"/>
      <c r="AM480" s="372"/>
    </row>
    <row r="481">
      <c r="A481" s="369"/>
      <c r="B481" s="369"/>
      <c r="C481" s="405"/>
      <c r="D481" s="369"/>
      <c r="E481" s="369"/>
      <c r="F481" s="372"/>
      <c r="G481" s="372"/>
      <c r="H481" s="372"/>
      <c r="I481" s="372"/>
      <c r="J481" s="372"/>
      <c r="K481" s="369"/>
      <c r="L481" s="369"/>
      <c r="M481" s="373"/>
      <c r="N481" s="369"/>
      <c r="O481" s="369"/>
      <c r="P481" s="374"/>
      <c r="Q481" s="372"/>
      <c r="R481" s="372"/>
      <c r="S481" s="372"/>
      <c r="T481" s="372"/>
      <c r="U481" s="372"/>
      <c r="V481" s="372"/>
      <c r="W481" s="372"/>
      <c r="X481" s="372"/>
      <c r="Y481" s="372"/>
      <c r="Z481" s="372"/>
      <c r="AA481" s="372"/>
      <c r="AB481" s="372"/>
      <c r="AC481" s="372"/>
      <c r="AD481" s="372"/>
      <c r="AE481" s="372"/>
      <c r="AF481" s="372"/>
      <c r="AG481" s="372"/>
      <c r="AH481" s="372"/>
      <c r="AI481" s="372"/>
      <c r="AJ481" s="372"/>
      <c r="AK481" s="372"/>
      <c r="AL481" s="372"/>
      <c r="AM481" s="372"/>
    </row>
    <row r="482">
      <c r="A482" s="369"/>
      <c r="B482" s="369"/>
      <c r="C482" s="405"/>
      <c r="D482" s="369"/>
      <c r="E482" s="369"/>
      <c r="F482" s="372"/>
      <c r="G482" s="372"/>
      <c r="H482" s="372"/>
      <c r="I482" s="372"/>
      <c r="J482" s="372"/>
      <c r="K482" s="369"/>
      <c r="L482" s="369"/>
      <c r="M482" s="373"/>
      <c r="N482" s="369"/>
      <c r="O482" s="369"/>
      <c r="P482" s="374"/>
      <c r="Q482" s="372"/>
      <c r="R482" s="372"/>
      <c r="S482" s="372"/>
      <c r="T482" s="372"/>
      <c r="U482" s="372"/>
      <c r="V482" s="372"/>
      <c r="W482" s="372"/>
      <c r="X482" s="372"/>
      <c r="Y482" s="372"/>
      <c r="Z482" s="372"/>
      <c r="AA482" s="372"/>
      <c r="AB482" s="372"/>
      <c r="AC482" s="372"/>
      <c r="AD482" s="372"/>
      <c r="AE482" s="372"/>
      <c r="AF482" s="372"/>
      <c r="AG482" s="372"/>
      <c r="AH482" s="372"/>
      <c r="AI482" s="372"/>
      <c r="AJ482" s="372"/>
      <c r="AK482" s="372"/>
      <c r="AL482" s="372"/>
      <c r="AM482" s="372"/>
    </row>
    <row r="483">
      <c r="A483" s="369"/>
      <c r="B483" s="369"/>
      <c r="C483" s="405"/>
      <c r="D483" s="369"/>
      <c r="E483" s="369"/>
      <c r="F483" s="372"/>
      <c r="G483" s="372"/>
      <c r="H483" s="372"/>
      <c r="I483" s="372"/>
      <c r="J483" s="372"/>
      <c r="K483" s="369"/>
      <c r="L483" s="369"/>
      <c r="M483" s="373"/>
      <c r="N483" s="369"/>
      <c r="O483" s="369"/>
      <c r="P483" s="374"/>
      <c r="Q483" s="372"/>
      <c r="R483" s="372"/>
      <c r="S483" s="372"/>
      <c r="T483" s="372"/>
      <c r="U483" s="372"/>
      <c r="V483" s="372"/>
      <c r="W483" s="372"/>
      <c r="X483" s="372"/>
      <c r="Y483" s="372"/>
      <c r="Z483" s="372"/>
      <c r="AA483" s="372"/>
      <c r="AB483" s="372"/>
      <c r="AC483" s="372"/>
      <c r="AD483" s="372"/>
      <c r="AE483" s="372"/>
      <c r="AF483" s="372"/>
      <c r="AG483" s="372"/>
      <c r="AH483" s="372"/>
      <c r="AI483" s="372"/>
      <c r="AJ483" s="372"/>
      <c r="AK483" s="372"/>
      <c r="AL483" s="372"/>
      <c r="AM483" s="372"/>
    </row>
    <row r="484">
      <c r="A484" s="369"/>
      <c r="B484" s="369"/>
      <c r="C484" s="405"/>
      <c r="D484" s="369"/>
      <c r="E484" s="369"/>
      <c r="F484" s="372"/>
      <c r="G484" s="372"/>
      <c r="H484" s="372"/>
      <c r="I484" s="372"/>
      <c r="J484" s="372"/>
      <c r="K484" s="369"/>
      <c r="L484" s="369"/>
      <c r="M484" s="373"/>
      <c r="N484" s="369"/>
      <c r="O484" s="369"/>
      <c r="P484" s="374"/>
      <c r="Q484" s="372"/>
      <c r="R484" s="372"/>
      <c r="S484" s="372"/>
      <c r="T484" s="372"/>
      <c r="U484" s="372"/>
      <c r="V484" s="372"/>
      <c r="W484" s="372"/>
      <c r="X484" s="372"/>
      <c r="Y484" s="372"/>
      <c r="Z484" s="372"/>
      <c r="AA484" s="372"/>
      <c r="AB484" s="372"/>
      <c r="AC484" s="372"/>
      <c r="AD484" s="372"/>
      <c r="AE484" s="372"/>
      <c r="AF484" s="372"/>
      <c r="AG484" s="372"/>
      <c r="AH484" s="372"/>
      <c r="AI484" s="372"/>
      <c r="AJ484" s="372"/>
      <c r="AK484" s="372"/>
      <c r="AL484" s="372"/>
      <c r="AM484" s="372"/>
    </row>
    <row r="485">
      <c r="A485" s="369"/>
      <c r="B485" s="369"/>
      <c r="C485" s="405"/>
      <c r="D485" s="369"/>
      <c r="E485" s="369"/>
      <c r="F485" s="372"/>
      <c r="G485" s="372"/>
      <c r="H485" s="372"/>
      <c r="I485" s="372"/>
      <c r="J485" s="372"/>
      <c r="K485" s="369"/>
      <c r="L485" s="369"/>
      <c r="M485" s="373"/>
      <c r="N485" s="369"/>
      <c r="O485" s="369"/>
      <c r="P485" s="374"/>
      <c r="Q485" s="372"/>
      <c r="R485" s="372"/>
      <c r="S485" s="372"/>
      <c r="T485" s="372"/>
      <c r="U485" s="372"/>
      <c r="V485" s="372"/>
      <c r="W485" s="372"/>
      <c r="X485" s="372"/>
      <c r="Y485" s="372"/>
      <c r="Z485" s="372"/>
      <c r="AA485" s="372"/>
      <c r="AB485" s="372"/>
      <c r="AC485" s="372"/>
      <c r="AD485" s="372"/>
      <c r="AE485" s="372"/>
      <c r="AF485" s="372"/>
      <c r="AG485" s="372"/>
      <c r="AH485" s="372"/>
      <c r="AI485" s="372"/>
      <c r="AJ485" s="372"/>
      <c r="AK485" s="372"/>
      <c r="AL485" s="372"/>
      <c r="AM485" s="372"/>
    </row>
    <row r="486">
      <c r="A486" s="369"/>
      <c r="B486" s="369"/>
      <c r="C486" s="405"/>
      <c r="D486" s="369"/>
      <c r="E486" s="369"/>
      <c r="F486" s="372"/>
      <c r="G486" s="372"/>
      <c r="H486" s="372"/>
      <c r="I486" s="372"/>
      <c r="J486" s="372"/>
      <c r="K486" s="369"/>
      <c r="L486" s="369"/>
      <c r="M486" s="373"/>
      <c r="N486" s="369"/>
      <c r="O486" s="369"/>
      <c r="P486" s="374"/>
      <c r="Q486" s="372"/>
      <c r="R486" s="372"/>
      <c r="S486" s="372"/>
      <c r="T486" s="372"/>
      <c r="U486" s="372"/>
      <c r="V486" s="372"/>
      <c r="W486" s="372"/>
      <c r="X486" s="372"/>
      <c r="Y486" s="372"/>
      <c r="Z486" s="372"/>
      <c r="AA486" s="372"/>
      <c r="AB486" s="372"/>
      <c r="AC486" s="372"/>
      <c r="AD486" s="372"/>
      <c r="AE486" s="372"/>
      <c r="AF486" s="372"/>
      <c r="AG486" s="372"/>
      <c r="AH486" s="372"/>
      <c r="AI486" s="372"/>
      <c r="AJ486" s="372"/>
      <c r="AK486" s="372"/>
      <c r="AL486" s="372"/>
      <c r="AM486" s="372"/>
    </row>
    <row r="487">
      <c r="A487" s="369"/>
      <c r="B487" s="369"/>
      <c r="C487" s="405"/>
      <c r="D487" s="369"/>
      <c r="E487" s="369"/>
      <c r="F487" s="372"/>
      <c r="G487" s="372"/>
      <c r="H487" s="372"/>
      <c r="I487" s="372"/>
      <c r="J487" s="372"/>
      <c r="K487" s="369"/>
      <c r="L487" s="369"/>
      <c r="M487" s="373"/>
      <c r="N487" s="369"/>
      <c r="O487" s="369"/>
      <c r="P487" s="374"/>
      <c r="Q487" s="372"/>
      <c r="R487" s="372"/>
      <c r="S487" s="372"/>
      <c r="T487" s="372"/>
      <c r="U487" s="372"/>
      <c r="V487" s="372"/>
      <c r="W487" s="372"/>
      <c r="X487" s="372"/>
      <c r="Y487" s="372"/>
      <c r="Z487" s="372"/>
      <c r="AA487" s="372"/>
      <c r="AB487" s="372"/>
      <c r="AC487" s="372"/>
      <c r="AD487" s="372"/>
      <c r="AE487" s="372"/>
      <c r="AF487" s="372"/>
      <c r="AG487" s="372"/>
      <c r="AH487" s="372"/>
      <c r="AI487" s="372"/>
      <c r="AJ487" s="372"/>
      <c r="AK487" s="372"/>
      <c r="AL487" s="372"/>
      <c r="AM487" s="372"/>
    </row>
    <row r="488">
      <c r="A488" s="369"/>
      <c r="B488" s="369"/>
      <c r="C488" s="405"/>
      <c r="D488" s="369"/>
      <c r="E488" s="369"/>
      <c r="F488" s="372"/>
      <c r="G488" s="372"/>
      <c r="H488" s="372"/>
      <c r="I488" s="372"/>
      <c r="J488" s="372"/>
      <c r="K488" s="369"/>
      <c r="L488" s="369"/>
      <c r="M488" s="373"/>
      <c r="N488" s="369"/>
      <c r="O488" s="369"/>
      <c r="P488" s="374"/>
      <c r="Q488" s="372"/>
      <c r="R488" s="372"/>
      <c r="S488" s="372"/>
      <c r="T488" s="372"/>
      <c r="U488" s="372"/>
      <c r="V488" s="372"/>
      <c r="W488" s="372"/>
      <c r="X488" s="372"/>
      <c r="Y488" s="372"/>
      <c r="Z488" s="372"/>
      <c r="AA488" s="372"/>
      <c r="AB488" s="372"/>
      <c r="AC488" s="372"/>
      <c r="AD488" s="372"/>
      <c r="AE488" s="372"/>
      <c r="AF488" s="372"/>
      <c r="AG488" s="372"/>
      <c r="AH488" s="372"/>
      <c r="AI488" s="372"/>
      <c r="AJ488" s="372"/>
      <c r="AK488" s="372"/>
      <c r="AL488" s="372"/>
      <c r="AM488" s="372"/>
    </row>
    <row r="489">
      <c r="A489" s="369"/>
      <c r="B489" s="369"/>
      <c r="C489" s="405"/>
      <c r="D489" s="369"/>
      <c r="E489" s="369"/>
      <c r="F489" s="372"/>
      <c r="G489" s="372"/>
      <c r="H489" s="372"/>
      <c r="I489" s="372"/>
      <c r="J489" s="372"/>
      <c r="K489" s="369"/>
      <c r="L489" s="369"/>
      <c r="M489" s="373"/>
      <c r="N489" s="369"/>
      <c r="O489" s="369"/>
      <c r="P489" s="374"/>
      <c r="Q489" s="372"/>
      <c r="R489" s="372"/>
      <c r="S489" s="372"/>
      <c r="T489" s="372"/>
      <c r="U489" s="372"/>
      <c r="V489" s="372"/>
      <c r="W489" s="372"/>
      <c r="X489" s="372"/>
      <c r="Y489" s="372"/>
      <c r="Z489" s="372"/>
      <c r="AA489" s="372"/>
      <c r="AB489" s="372"/>
      <c r="AC489" s="372"/>
      <c r="AD489" s="372"/>
      <c r="AE489" s="372"/>
      <c r="AF489" s="372"/>
      <c r="AG489" s="372"/>
      <c r="AH489" s="372"/>
      <c r="AI489" s="372"/>
      <c r="AJ489" s="372"/>
      <c r="AK489" s="372"/>
      <c r="AL489" s="372"/>
      <c r="AM489" s="372"/>
    </row>
    <row r="490">
      <c r="A490" s="369"/>
      <c r="B490" s="369"/>
      <c r="C490" s="405"/>
      <c r="D490" s="369"/>
      <c r="E490" s="369"/>
      <c r="F490" s="372"/>
      <c r="G490" s="372"/>
      <c r="H490" s="372"/>
      <c r="I490" s="372"/>
      <c r="J490" s="372"/>
      <c r="K490" s="369"/>
      <c r="L490" s="369"/>
      <c r="M490" s="373"/>
      <c r="N490" s="369"/>
      <c r="O490" s="369"/>
      <c r="P490" s="374"/>
      <c r="Q490" s="372"/>
      <c r="R490" s="372"/>
      <c r="S490" s="372"/>
      <c r="T490" s="372"/>
      <c r="U490" s="372"/>
      <c r="V490" s="372"/>
      <c r="W490" s="372"/>
      <c r="X490" s="372"/>
      <c r="Y490" s="372"/>
      <c r="Z490" s="372"/>
      <c r="AA490" s="372"/>
      <c r="AB490" s="372"/>
      <c r="AC490" s="372"/>
      <c r="AD490" s="372"/>
      <c r="AE490" s="372"/>
      <c r="AF490" s="372"/>
      <c r="AG490" s="372"/>
      <c r="AH490" s="372"/>
      <c r="AI490" s="372"/>
      <c r="AJ490" s="372"/>
      <c r="AK490" s="372"/>
      <c r="AL490" s="372"/>
      <c r="AM490" s="372"/>
    </row>
    <row r="491">
      <c r="A491" s="369"/>
      <c r="B491" s="369"/>
      <c r="C491" s="405"/>
      <c r="D491" s="369"/>
      <c r="E491" s="369"/>
      <c r="F491" s="372"/>
      <c r="G491" s="372"/>
      <c r="H491" s="372"/>
      <c r="I491" s="372"/>
      <c r="J491" s="372"/>
      <c r="K491" s="369"/>
      <c r="L491" s="369"/>
      <c r="M491" s="373"/>
      <c r="N491" s="369"/>
      <c r="O491" s="369"/>
      <c r="P491" s="374"/>
      <c r="Q491" s="372"/>
      <c r="R491" s="372"/>
      <c r="S491" s="372"/>
      <c r="T491" s="372"/>
      <c r="U491" s="372"/>
      <c r="V491" s="372"/>
      <c r="W491" s="372"/>
      <c r="X491" s="372"/>
      <c r="Y491" s="372"/>
      <c r="Z491" s="372"/>
      <c r="AA491" s="372"/>
      <c r="AB491" s="372"/>
      <c r="AC491" s="372"/>
      <c r="AD491" s="372"/>
      <c r="AE491" s="372"/>
      <c r="AF491" s="372"/>
      <c r="AG491" s="372"/>
      <c r="AH491" s="372"/>
      <c r="AI491" s="372"/>
      <c r="AJ491" s="372"/>
      <c r="AK491" s="372"/>
      <c r="AL491" s="372"/>
      <c r="AM491" s="372"/>
    </row>
    <row r="492">
      <c r="A492" s="369"/>
      <c r="B492" s="369"/>
      <c r="C492" s="405"/>
      <c r="D492" s="369"/>
      <c r="E492" s="369"/>
      <c r="F492" s="372"/>
      <c r="G492" s="372"/>
      <c r="H492" s="372"/>
      <c r="I492" s="372"/>
      <c r="J492" s="372"/>
      <c r="K492" s="369"/>
      <c r="L492" s="369"/>
      <c r="M492" s="373"/>
      <c r="N492" s="369"/>
      <c r="O492" s="369"/>
      <c r="P492" s="374"/>
      <c r="Q492" s="372"/>
      <c r="R492" s="372"/>
      <c r="S492" s="372"/>
      <c r="T492" s="372"/>
      <c r="U492" s="372"/>
      <c r="V492" s="372"/>
      <c r="W492" s="372"/>
      <c r="X492" s="372"/>
      <c r="Y492" s="372"/>
      <c r="Z492" s="372"/>
      <c r="AA492" s="372"/>
      <c r="AB492" s="372"/>
      <c r="AC492" s="372"/>
      <c r="AD492" s="372"/>
      <c r="AE492" s="372"/>
      <c r="AF492" s="372"/>
      <c r="AG492" s="372"/>
      <c r="AH492" s="372"/>
      <c r="AI492" s="372"/>
      <c r="AJ492" s="372"/>
      <c r="AK492" s="372"/>
      <c r="AL492" s="372"/>
      <c r="AM492" s="372"/>
    </row>
    <row r="493">
      <c r="A493" s="369"/>
      <c r="B493" s="369"/>
      <c r="C493" s="405"/>
      <c r="D493" s="369"/>
      <c r="E493" s="369"/>
      <c r="F493" s="372"/>
      <c r="G493" s="372"/>
      <c r="H493" s="372"/>
      <c r="I493" s="372"/>
      <c r="J493" s="372"/>
      <c r="K493" s="369"/>
      <c r="L493" s="369"/>
      <c r="M493" s="373"/>
      <c r="N493" s="369"/>
      <c r="O493" s="369"/>
      <c r="P493" s="374"/>
      <c r="Q493" s="372"/>
      <c r="R493" s="372"/>
      <c r="S493" s="372"/>
      <c r="T493" s="372"/>
      <c r="U493" s="372"/>
      <c r="V493" s="372"/>
      <c r="W493" s="372"/>
      <c r="X493" s="372"/>
      <c r="Y493" s="372"/>
      <c r="Z493" s="372"/>
      <c r="AA493" s="372"/>
      <c r="AB493" s="372"/>
      <c r="AC493" s="372"/>
      <c r="AD493" s="372"/>
      <c r="AE493" s="372"/>
      <c r="AF493" s="372"/>
      <c r="AG493" s="372"/>
      <c r="AH493" s="372"/>
      <c r="AI493" s="372"/>
      <c r="AJ493" s="372"/>
      <c r="AK493" s="372"/>
      <c r="AL493" s="372"/>
      <c r="AM493" s="372"/>
    </row>
    <row r="494">
      <c r="A494" s="369"/>
      <c r="B494" s="369"/>
      <c r="C494" s="405"/>
      <c r="D494" s="369"/>
      <c r="E494" s="369"/>
      <c r="F494" s="372"/>
      <c r="G494" s="372"/>
      <c r="H494" s="372"/>
      <c r="I494" s="372"/>
      <c r="J494" s="372"/>
      <c r="K494" s="369"/>
      <c r="L494" s="369"/>
      <c r="M494" s="373"/>
      <c r="N494" s="369"/>
      <c r="O494" s="369"/>
      <c r="P494" s="374"/>
      <c r="Q494" s="372"/>
      <c r="R494" s="372"/>
      <c r="S494" s="372"/>
      <c r="T494" s="372"/>
      <c r="U494" s="372"/>
      <c r="V494" s="372"/>
      <c r="W494" s="372"/>
      <c r="X494" s="372"/>
      <c r="Y494" s="372"/>
      <c r="Z494" s="372"/>
      <c r="AA494" s="372"/>
      <c r="AB494" s="372"/>
      <c r="AC494" s="372"/>
      <c r="AD494" s="372"/>
      <c r="AE494" s="372"/>
      <c r="AF494" s="372"/>
      <c r="AG494" s="372"/>
      <c r="AH494" s="372"/>
      <c r="AI494" s="372"/>
      <c r="AJ494" s="372"/>
      <c r="AK494" s="372"/>
      <c r="AL494" s="372"/>
      <c r="AM494" s="372"/>
    </row>
    <row r="495">
      <c r="A495" s="369"/>
      <c r="B495" s="369"/>
      <c r="C495" s="405"/>
      <c r="D495" s="369"/>
      <c r="E495" s="369"/>
      <c r="F495" s="372"/>
      <c r="G495" s="372"/>
      <c r="H495" s="372"/>
      <c r="I495" s="372"/>
      <c r="J495" s="372"/>
      <c r="K495" s="369"/>
      <c r="L495" s="369"/>
      <c r="M495" s="373"/>
      <c r="N495" s="369"/>
      <c r="O495" s="369"/>
      <c r="P495" s="374"/>
      <c r="Q495" s="372"/>
      <c r="R495" s="372"/>
      <c r="S495" s="372"/>
      <c r="T495" s="372"/>
      <c r="U495" s="372"/>
      <c r="V495" s="372"/>
      <c r="W495" s="372"/>
      <c r="X495" s="372"/>
      <c r="Y495" s="372"/>
      <c r="Z495" s="372"/>
      <c r="AA495" s="372"/>
      <c r="AB495" s="372"/>
      <c r="AC495" s="372"/>
      <c r="AD495" s="372"/>
      <c r="AE495" s="372"/>
      <c r="AF495" s="372"/>
      <c r="AG495" s="372"/>
      <c r="AH495" s="372"/>
      <c r="AI495" s="372"/>
      <c r="AJ495" s="372"/>
      <c r="AK495" s="372"/>
      <c r="AL495" s="372"/>
      <c r="AM495" s="372"/>
    </row>
    <row r="496">
      <c r="A496" s="369"/>
      <c r="B496" s="369"/>
      <c r="C496" s="405"/>
      <c r="D496" s="369"/>
      <c r="E496" s="369"/>
      <c r="F496" s="372"/>
      <c r="G496" s="372"/>
      <c r="H496" s="372"/>
      <c r="I496" s="372"/>
      <c r="J496" s="372"/>
      <c r="K496" s="369"/>
      <c r="L496" s="369"/>
      <c r="M496" s="373"/>
      <c r="N496" s="369"/>
      <c r="O496" s="369"/>
      <c r="P496" s="374"/>
      <c r="Q496" s="372"/>
      <c r="R496" s="372"/>
      <c r="S496" s="372"/>
      <c r="T496" s="372"/>
      <c r="U496" s="372"/>
      <c r="V496" s="372"/>
      <c r="W496" s="372"/>
      <c r="X496" s="372"/>
      <c r="Y496" s="372"/>
      <c r="Z496" s="372"/>
      <c r="AA496" s="372"/>
      <c r="AB496" s="372"/>
      <c r="AC496" s="372"/>
      <c r="AD496" s="372"/>
      <c r="AE496" s="372"/>
      <c r="AF496" s="372"/>
      <c r="AG496" s="372"/>
      <c r="AH496" s="372"/>
      <c r="AI496" s="372"/>
      <c r="AJ496" s="372"/>
      <c r="AK496" s="372"/>
      <c r="AL496" s="372"/>
      <c r="AM496" s="372"/>
    </row>
    <row r="497">
      <c r="A497" s="369"/>
      <c r="B497" s="369"/>
      <c r="C497" s="405"/>
      <c r="D497" s="369"/>
      <c r="E497" s="369"/>
      <c r="F497" s="372"/>
      <c r="G497" s="372"/>
      <c r="H497" s="372"/>
      <c r="I497" s="372"/>
      <c r="J497" s="372"/>
      <c r="K497" s="369"/>
      <c r="L497" s="369"/>
      <c r="M497" s="373"/>
      <c r="N497" s="369"/>
      <c r="O497" s="369"/>
      <c r="P497" s="374"/>
      <c r="Q497" s="372"/>
      <c r="R497" s="372"/>
      <c r="S497" s="372"/>
      <c r="T497" s="372"/>
      <c r="U497" s="372"/>
      <c r="V497" s="372"/>
      <c r="W497" s="372"/>
      <c r="X497" s="372"/>
      <c r="Y497" s="372"/>
      <c r="Z497" s="372"/>
      <c r="AA497" s="372"/>
      <c r="AB497" s="372"/>
      <c r="AC497" s="372"/>
      <c r="AD497" s="372"/>
      <c r="AE497" s="372"/>
      <c r="AF497" s="372"/>
      <c r="AG497" s="372"/>
      <c r="AH497" s="372"/>
      <c r="AI497" s="372"/>
      <c r="AJ497" s="372"/>
      <c r="AK497" s="372"/>
      <c r="AL497" s="372"/>
      <c r="AM497" s="372"/>
    </row>
    <row r="498">
      <c r="A498" s="369"/>
      <c r="B498" s="369"/>
      <c r="C498" s="405"/>
      <c r="D498" s="369"/>
      <c r="E498" s="369"/>
      <c r="F498" s="372"/>
      <c r="G498" s="372"/>
      <c r="H498" s="372"/>
      <c r="I498" s="372"/>
      <c r="J498" s="372"/>
      <c r="K498" s="369"/>
      <c r="L498" s="369"/>
      <c r="M498" s="373"/>
      <c r="N498" s="369"/>
      <c r="O498" s="369"/>
      <c r="P498" s="374"/>
      <c r="Q498" s="372"/>
      <c r="R498" s="372"/>
      <c r="S498" s="372"/>
      <c r="T498" s="372"/>
      <c r="U498" s="372"/>
      <c r="V498" s="372"/>
      <c r="W498" s="372"/>
      <c r="X498" s="372"/>
      <c r="Y498" s="372"/>
      <c r="Z498" s="372"/>
      <c r="AA498" s="372"/>
      <c r="AB498" s="372"/>
      <c r="AC498" s="372"/>
      <c r="AD498" s="372"/>
      <c r="AE498" s="372"/>
      <c r="AF498" s="372"/>
      <c r="AG498" s="372"/>
      <c r="AH498" s="372"/>
      <c r="AI498" s="372"/>
      <c r="AJ498" s="372"/>
      <c r="AK498" s="372"/>
      <c r="AL498" s="372"/>
      <c r="AM498" s="372"/>
    </row>
    <row r="499">
      <c r="A499" s="369"/>
      <c r="B499" s="369"/>
      <c r="C499" s="405"/>
      <c r="D499" s="369"/>
      <c r="E499" s="369"/>
      <c r="F499" s="372"/>
      <c r="G499" s="372"/>
      <c r="H499" s="372"/>
      <c r="I499" s="372"/>
      <c r="J499" s="372"/>
      <c r="K499" s="369"/>
      <c r="L499" s="369"/>
      <c r="M499" s="373"/>
      <c r="N499" s="369"/>
      <c r="O499" s="369"/>
      <c r="P499" s="374"/>
      <c r="Q499" s="372"/>
      <c r="R499" s="372"/>
      <c r="S499" s="372"/>
      <c r="T499" s="372"/>
      <c r="U499" s="372"/>
      <c r="V499" s="372"/>
      <c r="W499" s="372"/>
      <c r="X499" s="372"/>
      <c r="Y499" s="372"/>
      <c r="Z499" s="372"/>
      <c r="AA499" s="372"/>
      <c r="AB499" s="372"/>
      <c r="AC499" s="372"/>
      <c r="AD499" s="372"/>
      <c r="AE499" s="372"/>
      <c r="AF499" s="372"/>
      <c r="AG499" s="372"/>
      <c r="AH499" s="372"/>
      <c r="AI499" s="372"/>
      <c r="AJ499" s="372"/>
      <c r="AK499" s="372"/>
      <c r="AL499" s="372"/>
      <c r="AM499" s="372"/>
    </row>
    <row r="500">
      <c r="A500" s="369"/>
      <c r="B500" s="369"/>
      <c r="C500" s="405"/>
      <c r="D500" s="369"/>
      <c r="E500" s="369"/>
      <c r="F500" s="372"/>
      <c r="G500" s="372"/>
      <c r="H500" s="372"/>
      <c r="I500" s="372"/>
      <c r="J500" s="372"/>
      <c r="K500" s="369"/>
      <c r="L500" s="369"/>
      <c r="M500" s="373"/>
      <c r="N500" s="369"/>
      <c r="O500" s="369"/>
      <c r="P500" s="374"/>
      <c r="Q500" s="372"/>
      <c r="R500" s="372"/>
      <c r="S500" s="372"/>
      <c r="T500" s="372"/>
      <c r="U500" s="372"/>
      <c r="V500" s="372"/>
      <c r="W500" s="372"/>
      <c r="X500" s="372"/>
      <c r="Y500" s="372"/>
      <c r="Z500" s="372"/>
      <c r="AA500" s="372"/>
      <c r="AB500" s="372"/>
      <c r="AC500" s="372"/>
      <c r="AD500" s="372"/>
      <c r="AE500" s="372"/>
      <c r="AF500" s="372"/>
      <c r="AG500" s="372"/>
      <c r="AH500" s="372"/>
      <c r="AI500" s="372"/>
      <c r="AJ500" s="372"/>
      <c r="AK500" s="372"/>
      <c r="AL500" s="372"/>
      <c r="AM500" s="372"/>
    </row>
    <row r="501">
      <c r="A501" s="369"/>
      <c r="B501" s="369"/>
      <c r="C501" s="405"/>
      <c r="D501" s="369"/>
      <c r="E501" s="369"/>
      <c r="F501" s="372"/>
      <c r="G501" s="372"/>
      <c r="H501" s="372"/>
      <c r="I501" s="372"/>
      <c r="J501" s="372"/>
      <c r="K501" s="369"/>
      <c r="L501" s="369"/>
      <c r="M501" s="373"/>
      <c r="N501" s="369"/>
      <c r="O501" s="369"/>
      <c r="P501" s="374"/>
      <c r="Q501" s="372"/>
      <c r="R501" s="372"/>
      <c r="S501" s="372"/>
      <c r="T501" s="372"/>
      <c r="U501" s="372"/>
      <c r="V501" s="372"/>
      <c r="W501" s="372"/>
      <c r="X501" s="372"/>
      <c r="Y501" s="372"/>
      <c r="Z501" s="372"/>
      <c r="AA501" s="372"/>
      <c r="AB501" s="372"/>
      <c r="AC501" s="372"/>
      <c r="AD501" s="372"/>
      <c r="AE501" s="372"/>
      <c r="AF501" s="372"/>
      <c r="AG501" s="372"/>
      <c r="AH501" s="372"/>
      <c r="AI501" s="372"/>
      <c r="AJ501" s="372"/>
      <c r="AK501" s="372"/>
      <c r="AL501" s="372"/>
      <c r="AM501" s="372"/>
    </row>
    <row r="502">
      <c r="A502" s="369"/>
      <c r="B502" s="369"/>
      <c r="C502" s="405"/>
      <c r="D502" s="369"/>
      <c r="E502" s="369"/>
      <c r="F502" s="372"/>
      <c r="G502" s="372"/>
      <c r="H502" s="372"/>
      <c r="I502" s="372"/>
      <c r="J502" s="372"/>
      <c r="K502" s="369"/>
      <c r="L502" s="369"/>
      <c r="M502" s="373"/>
      <c r="N502" s="369"/>
      <c r="O502" s="369"/>
      <c r="P502" s="374"/>
      <c r="Q502" s="372"/>
      <c r="R502" s="372"/>
      <c r="S502" s="372"/>
      <c r="T502" s="372"/>
      <c r="U502" s="372"/>
      <c r="V502" s="372"/>
      <c r="W502" s="372"/>
      <c r="X502" s="372"/>
      <c r="Y502" s="372"/>
      <c r="Z502" s="372"/>
      <c r="AA502" s="372"/>
      <c r="AB502" s="372"/>
      <c r="AC502" s="372"/>
      <c r="AD502" s="372"/>
      <c r="AE502" s="372"/>
      <c r="AF502" s="372"/>
      <c r="AG502" s="372"/>
      <c r="AH502" s="372"/>
      <c r="AI502" s="372"/>
      <c r="AJ502" s="372"/>
      <c r="AK502" s="372"/>
      <c r="AL502" s="372"/>
      <c r="AM502" s="372"/>
    </row>
    <row r="503">
      <c r="A503" s="369"/>
      <c r="B503" s="369"/>
      <c r="C503" s="405"/>
      <c r="D503" s="369"/>
      <c r="E503" s="369"/>
      <c r="F503" s="372"/>
      <c r="G503" s="372"/>
      <c r="H503" s="372"/>
      <c r="I503" s="372"/>
      <c r="J503" s="372"/>
      <c r="K503" s="369"/>
      <c r="L503" s="369"/>
      <c r="M503" s="373"/>
      <c r="N503" s="369"/>
      <c r="O503" s="369"/>
      <c r="P503" s="374"/>
      <c r="Q503" s="372"/>
      <c r="R503" s="372"/>
      <c r="S503" s="372"/>
      <c r="T503" s="372"/>
      <c r="U503" s="372"/>
      <c r="V503" s="372"/>
      <c r="W503" s="372"/>
      <c r="X503" s="372"/>
      <c r="Y503" s="372"/>
      <c r="Z503" s="372"/>
      <c r="AA503" s="372"/>
      <c r="AB503" s="372"/>
      <c r="AC503" s="372"/>
      <c r="AD503" s="372"/>
      <c r="AE503" s="372"/>
      <c r="AF503" s="372"/>
      <c r="AG503" s="372"/>
      <c r="AH503" s="372"/>
      <c r="AI503" s="372"/>
      <c r="AJ503" s="372"/>
      <c r="AK503" s="372"/>
      <c r="AL503" s="372"/>
      <c r="AM503" s="372"/>
    </row>
    <row r="504">
      <c r="A504" s="369"/>
      <c r="B504" s="369"/>
      <c r="C504" s="405"/>
      <c r="D504" s="369"/>
      <c r="E504" s="369"/>
      <c r="F504" s="372"/>
      <c r="G504" s="372"/>
      <c r="H504" s="372"/>
      <c r="I504" s="372"/>
      <c r="J504" s="372"/>
      <c r="K504" s="369"/>
      <c r="L504" s="369"/>
      <c r="M504" s="373"/>
      <c r="N504" s="369"/>
      <c r="O504" s="369"/>
      <c r="P504" s="374"/>
      <c r="Q504" s="372"/>
      <c r="R504" s="372"/>
      <c r="S504" s="372"/>
      <c r="T504" s="372"/>
      <c r="U504" s="372"/>
      <c r="V504" s="372"/>
      <c r="W504" s="372"/>
      <c r="X504" s="372"/>
      <c r="Y504" s="372"/>
      <c r="Z504" s="372"/>
      <c r="AA504" s="372"/>
      <c r="AB504" s="372"/>
      <c r="AC504" s="372"/>
      <c r="AD504" s="372"/>
      <c r="AE504" s="372"/>
      <c r="AF504" s="372"/>
      <c r="AG504" s="372"/>
      <c r="AH504" s="372"/>
      <c r="AI504" s="372"/>
      <c r="AJ504" s="372"/>
      <c r="AK504" s="372"/>
      <c r="AL504" s="372"/>
      <c r="AM504" s="372"/>
    </row>
    <row r="505">
      <c r="A505" s="369"/>
      <c r="B505" s="369"/>
      <c r="C505" s="405"/>
      <c r="D505" s="369"/>
      <c r="E505" s="369"/>
      <c r="F505" s="372"/>
      <c r="G505" s="372"/>
      <c r="H505" s="372"/>
      <c r="I505" s="372"/>
      <c r="J505" s="372"/>
      <c r="K505" s="369"/>
      <c r="L505" s="369"/>
      <c r="M505" s="373"/>
      <c r="N505" s="369"/>
      <c r="O505" s="369"/>
      <c r="P505" s="374"/>
      <c r="Q505" s="372"/>
      <c r="R505" s="372"/>
      <c r="S505" s="372"/>
      <c r="T505" s="372"/>
      <c r="U505" s="372"/>
      <c r="V505" s="372"/>
      <c r="W505" s="372"/>
      <c r="X505" s="372"/>
      <c r="Y505" s="372"/>
      <c r="Z505" s="372"/>
      <c r="AA505" s="372"/>
      <c r="AB505" s="372"/>
      <c r="AC505" s="372"/>
      <c r="AD505" s="372"/>
      <c r="AE505" s="372"/>
      <c r="AF505" s="372"/>
      <c r="AG505" s="372"/>
      <c r="AH505" s="372"/>
      <c r="AI505" s="372"/>
      <c r="AJ505" s="372"/>
      <c r="AK505" s="372"/>
      <c r="AL505" s="372"/>
      <c r="AM505" s="372"/>
    </row>
    <row r="506">
      <c r="A506" s="369"/>
      <c r="B506" s="369"/>
      <c r="C506" s="405"/>
      <c r="D506" s="369"/>
      <c r="E506" s="369"/>
      <c r="F506" s="372"/>
      <c r="G506" s="372"/>
      <c r="H506" s="372"/>
      <c r="I506" s="372"/>
      <c r="J506" s="372"/>
      <c r="K506" s="369"/>
      <c r="L506" s="369"/>
      <c r="M506" s="373"/>
      <c r="N506" s="369"/>
      <c r="O506" s="369"/>
      <c r="P506" s="374"/>
      <c r="Q506" s="372"/>
      <c r="R506" s="372"/>
      <c r="S506" s="372"/>
      <c r="T506" s="372"/>
      <c r="U506" s="372"/>
      <c r="V506" s="372"/>
      <c r="W506" s="372"/>
      <c r="X506" s="372"/>
      <c r="Y506" s="372"/>
      <c r="Z506" s="372"/>
      <c r="AA506" s="372"/>
      <c r="AB506" s="372"/>
      <c r="AC506" s="372"/>
      <c r="AD506" s="372"/>
      <c r="AE506" s="372"/>
      <c r="AF506" s="372"/>
      <c r="AG506" s="372"/>
      <c r="AH506" s="372"/>
      <c r="AI506" s="372"/>
      <c r="AJ506" s="372"/>
      <c r="AK506" s="372"/>
      <c r="AL506" s="372"/>
      <c r="AM506" s="372"/>
    </row>
    <row r="507">
      <c r="A507" s="369"/>
      <c r="B507" s="369"/>
      <c r="C507" s="405"/>
      <c r="D507" s="369"/>
      <c r="E507" s="369"/>
      <c r="F507" s="372"/>
      <c r="G507" s="372"/>
      <c r="H507" s="372"/>
      <c r="I507" s="372"/>
      <c r="J507" s="372"/>
      <c r="K507" s="369"/>
      <c r="L507" s="369"/>
      <c r="M507" s="373"/>
      <c r="N507" s="369"/>
      <c r="O507" s="369"/>
      <c r="P507" s="374"/>
      <c r="Q507" s="372"/>
      <c r="R507" s="372"/>
      <c r="S507" s="372"/>
      <c r="T507" s="372"/>
      <c r="U507" s="372"/>
      <c r="V507" s="372"/>
      <c r="W507" s="372"/>
      <c r="X507" s="372"/>
      <c r="Y507" s="372"/>
      <c r="Z507" s="372"/>
      <c r="AA507" s="372"/>
      <c r="AB507" s="372"/>
      <c r="AC507" s="372"/>
      <c r="AD507" s="372"/>
      <c r="AE507" s="372"/>
      <c r="AF507" s="372"/>
      <c r="AG507" s="372"/>
      <c r="AH507" s="372"/>
      <c r="AI507" s="372"/>
      <c r="AJ507" s="372"/>
      <c r="AK507" s="372"/>
      <c r="AL507" s="372"/>
      <c r="AM507" s="372"/>
    </row>
    <row r="508">
      <c r="A508" s="369"/>
      <c r="B508" s="369"/>
      <c r="C508" s="405"/>
      <c r="D508" s="369"/>
      <c r="E508" s="369"/>
      <c r="F508" s="372"/>
      <c r="G508" s="372"/>
      <c r="H508" s="372"/>
      <c r="I508" s="372"/>
      <c r="J508" s="372"/>
      <c r="K508" s="369"/>
      <c r="L508" s="369"/>
      <c r="M508" s="373"/>
      <c r="N508" s="369"/>
      <c r="O508" s="369"/>
      <c r="P508" s="374"/>
      <c r="Q508" s="372"/>
      <c r="R508" s="372"/>
      <c r="S508" s="372"/>
      <c r="T508" s="372"/>
      <c r="U508" s="372"/>
      <c r="V508" s="372"/>
      <c r="W508" s="372"/>
      <c r="X508" s="372"/>
      <c r="Y508" s="372"/>
      <c r="Z508" s="372"/>
      <c r="AA508" s="372"/>
      <c r="AB508" s="372"/>
      <c r="AC508" s="372"/>
      <c r="AD508" s="372"/>
      <c r="AE508" s="372"/>
      <c r="AF508" s="372"/>
      <c r="AG508" s="372"/>
      <c r="AH508" s="372"/>
      <c r="AI508" s="372"/>
      <c r="AJ508" s="372"/>
      <c r="AK508" s="372"/>
      <c r="AL508" s="372"/>
      <c r="AM508" s="372"/>
    </row>
    <row r="509">
      <c r="A509" s="369"/>
      <c r="B509" s="369"/>
      <c r="C509" s="405"/>
      <c r="D509" s="369"/>
      <c r="E509" s="369"/>
      <c r="F509" s="372"/>
      <c r="G509" s="372"/>
      <c r="H509" s="372"/>
      <c r="I509" s="372"/>
      <c r="J509" s="372"/>
      <c r="K509" s="369"/>
      <c r="L509" s="369"/>
      <c r="M509" s="373"/>
      <c r="N509" s="369"/>
      <c r="O509" s="369"/>
      <c r="P509" s="374"/>
      <c r="Q509" s="372"/>
      <c r="R509" s="372"/>
      <c r="S509" s="372"/>
      <c r="T509" s="372"/>
      <c r="U509" s="372"/>
      <c r="V509" s="372"/>
      <c r="W509" s="372"/>
      <c r="X509" s="372"/>
      <c r="Y509" s="372"/>
      <c r="Z509" s="372"/>
      <c r="AA509" s="372"/>
      <c r="AB509" s="372"/>
      <c r="AC509" s="372"/>
      <c r="AD509" s="372"/>
      <c r="AE509" s="372"/>
      <c r="AF509" s="372"/>
      <c r="AG509" s="372"/>
      <c r="AH509" s="372"/>
      <c r="AI509" s="372"/>
      <c r="AJ509" s="372"/>
      <c r="AK509" s="372"/>
      <c r="AL509" s="372"/>
      <c r="AM509" s="372"/>
    </row>
    <row r="510">
      <c r="A510" s="369"/>
      <c r="B510" s="369"/>
      <c r="C510" s="405"/>
      <c r="D510" s="369"/>
      <c r="E510" s="369"/>
      <c r="F510" s="372"/>
      <c r="G510" s="372"/>
      <c r="H510" s="372"/>
      <c r="I510" s="372"/>
      <c r="J510" s="372"/>
      <c r="K510" s="369"/>
      <c r="L510" s="369"/>
      <c r="M510" s="373"/>
      <c r="N510" s="369"/>
      <c r="O510" s="369"/>
      <c r="P510" s="374"/>
      <c r="Q510" s="372"/>
      <c r="R510" s="372"/>
      <c r="S510" s="372"/>
      <c r="T510" s="372"/>
      <c r="U510" s="372"/>
      <c r="V510" s="372"/>
      <c r="W510" s="372"/>
      <c r="X510" s="372"/>
      <c r="Y510" s="372"/>
      <c r="Z510" s="372"/>
      <c r="AA510" s="372"/>
      <c r="AB510" s="372"/>
      <c r="AC510" s="372"/>
      <c r="AD510" s="372"/>
      <c r="AE510" s="372"/>
      <c r="AF510" s="372"/>
      <c r="AG510" s="372"/>
      <c r="AH510" s="372"/>
      <c r="AI510" s="372"/>
      <c r="AJ510" s="372"/>
      <c r="AK510" s="372"/>
      <c r="AL510" s="372"/>
      <c r="AM510" s="372"/>
    </row>
    <row r="511">
      <c r="A511" s="369"/>
      <c r="B511" s="369"/>
      <c r="C511" s="405"/>
      <c r="D511" s="369"/>
      <c r="E511" s="369"/>
      <c r="F511" s="372"/>
      <c r="G511" s="372"/>
      <c r="H511" s="372"/>
      <c r="I511" s="372"/>
      <c r="J511" s="372"/>
      <c r="K511" s="369"/>
      <c r="L511" s="369"/>
      <c r="M511" s="373"/>
      <c r="N511" s="369"/>
      <c r="O511" s="369"/>
      <c r="P511" s="374"/>
      <c r="Q511" s="372"/>
      <c r="R511" s="372"/>
      <c r="S511" s="372"/>
      <c r="T511" s="372"/>
      <c r="U511" s="372"/>
      <c r="V511" s="372"/>
      <c r="W511" s="372"/>
      <c r="X511" s="372"/>
      <c r="Y511" s="372"/>
      <c r="Z511" s="372"/>
      <c r="AA511" s="372"/>
      <c r="AB511" s="372"/>
      <c r="AC511" s="372"/>
      <c r="AD511" s="372"/>
      <c r="AE511" s="372"/>
      <c r="AF511" s="372"/>
      <c r="AG511" s="372"/>
      <c r="AH511" s="372"/>
      <c r="AI511" s="372"/>
      <c r="AJ511" s="372"/>
      <c r="AK511" s="372"/>
      <c r="AL511" s="372"/>
      <c r="AM511" s="372"/>
    </row>
    <row r="512">
      <c r="A512" s="369"/>
      <c r="B512" s="369"/>
      <c r="C512" s="405"/>
      <c r="D512" s="369"/>
      <c r="E512" s="369"/>
      <c r="F512" s="372"/>
      <c r="G512" s="372"/>
      <c r="H512" s="372"/>
      <c r="I512" s="372"/>
      <c r="J512" s="372"/>
      <c r="K512" s="369"/>
      <c r="L512" s="369"/>
      <c r="M512" s="373"/>
      <c r="N512" s="369"/>
      <c r="O512" s="369"/>
      <c r="P512" s="374"/>
      <c r="Q512" s="372"/>
      <c r="R512" s="372"/>
      <c r="S512" s="372"/>
      <c r="T512" s="372"/>
      <c r="U512" s="372"/>
      <c r="V512" s="372"/>
      <c r="W512" s="372"/>
      <c r="X512" s="372"/>
      <c r="Y512" s="372"/>
      <c r="Z512" s="372"/>
      <c r="AA512" s="372"/>
      <c r="AB512" s="372"/>
      <c r="AC512" s="372"/>
      <c r="AD512" s="372"/>
      <c r="AE512" s="372"/>
      <c r="AF512" s="372"/>
      <c r="AG512" s="372"/>
      <c r="AH512" s="372"/>
      <c r="AI512" s="372"/>
      <c r="AJ512" s="372"/>
      <c r="AK512" s="372"/>
      <c r="AL512" s="372"/>
      <c r="AM512" s="372"/>
    </row>
    <row r="513">
      <c r="A513" s="369"/>
      <c r="B513" s="369"/>
      <c r="C513" s="405"/>
      <c r="D513" s="369"/>
      <c r="E513" s="369"/>
      <c r="F513" s="372"/>
      <c r="G513" s="372"/>
      <c r="H513" s="372"/>
      <c r="I513" s="372"/>
      <c r="J513" s="372"/>
      <c r="K513" s="369"/>
      <c r="L513" s="369"/>
      <c r="M513" s="373"/>
      <c r="N513" s="369"/>
      <c r="O513" s="369"/>
      <c r="P513" s="374"/>
      <c r="Q513" s="372"/>
      <c r="R513" s="372"/>
      <c r="S513" s="372"/>
      <c r="T513" s="372"/>
      <c r="U513" s="372"/>
      <c r="V513" s="372"/>
      <c r="W513" s="372"/>
      <c r="X513" s="372"/>
      <c r="Y513" s="372"/>
      <c r="Z513" s="372"/>
      <c r="AA513" s="372"/>
      <c r="AB513" s="372"/>
      <c r="AC513" s="372"/>
      <c r="AD513" s="372"/>
      <c r="AE513" s="372"/>
      <c r="AF513" s="372"/>
      <c r="AG513" s="372"/>
      <c r="AH513" s="372"/>
      <c r="AI513" s="372"/>
      <c r="AJ513" s="372"/>
      <c r="AK513" s="372"/>
      <c r="AL513" s="372"/>
      <c r="AM513" s="372"/>
    </row>
    <row r="514">
      <c r="A514" s="369"/>
      <c r="B514" s="369"/>
      <c r="C514" s="405"/>
      <c r="D514" s="369"/>
      <c r="E514" s="369"/>
      <c r="F514" s="372"/>
      <c r="G514" s="372"/>
      <c r="H514" s="372"/>
      <c r="I514" s="372"/>
      <c r="J514" s="372"/>
      <c r="K514" s="369"/>
      <c r="L514" s="369"/>
      <c r="M514" s="373"/>
      <c r="N514" s="369"/>
      <c r="O514" s="369"/>
      <c r="P514" s="374"/>
      <c r="Q514" s="372"/>
      <c r="R514" s="372"/>
      <c r="S514" s="372"/>
      <c r="T514" s="372"/>
      <c r="U514" s="372"/>
      <c r="V514" s="372"/>
      <c r="W514" s="372"/>
      <c r="X514" s="372"/>
      <c r="Y514" s="372"/>
      <c r="Z514" s="372"/>
      <c r="AA514" s="372"/>
      <c r="AB514" s="372"/>
      <c r="AC514" s="372"/>
      <c r="AD514" s="372"/>
      <c r="AE514" s="372"/>
      <c r="AF514" s="372"/>
      <c r="AG514" s="372"/>
      <c r="AH514" s="372"/>
      <c r="AI514" s="372"/>
      <c r="AJ514" s="372"/>
      <c r="AK514" s="372"/>
      <c r="AL514" s="372"/>
      <c r="AM514" s="372"/>
    </row>
    <row r="515">
      <c r="A515" s="369"/>
      <c r="B515" s="369"/>
      <c r="C515" s="405"/>
      <c r="D515" s="369"/>
      <c r="E515" s="369"/>
      <c r="F515" s="372"/>
      <c r="G515" s="372"/>
      <c r="H515" s="372"/>
      <c r="I515" s="372"/>
      <c r="J515" s="372"/>
      <c r="K515" s="369"/>
      <c r="L515" s="369"/>
      <c r="M515" s="373"/>
      <c r="N515" s="369"/>
      <c r="O515" s="369"/>
      <c r="P515" s="374"/>
      <c r="Q515" s="372"/>
      <c r="R515" s="372"/>
      <c r="S515" s="372"/>
      <c r="T515" s="372"/>
      <c r="U515" s="372"/>
      <c r="V515" s="372"/>
      <c r="W515" s="372"/>
      <c r="X515" s="372"/>
      <c r="Y515" s="372"/>
      <c r="Z515" s="372"/>
      <c r="AA515" s="372"/>
      <c r="AB515" s="372"/>
      <c r="AC515" s="372"/>
      <c r="AD515" s="372"/>
      <c r="AE515" s="372"/>
      <c r="AF515" s="372"/>
      <c r="AG515" s="372"/>
      <c r="AH515" s="372"/>
      <c r="AI515" s="372"/>
      <c r="AJ515" s="372"/>
      <c r="AK515" s="372"/>
      <c r="AL515" s="372"/>
      <c r="AM515" s="372"/>
    </row>
    <row r="516">
      <c r="A516" s="369"/>
      <c r="B516" s="369"/>
      <c r="C516" s="405"/>
      <c r="D516" s="369"/>
      <c r="E516" s="369"/>
      <c r="F516" s="372"/>
      <c r="G516" s="372"/>
      <c r="H516" s="372"/>
      <c r="I516" s="372"/>
      <c r="J516" s="372"/>
      <c r="K516" s="369"/>
      <c r="L516" s="369"/>
      <c r="M516" s="373"/>
      <c r="N516" s="369"/>
      <c r="O516" s="369"/>
      <c r="P516" s="374"/>
      <c r="Q516" s="372"/>
      <c r="R516" s="372"/>
      <c r="S516" s="372"/>
      <c r="T516" s="372"/>
      <c r="U516" s="372"/>
      <c r="V516" s="372"/>
      <c r="W516" s="372"/>
      <c r="X516" s="372"/>
      <c r="Y516" s="372"/>
      <c r="Z516" s="372"/>
      <c r="AA516" s="372"/>
      <c r="AB516" s="372"/>
      <c r="AC516" s="372"/>
      <c r="AD516" s="372"/>
      <c r="AE516" s="372"/>
      <c r="AF516" s="372"/>
      <c r="AG516" s="372"/>
      <c r="AH516" s="372"/>
      <c r="AI516" s="372"/>
      <c r="AJ516" s="372"/>
      <c r="AK516" s="372"/>
      <c r="AL516" s="372"/>
      <c r="AM516" s="372"/>
    </row>
    <row r="517">
      <c r="A517" s="369"/>
      <c r="B517" s="369"/>
      <c r="C517" s="405"/>
      <c r="D517" s="369"/>
      <c r="E517" s="369"/>
      <c r="F517" s="372"/>
      <c r="G517" s="372"/>
      <c r="H517" s="372"/>
      <c r="I517" s="372"/>
      <c r="J517" s="372"/>
      <c r="K517" s="369"/>
      <c r="L517" s="369"/>
      <c r="M517" s="373"/>
      <c r="N517" s="369"/>
      <c r="O517" s="369"/>
      <c r="P517" s="374"/>
      <c r="Q517" s="372"/>
      <c r="R517" s="372"/>
      <c r="S517" s="372"/>
      <c r="T517" s="372"/>
      <c r="U517" s="372"/>
      <c r="V517" s="372"/>
      <c r="W517" s="372"/>
      <c r="X517" s="372"/>
      <c r="Y517" s="372"/>
      <c r="Z517" s="372"/>
      <c r="AA517" s="372"/>
      <c r="AB517" s="372"/>
      <c r="AC517" s="372"/>
      <c r="AD517" s="372"/>
      <c r="AE517" s="372"/>
      <c r="AF517" s="372"/>
      <c r="AG517" s="372"/>
      <c r="AH517" s="372"/>
      <c r="AI517" s="372"/>
      <c r="AJ517" s="372"/>
      <c r="AK517" s="372"/>
      <c r="AL517" s="372"/>
      <c r="AM517" s="372"/>
    </row>
    <row r="518">
      <c r="A518" s="369"/>
      <c r="B518" s="369"/>
      <c r="C518" s="405"/>
      <c r="D518" s="369"/>
      <c r="E518" s="369"/>
      <c r="F518" s="372"/>
      <c r="G518" s="372"/>
      <c r="H518" s="372"/>
      <c r="I518" s="372"/>
      <c r="J518" s="372"/>
      <c r="K518" s="369"/>
      <c r="L518" s="369"/>
      <c r="M518" s="373"/>
      <c r="N518" s="369"/>
      <c r="O518" s="369"/>
      <c r="P518" s="374"/>
      <c r="Q518" s="372"/>
      <c r="R518" s="372"/>
      <c r="S518" s="372"/>
      <c r="T518" s="372"/>
      <c r="U518" s="372"/>
      <c r="V518" s="372"/>
      <c r="W518" s="372"/>
      <c r="X518" s="372"/>
      <c r="Y518" s="372"/>
      <c r="Z518" s="372"/>
      <c r="AA518" s="372"/>
      <c r="AB518" s="372"/>
      <c r="AC518" s="372"/>
      <c r="AD518" s="372"/>
      <c r="AE518" s="372"/>
      <c r="AF518" s="372"/>
      <c r="AG518" s="372"/>
      <c r="AH518" s="372"/>
      <c r="AI518" s="372"/>
      <c r="AJ518" s="372"/>
      <c r="AK518" s="372"/>
      <c r="AL518" s="372"/>
      <c r="AM518" s="372"/>
    </row>
    <row r="519">
      <c r="A519" s="369"/>
      <c r="B519" s="369"/>
      <c r="C519" s="405"/>
      <c r="D519" s="369"/>
      <c r="E519" s="369"/>
      <c r="F519" s="372"/>
      <c r="G519" s="372"/>
      <c r="H519" s="372"/>
      <c r="I519" s="372"/>
      <c r="J519" s="372"/>
      <c r="K519" s="369"/>
      <c r="L519" s="369"/>
      <c r="M519" s="373"/>
      <c r="N519" s="369"/>
      <c r="O519" s="369"/>
      <c r="P519" s="374"/>
      <c r="Q519" s="372"/>
      <c r="R519" s="372"/>
      <c r="S519" s="372"/>
      <c r="T519" s="372"/>
      <c r="U519" s="372"/>
      <c r="V519" s="372"/>
      <c r="W519" s="372"/>
      <c r="X519" s="372"/>
      <c r="Y519" s="372"/>
      <c r="Z519" s="372"/>
      <c r="AA519" s="372"/>
      <c r="AB519" s="372"/>
      <c r="AC519" s="372"/>
      <c r="AD519" s="372"/>
      <c r="AE519" s="372"/>
      <c r="AF519" s="372"/>
      <c r="AG519" s="372"/>
      <c r="AH519" s="372"/>
      <c r="AI519" s="372"/>
      <c r="AJ519" s="372"/>
      <c r="AK519" s="372"/>
      <c r="AL519" s="372"/>
      <c r="AM519" s="372"/>
    </row>
    <row r="520">
      <c r="A520" s="369"/>
      <c r="B520" s="369"/>
      <c r="C520" s="405"/>
      <c r="D520" s="369"/>
      <c r="E520" s="369"/>
      <c r="F520" s="372"/>
      <c r="G520" s="372"/>
      <c r="H520" s="372"/>
      <c r="I520" s="372"/>
      <c r="J520" s="372"/>
      <c r="K520" s="369"/>
      <c r="L520" s="369"/>
      <c r="M520" s="373"/>
      <c r="N520" s="369"/>
      <c r="O520" s="369"/>
      <c r="P520" s="374"/>
      <c r="Q520" s="372"/>
      <c r="R520" s="372"/>
      <c r="S520" s="372"/>
      <c r="T520" s="372"/>
      <c r="U520" s="372"/>
      <c r="V520" s="372"/>
      <c r="W520" s="372"/>
      <c r="X520" s="372"/>
      <c r="Y520" s="372"/>
      <c r="Z520" s="372"/>
      <c r="AA520" s="372"/>
      <c r="AB520" s="372"/>
      <c r="AC520" s="372"/>
      <c r="AD520" s="372"/>
      <c r="AE520" s="372"/>
      <c r="AF520" s="372"/>
      <c r="AG520" s="372"/>
      <c r="AH520" s="372"/>
      <c r="AI520" s="372"/>
      <c r="AJ520" s="372"/>
      <c r="AK520" s="372"/>
      <c r="AL520" s="372"/>
      <c r="AM520" s="372"/>
    </row>
    <row r="521">
      <c r="A521" s="369"/>
      <c r="B521" s="369"/>
      <c r="C521" s="405"/>
      <c r="D521" s="369"/>
      <c r="E521" s="369"/>
      <c r="F521" s="372"/>
      <c r="G521" s="372"/>
      <c r="H521" s="372"/>
      <c r="I521" s="372"/>
      <c r="J521" s="372"/>
      <c r="K521" s="369"/>
      <c r="L521" s="369"/>
      <c r="M521" s="373"/>
      <c r="N521" s="369"/>
      <c r="O521" s="369"/>
      <c r="P521" s="374"/>
      <c r="Q521" s="372"/>
      <c r="R521" s="372"/>
      <c r="S521" s="372"/>
      <c r="T521" s="372"/>
      <c r="U521" s="372"/>
      <c r="V521" s="372"/>
      <c r="W521" s="372"/>
      <c r="X521" s="372"/>
      <c r="Y521" s="372"/>
      <c r="Z521" s="372"/>
      <c r="AA521" s="372"/>
      <c r="AB521" s="372"/>
      <c r="AC521" s="372"/>
      <c r="AD521" s="372"/>
      <c r="AE521" s="372"/>
      <c r="AF521" s="372"/>
      <c r="AG521" s="372"/>
      <c r="AH521" s="372"/>
      <c r="AI521" s="372"/>
      <c r="AJ521" s="372"/>
      <c r="AK521" s="372"/>
      <c r="AL521" s="372"/>
      <c r="AM521" s="372"/>
    </row>
    <row r="522">
      <c r="A522" s="369"/>
      <c r="B522" s="369"/>
      <c r="C522" s="405"/>
      <c r="D522" s="369"/>
      <c r="E522" s="369"/>
      <c r="F522" s="372"/>
      <c r="G522" s="372"/>
      <c r="H522" s="372"/>
      <c r="I522" s="372"/>
      <c r="J522" s="372"/>
      <c r="K522" s="369"/>
      <c r="L522" s="369"/>
      <c r="M522" s="373"/>
      <c r="N522" s="369"/>
      <c r="O522" s="369"/>
      <c r="P522" s="374"/>
      <c r="Q522" s="372"/>
      <c r="R522" s="372"/>
      <c r="S522" s="372"/>
      <c r="T522" s="372"/>
      <c r="U522" s="372"/>
      <c r="V522" s="372"/>
      <c r="W522" s="372"/>
      <c r="X522" s="372"/>
      <c r="Y522" s="372"/>
      <c r="Z522" s="372"/>
      <c r="AA522" s="372"/>
      <c r="AB522" s="372"/>
      <c r="AC522" s="372"/>
      <c r="AD522" s="372"/>
      <c r="AE522" s="372"/>
      <c r="AF522" s="372"/>
      <c r="AG522" s="372"/>
      <c r="AH522" s="372"/>
      <c r="AI522" s="372"/>
      <c r="AJ522" s="372"/>
      <c r="AK522" s="372"/>
      <c r="AL522" s="372"/>
      <c r="AM522" s="372"/>
    </row>
    <row r="523">
      <c r="A523" s="369"/>
      <c r="B523" s="369"/>
      <c r="C523" s="405"/>
      <c r="D523" s="369"/>
      <c r="E523" s="369"/>
      <c r="F523" s="372"/>
      <c r="G523" s="372"/>
      <c r="H523" s="372"/>
      <c r="I523" s="372"/>
      <c r="J523" s="372"/>
      <c r="K523" s="369"/>
      <c r="L523" s="369"/>
      <c r="M523" s="373"/>
      <c r="N523" s="369"/>
      <c r="O523" s="369"/>
      <c r="P523" s="374"/>
      <c r="Q523" s="372"/>
      <c r="R523" s="372"/>
      <c r="S523" s="372"/>
      <c r="T523" s="372"/>
      <c r="U523" s="372"/>
      <c r="V523" s="372"/>
      <c r="W523" s="372"/>
      <c r="X523" s="372"/>
      <c r="Y523" s="372"/>
      <c r="Z523" s="372"/>
      <c r="AA523" s="372"/>
      <c r="AB523" s="372"/>
      <c r="AC523" s="372"/>
      <c r="AD523" s="372"/>
      <c r="AE523" s="372"/>
      <c r="AF523" s="372"/>
      <c r="AG523" s="372"/>
      <c r="AH523" s="372"/>
      <c r="AI523" s="372"/>
      <c r="AJ523" s="372"/>
      <c r="AK523" s="372"/>
      <c r="AL523" s="372"/>
      <c r="AM523" s="372"/>
    </row>
    <row r="524">
      <c r="A524" s="369"/>
      <c r="B524" s="369"/>
      <c r="C524" s="405"/>
      <c r="D524" s="369"/>
      <c r="E524" s="369"/>
      <c r="F524" s="372"/>
      <c r="G524" s="372"/>
      <c r="H524" s="372"/>
      <c r="I524" s="372"/>
      <c r="J524" s="372"/>
      <c r="K524" s="369"/>
      <c r="L524" s="369"/>
      <c r="M524" s="373"/>
      <c r="N524" s="369"/>
      <c r="O524" s="369"/>
      <c r="P524" s="374"/>
      <c r="Q524" s="372"/>
      <c r="R524" s="372"/>
      <c r="S524" s="372"/>
      <c r="T524" s="372"/>
      <c r="U524" s="372"/>
      <c r="V524" s="372"/>
      <c r="W524" s="372"/>
      <c r="X524" s="372"/>
      <c r="Y524" s="372"/>
      <c r="Z524" s="372"/>
      <c r="AA524" s="372"/>
      <c r="AB524" s="372"/>
      <c r="AC524" s="372"/>
      <c r="AD524" s="372"/>
      <c r="AE524" s="372"/>
      <c r="AF524" s="372"/>
      <c r="AG524" s="372"/>
      <c r="AH524" s="372"/>
      <c r="AI524" s="372"/>
      <c r="AJ524" s="372"/>
      <c r="AK524" s="372"/>
      <c r="AL524" s="372"/>
      <c r="AM524" s="372"/>
    </row>
    <row r="525">
      <c r="A525" s="369"/>
      <c r="B525" s="369"/>
      <c r="C525" s="405"/>
      <c r="D525" s="369"/>
      <c r="E525" s="369"/>
      <c r="F525" s="372"/>
      <c r="G525" s="372"/>
      <c r="H525" s="372"/>
      <c r="I525" s="372"/>
      <c r="J525" s="372"/>
      <c r="K525" s="369"/>
      <c r="L525" s="369"/>
      <c r="M525" s="373"/>
      <c r="N525" s="369"/>
      <c r="O525" s="369"/>
      <c r="P525" s="374"/>
      <c r="Q525" s="372"/>
      <c r="R525" s="372"/>
      <c r="S525" s="372"/>
      <c r="T525" s="372"/>
      <c r="U525" s="372"/>
      <c r="V525" s="372"/>
      <c r="W525" s="372"/>
      <c r="X525" s="372"/>
      <c r="Y525" s="372"/>
      <c r="Z525" s="372"/>
      <c r="AA525" s="372"/>
      <c r="AB525" s="372"/>
      <c r="AC525" s="372"/>
      <c r="AD525" s="372"/>
      <c r="AE525" s="372"/>
      <c r="AF525" s="372"/>
      <c r="AG525" s="372"/>
      <c r="AH525" s="372"/>
      <c r="AI525" s="372"/>
      <c r="AJ525" s="372"/>
      <c r="AK525" s="372"/>
      <c r="AL525" s="372"/>
      <c r="AM525" s="372"/>
    </row>
    <row r="526">
      <c r="A526" s="369"/>
      <c r="B526" s="369"/>
      <c r="C526" s="405"/>
      <c r="D526" s="369"/>
      <c r="E526" s="369"/>
      <c r="F526" s="372"/>
      <c r="G526" s="372"/>
      <c r="H526" s="372"/>
      <c r="I526" s="372"/>
      <c r="J526" s="372"/>
      <c r="K526" s="369"/>
      <c r="L526" s="369"/>
      <c r="M526" s="373"/>
      <c r="N526" s="369"/>
      <c r="O526" s="369"/>
      <c r="P526" s="374"/>
      <c r="Q526" s="372"/>
      <c r="R526" s="372"/>
      <c r="S526" s="372"/>
      <c r="T526" s="372"/>
      <c r="U526" s="372"/>
      <c r="V526" s="372"/>
      <c r="W526" s="372"/>
      <c r="X526" s="372"/>
      <c r="Y526" s="372"/>
      <c r="Z526" s="372"/>
      <c r="AA526" s="372"/>
      <c r="AB526" s="372"/>
      <c r="AC526" s="372"/>
      <c r="AD526" s="372"/>
      <c r="AE526" s="372"/>
      <c r="AF526" s="372"/>
      <c r="AG526" s="372"/>
      <c r="AH526" s="372"/>
      <c r="AI526" s="372"/>
      <c r="AJ526" s="372"/>
      <c r="AK526" s="372"/>
      <c r="AL526" s="372"/>
      <c r="AM526" s="372"/>
    </row>
    <row r="527">
      <c r="A527" s="369"/>
      <c r="B527" s="369"/>
      <c r="C527" s="405"/>
      <c r="D527" s="369"/>
      <c r="E527" s="369"/>
      <c r="F527" s="372"/>
      <c r="G527" s="372"/>
      <c r="H527" s="372"/>
      <c r="I527" s="372"/>
      <c r="J527" s="372"/>
      <c r="K527" s="369"/>
      <c r="L527" s="369"/>
      <c r="M527" s="373"/>
      <c r="N527" s="369"/>
      <c r="O527" s="369"/>
      <c r="P527" s="374"/>
      <c r="Q527" s="372"/>
      <c r="R527" s="372"/>
      <c r="S527" s="372"/>
      <c r="T527" s="372"/>
      <c r="U527" s="372"/>
      <c r="V527" s="372"/>
      <c r="W527" s="372"/>
      <c r="X527" s="372"/>
      <c r="Y527" s="372"/>
      <c r="Z527" s="372"/>
      <c r="AA527" s="372"/>
      <c r="AB527" s="372"/>
      <c r="AC527" s="372"/>
      <c r="AD527" s="372"/>
      <c r="AE527" s="372"/>
      <c r="AF527" s="372"/>
      <c r="AG527" s="372"/>
      <c r="AH527" s="372"/>
      <c r="AI527" s="372"/>
      <c r="AJ527" s="372"/>
      <c r="AK527" s="372"/>
      <c r="AL527" s="372"/>
      <c r="AM527" s="372"/>
    </row>
    <row r="528">
      <c r="A528" s="369"/>
      <c r="B528" s="369"/>
      <c r="C528" s="405"/>
      <c r="D528" s="369"/>
      <c r="E528" s="369"/>
      <c r="F528" s="372"/>
      <c r="G528" s="372"/>
      <c r="H528" s="372"/>
      <c r="I528" s="372"/>
      <c r="J528" s="372"/>
      <c r="K528" s="369"/>
      <c r="L528" s="369"/>
      <c r="M528" s="373"/>
      <c r="N528" s="369"/>
      <c r="O528" s="369"/>
      <c r="P528" s="374"/>
      <c r="Q528" s="372"/>
      <c r="R528" s="372"/>
      <c r="S528" s="372"/>
      <c r="T528" s="372"/>
      <c r="U528" s="372"/>
      <c r="V528" s="372"/>
      <c r="W528" s="372"/>
      <c r="X528" s="372"/>
      <c r="Y528" s="372"/>
      <c r="Z528" s="372"/>
      <c r="AA528" s="372"/>
      <c r="AB528" s="372"/>
      <c r="AC528" s="372"/>
      <c r="AD528" s="372"/>
      <c r="AE528" s="372"/>
      <c r="AF528" s="372"/>
      <c r="AG528" s="372"/>
      <c r="AH528" s="372"/>
      <c r="AI528" s="372"/>
      <c r="AJ528" s="372"/>
      <c r="AK528" s="372"/>
      <c r="AL528" s="372"/>
      <c r="AM528" s="372"/>
    </row>
    <row r="529">
      <c r="A529" s="369"/>
      <c r="B529" s="369"/>
      <c r="C529" s="405"/>
      <c r="D529" s="369"/>
      <c r="E529" s="369"/>
      <c r="F529" s="372"/>
      <c r="G529" s="372"/>
      <c r="H529" s="372"/>
      <c r="I529" s="372"/>
      <c r="J529" s="372"/>
      <c r="K529" s="369"/>
      <c r="L529" s="369"/>
      <c r="M529" s="373"/>
      <c r="N529" s="369"/>
      <c r="O529" s="369"/>
      <c r="P529" s="374"/>
      <c r="Q529" s="372"/>
      <c r="R529" s="372"/>
      <c r="S529" s="372"/>
      <c r="T529" s="372"/>
      <c r="U529" s="372"/>
      <c r="V529" s="372"/>
      <c r="W529" s="372"/>
      <c r="X529" s="372"/>
      <c r="Y529" s="372"/>
      <c r="Z529" s="372"/>
      <c r="AA529" s="372"/>
      <c r="AB529" s="372"/>
      <c r="AC529" s="372"/>
      <c r="AD529" s="372"/>
      <c r="AE529" s="372"/>
      <c r="AF529" s="372"/>
      <c r="AG529" s="372"/>
      <c r="AH529" s="372"/>
      <c r="AI529" s="372"/>
      <c r="AJ529" s="372"/>
      <c r="AK529" s="372"/>
      <c r="AL529" s="372"/>
      <c r="AM529" s="372"/>
    </row>
    <row r="530">
      <c r="A530" s="369"/>
      <c r="B530" s="369"/>
      <c r="C530" s="405"/>
      <c r="D530" s="369"/>
      <c r="E530" s="369"/>
      <c r="F530" s="372"/>
      <c r="G530" s="372"/>
      <c r="H530" s="372"/>
      <c r="I530" s="372"/>
      <c r="J530" s="372"/>
      <c r="K530" s="369"/>
      <c r="L530" s="369"/>
      <c r="M530" s="373"/>
      <c r="N530" s="369"/>
      <c r="O530" s="369"/>
      <c r="P530" s="374"/>
      <c r="Q530" s="372"/>
      <c r="R530" s="372"/>
      <c r="S530" s="372"/>
      <c r="T530" s="372"/>
      <c r="U530" s="372"/>
      <c r="V530" s="372"/>
      <c r="W530" s="372"/>
      <c r="X530" s="372"/>
      <c r="Y530" s="372"/>
      <c r="Z530" s="372"/>
      <c r="AA530" s="372"/>
      <c r="AB530" s="372"/>
      <c r="AC530" s="372"/>
      <c r="AD530" s="372"/>
      <c r="AE530" s="372"/>
      <c r="AF530" s="372"/>
      <c r="AG530" s="372"/>
      <c r="AH530" s="372"/>
      <c r="AI530" s="372"/>
      <c r="AJ530" s="372"/>
      <c r="AK530" s="372"/>
      <c r="AL530" s="372"/>
      <c r="AM530" s="372"/>
    </row>
    <row r="531">
      <c r="A531" s="369"/>
      <c r="B531" s="369"/>
      <c r="C531" s="405"/>
      <c r="D531" s="369"/>
      <c r="E531" s="369"/>
      <c r="F531" s="372"/>
      <c r="G531" s="372"/>
      <c r="H531" s="372"/>
      <c r="I531" s="372"/>
      <c r="J531" s="372"/>
      <c r="K531" s="369"/>
      <c r="L531" s="369"/>
      <c r="M531" s="373"/>
      <c r="N531" s="369"/>
      <c r="O531" s="369"/>
      <c r="P531" s="374"/>
      <c r="Q531" s="372"/>
      <c r="R531" s="372"/>
      <c r="S531" s="372"/>
      <c r="T531" s="372"/>
      <c r="U531" s="372"/>
      <c r="V531" s="372"/>
      <c r="W531" s="372"/>
      <c r="X531" s="372"/>
      <c r="Y531" s="372"/>
      <c r="Z531" s="372"/>
      <c r="AA531" s="372"/>
      <c r="AB531" s="372"/>
      <c r="AC531" s="372"/>
      <c r="AD531" s="372"/>
      <c r="AE531" s="372"/>
      <c r="AF531" s="372"/>
      <c r="AG531" s="372"/>
      <c r="AH531" s="372"/>
      <c r="AI531" s="372"/>
      <c r="AJ531" s="372"/>
      <c r="AK531" s="372"/>
      <c r="AL531" s="372"/>
      <c r="AM531" s="372"/>
    </row>
    <row r="532">
      <c r="A532" s="369"/>
      <c r="B532" s="369"/>
      <c r="C532" s="405"/>
      <c r="D532" s="369"/>
      <c r="E532" s="369"/>
      <c r="F532" s="372"/>
      <c r="G532" s="372"/>
      <c r="H532" s="372"/>
      <c r="I532" s="372"/>
      <c r="J532" s="372"/>
      <c r="K532" s="369"/>
      <c r="L532" s="369"/>
      <c r="M532" s="373"/>
      <c r="N532" s="369"/>
      <c r="O532" s="369"/>
      <c r="P532" s="374"/>
      <c r="Q532" s="372"/>
      <c r="R532" s="372"/>
      <c r="S532" s="372"/>
      <c r="T532" s="372"/>
      <c r="U532" s="372"/>
      <c r="V532" s="372"/>
      <c r="W532" s="372"/>
      <c r="X532" s="372"/>
      <c r="Y532" s="372"/>
      <c r="Z532" s="372"/>
      <c r="AA532" s="372"/>
      <c r="AB532" s="372"/>
      <c r="AC532" s="372"/>
      <c r="AD532" s="372"/>
      <c r="AE532" s="372"/>
      <c r="AF532" s="372"/>
      <c r="AG532" s="372"/>
      <c r="AH532" s="372"/>
      <c r="AI532" s="372"/>
      <c r="AJ532" s="372"/>
      <c r="AK532" s="372"/>
      <c r="AL532" s="372"/>
      <c r="AM532" s="372"/>
    </row>
    <row r="533">
      <c r="A533" s="369"/>
      <c r="B533" s="369"/>
      <c r="C533" s="405"/>
      <c r="D533" s="369"/>
      <c r="E533" s="369"/>
      <c r="F533" s="372"/>
      <c r="G533" s="372"/>
      <c r="H533" s="372"/>
      <c r="I533" s="372"/>
      <c r="J533" s="372"/>
      <c r="K533" s="369"/>
      <c r="L533" s="369"/>
      <c r="M533" s="373"/>
      <c r="N533" s="369"/>
      <c r="O533" s="369"/>
      <c r="P533" s="374"/>
      <c r="Q533" s="372"/>
      <c r="R533" s="372"/>
      <c r="S533" s="372"/>
      <c r="T533" s="372"/>
      <c r="U533" s="372"/>
      <c r="V533" s="372"/>
      <c r="W533" s="372"/>
      <c r="X533" s="372"/>
      <c r="Y533" s="372"/>
      <c r="Z533" s="372"/>
      <c r="AA533" s="372"/>
      <c r="AB533" s="372"/>
      <c r="AC533" s="372"/>
      <c r="AD533" s="372"/>
      <c r="AE533" s="372"/>
      <c r="AF533" s="372"/>
      <c r="AG533" s="372"/>
      <c r="AH533" s="372"/>
      <c r="AI533" s="372"/>
      <c r="AJ533" s="372"/>
      <c r="AK533" s="372"/>
      <c r="AL533" s="372"/>
      <c r="AM533" s="372"/>
    </row>
    <row r="534">
      <c r="A534" s="369"/>
      <c r="B534" s="369"/>
      <c r="C534" s="405"/>
      <c r="D534" s="369"/>
      <c r="E534" s="369"/>
      <c r="F534" s="372"/>
      <c r="G534" s="372"/>
      <c r="H534" s="372"/>
      <c r="I534" s="372"/>
      <c r="J534" s="372"/>
      <c r="K534" s="369"/>
      <c r="L534" s="369"/>
      <c r="M534" s="373"/>
      <c r="N534" s="369"/>
      <c r="O534" s="369"/>
      <c r="P534" s="374"/>
      <c r="Q534" s="372"/>
      <c r="R534" s="372"/>
      <c r="S534" s="372"/>
      <c r="T534" s="372"/>
      <c r="U534" s="372"/>
      <c r="V534" s="372"/>
      <c r="W534" s="372"/>
      <c r="X534" s="372"/>
      <c r="Y534" s="372"/>
      <c r="Z534" s="372"/>
      <c r="AA534" s="372"/>
      <c r="AB534" s="372"/>
      <c r="AC534" s="372"/>
      <c r="AD534" s="372"/>
      <c r="AE534" s="372"/>
      <c r="AF534" s="372"/>
      <c r="AG534" s="372"/>
      <c r="AH534" s="372"/>
      <c r="AI534" s="372"/>
      <c r="AJ534" s="372"/>
      <c r="AK534" s="372"/>
      <c r="AL534" s="372"/>
      <c r="AM534" s="372"/>
    </row>
    <row r="535">
      <c r="A535" s="369"/>
      <c r="B535" s="369"/>
      <c r="C535" s="405"/>
      <c r="D535" s="369"/>
      <c r="E535" s="369"/>
      <c r="F535" s="372"/>
      <c r="G535" s="372"/>
      <c r="H535" s="372"/>
      <c r="I535" s="372"/>
      <c r="J535" s="372"/>
      <c r="K535" s="369"/>
      <c r="L535" s="369"/>
      <c r="M535" s="373"/>
      <c r="N535" s="369"/>
      <c r="O535" s="369"/>
      <c r="P535" s="374"/>
      <c r="Q535" s="372"/>
      <c r="R535" s="372"/>
      <c r="S535" s="372"/>
      <c r="T535" s="372"/>
      <c r="U535" s="372"/>
      <c r="V535" s="372"/>
      <c r="W535" s="372"/>
      <c r="X535" s="372"/>
      <c r="Y535" s="372"/>
      <c r="Z535" s="372"/>
      <c r="AA535" s="372"/>
      <c r="AB535" s="372"/>
      <c r="AC535" s="372"/>
      <c r="AD535" s="372"/>
      <c r="AE535" s="372"/>
      <c r="AF535" s="372"/>
      <c r="AG535" s="372"/>
      <c r="AH535" s="372"/>
      <c r="AI535" s="372"/>
      <c r="AJ535" s="372"/>
      <c r="AK535" s="372"/>
      <c r="AL535" s="372"/>
      <c r="AM535" s="372"/>
    </row>
    <row r="536">
      <c r="A536" s="369"/>
      <c r="B536" s="369"/>
      <c r="C536" s="405"/>
      <c r="D536" s="369"/>
      <c r="E536" s="369"/>
      <c r="F536" s="372"/>
      <c r="G536" s="372"/>
      <c r="H536" s="372"/>
      <c r="I536" s="372"/>
      <c r="J536" s="372"/>
      <c r="K536" s="369"/>
      <c r="L536" s="369"/>
      <c r="M536" s="373"/>
      <c r="N536" s="369"/>
      <c r="O536" s="369"/>
      <c r="P536" s="374"/>
      <c r="Q536" s="372"/>
      <c r="R536" s="372"/>
      <c r="S536" s="372"/>
      <c r="T536" s="372"/>
      <c r="U536" s="372"/>
      <c r="V536" s="372"/>
      <c r="W536" s="372"/>
      <c r="X536" s="372"/>
      <c r="Y536" s="372"/>
      <c r="Z536" s="372"/>
      <c r="AA536" s="372"/>
      <c r="AB536" s="372"/>
      <c r="AC536" s="372"/>
      <c r="AD536" s="372"/>
      <c r="AE536" s="372"/>
      <c r="AF536" s="372"/>
      <c r="AG536" s="372"/>
      <c r="AH536" s="372"/>
      <c r="AI536" s="372"/>
      <c r="AJ536" s="372"/>
      <c r="AK536" s="372"/>
      <c r="AL536" s="372"/>
      <c r="AM536" s="372"/>
    </row>
    <row r="537">
      <c r="A537" s="369"/>
      <c r="B537" s="369"/>
      <c r="C537" s="405"/>
      <c r="D537" s="369"/>
      <c r="E537" s="369"/>
      <c r="F537" s="372"/>
      <c r="G537" s="372"/>
      <c r="H537" s="372"/>
      <c r="I537" s="372"/>
      <c r="J537" s="372"/>
      <c r="K537" s="369"/>
      <c r="L537" s="369"/>
      <c r="M537" s="373"/>
      <c r="N537" s="369"/>
      <c r="O537" s="369"/>
      <c r="P537" s="374"/>
      <c r="Q537" s="372"/>
      <c r="R537" s="372"/>
      <c r="S537" s="372"/>
      <c r="T537" s="372"/>
      <c r="U537" s="372"/>
      <c r="V537" s="372"/>
      <c r="W537" s="372"/>
      <c r="X537" s="372"/>
      <c r="Y537" s="372"/>
      <c r="Z537" s="372"/>
      <c r="AA537" s="372"/>
      <c r="AB537" s="372"/>
      <c r="AC537" s="372"/>
      <c r="AD537" s="372"/>
      <c r="AE537" s="372"/>
      <c r="AF537" s="372"/>
      <c r="AG537" s="372"/>
      <c r="AH537" s="372"/>
      <c r="AI537" s="372"/>
      <c r="AJ537" s="372"/>
      <c r="AK537" s="372"/>
      <c r="AL537" s="372"/>
      <c r="AM537" s="372"/>
    </row>
    <row r="538">
      <c r="A538" s="369"/>
      <c r="B538" s="369"/>
      <c r="C538" s="405"/>
      <c r="D538" s="369"/>
      <c r="E538" s="369"/>
      <c r="F538" s="372"/>
      <c r="G538" s="372"/>
      <c r="H538" s="372"/>
      <c r="I538" s="372"/>
      <c r="J538" s="372"/>
      <c r="K538" s="369"/>
      <c r="L538" s="369"/>
      <c r="M538" s="373"/>
      <c r="N538" s="369"/>
      <c r="O538" s="369"/>
      <c r="P538" s="374"/>
      <c r="Q538" s="372"/>
      <c r="R538" s="372"/>
      <c r="S538" s="372"/>
      <c r="T538" s="372"/>
      <c r="U538" s="372"/>
      <c r="V538" s="372"/>
      <c r="W538" s="372"/>
      <c r="X538" s="372"/>
      <c r="Y538" s="372"/>
      <c r="Z538" s="372"/>
      <c r="AA538" s="372"/>
      <c r="AB538" s="372"/>
      <c r="AC538" s="372"/>
      <c r="AD538" s="372"/>
      <c r="AE538" s="372"/>
      <c r="AF538" s="372"/>
      <c r="AG538" s="372"/>
      <c r="AH538" s="372"/>
      <c r="AI538" s="372"/>
      <c r="AJ538" s="372"/>
      <c r="AK538" s="372"/>
      <c r="AL538" s="372"/>
      <c r="AM538" s="372"/>
    </row>
    <row r="539">
      <c r="A539" s="369"/>
      <c r="B539" s="369"/>
      <c r="C539" s="405"/>
      <c r="D539" s="369"/>
      <c r="E539" s="369"/>
      <c r="F539" s="372"/>
      <c r="G539" s="372"/>
      <c r="H539" s="372"/>
      <c r="I539" s="372"/>
      <c r="J539" s="372"/>
      <c r="K539" s="369"/>
      <c r="L539" s="369"/>
      <c r="M539" s="373"/>
      <c r="N539" s="369"/>
      <c r="O539" s="369"/>
      <c r="P539" s="374"/>
      <c r="Q539" s="372"/>
      <c r="R539" s="372"/>
      <c r="S539" s="372"/>
      <c r="T539" s="372"/>
      <c r="U539" s="372"/>
      <c r="V539" s="372"/>
      <c r="W539" s="372"/>
      <c r="X539" s="372"/>
      <c r="Y539" s="372"/>
      <c r="Z539" s="372"/>
      <c r="AA539" s="372"/>
      <c r="AB539" s="372"/>
      <c r="AC539" s="372"/>
      <c r="AD539" s="372"/>
      <c r="AE539" s="372"/>
      <c r="AF539" s="372"/>
      <c r="AG539" s="372"/>
      <c r="AH539" s="372"/>
      <c r="AI539" s="372"/>
      <c r="AJ539" s="372"/>
      <c r="AK539" s="372"/>
      <c r="AL539" s="372"/>
      <c r="AM539" s="372"/>
    </row>
    <row r="540">
      <c r="A540" s="369"/>
      <c r="B540" s="369"/>
      <c r="C540" s="405"/>
      <c r="D540" s="369"/>
      <c r="E540" s="369"/>
      <c r="F540" s="372"/>
      <c r="G540" s="372"/>
      <c r="H540" s="372"/>
      <c r="I540" s="372"/>
      <c r="J540" s="372"/>
      <c r="K540" s="369"/>
      <c r="L540" s="369"/>
      <c r="M540" s="373"/>
      <c r="N540" s="369"/>
      <c r="O540" s="369"/>
      <c r="P540" s="374"/>
      <c r="Q540" s="372"/>
      <c r="R540" s="372"/>
      <c r="S540" s="372"/>
      <c r="T540" s="372"/>
      <c r="U540" s="372"/>
      <c r="V540" s="372"/>
      <c r="W540" s="372"/>
      <c r="X540" s="372"/>
      <c r="Y540" s="372"/>
      <c r="Z540" s="372"/>
      <c r="AA540" s="372"/>
      <c r="AB540" s="372"/>
      <c r="AC540" s="372"/>
      <c r="AD540" s="372"/>
      <c r="AE540" s="372"/>
      <c r="AF540" s="372"/>
      <c r="AG540" s="372"/>
      <c r="AH540" s="372"/>
      <c r="AI540" s="372"/>
      <c r="AJ540" s="372"/>
      <c r="AK540" s="372"/>
      <c r="AL540" s="372"/>
      <c r="AM540" s="372"/>
    </row>
    <row r="541">
      <c r="A541" s="369"/>
      <c r="B541" s="369"/>
      <c r="C541" s="405"/>
      <c r="D541" s="369"/>
      <c r="E541" s="369"/>
      <c r="F541" s="372"/>
      <c r="G541" s="372"/>
      <c r="H541" s="372"/>
      <c r="I541" s="372"/>
      <c r="J541" s="372"/>
      <c r="K541" s="369"/>
      <c r="L541" s="369"/>
      <c r="M541" s="373"/>
      <c r="N541" s="369"/>
      <c r="O541" s="369"/>
      <c r="P541" s="374"/>
      <c r="Q541" s="372"/>
      <c r="R541" s="372"/>
      <c r="S541" s="372"/>
      <c r="T541" s="372"/>
      <c r="U541" s="372"/>
      <c r="V541" s="372"/>
      <c r="W541" s="372"/>
      <c r="X541" s="372"/>
      <c r="Y541" s="372"/>
      <c r="Z541" s="372"/>
      <c r="AA541" s="372"/>
      <c r="AB541" s="372"/>
      <c r="AC541" s="372"/>
      <c r="AD541" s="372"/>
      <c r="AE541" s="372"/>
      <c r="AF541" s="372"/>
      <c r="AG541" s="372"/>
      <c r="AH541" s="372"/>
      <c r="AI541" s="372"/>
      <c r="AJ541" s="372"/>
      <c r="AK541" s="372"/>
      <c r="AL541" s="372"/>
      <c r="AM541" s="372"/>
    </row>
    <row r="542">
      <c r="A542" s="369"/>
      <c r="B542" s="369"/>
      <c r="C542" s="405"/>
      <c r="D542" s="369"/>
      <c r="E542" s="369"/>
      <c r="F542" s="372"/>
      <c r="G542" s="372"/>
      <c r="H542" s="372"/>
      <c r="I542" s="372"/>
      <c r="J542" s="372"/>
      <c r="K542" s="369"/>
      <c r="L542" s="369"/>
      <c r="M542" s="373"/>
      <c r="N542" s="369"/>
      <c r="O542" s="369"/>
      <c r="P542" s="374"/>
      <c r="Q542" s="372"/>
      <c r="R542" s="372"/>
      <c r="S542" s="372"/>
      <c r="T542" s="372"/>
      <c r="U542" s="372"/>
      <c r="V542" s="372"/>
      <c r="W542" s="372"/>
      <c r="X542" s="372"/>
      <c r="Y542" s="372"/>
      <c r="Z542" s="372"/>
      <c r="AA542" s="372"/>
      <c r="AB542" s="372"/>
      <c r="AC542" s="372"/>
      <c r="AD542" s="372"/>
      <c r="AE542" s="372"/>
      <c r="AF542" s="372"/>
      <c r="AG542" s="372"/>
      <c r="AH542" s="372"/>
      <c r="AI542" s="372"/>
      <c r="AJ542" s="372"/>
      <c r="AK542" s="372"/>
      <c r="AL542" s="372"/>
      <c r="AM542" s="372"/>
    </row>
    <row r="543">
      <c r="A543" s="369"/>
      <c r="B543" s="369"/>
      <c r="C543" s="405"/>
      <c r="D543" s="369"/>
      <c r="E543" s="369"/>
      <c r="F543" s="372"/>
      <c r="G543" s="372"/>
      <c r="H543" s="372"/>
      <c r="I543" s="372"/>
      <c r="J543" s="372"/>
      <c r="K543" s="369"/>
      <c r="L543" s="369"/>
      <c r="M543" s="373"/>
      <c r="N543" s="369"/>
      <c r="O543" s="369"/>
      <c r="P543" s="374"/>
      <c r="Q543" s="372"/>
      <c r="R543" s="372"/>
      <c r="S543" s="372"/>
      <c r="T543" s="372"/>
      <c r="U543" s="372"/>
      <c r="V543" s="372"/>
      <c r="W543" s="372"/>
      <c r="X543" s="372"/>
      <c r="Y543" s="372"/>
      <c r="Z543" s="372"/>
      <c r="AA543" s="372"/>
      <c r="AB543" s="372"/>
      <c r="AC543" s="372"/>
      <c r="AD543" s="372"/>
      <c r="AE543" s="372"/>
      <c r="AF543" s="372"/>
      <c r="AG543" s="372"/>
      <c r="AH543" s="372"/>
      <c r="AI543" s="372"/>
      <c r="AJ543" s="372"/>
      <c r="AK543" s="372"/>
      <c r="AL543" s="372"/>
      <c r="AM543" s="372"/>
    </row>
    <row r="544">
      <c r="A544" s="369"/>
      <c r="B544" s="369"/>
      <c r="C544" s="405"/>
      <c r="D544" s="369"/>
      <c r="E544" s="369"/>
      <c r="F544" s="372"/>
      <c r="G544" s="372"/>
      <c r="H544" s="372"/>
      <c r="I544" s="372"/>
      <c r="J544" s="372"/>
      <c r="K544" s="369"/>
      <c r="L544" s="369"/>
      <c r="M544" s="373"/>
      <c r="N544" s="369"/>
      <c r="O544" s="369"/>
      <c r="P544" s="374"/>
      <c r="Q544" s="372"/>
      <c r="R544" s="372"/>
      <c r="S544" s="372"/>
      <c r="T544" s="372"/>
      <c r="U544" s="372"/>
      <c r="V544" s="372"/>
      <c r="W544" s="372"/>
      <c r="X544" s="372"/>
      <c r="Y544" s="372"/>
      <c r="Z544" s="372"/>
      <c r="AA544" s="372"/>
      <c r="AB544" s="372"/>
      <c r="AC544" s="372"/>
      <c r="AD544" s="372"/>
      <c r="AE544" s="372"/>
      <c r="AF544" s="372"/>
      <c r="AG544" s="372"/>
      <c r="AH544" s="372"/>
      <c r="AI544" s="372"/>
      <c r="AJ544" s="372"/>
      <c r="AK544" s="372"/>
      <c r="AL544" s="372"/>
      <c r="AM544" s="372"/>
    </row>
    <row r="545">
      <c r="A545" s="369"/>
      <c r="B545" s="369"/>
      <c r="C545" s="405"/>
      <c r="D545" s="369"/>
      <c r="E545" s="369"/>
      <c r="F545" s="372"/>
      <c r="G545" s="372"/>
      <c r="H545" s="372"/>
      <c r="I545" s="372"/>
      <c r="J545" s="372"/>
      <c r="K545" s="369"/>
      <c r="L545" s="369"/>
      <c r="M545" s="373"/>
      <c r="N545" s="369"/>
      <c r="O545" s="369"/>
      <c r="P545" s="374"/>
      <c r="Q545" s="372"/>
      <c r="R545" s="372"/>
      <c r="S545" s="372"/>
      <c r="T545" s="372"/>
      <c r="U545" s="372"/>
      <c r="V545" s="372"/>
      <c r="W545" s="372"/>
      <c r="X545" s="372"/>
      <c r="Y545" s="372"/>
      <c r="Z545" s="372"/>
      <c r="AA545" s="372"/>
      <c r="AB545" s="372"/>
      <c r="AC545" s="372"/>
      <c r="AD545" s="372"/>
      <c r="AE545" s="372"/>
      <c r="AF545" s="372"/>
      <c r="AG545" s="372"/>
      <c r="AH545" s="372"/>
      <c r="AI545" s="372"/>
      <c r="AJ545" s="372"/>
      <c r="AK545" s="372"/>
      <c r="AL545" s="372"/>
      <c r="AM545" s="372"/>
    </row>
    <row r="546">
      <c r="A546" s="369"/>
      <c r="B546" s="369"/>
      <c r="C546" s="405"/>
      <c r="D546" s="369"/>
      <c r="E546" s="369"/>
      <c r="F546" s="372"/>
      <c r="G546" s="372"/>
      <c r="H546" s="372"/>
      <c r="I546" s="372"/>
      <c r="J546" s="372"/>
      <c r="K546" s="369"/>
      <c r="L546" s="369"/>
      <c r="M546" s="373"/>
      <c r="N546" s="369"/>
      <c r="O546" s="369"/>
      <c r="P546" s="374"/>
      <c r="Q546" s="372"/>
      <c r="R546" s="372"/>
      <c r="S546" s="372"/>
      <c r="T546" s="372"/>
      <c r="U546" s="372"/>
      <c r="V546" s="372"/>
      <c r="W546" s="372"/>
      <c r="X546" s="372"/>
      <c r="Y546" s="372"/>
      <c r="Z546" s="372"/>
      <c r="AA546" s="372"/>
      <c r="AB546" s="372"/>
      <c r="AC546" s="372"/>
      <c r="AD546" s="372"/>
      <c r="AE546" s="372"/>
      <c r="AF546" s="372"/>
      <c r="AG546" s="372"/>
      <c r="AH546" s="372"/>
      <c r="AI546" s="372"/>
      <c r="AJ546" s="372"/>
      <c r="AK546" s="372"/>
      <c r="AL546" s="372"/>
      <c r="AM546" s="372"/>
    </row>
    <row r="547">
      <c r="A547" s="369"/>
      <c r="B547" s="369"/>
      <c r="C547" s="405"/>
      <c r="D547" s="369"/>
      <c r="E547" s="369"/>
      <c r="F547" s="372"/>
      <c r="G547" s="372"/>
      <c r="H547" s="372"/>
      <c r="I547" s="372"/>
      <c r="J547" s="372"/>
      <c r="K547" s="369"/>
      <c r="L547" s="369"/>
      <c r="M547" s="373"/>
      <c r="N547" s="369"/>
      <c r="O547" s="369"/>
      <c r="P547" s="374"/>
      <c r="Q547" s="372"/>
      <c r="R547" s="372"/>
      <c r="S547" s="372"/>
      <c r="T547" s="372"/>
      <c r="U547" s="372"/>
      <c r="V547" s="372"/>
      <c r="W547" s="372"/>
      <c r="X547" s="372"/>
      <c r="Y547" s="372"/>
      <c r="Z547" s="372"/>
      <c r="AA547" s="372"/>
      <c r="AB547" s="372"/>
      <c r="AC547" s="372"/>
      <c r="AD547" s="372"/>
      <c r="AE547" s="372"/>
      <c r="AF547" s="372"/>
      <c r="AG547" s="372"/>
      <c r="AH547" s="372"/>
      <c r="AI547" s="372"/>
      <c r="AJ547" s="372"/>
      <c r="AK547" s="372"/>
      <c r="AL547" s="372"/>
      <c r="AM547" s="372"/>
    </row>
    <row r="548">
      <c r="A548" s="369"/>
      <c r="B548" s="369"/>
      <c r="C548" s="405"/>
      <c r="D548" s="369"/>
      <c r="E548" s="369"/>
      <c r="F548" s="372"/>
      <c r="G548" s="372"/>
      <c r="H548" s="372"/>
      <c r="I548" s="372"/>
      <c r="J548" s="372"/>
      <c r="K548" s="369"/>
      <c r="L548" s="369"/>
      <c r="M548" s="373"/>
      <c r="N548" s="369"/>
      <c r="O548" s="369"/>
      <c r="P548" s="374"/>
      <c r="Q548" s="372"/>
      <c r="R548" s="372"/>
      <c r="S548" s="372"/>
      <c r="T548" s="372"/>
      <c r="U548" s="372"/>
      <c r="V548" s="372"/>
      <c r="W548" s="372"/>
      <c r="X548" s="372"/>
      <c r="Y548" s="372"/>
      <c r="Z548" s="372"/>
      <c r="AA548" s="372"/>
      <c r="AB548" s="372"/>
      <c r="AC548" s="372"/>
      <c r="AD548" s="372"/>
      <c r="AE548" s="372"/>
      <c r="AF548" s="372"/>
      <c r="AG548" s="372"/>
      <c r="AH548" s="372"/>
      <c r="AI548" s="372"/>
      <c r="AJ548" s="372"/>
      <c r="AK548" s="372"/>
      <c r="AL548" s="372"/>
      <c r="AM548" s="372"/>
    </row>
    <row r="549">
      <c r="A549" s="369"/>
      <c r="B549" s="369"/>
      <c r="C549" s="405"/>
      <c r="D549" s="369"/>
      <c r="E549" s="369"/>
      <c r="F549" s="372"/>
      <c r="G549" s="372"/>
      <c r="H549" s="372"/>
      <c r="I549" s="372"/>
      <c r="J549" s="372"/>
      <c r="K549" s="369"/>
      <c r="L549" s="369"/>
      <c r="M549" s="373"/>
      <c r="N549" s="369"/>
      <c r="O549" s="369"/>
      <c r="P549" s="374"/>
      <c r="Q549" s="372"/>
      <c r="R549" s="372"/>
      <c r="S549" s="372"/>
      <c r="T549" s="372"/>
      <c r="U549" s="372"/>
      <c r="V549" s="372"/>
      <c r="W549" s="372"/>
      <c r="X549" s="372"/>
      <c r="Y549" s="372"/>
      <c r="Z549" s="372"/>
      <c r="AA549" s="372"/>
      <c r="AB549" s="372"/>
      <c r="AC549" s="372"/>
      <c r="AD549" s="372"/>
      <c r="AE549" s="372"/>
      <c r="AF549" s="372"/>
      <c r="AG549" s="372"/>
      <c r="AH549" s="372"/>
      <c r="AI549" s="372"/>
      <c r="AJ549" s="372"/>
      <c r="AK549" s="372"/>
      <c r="AL549" s="372"/>
      <c r="AM549" s="372"/>
    </row>
    <row r="550">
      <c r="A550" s="369"/>
      <c r="B550" s="369"/>
      <c r="C550" s="405"/>
      <c r="D550" s="369"/>
      <c r="E550" s="369"/>
      <c r="F550" s="372"/>
      <c r="G550" s="372"/>
      <c r="H550" s="372"/>
      <c r="I550" s="372"/>
      <c r="J550" s="372"/>
      <c r="K550" s="369"/>
      <c r="L550" s="369"/>
      <c r="M550" s="373"/>
      <c r="N550" s="369"/>
      <c r="O550" s="369"/>
      <c r="P550" s="374"/>
      <c r="Q550" s="372"/>
      <c r="R550" s="372"/>
      <c r="S550" s="372"/>
      <c r="T550" s="372"/>
      <c r="U550" s="372"/>
      <c r="V550" s="372"/>
      <c r="W550" s="372"/>
      <c r="X550" s="372"/>
      <c r="Y550" s="372"/>
      <c r="Z550" s="372"/>
      <c r="AA550" s="372"/>
      <c r="AB550" s="372"/>
      <c r="AC550" s="372"/>
      <c r="AD550" s="372"/>
      <c r="AE550" s="372"/>
      <c r="AF550" s="372"/>
      <c r="AG550" s="372"/>
      <c r="AH550" s="372"/>
      <c r="AI550" s="372"/>
      <c r="AJ550" s="372"/>
      <c r="AK550" s="372"/>
      <c r="AL550" s="372"/>
      <c r="AM550" s="372"/>
    </row>
    <row r="551">
      <c r="A551" s="369"/>
      <c r="B551" s="369"/>
      <c r="C551" s="405"/>
      <c r="D551" s="369"/>
      <c r="E551" s="369"/>
      <c r="F551" s="372"/>
      <c r="G551" s="372"/>
      <c r="H551" s="372"/>
      <c r="I551" s="372"/>
      <c r="J551" s="372"/>
      <c r="K551" s="369"/>
      <c r="L551" s="369"/>
      <c r="M551" s="373"/>
      <c r="N551" s="369"/>
      <c r="O551" s="369"/>
      <c r="P551" s="374"/>
      <c r="Q551" s="372"/>
      <c r="R551" s="372"/>
      <c r="S551" s="372"/>
      <c r="T551" s="372"/>
      <c r="U551" s="372"/>
      <c r="V551" s="372"/>
      <c r="W551" s="372"/>
      <c r="X551" s="372"/>
      <c r="Y551" s="372"/>
      <c r="Z551" s="372"/>
      <c r="AA551" s="372"/>
      <c r="AB551" s="372"/>
      <c r="AC551" s="372"/>
      <c r="AD551" s="372"/>
      <c r="AE551" s="372"/>
      <c r="AF551" s="372"/>
      <c r="AG551" s="372"/>
      <c r="AH551" s="372"/>
      <c r="AI551" s="372"/>
      <c r="AJ551" s="372"/>
      <c r="AK551" s="372"/>
      <c r="AL551" s="372"/>
      <c r="AM551" s="372"/>
    </row>
    <row r="552">
      <c r="A552" s="369"/>
      <c r="B552" s="369"/>
      <c r="C552" s="405"/>
      <c r="D552" s="369"/>
      <c r="E552" s="369"/>
      <c r="F552" s="372"/>
      <c r="G552" s="372"/>
      <c r="H552" s="372"/>
      <c r="I552" s="372"/>
      <c r="J552" s="372"/>
      <c r="K552" s="369"/>
      <c r="L552" s="369"/>
      <c r="M552" s="373"/>
      <c r="N552" s="369"/>
      <c r="O552" s="369"/>
      <c r="P552" s="374"/>
      <c r="Q552" s="372"/>
      <c r="R552" s="372"/>
      <c r="S552" s="372"/>
      <c r="T552" s="372"/>
      <c r="U552" s="372"/>
      <c r="V552" s="372"/>
      <c r="W552" s="372"/>
      <c r="X552" s="372"/>
      <c r="Y552" s="372"/>
      <c r="Z552" s="372"/>
      <c r="AA552" s="372"/>
      <c r="AB552" s="372"/>
      <c r="AC552" s="372"/>
      <c r="AD552" s="372"/>
      <c r="AE552" s="372"/>
      <c r="AF552" s="372"/>
      <c r="AG552" s="372"/>
      <c r="AH552" s="372"/>
      <c r="AI552" s="372"/>
      <c r="AJ552" s="372"/>
      <c r="AK552" s="372"/>
      <c r="AL552" s="372"/>
      <c r="AM552" s="372"/>
    </row>
    <row r="553">
      <c r="A553" s="369"/>
      <c r="B553" s="369"/>
      <c r="C553" s="405"/>
      <c r="D553" s="369"/>
      <c r="E553" s="369"/>
      <c r="F553" s="372"/>
      <c r="G553" s="372"/>
      <c r="H553" s="372"/>
      <c r="I553" s="372"/>
      <c r="J553" s="372"/>
      <c r="K553" s="369"/>
      <c r="L553" s="369"/>
      <c r="M553" s="373"/>
      <c r="N553" s="369"/>
      <c r="O553" s="369"/>
      <c r="P553" s="374"/>
      <c r="Q553" s="372"/>
      <c r="R553" s="372"/>
      <c r="S553" s="372"/>
      <c r="T553" s="372"/>
      <c r="U553" s="372"/>
      <c r="V553" s="372"/>
      <c r="W553" s="372"/>
      <c r="X553" s="372"/>
      <c r="Y553" s="372"/>
      <c r="Z553" s="372"/>
      <c r="AA553" s="372"/>
      <c r="AB553" s="372"/>
      <c r="AC553" s="372"/>
      <c r="AD553" s="372"/>
      <c r="AE553" s="372"/>
      <c r="AF553" s="372"/>
      <c r="AG553" s="372"/>
      <c r="AH553" s="372"/>
      <c r="AI553" s="372"/>
      <c r="AJ553" s="372"/>
      <c r="AK553" s="372"/>
      <c r="AL553" s="372"/>
      <c r="AM553" s="372"/>
    </row>
    <row r="554">
      <c r="A554" s="369"/>
      <c r="B554" s="369"/>
      <c r="C554" s="405"/>
      <c r="D554" s="369"/>
      <c r="E554" s="369"/>
      <c r="F554" s="372"/>
      <c r="G554" s="372"/>
      <c r="H554" s="372"/>
      <c r="I554" s="372"/>
      <c r="J554" s="372"/>
      <c r="K554" s="369"/>
      <c r="L554" s="369"/>
      <c r="M554" s="373"/>
      <c r="N554" s="369"/>
      <c r="O554" s="369"/>
      <c r="P554" s="374"/>
      <c r="Q554" s="372"/>
      <c r="R554" s="372"/>
      <c r="S554" s="372"/>
      <c r="T554" s="372"/>
      <c r="U554" s="372"/>
      <c r="V554" s="372"/>
      <c r="W554" s="372"/>
      <c r="X554" s="372"/>
      <c r="Y554" s="372"/>
      <c r="Z554" s="372"/>
      <c r="AA554" s="372"/>
      <c r="AB554" s="372"/>
      <c r="AC554" s="372"/>
      <c r="AD554" s="372"/>
      <c r="AE554" s="372"/>
      <c r="AF554" s="372"/>
      <c r="AG554" s="372"/>
      <c r="AH554" s="372"/>
      <c r="AI554" s="372"/>
      <c r="AJ554" s="372"/>
      <c r="AK554" s="372"/>
      <c r="AL554" s="372"/>
      <c r="AM554" s="372"/>
    </row>
    <row r="555">
      <c r="A555" s="369"/>
      <c r="B555" s="369"/>
      <c r="C555" s="405"/>
      <c r="D555" s="369"/>
      <c r="E555" s="369"/>
      <c r="F555" s="372"/>
      <c r="G555" s="372"/>
      <c r="H555" s="372"/>
      <c r="I555" s="372"/>
      <c r="J555" s="372"/>
      <c r="K555" s="369"/>
      <c r="L555" s="369"/>
      <c r="M555" s="373"/>
      <c r="N555" s="369"/>
      <c r="O555" s="369"/>
      <c r="P555" s="374"/>
      <c r="Q555" s="372"/>
      <c r="R555" s="372"/>
      <c r="S555" s="372"/>
      <c r="T555" s="372"/>
      <c r="U555" s="372"/>
      <c r="V555" s="372"/>
      <c r="W555" s="372"/>
      <c r="X555" s="372"/>
      <c r="Y555" s="372"/>
      <c r="Z555" s="372"/>
      <c r="AA555" s="372"/>
      <c r="AB555" s="372"/>
      <c r="AC555" s="372"/>
      <c r="AD555" s="372"/>
      <c r="AE555" s="372"/>
      <c r="AF555" s="372"/>
      <c r="AG555" s="372"/>
      <c r="AH555" s="372"/>
      <c r="AI555" s="372"/>
      <c r="AJ555" s="372"/>
      <c r="AK555" s="372"/>
      <c r="AL555" s="372"/>
      <c r="AM555" s="372"/>
    </row>
    <row r="556">
      <c r="A556" s="369"/>
      <c r="B556" s="369"/>
      <c r="C556" s="405"/>
      <c r="D556" s="369"/>
      <c r="E556" s="369"/>
      <c r="F556" s="372"/>
      <c r="G556" s="372"/>
      <c r="H556" s="372"/>
      <c r="I556" s="372"/>
      <c r="J556" s="372"/>
      <c r="K556" s="369"/>
      <c r="L556" s="369"/>
      <c r="M556" s="373"/>
      <c r="N556" s="369"/>
      <c r="O556" s="369"/>
      <c r="P556" s="374"/>
      <c r="Q556" s="372"/>
      <c r="R556" s="372"/>
      <c r="S556" s="372"/>
      <c r="T556" s="372"/>
      <c r="U556" s="372"/>
      <c r="V556" s="372"/>
      <c r="W556" s="372"/>
      <c r="X556" s="372"/>
      <c r="Y556" s="372"/>
      <c r="Z556" s="372"/>
      <c r="AA556" s="372"/>
      <c r="AB556" s="372"/>
      <c r="AC556" s="372"/>
      <c r="AD556" s="372"/>
      <c r="AE556" s="372"/>
      <c r="AF556" s="372"/>
      <c r="AG556" s="372"/>
      <c r="AH556" s="372"/>
      <c r="AI556" s="372"/>
      <c r="AJ556" s="372"/>
      <c r="AK556" s="372"/>
      <c r="AL556" s="372"/>
      <c r="AM556" s="372"/>
    </row>
    <row r="557">
      <c r="A557" s="369"/>
      <c r="B557" s="369"/>
      <c r="C557" s="405"/>
      <c r="D557" s="369"/>
      <c r="E557" s="369"/>
      <c r="F557" s="372"/>
      <c r="G557" s="372"/>
      <c r="H557" s="372"/>
      <c r="I557" s="372"/>
      <c r="J557" s="372"/>
      <c r="K557" s="369"/>
      <c r="L557" s="369"/>
      <c r="M557" s="373"/>
      <c r="N557" s="369"/>
      <c r="O557" s="369"/>
      <c r="P557" s="374"/>
      <c r="Q557" s="372"/>
      <c r="R557" s="372"/>
      <c r="S557" s="372"/>
      <c r="T557" s="372"/>
      <c r="U557" s="372"/>
      <c r="V557" s="372"/>
      <c r="W557" s="372"/>
      <c r="X557" s="372"/>
      <c r="Y557" s="372"/>
      <c r="Z557" s="372"/>
      <c r="AA557" s="372"/>
      <c r="AB557" s="372"/>
      <c r="AC557" s="372"/>
      <c r="AD557" s="372"/>
      <c r="AE557" s="372"/>
      <c r="AF557" s="372"/>
      <c r="AG557" s="372"/>
      <c r="AH557" s="372"/>
      <c r="AI557" s="372"/>
      <c r="AJ557" s="372"/>
      <c r="AK557" s="372"/>
      <c r="AL557" s="372"/>
      <c r="AM557" s="372"/>
    </row>
    <row r="558">
      <c r="A558" s="369"/>
      <c r="B558" s="369"/>
      <c r="C558" s="405"/>
      <c r="D558" s="369"/>
      <c r="E558" s="369"/>
      <c r="F558" s="372"/>
      <c r="G558" s="372"/>
      <c r="H558" s="372"/>
      <c r="I558" s="372"/>
      <c r="J558" s="372"/>
      <c r="K558" s="369"/>
      <c r="L558" s="369"/>
      <c r="M558" s="373"/>
      <c r="N558" s="369"/>
      <c r="O558" s="369"/>
      <c r="P558" s="374"/>
      <c r="Q558" s="372"/>
      <c r="R558" s="372"/>
      <c r="S558" s="372"/>
      <c r="T558" s="372"/>
      <c r="U558" s="372"/>
      <c r="V558" s="372"/>
      <c r="W558" s="372"/>
      <c r="X558" s="372"/>
      <c r="Y558" s="372"/>
      <c r="Z558" s="372"/>
      <c r="AA558" s="372"/>
      <c r="AB558" s="372"/>
      <c r="AC558" s="372"/>
      <c r="AD558" s="372"/>
      <c r="AE558" s="372"/>
      <c r="AF558" s="372"/>
      <c r="AG558" s="372"/>
      <c r="AH558" s="372"/>
      <c r="AI558" s="372"/>
      <c r="AJ558" s="372"/>
      <c r="AK558" s="372"/>
      <c r="AL558" s="372"/>
      <c r="AM558" s="372"/>
    </row>
    <row r="559">
      <c r="A559" s="369"/>
      <c r="B559" s="369"/>
      <c r="C559" s="405"/>
      <c r="D559" s="369"/>
      <c r="E559" s="369"/>
      <c r="F559" s="372"/>
      <c r="G559" s="372"/>
      <c r="H559" s="372"/>
      <c r="I559" s="372"/>
      <c r="J559" s="372"/>
      <c r="K559" s="369"/>
      <c r="L559" s="369"/>
      <c r="M559" s="373"/>
      <c r="N559" s="369"/>
      <c r="O559" s="369"/>
      <c r="P559" s="374"/>
      <c r="Q559" s="372"/>
      <c r="R559" s="372"/>
      <c r="S559" s="372"/>
      <c r="T559" s="372"/>
      <c r="U559" s="372"/>
      <c r="V559" s="372"/>
      <c r="W559" s="372"/>
      <c r="X559" s="372"/>
      <c r="Y559" s="372"/>
      <c r="Z559" s="372"/>
      <c r="AA559" s="372"/>
      <c r="AB559" s="372"/>
      <c r="AC559" s="372"/>
      <c r="AD559" s="372"/>
      <c r="AE559" s="372"/>
      <c r="AF559" s="372"/>
      <c r="AG559" s="372"/>
      <c r="AH559" s="372"/>
      <c r="AI559" s="372"/>
      <c r="AJ559" s="372"/>
      <c r="AK559" s="372"/>
      <c r="AL559" s="372"/>
      <c r="AM559" s="372"/>
    </row>
    <row r="560">
      <c r="A560" s="369"/>
      <c r="B560" s="369"/>
      <c r="C560" s="405"/>
      <c r="D560" s="369"/>
      <c r="E560" s="369"/>
      <c r="F560" s="372"/>
      <c r="G560" s="372"/>
      <c r="H560" s="372"/>
      <c r="I560" s="372"/>
      <c r="J560" s="372"/>
      <c r="K560" s="369"/>
      <c r="L560" s="369"/>
      <c r="M560" s="373"/>
      <c r="N560" s="369"/>
      <c r="O560" s="369"/>
      <c r="P560" s="374"/>
      <c r="Q560" s="372"/>
      <c r="R560" s="372"/>
      <c r="S560" s="372"/>
      <c r="T560" s="372"/>
      <c r="U560" s="372"/>
      <c r="V560" s="372"/>
      <c r="W560" s="372"/>
      <c r="X560" s="372"/>
      <c r="Y560" s="372"/>
      <c r="Z560" s="372"/>
      <c r="AA560" s="372"/>
      <c r="AB560" s="372"/>
      <c r="AC560" s="372"/>
      <c r="AD560" s="372"/>
      <c r="AE560" s="372"/>
      <c r="AF560" s="372"/>
      <c r="AG560" s="372"/>
      <c r="AH560" s="372"/>
      <c r="AI560" s="372"/>
      <c r="AJ560" s="372"/>
      <c r="AK560" s="372"/>
      <c r="AL560" s="372"/>
      <c r="AM560" s="372"/>
    </row>
    <row r="561">
      <c r="A561" s="369"/>
      <c r="B561" s="369"/>
      <c r="C561" s="405"/>
      <c r="D561" s="369"/>
      <c r="E561" s="369"/>
      <c r="F561" s="372"/>
      <c r="G561" s="372"/>
      <c r="H561" s="372"/>
      <c r="I561" s="372"/>
      <c r="J561" s="372"/>
      <c r="K561" s="369"/>
      <c r="L561" s="369"/>
      <c r="M561" s="373"/>
      <c r="N561" s="369"/>
      <c r="O561" s="369"/>
      <c r="P561" s="374"/>
      <c r="Q561" s="372"/>
      <c r="R561" s="372"/>
      <c r="S561" s="372"/>
      <c r="T561" s="372"/>
      <c r="U561" s="372"/>
      <c r="V561" s="372"/>
      <c r="W561" s="372"/>
      <c r="X561" s="372"/>
      <c r="Y561" s="372"/>
      <c r="Z561" s="372"/>
      <c r="AA561" s="372"/>
      <c r="AB561" s="372"/>
      <c r="AC561" s="372"/>
      <c r="AD561" s="372"/>
      <c r="AE561" s="372"/>
      <c r="AF561" s="372"/>
      <c r="AG561" s="372"/>
      <c r="AH561" s="372"/>
      <c r="AI561" s="372"/>
      <c r="AJ561" s="372"/>
      <c r="AK561" s="372"/>
      <c r="AL561" s="372"/>
      <c r="AM561" s="372"/>
    </row>
    <row r="562">
      <c r="A562" s="369"/>
      <c r="B562" s="369"/>
      <c r="C562" s="405"/>
      <c r="D562" s="369"/>
      <c r="E562" s="369"/>
      <c r="F562" s="372"/>
      <c r="G562" s="372"/>
      <c r="H562" s="372"/>
      <c r="I562" s="372"/>
      <c r="J562" s="372"/>
      <c r="K562" s="369"/>
      <c r="L562" s="369"/>
      <c r="M562" s="373"/>
      <c r="N562" s="369"/>
      <c r="O562" s="369"/>
      <c r="P562" s="374"/>
      <c r="Q562" s="372"/>
      <c r="R562" s="372"/>
      <c r="S562" s="372"/>
      <c r="T562" s="372"/>
      <c r="U562" s="372"/>
      <c r="V562" s="372"/>
      <c r="W562" s="372"/>
      <c r="X562" s="372"/>
      <c r="Y562" s="372"/>
      <c r="Z562" s="372"/>
      <c r="AA562" s="372"/>
      <c r="AB562" s="372"/>
      <c r="AC562" s="372"/>
      <c r="AD562" s="372"/>
      <c r="AE562" s="372"/>
      <c r="AF562" s="372"/>
      <c r="AG562" s="372"/>
      <c r="AH562" s="372"/>
      <c r="AI562" s="372"/>
      <c r="AJ562" s="372"/>
      <c r="AK562" s="372"/>
      <c r="AL562" s="372"/>
      <c r="AM562" s="372"/>
    </row>
    <row r="563">
      <c r="A563" s="369"/>
      <c r="B563" s="369"/>
      <c r="C563" s="405"/>
      <c r="D563" s="369"/>
      <c r="E563" s="369"/>
      <c r="F563" s="372"/>
      <c r="G563" s="372"/>
      <c r="H563" s="372"/>
      <c r="I563" s="372"/>
      <c r="J563" s="372"/>
      <c r="K563" s="369"/>
      <c r="L563" s="369"/>
      <c r="M563" s="373"/>
      <c r="N563" s="369"/>
      <c r="O563" s="369"/>
      <c r="P563" s="374"/>
      <c r="Q563" s="372"/>
      <c r="R563" s="372"/>
      <c r="S563" s="372"/>
      <c r="T563" s="372"/>
      <c r="U563" s="372"/>
      <c r="V563" s="372"/>
      <c r="W563" s="372"/>
      <c r="X563" s="372"/>
      <c r="Y563" s="372"/>
      <c r="Z563" s="372"/>
      <c r="AA563" s="372"/>
      <c r="AB563" s="372"/>
      <c r="AC563" s="372"/>
      <c r="AD563" s="372"/>
      <c r="AE563" s="372"/>
      <c r="AF563" s="372"/>
      <c r="AG563" s="372"/>
      <c r="AH563" s="372"/>
      <c r="AI563" s="372"/>
      <c r="AJ563" s="372"/>
      <c r="AK563" s="372"/>
      <c r="AL563" s="372"/>
      <c r="AM563" s="372"/>
    </row>
    <row r="564">
      <c r="A564" s="369"/>
      <c r="B564" s="369"/>
      <c r="C564" s="405"/>
      <c r="D564" s="369"/>
      <c r="E564" s="369"/>
      <c r="F564" s="372"/>
      <c r="G564" s="372"/>
      <c r="H564" s="372"/>
      <c r="I564" s="372"/>
      <c r="J564" s="372"/>
      <c r="K564" s="369"/>
      <c r="L564" s="369"/>
      <c r="M564" s="373"/>
      <c r="N564" s="369"/>
      <c r="O564" s="369"/>
      <c r="P564" s="374"/>
      <c r="Q564" s="372"/>
      <c r="R564" s="372"/>
      <c r="S564" s="372"/>
      <c r="T564" s="372"/>
      <c r="U564" s="372"/>
      <c r="V564" s="372"/>
      <c r="W564" s="372"/>
      <c r="X564" s="372"/>
      <c r="Y564" s="372"/>
      <c r="Z564" s="372"/>
      <c r="AA564" s="372"/>
      <c r="AB564" s="372"/>
      <c r="AC564" s="372"/>
      <c r="AD564" s="372"/>
      <c r="AE564" s="372"/>
      <c r="AF564" s="372"/>
      <c r="AG564" s="372"/>
      <c r="AH564" s="372"/>
      <c r="AI564" s="372"/>
      <c r="AJ564" s="372"/>
      <c r="AK564" s="372"/>
      <c r="AL564" s="372"/>
      <c r="AM564" s="372"/>
    </row>
    <row r="565">
      <c r="A565" s="369"/>
      <c r="B565" s="369"/>
      <c r="C565" s="405"/>
      <c r="D565" s="369"/>
      <c r="E565" s="369"/>
      <c r="F565" s="372"/>
      <c r="G565" s="372"/>
      <c r="H565" s="372"/>
      <c r="I565" s="372"/>
      <c r="J565" s="372"/>
      <c r="K565" s="369"/>
      <c r="L565" s="369"/>
      <c r="M565" s="373"/>
      <c r="N565" s="369"/>
      <c r="O565" s="369"/>
      <c r="P565" s="374"/>
      <c r="Q565" s="372"/>
      <c r="R565" s="372"/>
      <c r="S565" s="372"/>
      <c r="T565" s="372"/>
      <c r="U565" s="372"/>
      <c r="V565" s="372"/>
      <c r="W565" s="372"/>
      <c r="X565" s="372"/>
      <c r="Y565" s="372"/>
      <c r="Z565" s="372"/>
      <c r="AA565" s="372"/>
      <c r="AB565" s="372"/>
      <c r="AC565" s="372"/>
      <c r="AD565" s="372"/>
      <c r="AE565" s="372"/>
      <c r="AF565" s="372"/>
      <c r="AG565" s="372"/>
      <c r="AH565" s="372"/>
      <c r="AI565" s="372"/>
      <c r="AJ565" s="372"/>
      <c r="AK565" s="372"/>
      <c r="AL565" s="372"/>
      <c r="AM565" s="372"/>
    </row>
    <row r="566">
      <c r="A566" s="369"/>
      <c r="B566" s="369"/>
      <c r="C566" s="405"/>
      <c r="D566" s="369"/>
      <c r="E566" s="369"/>
      <c r="F566" s="372"/>
      <c r="G566" s="372"/>
      <c r="H566" s="372"/>
      <c r="I566" s="372"/>
      <c r="J566" s="372"/>
      <c r="K566" s="369"/>
      <c r="L566" s="369"/>
      <c r="M566" s="373"/>
      <c r="N566" s="369"/>
      <c r="O566" s="369"/>
      <c r="P566" s="374"/>
      <c r="Q566" s="372"/>
      <c r="R566" s="372"/>
      <c r="S566" s="372"/>
      <c r="T566" s="372"/>
      <c r="U566" s="372"/>
      <c r="V566" s="372"/>
      <c r="W566" s="372"/>
      <c r="X566" s="372"/>
      <c r="Y566" s="372"/>
      <c r="Z566" s="372"/>
      <c r="AA566" s="372"/>
      <c r="AB566" s="372"/>
      <c r="AC566" s="372"/>
      <c r="AD566" s="372"/>
      <c r="AE566" s="372"/>
      <c r="AF566" s="372"/>
      <c r="AG566" s="372"/>
      <c r="AH566" s="372"/>
      <c r="AI566" s="372"/>
      <c r="AJ566" s="372"/>
      <c r="AK566" s="372"/>
      <c r="AL566" s="372"/>
      <c r="AM566" s="372"/>
    </row>
    <row r="567">
      <c r="A567" s="369"/>
      <c r="B567" s="369"/>
      <c r="C567" s="405"/>
      <c r="D567" s="369"/>
      <c r="E567" s="369"/>
      <c r="F567" s="372"/>
      <c r="G567" s="372"/>
      <c r="H567" s="372"/>
      <c r="I567" s="372"/>
      <c r="J567" s="372"/>
      <c r="K567" s="369"/>
      <c r="L567" s="369"/>
      <c r="M567" s="373"/>
      <c r="N567" s="369"/>
      <c r="O567" s="369"/>
      <c r="P567" s="374"/>
      <c r="Q567" s="372"/>
      <c r="R567" s="372"/>
      <c r="S567" s="372"/>
      <c r="T567" s="372"/>
      <c r="U567" s="372"/>
      <c r="V567" s="372"/>
      <c r="W567" s="372"/>
      <c r="X567" s="372"/>
      <c r="Y567" s="372"/>
      <c r="Z567" s="372"/>
      <c r="AA567" s="372"/>
      <c r="AB567" s="372"/>
      <c r="AC567" s="372"/>
      <c r="AD567" s="372"/>
      <c r="AE567" s="372"/>
      <c r="AF567" s="372"/>
      <c r="AG567" s="372"/>
      <c r="AH567" s="372"/>
      <c r="AI567" s="372"/>
      <c r="AJ567" s="372"/>
      <c r="AK567" s="372"/>
      <c r="AL567" s="372"/>
      <c r="AM567" s="372"/>
    </row>
    <row r="568">
      <c r="A568" s="369"/>
      <c r="B568" s="369"/>
      <c r="C568" s="405"/>
      <c r="D568" s="369"/>
      <c r="E568" s="369"/>
      <c r="F568" s="372"/>
      <c r="G568" s="372"/>
      <c r="H568" s="372"/>
      <c r="I568" s="372"/>
      <c r="J568" s="372"/>
      <c r="K568" s="369"/>
      <c r="L568" s="369"/>
      <c r="M568" s="373"/>
      <c r="N568" s="369"/>
      <c r="O568" s="369"/>
      <c r="P568" s="374"/>
      <c r="Q568" s="372"/>
      <c r="R568" s="372"/>
      <c r="S568" s="372"/>
      <c r="T568" s="372"/>
      <c r="U568" s="372"/>
      <c r="V568" s="372"/>
      <c r="W568" s="372"/>
      <c r="X568" s="372"/>
      <c r="Y568" s="372"/>
      <c r="Z568" s="372"/>
      <c r="AA568" s="372"/>
      <c r="AB568" s="372"/>
      <c r="AC568" s="372"/>
      <c r="AD568" s="372"/>
      <c r="AE568" s="372"/>
      <c r="AF568" s="372"/>
      <c r="AG568" s="372"/>
      <c r="AH568" s="372"/>
      <c r="AI568" s="372"/>
      <c r="AJ568" s="372"/>
      <c r="AK568" s="372"/>
      <c r="AL568" s="372"/>
      <c r="AM568" s="372"/>
    </row>
    <row r="569">
      <c r="A569" s="369"/>
      <c r="B569" s="369"/>
      <c r="C569" s="405"/>
      <c r="D569" s="369"/>
      <c r="E569" s="369"/>
      <c r="F569" s="372"/>
      <c r="G569" s="372"/>
      <c r="H569" s="372"/>
      <c r="I569" s="372"/>
      <c r="J569" s="372"/>
      <c r="K569" s="369"/>
      <c r="L569" s="369"/>
      <c r="M569" s="373"/>
      <c r="N569" s="369"/>
      <c r="O569" s="369"/>
      <c r="P569" s="374"/>
      <c r="Q569" s="372"/>
      <c r="R569" s="372"/>
      <c r="S569" s="372"/>
      <c r="T569" s="372"/>
      <c r="U569" s="372"/>
      <c r="V569" s="372"/>
      <c r="W569" s="372"/>
      <c r="X569" s="372"/>
      <c r="Y569" s="372"/>
      <c r="Z569" s="372"/>
      <c r="AA569" s="372"/>
      <c r="AB569" s="372"/>
      <c r="AC569" s="372"/>
      <c r="AD569" s="372"/>
      <c r="AE569" s="372"/>
      <c r="AF569" s="372"/>
      <c r="AG569" s="372"/>
      <c r="AH569" s="372"/>
      <c r="AI569" s="372"/>
      <c r="AJ569" s="372"/>
      <c r="AK569" s="372"/>
      <c r="AL569" s="372"/>
      <c r="AM569" s="372"/>
    </row>
    <row r="570">
      <c r="A570" s="369"/>
      <c r="B570" s="369"/>
      <c r="C570" s="405"/>
      <c r="D570" s="369"/>
      <c r="E570" s="369"/>
      <c r="F570" s="372"/>
      <c r="G570" s="372"/>
      <c r="H570" s="372"/>
      <c r="I570" s="372"/>
      <c r="J570" s="372"/>
      <c r="K570" s="369"/>
      <c r="L570" s="369"/>
      <c r="M570" s="373"/>
      <c r="N570" s="369"/>
      <c r="O570" s="369"/>
      <c r="P570" s="374"/>
      <c r="Q570" s="372"/>
      <c r="R570" s="372"/>
      <c r="S570" s="372"/>
      <c r="T570" s="372"/>
      <c r="U570" s="372"/>
      <c r="V570" s="372"/>
      <c r="W570" s="372"/>
      <c r="X570" s="372"/>
      <c r="Y570" s="372"/>
      <c r="Z570" s="372"/>
      <c r="AA570" s="372"/>
      <c r="AB570" s="372"/>
      <c r="AC570" s="372"/>
      <c r="AD570" s="372"/>
      <c r="AE570" s="372"/>
      <c r="AF570" s="372"/>
      <c r="AG570" s="372"/>
      <c r="AH570" s="372"/>
      <c r="AI570" s="372"/>
      <c r="AJ570" s="372"/>
      <c r="AK570" s="372"/>
      <c r="AL570" s="372"/>
      <c r="AM570" s="372"/>
    </row>
    <row r="571">
      <c r="A571" s="369"/>
      <c r="B571" s="369"/>
      <c r="C571" s="405"/>
      <c r="D571" s="369"/>
      <c r="E571" s="369"/>
      <c r="F571" s="372"/>
      <c r="G571" s="372"/>
      <c r="H571" s="372"/>
      <c r="I571" s="372"/>
      <c r="J571" s="372"/>
      <c r="K571" s="369"/>
      <c r="L571" s="369"/>
      <c r="M571" s="373"/>
      <c r="N571" s="369"/>
      <c r="O571" s="369"/>
      <c r="P571" s="374"/>
      <c r="Q571" s="372"/>
      <c r="R571" s="372"/>
      <c r="S571" s="372"/>
      <c r="T571" s="372"/>
      <c r="U571" s="372"/>
      <c r="V571" s="372"/>
      <c r="W571" s="372"/>
      <c r="X571" s="372"/>
      <c r="Y571" s="372"/>
      <c r="Z571" s="372"/>
      <c r="AA571" s="372"/>
      <c r="AB571" s="372"/>
      <c r="AC571" s="372"/>
      <c r="AD571" s="372"/>
      <c r="AE571" s="372"/>
      <c r="AF571" s="372"/>
      <c r="AG571" s="372"/>
      <c r="AH571" s="372"/>
      <c r="AI571" s="372"/>
      <c r="AJ571" s="372"/>
      <c r="AK571" s="372"/>
      <c r="AL571" s="372"/>
      <c r="AM571" s="372"/>
    </row>
    <row r="572">
      <c r="A572" s="369"/>
      <c r="B572" s="369"/>
      <c r="C572" s="405"/>
      <c r="D572" s="369"/>
      <c r="E572" s="369"/>
      <c r="F572" s="372"/>
      <c r="G572" s="372"/>
      <c r="H572" s="372"/>
      <c r="I572" s="372"/>
      <c r="J572" s="372"/>
      <c r="K572" s="369"/>
      <c r="L572" s="369"/>
      <c r="M572" s="373"/>
      <c r="N572" s="369"/>
      <c r="O572" s="369"/>
      <c r="P572" s="374"/>
      <c r="Q572" s="372"/>
      <c r="R572" s="372"/>
      <c r="S572" s="372"/>
      <c r="T572" s="372"/>
      <c r="U572" s="372"/>
      <c r="V572" s="372"/>
      <c r="W572" s="372"/>
      <c r="X572" s="372"/>
      <c r="Y572" s="372"/>
      <c r="Z572" s="372"/>
      <c r="AA572" s="372"/>
      <c r="AB572" s="372"/>
      <c r="AC572" s="372"/>
      <c r="AD572" s="372"/>
      <c r="AE572" s="372"/>
      <c r="AF572" s="372"/>
      <c r="AG572" s="372"/>
      <c r="AH572" s="372"/>
      <c r="AI572" s="372"/>
      <c r="AJ572" s="372"/>
      <c r="AK572" s="372"/>
      <c r="AL572" s="372"/>
      <c r="AM572" s="372"/>
    </row>
    <row r="573">
      <c r="A573" s="369"/>
      <c r="B573" s="369"/>
      <c r="C573" s="405"/>
      <c r="D573" s="369"/>
      <c r="E573" s="369"/>
      <c r="F573" s="372"/>
      <c r="G573" s="372"/>
      <c r="H573" s="372"/>
      <c r="I573" s="372"/>
      <c r="J573" s="372"/>
      <c r="K573" s="369"/>
      <c r="L573" s="369"/>
      <c r="M573" s="373"/>
      <c r="N573" s="369"/>
      <c r="O573" s="369"/>
      <c r="P573" s="374"/>
      <c r="Q573" s="372"/>
      <c r="R573" s="372"/>
      <c r="S573" s="372"/>
      <c r="T573" s="372"/>
      <c r="U573" s="372"/>
      <c r="V573" s="372"/>
      <c r="W573" s="372"/>
      <c r="X573" s="372"/>
      <c r="Y573" s="372"/>
      <c r="Z573" s="372"/>
      <c r="AA573" s="372"/>
      <c r="AB573" s="372"/>
      <c r="AC573" s="372"/>
      <c r="AD573" s="372"/>
      <c r="AE573" s="372"/>
      <c r="AF573" s="372"/>
      <c r="AG573" s="372"/>
      <c r="AH573" s="372"/>
      <c r="AI573" s="372"/>
      <c r="AJ573" s="372"/>
      <c r="AK573" s="372"/>
      <c r="AL573" s="372"/>
      <c r="AM573" s="372"/>
    </row>
    <row r="574">
      <c r="A574" s="369"/>
      <c r="B574" s="369"/>
      <c r="C574" s="405"/>
      <c r="D574" s="369"/>
      <c r="E574" s="369"/>
      <c r="F574" s="372"/>
      <c r="G574" s="372"/>
      <c r="H574" s="372"/>
      <c r="I574" s="372"/>
      <c r="J574" s="372"/>
      <c r="K574" s="369"/>
      <c r="L574" s="369"/>
      <c r="M574" s="373"/>
      <c r="N574" s="369"/>
      <c r="O574" s="369"/>
      <c r="P574" s="374"/>
      <c r="Q574" s="372"/>
      <c r="R574" s="372"/>
      <c r="S574" s="372"/>
      <c r="T574" s="372"/>
      <c r="U574" s="372"/>
      <c r="V574" s="372"/>
      <c r="W574" s="372"/>
      <c r="X574" s="372"/>
      <c r="Y574" s="372"/>
      <c r="Z574" s="372"/>
      <c r="AA574" s="372"/>
      <c r="AB574" s="372"/>
      <c r="AC574" s="372"/>
      <c r="AD574" s="372"/>
      <c r="AE574" s="372"/>
      <c r="AF574" s="372"/>
      <c r="AG574" s="372"/>
      <c r="AH574" s="372"/>
      <c r="AI574" s="372"/>
      <c r="AJ574" s="372"/>
      <c r="AK574" s="372"/>
      <c r="AL574" s="372"/>
      <c r="AM574" s="372"/>
    </row>
    <row r="575">
      <c r="A575" s="369"/>
      <c r="B575" s="369"/>
      <c r="C575" s="405"/>
      <c r="D575" s="369"/>
      <c r="E575" s="369"/>
      <c r="F575" s="372"/>
      <c r="G575" s="372"/>
      <c r="H575" s="372"/>
      <c r="I575" s="372"/>
      <c r="J575" s="372"/>
      <c r="K575" s="369"/>
      <c r="L575" s="369"/>
      <c r="M575" s="373"/>
      <c r="N575" s="369"/>
      <c r="O575" s="369"/>
      <c r="P575" s="374"/>
      <c r="Q575" s="372"/>
      <c r="R575" s="372"/>
      <c r="S575" s="372"/>
      <c r="T575" s="372"/>
      <c r="U575" s="372"/>
      <c r="V575" s="372"/>
      <c r="W575" s="372"/>
      <c r="X575" s="372"/>
      <c r="Y575" s="372"/>
      <c r="Z575" s="372"/>
      <c r="AA575" s="372"/>
      <c r="AB575" s="372"/>
      <c r="AC575" s="372"/>
      <c r="AD575" s="372"/>
      <c r="AE575" s="372"/>
      <c r="AF575" s="372"/>
      <c r="AG575" s="372"/>
      <c r="AH575" s="372"/>
      <c r="AI575" s="372"/>
      <c r="AJ575" s="372"/>
      <c r="AK575" s="372"/>
      <c r="AL575" s="372"/>
      <c r="AM575" s="372"/>
    </row>
    <row r="576">
      <c r="A576" s="369"/>
      <c r="B576" s="369"/>
      <c r="C576" s="405"/>
      <c r="D576" s="369"/>
      <c r="E576" s="369"/>
      <c r="F576" s="372"/>
      <c r="G576" s="372"/>
      <c r="H576" s="372"/>
      <c r="I576" s="372"/>
      <c r="J576" s="372"/>
      <c r="K576" s="369"/>
      <c r="L576" s="369"/>
      <c r="M576" s="373"/>
      <c r="N576" s="369"/>
      <c r="O576" s="369"/>
      <c r="P576" s="374"/>
      <c r="Q576" s="372"/>
      <c r="R576" s="372"/>
      <c r="S576" s="372"/>
      <c r="T576" s="372"/>
      <c r="U576" s="372"/>
      <c r="V576" s="372"/>
      <c r="W576" s="372"/>
      <c r="X576" s="372"/>
      <c r="Y576" s="372"/>
      <c r="Z576" s="372"/>
      <c r="AA576" s="372"/>
      <c r="AB576" s="372"/>
      <c r="AC576" s="372"/>
      <c r="AD576" s="372"/>
      <c r="AE576" s="372"/>
      <c r="AF576" s="372"/>
      <c r="AG576" s="372"/>
      <c r="AH576" s="372"/>
      <c r="AI576" s="372"/>
      <c r="AJ576" s="372"/>
      <c r="AK576" s="372"/>
      <c r="AL576" s="372"/>
      <c r="AM576" s="372"/>
    </row>
    <row r="577">
      <c r="A577" s="369"/>
      <c r="B577" s="369"/>
      <c r="C577" s="405"/>
      <c r="D577" s="369"/>
      <c r="E577" s="369"/>
      <c r="F577" s="372"/>
      <c r="G577" s="372"/>
      <c r="H577" s="372"/>
      <c r="I577" s="372"/>
      <c r="J577" s="372"/>
      <c r="K577" s="369"/>
      <c r="L577" s="369"/>
      <c r="M577" s="373"/>
      <c r="N577" s="369"/>
      <c r="O577" s="369"/>
      <c r="P577" s="374"/>
      <c r="Q577" s="372"/>
      <c r="R577" s="372"/>
      <c r="S577" s="372"/>
      <c r="T577" s="372"/>
      <c r="U577" s="372"/>
      <c r="V577" s="372"/>
      <c r="W577" s="372"/>
      <c r="X577" s="372"/>
      <c r="Y577" s="372"/>
      <c r="Z577" s="372"/>
      <c r="AA577" s="372"/>
      <c r="AB577" s="372"/>
      <c r="AC577" s="372"/>
      <c r="AD577" s="372"/>
      <c r="AE577" s="372"/>
      <c r="AF577" s="372"/>
      <c r="AG577" s="372"/>
      <c r="AH577" s="372"/>
      <c r="AI577" s="372"/>
      <c r="AJ577" s="372"/>
      <c r="AK577" s="372"/>
      <c r="AL577" s="372"/>
      <c r="AM577" s="372"/>
    </row>
    <row r="578">
      <c r="A578" s="369"/>
      <c r="B578" s="369"/>
      <c r="C578" s="405"/>
      <c r="D578" s="369"/>
      <c r="E578" s="369"/>
      <c r="F578" s="372"/>
      <c r="G578" s="372"/>
      <c r="H578" s="372"/>
      <c r="I578" s="372"/>
      <c r="J578" s="372"/>
      <c r="K578" s="369"/>
      <c r="L578" s="369"/>
      <c r="M578" s="373"/>
      <c r="N578" s="369"/>
      <c r="O578" s="369"/>
      <c r="P578" s="374"/>
      <c r="Q578" s="372"/>
      <c r="R578" s="372"/>
      <c r="S578" s="372"/>
      <c r="T578" s="372"/>
      <c r="U578" s="372"/>
      <c r="V578" s="372"/>
      <c r="W578" s="372"/>
      <c r="X578" s="372"/>
      <c r="Y578" s="372"/>
      <c r="Z578" s="372"/>
      <c r="AA578" s="372"/>
      <c r="AB578" s="372"/>
      <c r="AC578" s="372"/>
      <c r="AD578" s="372"/>
      <c r="AE578" s="372"/>
      <c r="AF578" s="372"/>
      <c r="AG578" s="372"/>
      <c r="AH578" s="372"/>
      <c r="AI578" s="372"/>
      <c r="AJ578" s="372"/>
      <c r="AK578" s="372"/>
      <c r="AL578" s="372"/>
      <c r="AM578" s="372"/>
    </row>
    <row r="579">
      <c r="A579" s="369"/>
      <c r="B579" s="369"/>
      <c r="C579" s="405"/>
      <c r="D579" s="369"/>
      <c r="E579" s="369"/>
      <c r="F579" s="372"/>
      <c r="G579" s="372"/>
      <c r="H579" s="372"/>
      <c r="I579" s="372"/>
      <c r="J579" s="372"/>
      <c r="K579" s="369"/>
      <c r="L579" s="369"/>
      <c r="M579" s="373"/>
      <c r="N579" s="369"/>
      <c r="O579" s="369"/>
      <c r="P579" s="374"/>
      <c r="Q579" s="372"/>
      <c r="R579" s="372"/>
      <c r="S579" s="372"/>
      <c r="T579" s="372"/>
      <c r="U579" s="372"/>
      <c r="V579" s="372"/>
      <c r="W579" s="372"/>
      <c r="X579" s="372"/>
      <c r="Y579" s="372"/>
      <c r="Z579" s="372"/>
      <c r="AA579" s="372"/>
      <c r="AB579" s="372"/>
      <c r="AC579" s="372"/>
      <c r="AD579" s="372"/>
      <c r="AE579" s="372"/>
      <c r="AF579" s="372"/>
      <c r="AG579" s="372"/>
      <c r="AH579" s="372"/>
      <c r="AI579" s="372"/>
      <c r="AJ579" s="372"/>
      <c r="AK579" s="372"/>
      <c r="AL579" s="372"/>
      <c r="AM579" s="372"/>
    </row>
    <row r="580">
      <c r="A580" s="369"/>
      <c r="B580" s="369"/>
      <c r="C580" s="405"/>
      <c r="D580" s="369"/>
      <c r="E580" s="369"/>
      <c r="F580" s="372"/>
      <c r="G580" s="372"/>
      <c r="H580" s="372"/>
      <c r="I580" s="372"/>
      <c r="J580" s="372"/>
      <c r="K580" s="369"/>
      <c r="L580" s="369"/>
      <c r="M580" s="373"/>
      <c r="N580" s="369"/>
      <c r="O580" s="369"/>
      <c r="P580" s="374"/>
      <c r="Q580" s="372"/>
      <c r="R580" s="372"/>
      <c r="S580" s="372"/>
      <c r="T580" s="372"/>
      <c r="U580" s="372"/>
      <c r="V580" s="372"/>
      <c r="W580" s="372"/>
      <c r="X580" s="372"/>
      <c r="Y580" s="372"/>
      <c r="Z580" s="372"/>
      <c r="AA580" s="372"/>
      <c r="AB580" s="372"/>
      <c r="AC580" s="372"/>
      <c r="AD580" s="372"/>
      <c r="AE580" s="372"/>
      <c r="AF580" s="372"/>
      <c r="AG580" s="372"/>
      <c r="AH580" s="372"/>
      <c r="AI580" s="372"/>
      <c r="AJ580" s="372"/>
      <c r="AK580" s="372"/>
      <c r="AL580" s="372"/>
      <c r="AM580" s="372"/>
    </row>
    <row r="581">
      <c r="A581" s="369"/>
      <c r="B581" s="369"/>
      <c r="C581" s="405"/>
      <c r="D581" s="369"/>
      <c r="E581" s="369"/>
      <c r="F581" s="372"/>
      <c r="G581" s="372"/>
      <c r="H581" s="372"/>
      <c r="I581" s="372"/>
      <c r="J581" s="372"/>
      <c r="K581" s="369"/>
      <c r="L581" s="369"/>
      <c r="M581" s="373"/>
      <c r="N581" s="369"/>
      <c r="O581" s="369"/>
      <c r="P581" s="374"/>
      <c r="Q581" s="372"/>
      <c r="R581" s="372"/>
      <c r="S581" s="372"/>
      <c r="T581" s="372"/>
      <c r="U581" s="372"/>
      <c r="V581" s="372"/>
      <c r="W581" s="372"/>
      <c r="X581" s="372"/>
      <c r="Y581" s="372"/>
      <c r="Z581" s="372"/>
      <c r="AA581" s="372"/>
      <c r="AB581" s="372"/>
      <c r="AC581" s="372"/>
      <c r="AD581" s="372"/>
      <c r="AE581" s="372"/>
      <c r="AF581" s="372"/>
      <c r="AG581" s="372"/>
      <c r="AH581" s="372"/>
      <c r="AI581" s="372"/>
      <c r="AJ581" s="372"/>
      <c r="AK581" s="372"/>
      <c r="AL581" s="372"/>
      <c r="AM581" s="372"/>
    </row>
    <row r="582">
      <c r="A582" s="369"/>
      <c r="B582" s="369"/>
      <c r="C582" s="405"/>
      <c r="D582" s="369"/>
      <c r="E582" s="369"/>
      <c r="F582" s="372"/>
      <c r="G582" s="372"/>
      <c r="H582" s="372"/>
      <c r="I582" s="372"/>
      <c r="J582" s="372"/>
      <c r="K582" s="369"/>
      <c r="L582" s="369"/>
      <c r="M582" s="373"/>
      <c r="N582" s="369"/>
      <c r="O582" s="369"/>
      <c r="P582" s="374"/>
      <c r="Q582" s="372"/>
      <c r="R582" s="372"/>
      <c r="S582" s="372"/>
      <c r="T582" s="372"/>
      <c r="U582" s="372"/>
      <c r="V582" s="372"/>
      <c r="W582" s="372"/>
      <c r="X582" s="372"/>
      <c r="Y582" s="372"/>
      <c r="Z582" s="372"/>
      <c r="AA582" s="372"/>
      <c r="AB582" s="372"/>
      <c r="AC582" s="372"/>
      <c r="AD582" s="372"/>
      <c r="AE582" s="372"/>
      <c r="AF582" s="372"/>
      <c r="AG582" s="372"/>
      <c r="AH582" s="372"/>
      <c r="AI582" s="372"/>
      <c r="AJ582" s="372"/>
      <c r="AK582" s="372"/>
      <c r="AL582" s="372"/>
      <c r="AM582" s="372"/>
    </row>
    <row r="583">
      <c r="A583" s="369"/>
      <c r="B583" s="369"/>
      <c r="C583" s="405"/>
      <c r="D583" s="369"/>
      <c r="E583" s="369"/>
      <c r="F583" s="372"/>
      <c r="G583" s="372"/>
      <c r="H583" s="372"/>
      <c r="I583" s="372"/>
      <c r="J583" s="372"/>
      <c r="K583" s="369"/>
      <c r="L583" s="369"/>
      <c r="M583" s="373"/>
      <c r="N583" s="369"/>
      <c r="O583" s="369"/>
      <c r="P583" s="374"/>
      <c r="Q583" s="372"/>
      <c r="R583" s="372"/>
      <c r="S583" s="372"/>
      <c r="T583" s="372"/>
      <c r="U583" s="372"/>
      <c r="V583" s="372"/>
      <c r="W583" s="372"/>
      <c r="X583" s="372"/>
      <c r="Y583" s="372"/>
      <c r="Z583" s="372"/>
      <c r="AA583" s="372"/>
      <c r="AB583" s="372"/>
      <c r="AC583" s="372"/>
      <c r="AD583" s="372"/>
      <c r="AE583" s="372"/>
      <c r="AF583" s="372"/>
      <c r="AG583" s="372"/>
      <c r="AH583" s="372"/>
      <c r="AI583" s="372"/>
      <c r="AJ583" s="372"/>
      <c r="AK583" s="372"/>
      <c r="AL583" s="372"/>
      <c r="AM583" s="372"/>
    </row>
    <row r="584">
      <c r="A584" s="369"/>
      <c r="B584" s="369"/>
      <c r="C584" s="405"/>
      <c r="D584" s="369"/>
      <c r="E584" s="369"/>
      <c r="F584" s="372"/>
      <c r="G584" s="372"/>
      <c r="H584" s="372"/>
      <c r="I584" s="372"/>
      <c r="J584" s="372"/>
      <c r="K584" s="369"/>
      <c r="L584" s="369"/>
      <c r="M584" s="373"/>
      <c r="N584" s="369"/>
      <c r="O584" s="369"/>
      <c r="P584" s="374"/>
      <c r="Q584" s="372"/>
      <c r="R584" s="372"/>
      <c r="S584" s="372"/>
      <c r="T584" s="372"/>
      <c r="U584" s="372"/>
      <c r="V584" s="372"/>
      <c r="W584" s="372"/>
      <c r="X584" s="372"/>
      <c r="Y584" s="372"/>
      <c r="Z584" s="372"/>
      <c r="AA584" s="372"/>
      <c r="AB584" s="372"/>
      <c r="AC584" s="372"/>
      <c r="AD584" s="372"/>
      <c r="AE584" s="372"/>
      <c r="AF584" s="372"/>
      <c r="AG584" s="372"/>
      <c r="AH584" s="372"/>
      <c r="AI584" s="372"/>
      <c r="AJ584" s="372"/>
      <c r="AK584" s="372"/>
      <c r="AL584" s="372"/>
      <c r="AM584" s="372"/>
    </row>
    <row r="585">
      <c r="A585" s="369"/>
      <c r="B585" s="369"/>
      <c r="C585" s="405"/>
      <c r="D585" s="369"/>
      <c r="E585" s="369"/>
      <c r="F585" s="372"/>
      <c r="G585" s="372"/>
      <c r="H585" s="372"/>
      <c r="I585" s="372"/>
      <c r="J585" s="372"/>
      <c r="K585" s="369"/>
      <c r="L585" s="369"/>
      <c r="M585" s="373"/>
      <c r="N585" s="369"/>
      <c r="O585" s="369"/>
      <c r="P585" s="374"/>
      <c r="Q585" s="372"/>
      <c r="R585" s="372"/>
      <c r="S585" s="372"/>
      <c r="T585" s="372"/>
      <c r="U585" s="372"/>
      <c r="V585" s="372"/>
      <c r="W585" s="372"/>
      <c r="X585" s="372"/>
      <c r="Y585" s="372"/>
      <c r="Z585" s="372"/>
      <c r="AA585" s="372"/>
      <c r="AB585" s="372"/>
      <c r="AC585" s="372"/>
      <c r="AD585" s="372"/>
      <c r="AE585" s="372"/>
      <c r="AF585" s="372"/>
      <c r="AG585" s="372"/>
      <c r="AH585" s="372"/>
      <c r="AI585" s="372"/>
      <c r="AJ585" s="372"/>
      <c r="AK585" s="372"/>
      <c r="AL585" s="372"/>
      <c r="AM585" s="372"/>
    </row>
    <row r="586">
      <c r="A586" s="369"/>
      <c r="B586" s="369"/>
      <c r="C586" s="405"/>
      <c r="D586" s="369"/>
      <c r="E586" s="369"/>
      <c r="F586" s="372"/>
      <c r="G586" s="372"/>
      <c r="H586" s="372"/>
      <c r="I586" s="372"/>
      <c r="J586" s="372"/>
      <c r="K586" s="369"/>
      <c r="L586" s="369"/>
      <c r="M586" s="373"/>
      <c r="N586" s="369"/>
      <c r="O586" s="369"/>
      <c r="P586" s="374"/>
      <c r="Q586" s="372"/>
      <c r="R586" s="372"/>
      <c r="S586" s="372"/>
      <c r="T586" s="372"/>
      <c r="U586" s="372"/>
      <c r="V586" s="372"/>
      <c r="W586" s="372"/>
      <c r="X586" s="372"/>
      <c r="Y586" s="372"/>
      <c r="Z586" s="372"/>
      <c r="AA586" s="372"/>
      <c r="AB586" s="372"/>
      <c r="AC586" s="372"/>
      <c r="AD586" s="372"/>
      <c r="AE586" s="372"/>
      <c r="AF586" s="372"/>
      <c r="AG586" s="372"/>
      <c r="AH586" s="372"/>
      <c r="AI586" s="372"/>
      <c r="AJ586" s="372"/>
      <c r="AK586" s="372"/>
      <c r="AL586" s="372"/>
      <c r="AM586" s="372"/>
    </row>
    <row r="587">
      <c r="A587" s="369"/>
      <c r="B587" s="369"/>
      <c r="C587" s="405"/>
      <c r="D587" s="369"/>
      <c r="E587" s="369"/>
      <c r="F587" s="372"/>
      <c r="G587" s="372"/>
      <c r="H587" s="372"/>
      <c r="I587" s="372"/>
      <c r="J587" s="372"/>
      <c r="K587" s="369"/>
      <c r="L587" s="369"/>
      <c r="M587" s="373"/>
      <c r="N587" s="369"/>
      <c r="O587" s="369"/>
      <c r="P587" s="374"/>
      <c r="Q587" s="372"/>
      <c r="R587" s="372"/>
      <c r="S587" s="372"/>
      <c r="T587" s="372"/>
      <c r="U587" s="372"/>
      <c r="V587" s="372"/>
      <c r="W587" s="372"/>
      <c r="X587" s="372"/>
      <c r="Y587" s="372"/>
      <c r="Z587" s="372"/>
      <c r="AA587" s="372"/>
      <c r="AB587" s="372"/>
      <c r="AC587" s="372"/>
      <c r="AD587" s="372"/>
      <c r="AE587" s="372"/>
      <c r="AF587" s="372"/>
      <c r="AG587" s="372"/>
      <c r="AH587" s="372"/>
      <c r="AI587" s="372"/>
      <c r="AJ587" s="372"/>
      <c r="AK587" s="372"/>
      <c r="AL587" s="372"/>
      <c r="AM587" s="372"/>
    </row>
    <row r="588">
      <c r="A588" s="369"/>
      <c r="B588" s="369"/>
      <c r="C588" s="405"/>
      <c r="D588" s="369"/>
      <c r="E588" s="369"/>
      <c r="F588" s="372"/>
      <c r="G588" s="372"/>
      <c r="H588" s="372"/>
      <c r="I588" s="372"/>
      <c r="J588" s="372"/>
      <c r="K588" s="369"/>
      <c r="L588" s="369"/>
      <c r="M588" s="373"/>
      <c r="N588" s="369"/>
      <c r="O588" s="369"/>
      <c r="P588" s="374"/>
      <c r="Q588" s="372"/>
      <c r="R588" s="372"/>
      <c r="S588" s="372"/>
      <c r="T588" s="372"/>
      <c r="U588" s="372"/>
      <c r="V588" s="372"/>
      <c r="W588" s="372"/>
      <c r="X588" s="372"/>
      <c r="Y588" s="372"/>
      <c r="Z588" s="372"/>
      <c r="AA588" s="372"/>
      <c r="AB588" s="372"/>
      <c r="AC588" s="372"/>
      <c r="AD588" s="372"/>
      <c r="AE588" s="372"/>
      <c r="AF588" s="372"/>
      <c r="AG588" s="372"/>
      <c r="AH588" s="372"/>
      <c r="AI588" s="372"/>
      <c r="AJ588" s="372"/>
      <c r="AK588" s="372"/>
      <c r="AL588" s="372"/>
      <c r="AM588" s="372"/>
    </row>
    <row r="589">
      <c r="A589" s="369"/>
      <c r="B589" s="369"/>
      <c r="C589" s="405"/>
      <c r="D589" s="369"/>
      <c r="E589" s="369"/>
      <c r="F589" s="372"/>
      <c r="G589" s="372"/>
      <c r="H589" s="372"/>
      <c r="I589" s="372"/>
      <c r="J589" s="372"/>
      <c r="K589" s="369"/>
      <c r="L589" s="369"/>
      <c r="M589" s="373"/>
      <c r="N589" s="369"/>
      <c r="O589" s="369"/>
      <c r="P589" s="374"/>
      <c r="Q589" s="372"/>
      <c r="R589" s="372"/>
      <c r="S589" s="372"/>
      <c r="T589" s="372"/>
      <c r="U589" s="372"/>
      <c r="V589" s="372"/>
      <c r="W589" s="372"/>
      <c r="X589" s="372"/>
      <c r="Y589" s="372"/>
      <c r="Z589" s="372"/>
      <c r="AA589" s="372"/>
      <c r="AB589" s="372"/>
      <c r="AC589" s="372"/>
      <c r="AD589" s="372"/>
      <c r="AE589" s="372"/>
      <c r="AF589" s="372"/>
      <c r="AG589" s="372"/>
      <c r="AH589" s="372"/>
      <c r="AI589" s="372"/>
      <c r="AJ589" s="372"/>
      <c r="AK589" s="372"/>
      <c r="AL589" s="372"/>
      <c r="AM589" s="372"/>
    </row>
    <row r="590">
      <c r="A590" s="369"/>
      <c r="B590" s="369"/>
      <c r="C590" s="405"/>
      <c r="D590" s="369"/>
      <c r="E590" s="369"/>
      <c r="F590" s="372"/>
      <c r="G590" s="372"/>
      <c r="H590" s="372"/>
      <c r="I590" s="372"/>
      <c r="J590" s="372"/>
      <c r="K590" s="369"/>
      <c r="L590" s="369"/>
      <c r="M590" s="373"/>
      <c r="N590" s="369"/>
      <c r="O590" s="369"/>
      <c r="P590" s="374"/>
      <c r="Q590" s="372"/>
      <c r="R590" s="372"/>
      <c r="S590" s="372"/>
      <c r="T590" s="372"/>
      <c r="U590" s="372"/>
      <c r="V590" s="372"/>
      <c r="W590" s="372"/>
      <c r="X590" s="372"/>
      <c r="Y590" s="372"/>
      <c r="Z590" s="372"/>
      <c r="AA590" s="372"/>
      <c r="AB590" s="372"/>
      <c r="AC590" s="372"/>
      <c r="AD590" s="372"/>
      <c r="AE590" s="372"/>
      <c r="AF590" s="372"/>
      <c r="AG590" s="372"/>
      <c r="AH590" s="372"/>
      <c r="AI590" s="372"/>
      <c r="AJ590" s="372"/>
      <c r="AK590" s="372"/>
      <c r="AL590" s="372"/>
      <c r="AM590" s="372"/>
    </row>
    <row r="591">
      <c r="A591" s="369"/>
      <c r="B591" s="369"/>
      <c r="C591" s="405"/>
      <c r="D591" s="369"/>
      <c r="E591" s="369"/>
      <c r="F591" s="372"/>
      <c r="G591" s="372"/>
      <c r="H591" s="372"/>
      <c r="I591" s="372"/>
      <c r="J591" s="372"/>
      <c r="K591" s="369"/>
      <c r="L591" s="369"/>
      <c r="M591" s="373"/>
      <c r="N591" s="369"/>
      <c r="O591" s="369"/>
      <c r="P591" s="374"/>
      <c r="Q591" s="372"/>
      <c r="R591" s="372"/>
      <c r="S591" s="372"/>
      <c r="T591" s="372"/>
      <c r="U591" s="372"/>
      <c r="V591" s="372"/>
      <c r="W591" s="372"/>
      <c r="X591" s="372"/>
      <c r="Y591" s="372"/>
      <c r="Z591" s="372"/>
      <c r="AA591" s="372"/>
      <c r="AB591" s="372"/>
      <c r="AC591" s="372"/>
      <c r="AD591" s="372"/>
      <c r="AE591" s="372"/>
      <c r="AF591" s="372"/>
      <c r="AG591" s="372"/>
      <c r="AH591" s="372"/>
      <c r="AI591" s="372"/>
      <c r="AJ591" s="372"/>
      <c r="AK591" s="372"/>
      <c r="AL591" s="372"/>
      <c r="AM591" s="372"/>
    </row>
    <row r="592">
      <c r="A592" s="369"/>
      <c r="B592" s="369"/>
      <c r="C592" s="405"/>
      <c r="D592" s="369"/>
      <c r="E592" s="369"/>
      <c r="F592" s="372"/>
      <c r="G592" s="372"/>
      <c r="H592" s="372"/>
      <c r="I592" s="372"/>
      <c r="J592" s="372"/>
      <c r="K592" s="369"/>
      <c r="L592" s="369"/>
      <c r="M592" s="373"/>
      <c r="N592" s="369"/>
      <c r="O592" s="369"/>
      <c r="P592" s="374"/>
      <c r="Q592" s="372"/>
      <c r="R592" s="372"/>
      <c r="S592" s="372"/>
      <c r="T592" s="372"/>
      <c r="U592" s="372"/>
      <c r="V592" s="372"/>
      <c r="W592" s="372"/>
      <c r="X592" s="372"/>
      <c r="Y592" s="372"/>
      <c r="Z592" s="372"/>
      <c r="AA592" s="372"/>
      <c r="AB592" s="372"/>
      <c r="AC592" s="372"/>
      <c r="AD592" s="372"/>
      <c r="AE592" s="372"/>
      <c r="AF592" s="372"/>
      <c r="AG592" s="372"/>
      <c r="AH592" s="372"/>
      <c r="AI592" s="372"/>
      <c r="AJ592" s="372"/>
      <c r="AK592" s="372"/>
      <c r="AL592" s="372"/>
      <c r="AM592" s="372"/>
    </row>
    <row r="593">
      <c r="A593" s="369"/>
      <c r="B593" s="369"/>
      <c r="C593" s="405"/>
      <c r="D593" s="369"/>
      <c r="E593" s="369"/>
      <c r="F593" s="372"/>
      <c r="G593" s="372"/>
      <c r="H593" s="372"/>
      <c r="I593" s="372"/>
      <c r="J593" s="372"/>
      <c r="K593" s="369"/>
      <c r="L593" s="369"/>
      <c r="M593" s="373"/>
      <c r="N593" s="369"/>
      <c r="O593" s="369"/>
      <c r="P593" s="374"/>
      <c r="Q593" s="372"/>
      <c r="R593" s="372"/>
      <c r="S593" s="372"/>
      <c r="T593" s="372"/>
      <c r="U593" s="372"/>
      <c r="V593" s="372"/>
      <c r="W593" s="372"/>
      <c r="X593" s="372"/>
      <c r="Y593" s="372"/>
      <c r="Z593" s="372"/>
      <c r="AA593" s="372"/>
      <c r="AB593" s="372"/>
      <c r="AC593" s="372"/>
      <c r="AD593" s="372"/>
      <c r="AE593" s="372"/>
      <c r="AF593" s="372"/>
      <c r="AG593" s="372"/>
      <c r="AH593" s="372"/>
      <c r="AI593" s="372"/>
      <c r="AJ593" s="372"/>
      <c r="AK593" s="372"/>
      <c r="AL593" s="372"/>
      <c r="AM593" s="372"/>
    </row>
    <row r="594">
      <c r="A594" s="369"/>
      <c r="B594" s="369"/>
      <c r="C594" s="405"/>
      <c r="D594" s="369"/>
      <c r="E594" s="369"/>
      <c r="F594" s="372"/>
      <c r="G594" s="372"/>
      <c r="H594" s="372"/>
      <c r="I594" s="372"/>
      <c r="J594" s="372"/>
      <c r="K594" s="369"/>
      <c r="L594" s="369"/>
      <c r="M594" s="373"/>
      <c r="N594" s="369"/>
      <c r="O594" s="369"/>
      <c r="P594" s="374"/>
      <c r="Q594" s="372"/>
      <c r="R594" s="372"/>
      <c r="S594" s="372"/>
      <c r="T594" s="372"/>
      <c r="U594" s="372"/>
      <c r="V594" s="372"/>
      <c r="W594" s="372"/>
      <c r="X594" s="372"/>
      <c r="Y594" s="372"/>
      <c r="Z594" s="372"/>
      <c r="AA594" s="372"/>
      <c r="AB594" s="372"/>
      <c r="AC594" s="372"/>
      <c r="AD594" s="372"/>
      <c r="AE594" s="372"/>
      <c r="AF594" s="372"/>
      <c r="AG594" s="372"/>
      <c r="AH594" s="372"/>
      <c r="AI594" s="372"/>
      <c r="AJ594" s="372"/>
      <c r="AK594" s="372"/>
      <c r="AL594" s="372"/>
      <c r="AM594" s="372"/>
    </row>
    <row r="595">
      <c r="A595" s="369"/>
      <c r="B595" s="369"/>
      <c r="C595" s="405"/>
      <c r="D595" s="369"/>
      <c r="E595" s="369"/>
      <c r="F595" s="372"/>
      <c r="G595" s="372"/>
      <c r="H595" s="372"/>
      <c r="I595" s="372"/>
      <c r="J595" s="372"/>
      <c r="K595" s="369"/>
      <c r="L595" s="369"/>
      <c r="M595" s="373"/>
      <c r="N595" s="369"/>
      <c r="O595" s="369"/>
      <c r="P595" s="374"/>
      <c r="Q595" s="372"/>
      <c r="R595" s="372"/>
      <c r="S595" s="372"/>
      <c r="T595" s="372"/>
      <c r="U595" s="372"/>
      <c r="V595" s="372"/>
      <c r="W595" s="372"/>
      <c r="X595" s="372"/>
      <c r="Y595" s="372"/>
      <c r="Z595" s="372"/>
      <c r="AA595" s="372"/>
      <c r="AB595" s="372"/>
      <c r="AC595" s="372"/>
      <c r="AD595" s="372"/>
      <c r="AE595" s="372"/>
      <c r="AF595" s="372"/>
      <c r="AG595" s="372"/>
      <c r="AH595" s="372"/>
      <c r="AI595" s="372"/>
      <c r="AJ595" s="372"/>
      <c r="AK595" s="372"/>
      <c r="AL595" s="372"/>
      <c r="AM595" s="372"/>
    </row>
    <row r="596">
      <c r="A596" s="369"/>
      <c r="B596" s="369"/>
      <c r="C596" s="405"/>
      <c r="D596" s="369"/>
      <c r="E596" s="369"/>
      <c r="F596" s="372"/>
      <c r="G596" s="372"/>
      <c r="H596" s="372"/>
      <c r="I596" s="372"/>
      <c r="J596" s="372"/>
      <c r="K596" s="369"/>
      <c r="L596" s="369"/>
      <c r="M596" s="373"/>
      <c r="N596" s="369"/>
      <c r="O596" s="369"/>
      <c r="P596" s="374"/>
      <c r="Q596" s="372"/>
      <c r="R596" s="372"/>
      <c r="S596" s="372"/>
      <c r="T596" s="372"/>
      <c r="U596" s="372"/>
      <c r="V596" s="372"/>
      <c r="W596" s="372"/>
      <c r="X596" s="372"/>
      <c r="Y596" s="372"/>
      <c r="Z596" s="372"/>
      <c r="AA596" s="372"/>
      <c r="AB596" s="372"/>
      <c r="AC596" s="372"/>
      <c r="AD596" s="372"/>
      <c r="AE596" s="372"/>
      <c r="AF596" s="372"/>
      <c r="AG596" s="372"/>
      <c r="AH596" s="372"/>
      <c r="AI596" s="372"/>
      <c r="AJ596" s="372"/>
      <c r="AK596" s="372"/>
      <c r="AL596" s="372"/>
      <c r="AM596" s="372"/>
    </row>
    <row r="597">
      <c r="A597" s="369"/>
      <c r="B597" s="369"/>
      <c r="C597" s="405"/>
      <c r="D597" s="369"/>
      <c r="E597" s="369"/>
      <c r="F597" s="372"/>
      <c r="G597" s="372"/>
      <c r="H597" s="372"/>
      <c r="I597" s="372"/>
      <c r="J597" s="372"/>
      <c r="K597" s="369"/>
      <c r="L597" s="369"/>
      <c r="M597" s="373"/>
      <c r="N597" s="369"/>
      <c r="O597" s="369"/>
      <c r="P597" s="374"/>
      <c r="Q597" s="372"/>
      <c r="R597" s="372"/>
      <c r="S597" s="372"/>
      <c r="T597" s="372"/>
      <c r="U597" s="372"/>
      <c r="V597" s="372"/>
      <c r="W597" s="372"/>
      <c r="X597" s="372"/>
      <c r="Y597" s="372"/>
      <c r="Z597" s="372"/>
      <c r="AA597" s="372"/>
      <c r="AB597" s="372"/>
      <c r="AC597" s="372"/>
      <c r="AD597" s="372"/>
      <c r="AE597" s="372"/>
      <c r="AF597" s="372"/>
      <c r="AG597" s="372"/>
      <c r="AH597" s="372"/>
      <c r="AI597" s="372"/>
      <c r="AJ597" s="372"/>
      <c r="AK597" s="372"/>
      <c r="AL597" s="372"/>
      <c r="AM597" s="372"/>
    </row>
    <row r="598">
      <c r="A598" s="369"/>
      <c r="B598" s="369"/>
      <c r="C598" s="405"/>
      <c r="D598" s="369"/>
      <c r="E598" s="369"/>
      <c r="F598" s="372"/>
      <c r="G598" s="372"/>
      <c r="H598" s="372"/>
      <c r="I598" s="372"/>
      <c r="J598" s="372"/>
      <c r="K598" s="369"/>
      <c r="L598" s="369"/>
      <c r="M598" s="373"/>
      <c r="N598" s="369"/>
      <c r="O598" s="369"/>
      <c r="P598" s="374"/>
      <c r="Q598" s="372"/>
      <c r="R598" s="372"/>
      <c r="S598" s="372"/>
      <c r="T598" s="372"/>
      <c r="U598" s="372"/>
      <c r="V598" s="372"/>
      <c r="W598" s="372"/>
      <c r="X598" s="372"/>
      <c r="Y598" s="372"/>
      <c r="Z598" s="372"/>
      <c r="AA598" s="372"/>
      <c r="AB598" s="372"/>
      <c r="AC598" s="372"/>
      <c r="AD598" s="372"/>
      <c r="AE598" s="372"/>
      <c r="AF598" s="372"/>
      <c r="AG598" s="372"/>
      <c r="AH598" s="372"/>
      <c r="AI598" s="372"/>
      <c r="AJ598" s="372"/>
      <c r="AK598" s="372"/>
      <c r="AL598" s="372"/>
      <c r="AM598" s="372"/>
    </row>
    <row r="599">
      <c r="A599" s="369"/>
      <c r="B599" s="369"/>
      <c r="C599" s="405"/>
      <c r="D599" s="369"/>
      <c r="E599" s="369"/>
      <c r="F599" s="372"/>
      <c r="G599" s="372"/>
      <c r="H599" s="372"/>
      <c r="I599" s="372"/>
      <c r="J599" s="372"/>
      <c r="K599" s="369"/>
      <c r="L599" s="369"/>
      <c r="M599" s="373"/>
      <c r="N599" s="369"/>
      <c r="O599" s="369"/>
      <c r="P599" s="374"/>
      <c r="Q599" s="372"/>
      <c r="R599" s="372"/>
      <c r="S599" s="372"/>
      <c r="T599" s="372"/>
      <c r="U599" s="372"/>
      <c r="V599" s="372"/>
      <c r="W599" s="372"/>
      <c r="X599" s="372"/>
      <c r="Y599" s="372"/>
      <c r="Z599" s="372"/>
      <c r="AA599" s="372"/>
      <c r="AB599" s="372"/>
      <c r="AC599" s="372"/>
      <c r="AD599" s="372"/>
      <c r="AE599" s="372"/>
      <c r="AF599" s="372"/>
      <c r="AG599" s="372"/>
      <c r="AH599" s="372"/>
      <c r="AI599" s="372"/>
      <c r="AJ599" s="372"/>
      <c r="AK599" s="372"/>
      <c r="AL599" s="372"/>
      <c r="AM599" s="372"/>
    </row>
    <row r="600">
      <c r="A600" s="369"/>
      <c r="B600" s="369"/>
      <c r="C600" s="405"/>
      <c r="D600" s="369"/>
      <c r="E600" s="369"/>
      <c r="F600" s="372"/>
      <c r="G600" s="372"/>
      <c r="H600" s="372"/>
      <c r="I600" s="372"/>
      <c r="J600" s="372"/>
      <c r="K600" s="369"/>
      <c r="L600" s="369"/>
      <c r="M600" s="373"/>
      <c r="N600" s="369"/>
      <c r="O600" s="369"/>
      <c r="P600" s="374"/>
      <c r="Q600" s="372"/>
      <c r="R600" s="372"/>
      <c r="S600" s="372"/>
      <c r="T600" s="372"/>
      <c r="U600" s="372"/>
      <c r="V600" s="372"/>
      <c r="W600" s="372"/>
      <c r="X600" s="372"/>
      <c r="Y600" s="372"/>
      <c r="Z600" s="372"/>
      <c r="AA600" s="372"/>
      <c r="AB600" s="372"/>
      <c r="AC600" s="372"/>
      <c r="AD600" s="372"/>
      <c r="AE600" s="372"/>
      <c r="AF600" s="372"/>
      <c r="AG600" s="372"/>
      <c r="AH600" s="372"/>
      <c r="AI600" s="372"/>
      <c r="AJ600" s="372"/>
      <c r="AK600" s="372"/>
      <c r="AL600" s="372"/>
      <c r="AM600" s="372"/>
    </row>
    <row r="601">
      <c r="A601" s="369"/>
      <c r="B601" s="369"/>
      <c r="C601" s="405"/>
      <c r="D601" s="369"/>
      <c r="E601" s="369"/>
      <c r="F601" s="372"/>
      <c r="G601" s="372"/>
      <c r="H601" s="372"/>
      <c r="I601" s="372"/>
      <c r="J601" s="372"/>
      <c r="K601" s="369"/>
      <c r="L601" s="369"/>
      <c r="M601" s="373"/>
      <c r="N601" s="369"/>
      <c r="O601" s="369"/>
      <c r="P601" s="374"/>
      <c r="Q601" s="372"/>
      <c r="R601" s="372"/>
      <c r="S601" s="372"/>
      <c r="T601" s="372"/>
      <c r="U601" s="372"/>
      <c r="V601" s="372"/>
      <c r="W601" s="372"/>
      <c r="X601" s="372"/>
      <c r="Y601" s="372"/>
      <c r="Z601" s="372"/>
      <c r="AA601" s="372"/>
      <c r="AB601" s="372"/>
      <c r="AC601" s="372"/>
      <c r="AD601" s="372"/>
      <c r="AE601" s="372"/>
      <c r="AF601" s="372"/>
      <c r="AG601" s="372"/>
      <c r="AH601" s="372"/>
      <c r="AI601" s="372"/>
      <c r="AJ601" s="372"/>
      <c r="AK601" s="372"/>
      <c r="AL601" s="372"/>
      <c r="AM601" s="372"/>
    </row>
    <row r="602">
      <c r="A602" s="369"/>
      <c r="B602" s="369"/>
      <c r="C602" s="405"/>
      <c r="D602" s="369"/>
      <c r="E602" s="369"/>
      <c r="F602" s="372"/>
      <c r="G602" s="372"/>
      <c r="H602" s="372"/>
      <c r="I602" s="372"/>
      <c r="J602" s="372"/>
      <c r="K602" s="369"/>
      <c r="L602" s="369"/>
      <c r="M602" s="373"/>
      <c r="N602" s="369"/>
      <c r="O602" s="369"/>
      <c r="P602" s="374"/>
      <c r="Q602" s="372"/>
      <c r="R602" s="372"/>
      <c r="S602" s="372"/>
      <c r="T602" s="372"/>
      <c r="U602" s="372"/>
      <c r="V602" s="372"/>
      <c r="W602" s="372"/>
      <c r="X602" s="372"/>
      <c r="Y602" s="372"/>
      <c r="Z602" s="372"/>
      <c r="AA602" s="372"/>
      <c r="AB602" s="372"/>
      <c r="AC602" s="372"/>
      <c r="AD602" s="372"/>
      <c r="AE602" s="372"/>
      <c r="AF602" s="372"/>
      <c r="AG602" s="372"/>
      <c r="AH602" s="372"/>
      <c r="AI602" s="372"/>
      <c r="AJ602" s="372"/>
      <c r="AK602" s="372"/>
      <c r="AL602" s="372"/>
      <c r="AM602" s="372"/>
    </row>
    <row r="603">
      <c r="A603" s="369"/>
      <c r="B603" s="369"/>
      <c r="C603" s="405"/>
      <c r="D603" s="369"/>
      <c r="E603" s="369"/>
      <c r="F603" s="372"/>
      <c r="G603" s="372"/>
      <c r="H603" s="372"/>
      <c r="I603" s="372"/>
      <c r="J603" s="372"/>
      <c r="K603" s="369"/>
      <c r="L603" s="369"/>
      <c r="M603" s="373"/>
      <c r="N603" s="369"/>
      <c r="O603" s="369"/>
      <c r="P603" s="374"/>
      <c r="Q603" s="372"/>
      <c r="R603" s="372"/>
      <c r="S603" s="372"/>
      <c r="T603" s="372"/>
      <c r="U603" s="372"/>
      <c r="V603" s="372"/>
      <c r="W603" s="372"/>
      <c r="X603" s="372"/>
      <c r="Y603" s="372"/>
      <c r="Z603" s="372"/>
      <c r="AA603" s="372"/>
      <c r="AB603" s="372"/>
      <c r="AC603" s="372"/>
      <c r="AD603" s="372"/>
      <c r="AE603" s="372"/>
      <c r="AF603" s="372"/>
      <c r="AG603" s="372"/>
      <c r="AH603" s="372"/>
      <c r="AI603" s="372"/>
      <c r="AJ603" s="372"/>
      <c r="AK603" s="372"/>
      <c r="AL603" s="372"/>
      <c r="AM603" s="372"/>
    </row>
    <row r="604">
      <c r="A604" s="369"/>
      <c r="B604" s="369"/>
      <c r="C604" s="405"/>
      <c r="D604" s="369"/>
      <c r="E604" s="369"/>
      <c r="F604" s="372"/>
      <c r="G604" s="372"/>
      <c r="H604" s="372"/>
      <c r="I604" s="372"/>
      <c r="J604" s="372"/>
      <c r="K604" s="369"/>
      <c r="L604" s="369"/>
      <c r="M604" s="373"/>
      <c r="N604" s="369"/>
      <c r="O604" s="369"/>
      <c r="P604" s="374"/>
      <c r="Q604" s="372"/>
      <c r="R604" s="372"/>
      <c r="S604" s="372"/>
      <c r="T604" s="372"/>
      <c r="U604" s="372"/>
      <c r="V604" s="372"/>
      <c r="W604" s="372"/>
      <c r="X604" s="372"/>
      <c r="Y604" s="372"/>
      <c r="Z604" s="372"/>
      <c r="AA604" s="372"/>
      <c r="AB604" s="372"/>
      <c r="AC604" s="372"/>
      <c r="AD604" s="372"/>
      <c r="AE604" s="372"/>
      <c r="AF604" s="372"/>
      <c r="AG604" s="372"/>
      <c r="AH604" s="372"/>
      <c r="AI604" s="372"/>
      <c r="AJ604" s="372"/>
      <c r="AK604" s="372"/>
      <c r="AL604" s="372"/>
      <c r="AM604" s="372"/>
    </row>
    <row r="605">
      <c r="A605" s="369"/>
      <c r="B605" s="369"/>
      <c r="C605" s="405"/>
      <c r="D605" s="369"/>
      <c r="E605" s="369"/>
      <c r="F605" s="372"/>
      <c r="G605" s="372"/>
      <c r="H605" s="372"/>
      <c r="I605" s="372"/>
      <c r="J605" s="372"/>
      <c r="K605" s="369"/>
      <c r="L605" s="369"/>
      <c r="M605" s="373"/>
      <c r="N605" s="369"/>
      <c r="O605" s="369"/>
      <c r="P605" s="374"/>
      <c r="Q605" s="372"/>
      <c r="R605" s="372"/>
      <c r="S605" s="372"/>
      <c r="T605" s="372"/>
      <c r="U605" s="372"/>
      <c r="V605" s="372"/>
      <c r="W605" s="372"/>
      <c r="X605" s="372"/>
      <c r="Y605" s="372"/>
      <c r="Z605" s="372"/>
      <c r="AA605" s="372"/>
      <c r="AB605" s="372"/>
      <c r="AC605" s="372"/>
      <c r="AD605" s="372"/>
      <c r="AE605" s="372"/>
      <c r="AF605" s="372"/>
      <c r="AG605" s="372"/>
      <c r="AH605" s="372"/>
      <c r="AI605" s="372"/>
      <c r="AJ605" s="372"/>
      <c r="AK605" s="372"/>
      <c r="AL605" s="372"/>
      <c r="AM605" s="372"/>
    </row>
    <row r="606">
      <c r="A606" s="369"/>
      <c r="B606" s="369"/>
      <c r="C606" s="405"/>
      <c r="D606" s="369"/>
      <c r="E606" s="369"/>
      <c r="F606" s="372"/>
      <c r="G606" s="372"/>
      <c r="H606" s="372"/>
      <c r="I606" s="372"/>
      <c r="J606" s="372"/>
      <c r="K606" s="369"/>
      <c r="L606" s="369"/>
      <c r="M606" s="373"/>
      <c r="N606" s="369"/>
      <c r="O606" s="369"/>
      <c r="P606" s="374"/>
      <c r="Q606" s="372"/>
      <c r="R606" s="372"/>
      <c r="S606" s="372"/>
      <c r="T606" s="372"/>
      <c r="U606" s="372"/>
      <c r="V606" s="372"/>
      <c r="W606" s="372"/>
      <c r="X606" s="372"/>
      <c r="Y606" s="372"/>
      <c r="Z606" s="372"/>
      <c r="AA606" s="372"/>
      <c r="AB606" s="372"/>
      <c r="AC606" s="372"/>
      <c r="AD606" s="372"/>
      <c r="AE606" s="372"/>
      <c r="AF606" s="372"/>
      <c r="AG606" s="372"/>
      <c r="AH606" s="372"/>
      <c r="AI606" s="372"/>
      <c r="AJ606" s="372"/>
      <c r="AK606" s="372"/>
      <c r="AL606" s="372"/>
      <c r="AM606" s="372"/>
    </row>
    <row r="607">
      <c r="A607" s="369"/>
      <c r="B607" s="369"/>
      <c r="C607" s="405"/>
      <c r="D607" s="369"/>
      <c r="E607" s="369"/>
      <c r="F607" s="372"/>
      <c r="G607" s="372"/>
      <c r="H607" s="372"/>
      <c r="I607" s="372"/>
      <c r="J607" s="372"/>
      <c r="K607" s="369"/>
      <c r="L607" s="369"/>
      <c r="M607" s="373"/>
      <c r="N607" s="369"/>
      <c r="O607" s="369"/>
      <c r="P607" s="374"/>
      <c r="Q607" s="372"/>
      <c r="R607" s="372"/>
      <c r="S607" s="372"/>
      <c r="T607" s="372"/>
      <c r="U607" s="372"/>
      <c r="V607" s="372"/>
      <c r="W607" s="372"/>
      <c r="X607" s="372"/>
      <c r="Y607" s="372"/>
      <c r="Z607" s="372"/>
      <c r="AA607" s="372"/>
      <c r="AB607" s="372"/>
      <c r="AC607" s="372"/>
      <c r="AD607" s="372"/>
      <c r="AE607" s="372"/>
      <c r="AF607" s="372"/>
      <c r="AG607" s="372"/>
      <c r="AH607" s="372"/>
      <c r="AI607" s="372"/>
      <c r="AJ607" s="372"/>
      <c r="AK607" s="372"/>
      <c r="AL607" s="372"/>
      <c r="AM607" s="372"/>
    </row>
    <row r="608">
      <c r="A608" s="369"/>
      <c r="B608" s="369"/>
      <c r="C608" s="405"/>
      <c r="D608" s="369"/>
      <c r="E608" s="369"/>
      <c r="F608" s="372"/>
      <c r="G608" s="372"/>
      <c r="H608" s="372"/>
      <c r="I608" s="372"/>
      <c r="J608" s="372"/>
      <c r="K608" s="369"/>
      <c r="L608" s="369"/>
      <c r="M608" s="373"/>
      <c r="N608" s="369"/>
      <c r="O608" s="369"/>
      <c r="P608" s="374"/>
      <c r="Q608" s="372"/>
      <c r="R608" s="372"/>
      <c r="S608" s="372"/>
      <c r="T608" s="372"/>
      <c r="U608" s="372"/>
      <c r="V608" s="372"/>
      <c r="W608" s="372"/>
      <c r="X608" s="372"/>
      <c r="Y608" s="372"/>
      <c r="Z608" s="372"/>
      <c r="AA608" s="372"/>
      <c r="AB608" s="372"/>
      <c r="AC608" s="372"/>
      <c r="AD608" s="372"/>
      <c r="AE608" s="372"/>
      <c r="AF608" s="372"/>
      <c r="AG608" s="372"/>
      <c r="AH608" s="372"/>
      <c r="AI608" s="372"/>
      <c r="AJ608" s="372"/>
      <c r="AK608" s="372"/>
      <c r="AL608" s="372"/>
      <c r="AM608" s="372"/>
    </row>
    <row r="609">
      <c r="A609" s="369"/>
      <c r="B609" s="369"/>
      <c r="C609" s="405"/>
      <c r="D609" s="369"/>
      <c r="E609" s="369"/>
      <c r="F609" s="372"/>
      <c r="G609" s="372"/>
      <c r="H609" s="372"/>
      <c r="I609" s="372"/>
      <c r="J609" s="372"/>
      <c r="K609" s="369"/>
      <c r="L609" s="369"/>
      <c r="M609" s="373"/>
      <c r="N609" s="369"/>
      <c r="O609" s="369"/>
      <c r="P609" s="374"/>
      <c r="Q609" s="372"/>
      <c r="R609" s="372"/>
      <c r="S609" s="372"/>
      <c r="T609" s="372"/>
      <c r="U609" s="372"/>
      <c r="V609" s="372"/>
      <c r="W609" s="372"/>
      <c r="X609" s="372"/>
      <c r="Y609" s="372"/>
      <c r="Z609" s="372"/>
      <c r="AA609" s="372"/>
      <c r="AB609" s="372"/>
      <c r="AC609" s="372"/>
      <c r="AD609" s="372"/>
      <c r="AE609" s="372"/>
      <c r="AF609" s="372"/>
      <c r="AG609" s="372"/>
      <c r="AH609" s="372"/>
      <c r="AI609" s="372"/>
      <c r="AJ609" s="372"/>
      <c r="AK609" s="372"/>
      <c r="AL609" s="372"/>
      <c r="AM609" s="372"/>
    </row>
    <row r="610">
      <c r="A610" s="369"/>
      <c r="B610" s="369"/>
      <c r="C610" s="405"/>
      <c r="D610" s="369"/>
      <c r="E610" s="369"/>
      <c r="F610" s="372"/>
      <c r="G610" s="372"/>
      <c r="H610" s="372"/>
      <c r="I610" s="372"/>
      <c r="J610" s="372"/>
      <c r="K610" s="369"/>
      <c r="L610" s="369"/>
      <c r="M610" s="373"/>
      <c r="N610" s="369"/>
      <c r="O610" s="369"/>
      <c r="P610" s="374"/>
      <c r="Q610" s="372"/>
      <c r="R610" s="372"/>
      <c r="S610" s="372"/>
      <c r="T610" s="372"/>
      <c r="U610" s="372"/>
      <c r="V610" s="372"/>
      <c r="W610" s="372"/>
      <c r="X610" s="372"/>
      <c r="Y610" s="372"/>
      <c r="Z610" s="372"/>
      <c r="AA610" s="372"/>
      <c r="AB610" s="372"/>
      <c r="AC610" s="372"/>
      <c r="AD610" s="372"/>
      <c r="AE610" s="372"/>
      <c r="AF610" s="372"/>
      <c r="AG610" s="372"/>
      <c r="AH610" s="372"/>
      <c r="AI610" s="372"/>
      <c r="AJ610" s="372"/>
      <c r="AK610" s="372"/>
      <c r="AL610" s="372"/>
      <c r="AM610" s="372"/>
    </row>
    <row r="611">
      <c r="A611" s="369"/>
      <c r="B611" s="369"/>
      <c r="C611" s="405"/>
      <c r="D611" s="369"/>
      <c r="E611" s="369"/>
      <c r="F611" s="372"/>
      <c r="G611" s="372"/>
      <c r="H611" s="372"/>
      <c r="I611" s="372"/>
      <c r="J611" s="372"/>
      <c r="K611" s="369"/>
      <c r="L611" s="369"/>
      <c r="M611" s="373"/>
      <c r="N611" s="369"/>
      <c r="O611" s="369"/>
      <c r="P611" s="374"/>
      <c r="Q611" s="372"/>
      <c r="R611" s="372"/>
      <c r="S611" s="372"/>
      <c r="T611" s="372"/>
      <c r="U611" s="372"/>
      <c r="V611" s="372"/>
      <c r="W611" s="372"/>
      <c r="X611" s="372"/>
      <c r="Y611" s="372"/>
      <c r="Z611" s="372"/>
      <c r="AA611" s="372"/>
      <c r="AB611" s="372"/>
      <c r="AC611" s="372"/>
      <c r="AD611" s="372"/>
      <c r="AE611" s="372"/>
      <c r="AF611" s="372"/>
      <c r="AG611" s="372"/>
      <c r="AH611" s="372"/>
      <c r="AI611" s="372"/>
      <c r="AJ611" s="372"/>
      <c r="AK611" s="372"/>
      <c r="AL611" s="372"/>
      <c r="AM611" s="372"/>
    </row>
    <row r="612">
      <c r="A612" s="369"/>
      <c r="B612" s="369"/>
      <c r="C612" s="405"/>
      <c r="D612" s="369"/>
      <c r="E612" s="369"/>
      <c r="F612" s="372"/>
      <c r="G612" s="372"/>
      <c r="H612" s="372"/>
      <c r="I612" s="372"/>
      <c r="J612" s="372"/>
      <c r="K612" s="369"/>
      <c r="L612" s="369"/>
      <c r="M612" s="373"/>
      <c r="N612" s="369"/>
      <c r="O612" s="369"/>
      <c r="P612" s="374"/>
      <c r="Q612" s="372"/>
      <c r="R612" s="372"/>
      <c r="S612" s="372"/>
      <c r="T612" s="372"/>
      <c r="U612" s="372"/>
      <c r="V612" s="372"/>
      <c r="W612" s="372"/>
      <c r="X612" s="372"/>
      <c r="Y612" s="372"/>
      <c r="Z612" s="372"/>
      <c r="AA612" s="372"/>
      <c r="AB612" s="372"/>
      <c r="AC612" s="372"/>
      <c r="AD612" s="372"/>
      <c r="AE612" s="372"/>
      <c r="AF612" s="372"/>
      <c r="AG612" s="372"/>
      <c r="AH612" s="372"/>
      <c r="AI612" s="372"/>
      <c r="AJ612" s="372"/>
      <c r="AK612" s="372"/>
      <c r="AL612" s="372"/>
      <c r="AM612" s="372"/>
    </row>
    <row r="613">
      <c r="A613" s="369"/>
      <c r="B613" s="369"/>
      <c r="C613" s="405"/>
      <c r="D613" s="369"/>
      <c r="E613" s="369"/>
      <c r="F613" s="372"/>
      <c r="G613" s="372"/>
      <c r="H613" s="372"/>
      <c r="I613" s="372"/>
      <c r="J613" s="372"/>
      <c r="K613" s="369"/>
      <c r="L613" s="369"/>
      <c r="M613" s="373"/>
      <c r="N613" s="369"/>
      <c r="O613" s="369"/>
      <c r="P613" s="374"/>
      <c r="Q613" s="372"/>
      <c r="R613" s="372"/>
      <c r="S613" s="372"/>
      <c r="T613" s="372"/>
      <c r="U613" s="372"/>
      <c r="V613" s="372"/>
      <c r="W613" s="372"/>
      <c r="X613" s="372"/>
      <c r="Y613" s="372"/>
      <c r="Z613" s="372"/>
      <c r="AA613" s="372"/>
      <c r="AB613" s="372"/>
      <c r="AC613" s="372"/>
      <c r="AD613" s="372"/>
      <c r="AE613" s="372"/>
      <c r="AF613" s="372"/>
      <c r="AG613" s="372"/>
      <c r="AH613" s="372"/>
      <c r="AI613" s="372"/>
      <c r="AJ613" s="372"/>
      <c r="AK613" s="372"/>
      <c r="AL613" s="372"/>
      <c r="AM613" s="372"/>
    </row>
    <row r="614">
      <c r="A614" s="369"/>
      <c r="B614" s="369"/>
      <c r="C614" s="405"/>
      <c r="D614" s="369"/>
      <c r="E614" s="369"/>
      <c r="F614" s="372"/>
      <c r="G614" s="372"/>
      <c r="H614" s="372"/>
      <c r="I614" s="372"/>
      <c r="J614" s="372"/>
      <c r="K614" s="369"/>
      <c r="L614" s="369"/>
      <c r="M614" s="373"/>
      <c r="N614" s="369"/>
      <c r="O614" s="369"/>
      <c r="P614" s="374"/>
      <c r="Q614" s="372"/>
      <c r="R614" s="372"/>
      <c r="S614" s="372"/>
      <c r="T614" s="372"/>
      <c r="U614" s="372"/>
      <c r="V614" s="372"/>
      <c r="W614" s="372"/>
      <c r="X614" s="372"/>
      <c r="Y614" s="372"/>
      <c r="Z614" s="372"/>
      <c r="AA614" s="372"/>
      <c r="AB614" s="372"/>
      <c r="AC614" s="372"/>
      <c r="AD614" s="372"/>
      <c r="AE614" s="372"/>
      <c r="AF614" s="372"/>
      <c r="AG614" s="372"/>
      <c r="AH614" s="372"/>
      <c r="AI614" s="372"/>
      <c r="AJ614" s="372"/>
      <c r="AK614" s="372"/>
      <c r="AL614" s="372"/>
      <c r="AM614" s="372"/>
    </row>
    <row r="615">
      <c r="A615" s="369"/>
      <c r="B615" s="369"/>
      <c r="C615" s="405"/>
      <c r="D615" s="369"/>
      <c r="E615" s="369"/>
      <c r="F615" s="372"/>
      <c r="G615" s="372"/>
      <c r="H615" s="372"/>
      <c r="I615" s="372"/>
      <c r="J615" s="372"/>
      <c r="K615" s="369"/>
      <c r="L615" s="369"/>
      <c r="M615" s="373"/>
      <c r="N615" s="369"/>
      <c r="O615" s="369"/>
      <c r="P615" s="374"/>
      <c r="Q615" s="372"/>
      <c r="R615" s="372"/>
      <c r="S615" s="372"/>
      <c r="T615" s="372"/>
      <c r="U615" s="372"/>
      <c r="V615" s="372"/>
      <c r="W615" s="372"/>
      <c r="X615" s="372"/>
      <c r="Y615" s="372"/>
      <c r="Z615" s="372"/>
      <c r="AA615" s="372"/>
      <c r="AB615" s="372"/>
      <c r="AC615" s="372"/>
      <c r="AD615" s="372"/>
      <c r="AE615" s="372"/>
      <c r="AF615" s="372"/>
      <c r="AG615" s="372"/>
      <c r="AH615" s="372"/>
      <c r="AI615" s="372"/>
      <c r="AJ615" s="372"/>
      <c r="AK615" s="372"/>
      <c r="AL615" s="372"/>
      <c r="AM615" s="372"/>
    </row>
    <row r="616">
      <c r="A616" s="369"/>
      <c r="B616" s="369"/>
      <c r="C616" s="405"/>
      <c r="D616" s="369"/>
      <c r="E616" s="369"/>
      <c r="F616" s="372"/>
      <c r="G616" s="372"/>
      <c r="H616" s="372"/>
      <c r="I616" s="372"/>
      <c r="J616" s="372"/>
      <c r="K616" s="369"/>
      <c r="L616" s="369"/>
      <c r="M616" s="373"/>
      <c r="N616" s="369"/>
      <c r="O616" s="369"/>
      <c r="P616" s="374"/>
      <c r="Q616" s="372"/>
      <c r="R616" s="372"/>
      <c r="S616" s="372"/>
      <c r="T616" s="372"/>
      <c r="U616" s="372"/>
      <c r="V616" s="372"/>
      <c r="W616" s="372"/>
      <c r="X616" s="372"/>
      <c r="Y616" s="372"/>
      <c r="Z616" s="372"/>
      <c r="AA616" s="372"/>
      <c r="AB616" s="372"/>
      <c r="AC616" s="372"/>
      <c r="AD616" s="372"/>
      <c r="AE616" s="372"/>
      <c r="AF616" s="372"/>
      <c r="AG616" s="372"/>
      <c r="AH616" s="372"/>
      <c r="AI616" s="372"/>
      <c r="AJ616" s="372"/>
      <c r="AK616" s="372"/>
      <c r="AL616" s="372"/>
      <c r="AM616" s="372"/>
    </row>
    <row r="617">
      <c r="A617" s="369"/>
      <c r="B617" s="369"/>
      <c r="C617" s="405"/>
      <c r="D617" s="369"/>
      <c r="E617" s="369"/>
      <c r="F617" s="372"/>
      <c r="G617" s="372"/>
      <c r="H617" s="372"/>
      <c r="I617" s="372"/>
      <c r="J617" s="372"/>
      <c r="K617" s="369"/>
      <c r="L617" s="369"/>
      <c r="M617" s="373"/>
      <c r="N617" s="369"/>
      <c r="O617" s="369"/>
      <c r="P617" s="374"/>
      <c r="Q617" s="372"/>
      <c r="R617" s="372"/>
      <c r="S617" s="372"/>
      <c r="T617" s="372"/>
      <c r="U617" s="372"/>
      <c r="V617" s="372"/>
      <c r="W617" s="372"/>
      <c r="X617" s="372"/>
      <c r="Y617" s="372"/>
      <c r="Z617" s="372"/>
      <c r="AA617" s="372"/>
      <c r="AB617" s="372"/>
      <c r="AC617" s="372"/>
      <c r="AD617" s="372"/>
      <c r="AE617" s="372"/>
      <c r="AF617" s="372"/>
      <c r="AG617" s="372"/>
      <c r="AH617" s="372"/>
      <c r="AI617" s="372"/>
      <c r="AJ617" s="372"/>
      <c r="AK617" s="372"/>
      <c r="AL617" s="372"/>
      <c r="AM617" s="372"/>
    </row>
    <row r="618">
      <c r="A618" s="369"/>
      <c r="B618" s="369"/>
      <c r="C618" s="405"/>
      <c r="D618" s="369"/>
      <c r="E618" s="369"/>
      <c r="F618" s="372"/>
      <c r="G618" s="372"/>
      <c r="H618" s="372"/>
      <c r="I618" s="372"/>
      <c r="J618" s="372"/>
      <c r="K618" s="369"/>
      <c r="L618" s="369"/>
      <c r="M618" s="373"/>
      <c r="N618" s="369"/>
      <c r="O618" s="369"/>
      <c r="P618" s="374"/>
      <c r="Q618" s="372"/>
      <c r="R618" s="372"/>
      <c r="S618" s="372"/>
      <c r="T618" s="372"/>
      <c r="U618" s="372"/>
      <c r="V618" s="372"/>
      <c r="W618" s="372"/>
      <c r="X618" s="372"/>
      <c r="Y618" s="372"/>
      <c r="Z618" s="372"/>
      <c r="AA618" s="372"/>
      <c r="AB618" s="372"/>
      <c r="AC618" s="372"/>
      <c r="AD618" s="372"/>
      <c r="AE618" s="372"/>
      <c r="AF618" s="372"/>
      <c r="AG618" s="372"/>
      <c r="AH618" s="372"/>
      <c r="AI618" s="372"/>
      <c r="AJ618" s="372"/>
      <c r="AK618" s="372"/>
      <c r="AL618" s="372"/>
      <c r="AM618" s="372"/>
    </row>
    <row r="619">
      <c r="A619" s="369"/>
      <c r="B619" s="369"/>
      <c r="C619" s="405"/>
      <c r="D619" s="369"/>
      <c r="E619" s="369"/>
      <c r="F619" s="372"/>
      <c r="G619" s="372"/>
      <c r="H619" s="372"/>
      <c r="I619" s="372"/>
      <c r="J619" s="372"/>
      <c r="K619" s="369"/>
      <c r="L619" s="369"/>
      <c r="M619" s="373"/>
      <c r="N619" s="369"/>
      <c r="O619" s="369"/>
      <c r="P619" s="374"/>
      <c r="Q619" s="372"/>
      <c r="R619" s="372"/>
      <c r="S619" s="372"/>
      <c r="T619" s="372"/>
      <c r="U619" s="372"/>
      <c r="V619" s="372"/>
      <c r="W619" s="372"/>
      <c r="X619" s="372"/>
      <c r="Y619" s="372"/>
      <c r="Z619" s="372"/>
      <c r="AA619" s="372"/>
      <c r="AB619" s="372"/>
      <c r="AC619" s="372"/>
      <c r="AD619" s="372"/>
      <c r="AE619" s="372"/>
      <c r="AF619" s="372"/>
      <c r="AG619" s="372"/>
      <c r="AH619" s="372"/>
      <c r="AI619" s="372"/>
      <c r="AJ619" s="372"/>
      <c r="AK619" s="372"/>
      <c r="AL619" s="372"/>
      <c r="AM619" s="372"/>
    </row>
    <row r="620">
      <c r="A620" s="369"/>
      <c r="B620" s="369"/>
      <c r="C620" s="405"/>
      <c r="D620" s="369"/>
      <c r="E620" s="369"/>
      <c r="F620" s="372"/>
      <c r="G620" s="372"/>
      <c r="H620" s="372"/>
      <c r="I620" s="372"/>
      <c r="J620" s="372"/>
      <c r="K620" s="369"/>
      <c r="L620" s="369"/>
      <c r="M620" s="373"/>
      <c r="N620" s="369"/>
      <c r="O620" s="369"/>
      <c r="P620" s="374"/>
      <c r="Q620" s="372"/>
      <c r="R620" s="372"/>
      <c r="S620" s="372"/>
      <c r="T620" s="372"/>
      <c r="U620" s="372"/>
      <c r="V620" s="372"/>
      <c r="W620" s="372"/>
      <c r="X620" s="372"/>
      <c r="Y620" s="372"/>
      <c r="Z620" s="372"/>
      <c r="AA620" s="372"/>
      <c r="AB620" s="372"/>
      <c r="AC620" s="372"/>
      <c r="AD620" s="372"/>
      <c r="AE620" s="372"/>
      <c r="AF620" s="372"/>
      <c r="AG620" s="372"/>
      <c r="AH620" s="372"/>
      <c r="AI620" s="372"/>
      <c r="AJ620" s="372"/>
      <c r="AK620" s="372"/>
      <c r="AL620" s="372"/>
      <c r="AM620" s="372"/>
    </row>
    <row r="621">
      <c r="A621" s="369"/>
      <c r="B621" s="369"/>
      <c r="C621" s="405"/>
      <c r="D621" s="369"/>
      <c r="E621" s="369"/>
      <c r="F621" s="372"/>
      <c r="G621" s="372"/>
      <c r="H621" s="372"/>
      <c r="I621" s="372"/>
      <c r="J621" s="372"/>
      <c r="K621" s="369"/>
      <c r="L621" s="369"/>
      <c r="M621" s="373"/>
      <c r="N621" s="369"/>
      <c r="O621" s="369"/>
      <c r="P621" s="374"/>
      <c r="Q621" s="372"/>
      <c r="R621" s="372"/>
      <c r="S621" s="372"/>
      <c r="T621" s="372"/>
      <c r="U621" s="372"/>
      <c r="V621" s="372"/>
      <c r="W621" s="372"/>
      <c r="X621" s="372"/>
      <c r="Y621" s="372"/>
      <c r="Z621" s="372"/>
      <c r="AA621" s="372"/>
      <c r="AB621" s="372"/>
      <c r="AC621" s="372"/>
      <c r="AD621" s="372"/>
      <c r="AE621" s="372"/>
      <c r="AF621" s="372"/>
      <c r="AG621" s="372"/>
      <c r="AH621" s="372"/>
      <c r="AI621" s="372"/>
      <c r="AJ621" s="372"/>
      <c r="AK621" s="372"/>
      <c r="AL621" s="372"/>
      <c r="AM621" s="372"/>
    </row>
    <row r="622">
      <c r="A622" s="369"/>
      <c r="B622" s="369"/>
      <c r="C622" s="405"/>
      <c r="D622" s="369"/>
      <c r="E622" s="369"/>
      <c r="F622" s="372"/>
      <c r="G622" s="372"/>
      <c r="H622" s="372"/>
      <c r="I622" s="372"/>
      <c r="J622" s="372"/>
      <c r="K622" s="369"/>
      <c r="L622" s="369"/>
      <c r="M622" s="373"/>
      <c r="N622" s="369"/>
      <c r="O622" s="369"/>
      <c r="P622" s="374"/>
      <c r="Q622" s="372"/>
      <c r="R622" s="372"/>
      <c r="S622" s="372"/>
      <c r="T622" s="372"/>
      <c r="U622" s="372"/>
      <c r="V622" s="372"/>
      <c r="W622" s="372"/>
      <c r="X622" s="372"/>
      <c r="Y622" s="372"/>
      <c r="Z622" s="372"/>
      <c r="AA622" s="372"/>
      <c r="AB622" s="372"/>
      <c r="AC622" s="372"/>
      <c r="AD622" s="372"/>
      <c r="AE622" s="372"/>
      <c r="AF622" s="372"/>
      <c r="AG622" s="372"/>
      <c r="AH622" s="372"/>
      <c r="AI622" s="372"/>
      <c r="AJ622" s="372"/>
      <c r="AK622" s="372"/>
      <c r="AL622" s="372"/>
      <c r="AM622" s="372"/>
    </row>
    <row r="623">
      <c r="A623" s="369"/>
      <c r="B623" s="369"/>
      <c r="C623" s="405"/>
      <c r="D623" s="369"/>
      <c r="E623" s="369"/>
      <c r="F623" s="372"/>
      <c r="G623" s="372"/>
      <c r="H623" s="372"/>
      <c r="I623" s="372"/>
      <c r="J623" s="372"/>
      <c r="K623" s="369"/>
      <c r="L623" s="369"/>
      <c r="M623" s="373"/>
      <c r="N623" s="369"/>
      <c r="O623" s="369"/>
      <c r="P623" s="374"/>
      <c r="Q623" s="372"/>
      <c r="R623" s="372"/>
      <c r="S623" s="372"/>
      <c r="T623" s="372"/>
      <c r="U623" s="372"/>
      <c r="V623" s="372"/>
      <c r="W623" s="372"/>
      <c r="X623" s="372"/>
      <c r="Y623" s="372"/>
      <c r="Z623" s="372"/>
      <c r="AA623" s="372"/>
      <c r="AB623" s="372"/>
      <c r="AC623" s="372"/>
      <c r="AD623" s="372"/>
      <c r="AE623" s="372"/>
      <c r="AF623" s="372"/>
      <c r="AG623" s="372"/>
      <c r="AH623" s="372"/>
      <c r="AI623" s="372"/>
      <c r="AJ623" s="372"/>
      <c r="AK623" s="372"/>
      <c r="AL623" s="372"/>
      <c r="AM623" s="372"/>
    </row>
    <row r="624">
      <c r="A624" s="369"/>
      <c r="B624" s="369"/>
      <c r="C624" s="405"/>
      <c r="D624" s="369"/>
      <c r="E624" s="369"/>
      <c r="F624" s="372"/>
      <c r="G624" s="372"/>
      <c r="H624" s="372"/>
      <c r="I624" s="372"/>
      <c r="J624" s="372"/>
      <c r="K624" s="369"/>
      <c r="L624" s="369"/>
      <c r="M624" s="373"/>
      <c r="N624" s="369"/>
      <c r="O624" s="369"/>
      <c r="P624" s="374"/>
      <c r="Q624" s="372"/>
      <c r="R624" s="372"/>
      <c r="S624" s="372"/>
      <c r="T624" s="372"/>
      <c r="U624" s="372"/>
      <c r="V624" s="372"/>
      <c r="W624" s="372"/>
      <c r="X624" s="372"/>
      <c r="Y624" s="372"/>
      <c r="Z624" s="372"/>
      <c r="AA624" s="372"/>
      <c r="AB624" s="372"/>
      <c r="AC624" s="372"/>
      <c r="AD624" s="372"/>
      <c r="AE624" s="372"/>
      <c r="AF624" s="372"/>
      <c r="AG624" s="372"/>
      <c r="AH624" s="372"/>
      <c r="AI624" s="372"/>
      <c r="AJ624" s="372"/>
      <c r="AK624" s="372"/>
      <c r="AL624" s="372"/>
      <c r="AM624" s="372"/>
    </row>
    <row r="625">
      <c r="A625" s="369"/>
      <c r="B625" s="369"/>
      <c r="C625" s="405"/>
      <c r="D625" s="369"/>
      <c r="E625" s="369"/>
      <c r="F625" s="372"/>
      <c r="G625" s="372"/>
      <c r="H625" s="372"/>
      <c r="I625" s="372"/>
      <c r="J625" s="372"/>
      <c r="K625" s="369"/>
      <c r="L625" s="369"/>
      <c r="M625" s="373"/>
      <c r="N625" s="369"/>
      <c r="O625" s="369"/>
      <c r="P625" s="374"/>
      <c r="Q625" s="372"/>
      <c r="R625" s="372"/>
      <c r="S625" s="372"/>
      <c r="T625" s="372"/>
      <c r="U625" s="372"/>
      <c r="V625" s="372"/>
      <c r="W625" s="372"/>
      <c r="X625" s="372"/>
      <c r="Y625" s="372"/>
      <c r="Z625" s="372"/>
      <c r="AA625" s="372"/>
      <c r="AB625" s="372"/>
      <c r="AC625" s="372"/>
      <c r="AD625" s="372"/>
      <c r="AE625" s="372"/>
      <c r="AF625" s="372"/>
      <c r="AG625" s="372"/>
      <c r="AH625" s="372"/>
      <c r="AI625" s="372"/>
      <c r="AJ625" s="372"/>
      <c r="AK625" s="372"/>
      <c r="AL625" s="372"/>
      <c r="AM625" s="372"/>
    </row>
    <row r="626">
      <c r="A626" s="369"/>
      <c r="B626" s="369"/>
      <c r="C626" s="405"/>
      <c r="D626" s="369"/>
      <c r="E626" s="369"/>
      <c r="F626" s="372"/>
      <c r="G626" s="372"/>
      <c r="H626" s="372"/>
      <c r="I626" s="372"/>
      <c r="J626" s="372"/>
      <c r="K626" s="369"/>
      <c r="L626" s="369"/>
      <c r="M626" s="373"/>
      <c r="N626" s="369"/>
      <c r="O626" s="369"/>
      <c r="P626" s="374"/>
      <c r="Q626" s="372"/>
      <c r="R626" s="372"/>
      <c r="S626" s="372"/>
      <c r="T626" s="372"/>
      <c r="U626" s="372"/>
      <c r="V626" s="372"/>
      <c r="W626" s="372"/>
      <c r="X626" s="372"/>
      <c r="Y626" s="372"/>
      <c r="Z626" s="372"/>
      <c r="AA626" s="372"/>
      <c r="AB626" s="372"/>
      <c r="AC626" s="372"/>
      <c r="AD626" s="372"/>
      <c r="AE626" s="372"/>
      <c r="AF626" s="372"/>
      <c r="AG626" s="372"/>
      <c r="AH626" s="372"/>
      <c r="AI626" s="372"/>
      <c r="AJ626" s="372"/>
      <c r="AK626" s="372"/>
      <c r="AL626" s="372"/>
      <c r="AM626" s="372"/>
    </row>
    <row r="627">
      <c r="A627" s="369"/>
      <c r="B627" s="369"/>
      <c r="C627" s="405"/>
      <c r="D627" s="369"/>
      <c r="E627" s="369"/>
      <c r="F627" s="372"/>
      <c r="G627" s="372"/>
      <c r="H627" s="372"/>
      <c r="I627" s="372"/>
      <c r="J627" s="372"/>
      <c r="K627" s="369"/>
      <c r="L627" s="369"/>
      <c r="M627" s="373"/>
      <c r="N627" s="369"/>
      <c r="O627" s="369"/>
      <c r="P627" s="374"/>
      <c r="Q627" s="372"/>
      <c r="R627" s="372"/>
      <c r="S627" s="372"/>
      <c r="T627" s="372"/>
      <c r="U627" s="372"/>
      <c r="V627" s="372"/>
      <c r="W627" s="372"/>
      <c r="X627" s="372"/>
      <c r="Y627" s="372"/>
      <c r="Z627" s="372"/>
      <c r="AA627" s="372"/>
      <c r="AB627" s="372"/>
      <c r="AC627" s="372"/>
      <c r="AD627" s="372"/>
      <c r="AE627" s="372"/>
      <c r="AF627" s="372"/>
      <c r="AG627" s="372"/>
      <c r="AH627" s="372"/>
      <c r="AI627" s="372"/>
      <c r="AJ627" s="372"/>
      <c r="AK627" s="372"/>
      <c r="AL627" s="372"/>
      <c r="AM627" s="372"/>
    </row>
    <row r="628">
      <c r="A628" s="369"/>
      <c r="B628" s="369"/>
      <c r="C628" s="405"/>
      <c r="D628" s="369"/>
      <c r="E628" s="369"/>
      <c r="F628" s="372"/>
      <c r="G628" s="372"/>
      <c r="H628" s="372"/>
      <c r="I628" s="372"/>
      <c r="J628" s="372"/>
      <c r="K628" s="369"/>
      <c r="L628" s="369"/>
      <c r="M628" s="373"/>
      <c r="N628" s="369"/>
      <c r="O628" s="369"/>
      <c r="P628" s="374"/>
      <c r="Q628" s="372"/>
      <c r="R628" s="372"/>
      <c r="S628" s="372"/>
      <c r="T628" s="372"/>
      <c r="U628" s="372"/>
      <c r="V628" s="372"/>
      <c r="W628" s="372"/>
      <c r="X628" s="372"/>
      <c r="Y628" s="372"/>
      <c r="Z628" s="372"/>
      <c r="AA628" s="372"/>
      <c r="AB628" s="372"/>
      <c r="AC628" s="372"/>
      <c r="AD628" s="372"/>
      <c r="AE628" s="372"/>
      <c r="AF628" s="372"/>
      <c r="AG628" s="372"/>
      <c r="AH628" s="372"/>
      <c r="AI628" s="372"/>
      <c r="AJ628" s="372"/>
      <c r="AK628" s="372"/>
      <c r="AL628" s="372"/>
      <c r="AM628" s="372"/>
    </row>
    <row r="629">
      <c r="A629" s="369"/>
      <c r="B629" s="369"/>
      <c r="C629" s="405"/>
      <c r="D629" s="369"/>
      <c r="E629" s="369"/>
      <c r="F629" s="372"/>
      <c r="G629" s="372"/>
      <c r="H629" s="372"/>
      <c r="I629" s="372"/>
      <c r="J629" s="372"/>
      <c r="K629" s="369"/>
      <c r="L629" s="369"/>
      <c r="M629" s="373"/>
      <c r="N629" s="369"/>
      <c r="O629" s="369"/>
      <c r="P629" s="374"/>
      <c r="Q629" s="372"/>
      <c r="R629" s="372"/>
      <c r="S629" s="372"/>
      <c r="T629" s="372"/>
      <c r="U629" s="372"/>
      <c r="V629" s="372"/>
      <c r="W629" s="372"/>
      <c r="X629" s="372"/>
      <c r="Y629" s="372"/>
      <c r="Z629" s="372"/>
      <c r="AA629" s="372"/>
      <c r="AB629" s="372"/>
      <c r="AC629" s="372"/>
      <c r="AD629" s="372"/>
      <c r="AE629" s="372"/>
      <c r="AF629" s="372"/>
      <c r="AG629" s="372"/>
      <c r="AH629" s="372"/>
      <c r="AI629" s="372"/>
      <c r="AJ629" s="372"/>
      <c r="AK629" s="372"/>
      <c r="AL629" s="372"/>
      <c r="AM629" s="372"/>
    </row>
    <row r="630">
      <c r="A630" s="369"/>
      <c r="B630" s="369"/>
      <c r="C630" s="405"/>
      <c r="D630" s="369"/>
      <c r="E630" s="369"/>
      <c r="F630" s="372"/>
      <c r="G630" s="372"/>
      <c r="H630" s="372"/>
      <c r="I630" s="372"/>
      <c r="J630" s="372"/>
      <c r="K630" s="369"/>
      <c r="L630" s="369"/>
      <c r="M630" s="373"/>
      <c r="N630" s="369"/>
      <c r="O630" s="369"/>
      <c r="P630" s="374"/>
      <c r="Q630" s="372"/>
      <c r="R630" s="372"/>
      <c r="S630" s="372"/>
      <c r="T630" s="372"/>
      <c r="U630" s="372"/>
      <c r="V630" s="372"/>
      <c r="W630" s="372"/>
      <c r="X630" s="372"/>
      <c r="Y630" s="372"/>
      <c r="Z630" s="372"/>
      <c r="AA630" s="372"/>
      <c r="AB630" s="372"/>
      <c r="AC630" s="372"/>
      <c r="AD630" s="372"/>
      <c r="AE630" s="372"/>
      <c r="AF630" s="372"/>
      <c r="AG630" s="372"/>
      <c r="AH630" s="372"/>
      <c r="AI630" s="372"/>
      <c r="AJ630" s="372"/>
      <c r="AK630" s="372"/>
      <c r="AL630" s="372"/>
      <c r="AM630" s="372"/>
    </row>
    <row r="631">
      <c r="A631" s="369"/>
      <c r="B631" s="369"/>
      <c r="C631" s="405"/>
      <c r="D631" s="369"/>
      <c r="E631" s="369"/>
      <c r="F631" s="372"/>
      <c r="G631" s="372"/>
      <c r="H631" s="372"/>
      <c r="I631" s="372"/>
      <c r="J631" s="372"/>
      <c r="K631" s="369"/>
      <c r="L631" s="369"/>
      <c r="M631" s="373"/>
      <c r="N631" s="369"/>
      <c r="O631" s="369"/>
      <c r="P631" s="374"/>
      <c r="Q631" s="372"/>
      <c r="R631" s="372"/>
      <c r="S631" s="372"/>
      <c r="T631" s="372"/>
      <c r="U631" s="372"/>
      <c r="V631" s="372"/>
      <c r="W631" s="372"/>
      <c r="X631" s="372"/>
      <c r="Y631" s="372"/>
      <c r="Z631" s="372"/>
      <c r="AA631" s="372"/>
      <c r="AB631" s="372"/>
      <c r="AC631" s="372"/>
      <c r="AD631" s="372"/>
      <c r="AE631" s="372"/>
      <c r="AF631" s="372"/>
      <c r="AG631" s="372"/>
      <c r="AH631" s="372"/>
      <c r="AI631" s="372"/>
      <c r="AJ631" s="372"/>
      <c r="AK631" s="372"/>
      <c r="AL631" s="372"/>
      <c r="AM631" s="372"/>
    </row>
    <row r="632">
      <c r="A632" s="369"/>
      <c r="B632" s="369"/>
      <c r="C632" s="405"/>
      <c r="D632" s="369"/>
      <c r="E632" s="369"/>
      <c r="F632" s="372"/>
      <c r="G632" s="372"/>
      <c r="H632" s="372"/>
      <c r="I632" s="372"/>
      <c r="J632" s="372"/>
      <c r="K632" s="369"/>
      <c r="L632" s="369"/>
      <c r="M632" s="373"/>
      <c r="N632" s="369"/>
      <c r="O632" s="369"/>
      <c r="P632" s="374"/>
      <c r="Q632" s="372"/>
      <c r="R632" s="372"/>
      <c r="S632" s="372"/>
      <c r="T632" s="372"/>
      <c r="U632" s="372"/>
      <c r="V632" s="372"/>
      <c r="W632" s="372"/>
      <c r="X632" s="372"/>
      <c r="Y632" s="372"/>
      <c r="Z632" s="372"/>
      <c r="AA632" s="372"/>
      <c r="AB632" s="372"/>
      <c r="AC632" s="372"/>
      <c r="AD632" s="372"/>
      <c r="AE632" s="372"/>
      <c r="AF632" s="372"/>
      <c r="AG632" s="372"/>
      <c r="AH632" s="372"/>
      <c r="AI632" s="372"/>
      <c r="AJ632" s="372"/>
      <c r="AK632" s="372"/>
      <c r="AL632" s="372"/>
      <c r="AM632" s="372"/>
    </row>
    <row r="633">
      <c r="A633" s="369"/>
      <c r="B633" s="369"/>
      <c r="C633" s="405"/>
      <c r="D633" s="369"/>
      <c r="E633" s="369"/>
      <c r="F633" s="372"/>
      <c r="G633" s="372"/>
      <c r="H633" s="372"/>
      <c r="I633" s="372"/>
      <c r="J633" s="372"/>
      <c r="K633" s="369"/>
      <c r="L633" s="369"/>
      <c r="M633" s="373"/>
      <c r="N633" s="369"/>
      <c r="O633" s="369"/>
      <c r="P633" s="374"/>
      <c r="Q633" s="372"/>
      <c r="R633" s="372"/>
      <c r="S633" s="372"/>
      <c r="T633" s="372"/>
      <c r="U633" s="372"/>
      <c r="V633" s="372"/>
      <c r="W633" s="372"/>
      <c r="X633" s="372"/>
      <c r="Y633" s="372"/>
      <c r="Z633" s="372"/>
      <c r="AA633" s="372"/>
      <c r="AB633" s="372"/>
      <c r="AC633" s="372"/>
      <c r="AD633" s="372"/>
      <c r="AE633" s="372"/>
      <c r="AF633" s="372"/>
      <c r="AG633" s="372"/>
      <c r="AH633" s="372"/>
      <c r="AI633" s="372"/>
      <c r="AJ633" s="372"/>
      <c r="AK633" s="372"/>
      <c r="AL633" s="372"/>
      <c r="AM633" s="372"/>
    </row>
    <row r="634">
      <c r="A634" s="369"/>
      <c r="B634" s="369"/>
      <c r="C634" s="405"/>
      <c r="D634" s="369"/>
      <c r="E634" s="369"/>
      <c r="F634" s="372"/>
      <c r="G634" s="372"/>
      <c r="H634" s="372"/>
      <c r="I634" s="372"/>
      <c r="J634" s="372"/>
      <c r="K634" s="369"/>
      <c r="L634" s="369"/>
      <c r="M634" s="373"/>
      <c r="N634" s="369"/>
      <c r="O634" s="369"/>
      <c r="P634" s="374"/>
      <c r="Q634" s="372"/>
      <c r="R634" s="372"/>
      <c r="S634" s="372"/>
      <c r="T634" s="372"/>
      <c r="U634" s="372"/>
      <c r="V634" s="372"/>
      <c r="W634" s="372"/>
      <c r="X634" s="372"/>
      <c r="Y634" s="372"/>
      <c r="Z634" s="372"/>
      <c r="AA634" s="372"/>
      <c r="AB634" s="372"/>
      <c r="AC634" s="372"/>
      <c r="AD634" s="372"/>
      <c r="AE634" s="372"/>
      <c r="AF634" s="372"/>
      <c r="AG634" s="372"/>
      <c r="AH634" s="372"/>
      <c r="AI634" s="372"/>
      <c r="AJ634" s="372"/>
      <c r="AK634" s="372"/>
      <c r="AL634" s="372"/>
      <c r="AM634" s="372"/>
    </row>
    <row r="635">
      <c r="A635" s="369"/>
      <c r="B635" s="369"/>
      <c r="C635" s="405"/>
      <c r="D635" s="369"/>
      <c r="E635" s="369"/>
      <c r="F635" s="372"/>
      <c r="G635" s="372"/>
      <c r="H635" s="372"/>
      <c r="I635" s="372"/>
      <c r="J635" s="372"/>
      <c r="K635" s="369"/>
      <c r="L635" s="369"/>
      <c r="M635" s="373"/>
      <c r="N635" s="369"/>
      <c r="O635" s="369"/>
      <c r="P635" s="374"/>
      <c r="Q635" s="372"/>
      <c r="R635" s="372"/>
      <c r="S635" s="372"/>
      <c r="T635" s="372"/>
      <c r="U635" s="372"/>
      <c r="V635" s="372"/>
      <c r="W635" s="372"/>
      <c r="X635" s="372"/>
      <c r="Y635" s="372"/>
      <c r="Z635" s="372"/>
      <c r="AA635" s="372"/>
      <c r="AB635" s="372"/>
      <c r="AC635" s="372"/>
      <c r="AD635" s="372"/>
      <c r="AE635" s="372"/>
      <c r="AF635" s="372"/>
      <c r="AG635" s="372"/>
      <c r="AH635" s="372"/>
      <c r="AI635" s="372"/>
      <c r="AJ635" s="372"/>
      <c r="AK635" s="372"/>
      <c r="AL635" s="372"/>
      <c r="AM635" s="372"/>
    </row>
    <row r="636">
      <c r="A636" s="369"/>
      <c r="B636" s="369"/>
      <c r="C636" s="405"/>
      <c r="D636" s="369"/>
      <c r="E636" s="369"/>
      <c r="F636" s="372"/>
      <c r="G636" s="372"/>
      <c r="H636" s="372"/>
      <c r="I636" s="372"/>
      <c r="J636" s="372"/>
      <c r="K636" s="369"/>
      <c r="L636" s="369"/>
      <c r="M636" s="373"/>
      <c r="N636" s="369"/>
      <c r="O636" s="369"/>
      <c r="P636" s="374"/>
      <c r="Q636" s="372"/>
      <c r="R636" s="372"/>
      <c r="S636" s="372"/>
      <c r="T636" s="372"/>
      <c r="U636" s="372"/>
      <c r="V636" s="372"/>
      <c r="W636" s="372"/>
      <c r="X636" s="372"/>
      <c r="Y636" s="372"/>
      <c r="Z636" s="372"/>
      <c r="AA636" s="372"/>
      <c r="AB636" s="372"/>
      <c r="AC636" s="372"/>
      <c r="AD636" s="372"/>
      <c r="AE636" s="372"/>
      <c r="AF636" s="372"/>
      <c r="AG636" s="372"/>
      <c r="AH636" s="372"/>
      <c r="AI636" s="372"/>
      <c r="AJ636" s="372"/>
      <c r="AK636" s="372"/>
      <c r="AL636" s="372"/>
      <c r="AM636" s="372"/>
    </row>
    <row r="637">
      <c r="A637" s="369"/>
      <c r="B637" s="369"/>
      <c r="C637" s="405"/>
      <c r="D637" s="369"/>
      <c r="E637" s="369"/>
      <c r="F637" s="372"/>
      <c r="G637" s="372"/>
      <c r="H637" s="372"/>
      <c r="I637" s="372"/>
      <c r="J637" s="372"/>
      <c r="K637" s="369"/>
      <c r="L637" s="369"/>
      <c r="M637" s="373"/>
      <c r="N637" s="369"/>
      <c r="O637" s="369"/>
      <c r="P637" s="374"/>
      <c r="Q637" s="372"/>
      <c r="R637" s="372"/>
      <c r="S637" s="372"/>
      <c r="T637" s="372"/>
      <c r="U637" s="372"/>
      <c r="V637" s="372"/>
      <c r="W637" s="372"/>
      <c r="X637" s="372"/>
      <c r="Y637" s="372"/>
      <c r="Z637" s="372"/>
      <c r="AA637" s="372"/>
      <c r="AB637" s="372"/>
      <c r="AC637" s="372"/>
      <c r="AD637" s="372"/>
      <c r="AE637" s="372"/>
      <c r="AF637" s="372"/>
      <c r="AG637" s="372"/>
      <c r="AH637" s="372"/>
      <c r="AI637" s="372"/>
      <c r="AJ637" s="372"/>
      <c r="AK637" s="372"/>
      <c r="AL637" s="372"/>
      <c r="AM637" s="372"/>
    </row>
    <row r="638">
      <c r="A638" s="369"/>
      <c r="B638" s="369"/>
      <c r="C638" s="405"/>
      <c r="D638" s="369"/>
      <c r="E638" s="369"/>
      <c r="F638" s="372"/>
      <c r="G638" s="372"/>
      <c r="H638" s="372"/>
      <c r="I638" s="372"/>
      <c r="J638" s="372"/>
      <c r="K638" s="369"/>
      <c r="L638" s="369"/>
      <c r="M638" s="373"/>
      <c r="N638" s="369"/>
      <c r="O638" s="369"/>
      <c r="P638" s="374"/>
      <c r="Q638" s="372"/>
      <c r="R638" s="372"/>
      <c r="S638" s="372"/>
      <c r="T638" s="372"/>
      <c r="U638" s="372"/>
      <c r="V638" s="372"/>
      <c r="W638" s="372"/>
      <c r="X638" s="372"/>
      <c r="Y638" s="372"/>
      <c r="Z638" s="372"/>
      <c r="AA638" s="372"/>
      <c r="AB638" s="372"/>
      <c r="AC638" s="372"/>
      <c r="AD638" s="372"/>
      <c r="AE638" s="372"/>
      <c r="AF638" s="372"/>
      <c r="AG638" s="372"/>
      <c r="AH638" s="372"/>
      <c r="AI638" s="372"/>
      <c r="AJ638" s="372"/>
      <c r="AK638" s="372"/>
      <c r="AL638" s="372"/>
      <c r="AM638" s="372"/>
    </row>
    <row r="639">
      <c r="A639" s="369"/>
      <c r="B639" s="369"/>
      <c r="C639" s="405"/>
      <c r="D639" s="369"/>
      <c r="E639" s="369"/>
      <c r="F639" s="372"/>
      <c r="G639" s="372"/>
      <c r="H639" s="372"/>
      <c r="I639" s="372"/>
      <c r="J639" s="372"/>
      <c r="K639" s="369"/>
      <c r="L639" s="369"/>
      <c r="M639" s="373"/>
      <c r="N639" s="369"/>
      <c r="O639" s="369"/>
      <c r="P639" s="374"/>
      <c r="Q639" s="372"/>
      <c r="R639" s="372"/>
      <c r="S639" s="372"/>
      <c r="T639" s="372"/>
      <c r="U639" s="372"/>
      <c r="V639" s="372"/>
      <c r="W639" s="372"/>
      <c r="X639" s="372"/>
      <c r="Y639" s="372"/>
      <c r="Z639" s="372"/>
      <c r="AA639" s="372"/>
      <c r="AB639" s="372"/>
      <c r="AC639" s="372"/>
      <c r="AD639" s="372"/>
      <c r="AE639" s="372"/>
      <c r="AF639" s="372"/>
      <c r="AG639" s="372"/>
      <c r="AH639" s="372"/>
      <c r="AI639" s="372"/>
      <c r="AJ639" s="372"/>
      <c r="AK639" s="372"/>
      <c r="AL639" s="372"/>
      <c r="AM639" s="372"/>
    </row>
    <row r="640">
      <c r="A640" s="369"/>
      <c r="B640" s="369"/>
      <c r="C640" s="405"/>
      <c r="D640" s="369"/>
      <c r="E640" s="369"/>
      <c r="F640" s="372"/>
      <c r="G640" s="372"/>
      <c r="H640" s="372"/>
      <c r="I640" s="372"/>
      <c r="J640" s="372"/>
      <c r="K640" s="369"/>
      <c r="L640" s="369"/>
      <c r="M640" s="373"/>
      <c r="N640" s="369"/>
      <c r="O640" s="369"/>
      <c r="P640" s="374"/>
      <c r="Q640" s="372"/>
      <c r="R640" s="372"/>
      <c r="S640" s="372"/>
      <c r="T640" s="372"/>
      <c r="U640" s="372"/>
      <c r="V640" s="372"/>
      <c r="W640" s="372"/>
      <c r="X640" s="372"/>
      <c r="Y640" s="372"/>
      <c r="Z640" s="372"/>
      <c r="AA640" s="372"/>
      <c r="AB640" s="372"/>
      <c r="AC640" s="372"/>
      <c r="AD640" s="372"/>
      <c r="AE640" s="372"/>
      <c r="AF640" s="372"/>
      <c r="AG640" s="372"/>
      <c r="AH640" s="372"/>
      <c r="AI640" s="372"/>
      <c r="AJ640" s="372"/>
      <c r="AK640" s="372"/>
      <c r="AL640" s="372"/>
      <c r="AM640" s="372"/>
    </row>
    <row r="641">
      <c r="A641" s="369"/>
      <c r="B641" s="369"/>
      <c r="C641" s="405"/>
      <c r="D641" s="369"/>
      <c r="E641" s="369"/>
      <c r="F641" s="372"/>
      <c r="G641" s="372"/>
      <c r="H641" s="372"/>
      <c r="I641" s="372"/>
      <c r="J641" s="372"/>
      <c r="K641" s="369"/>
      <c r="L641" s="369"/>
      <c r="M641" s="373"/>
      <c r="N641" s="369"/>
      <c r="O641" s="369"/>
      <c r="P641" s="374"/>
      <c r="Q641" s="372"/>
      <c r="R641" s="372"/>
      <c r="S641" s="372"/>
      <c r="T641" s="372"/>
      <c r="U641" s="372"/>
      <c r="V641" s="372"/>
      <c r="W641" s="372"/>
      <c r="X641" s="372"/>
      <c r="Y641" s="372"/>
      <c r="Z641" s="372"/>
      <c r="AA641" s="372"/>
      <c r="AB641" s="372"/>
      <c r="AC641" s="372"/>
      <c r="AD641" s="372"/>
      <c r="AE641" s="372"/>
      <c r="AF641" s="372"/>
      <c r="AG641" s="372"/>
      <c r="AH641" s="372"/>
      <c r="AI641" s="372"/>
      <c r="AJ641" s="372"/>
      <c r="AK641" s="372"/>
      <c r="AL641" s="372"/>
      <c r="AM641" s="372"/>
    </row>
    <row r="642">
      <c r="A642" s="369"/>
      <c r="B642" s="369"/>
      <c r="C642" s="405"/>
      <c r="D642" s="369"/>
      <c r="E642" s="369"/>
      <c r="F642" s="372"/>
      <c r="G642" s="372"/>
      <c r="H642" s="372"/>
      <c r="I642" s="372"/>
      <c r="J642" s="372"/>
      <c r="K642" s="369"/>
      <c r="L642" s="369"/>
      <c r="M642" s="373"/>
      <c r="N642" s="369"/>
      <c r="O642" s="369"/>
      <c r="P642" s="374"/>
      <c r="Q642" s="372"/>
      <c r="R642" s="372"/>
      <c r="S642" s="372"/>
      <c r="T642" s="372"/>
      <c r="U642" s="372"/>
      <c r="V642" s="372"/>
      <c r="W642" s="372"/>
      <c r="X642" s="372"/>
      <c r="Y642" s="372"/>
      <c r="Z642" s="372"/>
      <c r="AA642" s="372"/>
      <c r="AB642" s="372"/>
      <c r="AC642" s="372"/>
      <c r="AD642" s="372"/>
      <c r="AE642" s="372"/>
      <c r="AF642" s="372"/>
      <c r="AG642" s="372"/>
      <c r="AH642" s="372"/>
      <c r="AI642" s="372"/>
      <c r="AJ642" s="372"/>
      <c r="AK642" s="372"/>
      <c r="AL642" s="372"/>
      <c r="AM642" s="372"/>
    </row>
    <row r="643">
      <c r="A643" s="369"/>
      <c r="B643" s="369"/>
      <c r="C643" s="405"/>
      <c r="D643" s="369"/>
      <c r="E643" s="369"/>
      <c r="F643" s="372"/>
      <c r="G643" s="372"/>
      <c r="H643" s="372"/>
      <c r="I643" s="372"/>
      <c r="J643" s="372"/>
      <c r="K643" s="369"/>
      <c r="L643" s="369"/>
      <c r="M643" s="373"/>
      <c r="N643" s="369"/>
      <c r="O643" s="369"/>
      <c r="P643" s="374"/>
      <c r="Q643" s="372"/>
      <c r="R643" s="372"/>
      <c r="S643" s="372"/>
      <c r="T643" s="372"/>
      <c r="U643" s="372"/>
      <c r="V643" s="372"/>
      <c r="W643" s="372"/>
      <c r="X643" s="372"/>
      <c r="Y643" s="372"/>
      <c r="Z643" s="372"/>
      <c r="AA643" s="372"/>
      <c r="AB643" s="372"/>
      <c r="AC643" s="372"/>
      <c r="AD643" s="372"/>
      <c r="AE643" s="372"/>
      <c r="AF643" s="372"/>
      <c r="AG643" s="372"/>
      <c r="AH643" s="372"/>
      <c r="AI643" s="372"/>
      <c r="AJ643" s="372"/>
      <c r="AK643" s="372"/>
      <c r="AL643" s="372"/>
      <c r="AM643" s="372"/>
    </row>
    <row r="644">
      <c r="A644" s="369"/>
      <c r="B644" s="369"/>
      <c r="C644" s="405"/>
      <c r="D644" s="369"/>
      <c r="E644" s="369"/>
      <c r="F644" s="372"/>
      <c r="G644" s="372"/>
      <c r="H644" s="372"/>
      <c r="I644" s="372"/>
      <c r="J644" s="372"/>
      <c r="K644" s="369"/>
      <c r="L644" s="369"/>
      <c r="M644" s="373"/>
      <c r="N644" s="369"/>
      <c r="O644" s="369"/>
      <c r="P644" s="374"/>
      <c r="Q644" s="372"/>
      <c r="R644" s="372"/>
      <c r="S644" s="372"/>
      <c r="T644" s="372"/>
      <c r="U644" s="372"/>
      <c r="V644" s="372"/>
      <c r="W644" s="372"/>
      <c r="X644" s="372"/>
      <c r="Y644" s="372"/>
      <c r="Z644" s="372"/>
      <c r="AA644" s="372"/>
      <c r="AB644" s="372"/>
      <c r="AC644" s="372"/>
      <c r="AD644" s="372"/>
      <c r="AE644" s="372"/>
      <c r="AF644" s="372"/>
      <c r="AG644" s="372"/>
      <c r="AH644" s="372"/>
      <c r="AI644" s="372"/>
      <c r="AJ644" s="372"/>
      <c r="AK644" s="372"/>
      <c r="AL644" s="372"/>
      <c r="AM644" s="372"/>
    </row>
    <row r="645">
      <c r="A645" s="369"/>
      <c r="B645" s="369"/>
      <c r="C645" s="405"/>
      <c r="D645" s="369"/>
      <c r="E645" s="369"/>
      <c r="F645" s="372"/>
      <c r="G645" s="372"/>
      <c r="H645" s="372"/>
      <c r="I645" s="372"/>
      <c r="J645" s="372"/>
      <c r="K645" s="369"/>
      <c r="L645" s="369"/>
      <c r="M645" s="373"/>
      <c r="N645" s="369"/>
      <c r="O645" s="369"/>
      <c r="P645" s="374"/>
      <c r="Q645" s="372"/>
      <c r="R645" s="372"/>
      <c r="S645" s="372"/>
      <c r="T645" s="372"/>
      <c r="U645" s="372"/>
      <c r="V645" s="372"/>
      <c r="W645" s="372"/>
      <c r="X645" s="372"/>
      <c r="Y645" s="372"/>
      <c r="Z645" s="372"/>
      <c r="AA645" s="372"/>
      <c r="AB645" s="372"/>
      <c r="AC645" s="372"/>
      <c r="AD645" s="372"/>
      <c r="AE645" s="372"/>
      <c r="AF645" s="372"/>
      <c r="AG645" s="372"/>
      <c r="AH645" s="372"/>
      <c r="AI645" s="372"/>
      <c r="AJ645" s="372"/>
      <c r="AK645" s="372"/>
      <c r="AL645" s="372"/>
      <c r="AM645" s="372"/>
    </row>
    <row r="646">
      <c r="A646" s="369"/>
      <c r="B646" s="369"/>
      <c r="C646" s="405"/>
      <c r="D646" s="369"/>
      <c r="E646" s="369"/>
      <c r="F646" s="372"/>
      <c r="G646" s="372"/>
      <c r="H646" s="372"/>
      <c r="I646" s="372"/>
      <c r="J646" s="372"/>
      <c r="K646" s="369"/>
      <c r="L646" s="369"/>
      <c r="M646" s="373"/>
      <c r="N646" s="369"/>
      <c r="O646" s="369"/>
      <c r="P646" s="374"/>
      <c r="Q646" s="372"/>
      <c r="R646" s="372"/>
      <c r="S646" s="372"/>
      <c r="T646" s="372"/>
      <c r="U646" s="372"/>
      <c r="V646" s="372"/>
      <c r="W646" s="372"/>
      <c r="X646" s="372"/>
      <c r="Y646" s="372"/>
      <c r="Z646" s="372"/>
      <c r="AA646" s="372"/>
      <c r="AB646" s="372"/>
      <c r="AC646" s="372"/>
      <c r="AD646" s="372"/>
      <c r="AE646" s="372"/>
      <c r="AF646" s="372"/>
      <c r="AG646" s="372"/>
      <c r="AH646" s="372"/>
      <c r="AI646" s="372"/>
      <c r="AJ646" s="372"/>
      <c r="AK646" s="372"/>
      <c r="AL646" s="372"/>
      <c r="AM646" s="372"/>
    </row>
    <row r="647">
      <c r="A647" s="369"/>
      <c r="B647" s="369"/>
      <c r="C647" s="405"/>
      <c r="D647" s="369"/>
      <c r="E647" s="369"/>
      <c r="F647" s="372"/>
      <c r="G647" s="372"/>
      <c r="H647" s="372"/>
      <c r="I647" s="372"/>
      <c r="J647" s="372"/>
      <c r="K647" s="369"/>
      <c r="L647" s="369"/>
      <c r="M647" s="373"/>
      <c r="N647" s="369"/>
      <c r="O647" s="369"/>
      <c r="P647" s="374"/>
      <c r="Q647" s="372"/>
      <c r="R647" s="372"/>
      <c r="S647" s="372"/>
      <c r="T647" s="372"/>
      <c r="U647" s="372"/>
      <c r="V647" s="372"/>
      <c r="W647" s="372"/>
      <c r="X647" s="372"/>
      <c r="Y647" s="372"/>
      <c r="Z647" s="372"/>
      <c r="AA647" s="372"/>
      <c r="AB647" s="372"/>
      <c r="AC647" s="372"/>
      <c r="AD647" s="372"/>
      <c r="AE647" s="372"/>
      <c r="AF647" s="372"/>
      <c r="AG647" s="372"/>
      <c r="AH647" s="372"/>
      <c r="AI647" s="372"/>
      <c r="AJ647" s="372"/>
      <c r="AK647" s="372"/>
      <c r="AL647" s="372"/>
      <c r="AM647" s="372"/>
    </row>
    <row r="648">
      <c r="A648" s="369"/>
      <c r="B648" s="369"/>
      <c r="C648" s="405"/>
      <c r="D648" s="369"/>
      <c r="E648" s="369"/>
      <c r="F648" s="372"/>
      <c r="G648" s="372"/>
      <c r="H648" s="372"/>
      <c r="I648" s="372"/>
      <c r="J648" s="372"/>
      <c r="K648" s="369"/>
      <c r="L648" s="369"/>
      <c r="M648" s="373"/>
      <c r="N648" s="369"/>
      <c r="O648" s="369"/>
      <c r="P648" s="374"/>
      <c r="Q648" s="372"/>
      <c r="R648" s="372"/>
      <c r="S648" s="372"/>
      <c r="T648" s="372"/>
      <c r="U648" s="372"/>
      <c r="V648" s="372"/>
      <c r="W648" s="372"/>
      <c r="X648" s="372"/>
      <c r="Y648" s="372"/>
      <c r="Z648" s="372"/>
      <c r="AA648" s="372"/>
      <c r="AB648" s="372"/>
      <c r="AC648" s="372"/>
      <c r="AD648" s="372"/>
      <c r="AE648" s="372"/>
      <c r="AF648" s="372"/>
      <c r="AG648" s="372"/>
      <c r="AH648" s="372"/>
      <c r="AI648" s="372"/>
      <c r="AJ648" s="372"/>
      <c r="AK648" s="372"/>
      <c r="AL648" s="372"/>
      <c r="AM648" s="372"/>
    </row>
    <row r="649">
      <c r="A649" s="369"/>
      <c r="B649" s="369"/>
      <c r="C649" s="405"/>
      <c r="D649" s="369"/>
      <c r="E649" s="369"/>
      <c r="F649" s="372"/>
      <c r="G649" s="372"/>
      <c r="H649" s="372"/>
      <c r="I649" s="372"/>
      <c r="J649" s="372"/>
      <c r="K649" s="369"/>
      <c r="L649" s="369"/>
      <c r="M649" s="373"/>
      <c r="N649" s="369"/>
      <c r="O649" s="369"/>
      <c r="P649" s="374"/>
      <c r="Q649" s="372"/>
      <c r="R649" s="372"/>
      <c r="S649" s="372"/>
      <c r="T649" s="372"/>
      <c r="U649" s="372"/>
      <c r="V649" s="372"/>
      <c r="W649" s="372"/>
      <c r="X649" s="372"/>
      <c r="Y649" s="372"/>
      <c r="Z649" s="372"/>
      <c r="AA649" s="372"/>
      <c r="AB649" s="372"/>
      <c r="AC649" s="372"/>
      <c r="AD649" s="372"/>
      <c r="AE649" s="372"/>
      <c r="AF649" s="372"/>
      <c r="AG649" s="372"/>
      <c r="AH649" s="372"/>
      <c r="AI649" s="372"/>
      <c r="AJ649" s="372"/>
      <c r="AK649" s="372"/>
      <c r="AL649" s="372"/>
      <c r="AM649" s="372"/>
    </row>
    <row r="650">
      <c r="A650" s="369"/>
      <c r="B650" s="369"/>
      <c r="C650" s="405"/>
      <c r="D650" s="369"/>
      <c r="E650" s="369"/>
      <c r="F650" s="372"/>
      <c r="G650" s="372"/>
      <c r="H650" s="372"/>
      <c r="I650" s="372"/>
      <c r="J650" s="372"/>
      <c r="K650" s="369"/>
      <c r="L650" s="369"/>
      <c r="M650" s="373"/>
      <c r="N650" s="369"/>
      <c r="O650" s="369"/>
      <c r="P650" s="374"/>
      <c r="Q650" s="372"/>
      <c r="R650" s="372"/>
      <c r="S650" s="372"/>
      <c r="T650" s="372"/>
      <c r="U650" s="372"/>
      <c r="V650" s="372"/>
      <c r="W650" s="372"/>
      <c r="X650" s="372"/>
      <c r="Y650" s="372"/>
      <c r="Z650" s="372"/>
      <c r="AA650" s="372"/>
      <c r="AB650" s="372"/>
      <c r="AC650" s="372"/>
      <c r="AD650" s="372"/>
      <c r="AE650" s="372"/>
      <c r="AF650" s="372"/>
      <c r="AG650" s="372"/>
      <c r="AH650" s="372"/>
      <c r="AI650" s="372"/>
      <c r="AJ650" s="372"/>
      <c r="AK650" s="372"/>
      <c r="AL650" s="372"/>
      <c r="AM650" s="372"/>
    </row>
    <row r="651">
      <c r="A651" s="369"/>
      <c r="B651" s="369"/>
      <c r="C651" s="405"/>
      <c r="D651" s="369"/>
      <c r="E651" s="369"/>
      <c r="F651" s="372"/>
      <c r="G651" s="372"/>
      <c r="H651" s="372"/>
      <c r="I651" s="372"/>
      <c r="J651" s="372"/>
      <c r="K651" s="369"/>
      <c r="L651" s="369"/>
      <c r="M651" s="373"/>
      <c r="N651" s="369"/>
      <c r="O651" s="369"/>
      <c r="P651" s="374"/>
      <c r="Q651" s="372"/>
      <c r="R651" s="372"/>
      <c r="S651" s="372"/>
      <c r="T651" s="372"/>
      <c r="U651" s="372"/>
      <c r="V651" s="372"/>
      <c r="W651" s="372"/>
      <c r="X651" s="372"/>
      <c r="Y651" s="372"/>
      <c r="Z651" s="372"/>
      <c r="AA651" s="372"/>
      <c r="AB651" s="372"/>
      <c r="AC651" s="372"/>
      <c r="AD651" s="372"/>
      <c r="AE651" s="372"/>
      <c r="AF651" s="372"/>
      <c r="AG651" s="372"/>
      <c r="AH651" s="372"/>
      <c r="AI651" s="372"/>
      <c r="AJ651" s="372"/>
      <c r="AK651" s="372"/>
      <c r="AL651" s="372"/>
      <c r="AM651" s="372"/>
    </row>
    <row r="652">
      <c r="A652" s="369"/>
      <c r="B652" s="369"/>
      <c r="C652" s="405"/>
      <c r="D652" s="369"/>
      <c r="E652" s="369"/>
      <c r="F652" s="372"/>
      <c r="G652" s="372"/>
      <c r="H652" s="372"/>
      <c r="I652" s="372"/>
      <c r="J652" s="372"/>
      <c r="K652" s="369"/>
      <c r="L652" s="369"/>
      <c r="M652" s="373"/>
      <c r="N652" s="369"/>
      <c r="O652" s="369"/>
      <c r="P652" s="374"/>
      <c r="Q652" s="372"/>
      <c r="R652" s="372"/>
      <c r="S652" s="372"/>
      <c r="T652" s="372"/>
      <c r="U652" s="372"/>
      <c r="V652" s="372"/>
      <c r="W652" s="372"/>
      <c r="X652" s="372"/>
      <c r="Y652" s="372"/>
      <c r="Z652" s="372"/>
      <c r="AA652" s="372"/>
      <c r="AB652" s="372"/>
      <c r="AC652" s="372"/>
      <c r="AD652" s="372"/>
      <c r="AE652" s="372"/>
      <c r="AF652" s="372"/>
      <c r="AG652" s="372"/>
      <c r="AH652" s="372"/>
      <c r="AI652" s="372"/>
      <c r="AJ652" s="372"/>
      <c r="AK652" s="372"/>
      <c r="AL652" s="372"/>
      <c r="AM652" s="372"/>
    </row>
    <row r="653">
      <c r="A653" s="369"/>
      <c r="B653" s="369"/>
      <c r="C653" s="405"/>
      <c r="D653" s="369"/>
      <c r="E653" s="369"/>
      <c r="F653" s="372"/>
      <c r="G653" s="372"/>
      <c r="H653" s="372"/>
      <c r="I653" s="372"/>
      <c r="J653" s="372"/>
      <c r="K653" s="369"/>
      <c r="L653" s="369"/>
      <c r="M653" s="373"/>
      <c r="N653" s="369"/>
      <c r="O653" s="369"/>
      <c r="P653" s="374"/>
      <c r="Q653" s="372"/>
      <c r="R653" s="372"/>
      <c r="S653" s="372"/>
      <c r="T653" s="372"/>
      <c r="U653" s="372"/>
      <c r="V653" s="372"/>
      <c r="W653" s="372"/>
      <c r="X653" s="372"/>
      <c r="Y653" s="372"/>
      <c r="Z653" s="372"/>
      <c r="AA653" s="372"/>
      <c r="AB653" s="372"/>
      <c r="AC653" s="372"/>
      <c r="AD653" s="372"/>
      <c r="AE653" s="372"/>
      <c r="AF653" s="372"/>
      <c r="AG653" s="372"/>
      <c r="AH653" s="372"/>
      <c r="AI653" s="372"/>
      <c r="AJ653" s="372"/>
      <c r="AK653" s="372"/>
      <c r="AL653" s="372"/>
      <c r="AM653" s="372"/>
    </row>
    <row r="654">
      <c r="A654" s="369"/>
      <c r="B654" s="369"/>
      <c r="C654" s="405"/>
      <c r="D654" s="369"/>
      <c r="E654" s="369"/>
      <c r="F654" s="372"/>
      <c r="G654" s="372"/>
      <c r="H654" s="372"/>
      <c r="I654" s="372"/>
      <c r="J654" s="372"/>
      <c r="K654" s="369"/>
      <c r="L654" s="369"/>
      <c r="M654" s="373"/>
      <c r="N654" s="369"/>
      <c r="O654" s="369"/>
      <c r="P654" s="374"/>
      <c r="Q654" s="372"/>
      <c r="R654" s="372"/>
      <c r="S654" s="372"/>
      <c r="T654" s="372"/>
      <c r="U654" s="372"/>
      <c r="V654" s="372"/>
      <c r="W654" s="372"/>
      <c r="X654" s="372"/>
      <c r="Y654" s="372"/>
      <c r="Z654" s="372"/>
      <c r="AA654" s="372"/>
      <c r="AB654" s="372"/>
      <c r="AC654" s="372"/>
      <c r="AD654" s="372"/>
      <c r="AE654" s="372"/>
      <c r="AF654" s="372"/>
      <c r="AG654" s="372"/>
      <c r="AH654" s="372"/>
      <c r="AI654" s="372"/>
      <c r="AJ654" s="372"/>
      <c r="AK654" s="372"/>
      <c r="AL654" s="372"/>
      <c r="AM654" s="372"/>
    </row>
    <row r="655">
      <c r="A655" s="369"/>
      <c r="B655" s="369"/>
      <c r="C655" s="405"/>
      <c r="D655" s="369"/>
      <c r="E655" s="369"/>
      <c r="F655" s="372"/>
      <c r="G655" s="372"/>
      <c r="H655" s="372"/>
      <c r="I655" s="372"/>
      <c r="J655" s="372"/>
      <c r="K655" s="369"/>
      <c r="L655" s="369"/>
      <c r="M655" s="373"/>
      <c r="N655" s="369"/>
      <c r="O655" s="369"/>
      <c r="P655" s="374"/>
      <c r="Q655" s="372"/>
      <c r="R655" s="372"/>
      <c r="S655" s="372"/>
      <c r="T655" s="372"/>
      <c r="U655" s="372"/>
      <c r="V655" s="372"/>
      <c r="W655" s="372"/>
      <c r="X655" s="372"/>
      <c r="Y655" s="372"/>
      <c r="Z655" s="372"/>
      <c r="AA655" s="372"/>
      <c r="AB655" s="372"/>
      <c r="AC655" s="372"/>
      <c r="AD655" s="372"/>
      <c r="AE655" s="372"/>
      <c r="AF655" s="372"/>
      <c r="AG655" s="372"/>
      <c r="AH655" s="372"/>
      <c r="AI655" s="372"/>
      <c r="AJ655" s="372"/>
      <c r="AK655" s="372"/>
      <c r="AL655" s="372"/>
      <c r="AM655" s="372"/>
    </row>
    <row r="656">
      <c r="A656" s="369"/>
      <c r="B656" s="369"/>
      <c r="C656" s="405"/>
      <c r="D656" s="369"/>
      <c r="E656" s="369"/>
      <c r="F656" s="372"/>
      <c r="G656" s="372"/>
      <c r="H656" s="372"/>
      <c r="I656" s="372"/>
      <c r="J656" s="372"/>
      <c r="K656" s="369"/>
      <c r="L656" s="369"/>
      <c r="M656" s="373"/>
      <c r="N656" s="369"/>
      <c r="O656" s="369"/>
      <c r="P656" s="374"/>
      <c r="Q656" s="372"/>
      <c r="R656" s="372"/>
      <c r="S656" s="372"/>
      <c r="T656" s="372"/>
      <c r="U656" s="372"/>
      <c r="V656" s="372"/>
      <c r="W656" s="372"/>
      <c r="X656" s="372"/>
      <c r="Y656" s="372"/>
      <c r="Z656" s="372"/>
      <c r="AA656" s="372"/>
      <c r="AB656" s="372"/>
      <c r="AC656" s="372"/>
      <c r="AD656" s="372"/>
      <c r="AE656" s="372"/>
      <c r="AF656" s="372"/>
      <c r="AG656" s="372"/>
      <c r="AH656" s="372"/>
      <c r="AI656" s="372"/>
      <c r="AJ656" s="372"/>
      <c r="AK656" s="372"/>
      <c r="AL656" s="372"/>
      <c r="AM656" s="372"/>
    </row>
    <row r="657">
      <c r="A657" s="369"/>
      <c r="B657" s="369"/>
      <c r="C657" s="405"/>
      <c r="D657" s="369"/>
      <c r="E657" s="369"/>
      <c r="F657" s="372"/>
      <c r="G657" s="372"/>
      <c r="H657" s="372"/>
      <c r="I657" s="372"/>
      <c r="J657" s="372"/>
      <c r="K657" s="369"/>
      <c r="L657" s="369"/>
      <c r="M657" s="373"/>
      <c r="N657" s="369"/>
      <c r="O657" s="369"/>
      <c r="P657" s="374"/>
      <c r="Q657" s="372"/>
      <c r="R657" s="372"/>
      <c r="S657" s="372"/>
      <c r="T657" s="372"/>
      <c r="U657" s="372"/>
      <c r="V657" s="372"/>
      <c r="W657" s="372"/>
      <c r="X657" s="372"/>
      <c r="Y657" s="372"/>
      <c r="Z657" s="372"/>
      <c r="AA657" s="372"/>
      <c r="AB657" s="372"/>
      <c r="AC657" s="372"/>
      <c r="AD657" s="372"/>
      <c r="AE657" s="372"/>
      <c r="AF657" s="372"/>
      <c r="AG657" s="372"/>
      <c r="AH657" s="372"/>
      <c r="AI657" s="372"/>
      <c r="AJ657" s="372"/>
      <c r="AK657" s="372"/>
      <c r="AL657" s="372"/>
      <c r="AM657" s="372"/>
    </row>
    <row r="658">
      <c r="A658" s="369"/>
      <c r="B658" s="369"/>
      <c r="C658" s="405"/>
      <c r="D658" s="369"/>
      <c r="E658" s="369"/>
      <c r="F658" s="372"/>
      <c r="G658" s="372"/>
      <c r="H658" s="372"/>
      <c r="I658" s="372"/>
      <c r="J658" s="372"/>
      <c r="K658" s="369"/>
      <c r="L658" s="369"/>
      <c r="M658" s="373"/>
      <c r="N658" s="369"/>
      <c r="O658" s="369"/>
      <c r="P658" s="374"/>
      <c r="Q658" s="372"/>
      <c r="R658" s="372"/>
      <c r="S658" s="372"/>
      <c r="T658" s="372"/>
      <c r="U658" s="372"/>
      <c r="V658" s="372"/>
      <c r="W658" s="372"/>
      <c r="X658" s="372"/>
      <c r="Y658" s="372"/>
      <c r="Z658" s="372"/>
      <c r="AA658" s="372"/>
      <c r="AB658" s="372"/>
      <c r="AC658" s="372"/>
      <c r="AD658" s="372"/>
      <c r="AE658" s="372"/>
      <c r="AF658" s="372"/>
      <c r="AG658" s="372"/>
      <c r="AH658" s="372"/>
      <c r="AI658" s="372"/>
      <c r="AJ658" s="372"/>
      <c r="AK658" s="372"/>
      <c r="AL658" s="372"/>
      <c r="AM658" s="372"/>
    </row>
    <row r="659">
      <c r="A659" s="369"/>
      <c r="B659" s="369"/>
      <c r="C659" s="405"/>
      <c r="D659" s="369"/>
      <c r="E659" s="369"/>
      <c r="F659" s="372"/>
      <c r="G659" s="372"/>
      <c r="H659" s="372"/>
      <c r="I659" s="372"/>
      <c r="J659" s="372"/>
      <c r="K659" s="369"/>
      <c r="L659" s="369"/>
      <c r="M659" s="373"/>
      <c r="N659" s="369"/>
      <c r="O659" s="369"/>
      <c r="P659" s="374"/>
      <c r="Q659" s="372"/>
      <c r="R659" s="372"/>
      <c r="S659" s="372"/>
      <c r="T659" s="372"/>
      <c r="U659" s="372"/>
      <c r="V659" s="372"/>
      <c r="W659" s="372"/>
      <c r="X659" s="372"/>
      <c r="Y659" s="372"/>
      <c r="Z659" s="372"/>
      <c r="AA659" s="372"/>
      <c r="AB659" s="372"/>
      <c r="AC659" s="372"/>
      <c r="AD659" s="372"/>
      <c r="AE659" s="372"/>
      <c r="AF659" s="372"/>
      <c r="AG659" s="372"/>
      <c r="AH659" s="372"/>
      <c r="AI659" s="372"/>
      <c r="AJ659" s="372"/>
      <c r="AK659" s="372"/>
      <c r="AL659" s="372"/>
      <c r="AM659" s="372"/>
    </row>
    <row r="660">
      <c r="A660" s="369"/>
      <c r="B660" s="369"/>
      <c r="C660" s="405"/>
      <c r="D660" s="369"/>
      <c r="E660" s="369"/>
      <c r="F660" s="372"/>
      <c r="G660" s="372"/>
      <c r="H660" s="372"/>
      <c r="I660" s="372"/>
      <c r="J660" s="372"/>
      <c r="K660" s="369"/>
      <c r="L660" s="369"/>
      <c r="M660" s="373"/>
      <c r="N660" s="369"/>
      <c r="O660" s="369"/>
      <c r="P660" s="374"/>
      <c r="Q660" s="372"/>
      <c r="R660" s="372"/>
      <c r="S660" s="372"/>
      <c r="T660" s="372"/>
      <c r="U660" s="372"/>
      <c r="V660" s="372"/>
      <c r="W660" s="372"/>
      <c r="X660" s="372"/>
      <c r="Y660" s="372"/>
      <c r="Z660" s="372"/>
      <c r="AA660" s="372"/>
      <c r="AB660" s="372"/>
      <c r="AC660" s="372"/>
      <c r="AD660" s="372"/>
      <c r="AE660" s="372"/>
      <c r="AF660" s="372"/>
      <c r="AG660" s="372"/>
      <c r="AH660" s="372"/>
      <c r="AI660" s="372"/>
      <c r="AJ660" s="372"/>
      <c r="AK660" s="372"/>
      <c r="AL660" s="372"/>
      <c r="AM660" s="372"/>
    </row>
    <row r="661">
      <c r="A661" s="369"/>
      <c r="B661" s="369"/>
      <c r="C661" s="405"/>
      <c r="D661" s="369"/>
      <c r="E661" s="369"/>
      <c r="F661" s="372"/>
      <c r="G661" s="372"/>
      <c r="H661" s="372"/>
      <c r="I661" s="372"/>
      <c r="J661" s="372"/>
      <c r="K661" s="369"/>
      <c r="L661" s="369"/>
      <c r="M661" s="373"/>
      <c r="N661" s="369"/>
      <c r="O661" s="369"/>
      <c r="P661" s="374"/>
      <c r="Q661" s="372"/>
      <c r="R661" s="372"/>
      <c r="S661" s="372"/>
      <c r="T661" s="372"/>
      <c r="U661" s="372"/>
      <c r="V661" s="372"/>
      <c r="W661" s="372"/>
      <c r="X661" s="372"/>
      <c r="Y661" s="372"/>
      <c r="Z661" s="372"/>
      <c r="AA661" s="372"/>
      <c r="AB661" s="372"/>
      <c r="AC661" s="372"/>
      <c r="AD661" s="372"/>
      <c r="AE661" s="372"/>
      <c r="AF661" s="372"/>
      <c r="AG661" s="372"/>
      <c r="AH661" s="372"/>
      <c r="AI661" s="372"/>
      <c r="AJ661" s="372"/>
      <c r="AK661" s="372"/>
      <c r="AL661" s="372"/>
      <c r="AM661" s="372"/>
    </row>
    <row r="662">
      <c r="A662" s="369"/>
      <c r="B662" s="369"/>
      <c r="C662" s="405"/>
      <c r="D662" s="369"/>
      <c r="E662" s="369"/>
      <c r="F662" s="372"/>
      <c r="G662" s="372"/>
      <c r="H662" s="372"/>
      <c r="I662" s="372"/>
      <c r="J662" s="372"/>
      <c r="K662" s="369"/>
      <c r="L662" s="369"/>
      <c r="M662" s="373"/>
      <c r="N662" s="369"/>
      <c r="O662" s="369"/>
      <c r="P662" s="374"/>
      <c r="Q662" s="372"/>
      <c r="R662" s="372"/>
      <c r="S662" s="372"/>
      <c r="T662" s="372"/>
      <c r="U662" s="372"/>
      <c r="V662" s="372"/>
      <c r="W662" s="372"/>
      <c r="X662" s="372"/>
      <c r="Y662" s="372"/>
      <c r="Z662" s="372"/>
      <c r="AA662" s="372"/>
      <c r="AB662" s="372"/>
      <c r="AC662" s="372"/>
      <c r="AD662" s="372"/>
      <c r="AE662" s="372"/>
      <c r="AF662" s="372"/>
      <c r="AG662" s="372"/>
      <c r="AH662" s="372"/>
      <c r="AI662" s="372"/>
      <c r="AJ662" s="372"/>
      <c r="AK662" s="372"/>
      <c r="AL662" s="372"/>
      <c r="AM662" s="372"/>
    </row>
    <row r="663">
      <c r="A663" s="369"/>
      <c r="B663" s="369"/>
      <c r="C663" s="405"/>
      <c r="D663" s="369"/>
      <c r="E663" s="369"/>
      <c r="F663" s="372"/>
      <c r="G663" s="372"/>
      <c r="H663" s="372"/>
      <c r="I663" s="372"/>
      <c r="J663" s="372"/>
      <c r="K663" s="369"/>
      <c r="L663" s="369"/>
      <c r="M663" s="373"/>
      <c r="N663" s="369"/>
      <c r="O663" s="369"/>
      <c r="P663" s="374"/>
      <c r="Q663" s="372"/>
      <c r="R663" s="372"/>
      <c r="S663" s="372"/>
      <c r="T663" s="372"/>
      <c r="U663" s="372"/>
      <c r="V663" s="372"/>
      <c r="W663" s="372"/>
      <c r="X663" s="372"/>
      <c r="Y663" s="372"/>
      <c r="Z663" s="372"/>
      <c r="AA663" s="372"/>
      <c r="AB663" s="372"/>
      <c r="AC663" s="372"/>
      <c r="AD663" s="372"/>
      <c r="AE663" s="372"/>
      <c r="AF663" s="372"/>
      <c r="AG663" s="372"/>
      <c r="AH663" s="372"/>
      <c r="AI663" s="372"/>
      <c r="AJ663" s="372"/>
      <c r="AK663" s="372"/>
      <c r="AL663" s="372"/>
      <c r="AM663" s="372"/>
    </row>
    <row r="664">
      <c r="A664" s="369"/>
      <c r="B664" s="369"/>
      <c r="C664" s="405"/>
      <c r="D664" s="369"/>
      <c r="E664" s="369"/>
      <c r="F664" s="372"/>
      <c r="G664" s="372"/>
      <c r="H664" s="372"/>
      <c r="I664" s="372"/>
      <c r="J664" s="372"/>
      <c r="K664" s="369"/>
      <c r="L664" s="369"/>
      <c r="M664" s="373"/>
      <c r="N664" s="369"/>
      <c r="O664" s="369"/>
      <c r="P664" s="374"/>
      <c r="Q664" s="372"/>
      <c r="R664" s="372"/>
      <c r="S664" s="372"/>
      <c r="T664" s="372"/>
      <c r="U664" s="372"/>
      <c r="V664" s="372"/>
      <c r="W664" s="372"/>
      <c r="X664" s="372"/>
      <c r="Y664" s="372"/>
      <c r="Z664" s="372"/>
      <c r="AA664" s="372"/>
      <c r="AB664" s="372"/>
      <c r="AC664" s="372"/>
      <c r="AD664" s="372"/>
      <c r="AE664" s="372"/>
      <c r="AF664" s="372"/>
      <c r="AG664" s="372"/>
      <c r="AH664" s="372"/>
      <c r="AI664" s="372"/>
      <c r="AJ664" s="372"/>
      <c r="AK664" s="372"/>
      <c r="AL664" s="372"/>
      <c r="AM664" s="372"/>
    </row>
    <row r="665">
      <c r="A665" s="369"/>
      <c r="B665" s="369"/>
      <c r="C665" s="405"/>
      <c r="D665" s="369"/>
      <c r="E665" s="369"/>
      <c r="F665" s="372"/>
      <c r="G665" s="372"/>
      <c r="H665" s="372"/>
      <c r="I665" s="372"/>
      <c r="J665" s="372"/>
      <c r="K665" s="369"/>
      <c r="L665" s="369"/>
      <c r="M665" s="373"/>
      <c r="N665" s="369"/>
      <c r="O665" s="369"/>
      <c r="P665" s="374"/>
      <c r="Q665" s="372"/>
      <c r="R665" s="372"/>
      <c r="S665" s="372"/>
      <c r="T665" s="372"/>
      <c r="U665" s="372"/>
      <c r="V665" s="372"/>
      <c r="W665" s="372"/>
      <c r="X665" s="372"/>
      <c r="Y665" s="372"/>
      <c r="Z665" s="372"/>
      <c r="AA665" s="372"/>
      <c r="AB665" s="372"/>
      <c r="AC665" s="372"/>
      <c r="AD665" s="372"/>
      <c r="AE665" s="372"/>
      <c r="AF665" s="372"/>
      <c r="AG665" s="372"/>
      <c r="AH665" s="372"/>
      <c r="AI665" s="372"/>
      <c r="AJ665" s="372"/>
      <c r="AK665" s="372"/>
      <c r="AL665" s="372"/>
      <c r="AM665" s="372"/>
    </row>
    <row r="666">
      <c r="A666" s="369"/>
      <c r="B666" s="369"/>
      <c r="C666" s="405"/>
      <c r="D666" s="369"/>
      <c r="E666" s="369"/>
      <c r="F666" s="372"/>
      <c r="G666" s="372"/>
      <c r="H666" s="372"/>
      <c r="I666" s="372"/>
      <c r="J666" s="372"/>
      <c r="K666" s="369"/>
      <c r="L666" s="369"/>
      <c r="M666" s="373"/>
      <c r="N666" s="369"/>
      <c r="O666" s="369"/>
      <c r="P666" s="374"/>
      <c r="Q666" s="372"/>
      <c r="R666" s="372"/>
      <c r="S666" s="372"/>
      <c r="T666" s="372"/>
      <c r="U666" s="372"/>
      <c r="V666" s="372"/>
      <c r="W666" s="372"/>
      <c r="X666" s="372"/>
      <c r="Y666" s="372"/>
      <c r="Z666" s="372"/>
      <c r="AA666" s="372"/>
      <c r="AB666" s="372"/>
      <c r="AC666" s="372"/>
      <c r="AD666" s="372"/>
      <c r="AE666" s="372"/>
      <c r="AF666" s="372"/>
      <c r="AG666" s="372"/>
      <c r="AH666" s="372"/>
      <c r="AI666" s="372"/>
      <c r="AJ666" s="372"/>
      <c r="AK666" s="372"/>
      <c r="AL666" s="372"/>
      <c r="AM666" s="372"/>
    </row>
    <row r="667">
      <c r="A667" s="369"/>
      <c r="B667" s="369"/>
      <c r="C667" s="405"/>
      <c r="D667" s="369"/>
      <c r="E667" s="369"/>
      <c r="F667" s="372"/>
      <c r="G667" s="372"/>
      <c r="H667" s="372"/>
      <c r="I667" s="372"/>
      <c r="J667" s="372"/>
      <c r="K667" s="369"/>
      <c r="L667" s="369"/>
      <c r="M667" s="373"/>
      <c r="N667" s="369"/>
      <c r="O667" s="369"/>
      <c r="P667" s="374"/>
      <c r="Q667" s="372"/>
      <c r="R667" s="372"/>
      <c r="S667" s="372"/>
      <c r="T667" s="372"/>
      <c r="U667" s="372"/>
      <c r="V667" s="372"/>
      <c r="W667" s="372"/>
      <c r="X667" s="372"/>
      <c r="Y667" s="372"/>
      <c r="Z667" s="372"/>
      <c r="AA667" s="372"/>
      <c r="AB667" s="372"/>
      <c r="AC667" s="372"/>
      <c r="AD667" s="372"/>
      <c r="AE667" s="372"/>
      <c r="AF667" s="372"/>
      <c r="AG667" s="372"/>
      <c r="AH667" s="372"/>
      <c r="AI667" s="372"/>
      <c r="AJ667" s="372"/>
      <c r="AK667" s="372"/>
      <c r="AL667" s="372"/>
      <c r="AM667" s="372"/>
    </row>
    <row r="668">
      <c r="A668" s="369"/>
      <c r="B668" s="369"/>
      <c r="C668" s="405"/>
      <c r="D668" s="369"/>
      <c r="E668" s="369"/>
      <c r="F668" s="372"/>
      <c r="G668" s="372"/>
      <c r="H668" s="372"/>
      <c r="I668" s="372"/>
      <c r="J668" s="372"/>
      <c r="K668" s="369"/>
      <c r="L668" s="369"/>
      <c r="M668" s="373"/>
      <c r="N668" s="369"/>
      <c r="O668" s="369"/>
      <c r="P668" s="374"/>
      <c r="Q668" s="372"/>
      <c r="R668" s="372"/>
      <c r="S668" s="372"/>
      <c r="T668" s="372"/>
      <c r="U668" s="372"/>
      <c r="V668" s="372"/>
      <c r="W668" s="372"/>
      <c r="X668" s="372"/>
      <c r="Y668" s="372"/>
      <c r="Z668" s="372"/>
      <c r="AA668" s="372"/>
      <c r="AB668" s="372"/>
      <c r="AC668" s="372"/>
      <c r="AD668" s="372"/>
      <c r="AE668" s="372"/>
      <c r="AF668" s="372"/>
      <c r="AG668" s="372"/>
      <c r="AH668" s="372"/>
      <c r="AI668" s="372"/>
      <c r="AJ668" s="372"/>
      <c r="AK668" s="372"/>
      <c r="AL668" s="372"/>
      <c r="AM668" s="372"/>
    </row>
    <row r="669">
      <c r="A669" s="369"/>
      <c r="B669" s="369"/>
      <c r="C669" s="405"/>
      <c r="D669" s="369"/>
      <c r="E669" s="369"/>
      <c r="F669" s="372"/>
      <c r="G669" s="372"/>
      <c r="H669" s="372"/>
      <c r="I669" s="372"/>
      <c r="J669" s="372"/>
      <c r="K669" s="369"/>
      <c r="L669" s="369"/>
      <c r="M669" s="373"/>
      <c r="N669" s="369"/>
      <c r="O669" s="369"/>
      <c r="P669" s="374"/>
      <c r="Q669" s="372"/>
      <c r="R669" s="372"/>
      <c r="S669" s="372"/>
      <c r="T669" s="372"/>
      <c r="U669" s="372"/>
      <c r="V669" s="372"/>
      <c r="W669" s="372"/>
      <c r="X669" s="372"/>
      <c r="Y669" s="372"/>
      <c r="Z669" s="372"/>
      <c r="AA669" s="372"/>
      <c r="AB669" s="372"/>
      <c r="AC669" s="372"/>
      <c r="AD669" s="372"/>
      <c r="AE669" s="372"/>
      <c r="AF669" s="372"/>
      <c r="AG669" s="372"/>
      <c r="AH669" s="372"/>
      <c r="AI669" s="372"/>
      <c r="AJ669" s="372"/>
      <c r="AK669" s="372"/>
      <c r="AL669" s="372"/>
      <c r="AM669" s="372"/>
    </row>
    <row r="670">
      <c r="A670" s="369"/>
      <c r="B670" s="369"/>
      <c r="C670" s="405"/>
      <c r="D670" s="369"/>
      <c r="E670" s="369"/>
      <c r="F670" s="372"/>
      <c r="G670" s="372"/>
      <c r="H670" s="372"/>
      <c r="I670" s="372"/>
      <c r="J670" s="372"/>
      <c r="K670" s="369"/>
      <c r="L670" s="369"/>
      <c r="M670" s="373"/>
      <c r="N670" s="369"/>
      <c r="O670" s="369"/>
      <c r="P670" s="374"/>
      <c r="Q670" s="372"/>
      <c r="R670" s="372"/>
      <c r="S670" s="372"/>
      <c r="T670" s="372"/>
      <c r="U670" s="372"/>
      <c r="V670" s="372"/>
      <c r="W670" s="372"/>
      <c r="X670" s="372"/>
      <c r="Y670" s="372"/>
      <c r="Z670" s="372"/>
      <c r="AA670" s="372"/>
      <c r="AB670" s="372"/>
      <c r="AC670" s="372"/>
      <c r="AD670" s="372"/>
      <c r="AE670" s="372"/>
      <c r="AF670" s="372"/>
      <c r="AG670" s="372"/>
      <c r="AH670" s="372"/>
      <c r="AI670" s="372"/>
      <c r="AJ670" s="372"/>
      <c r="AK670" s="372"/>
      <c r="AL670" s="372"/>
      <c r="AM670" s="372"/>
    </row>
    <row r="671">
      <c r="A671" s="369"/>
      <c r="B671" s="369"/>
      <c r="C671" s="405"/>
      <c r="D671" s="369"/>
      <c r="E671" s="369"/>
      <c r="F671" s="372"/>
      <c r="G671" s="372"/>
      <c r="H671" s="372"/>
      <c r="I671" s="372"/>
      <c r="J671" s="372"/>
      <c r="K671" s="369"/>
      <c r="L671" s="369"/>
      <c r="M671" s="373"/>
      <c r="N671" s="369"/>
      <c r="O671" s="369"/>
      <c r="P671" s="374"/>
      <c r="Q671" s="372"/>
      <c r="R671" s="372"/>
      <c r="S671" s="372"/>
      <c r="T671" s="372"/>
      <c r="U671" s="372"/>
      <c r="V671" s="372"/>
      <c r="W671" s="372"/>
      <c r="X671" s="372"/>
      <c r="Y671" s="372"/>
      <c r="Z671" s="372"/>
      <c r="AA671" s="372"/>
      <c r="AB671" s="372"/>
      <c r="AC671" s="372"/>
      <c r="AD671" s="372"/>
      <c r="AE671" s="372"/>
      <c r="AF671" s="372"/>
      <c r="AG671" s="372"/>
      <c r="AH671" s="372"/>
      <c r="AI671" s="372"/>
      <c r="AJ671" s="372"/>
      <c r="AK671" s="372"/>
      <c r="AL671" s="372"/>
      <c r="AM671" s="372"/>
    </row>
    <row r="672">
      <c r="A672" s="369"/>
      <c r="B672" s="369"/>
      <c r="C672" s="405"/>
      <c r="D672" s="369"/>
      <c r="E672" s="369"/>
      <c r="F672" s="372"/>
      <c r="G672" s="372"/>
      <c r="H672" s="372"/>
      <c r="I672" s="372"/>
      <c r="J672" s="372"/>
      <c r="K672" s="369"/>
      <c r="L672" s="369"/>
      <c r="M672" s="373"/>
      <c r="N672" s="369"/>
      <c r="O672" s="369"/>
      <c r="P672" s="374"/>
      <c r="Q672" s="372"/>
      <c r="R672" s="372"/>
      <c r="S672" s="372"/>
      <c r="T672" s="372"/>
      <c r="U672" s="372"/>
      <c r="V672" s="372"/>
      <c r="W672" s="372"/>
      <c r="X672" s="372"/>
      <c r="Y672" s="372"/>
      <c r="Z672" s="372"/>
      <c r="AA672" s="372"/>
      <c r="AB672" s="372"/>
      <c r="AC672" s="372"/>
      <c r="AD672" s="372"/>
      <c r="AE672" s="372"/>
      <c r="AF672" s="372"/>
      <c r="AG672" s="372"/>
      <c r="AH672" s="372"/>
      <c r="AI672" s="372"/>
      <c r="AJ672" s="372"/>
      <c r="AK672" s="372"/>
      <c r="AL672" s="372"/>
      <c r="AM672" s="372"/>
    </row>
    <row r="673">
      <c r="A673" s="369"/>
      <c r="B673" s="369"/>
      <c r="C673" s="405"/>
      <c r="D673" s="369"/>
      <c r="E673" s="369"/>
      <c r="F673" s="372"/>
      <c r="G673" s="372"/>
      <c r="H673" s="372"/>
      <c r="I673" s="372"/>
      <c r="J673" s="372"/>
      <c r="K673" s="369"/>
      <c r="L673" s="369"/>
      <c r="M673" s="373"/>
      <c r="N673" s="369"/>
      <c r="O673" s="369"/>
      <c r="P673" s="374"/>
      <c r="Q673" s="372"/>
      <c r="R673" s="372"/>
      <c r="S673" s="372"/>
      <c r="T673" s="372"/>
      <c r="U673" s="372"/>
      <c r="V673" s="372"/>
      <c r="W673" s="372"/>
      <c r="X673" s="372"/>
      <c r="Y673" s="372"/>
      <c r="Z673" s="372"/>
      <c r="AA673" s="372"/>
      <c r="AB673" s="372"/>
      <c r="AC673" s="372"/>
      <c r="AD673" s="372"/>
      <c r="AE673" s="372"/>
      <c r="AF673" s="372"/>
      <c r="AG673" s="372"/>
      <c r="AH673" s="372"/>
      <c r="AI673" s="372"/>
      <c r="AJ673" s="372"/>
      <c r="AK673" s="372"/>
      <c r="AL673" s="372"/>
      <c r="AM673" s="372"/>
    </row>
    <row r="674">
      <c r="A674" s="369"/>
      <c r="B674" s="369"/>
      <c r="C674" s="405"/>
      <c r="D674" s="369"/>
      <c r="E674" s="369"/>
      <c r="F674" s="372"/>
      <c r="G674" s="372"/>
      <c r="H674" s="372"/>
      <c r="I674" s="372"/>
      <c r="J674" s="372"/>
      <c r="K674" s="369"/>
      <c r="L674" s="369"/>
      <c r="M674" s="373"/>
      <c r="N674" s="369"/>
      <c r="O674" s="369"/>
      <c r="P674" s="374"/>
      <c r="Q674" s="372"/>
      <c r="R674" s="372"/>
      <c r="S674" s="372"/>
      <c r="T674" s="372"/>
      <c r="U674" s="372"/>
      <c r="V674" s="372"/>
      <c r="W674" s="372"/>
      <c r="X674" s="372"/>
      <c r="Y674" s="372"/>
      <c r="Z674" s="372"/>
      <c r="AA674" s="372"/>
      <c r="AB674" s="372"/>
      <c r="AC674" s="372"/>
      <c r="AD674" s="372"/>
      <c r="AE674" s="372"/>
      <c r="AF674" s="372"/>
      <c r="AG674" s="372"/>
      <c r="AH674" s="372"/>
      <c r="AI674" s="372"/>
      <c r="AJ674" s="372"/>
      <c r="AK674" s="372"/>
      <c r="AL674" s="372"/>
      <c r="AM674" s="372"/>
    </row>
    <row r="675">
      <c r="A675" s="369"/>
      <c r="B675" s="369"/>
      <c r="C675" s="405"/>
      <c r="D675" s="369"/>
      <c r="E675" s="369"/>
      <c r="F675" s="372"/>
      <c r="G675" s="372"/>
      <c r="H675" s="372"/>
      <c r="I675" s="372"/>
      <c r="J675" s="372"/>
      <c r="K675" s="369"/>
      <c r="L675" s="369"/>
      <c r="M675" s="373"/>
      <c r="N675" s="369"/>
      <c r="O675" s="369"/>
      <c r="P675" s="374"/>
      <c r="Q675" s="372"/>
      <c r="R675" s="372"/>
      <c r="S675" s="372"/>
      <c r="T675" s="372"/>
      <c r="U675" s="372"/>
      <c r="V675" s="372"/>
      <c r="W675" s="372"/>
      <c r="X675" s="372"/>
      <c r="Y675" s="372"/>
      <c r="Z675" s="372"/>
      <c r="AA675" s="372"/>
      <c r="AB675" s="372"/>
      <c r="AC675" s="372"/>
      <c r="AD675" s="372"/>
      <c r="AE675" s="372"/>
      <c r="AF675" s="372"/>
      <c r="AG675" s="372"/>
      <c r="AH675" s="372"/>
      <c r="AI675" s="372"/>
      <c r="AJ675" s="372"/>
      <c r="AK675" s="372"/>
      <c r="AL675" s="372"/>
      <c r="AM675" s="372"/>
    </row>
    <row r="676">
      <c r="A676" s="369"/>
      <c r="B676" s="369"/>
      <c r="C676" s="405"/>
      <c r="D676" s="369"/>
      <c r="E676" s="369"/>
      <c r="F676" s="372"/>
      <c r="G676" s="372"/>
      <c r="H676" s="372"/>
      <c r="I676" s="372"/>
      <c r="J676" s="372"/>
      <c r="K676" s="369"/>
      <c r="L676" s="369"/>
      <c r="M676" s="373"/>
      <c r="N676" s="369"/>
      <c r="O676" s="369"/>
      <c r="P676" s="374"/>
      <c r="Q676" s="372"/>
      <c r="R676" s="372"/>
      <c r="S676" s="372"/>
      <c r="T676" s="372"/>
      <c r="U676" s="372"/>
      <c r="V676" s="372"/>
      <c r="W676" s="372"/>
      <c r="X676" s="372"/>
      <c r="Y676" s="372"/>
      <c r="Z676" s="372"/>
      <c r="AA676" s="372"/>
      <c r="AB676" s="372"/>
      <c r="AC676" s="372"/>
      <c r="AD676" s="372"/>
      <c r="AE676" s="372"/>
      <c r="AF676" s="372"/>
      <c r="AG676" s="372"/>
      <c r="AH676" s="372"/>
      <c r="AI676" s="372"/>
      <c r="AJ676" s="372"/>
      <c r="AK676" s="372"/>
      <c r="AL676" s="372"/>
      <c r="AM676" s="372"/>
    </row>
    <row r="677">
      <c r="A677" s="369"/>
      <c r="B677" s="369"/>
      <c r="C677" s="405"/>
      <c r="D677" s="369"/>
      <c r="E677" s="369"/>
      <c r="F677" s="372"/>
      <c r="G677" s="372"/>
      <c r="H677" s="372"/>
      <c r="I677" s="372"/>
      <c r="J677" s="372"/>
      <c r="K677" s="369"/>
      <c r="L677" s="369"/>
      <c r="M677" s="373"/>
      <c r="N677" s="369"/>
      <c r="O677" s="369"/>
      <c r="P677" s="374"/>
      <c r="Q677" s="372"/>
      <c r="R677" s="372"/>
      <c r="S677" s="372"/>
      <c r="T677" s="372"/>
      <c r="U677" s="372"/>
      <c r="V677" s="372"/>
      <c r="W677" s="372"/>
      <c r="X677" s="372"/>
      <c r="Y677" s="372"/>
      <c r="Z677" s="372"/>
      <c r="AA677" s="372"/>
      <c r="AB677" s="372"/>
      <c r="AC677" s="372"/>
      <c r="AD677" s="372"/>
      <c r="AE677" s="372"/>
      <c r="AF677" s="372"/>
      <c r="AG677" s="372"/>
      <c r="AH677" s="372"/>
      <c r="AI677" s="372"/>
      <c r="AJ677" s="372"/>
      <c r="AK677" s="372"/>
      <c r="AL677" s="372"/>
      <c r="AM677" s="372"/>
    </row>
    <row r="678">
      <c r="A678" s="369"/>
      <c r="B678" s="369"/>
      <c r="C678" s="405"/>
      <c r="D678" s="369"/>
      <c r="E678" s="369"/>
      <c r="F678" s="372"/>
      <c r="G678" s="372"/>
      <c r="H678" s="372"/>
      <c r="I678" s="372"/>
      <c r="J678" s="372"/>
      <c r="K678" s="369"/>
      <c r="L678" s="369"/>
      <c r="M678" s="373"/>
      <c r="N678" s="369"/>
      <c r="O678" s="369"/>
      <c r="P678" s="374"/>
      <c r="Q678" s="372"/>
      <c r="R678" s="372"/>
      <c r="S678" s="372"/>
      <c r="T678" s="372"/>
      <c r="U678" s="372"/>
      <c r="V678" s="372"/>
      <c r="W678" s="372"/>
      <c r="X678" s="372"/>
      <c r="Y678" s="372"/>
      <c r="Z678" s="372"/>
      <c r="AA678" s="372"/>
      <c r="AB678" s="372"/>
      <c r="AC678" s="372"/>
      <c r="AD678" s="372"/>
      <c r="AE678" s="372"/>
      <c r="AF678" s="372"/>
      <c r="AG678" s="372"/>
      <c r="AH678" s="372"/>
      <c r="AI678" s="372"/>
      <c r="AJ678" s="372"/>
      <c r="AK678" s="372"/>
      <c r="AL678" s="372"/>
      <c r="AM678" s="372"/>
    </row>
    <row r="679">
      <c r="A679" s="369"/>
      <c r="B679" s="369"/>
      <c r="C679" s="405"/>
      <c r="D679" s="369"/>
      <c r="E679" s="369"/>
      <c r="F679" s="372"/>
      <c r="G679" s="372"/>
      <c r="H679" s="372"/>
      <c r="I679" s="372"/>
      <c r="J679" s="372"/>
      <c r="K679" s="369"/>
      <c r="L679" s="369"/>
      <c r="M679" s="373"/>
      <c r="N679" s="369"/>
      <c r="O679" s="369"/>
      <c r="P679" s="374"/>
      <c r="Q679" s="372"/>
      <c r="R679" s="372"/>
      <c r="S679" s="372"/>
      <c r="T679" s="372"/>
      <c r="U679" s="372"/>
      <c r="V679" s="372"/>
      <c r="W679" s="372"/>
      <c r="X679" s="372"/>
      <c r="Y679" s="372"/>
      <c r="Z679" s="372"/>
      <c r="AA679" s="372"/>
      <c r="AB679" s="372"/>
      <c r="AC679" s="372"/>
      <c r="AD679" s="372"/>
      <c r="AE679" s="372"/>
      <c r="AF679" s="372"/>
      <c r="AG679" s="372"/>
      <c r="AH679" s="372"/>
      <c r="AI679" s="372"/>
      <c r="AJ679" s="372"/>
      <c r="AK679" s="372"/>
      <c r="AL679" s="372"/>
      <c r="AM679" s="372"/>
    </row>
    <row r="680">
      <c r="A680" s="369"/>
      <c r="B680" s="369"/>
      <c r="C680" s="405"/>
      <c r="D680" s="369"/>
      <c r="E680" s="369"/>
      <c r="F680" s="372"/>
      <c r="G680" s="372"/>
      <c r="H680" s="372"/>
      <c r="I680" s="372"/>
      <c r="J680" s="372"/>
      <c r="K680" s="369"/>
      <c r="L680" s="369"/>
      <c r="M680" s="373"/>
      <c r="N680" s="369"/>
      <c r="O680" s="369"/>
      <c r="P680" s="374"/>
      <c r="Q680" s="372"/>
      <c r="R680" s="372"/>
      <c r="S680" s="372"/>
      <c r="T680" s="372"/>
      <c r="U680" s="372"/>
      <c r="V680" s="372"/>
      <c r="W680" s="372"/>
      <c r="X680" s="372"/>
      <c r="Y680" s="372"/>
      <c r="Z680" s="372"/>
      <c r="AA680" s="372"/>
      <c r="AB680" s="372"/>
      <c r="AC680" s="372"/>
      <c r="AD680" s="372"/>
      <c r="AE680" s="372"/>
      <c r="AF680" s="372"/>
      <c r="AG680" s="372"/>
      <c r="AH680" s="372"/>
      <c r="AI680" s="372"/>
      <c r="AJ680" s="372"/>
      <c r="AK680" s="372"/>
      <c r="AL680" s="372"/>
      <c r="AM680" s="372"/>
    </row>
    <row r="681">
      <c r="A681" s="369"/>
      <c r="B681" s="369"/>
      <c r="C681" s="405"/>
      <c r="D681" s="369"/>
      <c r="E681" s="369"/>
      <c r="F681" s="372"/>
      <c r="G681" s="372"/>
      <c r="H681" s="372"/>
      <c r="I681" s="372"/>
      <c r="J681" s="372"/>
      <c r="K681" s="369"/>
      <c r="L681" s="369"/>
      <c r="M681" s="373"/>
      <c r="N681" s="369"/>
      <c r="O681" s="369"/>
      <c r="P681" s="374"/>
      <c r="Q681" s="372"/>
      <c r="R681" s="372"/>
      <c r="S681" s="372"/>
      <c r="T681" s="372"/>
      <c r="U681" s="372"/>
      <c r="V681" s="372"/>
      <c r="W681" s="372"/>
      <c r="X681" s="372"/>
      <c r="Y681" s="372"/>
      <c r="Z681" s="372"/>
      <c r="AA681" s="372"/>
      <c r="AB681" s="372"/>
      <c r="AC681" s="372"/>
      <c r="AD681" s="372"/>
      <c r="AE681" s="372"/>
      <c r="AF681" s="372"/>
      <c r="AG681" s="372"/>
      <c r="AH681" s="372"/>
      <c r="AI681" s="372"/>
      <c r="AJ681" s="372"/>
      <c r="AK681" s="372"/>
      <c r="AL681" s="372"/>
      <c r="AM681" s="372"/>
    </row>
    <row r="682">
      <c r="A682" s="369"/>
      <c r="B682" s="369"/>
      <c r="C682" s="405"/>
      <c r="D682" s="369"/>
      <c r="E682" s="369"/>
      <c r="F682" s="372"/>
      <c r="G682" s="372"/>
      <c r="H682" s="372"/>
      <c r="I682" s="372"/>
      <c r="J682" s="372"/>
      <c r="K682" s="369"/>
      <c r="L682" s="369"/>
      <c r="M682" s="373"/>
      <c r="N682" s="369"/>
      <c r="O682" s="369"/>
      <c r="P682" s="374"/>
      <c r="Q682" s="372"/>
      <c r="R682" s="372"/>
      <c r="S682" s="372"/>
      <c r="T682" s="372"/>
      <c r="U682" s="372"/>
      <c r="V682" s="372"/>
      <c r="W682" s="372"/>
      <c r="X682" s="372"/>
      <c r="Y682" s="372"/>
      <c r="Z682" s="372"/>
      <c r="AA682" s="372"/>
      <c r="AB682" s="372"/>
      <c r="AC682" s="372"/>
      <c r="AD682" s="372"/>
      <c r="AE682" s="372"/>
      <c r="AF682" s="372"/>
      <c r="AG682" s="372"/>
      <c r="AH682" s="372"/>
      <c r="AI682" s="372"/>
      <c r="AJ682" s="372"/>
      <c r="AK682" s="372"/>
      <c r="AL682" s="372"/>
      <c r="AM682" s="372"/>
    </row>
    <row r="683">
      <c r="A683" s="369"/>
      <c r="B683" s="369"/>
      <c r="C683" s="405"/>
      <c r="D683" s="369"/>
      <c r="E683" s="369"/>
      <c r="F683" s="372"/>
      <c r="G683" s="372"/>
      <c r="H683" s="372"/>
      <c r="I683" s="372"/>
      <c r="J683" s="372"/>
      <c r="K683" s="369"/>
      <c r="L683" s="369"/>
      <c r="M683" s="373"/>
      <c r="N683" s="369"/>
      <c r="O683" s="369"/>
      <c r="P683" s="374"/>
      <c r="Q683" s="372"/>
      <c r="R683" s="372"/>
      <c r="S683" s="372"/>
      <c r="T683" s="372"/>
      <c r="U683" s="372"/>
      <c r="V683" s="372"/>
      <c r="W683" s="372"/>
      <c r="X683" s="372"/>
      <c r="Y683" s="372"/>
      <c r="Z683" s="372"/>
      <c r="AA683" s="372"/>
      <c r="AB683" s="372"/>
      <c r="AC683" s="372"/>
      <c r="AD683" s="372"/>
      <c r="AE683" s="372"/>
      <c r="AF683" s="372"/>
      <c r="AG683" s="372"/>
      <c r="AH683" s="372"/>
      <c r="AI683" s="372"/>
      <c r="AJ683" s="372"/>
      <c r="AK683" s="372"/>
      <c r="AL683" s="372"/>
      <c r="AM683" s="372"/>
    </row>
    <row r="684">
      <c r="A684" s="369"/>
      <c r="B684" s="369"/>
      <c r="C684" s="405"/>
      <c r="D684" s="369"/>
      <c r="E684" s="369"/>
      <c r="F684" s="372"/>
      <c r="G684" s="372"/>
      <c r="H684" s="372"/>
      <c r="I684" s="372"/>
      <c r="J684" s="372"/>
      <c r="K684" s="369"/>
      <c r="L684" s="369"/>
      <c r="M684" s="373"/>
      <c r="N684" s="369"/>
      <c r="O684" s="369"/>
      <c r="P684" s="374"/>
      <c r="Q684" s="372"/>
      <c r="R684" s="372"/>
      <c r="S684" s="372"/>
      <c r="T684" s="372"/>
      <c r="U684" s="372"/>
      <c r="V684" s="372"/>
      <c r="W684" s="372"/>
      <c r="X684" s="372"/>
      <c r="Y684" s="372"/>
      <c r="Z684" s="372"/>
      <c r="AA684" s="372"/>
      <c r="AB684" s="372"/>
      <c r="AC684" s="372"/>
      <c r="AD684" s="372"/>
      <c r="AE684" s="372"/>
      <c r="AF684" s="372"/>
      <c r="AG684" s="372"/>
      <c r="AH684" s="372"/>
      <c r="AI684" s="372"/>
      <c r="AJ684" s="372"/>
      <c r="AK684" s="372"/>
      <c r="AL684" s="372"/>
      <c r="AM684" s="372"/>
    </row>
    <row r="685">
      <c r="A685" s="369"/>
      <c r="B685" s="369"/>
      <c r="C685" s="405"/>
      <c r="D685" s="369"/>
      <c r="E685" s="369"/>
      <c r="F685" s="372"/>
      <c r="G685" s="372"/>
      <c r="H685" s="372"/>
      <c r="I685" s="372"/>
      <c r="J685" s="372"/>
      <c r="K685" s="369"/>
      <c r="L685" s="369"/>
      <c r="M685" s="373"/>
      <c r="N685" s="369"/>
      <c r="O685" s="369"/>
      <c r="P685" s="374"/>
      <c r="Q685" s="372"/>
      <c r="R685" s="372"/>
      <c r="S685" s="372"/>
      <c r="T685" s="372"/>
      <c r="U685" s="372"/>
      <c r="V685" s="372"/>
      <c r="W685" s="372"/>
      <c r="X685" s="372"/>
      <c r="Y685" s="372"/>
      <c r="Z685" s="372"/>
      <c r="AA685" s="372"/>
      <c r="AB685" s="372"/>
      <c r="AC685" s="372"/>
      <c r="AD685" s="372"/>
      <c r="AE685" s="372"/>
      <c r="AF685" s="372"/>
      <c r="AG685" s="372"/>
      <c r="AH685" s="372"/>
      <c r="AI685" s="372"/>
      <c r="AJ685" s="372"/>
      <c r="AK685" s="372"/>
      <c r="AL685" s="372"/>
      <c r="AM685" s="372"/>
    </row>
    <row r="686">
      <c r="A686" s="369"/>
      <c r="B686" s="369"/>
      <c r="C686" s="405"/>
      <c r="D686" s="369"/>
      <c r="E686" s="369"/>
      <c r="F686" s="372"/>
      <c r="G686" s="372"/>
      <c r="H686" s="372"/>
      <c r="I686" s="372"/>
      <c r="J686" s="372"/>
      <c r="K686" s="369"/>
      <c r="L686" s="369"/>
      <c r="M686" s="373"/>
      <c r="N686" s="369"/>
      <c r="O686" s="369"/>
      <c r="P686" s="374"/>
      <c r="Q686" s="372"/>
      <c r="R686" s="372"/>
      <c r="S686" s="372"/>
      <c r="T686" s="372"/>
      <c r="U686" s="372"/>
      <c r="V686" s="372"/>
      <c r="W686" s="372"/>
      <c r="X686" s="372"/>
      <c r="Y686" s="372"/>
      <c r="Z686" s="372"/>
      <c r="AA686" s="372"/>
      <c r="AB686" s="372"/>
      <c r="AC686" s="372"/>
      <c r="AD686" s="372"/>
      <c r="AE686" s="372"/>
      <c r="AF686" s="372"/>
      <c r="AG686" s="372"/>
      <c r="AH686" s="372"/>
      <c r="AI686" s="372"/>
      <c r="AJ686" s="372"/>
      <c r="AK686" s="372"/>
      <c r="AL686" s="372"/>
      <c r="AM686" s="372"/>
    </row>
    <row r="687">
      <c r="A687" s="369"/>
      <c r="B687" s="369"/>
      <c r="C687" s="405"/>
      <c r="D687" s="369"/>
      <c r="E687" s="369"/>
      <c r="F687" s="372"/>
      <c r="G687" s="372"/>
      <c r="H687" s="372"/>
      <c r="I687" s="372"/>
      <c r="J687" s="372"/>
      <c r="K687" s="369"/>
      <c r="L687" s="369"/>
      <c r="M687" s="373"/>
      <c r="N687" s="369"/>
      <c r="O687" s="369"/>
      <c r="P687" s="374"/>
      <c r="Q687" s="372"/>
      <c r="R687" s="372"/>
      <c r="S687" s="372"/>
      <c r="T687" s="372"/>
      <c r="U687" s="372"/>
      <c r="V687" s="372"/>
      <c r="W687" s="372"/>
      <c r="X687" s="372"/>
      <c r="Y687" s="372"/>
      <c r="Z687" s="372"/>
      <c r="AA687" s="372"/>
      <c r="AB687" s="372"/>
      <c r="AC687" s="372"/>
      <c r="AD687" s="372"/>
      <c r="AE687" s="372"/>
      <c r="AF687" s="372"/>
      <c r="AG687" s="372"/>
      <c r="AH687" s="372"/>
      <c r="AI687" s="372"/>
      <c r="AJ687" s="372"/>
      <c r="AK687" s="372"/>
      <c r="AL687" s="372"/>
      <c r="AM687" s="372"/>
    </row>
    <row r="688">
      <c r="A688" s="369"/>
      <c r="B688" s="369"/>
      <c r="C688" s="405"/>
      <c r="D688" s="369"/>
      <c r="E688" s="369"/>
      <c r="F688" s="372"/>
      <c r="G688" s="372"/>
      <c r="H688" s="372"/>
      <c r="I688" s="372"/>
      <c r="J688" s="372"/>
      <c r="K688" s="369"/>
      <c r="L688" s="369"/>
      <c r="M688" s="373"/>
      <c r="N688" s="369"/>
      <c r="O688" s="369"/>
      <c r="P688" s="374"/>
      <c r="Q688" s="372"/>
      <c r="R688" s="372"/>
      <c r="S688" s="372"/>
      <c r="T688" s="372"/>
      <c r="U688" s="372"/>
      <c r="V688" s="372"/>
      <c r="W688" s="372"/>
      <c r="X688" s="372"/>
      <c r="Y688" s="372"/>
      <c r="Z688" s="372"/>
      <c r="AA688" s="372"/>
      <c r="AB688" s="372"/>
      <c r="AC688" s="372"/>
      <c r="AD688" s="372"/>
      <c r="AE688" s="372"/>
      <c r="AF688" s="372"/>
      <c r="AG688" s="372"/>
      <c r="AH688" s="372"/>
      <c r="AI688" s="372"/>
      <c r="AJ688" s="372"/>
      <c r="AK688" s="372"/>
      <c r="AL688" s="372"/>
      <c r="AM688" s="372"/>
    </row>
    <row r="689">
      <c r="A689" s="369"/>
      <c r="B689" s="369"/>
      <c r="C689" s="405"/>
      <c r="D689" s="369"/>
      <c r="E689" s="369"/>
      <c r="F689" s="372"/>
      <c r="G689" s="372"/>
      <c r="H689" s="372"/>
      <c r="I689" s="372"/>
      <c r="J689" s="372"/>
      <c r="K689" s="369"/>
      <c r="L689" s="369"/>
      <c r="M689" s="373"/>
      <c r="N689" s="369"/>
      <c r="O689" s="369"/>
      <c r="P689" s="374"/>
      <c r="Q689" s="372"/>
      <c r="R689" s="372"/>
      <c r="S689" s="372"/>
      <c r="T689" s="372"/>
      <c r="U689" s="372"/>
      <c r="V689" s="372"/>
      <c r="W689" s="372"/>
      <c r="X689" s="372"/>
      <c r="Y689" s="372"/>
      <c r="Z689" s="372"/>
      <c r="AA689" s="372"/>
      <c r="AB689" s="372"/>
      <c r="AC689" s="372"/>
      <c r="AD689" s="372"/>
      <c r="AE689" s="372"/>
      <c r="AF689" s="372"/>
      <c r="AG689" s="372"/>
      <c r="AH689" s="372"/>
      <c r="AI689" s="372"/>
      <c r="AJ689" s="372"/>
      <c r="AK689" s="372"/>
      <c r="AL689" s="372"/>
      <c r="AM689" s="372"/>
    </row>
    <row r="690">
      <c r="A690" s="369"/>
      <c r="B690" s="369"/>
      <c r="C690" s="405"/>
      <c r="D690" s="369"/>
      <c r="E690" s="369"/>
      <c r="F690" s="372"/>
      <c r="G690" s="372"/>
      <c r="H690" s="372"/>
      <c r="I690" s="372"/>
      <c r="J690" s="372"/>
      <c r="K690" s="369"/>
      <c r="L690" s="369"/>
      <c r="M690" s="373"/>
      <c r="N690" s="369"/>
      <c r="O690" s="369"/>
      <c r="P690" s="374"/>
      <c r="Q690" s="372"/>
      <c r="R690" s="372"/>
      <c r="S690" s="372"/>
      <c r="T690" s="372"/>
      <c r="U690" s="372"/>
      <c r="V690" s="372"/>
      <c r="W690" s="372"/>
      <c r="X690" s="372"/>
      <c r="Y690" s="372"/>
      <c r="Z690" s="372"/>
      <c r="AA690" s="372"/>
      <c r="AB690" s="372"/>
      <c r="AC690" s="372"/>
      <c r="AD690" s="372"/>
      <c r="AE690" s="372"/>
      <c r="AF690" s="372"/>
      <c r="AG690" s="372"/>
      <c r="AH690" s="372"/>
      <c r="AI690" s="372"/>
      <c r="AJ690" s="372"/>
      <c r="AK690" s="372"/>
      <c r="AL690" s="372"/>
      <c r="AM690" s="372"/>
    </row>
    <row r="691">
      <c r="A691" s="369"/>
      <c r="B691" s="369"/>
      <c r="C691" s="405"/>
      <c r="D691" s="369"/>
      <c r="E691" s="369"/>
      <c r="F691" s="372"/>
      <c r="G691" s="372"/>
      <c r="H691" s="372"/>
      <c r="I691" s="372"/>
      <c r="J691" s="372"/>
      <c r="K691" s="369"/>
      <c r="L691" s="369"/>
      <c r="M691" s="373"/>
      <c r="N691" s="369"/>
      <c r="O691" s="369"/>
      <c r="P691" s="374"/>
      <c r="Q691" s="372"/>
      <c r="R691" s="372"/>
      <c r="S691" s="372"/>
      <c r="T691" s="372"/>
      <c r="U691" s="372"/>
      <c r="V691" s="372"/>
      <c r="W691" s="372"/>
      <c r="X691" s="372"/>
      <c r="Y691" s="372"/>
      <c r="Z691" s="372"/>
      <c r="AA691" s="372"/>
      <c r="AB691" s="372"/>
      <c r="AC691" s="372"/>
      <c r="AD691" s="372"/>
      <c r="AE691" s="372"/>
      <c r="AF691" s="372"/>
      <c r="AG691" s="372"/>
      <c r="AH691" s="372"/>
      <c r="AI691" s="372"/>
      <c r="AJ691" s="372"/>
      <c r="AK691" s="372"/>
      <c r="AL691" s="372"/>
      <c r="AM691" s="372"/>
    </row>
    <row r="692">
      <c r="A692" s="369"/>
      <c r="B692" s="369"/>
      <c r="C692" s="405"/>
      <c r="D692" s="369"/>
      <c r="E692" s="369"/>
      <c r="F692" s="372"/>
      <c r="G692" s="372"/>
      <c r="H692" s="372"/>
      <c r="I692" s="372"/>
      <c r="J692" s="372"/>
      <c r="K692" s="369"/>
      <c r="L692" s="369"/>
      <c r="M692" s="373"/>
      <c r="N692" s="369"/>
      <c r="O692" s="369"/>
      <c r="P692" s="374"/>
      <c r="Q692" s="372"/>
      <c r="R692" s="372"/>
      <c r="S692" s="372"/>
      <c r="T692" s="372"/>
      <c r="U692" s="372"/>
      <c r="V692" s="372"/>
      <c r="W692" s="372"/>
      <c r="X692" s="372"/>
      <c r="Y692" s="372"/>
      <c r="Z692" s="372"/>
      <c r="AA692" s="372"/>
      <c r="AB692" s="372"/>
      <c r="AC692" s="372"/>
      <c r="AD692" s="372"/>
      <c r="AE692" s="372"/>
      <c r="AF692" s="372"/>
      <c r="AG692" s="372"/>
      <c r="AH692" s="372"/>
      <c r="AI692" s="372"/>
      <c r="AJ692" s="372"/>
      <c r="AK692" s="372"/>
      <c r="AL692" s="372"/>
      <c r="AM692" s="372"/>
    </row>
    <row r="693">
      <c r="A693" s="369"/>
      <c r="B693" s="369"/>
      <c r="C693" s="405"/>
      <c r="D693" s="369"/>
      <c r="E693" s="369"/>
      <c r="F693" s="372"/>
      <c r="G693" s="372"/>
      <c r="H693" s="372"/>
      <c r="I693" s="372"/>
      <c r="J693" s="372"/>
      <c r="K693" s="369"/>
      <c r="L693" s="369"/>
      <c r="M693" s="373"/>
      <c r="N693" s="369"/>
      <c r="O693" s="369"/>
      <c r="P693" s="374"/>
      <c r="Q693" s="372"/>
      <c r="R693" s="372"/>
      <c r="S693" s="372"/>
      <c r="T693" s="372"/>
      <c r="U693" s="372"/>
      <c r="V693" s="372"/>
      <c r="W693" s="372"/>
      <c r="X693" s="372"/>
      <c r="Y693" s="372"/>
      <c r="Z693" s="372"/>
      <c r="AA693" s="372"/>
      <c r="AB693" s="372"/>
      <c r="AC693" s="372"/>
      <c r="AD693" s="372"/>
      <c r="AE693" s="372"/>
      <c r="AF693" s="372"/>
      <c r="AG693" s="372"/>
      <c r="AH693" s="372"/>
      <c r="AI693" s="372"/>
      <c r="AJ693" s="372"/>
      <c r="AK693" s="372"/>
      <c r="AL693" s="372"/>
      <c r="AM693" s="372"/>
    </row>
    <row r="694">
      <c r="A694" s="369"/>
      <c r="B694" s="369"/>
      <c r="C694" s="405"/>
      <c r="D694" s="369"/>
      <c r="E694" s="369"/>
      <c r="F694" s="372"/>
      <c r="G694" s="372"/>
      <c r="H694" s="372"/>
      <c r="I694" s="372"/>
      <c r="J694" s="372"/>
      <c r="K694" s="369"/>
      <c r="L694" s="369"/>
      <c r="M694" s="373"/>
      <c r="N694" s="369"/>
      <c r="O694" s="369"/>
      <c r="P694" s="374"/>
      <c r="Q694" s="372"/>
      <c r="R694" s="372"/>
      <c r="S694" s="372"/>
      <c r="T694" s="372"/>
      <c r="U694" s="372"/>
      <c r="V694" s="372"/>
      <c r="W694" s="372"/>
      <c r="X694" s="372"/>
      <c r="Y694" s="372"/>
      <c r="Z694" s="372"/>
      <c r="AA694" s="372"/>
      <c r="AB694" s="372"/>
      <c r="AC694" s="372"/>
      <c r="AD694" s="372"/>
      <c r="AE694" s="372"/>
      <c r="AF694" s="372"/>
      <c r="AG694" s="372"/>
      <c r="AH694" s="372"/>
      <c r="AI694" s="372"/>
      <c r="AJ694" s="372"/>
      <c r="AK694" s="372"/>
      <c r="AL694" s="372"/>
      <c r="AM694" s="372"/>
    </row>
    <row r="695">
      <c r="A695" s="369"/>
      <c r="B695" s="369"/>
      <c r="C695" s="405"/>
      <c r="D695" s="369"/>
      <c r="E695" s="369"/>
      <c r="F695" s="372"/>
      <c r="G695" s="372"/>
      <c r="H695" s="372"/>
      <c r="I695" s="372"/>
      <c r="J695" s="372"/>
      <c r="K695" s="369"/>
      <c r="L695" s="369"/>
      <c r="M695" s="373"/>
      <c r="N695" s="369"/>
      <c r="O695" s="369"/>
      <c r="P695" s="374"/>
      <c r="Q695" s="372"/>
      <c r="R695" s="372"/>
      <c r="S695" s="372"/>
      <c r="T695" s="372"/>
      <c r="U695" s="372"/>
      <c r="V695" s="372"/>
      <c r="W695" s="372"/>
      <c r="X695" s="372"/>
      <c r="Y695" s="372"/>
      <c r="Z695" s="372"/>
      <c r="AA695" s="372"/>
      <c r="AB695" s="372"/>
      <c r="AC695" s="372"/>
      <c r="AD695" s="372"/>
      <c r="AE695" s="372"/>
      <c r="AF695" s="372"/>
      <c r="AG695" s="372"/>
      <c r="AH695" s="372"/>
      <c r="AI695" s="372"/>
      <c r="AJ695" s="372"/>
      <c r="AK695" s="372"/>
      <c r="AL695" s="372"/>
      <c r="AM695" s="372"/>
    </row>
    <row r="696">
      <c r="A696" s="369"/>
      <c r="B696" s="369"/>
      <c r="C696" s="405"/>
      <c r="D696" s="369"/>
      <c r="E696" s="369"/>
      <c r="F696" s="372"/>
      <c r="G696" s="372"/>
      <c r="H696" s="372"/>
      <c r="I696" s="372"/>
      <c r="J696" s="372"/>
      <c r="K696" s="369"/>
      <c r="L696" s="369"/>
      <c r="M696" s="373"/>
      <c r="N696" s="369"/>
      <c r="O696" s="369"/>
      <c r="P696" s="374"/>
      <c r="Q696" s="372"/>
      <c r="R696" s="372"/>
      <c r="S696" s="372"/>
      <c r="T696" s="372"/>
      <c r="U696" s="372"/>
      <c r="V696" s="372"/>
      <c r="W696" s="372"/>
      <c r="X696" s="372"/>
      <c r="Y696" s="372"/>
      <c r="Z696" s="372"/>
      <c r="AA696" s="372"/>
      <c r="AB696" s="372"/>
      <c r="AC696" s="372"/>
      <c r="AD696" s="372"/>
      <c r="AE696" s="372"/>
      <c r="AF696" s="372"/>
      <c r="AG696" s="372"/>
      <c r="AH696" s="372"/>
      <c r="AI696" s="372"/>
      <c r="AJ696" s="372"/>
      <c r="AK696" s="372"/>
      <c r="AL696" s="372"/>
      <c r="AM696" s="372"/>
    </row>
    <row r="697">
      <c r="A697" s="369"/>
      <c r="B697" s="369"/>
      <c r="C697" s="405"/>
      <c r="D697" s="369"/>
      <c r="E697" s="369"/>
      <c r="F697" s="372"/>
      <c r="G697" s="372"/>
      <c r="H697" s="372"/>
      <c r="I697" s="372"/>
      <c r="J697" s="372"/>
      <c r="K697" s="369"/>
      <c r="L697" s="369"/>
      <c r="M697" s="373"/>
      <c r="N697" s="369"/>
      <c r="O697" s="369"/>
      <c r="P697" s="374"/>
      <c r="Q697" s="372"/>
      <c r="R697" s="372"/>
      <c r="S697" s="372"/>
      <c r="T697" s="372"/>
      <c r="U697" s="372"/>
      <c r="V697" s="372"/>
      <c r="W697" s="372"/>
      <c r="X697" s="372"/>
      <c r="Y697" s="372"/>
      <c r="Z697" s="372"/>
      <c r="AA697" s="372"/>
      <c r="AB697" s="372"/>
      <c r="AC697" s="372"/>
      <c r="AD697" s="372"/>
      <c r="AE697" s="372"/>
      <c r="AF697" s="372"/>
      <c r="AG697" s="372"/>
      <c r="AH697" s="372"/>
      <c r="AI697" s="372"/>
      <c r="AJ697" s="372"/>
      <c r="AK697" s="372"/>
      <c r="AL697" s="372"/>
      <c r="AM697" s="372"/>
    </row>
    <row r="698">
      <c r="A698" s="369"/>
      <c r="B698" s="369"/>
      <c r="C698" s="405"/>
      <c r="D698" s="369"/>
      <c r="E698" s="369"/>
      <c r="F698" s="372"/>
      <c r="G698" s="372"/>
      <c r="H698" s="372"/>
      <c r="I698" s="372"/>
      <c r="J698" s="372"/>
      <c r="K698" s="369"/>
      <c r="L698" s="369"/>
      <c r="M698" s="373"/>
      <c r="N698" s="369"/>
      <c r="O698" s="369"/>
      <c r="P698" s="374"/>
      <c r="Q698" s="372"/>
      <c r="R698" s="372"/>
      <c r="S698" s="372"/>
      <c r="T698" s="372"/>
      <c r="U698" s="372"/>
      <c r="V698" s="372"/>
      <c r="W698" s="372"/>
      <c r="X698" s="372"/>
      <c r="Y698" s="372"/>
      <c r="Z698" s="372"/>
      <c r="AA698" s="372"/>
      <c r="AB698" s="372"/>
      <c r="AC698" s="372"/>
      <c r="AD698" s="372"/>
      <c r="AE698" s="372"/>
      <c r="AF698" s="372"/>
      <c r="AG698" s="372"/>
      <c r="AH698" s="372"/>
      <c r="AI698" s="372"/>
      <c r="AJ698" s="372"/>
      <c r="AK698" s="372"/>
      <c r="AL698" s="372"/>
      <c r="AM698" s="372"/>
    </row>
    <row r="699">
      <c r="A699" s="369"/>
      <c r="B699" s="369"/>
      <c r="C699" s="405"/>
      <c r="D699" s="369"/>
      <c r="E699" s="369"/>
      <c r="F699" s="372"/>
      <c r="G699" s="372"/>
      <c r="H699" s="372"/>
      <c r="I699" s="372"/>
      <c r="J699" s="372"/>
      <c r="K699" s="369"/>
      <c r="L699" s="369"/>
      <c r="M699" s="373"/>
      <c r="N699" s="369"/>
      <c r="O699" s="369"/>
      <c r="P699" s="374"/>
      <c r="Q699" s="372"/>
      <c r="R699" s="372"/>
      <c r="S699" s="372"/>
      <c r="T699" s="372"/>
      <c r="U699" s="372"/>
      <c r="V699" s="372"/>
      <c r="W699" s="372"/>
      <c r="X699" s="372"/>
      <c r="Y699" s="372"/>
      <c r="Z699" s="372"/>
      <c r="AA699" s="372"/>
      <c r="AB699" s="372"/>
      <c r="AC699" s="372"/>
      <c r="AD699" s="372"/>
      <c r="AE699" s="372"/>
      <c r="AF699" s="372"/>
      <c r="AG699" s="372"/>
      <c r="AH699" s="372"/>
      <c r="AI699" s="372"/>
      <c r="AJ699" s="372"/>
      <c r="AK699" s="372"/>
      <c r="AL699" s="372"/>
      <c r="AM699" s="372"/>
    </row>
    <row r="700">
      <c r="A700" s="369"/>
      <c r="B700" s="369"/>
      <c r="C700" s="405"/>
      <c r="D700" s="369"/>
      <c r="E700" s="369"/>
      <c r="F700" s="372"/>
      <c r="G700" s="372"/>
      <c r="H700" s="372"/>
      <c r="I700" s="372"/>
      <c r="J700" s="372"/>
      <c r="K700" s="369"/>
      <c r="L700" s="369"/>
      <c r="M700" s="373"/>
      <c r="N700" s="369"/>
      <c r="O700" s="369"/>
      <c r="P700" s="374"/>
      <c r="Q700" s="372"/>
      <c r="R700" s="372"/>
      <c r="S700" s="372"/>
      <c r="T700" s="372"/>
      <c r="U700" s="372"/>
      <c r="V700" s="372"/>
      <c r="W700" s="372"/>
      <c r="X700" s="372"/>
      <c r="Y700" s="372"/>
      <c r="Z700" s="372"/>
      <c r="AA700" s="372"/>
      <c r="AB700" s="372"/>
      <c r="AC700" s="372"/>
      <c r="AD700" s="372"/>
      <c r="AE700" s="372"/>
      <c r="AF700" s="372"/>
      <c r="AG700" s="372"/>
      <c r="AH700" s="372"/>
      <c r="AI700" s="372"/>
      <c r="AJ700" s="372"/>
      <c r="AK700" s="372"/>
      <c r="AL700" s="372"/>
      <c r="AM700" s="372"/>
    </row>
    <row r="701">
      <c r="A701" s="369"/>
      <c r="B701" s="369"/>
      <c r="C701" s="405"/>
      <c r="D701" s="369"/>
      <c r="E701" s="369"/>
      <c r="F701" s="372"/>
      <c r="G701" s="372"/>
      <c r="H701" s="372"/>
      <c r="I701" s="372"/>
      <c r="J701" s="372"/>
      <c r="K701" s="369"/>
      <c r="L701" s="369"/>
      <c r="M701" s="373"/>
      <c r="N701" s="369"/>
      <c r="O701" s="369"/>
      <c r="P701" s="374"/>
      <c r="Q701" s="372"/>
      <c r="R701" s="372"/>
      <c r="S701" s="372"/>
      <c r="T701" s="372"/>
      <c r="U701" s="372"/>
      <c r="V701" s="372"/>
      <c r="W701" s="372"/>
      <c r="X701" s="372"/>
      <c r="Y701" s="372"/>
      <c r="Z701" s="372"/>
      <c r="AA701" s="372"/>
      <c r="AB701" s="372"/>
      <c r="AC701" s="372"/>
      <c r="AD701" s="372"/>
      <c r="AE701" s="372"/>
      <c r="AF701" s="372"/>
      <c r="AG701" s="372"/>
      <c r="AH701" s="372"/>
      <c r="AI701" s="372"/>
      <c r="AJ701" s="372"/>
      <c r="AK701" s="372"/>
      <c r="AL701" s="372"/>
      <c r="AM701" s="372"/>
    </row>
    <row r="702">
      <c r="A702" s="369"/>
      <c r="B702" s="369"/>
      <c r="C702" s="405"/>
      <c r="D702" s="369"/>
      <c r="E702" s="369"/>
      <c r="F702" s="372"/>
      <c r="G702" s="372"/>
      <c r="H702" s="372"/>
      <c r="I702" s="372"/>
      <c r="J702" s="372"/>
      <c r="K702" s="369"/>
      <c r="L702" s="369"/>
      <c r="M702" s="373"/>
      <c r="N702" s="369"/>
      <c r="O702" s="369"/>
      <c r="P702" s="374"/>
      <c r="Q702" s="372"/>
      <c r="R702" s="372"/>
      <c r="S702" s="372"/>
      <c r="T702" s="372"/>
      <c r="U702" s="372"/>
      <c r="V702" s="372"/>
      <c r="W702" s="372"/>
      <c r="X702" s="372"/>
      <c r="Y702" s="372"/>
      <c r="Z702" s="372"/>
      <c r="AA702" s="372"/>
      <c r="AB702" s="372"/>
      <c r="AC702" s="372"/>
      <c r="AD702" s="372"/>
      <c r="AE702" s="372"/>
      <c r="AF702" s="372"/>
      <c r="AG702" s="372"/>
      <c r="AH702" s="372"/>
      <c r="AI702" s="372"/>
      <c r="AJ702" s="372"/>
      <c r="AK702" s="372"/>
      <c r="AL702" s="372"/>
      <c r="AM702" s="372"/>
    </row>
    <row r="703">
      <c r="A703" s="369"/>
      <c r="B703" s="369"/>
      <c r="C703" s="405"/>
      <c r="D703" s="369"/>
      <c r="E703" s="369"/>
      <c r="F703" s="372"/>
      <c r="G703" s="372"/>
      <c r="H703" s="372"/>
      <c r="I703" s="372"/>
      <c r="J703" s="372"/>
      <c r="K703" s="369"/>
      <c r="L703" s="369"/>
      <c r="M703" s="373"/>
      <c r="N703" s="369"/>
      <c r="O703" s="369"/>
      <c r="P703" s="374"/>
      <c r="Q703" s="372"/>
      <c r="R703" s="372"/>
      <c r="S703" s="372"/>
      <c r="T703" s="372"/>
      <c r="U703" s="372"/>
      <c r="V703" s="372"/>
      <c r="W703" s="372"/>
      <c r="X703" s="372"/>
      <c r="Y703" s="372"/>
      <c r="Z703" s="372"/>
      <c r="AA703" s="372"/>
      <c r="AB703" s="372"/>
      <c r="AC703" s="372"/>
      <c r="AD703" s="372"/>
      <c r="AE703" s="372"/>
      <c r="AF703" s="372"/>
      <c r="AG703" s="372"/>
      <c r="AH703" s="372"/>
      <c r="AI703" s="372"/>
      <c r="AJ703" s="372"/>
      <c r="AK703" s="372"/>
      <c r="AL703" s="372"/>
      <c r="AM703" s="372"/>
    </row>
    <row r="704">
      <c r="A704" s="369"/>
      <c r="B704" s="369"/>
      <c r="C704" s="405"/>
      <c r="D704" s="369"/>
      <c r="E704" s="369"/>
      <c r="F704" s="372"/>
      <c r="G704" s="372"/>
      <c r="H704" s="372"/>
      <c r="I704" s="372"/>
      <c r="J704" s="372"/>
      <c r="K704" s="369"/>
      <c r="L704" s="369"/>
      <c r="M704" s="373"/>
      <c r="N704" s="369"/>
      <c r="O704" s="369"/>
      <c r="P704" s="374"/>
      <c r="Q704" s="372"/>
      <c r="R704" s="372"/>
      <c r="S704" s="372"/>
      <c r="T704" s="372"/>
      <c r="U704" s="372"/>
      <c r="V704" s="372"/>
      <c r="W704" s="372"/>
      <c r="X704" s="372"/>
      <c r="Y704" s="372"/>
      <c r="Z704" s="372"/>
      <c r="AA704" s="372"/>
      <c r="AB704" s="372"/>
      <c r="AC704" s="372"/>
      <c r="AD704" s="372"/>
      <c r="AE704" s="372"/>
      <c r="AF704" s="372"/>
      <c r="AG704" s="372"/>
      <c r="AH704" s="372"/>
      <c r="AI704" s="372"/>
      <c r="AJ704" s="372"/>
      <c r="AK704" s="372"/>
      <c r="AL704" s="372"/>
      <c r="AM704" s="372"/>
    </row>
    <row r="705">
      <c r="A705" s="369"/>
      <c r="B705" s="369"/>
      <c r="C705" s="405"/>
      <c r="D705" s="369"/>
      <c r="E705" s="369"/>
      <c r="F705" s="372"/>
      <c r="G705" s="372"/>
      <c r="H705" s="372"/>
      <c r="I705" s="372"/>
      <c r="J705" s="372"/>
      <c r="K705" s="369"/>
      <c r="L705" s="369"/>
      <c r="M705" s="373"/>
      <c r="N705" s="369"/>
      <c r="O705" s="369"/>
      <c r="P705" s="374"/>
      <c r="Q705" s="372"/>
      <c r="R705" s="372"/>
      <c r="S705" s="372"/>
      <c r="T705" s="372"/>
      <c r="U705" s="372"/>
      <c r="V705" s="372"/>
      <c r="W705" s="372"/>
      <c r="X705" s="372"/>
      <c r="Y705" s="372"/>
      <c r="Z705" s="372"/>
      <c r="AA705" s="372"/>
      <c r="AB705" s="372"/>
      <c r="AC705" s="372"/>
      <c r="AD705" s="372"/>
      <c r="AE705" s="372"/>
      <c r="AF705" s="372"/>
      <c r="AG705" s="372"/>
      <c r="AH705" s="372"/>
      <c r="AI705" s="372"/>
      <c r="AJ705" s="372"/>
      <c r="AK705" s="372"/>
      <c r="AL705" s="372"/>
      <c r="AM705" s="372"/>
    </row>
    <row r="706">
      <c r="A706" s="369"/>
      <c r="B706" s="369"/>
      <c r="C706" s="405"/>
      <c r="D706" s="369"/>
      <c r="E706" s="369"/>
      <c r="F706" s="372"/>
      <c r="G706" s="372"/>
      <c r="H706" s="372"/>
      <c r="I706" s="372"/>
      <c r="J706" s="372"/>
      <c r="K706" s="369"/>
      <c r="L706" s="369"/>
      <c r="M706" s="373"/>
      <c r="N706" s="369"/>
      <c r="O706" s="369"/>
      <c r="P706" s="374"/>
      <c r="Q706" s="372"/>
      <c r="R706" s="372"/>
      <c r="S706" s="372"/>
      <c r="T706" s="372"/>
      <c r="U706" s="372"/>
      <c r="V706" s="372"/>
      <c r="W706" s="372"/>
      <c r="X706" s="372"/>
      <c r="Y706" s="372"/>
      <c r="Z706" s="372"/>
      <c r="AA706" s="372"/>
      <c r="AB706" s="372"/>
      <c r="AC706" s="372"/>
      <c r="AD706" s="372"/>
      <c r="AE706" s="372"/>
      <c r="AF706" s="372"/>
      <c r="AG706" s="372"/>
      <c r="AH706" s="372"/>
      <c r="AI706" s="372"/>
      <c r="AJ706" s="372"/>
      <c r="AK706" s="372"/>
      <c r="AL706" s="372"/>
      <c r="AM706" s="372"/>
    </row>
    <row r="707">
      <c r="A707" s="369"/>
      <c r="B707" s="369"/>
      <c r="C707" s="405"/>
      <c r="D707" s="369"/>
      <c r="E707" s="369"/>
      <c r="F707" s="372"/>
      <c r="G707" s="372"/>
      <c r="H707" s="372"/>
      <c r="I707" s="372"/>
      <c r="J707" s="372"/>
      <c r="K707" s="369"/>
      <c r="L707" s="369"/>
      <c r="M707" s="373"/>
      <c r="N707" s="369"/>
      <c r="O707" s="369"/>
      <c r="P707" s="374"/>
      <c r="Q707" s="372"/>
      <c r="R707" s="372"/>
      <c r="S707" s="372"/>
      <c r="T707" s="372"/>
      <c r="U707" s="372"/>
      <c r="V707" s="372"/>
      <c r="W707" s="372"/>
      <c r="X707" s="372"/>
      <c r="Y707" s="372"/>
      <c r="Z707" s="372"/>
      <c r="AA707" s="372"/>
      <c r="AB707" s="372"/>
      <c r="AC707" s="372"/>
      <c r="AD707" s="372"/>
      <c r="AE707" s="372"/>
      <c r="AF707" s="372"/>
      <c r="AG707" s="372"/>
      <c r="AH707" s="372"/>
      <c r="AI707" s="372"/>
      <c r="AJ707" s="372"/>
      <c r="AK707" s="372"/>
      <c r="AL707" s="372"/>
      <c r="AM707" s="372"/>
    </row>
    <row r="708">
      <c r="A708" s="369"/>
      <c r="B708" s="369"/>
      <c r="C708" s="405"/>
      <c r="D708" s="369"/>
      <c r="E708" s="369"/>
      <c r="F708" s="372"/>
      <c r="G708" s="372"/>
      <c r="H708" s="372"/>
      <c r="I708" s="372"/>
      <c r="J708" s="372"/>
      <c r="K708" s="369"/>
      <c r="L708" s="369"/>
      <c r="M708" s="373"/>
      <c r="N708" s="369"/>
      <c r="O708" s="369"/>
      <c r="P708" s="374"/>
      <c r="Q708" s="372"/>
      <c r="R708" s="372"/>
      <c r="S708" s="372"/>
      <c r="T708" s="372"/>
      <c r="U708" s="372"/>
      <c r="V708" s="372"/>
      <c r="W708" s="372"/>
      <c r="X708" s="372"/>
      <c r="Y708" s="372"/>
      <c r="Z708" s="372"/>
      <c r="AA708" s="372"/>
      <c r="AB708" s="372"/>
      <c r="AC708" s="372"/>
      <c r="AD708" s="372"/>
      <c r="AE708" s="372"/>
      <c r="AF708" s="372"/>
      <c r="AG708" s="372"/>
      <c r="AH708" s="372"/>
      <c r="AI708" s="372"/>
      <c r="AJ708" s="372"/>
      <c r="AK708" s="372"/>
      <c r="AL708" s="372"/>
      <c r="AM708" s="372"/>
    </row>
    <row r="709">
      <c r="A709" s="369"/>
      <c r="B709" s="369"/>
      <c r="C709" s="405"/>
      <c r="D709" s="369"/>
      <c r="E709" s="369"/>
      <c r="F709" s="372"/>
      <c r="G709" s="372"/>
      <c r="H709" s="372"/>
      <c r="I709" s="372"/>
      <c r="J709" s="372"/>
      <c r="K709" s="369"/>
      <c r="L709" s="369"/>
      <c r="M709" s="373"/>
      <c r="N709" s="369"/>
      <c r="O709" s="369"/>
      <c r="P709" s="374"/>
      <c r="Q709" s="372"/>
      <c r="R709" s="372"/>
      <c r="S709" s="372"/>
      <c r="T709" s="372"/>
      <c r="U709" s="372"/>
      <c r="V709" s="372"/>
      <c r="W709" s="372"/>
      <c r="X709" s="372"/>
      <c r="Y709" s="372"/>
      <c r="Z709" s="372"/>
      <c r="AA709" s="372"/>
      <c r="AB709" s="372"/>
      <c r="AC709" s="372"/>
      <c r="AD709" s="372"/>
      <c r="AE709" s="372"/>
      <c r="AF709" s="372"/>
      <c r="AG709" s="372"/>
      <c r="AH709" s="372"/>
      <c r="AI709" s="372"/>
      <c r="AJ709" s="372"/>
      <c r="AK709" s="372"/>
      <c r="AL709" s="372"/>
      <c r="AM709" s="372"/>
    </row>
    <row r="710">
      <c r="A710" s="369"/>
      <c r="B710" s="369"/>
      <c r="C710" s="405"/>
      <c r="D710" s="369"/>
      <c r="E710" s="369"/>
      <c r="F710" s="372"/>
      <c r="G710" s="372"/>
      <c r="H710" s="372"/>
      <c r="I710" s="372"/>
      <c r="J710" s="372"/>
      <c r="K710" s="369"/>
      <c r="L710" s="369"/>
      <c r="M710" s="373"/>
      <c r="N710" s="369"/>
      <c r="O710" s="369"/>
      <c r="P710" s="374"/>
      <c r="Q710" s="372"/>
      <c r="R710" s="372"/>
      <c r="S710" s="372"/>
      <c r="T710" s="372"/>
      <c r="U710" s="372"/>
      <c r="V710" s="372"/>
      <c r="W710" s="372"/>
      <c r="X710" s="372"/>
      <c r="Y710" s="372"/>
      <c r="Z710" s="372"/>
      <c r="AA710" s="372"/>
      <c r="AB710" s="372"/>
      <c r="AC710" s="372"/>
      <c r="AD710" s="372"/>
      <c r="AE710" s="372"/>
      <c r="AF710" s="372"/>
      <c r="AG710" s="372"/>
      <c r="AH710" s="372"/>
      <c r="AI710" s="372"/>
      <c r="AJ710" s="372"/>
      <c r="AK710" s="372"/>
      <c r="AL710" s="372"/>
      <c r="AM710" s="372"/>
    </row>
    <row r="711">
      <c r="A711" s="369"/>
      <c r="B711" s="369"/>
      <c r="C711" s="405"/>
      <c r="D711" s="369"/>
      <c r="E711" s="369"/>
      <c r="F711" s="372"/>
      <c r="G711" s="372"/>
      <c r="H711" s="372"/>
      <c r="I711" s="372"/>
      <c r="J711" s="372"/>
      <c r="K711" s="369"/>
      <c r="L711" s="369"/>
      <c r="M711" s="373"/>
      <c r="N711" s="369"/>
      <c r="O711" s="369"/>
      <c r="P711" s="374"/>
      <c r="Q711" s="372"/>
      <c r="R711" s="372"/>
      <c r="S711" s="372"/>
      <c r="T711" s="372"/>
      <c r="U711" s="372"/>
      <c r="V711" s="372"/>
      <c r="W711" s="372"/>
      <c r="X711" s="372"/>
      <c r="Y711" s="372"/>
      <c r="Z711" s="372"/>
      <c r="AA711" s="372"/>
      <c r="AB711" s="372"/>
      <c r="AC711" s="372"/>
      <c r="AD711" s="372"/>
      <c r="AE711" s="372"/>
      <c r="AF711" s="372"/>
      <c r="AG711" s="372"/>
      <c r="AH711" s="372"/>
      <c r="AI711" s="372"/>
      <c r="AJ711" s="372"/>
      <c r="AK711" s="372"/>
      <c r="AL711" s="372"/>
      <c r="AM711" s="372"/>
    </row>
    <row r="712">
      <c r="A712" s="369"/>
      <c r="B712" s="369"/>
      <c r="C712" s="405"/>
      <c r="D712" s="369"/>
      <c r="E712" s="369"/>
      <c r="F712" s="372"/>
      <c r="G712" s="372"/>
      <c r="H712" s="372"/>
      <c r="I712" s="372"/>
      <c r="J712" s="372"/>
      <c r="K712" s="369"/>
      <c r="L712" s="369"/>
      <c r="M712" s="373"/>
      <c r="N712" s="369"/>
      <c r="O712" s="369"/>
      <c r="P712" s="374"/>
      <c r="Q712" s="372"/>
      <c r="R712" s="372"/>
      <c r="S712" s="372"/>
      <c r="T712" s="372"/>
      <c r="U712" s="372"/>
      <c r="V712" s="372"/>
      <c r="W712" s="372"/>
      <c r="X712" s="372"/>
      <c r="Y712" s="372"/>
      <c r="Z712" s="372"/>
      <c r="AA712" s="372"/>
      <c r="AB712" s="372"/>
      <c r="AC712" s="372"/>
      <c r="AD712" s="372"/>
      <c r="AE712" s="372"/>
      <c r="AF712" s="372"/>
      <c r="AG712" s="372"/>
      <c r="AH712" s="372"/>
      <c r="AI712" s="372"/>
      <c r="AJ712" s="372"/>
      <c r="AK712" s="372"/>
      <c r="AL712" s="372"/>
      <c r="AM712" s="372"/>
    </row>
    <row r="713">
      <c r="A713" s="369"/>
      <c r="B713" s="369"/>
      <c r="C713" s="405"/>
      <c r="D713" s="369"/>
      <c r="E713" s="369"/>
      <c r="F713" s="372"/>
      <c r="G713" s="372"/>
      <c r="H713" s="372"/>
      <c r="I713" s="372"/>
      <c r="J713" s="372"/>
      <c r="K713" s="369"/>
      <c r="L713" s="369"/>
      <c r="M713" s="373"/>
      <c r="N713" s="369"/>
      <c r="O713" s="369"/>
      <c r="P713" s="374"/>
      <c r="Q713" s="372"/>
      <c r="R713" s="372"/>
      <c r="S713" s="372"/>
      <c r="T713" s="372"/>
      <c r="U713" s="372"/>
      <c r="V713" s="372"/>
      <c r="W713" s="372"/>
      <c r="X713" s="372"/>
      <c r="Y713" s="372"/>
      <c r="Z713" s="372"/>
      <c r="AA713" s="372"/>
      <c r="AB713" s="372"/>
      <c r="AC713" s="372"/>
      <c r="AD713" s="372"/>
      <c r="AE713" s="372"/>
      <c r="AF713" s="372"/>
      <c r="AG713" s="372"/>
      <c r="AH713" s="372"/>
      <c r="AI713" s="372"/>
      <c r="AJ713" s="372"/>
      <c r="AK713" s="372"/>
      <c r="AL713" s="372"/>
      <c r="AM713" s="372"/>
    </row>
    <row r="714">
      <c r="A714" s="369"/>
      <c r="B714" s="369"/>
      <c r="C714" s="405"/>
      <c r="D714" s="369"/>
      <c r="E714" s="369"/>
      <c r="F714" s="372"/>
      <c r="G714" s="372"/>
      <c r="H714" s="372"/>
      <c r="I714" s="372"/>
      <c r="J714" s="372"/>
      <c r="K714" s="369"/>
      <c r="L714" s="369"/>
      <c r="M714" s="373"/>
      <c r="N714" s="369"/>
      <c r="O714" s="369"/>
      <c r="P714" s="374"/>
      <c r="Q714" s="372"/>
      <c r="R714" s="372"/>
      <c r="S714" s="372"/>
      <c r="T714" s="372"/>
      <c r="U714" s="372"/>
      <c r="V714" s="372"/>
      <c r="W714" s="372"/>
      <c r="X714" s="372"/>
      <c r="Y714" s="372"/>
      <c r="Z714" s="372"/>
      <c r="AA714" s="372"/>
      <c r="AB714" s="372"/>
      <c r="AC714" s="372"/>
      <c r="AD714" s="372"/>
      <c r="AE714" s="372"/>
      <c r="AF714" s="372"/>
      <c r="AG714" s="372"/>
      <c r="AH714" s="372"/>
      <c r="AI714" s="372"/>
      <c r="AJ714" s="372"/>
      <c r="AK714" s="372"/>
      <c r="AL714" s="372"/>
      <c r="AM714" s="372"/>
    </row>
    <row r="715">
      <c r="A715" s="369"/>
      <c r="B715" s="369"/>
      <c r="C715" s="405"/>
      <c r="D715" s="369"/>
      <c r="E715" s="369"/>
      <c r="F715" s="372"/>
      <c r="G715" s="372"/>
      <c r="H715" s="372"/>
      <c r="I715" s="372"/>
      <c r="J715" s="372"/>
      <c r="K715" s="369"/>
      <c r="L715" s="369"/>
      <c r="M715" s="373"/>
      <c r="N715" s="369"/>
      <c r="O715" s="369"/>
      <c r="P715" s="374"/>
      <c r="Q715" s="372"/>
      <c r="R715" s="372"/>
      <c r="S715" s="372"/>
      <c r="T715" s="372"/>
      <c r="U715" s="372"/>
      <c r="V715" s="372"/>
      <c r="W715" s="372"/>
      <c r="X715" s="372"/>
      <c r="Y715" s="372"/>
      <c r="Z715" s="372"/>
      <c r="AA715" s="372"/>
      <c r="AB715" s="372"/>
      <c r="AC715" s="372"/>
      <c r="AD715" s="372"/>
      <c r="AE715" s="372"/>
      <c r="AF715" s="372"/>
      <c r="AG715" s="372"/>
      <c r="AH715" s="372"/>
      <c r="AI715" s="372"/>
      <c r="AJ715" s="372"/>
      <c r="AK715" s="372"/>
      <c r="AL715" s="372"/>
      <c r="AM715" s="372"/>
    </row>
    <row r="716">
      <c r="A716" s="369"/>
      <c r="B716" s="369"/>
      <c r="C716" s="405"/>
      <c r="D716" s="369"/>
      <c r="E716" s="369"/>
      <c r="F716" s="372"/>
      <c r="G716" s="372"/>
      <c r="H716" s="372"/>
      <c r="I716" s="372"/>
      <c r="J716" s="372"/>
      <c r="K716" s="369"/>
      <c r="L716" s="369"/>
      <c r="M716" s="373"/>
      <c r="N716" s="369"/>
      <c r="O716" s="369"/>
      <c r="P716" s="374"/>
      <c r="Q716" s="372"/>
      <c r="R716" s="372"/>
      <c r="S716" s="372"/>
      <c r="T716" s="372"/>
      <c r="U716" s="372"/>
      <c r="V716" s="372"/>
      <c r="W716" s="372"/>
      <c r="X716" s="372"/>
      <c r="Y716" s="372"/>
      <c r="Z716" s="372"/>
      <c r="AA716" s="372"/>
      <c r="AB716" s="372"/>
      <c r="AC716" s="372"/>
      <c r="AD716" s="372"/>
      <c r="AE716" s="372"/>
      <c r="AF716" s="372"/>
      <c r="AG716" s="372"/>
      <c r="AH716" s="372"/>
      <c r="AI716" s="372"/>
      <c r="AJ716" s="372"/>
      <c r="AK716" s="372"/>
      <c r="AL716" s="372"/>
      <c r="AM716" s="372"/>
    </row>
    <row r="717">
      <c r="A717" s="369"/>
      <c r="B717" s="369"/>
      <c r="C717" s="405"/>
      <c r="D717" s="369"/>
      <c r="E717" s="369"/>
      <c r="F717" s="372"/>
      <c r="G717" s="372"/>
      <c r="H717" s="372"/>
      <c r="I717" s="372"/>
      <c r="J717" s="372"/>
      <c r="K717" s="369"/>
      <c r="L717" s="369"/>
      <c r="M717" s="373"/>
      <c r="N717" s="369"/>
      <c r="O717" s="369"/>
      <c r="P717" s="374"/>
      <c r="Q717" s="372"/>
      <c r="R717" s="372"/>
      <c r="S717" s="372"/>
      <c r="T717" s="372"/>
      <c r="U717" s="372"/>
      <c r="V717" s="372"/>
      <c r="W717" s="372"/>
      <c r="X717" s="372"/>
      <c r="Y717" s="372"/>
      <c r="Z717" s="372"/>
      <c r="AA717" s="372"/>
      <c r="AB717" s="372"/>
      <c r="AC717" s="372"/>
      <c r="AD717" s="372"/>
      <c r="AE717" s="372"/>
      <c r="AF717" s="372"/>
      <c r="AG717" s="372"/>
      <c r="AH717" s="372"/>
      <c r="AI717" s="372"/>
      <c r="AJ717" s="372"/>
      <c r="AK717" s="372"/>
      <c r="AL717" s="372"/>
      <c r="AM717" s="372"/>
    </row>
    <row r="718">
      <c r="A718" s="369"/>
      <c r="B718" s="369"/>
      <c r="C718" s="405"/>
      <c r="D718" s="369"/>
      <c r="E718" s="369"/>
      <c r="F718" s="372"/>
      <c r="G718" s="372"/>
      <c r="H718" s="372"/>
      <c r="I718" s="372"/>
      <c r="J718" s="372"/>
      <c r="K718" s="369"/>
      <c r="L718" s="369"/>
      <c r="M718" s="373"/>
      <c r="N718" s="369"/>
      <c r="O718" s="369"/>
      <c r="P718" s="374"/>
      <c r="Q718" s="372"/>
      <c r="R718" s="372"/>
      <c r="S718" s="372"/>
      <c r="T718" s="372"/>
      <c r="U718" s="372"/>
      <c r="V718" s="372"/>
      <c r="W718" s="372"/>
      <c r="X718" s="372"/>
      <c r="Y718" s="372"/>
      <c r="Z718" s="372"/>
      <c r="AA718" s="372"/>
      <c r="AB718" s="372"/>
      <c r="AC718" s="372"/>
      <c r="AD718" s="372"/>
      <c r="AE718" s="372"/>
      <c r="AF718" s="372"/>
      <c r="AG718" s="372"/>
      <c r="AH718" s="372"/>
      <c r="AI718" s="372"/>
      <c r="AJ718" s="372"/>
      <c r="AK718" s="372"/>
      <c r="AL718" s="372"/>
      <c r="AM718" s="372"/>
    </row>
    <row r="719">
      <c r="A719" s="369"/>
      <c r="B719" s="369"/>
      <c r="C719" s="405"/>
      <c r="D719" s="369"/>
      <c r="E719" s="369"/>
      <c r="F719" s="372"/>
      <c r="G719" s="372"/>
      <c r="H719" s="372"/>
      <c r="I719" s="372"/>
      <c r="J719" s="372"/>
      <c r="K719" s="369"/>
      <c r="L719" s="369"/>
      <c r="M719" s="373"/>
      <c r="N719" s="369"/>
      <c r="O719" s="369"/>
      <c r="P719" s="374"/>
      <c r="Q719" s="372"/>
      <c r="R719" s="372"/>
      <c r="S719" s="372"/>
      <c r="T719" s="372"/>
      <c r="U719" s="372"/>
      <c r="V719" s="372"/>
      <c r="W719" s="372"/>
      <c r="X719" s="372"/>
      <c r="Y719" s="372"/>
      <c r="Z719" s="372"/>
      <c r="AA719" s="372"/>
      <c r="AB719" s="372"/>
      <c r="AC719" s="372"/>
      <c r="AD719" s="372"/>
      <c r="AE719" s="372"/>
      <c r="AF719" s="372"/>
      <c r="AG719" s="372"/>
      <c r="AH719" s="372"/>
      <c r="AI719" s="372"/>
      <c r="AJ719" s="372"/>
      <c r="AK719" s="372"/>
      <c r="AL719" s="372"/>
      <c r="AM719" s="372"/>
    </row>
    <row r="720">
      <c r="A720" s="369"/>
      <c r="B720" s="369"/>
      <c r="C720" s="405"/>
      <c r="D720" s="369"/>
      <c r="E720" s="369"/>
      <c r="F720" s="372"/>
      <c r="G720" s="372"/>
      <c r="H720" s="372"/>
      <c r="I720" s="372"/>
      <c r="J720" s="372"/>
      <c r="K720" s="369"/>
      <c r="L720" s="369"/>
      <c r="M720" s="373"/>
      <c r="N720" s="369"/>
      <c r="O720" s="369"/>
      <c r="P720" s="374"/>
      <c r="Q720" s="372"/>
      <c r="R720" s="372"/>
      <c r="S720" s="372"/>
      <c r="T720" s="372"/>
      <c r="U720" s="372"/>
      <c r="V720" s="372"/>
      <c r="W720" s="372"/>
      <c r="X720" s="372"/>
      <c r="Y720" s="372"/>
      <c r="Z720" s="372"/>
      <c r="AA720" s="372"/>
      <c r="AB720" s="372"/>
      <c r="AC720" s="372"/>
      <c r="AD720" s="372"/>
      <c r="AE720" s="372"/>
      <c r="AF720" s="372"/>
      <c r="AG720" s="372"/>
      <c r="AH720" s="372"/>
      <c r="AI720" s="372"/>
      <c r="AJ720" s="372"/>
      <c r="AK720" s="372"/>
      <c r="AL720" s="372"/>
      <c r="AM720" s="372"/>
    </row>
    <row r="721">
      <c r="A721" s="369"/>
      <c r="B721" s="369"/>
      <c r="C721" s="405"/>
      <c r="D721" s="369"/>
      <c r="E721" s="369"/>
      <c r="F721" s="372"/>
      <c r="G721" s="372"/>
      <c r="H721" s="372"/>
      <c r="I721" s="372"/>
      <c r="J721" s="372"/>
      <c r="K721" s="369"/>
      <c r="L721" s="369"/>
      <c r="M721" s="373"/>
      <c r="N721" s="369"/>
      <c r="O721" s="369"/>
      <c r="P721" s="374"/>
      <c r="Q721" s="372"/>
      <c r="R721" s="372"/>
      <c r="S721" s="372"/>
      <c r="T721" s="372"/>
      <c r="U721" s="372"/>
      <c r="V721" s="372"/>
      <c r="W721" s="372"/>
      <c r="X721" s="372"/>
      <c r="Y721" s="372"/>
      <c r="Z721" s="372"/>
      <c r="AA721" s="372"/>
      <c r="AB721" s="372"/>
      <c r="AC721" s="372"/>
      <c r="AD721" s="372"/>
      <c r="AE721" s="372"/>
      <c r="AF721" s="372"/>
      <c r="AG721" s="372"/>
      <c r="AH721" s="372"/>
      <c r="AI721" s="372"/>
      <c r="AJ721" s="372"/>
      <c r="AK721" s="372"/>
      <c r="AL721" s="372"/>
      <c r="AM721" s="372"/>
    </row>
    <row r="722">
      <c r="A722" s="369"/>
      <c r="B722" s="369"/>
      <c r="C722" s="405"/>
      <c r="D722" s="369"/>
      <c r="E722" s="369"/>
      <c r="F722" s="372"/>
      <c r="G722" s="372"/>
      <c r="H722" s="372"/>
      <c r="I722" s="372"/>
      <c r="J722" s="372"/>
      <c r="K722" s="369"/>
      <c r="L722" s="369"/>
      <c r="M722" s="373"/>
      <c r="N722" s="369"/>
      <c r="O722" s="369"/>
      <c r="P722" s="374"/>
      <c r="Q722" s="372"/>
      <c r="R722" s="372"/>
      <c r="S722" s="372"/>
      <c r="T722" s="372"/>
      <c r="U722" s="372"/>
      <c r="V722" s="372"/>
      <c r="W722" s="372"/>
      <c r="X722" s="372"/>
      <c r="Y722" s="372"/>
      <c r="Z722" s="372"/>
      <c r="AA722" s="372"/>
      <c r="AB722" s="372"/>
      <c r="AC722" s="372"/>
      <c r="AD722" s="372"/>
      <c r="AE722" s="372"/>
      <c r="AF722" s="372"/>
      <c r="AG722" s="372"/>
      <c r="AH722" s="372"/>
      <c r="AI722" s="372"/>
      <c r="AJ722" s="372"/>
      <c r="AK722" s="372"/>
      <c r="AL722" s="372"/>
      <c r="AM722" s="372"/>
    </row>
    <row r="723">
      <c r="A723" s="369"/>
      <c r="B723" s="369"/>
      <c r="C723" s="405"/>
      <c r="D723" s="369"/>
      <c r="E723" s="369"/>
      <c r="F723" s="372"/>
      <c r="G723" s="372"/>
      <c r="H723" s="372"/>
      <c r="I723" s="372"/>
      <c r="J723" s="372"/>
      <c r="K723" s="369"/>
      <c r="L723" s="369"/>
      <c r="M723" s="373"/>
      <c r="N723" s="369"/>
      <c r="O723" s="369"/>
      <c r="P723" s="374"/>
      <c r="Q723" s="372"/>
      <c r="R723" s="372"/>
      <c r="S723" s="372"/>
      <c r="T723" s="372"/>
      <c r="U723" s="372"/>
      <c r="V723" s="372"/>
      <c r="W723" s="372"/>
      <c r="X723" s="372"/>
      <c r="Y723" s="372"/>
      <c r="Z723" s="372"/>
      <c r="AA723" s="372"/>
      <c r="AB723" s="372"/>
      <c r="AC723" s="372"/>
      <c r="AD723" s="372"/>
      <c r="AE723" s="372"/>
      <c r="AF723" s="372"/>
      <c r="AG723" s="372"/>
      <c r="AH723" s="372"/>
      <c r="AI723" s="372"/>
      <c r="AJ723" s="372"/>
      <c r="AK723" s="372"/>
      <c r="AL723" s="372"/>
      <c r="AM723" s="372"/>
    </row>
    <row r="724">
      <c r="A724" s="369"/>
      <c r="B724" s="369"/>
      <c r="C724" s="405"/>
      <c r="D724" s="369"/>
      <c r="E724" s="369"/>
      <c r="F724" s="372"/>
      <c r="G724" s="372"/>
      <c r="H724" s="372"/>
      <c r="I724" s="372"/>
      <c r="J724" s="372"/>
      <c r="K724" s="369"/>
      <c r="L724" s="369"/>
      <c r="M724" s="373"/>
      <c r="N724" s="369"/>
      <c r="O724" s="369"/>
      <c r="P724" s="374"/>
      <c r="Q724" s="372"/>
      <c r="R724" s="372"/>
      <c r="S724" s="372"/>
      <c r="T724" s="372"/>
      <c r="U724" s="372"/>
      <c r="V724" s="372"/>
      <c r="W724" s="372"/>
      <c r="X724" s="372"/>
      <c r="Y724" s="372"/>
      <c r="Z724" s="372"/>
      <c r="AA724" s="372"/>
      <c r="AB724" s="372"/>
      <c r="AC724" s="372"/>
      <c r="AD724" s="372"/>
      <c r="AE724" s="372"/>
      <c r="AF724" s="372"/>
      <c r="AG724" s="372"/>
      <c r="AH724" s="372"/>
      <c r="AI724" s="372"/>
      <c r="AJ724" s="372"/>
      <c r="AK724" s="372"/>
      <c r="AL724" s="372"/>
      <c r="AM724" s="372"/>
    </row>
    <row r="725">
      <c r="A725" s="369"/>
      <c r="B725" s="369"/>
      <c r="C725" s="405"/>
      <c r="D725" s="369"/>
      <c r="E725" s="369"/>
      <c r="F725" s="372"/>
      <c r="G725" s="372"/>
      <c r="H725" s="372"/>
      <c r="I725" s="372"/>
      <c r="J725" s="372"/>
      <c r="K725" s="369"/>
      <c r="L725" s="369"/>
      <c r="M725" s="373"/>
      <c r="N725" s="369"/>
      <c r="O725" s="369"/>
      <c r="P725" s="374"/>
      <c r="Q725" s="372"/>
      <c r="R725" s="372"/>
      <c r="S725" s="372"/>
      <c r="T725" s="372"/>
      <c r="U725" s="372"/>
      <c r="V725" s="372"/>
      <c r="W725" s="372"/>
      <c r="X725" s="372"/>
      <c r="Y725" s="372"/>
      <c r="Z725" s="372"/>
      <c r="AA725" s="372"/>
      <c r="AB725" s="372"/>
      <c r="AC725" s="372"/>
      <c r="AD725" s="372"/>
      <c r="AE725" s="372"/>
      <c r="AF725" s="372"/>
      <c r="AG725" s="372"/>
      <c r="AH725" s="372"/>
      <c r="AI725" s="372"/>
      <c r="AJ725" s="372"/>
      <c r="AK725" s="372"/>
      <c r="AL725" s="372"/>
      <c r="AM725" s="372"/>
    </row>
    <row r="726">
      <c r="A726" s="369"/>
      <c r="B726" s="369"/>
      <c r="C726" s="405"/>
      <c r="D726" s="369"/>
      <c r="E726" s="369"/>
      <c r="F726" s="372"/>
      <c r="G726" s="372"/>
      <c r="H726" s="372"/>
      <c r="I726" s="372"/>
      <c r="J726" s="372"/>
      <c r="K726" s="369"/>
      <c r="L726" s="369"/>
      <c r="M726" s="373"/>
      <c r="N726" s="369"/>
      <c r="O726" s="369"/>
      <c r="P726" s="374"/>
      <c r="Q726" s="372"/>
      <c r="R726" s="372"/>
      <c r="S726" s="372"/>
      <c r="T726" s="372"/>
      <c r="U726" s="372"/>
      <c r="V726" s="372"/>
      <c r="W726" s="372"/>
      <c r="X726" s="372"/>
      <c r="Y726" s="372"/>
      <c r="Z726" s="372"/>
      <c r="AA726" s="372"/>
      <c r="AB726" s="372"/>
      <c r="AC726" s="372"/>
      <c r="AD726" s="372"/>
      <c r="AE726" s="372"/>
      <c r="AF726" s="372"/>
      <c r="AG726" s="372"/>
      <c r="AH726" s="372"/>
      <c r="AI726" s="372"/>
      <c r="AJ726" s="372"/>
      <c r="AK726" s="372"/>
      <c r="AL726" s="372"/>
      <c r="AM726" s="372"/>
    </row>
    <row r="727">
      <c r="A727" s="369"/>
      <c r="B727" s="369"/>
      <c r="C727" s="405"/>
      <c r="D727" s="369"/>
      <c r="E727" s="369"/>
      <c r="F727" s="372"/>
      <c r="G727" s="372"/>
      <c r="H727" s="372"/>
      <c r="I727" s="372"/>
      <c r="J727" s="372"/>
      <c r="K727" s="369"/>
      <c r="L727" s="369"/>
      <c r="M727" s="373"/>
      <c r="N727" s="369"/>
      <c r="O727" s="369"/>
      <c r="P727" s="374"/>
      <c r="Q727" s="372"/>
      <c r="R727" s="372"/>
      <c r="S727" s="372"/>
      <c r="T727" s="372"/>
      <c r="U727" s="372"/>
      <c r="V727" s="372"/>
      <c r="W727" s="372"/>
      <c r="X727" s="372"/>
      <c r="Y727" s="372"/>
      <c r="Z727" s="372"/>
      <c r="AA727" s="372"/>
      <c r="AB727" s="372"/>
      <c r="AC727" s="372"/>
      <c r="AD727" s="372"/>
      <c r="AE727" s="372"/>
      <c r="AF727" s="372"/>
      <c r="AG727" s="372"/>
      <c r="AH727" s="372"/>
      <c r="AI727" s="372"/>
      <c r="AJ727" s="372"/>
      <c r="AK727" s="372"/>
      <c r="AL727" s="372"/>
      <c r="AM727" s="372"/>
    </row>
    <row r="728">
      <c r="A728" s="369"/>
      <c r="B728" s="369"/>
      <c r="C728" s="405"/>
      <c r="D728" s="369"/>
      <c r="E728" s="369"/>
      <c r="F728" s="372"/>
      <c r="G728" s="372"/>
      <c r="H728" s="372"/>
      <c r="I728" s="372"/>
      <c r="J728" s="372"/>
      <c r="K728" s="369"/>
      <c r="L728" s="369"/>
      <c r="M728" s="373"/>
      <c r="N728" s="369"/>
      <c r="O728" s="369"/>
      <c r="P728" s="374"/>
      <c r="Q728" s="372"/>
      <c r="R728" s="372"/>
      <c r="S728" s="372"/>
      <c r="T728" s="372"/>
      <c r="U728" s="372"/>
      <c r="V728" s="372"/>
      <c r="W728" s="372"/>
      <c r="X728" s="372"/>
      <c r="Y728" s="372"/>
      <c r="Z728" s="372"/>
      <c r="AA728" s="372"/>
      <c r="AB728" s="372"/>
      <c r="AC728" s="372"/>
      <c r="AD728" s="372"/>
      <c r="AE728" s="372"/>
      <c r="AF728" s="372"/>
      <c r="AG728" s="372"/>
      <c r="AH728" s="372"/>
      <c r="AI728" s="372"/>
      <c r="AJ728" s="372"/>
      <c r="AK728" s="372"/>
      <c r="AL728" s="372"/>
      <c r="AM728" s="372"/>
    </row>
    <row r="729">
      <c r="A729" s="369"/>
      <c r="B729" s="369"/>
      <c r="C729" s="405"/>
      <c r="D729" s="369"/>
      <c r="E729" s="369"/>
      <c r="F729" s="372"/>
      <c r="G729" s="372"/>
      <c r="H729" s="372"/>
      <c r="I729" s="372"/>
      <c r="J729" s="372"/>
      <c r="K729" s="369"/>
      <c r="L729" s="369"/>
      <c r="M729" s="373"/>
      <c r="N729" s="369"/>
      <c r="O729" s="369"/>
      <c r="P729" s="374"/>
      <c r="Q729" s="372"/>
      <c r="R729" s="372"/>
      <c r="S729" s="372"/>
      <c r="T729" s="372"/>
      <c r="U729" s="372"/>
      <c r="V729" s="372"/>
      <c r="W729" s="372"/>
      <c r="X729" s="372"/>
      <c r="Y729" s="372"/>
      <c r="Z729" s="372"/>
      <c r="AA729" s="372"/>
      <c r="AB729" s="372"/>
      <c r="AC729" s="372"/>
      <c r="AD729" s="372"/>
      <c r="AE729" s="372"/>
      <c r="AF729" s="372"/>
      <c r="AG729" s="372"/>
      <c r="AH729" s="372"/>
      <c r="AI729" s="372"/>
      <c r="AJ729" s="372"/>
      <c r="AK729" s="372"/>
      <c r="AL729" s="372"/>
      <c r="AM729" s="372"/>
    </row>
    <row r="730">
      <c r="A730" s="369"/>
      <c r="B730" s="369"/>
      <c r="C730" s="405"/>
      <c r="D730" s="369"/>
      <c r="E730" s="369"/>
      <c r="F730" s="372"/>
      <c r="G730" s="372"/>
      <c r="H730" s="372"/>
      <c r="I730" s="372"/>
      <c r="J730" s="372"/>
      <c r="K730" s="369"/>
      <c r="L730" s="369"/>
      <c r="M730" s="373"/>
      <c r="N730" s="369"/>
      <c r="O730" s="369"/>
      <c r="P730" s="374"/>
      <c r="Q730" s="372"/>
      <c r="R730" s="372"/>
      <c r="S730" s="372"/>
      <c r="T730" s="372"/>
      <c r="U730" s="372"/>
      <c r="V730" s="372"/>
      <c r="W730" s="372"/>
      <c r="X730" s="372"/>
      <c r="Y730" s="372"/>
      <c r="Z730" s="372"/>
      <c r="AA730" s="372"/>
      <c r="AB730" s="372"/>
      <c r="AC730" s="372"/>
      <c r="AD730" s="372"/>
      <c r="AE730" s="372"/>
      <c r="AF730" s="372"/>
      <c r="AG730" s="372"/>
      <c r="AH730" s="372"/>
      <c r="AI730" s="372"/>
      <c r="AJ730" s="372"/>
      <c r="AK730" s="372"/>
      <c r="AL730" s="372"/>
      <c r="AM730" s="372"/>
    </row>
    <row r="731">
      <c r="A731" s="369"/>
      <c r="B731" s="369"/>
      <c r="C731" s="405"/>
      <c r="D731" s="369"/>
      <c r="E731" s="369"/>
      <c r="F731" s="372"/>
      <c r="G731" s="372"/>
      <c r="H731" s="372"/>
      <c r="I731" s="372"/>
      <c r="J731" s="372"/>
      <c r="K731" s="369"/>
      <c r="L731" s="369"/>
      <c r="M731" s="373"/>
      <c r="N731" s="369"/>
      <c r="O731" s="369"/>
      <c r="P731" s="374"/>
      <c r="Q731" s="372"/>
      <c r="R731" s="372"/>
      <c r="S731" s="372"/>
      <c r="T731" s="372"/>
      <c r="U731" s="372"/>
      <c r="V731" s="372"/>
      <c r="W731" s="372"/>
      <c r="X731" s="372"/>
      <c r="Y731" s="372"/>
      <c r="Z731" s="372"/>
      <c r="AA731" s="372"/>
      <c r="AB731" s="372"/>
      <c r="AC731" s="372"/>
      <c r="AD731" s="372"/>
      <c r="AE731" s="372"/>
      <c r="AF731" s="372"/>
      <c r="AG731" s="372"/>
      <c r="AH731" s="372"/>
      <c r="AI731" s="372"/>
      <c r="AJ731" s="372"/>
      <c r="AK731" s="372"/>
      <c r="AL731" s="372"/>
      <c r="AM731" s="372"/>
    </row>
    <row r="732">
      <c r="A732" s="369"/>
      <c r="B732" s="369"/>
      <c r="C732" s="405"/>
      <c r="D732" s="369"/>
      <c r="E732" s="369"/>
      <c r="F732" s="372"/>
      <c r="G732" s="372"/>
      <c r="H732" s="372"/>
      <c r="I732" s="372"/>
      <c r="J732" s="372"/>
      <c r="K732" s="369"/>
      <c r="L732" s="369"/>
      <c r="M732" s="373"/>
      <c r="N732" s="369"/>
      <c r="O732" s="369"/>
      <c r="P732" s="374"/>
      <c r="Q732" s="372"/>
      <c r="R732" s="372"/>
      <c r="S732" s="372"/>
      <c r="T732" s="372"/>
      <c r="U732" s="372"/>
      <c r="V732" s="372"/>
      <c r="W732" s="372"/>
      <c r="X732" s="372"/>
      <c r="Y732" s="372"/>
      <c r="Z732" s="372"/>
      <c r="AA732" s="372"/>
      <c r="AB732" s="372"/>
      <c r="AC732" s="372"/>
      <c r="AD732" s="372"/>
      <c r="AE732" s="372"/>
      <c r="AF732" s="372"/>
      <c r="AG732" s="372"/>
      <c r="AH732" s="372"/>
      <c r="AI732" s="372"/>
      <c r="AJ732" s="372"/>
      <c r="AK732" s="372"/>
      <c r="AL732" s="372"/>
      <c r="AM732" s="372"/>
    </row>
    <row r="733">
      <c r="A733" s="369"/>
      <c r="B733" s="369"/>
      <c r="C733" s="405"/>
      <c r="D733" s="369"/>
      <c r="E733" s="369"/>
      <c r="F733" s="372"/>
      <c r="G733" s="372"/>
      <c r="H733" s="372"/>
      <c r="I733" s="372"/>
      <c r="J733" s="372"/>
      <c r="K733" s="369"/>
      <c r="L733" s="369"/>
      <c r="M733" s="373"/>
      <c r="N733" s="369"/>
      <c r="O733" s="369"/>
      <c r="P733" s="374"/>
      <c r="Q733" s="372"/>
      <c r="R733" s="372"/>
      <c r="S733" s="372"/>
      <c r="T733" s="372"/>
      <c r="U733" s="372"/>
      <c r="V733" s="372"/>
      <c r="W733" s="372"/>
      <c r="X733" s="372"/>
      <c r="Y733" s="372"/>
      <c r="Z733" s="372"/>
      <c r="AA733" s="372"/>
      <c r="AB733" s="372"/>
      <c r="AC733" s="372"/>
      <c r="AD733" s="372"/>
      <c r="AE733" s="372"/>
      <c r="AF733" s="372"/>
      <c r="AG733" s="372"/>
      <c r="AH733" s="372"/>
      <c r="AI733" s="372"/>
      <c r="AJ733" s="372"/>
      <c r="AK733" s="372"/>
      <c r="AL733" s="372"/>
      <c r="AM733" s="372"/>
    </row>
    <row r="734">
      <c r="A734" s="369"/>
      <c r="B734" s="369"/>
      <c r="C734" s="405"/>
      <c r="D734" s="369"/>
      <c r="E734" s="369"/>
      <c r="F734" s="372"/>
      <c r="G734" s="372"/>
      <c r="H734" s="372"/>
      <c r="I734" s="372"/>
      <c r="J734" s="372"/>
      <c r="K734" s="369"/>
      <c r="L734" s="369"/>
      <c r="M734" s="373"/>
      <c r="N734" s="369"/>
      <c r="O734" s="369"/>
      <c r="P734" s="374"/>
      <c r="Q734" s="372"/>
      <c r="R734" s="372"/>
      <c r="S734" s="372"/>
      <c r="T734" s="372"/>
      <c r="U734" s="372"/>
      <c r="V734" s="372"/>
      <c r="W734" s="372"/>
      <c r="X734" s="372"/>
      <c r="Y734" s="372"/>
      <c r="Z734" s="372"/>
      <c r="AA734" s="372"/>
      <c r="AB734" s="372"/>
      <c r="AC734" s="372"/>
      <c r="AD734" s="372"/>
      <c r="AE734" s="372"/>
      <c r="AF734" s="372"/>
      <c r="AG734" s="372"/>
      <c r="AH734" s="372"/>
      <c r="AI734" s="372"/>
      <c r="AJ734" s="372"/>
      <c r="AK734" s="372"/>
      <c r="AL734" s="372"/>
      <c r="AM734" s="372"/>
    </row>
    <row r="735">
      <c r="A735" s="369"/>
      <c r="B735" s="369"/>
      <c r="C735" s="405"/>
      <c r="D735" s="369"/>
      <c r="E735" s="369"/>
      <c r="F735" s="372"/>
      <c r="G735" s="372"/>
      <c r="H735" s="372"/>
      <c r="I735" s="372"/>
      <c r="J735" s="372"/>
      <c r="K735" s="369"/>
      <c r="L735" s="369"/>
      <c r="M735" s="373"/>
      <c r="N735" s="369"/>
      <c r="O735" s="369"/>
      <c r="P735" s="374"/>
      <c r="Q735" s="372"/>
      <c r="R735" s="372"/>
      <c r="S735" s="372"/>
      <c r="T735" s="372"/>
      <c r="U735" s="372"/>
      <c r="V735" s="372"/>
      <c r="W735" s="372"/>
      <c r="X735" s="372"/>
      <c r="Y735" s="372"/>
      <c r="Z735" s="372"/>
      <c r="AA735" s="372"/>
      <c r="AB735" s="372"/>
      <c r="AC735" s="372"/>
      <c r="AD735" s="372"/>
      <c r="AE735" s="372"/>
      <c r="AF735" s="372"/>
      <c r="AG735" s="372"/>
      <c r="AH735" s="372"/>
      <c r="AI735" s="372"/>
      <c r="AJ735" s="372"/>
      <c r="AK735" s="372"/>
      <c r="AL735" s="372"/>
      <c r="AM735" s="372"/>
    </row>
    <row r="736">
      <c r="A736" s="369"/>
      <c r="B736" s="369"/>
      <c r="C736" s="405"/>
      <c r="D736" s="369"/>
      <c r="E736" s="369"/>
      <c r="F736" s="372"/>
      <c r="G736" s="372"/>
      <c r="H736" s="372"/>
      <c r="I736" s="372"/>
      <c r="J736" s="372"/>
      <c r="K736" s="369"/>
      <c r="L736" s="369"/>
      <c r="M736" s="373"/>
      <c r="N736" s="369"/>
      <c r="O736" s="369"/>
      <c r="P736" s="374"/>
      <c r="Q736" s="372"/>
      <c r="R736" s="372"/>
      <c r="S736" s="372"/>
      <c r="T736" s="372"/>
      <c r="U736" s="372"/>
      <c r="V736" s="372"/>
      <c r="W736" s="372"/>
      <c r="X736" s="372"/>
      <c r="Y736" s="372"/>
      <c r="Z736" s="372"/>
      <c r="AA736" s="372"/>
      <c r="AB736" s="372"/>
      <c r="AC736" s="372"/>
      <c r="AD736" s="372"/>
      <c r="AE736" s="372"/>
      <c r="AF736" s="372"/>
      <c r="AG736" s="372"/>
      <c r="AH736" s="372"/>
      <c r="AI736" s="372"/>
      <c r="AJ736" s="372"/>
      <c r="AK736" s="372"/>
      <c r="AL736" s="372"/>
      <c r="AM736" s="372"/>
    </row>
    <row r="737">
      <c r="A737" s="369"/>
      <c r="B737" s="369"/>
      <c r="C737" s="405"/>
      <c r="D737" s="369"/>
      <c r="E737" s="369"/>
      <c r="F737" s="372"/>
      <c r="G737" s="372"/>
      <c r="H737" s="372"/>
      <c r="I737" s="372"/>
      <c r="J737" s="372"/>
      <c r="K737" s="369"/>
      <c r="L737" s="369"/>
      <c r="M737" s="373"/>
      <c r="N737" s="369"/>
      <c r="O737" s="369"/>
      <c r="P737" s="374"/>
      <c r="Q737" s="372"/>
      <c r="R737" s="372"/>
      <c r="S737" s="372"/>
      <c r="T737" s="372"/>
      <c r="U737" s="372"/>
      <c r="V737" s="372"/>
      <c r="W737" s="372"/>
      <c r="X737" s="372"/>
      <c r="Y737" s="372"/>
      <c r="Z737" s="372"/>
      <c r="AA737" s="372"/>
      <c r="AB737" s="372"/>
      <c r="AC737" s="372"/>
      <c r="AD737" s="372"/>
      <c r="AE737" s="372"/>
      <c r="AF737" s="372"/>
      <c r="AG737" s="372"/>
      <c r="AH737" s="372"/>
      <c r="AI737" s="372"/>
      <c r="AJ737" s="372"/>
      <c r="AK737" s="372"/>
      <c r="AL737" s="372"/>
      <c r="AM737" s="372"/>
    </row>
    <row r="738">
      <c r="A738" s="369"/>
      <c r="B738" s="369"/>
      <c r="C738" s="405"/>
      <c r="D738" s="369"/>
      <c r="E738" s="369"/>
      <c r="F738" s="372"/>
      <c r="G738" s="372"/>
      <c r="H738" s="372"/>
      <c r="I738" s="372"/>
      <c r="J738" s="372"/>
      <c r="K738" s="369"/>
      <c r="L738" s="369"/>
      <c r="M738" s="373"/>
      <c r="N738" s="369"/>
      <c r="O738" s="369"/>
      <c r="P738" s="374"/>
      <c r="Q738" s="372"/>
      <c r="R738" s="372"/>
      <c r="S738" s="372"/>
      <c r="T738" s="372"/>
      <c r="U738" s="372"/>
      <c r="V738" s="372"/>
      <c r="W738" s="372"/>
      <c r="X738" s="372"/>
      <c r="Y738" s="372"/>
      <c r="Z738" s="372"/>
      <c r="AA738" s="372"/>
      <c r="AB738" s="372"/>
      <c r="AC738" s="372"/>
      <c r="AD738" s="372"/>
      <c r="AE738" s="372"/>
      <c r="AF738" s="372"/>
      <c r="AG738" s="372"/>
      <c r="AH738" s="372"/>
      <c r="AI738" s="372"/>
      <c r="AJ738" s="372"/>
      <c r="AK738" s="372"/>
      <c r="AL738" s="372"/>
      <c r="AM738" s="372"/>
    </row>
    <row r="739">
      <c r="A739" s="369"/>
      <c r="B739" s="369"/>
      <c r="C739" s="405"/>
      <c r="D739" s="369"/>
      <c r="E739" s="369"/>
      <c r="F739" s="372"/>
      <c r="G739" s="372"/>
      <c r="H739" s="372"/>
      <c r="I739" s="372"/>
      <c r="J739" s="372"/>
      <c r="K739" s="369"/>
      <c r="L739" s="369"/>
      <c r="M739" s="373"/>
      <c r="N739" s="369"/>
      <c r="O739" s="369"/>
      <c r="P739" s="374"/>
      <c r="Q739" s="372"/>
      <c r="R739" s="372"/>
      <c r="S739" s="372"/>
      <c r="T739" s="372"/>
      <c r="U739" s="372"/>
      <c r="V739" s="372"/>
      <c r="W739" s="372"/>
      <c r="X739" s="372"/>
      <c r="Y739" s="372"/>
      <c r="Z739" s="372"/>
      <c r="AA739" s="372"/>
      <c r="AB739" s="372"/>
      <c r="AC739" s="372"/>
      <c r="AD739" s="372"/>
      <c r="AE739" s="372"/>
      <c r="AF739" s="372"/>
      <c r="AG739" s="372"/>
      <c r="AH739" s="372"/>
      <c r="AI739" s="372"/>
      <c r="AJ739" s="372"/>
      <c r="AK739" s="372"/>
      <c r="AL739" s="372"/>
      <c r="AM739" s="372"/>
    </row>
    <row r="740">
      <c r="A740" s="369"/>
      <c r="B740" s="369"/>
      <c r="C740" s="405"/>
      <c r="D740" s="369"/>
      <c r="E740" s="369"/>
      <c r="F740" s="372"/>
      <c r="G740" s="372"/>
      <c r="H740" s="372"/>
      <c r="I740" s="372"/>
      <c r="J740" s="372"/>
      <c r="K740" s="369"/>
      <c r="L740" s="369"/>
      <c r="M740" s="373"/>
      <c r="N740" s="369"/>
      <c r="O740" s="369"/>
      <c r="P740" s="374"/>
      <c r="Q740" s="372"/>
      <c r="R740" s="372"/>
      <c r="S740" s="372"/>
      <c r="T740" s="372"/>
      <c r="U740" s="372"/>
      <c r="V740" s="372"/>
      <c r="W740" s="372"/>
      <c r="X740" s="372"/>
      <c r="Y740" s="372"/>
      <c r="Z740" s="372"/>
      <c r="AA740" s="372"/>
      <c r="AB740" s="372"/>
      <c r="AC740" s="372"/>
      <c r="AD740" s="372"/>
      <c r="AE740" s="372"/>
      <c r="AF740" s="372"/>
      <c r="AG740" s="372"/>
      <c r="AH740" s="372"/>
      <c r="AI740" s="372"/>
      <c r="AJ740" s="372"/>
      <c r="AK740" s="372"/>
      <c r="AL740" s="372"/>
      <c r="AM740" s="372"/>
    </row>
    <row r="741">
      <c r="A741" s="369"/>
      <c r="B741" s="369"/>
      <c r="C741" s="405"/>
      <c r="D741" s="369"/>
      <c r="E741" s="369"/>
      <c r="F741" s="372"/>
      <c r="G741" s="372"/>
      <c r="H741" s="372"/>
      <c r="I741" s="372"/>
      <c r="J741" s="372"/>
      <c r="K741" s="369"/>
      <c r="L741" s="369"/>
      <c r="M741" s="373"/>
      <c r="N741" s="369"/>
      <c r="O741" s="369"/>
      <c r="P741" s="374"/>
      <c r="Q741" s="372"/>
      <c r="R741" s="372"/>
      <c r="S741" s="372"/>
      <c r="T741" s="372"/>
      <c r="U741" s="372"/>
      <c r="V741" s="372"/>
      <c r="W741" s="372"/>
      <c r="X741" s="372"/>
      <c r="Y741" s="372"/>
      <c r="Z741" s="372"/>
      <c r="AA741" s="372"/>
      <c r="AB741" s="372"/>
      <c r="AC741" s="372"/>
      <c r="AD741" s="372"/>
      <c r="AE741" s="372"/>
      <c r="AF741" s="372"/>
      <c r="AG741" s="372"/>
      <c r="AH741" s="372"/>
      <c r="AI741" s="372"/>
      <c r="AJ741" s="372"/>
      <c r="AK741" s="372"/>
      <c r="AL741" s="372"/>
      <c r="AM741" s="372"/>
    </row>
    <row r="742">
      <c r="A742" s="369"/>
      <c r="B742" s="369"/>
      <c r="C742" s="405"/>
      <c r="D742" s="369"/>
      <c r="E742" s="369"/>
      <c r="F742" s="372"/>
      <c r="G742" s="372"/>
      <c r="H742" s="372"/>
      <c r="I742" s="372"/>
      <c r="J742" s="372"/>
      <c r="K742" s="369"/>
      <c r="L742" s="369"/>
      <c r="M742" s="373"/>
      <c r="N742" s="369"/>
      <c r="O742" s="369"/>
      <c r="P742" s="374"/>
      <c r="Q742" s="372"/>
      <c r="R742" s="372"/>
      <c r="S742" s="372"/>
      <c r="T742" s="372"/>
      <c r="U742" s="372"/>
      <c r="V742" s="372"/>
      <c r="W742" s="372"/>
      <c r="X742" s="372"/>
      <c r="Y742" s="372"/>
      <c r="Z742" s="372"/>
      <c r="AA742" s="372"/>
      <c r="AB742" s="372"/>
      <c r="AC742" s="372"/>
      <c r="AD742" s="372"/>
      <c r="AE742" s="372"/>
      <c r="AF742" s="372"/>
      <c r="AG742" s="372"/>
      <c r="AH742" s="372"/>
      <c r="AI742" s="372"/>
      <c r="AJ742" s="372"/>
      <c r="AK742" s="372"/>
      <c r="AL742" s="372"/>
      <c r="AM742" s="372"/>
    </row>
    <row r="743">
      <c r="A743" s="369"/>
      <c r="B743" s="369"/>
      <c r="C743" s="405"/>
      <c r="D743" s="369"/>
      <c r="E743" s="369"/>
      <c r="F743" s="372"/>
      <c r="G743" s="372"/>
      <c r="H743" s="372"/>
      <c r="I743" s="372"/>
      <c r="J743" s="372"/>
      <c r="K743" s="369"/>
      <c r="L743" s="369"/>
      <c r="M743" s="373"/>
      <c r="N743" s="369"/>
      <c r="O743" s="369"/>
      <c r="P743" s="374"/>
      <c r="Q743" s="372"/>
      <c r="R743" s="372"/>
      <c r="S743" s="372"/>
      <c r="T743" s="372"/>
      <c r="U743" s="372"/>
      <c r="V743" s="372"/>
      <c r="W743" s="372"/>
      <c r="X743" s="372"/>
      <c r="Y743" s="372"/>
      <c r="Z743" s="372"/>
      <c r="AA743" s="372"/>
      <c r="AB743" s="372"/>
      <c r="AC743" s="372"/>
      <c r="AD743" s="372"/>
      <c r="AE743" s="372"/>
      <c r="AF743" s="372"/>
      <c r="AG743" s="372"/>
      <c r="AH743" s="372"/>
      <c r="AI743" s="372"/>
      <c r="AJ743" s="372"/>
      <c r="AK743" s="372"/>
      <c r="AL743" s="372"/>
      <c r="AM743" s="372"/>
    </row>
    <row r="744">
      <c r="A744" s="369"/>
      <c r="B744" s="369"/>
      <c r="C744" s="405"/>
      <c r="D744" s="369"/>
      <c r="E744" s="369"/>
      <c r="F744" s="372"/>
      <c r="G744" s="372"/>
      <c r="H744" s="372"/>
      <c r="I744" s="372"/>
      <c r="J744" s="372"/>
      <c r="K744" s="369"/>
      <c r="L744" s="369"/>
      <c r="M744" s="373"/>
      <c r="N744" s="369"/>
      <c r="O744" s="369"/>
      <c r="P744" s="374"/>
      <c r="Q744" s="372"/>
      <c r="R744" s="372"/>
      <c r="S744" s="372"/>
      <c r="T744" s="372"/>
      <c r="U744" s="372"/>
      <c r="V744" s="372"/>
      <c r="W744" s="372"/>
      <c r="X744" s="372"/>
      <c r="Y744" s="372"/>
      <c r="Z744" s="372"/>
      <c r="AA744" s="372"/>
      <c r="AB744" s="372"/>
      <c r="AC744" s="372"/>
      <c r="AD744" s="372"/>
      <c r="AE744" s="372"/>
      <c r="AF744" s="372"/>
      <c r="AG744" s="372"/>
      <c r="AH744" s="372"/>
      <c r="AI744" s="372"/>
      <c r="AJ744" s="372"/>
      <c r="AK744" s="372"/>
      <c r="AL744" s="372"/>
      <c r="AM744" s="372"/>
    </row>
    <row r="745">
      <c r="A745" s="369"/>
      <c r="B745" s="369"/>
      <c r="C745" s="405"/>
      <c r="D745" s="369"/>
      <c r="E745" s="369"/>
      <c r="F745" s="372"/>
      <c r="G745" s="372"/>
      <c r="H745" s="372"/>
      <c r="I745" s="372"/>
      <c r="J745" s="372"/>
      <c r="K745" s="369"/>
      <c r="L745" s="369"/>
      <c r="M745" s="373"/>
      <c r="N745" s="369"/>
      <c r="O745" s="369"/>
      <c r="P745" s="374"/>
      <c r="Q745" s="372"/>
      <c r="R745" s="372"/>
      <c r="S745" s="372"/>
      <c r="T745" s="372"/>
      <c r="U745" s="372"/>
      <c r="V745" s="372"/>
      <c r="W745" s="372"/>
      <c r="X745" s="372"/>
      <c r="Y745" s="372"/>
      <c r="Z745" s="372"/>
      <c r="AA745" s="372"/>
      <c r="AB745" s="372"/>
      <c r="AC745" s="372"/>
      <c r="AD745" s="372"/>
      <c r="AE745" s="372"/>
      <c r="AF745" s="372"/>
      <c r="AG745" s="372"/>
      <c r="AH745" s="372"/>
      <c r="AI745" s="372"/>
      <c r="AJ745" s="372"/>
      <c r="AK745" s="372"/>
      <c r="AL745" s="372"/>
      <c r="AM745" s="372"/>
    </row>
    <row r="746">
      <c r="A746" s="369"/>
      <c r="B746" s="369"/>
      <c r="C746" s="405"/>
      <c r="D746" s="369"/>
      <c r="E746" s="369"/>
      <c r="F746" s="372"/>
      <c r="G746" s="372"/>
      <c r="H746" s="372"/>
      <c r="I746" s="372"/>
      <c r="J746" s="372"/>
      <c r="K746" s="369"/>
      <c r="L746" s="369"/>
      <c r="M746" s="373"/>
      <c r="N746" s="369"/>
      <c r="O746" s="369"/>
      <c r="P746" s="374"/>
      <c r="Q746" s="372"/>
      <c r="R746" s="372"/>
      <c r="S746" s="372"/>
      <c r="T746" s="372"/>
      <c r="U746" s="372"/>
      <c r="V746" s="372"/>
      <c r="W746" s="372"/>
      <c r="X746" s="372"/>
      <c r="Y746" s="372"/>
      <c r="Z746" s="372"/>
      <c r="AA746" s="372"/>
      <c r="AB746" s="372"/>
      <c r="AC746" s="372"/>
      <c r="AD746" s="372"/>
      <c r="AE746" s="372"/>
      <c r="AF746" s="372"/>
      <c r="AG746" s="372"/>
      <c r="AH746" s="372"/>
      <c r="AI746" s="372"/>
      <c r="AJ746" s="372"/>
      <c r="AK746" s="372"/>
      <c r="AL746" s="372"/>
      <c r="AM746" s="372"/>
    </row>
    <row r="747">
      <c r="A747" s="369"/>
      <c r="B747" s="369"/>
      <c r="C747" s="405"/>
      <c r="D747" s="369"/>
      <c r="E747" s="369"/>
      <c r="F747" s="372"/>
      <c r="G747" s="372"/>
      <c r="H747" s="372"/>
      <c r="I747" s="372"/>
      <c r="J747" s="372"/>
      <c r="K747" s="369"/>
      <c r="L747" s="369"/>
      <c r="M747" s="373"/>
      <c r="N747" s="369"/>
      <c r="O747" s="369"/>
      <c r="P747" s="374"/>
      <c r="Q747" s="372"/>
      <c r="R747" s="372"/>
      <c r="S747" s="372"/>
      <c r="T747" s="372"/>
      <c r="U747" s="372"/>
      <c r="V747" s="372"/>
      <c r="W747" s="372"/>
      <c r="X747" s="372"/>
      <c r="Y747" s="372"/>
      <c r="Z747" s="372"/>
      <c r="AA747" s="372"/>
      <c r="AB747" s="372"/>
      <c r="AC747" s="372"/>
      <c r="AD747" s="372"/>
      <c r="AE747" s="372"/>
      <c r="AF747" s="372"/>
      <c r="AG747" s="372"/>
      <c r="AH747" s="372"/>
      <c r="AI747" s="372"/>
      <c r="AJ747" s="372"/>
      <c r="AK747" s="372"/>
      <c r="AL747" s="372"/>
      <c r="AM747" s="372"/>
    </row>
    <row r="748">
      <c r="A748" s="369"/>
      <c r="B748" s="369"/>
      <c r="C748" s="405"/>
      <c r="D748" s="369"/>
      <c r="E748" s="369"/>
      <c r="F748" s="372"/>
      <c r="G748" s="372"/>
      <c r="H748" s="372"/>
      <c r="I748" s="372"/>
      <c r="J748" s="372"/>
      <c r="K748" s="369"/>
      <c r="L748" s="369"/>
      <c r="M748" s="373"/>
      <c r="N748" s="369"/>
      <c r="O748" s="369"/>
      <c r="P748" s="374"/>
      <c r="Q748" s="372"/>
      <c r="R748" s="372"/>
      <c r="S748" s="372"/>
      <c r="T748" s="372"/>
      <c r="U748" s="372"/>
      <c r="V748" s="372"/>
      <c r="W748" s="372"/>
      <c r="X748" s="372"/>
      <c r="Y748" s="372"/>
      <c r="Z748" s="372"/>
      <c r="AA748" s="372"/>
      <c r="AB748" s="372"/>
      <c r="AC748" s="372"/>
      <c r="AD748" s="372"/>
      <c r="AE748" s="372"/>
      <c r="AF748" s="372"/>
      <c r="AG748" s="372"/>
      <c r="AH748" s="372"/>
      <c r="AI748" s="372"/>
      <c r="AJ748" s="372"/>
      <c r="AK748" s="372"/>
      <c r="AL748" s="372"/>
      <c r="AM748" s="372"/>
    </row>
    <row r="749">
      <c r="A749" s="369"/>
      <c r="B749" s="369"/>
      <c r="C749" s="405"/>
      <c r="D749" s="369"/>
      <c r="E749" s="369"/>
      <c r="F749" s="372"/>
      <c r="G749" s="372"/>
      <c r="H749" s="372"/>
      <c r="I749" s="372"/>
      <c r="J749" s="372"/>
      <c r="K749" s="369"/>
      <c r="L749" s="369"/>
      <c r="M749" s="373"/>
      <c r="N749" s="369"/>
      <c r="O749" s="369"/>
      <c r="P749" s="374"/>
      <c r="Q749" s="372"/>
      <c r="R749" s="372"/>
      <c r="S749" s="372"/>
      <c r="T749" s="372"/>
      <c r="U749" s="372"/>
      <c r="V749" s="372"/>
      <c r="W749" s="372"/>
      <c r="X749" s="372"/>
      <c r="Y749" s="372"/>
      <c r="Z749" s="372"/>
      <c r="AA749" s="372"/>
      <c r="AB749" s="372"/>
      <c r="AC749" s="372"/>
      <c r="AD749" s="372"/>
      <c r="AE749" s="372"/>
      <c r="AF749" s="372"/>
      <c r="AG749" s="372"/>
      <c r="AH749" s="372"/>
      <c r="AI749" s="372"/>
      <c r="AJ749" s="372"/>
      <c r="AK749" s="372"/>
      <c r="AL749" s="372"/>
      <c r="AM749" s="372"/>
    </row>
    <row r="750">
      <c r="A750" s="369"/>
      <c r="B750" s="369"/>
      <c r="C750" s="405"/>
      <c r="D750" s="369"/>
      <c r="E750" s="369"/>
      <c r="F750" s="372"/>
      <c r="G750" s="372"/>
      <c r="H750" s="372"/>
      <c r="I750" s="372"/>
      <c r="J750" s="372"/>
      <c r="K750" s="369"/>
      <c r="L750" s="369"/>
      <c r="M750" s="373"/>
      <c r="N750" s="369"/>
      <c r="O750" s="369"/>
      <c r="P750" s="374"/>
      <c r="Q750" s="372"/>
      <c r="R750" s="372"/>
      <c r="S750" s="372"/>
      <c r="T750" s="372"/>
      <c r="U750" s="372"/>
      <c r="V750" s="372"/>
      <c r="W750" s="372"/>
      <c r="X750" s="372"/>
      <c r="Y750" s="372"/>
      <c r="Z750" s="372"/>
      <c r="AA750" s="372"/>
      <c r="AB750" s="372"/>
      <c r="AC750" s="372"/>
      <c r="AD750" s="372"/>
      <c r="AE750" s="372"/>
      <c r="AF750" s="372"/>
      <c r="AG750" s="372"/>
      <c r="AH750" s="372"/>
      <c r="AI750" s="372"/>
      <c r="AJ750" s="372"/>
      <c r="AK750" s="372"/>
      <c r="AL750" s="372"/>
      <c r="AM750" s="372"/>
    </row>
    <row r="751">
      <c r="A751" s="369"/>
      <c r="B751" s="369"/>
      <c r="C751" s="405"/>
      <c r="D751" s="369"/>
      <c r="E751" s="369"/>
      <c r="F751" s="372"/>
      <c r="G751" s="372"/>
      <c r="H751" s="372"/>
      <c r="I751" s="372"/>
      <c r="J751" s="372"/>
      <c r="K751" s="369"/>
      <c r="L751" s="369"/>
      <c r="M751" s="373"/>
      <c r="N751" s="369"/>
      <c r="O751" s="369"/>
      <c r="P751" s="374"/>
      <c r="Q751" s="372"/>
      <c r="R751" s="372"/>
      <c r="S751" s="372"/>
      <c r="T751" s="372"/>
      <c r="U751" s="372"/>
      <c r="V751" s="372"/>
      <c r="W751" s="372"/>
      <c r="X751" s="372"/>
      <c r="Y751" s="372"/>
      <c r="Z751" s="372"/>
      <c r="AA751" s="372"/>
      <c r="AB751" s="372"/>
      <c r="AC751" s="372"/>
      <c r="AD751" s="372"/>
      <c r="AE751" s="372"/>
      <c r="AF751" s="372"/>
      <c r="AG751" s="372"/>
      <c r="AH751" s="372"/>
      <c r="AI751" s="372"/>
      <c r="AJ751" s="372"/>
      <c r="AK751" s="372"/>
      <c r="AL751" s="372"/>
      <c r="AM751" s="372"/>
    </row>
    <row r="752">
      <c r="A752" s="369"/>
      <c r="B752" s="369"/>
      <c r="C752" s="405"/>
      <c r="D752" s="369"/>
      <c r="E752" s="369"/>
      <c r="F752" s="372"/>
      <c r="G752" s="372"/>
      <c r="H752" s="372"/>
      <c r="I752" s="372"/>
      <c r="J752" s="372"/>
      <c r="K752" s="369"/>
      <c r="L752" s="369"/>
      <c r="M752" s="373"/>
      <c r="N752" s="369"/>
      <c r="O752" s="369"/>
      <c r="P752" s="374"/>
      <c r="Q752" s="372"/>
      <c r="R752" s="372"/>
      <c r="S752" s="372"/>
      <c r="T752" s="372"/>
      <c r="U752" s="372"/>
      <c r="V752" s="372"/>
      <c r="W752" s="372"/>
      <c r="X752" s="372"/>
      <c r="Y752" s="372"/>
      <c r="Z752" s="372"/>
      <c r="AA752" s="372"/>
      <c r="AB752" s="372"/>
      <c r="AC752" s="372"/>
      <c r="AD752" s="372"/>
      <c r="AE752" s="372"/>
      <c r="AF752" s="372"/>
      <c r="AG752" s="372"/>
      <c r="AH752" s="372"/>
      <c r="AI752" s="372"/>
      <c r="AJ752" s="372"/>
      <c r="AK752" s="372"/>
      <c r="AL752" s="372"/>
      <c r="AM752" s="372"/>
    </row>
    <row r="753">
      <c r="A753" s="369"/>
      <c r="B753" s="369"/>
      <c r="C753" s="405"/>
      <c r="D753" s="369"/>
      <c r="E753" s="369"/>
      <c r="F753" s="372"/>
      <c r="G753" s="372"/>
      <c r="H753" s="372"/>
      <c r="I753" s="372"/>
      <c r="J753" s="372"/>
      <c r="K753" s="369"/>
      <c r="L753" s="369"/>
      <c r="M753" s="373"/>
      <c r="N753" s="369"/>
      <c r="O753" s="369"/>
      <c r="P753" s="374"/>
      <c r="Q753" s="372"/>
      <c r="R753" s="372"/>
      <c r="S753" s="372"/>
      <c r="T753" s="372"/>
      <c r="U753" s="372"/>
      <c r="V753" s="372"/>
      <c r="W753" s="372"/>
      <c r="X753" s="372"/>
      <c r="Y753" s="372"/>
      <c r="Z753" s="372"/>
      <c r="AA753" s="372"/>
      <c r="AB753" s="372"/>
      <c r="AC753" s="372"/>
      <c r="AD753" s="372"/>
      <c r="AE753" s="372"/>
      <c r="AF753" s="372"/>
      <c r="AG753" s="372"/>
      <c r="AH753" s="372"/>
      <c r="AI753" s="372"/>
      <c r="AJ753" s="372"/>
      <c r="AK753" s="372"/>
      <c r="AL753" s="372"/>
      <c r="AM753" s="372"/>
    </row>
    <row r="754">
      <c r="A754" s="369"/>
      <c r="B754" s="369"/>
      <c r="C754" s="405"/>
      <c r="D754" s="369"/>
      <c r="E754" s="369"/>
      <c r="F754" s="372"/>
      <c r="G754" s="372"/>
      <c r="H754" s="372"/>
      <c r="I754" s="372"/>
      <c r="J754" s="372"/>
      <c r="K754" s="369"/>
      <c r="L754" s="369"/>
      <c r="M754" s="373"/>
      <c r="N754" s="369"/>
      <c r="O754" s="369"/>
      <c r="P754" s="374"/>
      <c r="Q754" s="372"/>
      <c r="R754" s="372"/>
      <c r="S754" s="372"/>
      <c r="T754" s="372"/>
      <c r="U754" s="372"/>
      <c r="V754" s="372"/>
      <c r="W754" s="372"/>
      <c r="X754" s="372"/>
      <c r="Y754" s="372"/>
      <c r="Z754" s="372"/>
      <c r="AA754" s="372"/>
      <c r="AB754" s="372"/>
      <c r="AC754" s="372"/>
      <c r="AD754" s="372"/>
      <c r="AE754" s="372"/>
      <c r="AF754" s="372"/>
      <c r="AG754" s="372"/>
      <c r="AH754" s="372"/>
      <c r="AI754" s="372"/>
      <c r="AJ754" s="372"/>
      <c r="AK754" s="372"/>
      <c r="AL754" s="372"/>
      <c r="AM754" s="372"/>
    </row>
    <row r="755">
      <c r="A755" s="369"/>
      <c r="B755" s="369"/>
      <c r="C755" s="405"/>
      <c r="D755" s="369"/>
      <c r="E755" s="369"/>
      <c r="F755" s="372"/>
      <c r="G755" s="372"/>
      <c r="H755" s="372"/>
      <c r="I755" s="372"/>
      <c r="J755" s="372"/>
      <c r="K755" s="369"/>
      <c r="L755" s="369"/>
      <c r="M755" s="373"/>
      <c r="N755" s="369"/>
      <c r="O755" s="369"/>
      <c r="P755" s="374"/>
      <c r="Q755" s="372"/>
      <c r="R755" s="372"/>
      <c r="S755" s="372"/>
      <c r="T755" s="372"/>
      <c r="U755" s="372"/>
      <c r="V755" s="372"/>
      <c r="W755" s="372"/>
      <c r="X755" s="372"/>
      <c r="Y755" s="372"/>
      <c r="Z755" s="372"/>
      <c r="AA755" s="372"/>
      <c r="AB755" s="372"/>
      <c r="AC755" s="372"/>
      <c r="AD755" s="372"/>
      <c r="AE755" s="372"/>
      <c r="AF755" s="372"/>
      <c r="AG755" s="372"/>
      <c r="AH755" s="372"/>
      <c r="AI755" s="372"/>
      <c r="AJ755" s="372"/>
      <c r="AK755" s="372"/>
      <c r="AL755" s="372"/>
      <c r="AM755" s="372"/>
    </row>
    <row r="756">
      <c r="A756" s="369"/>
      <c r="B756" s="369"/>
      <c r="C756" s="405"/>
      <c r="D756" s="369"/>
      <c r="E756" s="369"/>
      <c r="F756" s="372"/>
      <c r="G756" s="372"/>
      <c r="H756" s="372"/>
      <c r="I756" s="372"/>
      <c r="J756" s="372"/>
      <c r="K756" s="369"/>
      <c r="L756" s="369"/>
      <c r="M756" s="373"/>
      <c r="N756" s="369"/>
      <c r="O756" s="369"/>
      <c r="P756" s="374"/>
      <c r="Q756" s="372"/>
      <c r="R756" s="372"/>
      <c r="S756" s="372"/>
      <c r="T756" s="372"/>
      <c r="U756" s="372"/>
      <c r="V756" s="372"/>
      <c r="W756" s="372"/>
      <c r="X756" s="372"/>
      <c r="Y756" s="372"/>
      <c r="Z756" s="372"/>
      <c r="AA756" s="372"/>
      <c r="AB756" s="372"/>
      <c r="AC756" s="372"/>
      <c r="AD756" s="372"/>
      <c r="AE756" s="372"/>
      <c r="AF756" s="372"/>
      <c r="AG756" s="372"/>
      <c r="AH756" s="372"/>
      <c r="AI756" s="372"/>
      <c r="AJ756" s="372"/>
      <c r="AK756" s="372"/>
      <c r="AL756" s="372"/>
      <c r="AM756" s="372"/>
    </row>
    <row r="757">
      <c r="A757" s="369"/>
      <c r="B757" s="369"/>
      <c r="C757" s="405"/>
      <c r="D757" s="369"/>
      <c r="E757" s="369"/>
      <c r="F757" s="372"/>
      <c r="G757" s="372"/>
      <c r="H757" s="372"/>
      <c r="I757" s="372"/>
      <c r="J757" s="372"/>
      <c r="K757" s="369"/>
      <c r="L757" s="369"/>
      <c r="M757" s="373"/>
      <c r="N757" s="369"/>
      <c r="O757" s="369"/>
      <c r="P757" s="374"/>
      <c r="Q757" s="372"/>
      <c r="R757" s="372"/>
      <c r="S757" s="372"/>
      <c r="T757" s="372"/>
      <c r="U757" s="372"/>
      <c r="V757" s="372"/>
      <c r="W757" s="372"/>
      <c r="X757" s="372"/>
      <c r="Y757" s="372"/>
      <c r="Z757" s="372"/>
      <c r="AA757" s="372"/>
      <c r="AB757" s="372"/>
      <c r="AC757" s="372"/>
      <c r="AD757" s="372"/>
      <c r="AE757" s="372"/>
      <c r="AF757" s="372"/>
      <c r="AG757" s="372"/>
      <c r="AH757" s="372"/>
      <c r="AI757" s="372"/>
      <c r="AJ757" s="372"/>
      <c r="AK757" s="372"/>
      <c r="AL757" s="372"/>
      <c r="AM757" s="372"/>
    </row>
    <row r="758">
      <c r="A758" s="369"/>
      <c r="B758" s="369"/>
      <c r="C758" s="405"/>
      <c r="D758" s="369"/>
      <c r="E758" s="369"/>
      <c r="F758" s="372"/>
      <c r="G758" s="372"/>
      <c r="H758" s="372"/>
      <c r="I758" s="372"/>
      <c r="J758" s="372"/>
      <c r="K758" s="369"/>
      <c r="L758" s="369"/>
      <c r="M758" s="373"/>
      <c r="N758" s="369"/>
      <c r="O758" s="369"/>
      <c r="P758" s="374"/>
      <c r="Q758" s="372"/>
      <c r="R758" s="372"/>
      <c r="S758" s="372"/>
      <c r="T758" s="372"/>
      <c r="U758" s="372"/>
      <c r="V758" s="372"/>
      <c r="W758" s="372"/>
      <c r="X758" s="372"/>
      <c r="Y758" s="372"/>
      <c r="Z758" s="372"/>
      <c r="AA758" s="372"/>
      <c r="AB758" s="372"/>
      <c r="AC758" s="372"/>
      <c r="AD758" s="372"/>
      <c r="AE758" s="372"/>
      <c r="AF758" s="372"/>
      <c r="AG758" s="372"/>
      <c r="AH758" s="372"/>
      <c r="AI758" s="372"/>
      <c r="AJ758" s="372"/>
      <c r="AK758" s="372"/>
      <c r="AL758" s="372"/>
      <c r="AM758" s="372"/>
    </row>
    <row r="759">
      <c r="A759" s="369"/>
      <c r="B759" s="369"/>
      <c r="C759" s="405"/>
      <c r="D759" s="369"/>
      <c r="E759" s="369"/>
      <c r="F759" s="372"/>
      <c r="G759" s="372"/>
      <c r="H759" s="372"/>
      <c r="I759" s="372"/>
      <c r="J759" s="372"/>
      <c r="K759" s="369"/>
      <c r="L759" s="369"/>
      <c r="M759" s="373"/>
      <c r="N759" s="369"/>
      <c r="O759" s="369"/>
      <c r="P759" s="374"/>
      <c r="Q759" s="372"/>
      <c r="R759" s="372"/>
      <c r="S759" s="372"/>
      <c r="T759" s="372"/>
      <c r="U759" s="372"/>
      <c r="V759" s="372"/>
      <c r="W759" s="372"/>
      <c r="X759" s="372"/>
      <c r="Y759" s="372"/>
      <c r="Z759" s="372"/>
      <c r="AA759" s="372"/>
      <c r="AB759" s="372"/>
      <c r="AC759" s="372"/>
      <c r="AD759" s="372"/>
      <c r="AE759" s="372"/>
      <c r="AF759" s="372"/>
      <c r="AG759" s="372"/>
      <c r="AH759" s="372"/>
      <c r="AI759" s="372"/>
      <c r="AJ759" s="372"/>
      <c r="AK759" s="372"/>
      <c r="AL759" s="372"/>
      <c r="AM759" s="372"/>
    </row>
    <row r="760">
      <c r="A760" s="369"/>
      <c r="B760" s="369"/>
      <c r="C760" s="405"/>
      <c r="D760" s="369"/>
      <c r="E760" s="369"/>
      <c r="F760" s="372"/>
      <c r="G760" s="372"/>
      <c r="H760" s="372"/>
      <c r="I760" s="372"/>
      <c r="J760" s="372"/>
      <c r="K760" s="369"/>
      <c r="L760" s="369"/>
      <c r="M760" s="373"/>
      <c r="N760" s="369"/>
      <c r="O760" s="369"/>
      <c r="P760" s="374"/>
      <c r="Q760" s="372"/>
      <c r="R760" s="372"/>
      <c r="S760" s="372"/>
      <c r="T760" s="372"/>
      <c r="U760" s="372"/>
      <c r="V760" s="372"/>
      <c r="W760" s="372"/>
      <c r="X760" s="372"/>
      <c r="Y760" s="372"/>
      <c r="Z760" s="372"/>
      <c r="AA760" s="372"/>
      <c r="AB760" s="372"/>
      <c r="AC760" s="372"/>
      <c r="AD760" s="372"/>
      <c r="AE760" s="372"/>
      <c r="AF760" s="372"/>
      <c r="AG760" s="372"/>
      <c r="AH760" s="372"/>
      <c r="AI760" s="372"/>
      <c r="AJ760" s="372"/>
      <c r="AK760" s="372"/>
      <c r="AL760" s="372"/>
      <c r="AM760" s="372"/>
    </row>
    <row r="761">
      <c r="A761" s="369"/>
      <c r="B761" s="369"/>
      <c r="C761" s="405"/>
      <c r="D761" s="369"/>
      <c r="E761" s="369"/>
      <c r="F761" s="372"/>
      <c r="G761" s="372"/>
      <c r="H761" s="372"/>
      <c r="I761" s="372"/>
      <c r="J761" s="372"/>
      <c r="K761" s="369"/>
      <c r="L761" s="369"/>
      <c r="M761" s="373"/>
      <c r="N761" s="369"/>
      <c r="O761" s="369"/>
      <c r="P761" s="374"/>
      <c r="Q761" s="372"/>
      <c r="R761" s="372"/>
      <c r="S761" s="372"/>
      <c r="T761" s="372"/>
      <c r="U761" s="372"/>
      <c r="V761" s="372"/>
      <c r="W761" s="372"/>
      <c r="X761" s="372"/>
      <c r="Y761" s="372"/>
      <c r="Z761" s="372"/>
      <c r="AA761" s="372"/>
      <c r="AB761" s="372"/>
      <c r="AC761" s="372"/>
      <c r="AD761" s="372"/>
      <c r="AE761" s="372"/>
      <c r="AF761" s="372"/>
      <c r="AG761" s="372"/>
      <c r="AH761" s="372"/>
      <c r="AI761" s="372"/>
      <c r="AJ761" s="372"/>
      <c r="AK761" s="372"/>
      <c r="AL761" s="372"/>
      <c r="AM761" s="372"/>
    </row>
    <row r="762">
      <c r="A762" s="369"/>
      <c r="B762" s="369"/>
      <c r="C762" s="405"/>
      <c r="D762" s="369"/>
      <c r="E762" s="369"/>
      <c r="F762" s="372"/>
      <c r="G762" s="372"/>
      <c r="H762" s="372"/>
      <c r="I762" s="372"/>
      <c r="J762" s="372"/>
      <c r="K762" s="369"/>
      <c r="L762" s="369"/>
      <c r="M762" s="373"/>
      <c r="N762" s="369"/>
      <c r="O762" s="369"/>
      <c r="P762" s="374"/>
      <c r="Q762" s="372"/>
      <c r="R762" s="372"/>
      <c r="S762" s="372"/>
      <c r="T762" s="372"/>
      <c r="U762" s="372"/>
      <c r="V762" s="372"/>
      <c r="W762" s="372"/>
      <c r="X762" s="372"/>
      <c r="Y762" s="372"/>
      <c r="Z762" s="372"/>
      <c r="AA762" s="372"/>
      <c r="AB762" s="372"/>
      <c r="AC762" s="372"/>
      <c r="AD762" s="372"/>
      <c r="AE762" s="372"/>
      <c r="AF762" s="372"/>
      <c r="AG762" s="372"/>
      <c r="AH762" s="372"/>
      <c r="AI762" s="372"/>
      <c r="AJ762" s="372"/>
      <c r="AK762" s="372"/>
      <c r="AL762" s="372"/>
      <c r="AM762" s="372"/>
    </row>
    <row r="763">
      <c r="A763" s="369"/>
      <c r="B763" s="369"/>
      <c r="C763" s="405"/>
      <c r="D763" s="369"/>
      <c r="E763" s="369"/>
      <c r="F763" s="372"/>
      <c r="G763" s="372"/>
      <c r="H763" s="372"/>
      <c r="I763" s="372"/>
      <c r="J763" s="372"/>
      <c r="K763" s="369"/>
      <c r="L763" s="369"/>
      <c r="M763" s="373"/>
      <c r="N763" s="369"/>
      <c r="O763" s="369"/>
      <c r="P763" s="374"/>
      <c r="Q763" s="372"/>
      <c r="R763" s="372"/>
      <c r="S763" s="372"/>
      <c r="T763" s="372"/>
      <c r="U763" s="372"/>
      <c r="V763" s="372"/>
      <c r="W763" s="372"/>
      <c r="X763" s="372"/>
      <c r="Y763" s="372"/>
      <c r="Z763" s="372"/>
      <c r="AA763" s="372"/>
      <c r="AB763" s="372"/>
      <c r="AC763" s="372"/>
      <c r="AD763" s="372"/>
      <c r="AE763" s="372"/>
      <c r="AF763" s="372"/>
      <c r="AG763" s="372"/>
      <c r="AH763" s="372"/>
      <c r="AI763" s="372"/>
      <c r="AJ763" s="372"/>
      <c r="AK763" s="372"/>
      <c r="AL763" s="372"/>
      <c r="AM763" s="372"/>
    </row>
    <row r="764">
      <c r="A764" s="369"/>
      <c r="B764" s="369"/>
      <c r="C764" s="405"/>
      <c r="D764" s="369"/>
      <c r="E764" s="369"/>
      <c r="F764" s="372"/>
      <c r="G764" s="372"/>
      <c r="H764" s="372"/>
      <c r="I764" s="372"/>
      <c r="J764" s="372"/>
      <c r="K764" s="369"/>
      <c r="L764" s="369"/>
      <c r="M764" s="373"/>
      <c r="N764" s="369"/>
      <c r="O764" s="369"/>
      <c r="P764" s="374"/>
      <c r="Q764" s="372"/>
      <c r="R764" s="372"/>
      <c r="S764" s="372"/>
      <c r="T764" s="372"/>
      <c r="U764" s="372"/>
      <c r="V764" s="372"/>
      <c r="W764" s="372"/>
      <c r="X764" s="372"/>
      <c r="Y764" s="372"/>
      <c r="Z764" s="372"/>
      <c r="AA764" s="372"/>
      <c r="AB764" s="372"/>
      <c r="AC764" s="372"/>
      <c r="AD764" s="372"/>
      <c r="AE764" s="372"/>
      <c r="AF764" s="372"/>
      <c r="AG764" s="372"/>
      <c r="AH764" s="372"/>
      <c r="AI764" s="372"/>
      <c r="AJ764" s="372"/>
      <c r="AK764" s="372"/>
      <c r="AL764" s="372"/>
      <c r="AM764" s="372"/>
    </row>
    <row r="765">
      <c r="A765" s="369"/>
      <c r="B765" s="369"/>
      <c r="C765" s="405"/>
      <c r="D765" s="369"/>
      <c r="E765" s="369"/>
      <c r="F765" s="372"/>
      <c r="G765" s="372"/>
      <c r="H765" s="372"/>
      <c r="I765" s="372"/>
      <c r="J765" s="372"/>
      <c r="K765" s="369"/>
      <c r="L765" s="369"/>
      <c r="M765" s="373"/>
      <c r="N765" s="369"/>
      <c r="O765" s="369"/>
      <c r="P765" s="374"/>
      <c r="Q765" s="372"/>
      <c r="R765" s="372"/>
      <c r="S765" s="372"/>
      <c r="T765" s="372"/>
      <c r="U765" s="372"/>
      <c r="V765" s="372"/>
      <c r="W765" s="372"/>
      <c r="X765" s="372"/>
      <c r="Y765" s="372"/>
      <c r="Z765" s="372"/>
      <c r="AA765" s="372"/>
      <c r="AB765" s="372"/>
      <c r="AC765" s="372"/>
      <c r="AD765" s="372"/>
      <c r="AE765" s="372"/>
      <c r="AF765" s="372"/>
      <c r="AG765" s="372"/>
      <c r="AH765" s="372"/>
      <c r="AI765" s="372"/>
      <c r="AJ765" s="372"/>
      <c r="AK765" s="372"/>
      <c r="AL765" s="372"/>
      <c r="AM765" s="372"/>
    </row>
    <row r="766">
      <c r="A766" s="369"/>
      <c r="B766" s="369"/>
      <c r="C766" s="405"/>
      <c r="D766" s="369"/>
      <c r="E766" s="369"/>
      <c r="F766" s="372"/>
      <c r="G766" s="372"/>
      <c r="H766" s="372"/>
      <c r="I766" s="372"/>
      <c r="J766" s="372"/>
      <c r="K766" s="369"/>
      <c r="L766" s="369"/>
      <c r="M766" s="373"/>
      <c r="N766" s="369"/>
      <c r="O766" s="369"/>
      <c r="P766" s="374"/>
      <c r="Q766" s="372"/>
      <c r="R766" s="372"/>
      <c r="S766" s="372"/>
      <c r="T766" s="372"/>
      <c r="U766" s="372"/>
      <c r="V766" s="372"/>
      <c r="W766" s="372"/>
      <c r="X766" s="372"/>
      <c r="Y766" s="372"/>
      <c r="Z766" s="372"/>
      <c r="AA766" s="372"/>
      <c r="AB766" s="372"/>
      <c r="AC766" s="372"/>
      <c r="AD766" s="372"/>
      <c r="AE766" s="372"/>
      <c r="AF766" s="372"/>
      <c r="AG766" s="372"/>
      <c r="AH766" s="372"/>
      <c r="AI766" s="372"/>
      <c r="AJ766" s="372"/>
      <c r="AK766" s="372"/>
      <c r="AL766" s="372"/>
      <c r="AM766" s="372"/>
    </row>
    <row r="767">
      <c r="A767" s="369"/>
      <c r="B767" s="369"/>
      <c r="C767" s="405"/>
      <c r="D767" s="369"/>
      <c r="E767" s="369"/>
      <c r="F767" s="372"/>
      <c r="G767" s="372"/>
      <c r="H767" s="372"/>
      <c r="I767" s="372"/>
      <c r="J767" s="372"/>
      <c r="K767" s="369"/>
      <c r="L767" s="369"/>
      <c r="M767" s="373"/>
      <c r="N767" s="369"/>
      <c r="O767" s="369"/>
      <c r="P767" s="374"/>
      <c r="Q767" s="372"/>
      <c r="R767" s="372"/>
      <c r="S767" s="372"/>
      <c r="T767" s="372"/>
      <c r="U767" s="372"/>
      <c r="V767" s="372"/>
      <c r="W767" s="372"/>
      <c r="X767" s="372"/>
      <c r="Y767" s="372"/>
      <c r="Z767" s="372"/>
      <c r="AA767" s="372"/>
      <c r="AB767" s="372"/>
      <c r="AC767" s="372"/>
      <c r="AD767" s="372"/>
      <c r="AE767" s="372"/>
      <c r="AF767" s="372"/>
      <c r="AG767" s="372"/>
      <c r="AH767" s="372"/>
      <c r="AI767" s="372"/>
      <c r="AJ767" s="372"/>
      <c r="AK767" s="372"/>
      <c r="AL767" s="372"/>
      <c r="AM767" s="372"/>
    </row>
    <row r="768">
      <c r="A768" s="369"/>
      <c r="B768" s="369"/>
      <c r="C768" s="405"/>
      <c r="D768" s="369"/>
      <c r="E768" s="369"/>
      <c r="F768" s="372"/>
      <c r="G768" s="372"/>
      <c r="H768" s="372"/>
      <c r="I768" s="372"/>
      <c r="J768" s="372"/>
      <c r="K768" s="369"/>
      <c r="L768" s="369"/>
      <c r="M768" s="373"/>
      <c r="N768" s="369"/>
      <c r="O768" s="369"/>
      <c r="P768" s="374"/>
      <c r="Q768" s="372"/>
      <c r="R768" s="372"/>
      <c r="S768" s="372"/>
      <c r="T768" s="372"/>
      <c r="U768" s="372"/>
      <c r="V768" s="372"/>
      <c r="W768" s="372"/>
      <c r="X768" s="372"/>
      <c r="Y768" s="372"/>
      <c r="Z768" s="372"/>
      <c r="AA768" s="372"/>
      <c r="AB768" s="372"/>
      <c r="AC768" s="372"/>
      <c r="AD768" s="372"/>
      <c r="AE768" s="372"/>
      <c r="AF768" s="372"/>
      <c r="AG768" s="372"/>
      <c r="AH768" s="372"/>
      <c r="AI768" s="372"/>
      <c r="AJ768" s="372"/>
      <c r="AK768" s="372"/>
      <c r="AL768" s="372"/>
      <c r="AM768" s="372"/>
    </row>
    <row r="769">
      <c r="A769" s="369"/>
      <c r="B769" s="369"/>
      <c r="C769" s="405"/>
      <c r="D769" s="369"/>
      <c r="E769" s="369"/>
      <c r="F769" s="372"/>
      <c r="G769" s="372"/>
      <c r="H769" s="372"/>
      <c r="I769" s="372"/>
      <c r="J769" s="372"/>
      <c r="K769" s="369"/>
      <c r="L769" s="369"/>
      <c r="M769" s="373"/>
      <c r="N769" s="369"/>
      <c r="O769" s="369"/>
      <c r="P769" s="374"/>
      <c r="Q769" s="372"/>
      <c r="R769" s="372"/>
      <c r="S769" s="372"/>
      <c r="T769" s="372"/>
      <c r="U769" s="372"/>
      <c r="V769" s="372"/>
      <c r="W769" s="372"/>
      <c r="X769" s="372"/>
      <c r="Y769" s="372"/>
      <c r="Z769" s="372"/>
      <c r="AA769" s="372"/>
      <c r="AB769" s="372"/>
      <c r="AC769" s="372"/>
      <c r="AD769" s="372"/>
      <c r="AE769" s="372"/>
      <c r="AF769" s="372"/>
      <c r="AG769" s="372"/>
      <c r="AH769" s="372"/>
      <c r="AI769" s="372"/>
      <c r="AJ769" s="372"/>
      <c r="AK769" s="372"/>
      <c r="AL769" s="372"/>
      <c r="AM769" s="372"/>
    </row>
    <row r="770">
      <c r="A770" s="369"/>
      <c r="B770" s="369"/>
      <c r="C770" s="405"/>
      <c r="D770" s="369"/>
      <c r="E770" s="369"/>
      <c r="F770" s="372"/>
      <c r="G770" s="372"/>
      <c r="H770" s="372"/>
      <c r="I770" s="372"/>
      <c r="J770" s="372"/>
      <c r="K770" s="369"/>
      <c r="L770" s="369"/>
      <c r="M770" s="373"/>
      <c r="N770" s="369"/>
      <c r="O770" s="369"/>
      <c r="P770" s="374"/>
      <c r="Q770" s="372"/>
      <c r="R770" s="372"/>
      <c r="S770" s="372"/>
      <c r="T770" s="372"/>
      <c r="U770" s="372"/>
      <c r="V770" s="372"/>
      <c r="W770" s="372"/>
      <c r="X770" s="372"/>
      <c r="Y770" s="372"/>
      <c r="Z770" s="372"/>
      <c r="AA770" s="372"/>
      <c r="AB770" s="372"/>
      <c r="AC770" s="372"/>
      <c r="AD770" s="372"/>
      <c r="AE770" s="372"/>
      <c r="AF770" s="372"/>
      <c r="AG770" s="372"/>
      <c r="AH770" s="372"/>
      <c r="AI770" s="372"/>
      <c r="AJ770" s="372"/>
      <c r="AK770" s="372"/>
      <c r="AL770" s="372"/>
      <c r="AM770" s="372"/>
    </row>
    <row r="771">
      <c r="A771" s="369"/>
      <c r="B771" s="369"/>
      <c r="C771" s="405"/>
      <c r="D771" s="369"/>
      <c r="E771" s="369"/>
      <c r="F771" s="372"/>
      <c r="G771" s="372"/>
      <c r="H771" s="372"/>
      <c r="I771" s="372"/>
      <c r="J771" s="372"/>
      <c r="K771" s="369"/>
      <c r="L771" s="369"/>
      <c r="M771" s="373"/>
      <c r="N771" s="369"/>
      <c r="O771" s="369"/>
      <c r="P771" s="374"/>
      <c r="Q771" s="372"/>
      <c r="R771" s="372"/>
      <c r="S771" s="372"/>
      <c r="T771" s="372"/>
      <c r="U771" s="372"/>
      <c r="V771" s="372"/>
      <c r="W771" s="372"/>
      <c r="X771" s="372"/>
      <c r="Y771" s="372"/>
      <c r="Z771" s="372"/>
      <c r="AA771" s="372"/>
      <c r="AB771" s="372"/>
      <c r="AC771" s="372"/>
      <c r="AD771" s="372"/>
      <c r="AE771" s="372"/>
      <c r="AF771" s="372"/>
      <c r="AG771" s="372"/>
      <c r="AH771" s="372"/>
      <c r="AI771" s="372"/>
      <c r="AJ771" s="372"/>
      <c r="AK771" s="372"/>
      <c r="AL771" s="372"/>
      <c r="AM771" s="372"/>
    </row>
    <row r="772">
      <c r="A772" s="369"/>
      <c r="B772" s="369"/>
      <c r="C772" s="405"/>
      <c r="D772" s="369"/>
      <c r="E772" s="369"/>
      <c r="F772" s="372"/>
      <c r="G772" s="372"/>
      <c r="H772" s="372"/>
      <c r="I772" s="372"/>
      <c r="J772" s="372"/>
      <c r="K772" s="369"/>
      <c r="L772" s="369"/>
      <c r="M772" s="373"/>
      <c r="N772" s="369"/>
      <c r="O772" s="369"/>
      <c r="P772" s="374"/>
      <c r="Q772" s="372"/>
      <c r="R772" s="372"/>
      <c r="S772" s="372"/>
      <c r="T772" s="372"/>
      <c r="U772" s="372"/>
      <c r="V772" s="372"/>
      <c r="W772" s="372"/>
      <c r="X772" s="372"/>
      <c r="Y772" s="372"/>
      <c r="Z772" s="372"/>
      <c r="AA772" s="372"/>
      <c r="AB772" s="372"/>
      <c r="AC772" s="372"/>
      <c r="AD772" s="372"/>
      <c r="AE772" s="372"/>
      <c r="AF772" s="372"/>
      <c r="AG772" s="372"/>
      <c r="AH772" s="372"/>
      <c r="AI772" s="372"/>
      <c r="AJ772" s="372"/>
      <c r="AK772" s="372"/>
      <c r="AL772" s="372"/>
      <c r="AM772" s="372"/>
    </row>
    <row r="773">
      <c r="A773" s="369"/>
      <c r="B773" s="369"/>
      <c r="C773" s="405"/>
      <c r="D773" s="369"/>
      <c r="E773" s="369"/>
      <c r="F773" s="372"/>
      <c r="G773" s="372"/>
      <c r="H773" s="372"/>
      <c r="I773" s="372"/>
      <c r="J773" s="372"/>
      <c r="K773" s="369"/>
      <c r="L773" s="369"/>
      <c r="M773" s="373"/>
      <c r="N773" s="369"/>
      <c r="O773" s="369"/>
      <c r="P773" s="374"/>
      <c r="Q773" s="372"/>
      <c r="R773" s="372"/>
      <c r="S773" s="372"/>
      <c r="T773" s="372"/>
      <c r="U773" s="372"/>
      <c r="V773" s="372"/>
      <c r="W773" s="372"/>
      <c r="X773" s="372"/>
      <c r="Y773" s="372"/>
      <c r="Z773" s="372"/>
      <c r="AA773" s="372"/>
      <c r="AB773" s="372"/>
      <c r="AC773" s="372"/>
      <c r="AD773" s="372"/>
      <c r="AE773" s="372"/>
      <c r="AF773" s="372"/>
      <c r="AG773" s="372"/>
      <c r="AH773" s="372"/>
      <c r="AI773" s="372"/>
      <c r="AJ773" s="372"/>
      <c r="AK773" s="372"/>
      <c r="AL773" s="372"/>
      <c r="AM773" s="372"/>
    </row>
    <row r="774">
      <c r="A774" s="369"/>
      <c r="B774" s="369"/>
      <c r="C774" s="405"/>
      <c r="D774" s="369"/>
      <c r="E774" s="369"/>
      <c r="F774" s="372"/>
      <c r="G774" s="372"/>
      <c r="H774" s="372"/>
      <c r="I774" s="372"/>
      <c r="J774" s="372"/>
      <c r="K774" s="369"/>
      <c r="L774" s="369"/>
      <c r="M774" s="373"/>
      <c r="N774" s="369"/>
      <c r="O774" s="369"/>
      <c r="P774" s="374"/>
      <c r="Q774" s="372"/>
      <c r="R774" s="372"/>
      <c r="S774" s="372"/>
      <c r="T774" s="372"/>
      <c r="U774" s="372"/>
      <c r="V774" s="372"/>
      <c r="W774" s="372"/>
      <c r="X774" s="372"/>
      <c r="Y774" s="372"/>
      <c r="Z774" s="372"/>
      <c r="AA774" s="372"/>
      <c r="AB774" s="372"/>
      <c r="AC774" s="372"/>
      <c r="AD774" s="372"/>
      <c r="AE774" s="372"/>
      <c r="AF774" s="372"/>
      <c r="AG774" s="372"/>
      <c r="AH774" s="372"/>
      <c r="AI774" s="372"/>
      <c r="AJ774" s="372"/>
      <c r="AK774" s="372"/>
      <c r="AL774" s="372"/>
      <c r="AM774" s="372"/>
    </row>
    <row r="775">
      <c r="A775" s="369"/>
      <c r="B775" s="369"/>
      <c r="C775" s="405"/>
      <c r="D775" s="369"/>
      <c r="E775" s="369"/>
      <c r="F775" s="372"/>
      <c r="G775" s="372"/>
      <c r="H775" s="372"/>
      <c r="I775" s="372"/>
      <c r="J775" s="372"/>
      <c r="K775" s="369"/>
      <c r="L775" s="369"/>
      <c r="M775" s="373"/>
      <c r="N775" s="369"/>
      <c r="O775" s="369"/>
      <c r="P775" s="374"/>
      <c r="Q775" s="372"/>
      <c r="R775" s="372"/>
      <c r="S775" s="372"/>
      <c r="T775" s="372"/>
      <c r="U775" s="372"/>
      <c r="V775" s="372"/>
      <c r="W775" s="372"/>
      <c r="X775" s="372"/>
      <c r="Y775" s="372"/>
      <c r="Z775" s="372"/>
      <c r="AA775" s="372"/>
      <c r="AB775" s="372"/>
      <c r="AC775" s="372"/>
      <c r="AD775" s="372"/>
      <c r="AE775" s="372"/>
      <c r="AF775" s="372"/>
      <c r="AG775" s="372"/>
      <c r="AH775" s="372"/>
      <c r="AI775" s="372"/>
      <c r="AJ775" s="372"/>
      <c r="AK775" s="372"/>
      <c r="AL775" s="372"/>
      <c r="AM775" s="372"/>
    </row>
    <row r="776">
      <c r="A776" s="369"/>
      <c r="B776" s="369"/>
      <c r="C776" s="405"/>
      <c r="D776" s="369"/>
      <c r="E776" s="369"/>
      <c r="F776" s="372"/>
      <c r="G776" s="372"/>
      <c r="H776" s="372"/>
      <c r="I776" s="372"/>
      <c r="J776" s="372"/>
      <c r="K776" s="369"/>
      <c r="L776" s="369"/>
      <c r="M776" s="373"/>
      <c r="N776" s="369"/>
      <c r="O776" s="369"/>
      <c r="P776" s="374"/>
      <c r="Q776" s="372"/>
      <c r="R776" s="372"/>
      <c r="S776" s="372"/>
      <c r="T776" s="372"/>
      <c r="U776" s="372"/>
      <c r="V776" s="372"/>
      <c r="W776" s="372"/>
      <c r="X776" s="372"/>
      <c r="Y776" s="372"/>
      <c r="Z776" s="372"/>
      <c r="AA776" s="372"/>
      <c r="AB776" s="372"/>
      <c r="AC776" s="372"/>
      <c r="AD776" s="372"/>
      <c r="AE776" s="372"/>
      <c r="AF776" s="372"/>
      <c r="AG776" s="372"/>
      <c r="AH776" s="372"/>
      <c r="AI776" s="372"/>
      <c r="AJ776" s="372"/>
      <c r="AK776" s="372"/>
      <c r="AL776" s="372"/>
      <c r="AM776" s="372"/>
    </row>
    <row r="777">
      <c r="A777" s="369"/>
      <c r="B777" s="369"/>
      <c r="C777" s="405"/>
      <c r="D777" s="369"/>
      <c r="E777" s="369"/>
      <c r="F777" s="372"/>
      <c r="G777" s="372"/>
      <c r="H777" s="372"/>
      <c r="I777" s="372"/>
      <c r="J777" s="372"/>
      <c r="K777" s="369"/>
      <c r="L777" s="369"/>
      <c r="M777" s="373"/>
      <c r="N777" s="369"/>
      <c r="O777" s="369"/>
      <c r="P777" s="374"/>
      <c r="Q777" s="372"/>
      <c r="R777" s="372"/>
      <c r="S777" s="372"/>
      <c r="T777" s="372"/>
      <c r="U777" s="372"/>
      <c r="V777" s="372"/>
      <c r="W777" s="372"/>
      <c r="X777" s="372"/>
      <c r="Y777" s="372"/>
      <c r="Z777" s="372"/>
      <c r="AA777" s="372"/>
      <c r="AB777" s="372"/>
      <c r="AC777" s="372"/>
      <c r="AD777" s="372"/>
      <c r="AE777" s="372"/>
      <c r="AF777" s="372"/>
      <c r="AG777" s="372"/>
      <c r="AH777" s="372"/>
      <c r="AI777" s="372"/>
      <c r="AJ777" s="372"/>
      <c r="AK777" s="372"/>
      <c r="AL777" s="372"/>
      <c r="AM777" s="372"/>
    </row>
    <row r="778">
      <c r="A778" s="369"/>
      <c r="B778" s="369"/>
      <c r="C778" s="405"/>
      <c r="D778" s="369"/>
      <c r="E778" s="369"/>
      <c r="F778" s="372"/>
      <c r="G778" s="372"/>
      <c r="H778" s="372"/>
      <c r="I778" s="372"/>
      <c r="J778" s="372"/>
      <c r="K778" s="369"/>
      <c r="L778" s="369"/>
      <c r="M778" s="373"/>
      <c r="N778" s="369"/>
      <c r="O778" s="369"/>
      <c r="P778" s="374"/>
      <c r="Q778" s="372"/>
      <c r="R778" s="372"/>
      <c r="S778" s="372"/>
      <c r="T778" s="372"/>
      <c r="U778" s="372"/>
      <c r="V778" s="372"/>
      <c r="W778" s="372"/>
      <c r="X778" s="372"/>
      <c r="Y778" s="372"/>
      <c r="Z778" s="372"/>
      <c r="AA778" s="372"/>
      <c r="AB778" s="372"/>
      <c r="AC778" s="372"/>
      <c r="AD778" s="372"/>
      <c r="AE778" s="372"/>
      <c r="AF778" s="372"/>
      <c r="AG778" s="372"/>
      <c r="AH778" s="372"/>
      <c r="AI778" s="372"/>
      <c r="AJ778" s="372"/>
      <c r="AK778" s="372"/>
      <c r="AL778" s="372"/>
      <c r="AM778" s="372"/>
    </row>
    <row r="779">
      <c r="A779" s="369"/>
      <c r="B779" s="369"/>
      <c r="C779" s="405"/>
      <c r="D779" s="369"/>
      <c r="E779" s="369"/>
      <c r="F779" s="372"/>
      <c r="G779" s="372"/>
      <c r="H779" s="372"/>
      <c r="I779" s="372"/>
      <c r="J779" s="372"/>
      <c r="K779" s="369"/>
      <c r="L779" s="369"/>
      <c r="M779" s="373"/>
      <c r="N779" s="369"/>
      <c r="O779" s="369"/>
      <c r="P779" s="374"/>
      <c r="Q779" s="372"/>
      <c r="R779" s="372"/>
      <c r="S779" s="372"/>
      <c r="T779" s="372"/>
      <c r="U779" s="372"/>
      <c r="V779" s="372"/>
      <c r="W779" s="372"/>
      <c r="X779" s="372"/>
      <c r="Y779" s="372"/>
      <c r="Z779" s="372"/>
      <c r="AA779" s="372"/>
      <c r="AB779" s="372"/>
      <c r="AC779" s="372"/>
      <c r="AD779" s="372"/>
      <c r="AE779" s="372"/>
      <c r="AF779" s="372"/>
      <c r="AG779" s="372"/>
      <c r="AH779" s="372"/>
      <c r="AI779" s="372"/>
      <c r="AJ779" s="372"/>
      <c r="AK779" s="372"/>
      <c r="AL779" s="372"/>
      <c r="AM779" s="372"/>
    </row>
    <row r="780">
      <c r="A780" s="369"/>
      <c r="B780" s="369"/>
      <c r="C780" s="405"/>
      <c r="D780" s="369"/>
      <c r="E780" s="369"/>
      <c r="F780" s="372"/>
      <c r="G780" s="372"/>
      <c r="H780" s="372"/>
      <c r="I780" s="372"/>
      <c r="J780" s="372"/>
      <c r="K780" s="369"/>
      <c r="L780" s="369"/>
      <c r="M780" s="373"/>
      <c r="N780" s="369"/>
      <c r="O780" s="369"/>
      <c r="P780" s="374"/>
      <c r="Q780" s="372"/>
      <c r="R780" s="372"/>
      <c r="S780" s="372"/>
      <c r="T780" s="372"/>
      <c r="U780" s="372"/>
      <c r="V780" s="372"/>
      <c r="W780" s="372"/>
      <c r="X780" s="372"/>
      <c r="Y780" s="372"/>
      <c r="Z780" s="372"/>
      <c r="AA780" s="372"/>
      <c r="AB780" s="372"/>
      <c r="AC780" s="372"/>
      <c r="AD780" s="372"/>
      <c r="AE780" s="372"/>
      <c r="AF780" s="372"/>
      <c r="AG780" s="372"/>
      <c r="AH780" s="372"/>
      <c r="AI780" s="372"/>
      <c r="AJ780" s="372"/>
      <c r="AK780" s="372"/>
      <c r="AL780" s="372"/>
      <c r="AM780" s="372"/>
    </row>
    <row r="781">
      <c r="A781" s="369"/>
      <c r="B781" s="369"/>
      <c r="C781" s="405"/>
      <c r="D781" s="369"/>
      <c r="E781" s="369"/>
      <c r="F781" s="372"/>
      <c r="G781" s="372"/>
      <c r="H781" s="372"/>
      <c r="I781" s="372"/>
      <c r="J781" s="372"/>
      <c r="K781" s="369"/>
      <c r="L781" s="369"/>
      <c r="M781" s="373"/>
      <c r="N781" s="369"/>
      <c r="O781" s="369"/>
      <c r="P781" s="374"/>
      <c r="Q781" s="372"/>
      <c r="R781" s="372"/>
      <c r="S781" s="372"/>
      <c r="T781" s="372"/>
      <c r="U781" s="372"/>
      <c r="V781" s="372"/>
      <c r="W781" s="372"/>
      <c r="X781" s="372"/>
      <c r="Y781" s="372"/>
      <c r="Z781" s="372"/>
      <c r="AA781" s="372"/>
      <c r="AB781" s="372"/>
      <c r="AC781" s="372"/>
      <c r="AD781" s="372"/>
      <c r="AE781" s="372"/>
      <c r="AF781" s="372"/>
      <c r="AG781" s="372"/>
      <c r="AH781" s="372"/>
      <c r="AI781" s="372"/>
      <c r="AJ781" s="372"/>
      <c r="AK781" s="372"/>
      <c r="AL781" s="372"/>
      <c r="AM781" s="372"/>
    </row>
    <row r="782">
      <c r="A782" s="369"/>
      <c r="B782" s="369"/>
      <c r="C782" s="405"/>
      <c r="D782" s="369"/>
      <c r="E782" s="369"/>
      <c r="F782" s="372"/>
      <c r="G782" s="372"/>
      <c r="H782" s="372"/>
      <c r="I782" s="372"/>
      <c r="J782" s="372"/>
      <c r="K782" s="369"/>
      <c r="L782" s="369"/>
      <c r="M782" s="373"/>
      <c r="N782" s="369"/>
      <c r="O782" s="369"/>
      <c r="P782" s="374"/>
      <c r="Q782" s="372"/>
      <c r="R782" s="372"/>
      <c r="S782" s="372"/>
      <c r="T782" s="372"/>
      <c r="U782" s="372"/>
      <c r="V782" s="372"/>
      <c r="W782" s="372"/>
      <c r="X782" s="372"/>
      <c r="Y782" s="372"/>
      <c r="Z782" s="372"/>
      <c r="AA782" s="372"/>
      <c r="AB782" s="372"/>
      <c r="AC782" s="372"/>
      <c r="AD782" s="372"/>
      <c r="AE782" s="372"/>
      <c r="AF782" s="372"/>
      <c r="AG782" s="372"/>
      <c r="AH782" s="372"/>
      <c r="AI782" s="372"/>
      <c r="AJ782" s="372"/>
      <c r="AK782" s="372"/>
      <c r="AL782" s="372"/>
      <c r="AM782" s="372"/>
    </row>
    <row r="783">
      <c r="A783" s="369"/>
      <c r="B783" s="369"/>
      <c r="C783" s="405"/>
      <c r="D783" s="369"/>
      <c r="E783" s="369"/>
      <c r="F783" s="372"/>
      <c r="G783" s="372"/>
      <c r="H783" s="372"/>
      <c r="I783" s="372"/>
      <c r="J783" s="372"/>
      <c r="K783" s="369"/>
      <c r="L783" s="369"/>
      <c r="M783" s="373"/>
      <c r="N783" s="369"/>
      <c r="O783" s="369"/>
      <c r="P783" s="374"/>
      <c r="Q783" s="372"/>
      <c r="R783" s="372"/>
      <c r="S783" s="372"/>
      <c r="T783" s="372"/>
      <c r="U783" s="372"/>
      <c r="V783" s="372"/>
      <c r="W783" s="372"/>
      <c r="X783" s="372"/>
      <c r="Y783" s="372"/>
      <c r="Z783" s="372"/>
      <c r="AA783" s="372"/>
      <c r="AB783" s="372"/>
      <c r="AC783" s="372"/>
      <c r="AD783" s="372"/>
      <c r="AE783" s="372"/>
      <c r="AF783" s="372"/>
      <c r="AG783" s="372"/>
      <c r="AH783" s="372"/>
      <c r="AI783" s="372"/>
      <c r="AJ783" s="372"/>
      <c r="AK783" s="372"/>
      <c r="AL783" s="372"/>
      <c r="AM783" s="372"/>
    </row>
    <row r="784">
      <c r="A784" s="369"/>
      <c r="B784" s="369"/>
      <c r="C784" s="405"/>
      <c r="D784" s="369"/>
      <c r="E784" s="369"/>
      <c r="F784" s="372"/>
      <c r="G784" s="372"/>
      <c r="H784" s="372"/>
      <c r="I784" s="372"/>
      <c r="J784" s="372"/>
      <c r="K784" s="369"/>
      <c r="L784" s="369"/>
      <c r="M784" s="373"/>
      <c r="N784" s="369"/>
      <c r="O784" s="369"/>
      <c r="P784" s="374"/>
      <c r="Q784" s="372"/>
      <c r="R784" s="372"/>
      <c r="S784" s="372"/>
      <c r="T784" s="372"/>
      <c r="U784" s="372"/>
      <c r="V784" s="372"/>
      <c r="W784" s="372"/>
      <c r="X784" s="372"/>
      <c r="Y784" s="372"/>
      <c r="Z784" s="372"/>
      <c r="AA784" s="372"/>
      <c r="AB784" s="372"/>
      <c r="AC784" s="372"/>
      <c r="AD784" s="372"/>
      <c r="AE784" s="372"/>
      <c r="AF784" s="372"/>
      <c r="AG784" s="372"/>
      <c r="AH784" s="372"/>
      <c r="AI784" s="372"/>
      <c r="AJ784" s="372"/>
      <c r="AK784" s="372"/>
      <c r="AL784" s="372"/>
      <c r="AM784" s="372"/>
    </row>
    <row r="785">
      <c r="A785" s="369"/>
      <c r="B785" s="369"/>
      <c r="C785" s="405"/>
      <c r="D785" s="369"/>
      <c r="E785" s="369"/>
      <c r="F785" s="372"/>
      <c r="G785" s="372"/>
      <c r="H785" s="372"/>
      <c r="I785" s="372"/>
      <c r="J785" s="372"/>
      <c r="K785" s="369"/>
      <c r="L785" s="369"/>
      <c r="M785" s="373"/>
      <c r="N785" s="369"/>
      <c r="O785" s="369"/>
      <c r="P785" s="374"/>
      <c r="Q785" s="372"/>
      <c r="R785" s="372"/>
      <c r="S785" s="372"/>
      <c r="T785" s="372"/>
      <c r="U785" s="372"/>
      <c r="V785" s="372"/>
      <c r="W785" s="372"/>
      <c r="X785" s="372"/>
      <c r="Y785" s="372"/>
      <c r="Z785" s="372"/>
      <c r="AA785" s="372"/>
      <c r="AB785" s="372"/>
      <c r="AC785" s="372"/>
      <c r="AD785" s="372"/>
      <c r="AE785" s="372"/>
      <c r="AF785" s="372"/>
      <c r="AG785" s="372"/>
      <c r="AH785" s="372"/>
      <c r="AI785" s="372"/>
      <c r="AJ785" s="372"/>
      <c r="AK785" s="372"/>
      <c r="AL785" s="372"/>
      <c r="AM785" s="372"/>
    </row>
    <row r="786">
      <c r="A786" s="369"/>
      <c r="B786" s="369"/>
      <c r="C786" s="405"/>
      <c r="D786" s="369"/>
      <c r="E786" s="369"/>
      <c r="F786" s="372"/>
      <c r="G786" s="372"/>
      <c r="H786" s="372"/>
      <c r="I786" s="372"/>
      <c r="J786" s="372"/>
      <c r="K786" s="369"/>
      <c r="L786" s="369"/>
      <c r="M786" s="373"/>
      <c r="N786" s="369"/>
      <c r="O786" s="369"/>
      <c r="P786" s="374"/>
      <c r="Q786" s="372"/>
      <c r="R786" s="372"/>
      <c r="S786" s="372"/>
      <c r="T786" s="372"/>
      <c r="U786" s="372"/>
      <c r="V786" s="372"/>
      <c r="W786" s="372"/>
      <c r="X786" s="372"/>
      <c r="Y786" s="372"/>
      <c r="Z786" s="372"/>
      <c r="AA786" s="372"/>
      <c r="AB786" s="372"/>
      <c r="AC786" s="372"/>
      <c r="AD786" s="372"/>
      <c r="AE786" s="372"/>
      <c r="AF786" s="372"/>
      <c r="AG786" s="372"/>
      <c r="AH786" s="372"/>
      <c r="AI786" s="372"/>
      <c r="AJ786" s="372"/>
      <c r="AK786" s="372"/>
      <c r="AL786" s="372"/>
      <c r="AM786" s="372"/>
    </row>
    <row r="787">
      <c r="A787" s="369"/>
      <c r="B787" s="369"/>
      <c r="C787" s="405"/>
      <c r="D787" s="369"/>
      <c r="E787" s="369"/>
      <c r="F787" s="372"/>
      <c r="G787" s="372"/>
      <c r="H787" s="372"/>
      <c r="I787" s="372"/>
      <c r="J787" s="372"/>
      <c r="K787" s="369"/>
      <c r="L787" s="369"/>
      <c r="M787" s="373"/>
      <c r="N787" s="369"/>
      <c r="O787" s="369"/>
      <c r="P787" s="374"/>
      <c r="Q787" s="372"/>
      <c r="R787" s="372"/>
      <c r="S787" s="372"/>
      <c r="T787" s="372"/>
      <c r="U787" s="372"/>
      <c r="V787" s="372"/>
      <c r="W787" s="372"/>
      <c r="X787" s="372"/>
      <c r="Y787" s="372"/>
      <c r="Z787" s="372"/>
      <c r="AA787" s="372"/>
      <c r="AB787" s="372"/>
      <c r="AC787" s="372"/>
      <c r="AD787" s="372"/>
      <c r="AE787" s="372"/>
      <c r="AF787" s="372"/>
      <c r="AG787" s="372"/>
      <c r="AH787" s="372"/>
      <c r="AI787" s="372"/>
      <c r="AJ787" s="372"/>
      <c r="AK787" s="372"/>
      <c r="AL787" s="372"/>
      <c r="AM787" s="372"/>
    </row>
    <row r="788">
      <c r="A788" s="369"/>
      <c r="B788" s="369"/>
      <c r="C788" s="405"/>
      <c r="D788" s="369"/>
      <c r="E788" s="369"/>
      <c r="F788" s="372"/>
      <c r="G788" s="372"/>
      <c r="H788" s="372"/>
      <c r="I788" s="372"/>
      <c r="J788" s="372"/>
      <c r="K788" s="369"/>
      <c r="L788" s="369"/>
      <c r="M788" s="373"/>
      <c r="N788" s="369"/>
      <c r="O788" s="369"/>
      <c r="P788" s="374"/>
      <c r="Q788" s="372"/>
      <c r="R788" s="372"/>
      <c r="S788" s="372"/>
      <c r="T788" s="372"/>
      <c r="U788" s="372"/>
      <c r="V788" s="372"/>
      <c r="W788" s="372"/>
      <c r="X788" s="372"/>
      <c r="Y788" s="372"/>
      <c r="Z788" s="372"/>
      <c r="AA788" s="372"/>
      <c r="AB788" s="372"/>
      <c r="AC788" s="372"/>
      <c r="AD788" s="372"/>
      <c r="AE788" s="372"/>
      <c r="AF788" s="372"/>
      <c r="AG788" s="372"/>
      <c r="AH788" s="372"/>
      <c r="AI788" s="372"/>
      <c r="AJ788" s="372"/>
      <c r="AK788" s="372"/>
      <c r="AL788" s="372"/>
      <c r="AM788" s="372"/>
    </row>
    <row r="789">
      <c r="A789" s="369"/>
      <c r="B789" s="369"/>
      <c r="C789" s="405"/>
      <c r="D789" s="369"/>
      <c r="E789" s="369"/>
      <c r="F789" s="372"/>
      <c r="G789" s="372"/>
      <c r="H789" s="372"/>
      <c r="I789" s="372"/>
      <c r="J789" s="372"/>
      <c r="K789" s="369"/>
      <c r="L789" s="369"/>
      <c r="M789" s="373"/>
      <c r="N789" s="369"/>
      <c r="O789" s="369"/>
      <c r="P789" s="374"/>
      <c r="Q789" s="372"/>
      <c r="R789" s="372"/>
      <c r="S789" s="372"/>
      <c r="T789" s="372"/>
      <c r="U789" s="372"/>
      <c r="V789" s="372"/>
      <c r="W789" s="372"/>
      <c r="X789" s="372"/>
      <c r="Y789" s="372"/>
      <c r="Z789" s="372"/>
      <c r="AA789" s="372"/>
      <c r="AB789" s="372"/>
      <c r="AC789" s="372"/>
      <c r="AD789" s="372"/>
      <c r="AE789" s="372"/>
      <c r="AF789" s="372"/>
      <c r="AG789" s="372"/>
      <c r="AH789" s="372"/>
      <c r="AI789" s="372"/>
      <c r="AJ789" s="372"/>
      <c r="AK789" s="372"/>
      <c r="AL789" s="372"/>
      <c r="AM789" s="372"/>
    </row>
    <row r="790">
      <c r="A790" s="369"/>
      <c r="B790" s="369"/>
      <c r="C790" s="405"/>
      <c r="D790" s="369"/>
      <c r="E790" s="369"/>
      <c r="F790" s="372"/>
      <c r="G790" s="372"/>
      <c r="H790" s="372"/>
      <c r="I790" s="372"/>
      <c r="J790" s="372"/>
      <c r="K790" s="369"/>
      <c r="L790" s="369"/>
      <c r="M790" s="373"/>
      <c r="N790" s="369"/>
      <c r="O790" s="369"/>
      <c r="P790" s="374"/>
      <c r="Q790" s="372"/>
      <c r="R790" s="372"/>
      <c r="S790" s="372"/>
      <c r="T790" s="372"/>
      <c r="U790" s="372"/>
      <c r="V790" s="372"/>
      <c r="W790" s="372"/>
      <c r="X790" s="372"/>
      <c r="Y790" s="372"/>
      <c r="Z790" s="372"/>
      <c r="AA790" s="372"/>
      <c r="AB790" s="372"/>
      <c r="AC790" s="372"/>
      <c r="AD790" s="372"/>
      <c r="AE790" s="372"/>
      <c r="AF790" s="372"/>
      <c r="AG790" s="372"/>
      <c r="AH790" s="372"/>
      <c r="AI790" s="372"/>
      <c r="AJ790" s="372"/>
      <c r="AK790" s="372"/>
      <c r="AL790" s="372"/>
      <c r="AM790" s="372"/>
    </row>
    <row r="791">
      <c r="A791" s="369"/>
      <c r="B791" s="369"/>
      <c r="C791" s="405"/>
      <c r="D791" s="369"/>
      <c r="E791" s="369"/>
      <c r="F791" s="372"/>
      <c r="G791" s="372"/>
      <c r="H791" s="372"/>
      <c r="I791" s="372"/>
      <c r="J791" s="372"/>
      <c r="K791" s="369"/>
      <c r="L791" s="369"/>
      <c r="M791" s="373"/>
      <c r="N791" s="369"/>
      <c r="O791" s="369"/>
      <c r="P791" s="374"/>
      <c r="Q791" s="372"/>
      <c r="R791" s="372"/>
      <c r="S791" s="372"/>
      <c r="T791" s="372"/>
      <c r="U791" s="372"/>
      <c r="V791" s="372"/>
      <c r="W791" s="372"/>
      <c r="X791" s="372"/>
      <c r="Y791" s="372"/>
      <c r="Z791" s="372"/>
      <c r="AA791" s="372"/>
      <c r="AB791" s="372"/>
      <c r="AC791" s="372"/>
      <c r="AD791" s="372"/>
      <c r="AE791" s="372"/>
      <c r="AF791" s="372"/>
      <c r="AG791" s="372"/>
      <c r="AH791" s="372"/>
      <c r="AI791" s="372"/>
      <c r="AJ791" s="372"/>
      <c r="AK791" s="372"/>
      <c r="AL791" s="372"/>
      <c r="AM791" s="372"/>
    </row>
    <row r="792">
      <c r="A792" s="369"/>
      <c r="B792" s="369"/>
      <c r="C792" s="405"/>
      <c r="D792" s="369"/>
      <c r="E792" s="369"/>
      <c r="F792" s="372"/>
      <c r="G792" s="372"/>
      <c r="H792" s="372"/>
      <c r="I792" s="372"/>
      <c r="J792" s="372"/>
      <c r="K792" s="369"/>
      <c r="L792" s="369"/>
      <c r="M792" s="373"/>
      <c r="N792" s="369"/>
      <c r="O792" s="369"/>
      <c r="P792" s="374"/>
      <c r="Q792" s="372"/>
      <c r="R792" s="372"/>
      <c r="S792" s="372"/>
      <c r="T792" s="372"/>
      <c r="U792" s="372"/>
      <c r="V792" s="372"/>
      <c r="W792" s="372"/>
      <c r="X792" s="372"/>
      <c r="Y792" s="372"/>
      <c r="Z792" s="372"/>
      <c r="AA792" s="372"/>
      <c r="AB792" s="372"/>
      <c r="AC792" s="372"/>
      <c r="AD792" s="372"/>
      <c r="AE792" s="372"/>
      <c r="AF792" s="372"/>
      <c r="AG792" s="372"/>
      <c r="AH792" s="372"/>
      <c r="AI792" s="372"/>
      <c r="AJ792" s="372"/>
      <c r="AK792" s="372"/>
      <c r="AL792" s="372"/>
      <c r="AM792" s="372"/>
    </row>
    <row r="793">
      <c r="A793" s="369"/>
      <c r="B793" s="369"/>
      <c r="C793" s="405"/>
      <c r="D793" s="369"/>
      <c r="E793" s="369"/>
      <c r="F793" s="372"/>
      <c r="G793" s="372"/>
      <c r="H793" s="372"/>
      <c r="I793" s="372"/>
      <c r="J793" s="372"/>
      <c r="K793" s="369"/>
      <c r="L793" s="369"/>
      <c r="M793" s="373"/>
      <c r="N793" s="369"/>
      <c r="O793" s="369"/>
      <c r="P793" s="374"/>
      <c r="Q793" s="372"/>
      <c r="R793" s="372"/>
      <c r="S793" s="372"/>
      <c r="T793" s="372"/>
      <c r="U793" s="372"/>
      <c r="V793" s="372"/>
      <c r="W793" s="372"/>
      <c r="X793" s="372"/>
      <c r="Y793" s="372"/>
      <c r="Z793" s="372"/>
      <c r="AA793" s="372"/>
      <c r="AB793" s="372"/>
      <c r="AC793" s="372"/>
      <c r="AD793" s="372"/>
      <c r="AE793" s="372"/>
      <c r="AF793" s="372"/>
      <c r="AG793" s="372"/>
      <c r="AH793" s="372"/>
      <c r="AI793" s="372"/>
      <c r="AJ793" s="372"/>
      <c r="AK793" s="372"/>
      <c r="AL793" s="372"/>
      <c r="AM793" s="372"/>
    </row>
    <row r="794">
      <c r="A794" s="369"/>
      <c r="B794" s="369"/>
      <c r="C794" s="405"/>
      <c r="D794" s="369"/>
      <c r="E794" s="369"/>
      <c r="F794" s="372"/>
      <c r="G794" s="372"/>
      <c r="H794" s="372"/>
      <c r="I794" s="372"/>
      <c r="J794" s="372"/>
      <c r="K794" s="369"/>
      <c r="L794" s="369"/>
      <c r="M794" s="373"/>
      <c r="N794" s="369"/>
      <c r="O794" s="369"/>
      <c r="P794" s="374"/>
      <c r="Q794" s="372"/>
      <c r="R794" s="372"/>
      <c r="S794" s="372"/>
      <c r="T794" s="372"/>
      <c r="U794" s="372"/>
      <c r="V794" s="372"/>
      <c r="W794" s="372"/>
      <c r="X794" s="372"/>
      <c r="Y794" s="372"/>
      <c r="Z794" s="372"/>
      <c r="AA794" s="372"/>
      <c r="AB794" s="372"/>
      <c r="AC794" s="372"/>
      <c r="AD794" s="372"/>
      <c r="AE794" s="372"/>
      <c r="AF794" s="372"/>
      <c r="AG794" s="372"/>
      <c r="AH794" s="372"/>
      <c r="AI794" s="372"/>
      <c r="AJ794" s="372"/>
      <c r="AK794" s="372"/>
      <c r="AL794" s="372"/>
      <c r="AM794" s="372"/>
    </row>
    <row r="795">
      <c r="A795" s="369"/>
      <c r="B795" s="369"/>
      <c r="C795" s="405"/>
      <c r="D795" s="369"/>
      <c r="E795" s="369"/>
      <c r="F795" s="372"/>
      <c r="G795" s="372"/>
      <c r="H795" s="372"/>
      <c r="I795" s="372"/>
      <c r="J795" s="372"/>
      <c r="K795" s="369"/>
      <c r="L795" s="369"/>
      <c r="M795" s="373"/>
      <c r="N795" s="369"/>
      <c r="O795" s="369"/>
      <c r="P795" s="374"/>
      <c r="Q795" s="372"/>
      <c r="R795" s="372"/>
      <c r="S795" s="372"/>
      <c r="T795" s="372"/>
      <c r="U795" s="372"/>
      <c r="V795" s="372"/>
      <c r="W795" s="372"/>
      <c r="X795" s="372"/>
      <c r="Y795" s="372"/>
      <c r="Z795" s="372"/>
      <c r="AA795" s="372"/>
      <c r="AB795" s="372"/>
      <c r="AC795" s="372"/>
      <c r="AD795" s="372"/>
      <c r="AE795" s="372"/>
      <c r="AF795" s="372"/>
      <c r="AG795" s="372"/>
      <c r="AH795" s="372"/>
      <c r="AI795" s="372"/>
      <c r="AJ795" s="372"/>
      <c r="AK795" s="372"/>
      <c r="AL795" s="372"/>
      <c r="AM795" s="372"/>
    </row>
    <row r="796">
      <c r="A796" s="369"/>
      <c r="B796" s="369"/>
      <c r="C796" s="405"/>
      <c r="D796" s="369"/>
      <c r="E796" s="369"/>
      <c r="F796" s="372"/>
      <c r="G796" s="372"/>
      <c r="H796" s="372"/>
      <c r="I796" s="372"/>
      <c r="J796" s="372"/>
      <c r="K796" s="369"/>
      <c r="L796" s="369"/>
      <c r="M796" s="373"/>
      <c r="N796" s="369"/>
      <c r="O796" s="369"/>
      <c r="P796" s="374"/>
      <c r="Q796" s="372"/>
      <c r="R796" s="372"/>
      <c r="S796" s="372"/>
      <c r="T796" s="372"/>
      <c r="U796" s="372"/>
      <c r="V796" s="372"/>
      <c r="W796" s="372"/>
      <c r="X796" s="372"/>
      <c r="Y796" s="372"/>
      <c r="Z796" s="372"/>
      <c r="AA796" s="372"/>
      <c r="AB796" s="372"/>
      <c r="AC796" s="372"/>
      <c r="AD796" s="372"/>
      <c r="AE796" s="372"/>
      <c r="AF796" s="372"/>
      <c r="AG796" s="372"/>
      <c r="AH796" s="372"/>
      <c r="AI796" s="372"/>
      <c r="AJ796" s="372"/>
      <c r="AK796" s="372"/>
      <c r="AL796" s="372"/>
      <c r="AM796" s="372"/>
    </row>
    <row r="797">
      <c r="A797" s="369"/>
      <c r="B797" s="369"/>
      <c r="C797" s="405"/>
      <c r="D797" s="369"/>
      <c r="E797" s="369"/>
      <c r="F797" s="372"/>
      <c r="G797" s="372"/>
      <c r="H797" s="372"/>
      <c r="I797" s="372"/>
      <c r="J797" s="372"/>
      <c r="K797" s="369"/>
      <c r="L797" s="369"/>
      <c r="M797" s="373"/>
      <c r="N797" s="369"/>
      <c r="O797" s="369"/>
      <c r="P797" s="374"/>
      <c r="Q797" s="372"/>
      <c r="R797" s="372"/>
      <c r="S797" s="372"/>
      <c r="T797" s="372"/>
      <c r="U797" s="372"/>
      <c r="V797" s="372"/>
      <c r="W797" s="372"/>
      <c r="X797" s="372"/>
      <c r="Y797" s="372"/>
      <c r="Z797" s="372"/>
      <c r="AA797" s="372"/>
      <c r="AB797" s="372"/>
      <c r="AC797" s="372"/>
      <c r="AD797" s="372"/>
      <c r="AE797" s="372"/>
      <c r="AF797" s="372"/>
      <c r="AG797" s="372"/>
      <c r="AH797" s="372"/>
      <c r="AI797" s="372"/>
      <c r="AJ797" s="372"/>
      <c r="AK797" s="372"/>
      <c r="AL797" s="372"/>
      <c r="AM797" s="372"/>
    </row>
    <row r="798">
      <c r="A798" s="369"/>
      <c r="B798" s="369"/>
      <c r="C798" s="405"/>
      <c r="D798" s="369"/>
      <c r="E798" s="369"/>
      <c r="F798" s="372"/>
      <c r="G798" s="372"/>
      <c r="H798" s="372"/>
      <c r="I798" s="372"/>
      <c r="J798" s="372"/>
      <c r="K798" s="369"/>
      <c r="L798" s="369"/>
      <c r="M798" s="373"/>
      <c r="N798" s="369"/>
      <c r="O798" s="369"/>
      <c r="P798" s="374"/>
      <c r="Q798" s="372"/>
      <c r="R798" s="372"/>
      <c r="S798" s="372"/>
      <c r="T798" s="372"/>
      <c r="U798" s="372"/>
      <c r="V798" s="372"/>
      <c r="W798" s="372"/>
      <c r="X798" s="372"/>
      <c r="Y798" s="372"/>
      <c r="Z798" s="372"/>
      <c r="AA798" s="372"/>
      <c r="AB798" s="372"/>
      <c r="AC798" s="372"/>
      <c r="AD798" s="372"/>
      <c r="AE798" s="372"/>
      <c r="AF798" s="372"/>
      <c r="AG798" s="372"/>
      <c r="AH798" s="372"/>
      <c r="AI798" s="372"/>
      <c r="AJ798" s="372"/>
      <c r="AK798" s="372"/>
      <c r="AL798" s="372"/>
      <c r="AM798" s="372"/>
    </row>
    <row r="799">
      <c r="A799" s="369"/>
      <c r="B799" s="369"/>
      <c r="C799" s="405"/>
      <c r="D799" s="369"/>
      <c r="E799" s="369"/>
      <c r="F799" s="372"/>
      <c r="G799" s="372"/>
      <c r="H799" s="372"/>
      <c r="I799" s="372"/>
      <c r="J799" s="372"/>
      <c r="K799" s="369"/>
      <c r="L799" s="369"/>
      <c r="M799" s="373"/>
      <c r="N799" s="369"/>
      <c r="O799" s="369"/>
      <c r="P799" s="374"/>
      <c r="Q799" s="372"/>
      <c r="R799" s="372"/>
      <c r="S799" s="372"/>
      <c r="T799" s="372"/>
      <c r="U799" s="372"/>
      <c r="V799" s="372"/>
      <c r="W799" s="372"/>
      <c r="X799" s="372"/>
      <c r="Y799" s="372"/>
      <c r="Z799" s="372"/>
      <c r="AA799" s="372"/>
      <c r="AB799" s="372"/>
      <c r="AC799" s="372"/>
      <c r="AD799" s="372"/>
      <c r="AE799" s="372"/>
      <c r="AF799" s="372"/>
      <c r="AG799" s="372"/>
      <c r="AH799" s="372"/>
      <c r="AI799" s="372"/>
      <c r="AJ799" s="372"/>
      <c r="AK799" s="372"/>
      <c r="AL799" s="372"/>
      <c r="AM799" s="372"/>
    </row>
    <row r="800">
      <c r="A800" s="369"/>
      <c r="B800" s="369"/>
      <c r="C800" s="405"/>
      <c r="D800" s="369"/>
      <c r="E800" s="369"/>
      <c r="F800" s="372"/>
      <c r="G800" s="372"/>
      <c r="H800" s="372"/>
      <c r="I800" s="372"/>
      <c r="J800" s="372"/>
      <c r="K800" s="369"/>
      <c r="L800" s="369"/>
      <c r="M800" s="373"/>
      <c r="N800" s="369"/>
      <c r="O800" s="369"/>
      <c r="P800" s="374"/>
      <c r="Q800" s="372"/>
      <c r="R800" s="372"/>
      <c r="S800" s="372"/>
      <c r="T800" s="372"/>
      <c r="U800" s="372"/>
      <c r="V800" s="372"/>
      <c r="W800" s="372"/>
      <c r="X800" s="372"/>
      <c r="Y800" s="372"/>
      <c r="Z800" s="372"/>
      <c r="AA800" s="372"/>
      <c r="AB800" s="372"/>
      <c r="AC800" s="372"/>
      <c r="AD800" s="372"/>
      <c r="AE800" s="372"/>
      <c r="AF800" s="372"/>
      <c r="AG800" s="372"/>
      <c r="AH800" s="372"/>
      <c r="AI800" s="372"/>
      <c r="AJ800" s="372"/>
      <c r="AK800" s="372"/>
      <c r="AL800" s="372"/>
      <c r="AM800" s="372"/>
    </row>
    <row r="801">
      <c r="A801" s="369"/>
      <c r="B801" s="369"/>
      <c r="C801" s="405"/>
      <c r="D801" s="369"/>
      <c r="E801" s="369"/>
      <c r="F801" s="372"/>
      <c r="G801" s="372"/>
      <c r="H801" s="372"/>
      <c r="I801" s="372"/>
      <c r="J801" s="372"/>
      <c r="K801" s="369"/>
      <c r="L801" s="369"/>
      <c r="M801" s="373"/>
      <c r="N801" s="369"/>
      <c r="O801" s="369"/>
      <c r="P801" s="374"/>
      <c r="Q801" s="372"/>
      <c r="R801" s="372"/>
      <c r="S801" s="372"/>
      <c r="T801" s="372"/>
      <c r="U801" s="372"/>
      <c r="V801" s="372"/>
      <c r="W801" s="372"/>
      <c r="X801" s="372"/>
      <c r="Y801" s="372"/>
      <c r="Z801" s="372"/>
      <c r="AA801" s="372"/>
      <c r="AB801" s="372"/>
      <c r="AC801" s="372"/>
      <c r="AD801" s="372"/>
      <c r="AE801" s="372"/>
      <c r="AF801" s="372"/>
      <c r="AG801" s="372"/>
      <c r="AH801" s="372"/>
      <c r="AI801" s="372"/>
      <c r="AJ801" s="372"/>
      <c r="AK801" s="372"/>
      <c r="AL801" s="372"/>
      <c r="AM801" s="372"/>
    </row>
    <row r="802">
      <c r="A802" s="369"/>
      <c r="B802" s="369"/>
      <c r="C802" s="405"/>
      <c r="D802" s="369"/>
      <c r="E802" s="369"/>
      <c r="F802" s="372"/>
      <c r="G802" s="372"/>
      <c r="H802" s="372"/>
      <c r="I802" s="372"/>
      <c r="J802" s="372"/>
      <c r="K802" s="369"/>
      <c r="L802" s="369"/>
      <c r="M802" s="373"/>
      <c r="N802" s="369"/>
      <c r="O802" s="369"/>
      <c r="P802" s="374"/>
      <c r="Q802" s="372"/>
      <c r="R802" s="372"/>
      <c r="S802" s="372"/>
      <c r="T802" s="372"/>
      <c r="U802" s="372"/>
      <c r="V802" s="372"/>
      <c r="W802" s="372"/>
      <c r="X802" s="372"/>
      <c r="Y802" s="372"/>
      <c r="Z802" s="372"/>
      <c r="AA802" s="372"/>
      <c r="AB802" s="372"/>
      <c r="AC802" s="372"/>
      <c r="AD802" s="372"/>
      <c r="AE802" s="372"/>
      <c r="AF802" s="372"/>
      <c r="AG802" s="372"/>
      <c r="AH802" s="372"/>
      <c r="AI802" s="372"/>
      <c r="AJ802" s="372"/>
      <c r="AK802" s="372"/>
      <c r="AL802" s="372"/>
      <c r="AM802" s="372"/>
    </row>
    <row r="803">
      <c r="A803" s="369"/>
      <c r="B803" s="369"/>
      <c r="C803" s="405"/>
      <c r="D803" s="369"/>
      <c r="E803" s="369"/>
      <c r="F803" s="372"/>
      <c r="G803" s="372"/>
      <c r="H803" s="372"/>
      <c r="I803" s="372"/>
      <c r="J803" s="372"/>
      <c r="K803" s="369"/>
      <c r="L803" s="369"/>
      <c r="M803" s="373"/>
      <c r="N803" s="369"/>
      <c r="O803" s="369"/>
      <c r="P803" s="374"/>
      <c r="Q803" s="372"/>
      <c r="R803" s="372"/>
      <c r="S803" s="372"/>
      <c r="T803" s="372"/>
      <c r="U803" s="372"/>
      <c r="V803" s="372"/>
      <c r="W803" s="372"/>
      <c r="X803" s="372"/>
      <c r="Y803" s="372"/>
      <c r="Z803" s="372"/>
      <c r="AA803" s="372"/>
      <c r="AB803" s="372"/>
      <c r="AC803" s="372"/>
      <c r="AD803" s="372"/>
      <c r="AE803" s="372"/>
      <c r="AF803" s="372"/>
      <c r="AG803" s="372"/>
      <c r="AH803" s="372"/>
      <c r="AI803" s="372"/>
      <c r="AJ803" s="372"/>
      <c r="AK803" s="372"/>
      <c r="AL803" s="372"/>
      <c r="AM803" s="372"/>
    </row>
    <row r="804">
      <c r="A804" s="369"/>
      <c r="B804" s="369"/>
      <c r="C804" s="405"/>
      <c r="D804" s="369"/>
      <c r="E804" s="369"/>
      <c r="F804" s="372"/>
      <c r="G804" s="372"/>
      <c r="H804" s="372"/>
      <c r="I804" s="372"/>
      <c r="J804" s="372"/>
      <c r="K804" s="369"/>
      <c r="L804" s="369"/>
      <c r="M804" s="373"/>
      <c r="N804" s="369"/>
      <c r="O804" s="369"/>
      <c r="P804" s="374"/>
      <c r="Q804" s="372"/>
      <c r="R804" s="372"/>
      <c r="S804" s="372"/>
      <c r="T804" s="372"/>
      <c r="U804" s="372"/>
      <c r="V804" s="372"/>
      <c r="W804" s="372"/>
      <c r="X804" s="372"/>
      <c r="Y804" s="372"/>
      <c r="Z804" s="372"/>
      <c r="AA804" s="372"/>
      <c r="AB804" s="372"/>
      <c r="AC804" s="372"/>
      <c r="AD804" s="372"/>
      <c r="AE804" s="372"/>
      <c r="AF804" s="372"/>
      <c r="AG804" s="372"/>
      <c r="AH804" s="372"/>
      <c r="AI804" s="372"/>
      <c r="AJ804" s="372"/>
      <c r="AK804" s="372"/>
      <c r="AL804" s="372"/>
      <c r="AM804" s="372"/>
    </row>
    <row r="805">
      <c r="A805" s="369"/>
      <c r="B805" s="369"/>
      <c r="C805" s="405"/>
      <c r="D805" s="369"/>
      <c r="E805" s="369"/>
      <c r="F805" s="372"/>
      <c r="G805" s="372"/>
      <c r="H805" s="372"/>
      <c r="I805" s="372"/>
      <c r="J805" s="372"/>
      <c r="K805" s="369"/>
      <c r="L805" s="369"/>
      <c r="M805" s="373"/>
      <c r="N805" s="369"/>
      <c r="O805" s="369"/>
      <c r="P805" s="374"/>
      <c r="Q805" s="372"/>
      <c r="R805" s="372"/>
      <c r="S805" s="372"/>
      <c r="T805" s="372"/>
      <c r="U805" s="372"/>
      <c r="V805" s="372"/>
      <c r="W805" s="372"/>
      <c r="X805" s="372"/>
      <c r="Y805" s="372"/>
      <c r="Z805" s="372"/>
      <c r="AA805" s="372"/>
      <c r="AB805" s="372"/>
      <c r="AC805" s="372"/>
      <c r="AD805" s="372"/>
      <c r="AE805" s="372"/>
      <c r="AF805" s="372"/>
      <c r="AG805" s="372"/>
      <c r="AH805" s="372"/>
      <c r="AI805" s="372"/>
      <c r="AJ805" s="372"/>
      <c r="AK805" s="372"/>
      <c r="AL805" s="372"/>
      <c r="AM805" s="372"/>
    </row>
    <row r="806">
      <c r="A806" s="369"/>
      <c r="B806" s="369"/>
      <c r="C806" s="405"/>
      <c r="D806" s="369"/>
      <c r="E806" s="369"/>
      <c r="F806" s="372"/>
      <c r="G806" s="372"/>
      <c r="H806" s="372"/>
      <c r="I806" s="372"/>
      <c r="J806" s="372"/>
      <c r="K806" s="369"/>
      <c r="L806" s="369"/>
      <c r="M806" s="373"/>
      <c r="N806" s="369"/>
      <c r="O806" s="369"/>
      <c r="P806" s="374"/>
      <c r="Q806" s="372"/>
      <c r="R806" s="372"/>
      <c r="S806" s="372"/>
      <c r="T806" s="372"/>
      <c r="U806" s="372"/>
      <c r="V806" s="372"/>
      <c r="W806" s="372"/>
      <c r="X806" s="372"/>
      <c r="Y806" s="372"/>
      <c r="Z806" s="372"/>
      <c r="AA806" s="372"/>
      <c r="AB806" s="372"/>
      <c r="AC806" s="372"/>
      <c r="AD806" s="372"/>
      <c r="AE806" s="372"/>
      <c r="AF806" s="372"/>
      <c r="AG806" s="372"/>
      <c r="AH806" s="372"/>
      <c r="AI806" s="372"/>
      <c r="AJ806" s="372"/>
      <c r="AK806" s="372"/>
      <c r="AL806" s="372"/>
      <c r="AM806" s="372"/>
    </row>
    <row r="807">
      <c r="A807" s="369"/>
      <c r="B807" s="369"/>
      <c r="C807" s="405"/>
      <c r="D807" s="369"/>
      <c r="E807" s="369"/>
      <c r="F807" s="372"/>
      <c r="G807" s="372"/>
      <c r="H807" s="372"/>
      <c r="I807" s="372"/>
      <c r="J807" s="372"/>
      <c r="K807" s="369"/>
      <c r="L807" s="369"/>
      <c r="M807" s="373"/>
      <c r="N807" s="369"/>
      <c r="O807" s="369"/>
      <c r="P807" s="374"/>
      <c r="Q807" s="372"/>
      <c r="R807" s="372"/>
      <c r="S807" s="372"/>
      <c r="T807" s="372"/>
      <c r="U807" s="372"/>
      <c r="V807" s="372"/>
      <c r="W807" s="372"/>
      <c r="X807" s="372"/>
      <c r="Y807" s="372"/>
      <c r="Z807" s="372"/>
      <c r="AA807" s="372"/>
      <c r="AB807" s="372"/>
      <c r="AC807" s="372"/>
      <c r="AD807" s="372"/>
      <c r="AE807" s="372"/>
      <c r="AF807" s="372"/>
      <c r="AG807" s="372"/>
      <c r="AH807" s="372"/>
      <c r="AI807" s="372"/>
      <c r="AJ807" s="372"/>
      <c r="AK807" s="372"/>
      <c r="AL807" s="372"/>
      <c r="AM807" s="372"/>
    </row>
    <row r="808">
      <c r="A808" s="369"/>
      <c r="B808" s="369"/>
      <c r="C808" s="405"/>
      <c r="D808" s="369"/>
      <c r="E808" s="369"/>
      <c r="F808" s="372"/>
      <c r="G808" s="372"/>
      <c r="H808" s="372"/>
      <c r="I808" s="372"/>
      <c r="J808" s="372"/>
      <c r="K808" s="369"/>
      <c r="L808" s="369"/>
      <c r="M808" s="373"/>
      <c r="N808" s="369"/>
      <c r="O808" s="369"/>
      <c r="P808" s="374"/>
      <c r="Q808" s="372"/>
      <c r="R808" s="372"/>
      <c r="S808" s="372"/>
      <c r="T808" s="372"/>
      <c r="U808" s="372"/>
      <c r="V808" s="372"/>
      <c r="W808" s="372"/>
      <c r="X808" s="372"/>
      <c r="Y808" s="372"/>
      <c r="Z808" s="372"/>
      <c r="AA808" s="372"/>
      <c r="AB808" s="372"/>
      <c r="AC808" s="372"/>
      <c r="AD808" s="372"/>
      <c r="AE808" s="372"/>
      <c r="AF808" s="372"/>
      <c r="AG808" s="372"/>
      <c r="AH808" s="372"/>
      <c r="AI808" s="372"/>
      <c r="AJ808" s="372"/>
      <c r="AK808" s="372"/>
      <c r="AL808" s="372"/>
      <c r="AM808" s="372"/>
    </row>
    <row r="809">
      <c r="A809" s="369"/>
      <c r="B809" s="369"/>
      <c r="C809" s="405"/>
      <c r="D809" s="369"/>
      <c r="E809" s="369"/>
      <c r="F809" s="372"/>
      <c r="G809" s="372"/>
      <c r="H809" s="372"/>
      <c r="I809" s="372"/>
      <c r="J809" s="372"/>
      <c r="K809" s="369"/>
      <c r="L809" s="369"/>
      <c r="M809" s="373"/>
      <c r="N809" s="369"/>
      <c r="O809" s="369"/>
      <c r="P809" s="374"/>
      <c r="Q809" s="372"/>
      <c r="R809" s="372"/>
      <c r="S809" s="372"/>
      <c r="T809" s="372"/>
      <c r="U809" s="372"/>
      <c r="V809" s="372"/>
      <c r="W809" s="372"/>
      <c r="X809" s="372"/>
      <c r="Y809" s="372"/>
      <c r="Z809" s="372"/>
      <c r="AA809" s="372"/>
      <c r="AB809" s="372"/>
      <c r="AC809" s="372"/>
      <c r="AD809" s="372"/>
      <c r="AE809" s="372"/>
      <c r="AF809" s="372"/>
      <c r="AG809" s="372"/>
      <c r="AH809" s="372"/>
      <c r="AI809" s="372"/>
      <c r="AJ809" s="372"/>
      <c r="AK809" s="372"/>
      <c r="AL809" s="372"/>
      <c r="AM809" s="372"/>
    </row>
    <row r="810">
      <c r="A810" s="369"/>
      <c r="B810" s="369"/>
      <c r="C810" s="405"/>
      <c r="D810" s="369"/>
      <c r="E810" s="369"/>
      <c r="F810" s="372"/>
      <c r="G810" s="372"/>
      <c r="H810" s="372"/>
      <c r="I810" s="372"/>
      <c r="J810" s="372"/>
      <c r="K810" s="369"/>
      <c r="L810" s="369"/>
      <c r="M810" s="373"/>
      <c r="N810" s="369"/>
      <c r="O810" s="369"/>
      <c r="P810" s="374"/>
      <c r="Q810" s="372"/>
      <c r="R810" s="372"/>
      <c r="S810" s="372"/>
      <c r="T810" s="372"/>
      <c r="U810" s="372"/>
      <c r="V810" s="372"/>
      <c r="W810" s="372"/>
      <c r="X810" s="372"/>
      <c r="Y810" s="372"/>
      <c r="Z810" s="372"/>
      <c r="AA810" s="372"/>
      <c r="AB810" s="372"/>
      <c r="AC810" s="372"/>
      <c r="AD810" s="372"/>
      <c r="AE810" s="372"/>
      <c r="AF810" s="372"/>
      <c r="AG810" s="372"/>
      <c r="AH810" s="372"/>
      <c r="AI810" s="372"/>
      <c r="AJ810" s="372"/>
      <c r="AK810" s="372"/>
      <c r="AL810" s="372"/>
      <c r="AM810" s="372"/>
    </row>
    <row r="811">
      <c r="A811" s="369"/>
      <c r="B811" s="369"/>
      <c r="C811" s="405"/>
      <c r="D811" s="369"/>
      <c r="E811" s="369"/>
      <c r="F811" s="372"/>
      <c r="G811" s="372"/>
      <c r="H811" s="372"/>
      <c r="I811" s="372"/>
      <c r="J811" s="372"/>
      <c r="K811" s="369"/>
      <c r="L811" s="369"/>
      <c r="M811" s="373"/>
      <c r="N811" s="369"/>
      <c r="O811" s="369"/>
      <c r="P811" s="374"/>
      <c r="Q811" s="372"/>
      <c r="R811" s="372"/>
      <c r="S811" s="372"/>
      <c r="T811" s="372"/>
      <c r="U811" s="372"/>
      <c r="V811" s="372"/>
      <c r="W811" s="372"/>
      <c r="X811" s="372"/>
      <c r="Y811" s="372"/>
      <c r="Z811" s="372"/>
      <c r="AA811" s="372"/>
      <c r="AB811" s="372"/>
      <c r="AC811" s="372"/>
      <c r="AD811" s="372"/>
      <c r="AE811" s="372"/>
      <c r="AF811" s="372"/>
      <c r="AG811" s="372"/>
      <c r="AH811" s="372"/>
      <c r="AI811" s="372"/>
      <c r="AJ811" s="372"/>
      <c r="AK811" s="372"/>
      <c r="AL811" s="372"/>
      <c r="AM811" s="372"/>
    </row>
    <row r="812">
      <c r="A812" s="369"/>
      <c r="B812" s="369"/>
      <c r="C812" s="405"/>
      <c r="D812" s="369"/>
      <c r="E812" s="369"/>
      <c r="F812" s="372"/>
      <c r="G812" s="372"/>
      <c r="H812" s="372"/>
      <c r="I812" s="372"/>
      <c r="J812" s="372"/>
      <c r="K812" s="369"/>
      <c r="L812" s="369"/>
      <c r="M812" s="373"/>
      <c r="N812" s="369"/>
      <c r="O812" s="369"/>
      <c r="P812" s="374"/>
      <c r="Q812" s="372"/>
      <c r="R812" s="372"/>
      <c r="S812" s="372"/>
      <c r="T812" s="372"/>
      <c r="U812" s="372"/>
      <c r="V812" s="372"/>
      <c r="W812" s="372"/>
      <c r="X812" s="372"/>
      <c r="Y812" s="372"/>
      <c r="Z812" s="372"/>
      <c r="AA812" s="372"/>
      <c r="AB812" s="372"/>
      <c r="AC812" s="372"/>
      <c r="AD812" s="372"/>
      <c r="AE812" s="372"/>
      <c r="AF812" s="372"/>
      <c r="AG812" s="372"/>
      <c r="AH812" s="372"/>
      <c r="AI812" s="372"/>
      <c r="AJ812" s="372"/>
      <c r="AK812" s="372"/>
      <c r="AL812" s="372"/>
      <c r="AM812" s="372"/>
    </row>
    <row r="813">
      <c r="A813" s="369"/>
      <c r="B813" s="369"/>
      <c r="C813" s="405"/>
      <c r="D813" s="369"/>
      <c r="E813" s="369"/>
      <c r="F813" s="372"/>
      <c r="G813" s="372"/>
      <c r="H813" s="372"/>
      <c r="I813" s="372"/>
      <c r="J813" s="372"/>
      <c r="K813" s="369"/>
      <c r="L813" s="369"/>
      <c r="M813" s="373"/>
      <c r="N813" s="369"/>
      <c r="O813" s="369"/>
      <c r="P813" s="374"/>
      <c r="Q813" s="372"/>
      <c r="R813" s="372"/>
      <c r="S813" s="372"/>
      <c r="T813" s="372"/>
      <c r="U813" s="372"/>
      <c r="V813" s="372"/>
      <c r="W813" s="372"/>
      <c r="X813" s="372"/>
      <c r="Y813" s="372"/>
      <c r="Z813" s="372"/>
      <c r="AA813" s="372"/>
      <c r="AB813" s="372"/>
      <c r="AC813" s="372"/>
      <c r="AD813" s="372"/>
      <c r="AE813" s="372"/>
      <c r="AF813" s="372"/>
      <c r="AG813" s="372"/>
      <c r="AH813" s="372"/>
      <c r="AI813" s="372"/>
      <c r="AJ813" s="372"/>
      <c r="AK813" s="372"/>
      <c r="AL813" s="372"/>
      <c r="AM813" s="372"/>
    </row>
    <row r="814">
      <c r="A814" s="369"/>
      <c r="B814" s="369"/>
      <c r="C814" s="405"/>
      <c r="D814" s="369"/>
      <c r="E814" s="369"/>
      <c r="F814" s="372"/>
      <c r="G814" s="372"/>
      <c r="H814" s="372"/>
      <c r="I814" s="372"/>
      <c r="J814" s="372"/>
      <c r="K814" s="369"/>
      <c r="L814" s="369"/>
      <c r="M814" s="373"/>
      <c r="N814" s="369"/>
      <c r="O814" s="369"/>
      <c r="P814" s="374"/>
      <c r="Q814" s="372"/>
      <c r="R814" s="372"/>
      <c r="S814" s="372"/>
      <c r="T814" s="372"/>
      <c r="U814" s="372"/>
      <c r="V814" s="372"/>
      <c r="W814" s="372"/>
      <c r="X814" s="372"/>
      <c r="Y814" s="372"/>
      <c r="Z814" s="372"/>
      <c r="AA814" s="372"/>
      <c r="AB814" s="372"/>
      <c r="AC814" s="372"/>
      <c r="AD814" s="372"/>
      <c r="AE814" s="372"/>
      <c r="AF814" s="372"/>
      <c r="AG814" s="372"/>
      <c r="AH814" s="372"/>
      <c r="AI814" s="372"/>
      <c r="AJ814" s="372"/>
      <c r="AK814" s="372"/>
      <c r="AL814" s="372"/>
      <c r="AM814" s="372"/>
    </row>
    <row r="815">
      <c r="A815" s="369"/>
      <c r="B815" s="369"/>
      <c r="C815" s="405"/>
      <c r="D815" s="369"/>
      <c r="E815" s="369"/>
      <c r="F815" s="372"/>
      <c r="G815" s="372"/>
      <c r="H815" s="372"/>
      <c r="I815" s="372"/>
      <c r="J815" s="372"/>
      <c r="K815" s="369"/>
      <c r="L815" s="369"/>
      <c r="M815" s="373"/>
      <c r="N815" s="369"/>
      <c r="O815" s="369"/>
      <c r="P815" s="374"/>
      <c r="Q815" s="372"/>
      <c r="R815" s="372"/>
      <c r="S815" s="372"/>
      <c r="T815" s="372"/>
      <c r="U815" s="372"/>
      <c r="V815" s="372"/>
      <c r="W815" s="372"/>
      <c r="X815" s="372"/>
      <c r="Y815" s="372"/>
      <c r="Z815" s="372"/>
      <c r="AA815" s="372"/>
      <c r="AB815" s="372"/>
      <c r="AC815" s="372"/>
      <c r="AD815" s="372"/>
      <c r="AE815" s="372"/>
      <c r="AF815" s="372"/>
      <c r="AG815" s="372"/>
      <c r="AH815" s="372"/>
      <c r="AI815" s="372"/>
      <c r="AJ815" s="372"/>
      <c r="AK815" s="372"/>
      <c r="AL815" s="372"/>
      <c r="AM815" s="372"/>
    </row>
    <row r="816">
      <c r="A816" s="369"/>
      <c r="B816" s="369"/>
      <c r="C816" s="405"/>
      <c r="D816" s="369"/>
      <c r="E816" s="369"/>
      <c r="F816" s="372"/>
      <c r="G816" s="372"/>
      <c r="H816" s="372"/>
      <c r="I816" s="372"/>
      <c r="J816" s="372"/>
      <c r="K816" s="369"/>
      <c r="L816" s="369"/>
      <c r="M816" s="373"/>
      <c r="N816" s="369"/>
      <c r="O816" s="369"/>
      <c r="P816" s="374"/>
      <c r="Q816" s="372"/>
      <c r="R816" s="372"/>
      <c r="S816" s="372"/>
      <c r="T816" s="372"/>
      <c r="U816" s="372"/>
      <c r="V816" s="372"/>
      <c r="W816" s="372"/>
      <c r="X816" s="372"/>
      <c r="Y816" s="372"/>
      <c r="Z816" s="372"/>
      <c r="AA816" s="372"/>
      <c r="AB816" s="372"/>
      <c r="AC816" s="372"/>
      <c r="AD816" s="372"/>
      <c r="AE816" s="372"/>
      <c r="AF816" s="372"/>
      <c r="AG816" s="372"/>
      <c r="AH816" s="372"/>
      <c r="AI816" s="372"/>
      <c r="AJ816" s="372"/>
      <c r="AK816" s="372"/>
      <c r="AL816" s="372"/>
      <c r="AM816" s="372"/>
    </row>
    <row r="817">
      <c r="A817" s="369"/>
      <c r="B817" s="369"/>
      <c r="C817" s="405"/>
      <c r="D817" s="369"/>
      <c r="E817" s="369"/>
      <c r="F817" s="372"/>
      <c r="G817" s="372"/>
      <c r="H817" s="372"/>
      <c r="I817" s="372"/>
      <c r="J817" s="372"/>
      <c r="K817" s="369"/>
      <c r="L817" s="369"/>
      <c r="M817" s="373"/>
      <c r="N817" s="369"/>
      <c r="O817" s="369"/>
      <c r="P817" s="374"/>
      <c r="Q817" s="372"/>
      <c r="R817" s="372"/>
      <c r="S817" s="372"/>
      <c r="T817" s="372"/>
      <c r="U817" s="372"/>
      <c r="V817" s="372"/>
      <c r="W817" s="372"/>
      <c r="X817" s="372"/>
      <c r="Y817" s="372"/>
      <c r="Z817" s="372"/>
      <c r="AA817" s="372"/>
      <c r="AB817" s="372"/>
      <c r="AC817" s="372"/>
      <c r="AD817" s="372"/>
      <c r="AE817" s="372"/>
      <c r="AF817" s="372"/>
      <c r="AG817" s="372"/>
      <c r="AH817" s="372"/>
      <c r="AI817" s="372"/>
      <c r="AJ817" s="372"/>
      <c r="AK817" s="372"/>
      <c r="AL817" s="372"/>
      <c r="AM817" s="372"/>
    </row>
    <row r="818">
      <c r="A818" s="369"/>
      <c r="B818" s="369"/>
      <c r="C818" s="405"/>
      <c r="D818" s="369"/>
      <c r="E818" s="369"/>
      <c r="F818" s="372"/>
      <c r="G818" s="372"/>
      <c r="H818" s="372"/>
      <c r="I818" s="372"/>
      <c r="J818" s="372"/>
      <c r="K818" s="369"/>
      <c r="L818" s="369"/>
      <c r="M818" s="373"/>
      <c r="N818" s="369"/>
      <c r="O818" s="369"/>
      <c r="P818" s="374"/>
      <c r="Q818" s="372"/>
      <c r="R818" s="372"/>
      <c r="S818" s="372"/>
      <c r="T818" s="372"/>
      <c r="U818" s="372"/>
      <c r="V818" s="372"/>
      <c r="W818" s="372"/>
      <c r="X818" s="372"/>
      <c r="Y818" s="372"/>
      <c r="Z818" s="372"/>
      <c r="AA818" s="372"/>
      <c r="AB818" s="372"/>
      <c r="AC818" s="372"/>
      <c r="AD818" s="372"/>
      <c r="AE818" s="372"/>
      <c r="AF818" s="372"/>
      <c r="AG818" s="372"/>
      <c r="AH818" s="372"/>
      <c r="AI818" s="372"/>
      <c r="AJ818" s="372"/>
      <c r="AK818" s="372"/>
      <c r="AL818" s="372"/>
      <c r="AM818" s="372"/>
    </row>
    <row r="819">
      <c r="A819" s="369"/>
      <c r="B819" s="369"/>
      <c r="C819" s="405"/>
      <c r="D819" s="369"/>
      <c r="E819" s="369"/>
      <c r="F819" s="372"/>
      <c r="G819" s="372"/>
      <c r="H819" s="372"/>
      <c r="I819" s="372"/>
      <c r="J819" s="372"/>
      <c r="K819" s="369"/>
      <c r="L819" s="369"/>
      <c r="M819" s="373"/>
      <c r="N819" s="369"/>
      <c r="O819" s="369"/>
      <c r="P819" s="374"/>
      <c r="Q819" s="372"/>
      <c r="R819" s="372"/>
      <c r="S819" s="372"/>
      <c r="T819" s="372"/>
      <c r="U819" s="372"/>
      <c r="V819" s="372"/>
      <c r="W819" s="372"/>
      <c r="X819" s="372"/>
      <c r="Y819" s="372"/>
      <c r="Z819" s="372"/>
      <c r="AA819" s="372"/>
      <c r="AB819" s="372"/>
      <c r="AC819" s="372"/>
      <c r="AD819" s="372"/>
      <c r="AE819" s="372"/>
      <c r="AF819" s="372"/>
      <c r="AG819" s="372"/>
      <c r="AH819" s="372"/>
      <c r="AI819" s="372"/>
      <c r="AJ819" s="372"/>
      <c r="AK819" s="372"/>
      <c r="AL819" s="372"/>
      <c r="AM819" s="372"/>
    </row>
    <row r="820">
      <c r="A820" s="369"/>
      <c r="B820" s="369"/>
      <c r="C820" s="405"/>
      <c r="D820" s="369"/>
      <c r="E820" s="369"/>
      <c r="F820" s="372"/>
      <c r="G820" s="372"/>
      <c r="H820" s="372"/>
      <c r="I820" s="372"/>
      <c r="J820" s="372"/>
      <c r="K820" s="369"/>
      <c r="L820" s="369"/>
      <c r="M820" s="373"/>
      <c r="N820" s="369"/>
      <c r="O820" s="369"/>
      <c r="P820" s="374"/>
      <c r="Q820" s="372"/>
      <c r="R820" s="372"/>
      <c r="S820" s="372"/>
      <c r="T820" s="372"/>
      <c r="U820" s="372"/>
      <c r="V820" s="372"/>
      <c r="W820" s="372"/>
      <c r="X820" s="372"/>
      <c r="Y820" s="372"/>
      <c r="Z820" s="372"/>
      <c r="AA820" s="372"/>
      <c r="AB820" s="372"/>
      <c r="AC820" s="372"/>
      <c r="AD820" s="372"/>
      <c r="AE820" s="372"/>
      <c r="AF820" s="372"/>
      <c r="AG820" s="372"/>
      <c r="AH820" s="372"/>
      <c r="AI820" s="372"/>
      <c r="AJ820" s="372"/>
      <c r="AK820" s="372"/>
      <c r="AL820" s="372"/>
      <c r="AM820" s="372"/>
    </row>
    <row r="821">
      <c r="A821" s="369"/>
      <c r="B821" s="369"/>
      <c r="C821" s="405"/>
      <c r="D821" s="369"/>
      <c r="E821" s="369"/>
      <c r="F821" s="372"/>
      <c r="G821" s="372"/>
      <c r="H821" s="372"/>
      <c r="I821" s="372"/>
      <c r="J821" s="372"/>
      <c r="K821" s="369"/>
      <c r="L821" s="369"/>
      <c r="M821" s="373"/>
      <c r="N821" s="369"/>
      <c r="O821" s="369"/>
      <c r="P821" s="374"/>
      <c r="Q821" s="372"/>
      <c r="R821" s="372"/>
      <c r="S821" s="372"/>
      <c r="T821" s="372"/>
      <c r="U821" s="372"/>
      <c r="V821" s="372"/>
      <c r="W821" s="372"/>
      <c r="X821" s="372"/>
      <c r="Y821" s="372"/>
      <c r="Z821" s="372"/>
      <c r="AA821" s="372"/>
      <c r="AB821" s="372"/>
      <c r="AC821" s="372"/>
      <c r="AD821" s="372"/>
      <c r="AE821" s="372"/>
      <c r="AF821" s="372"/>
      <c r="AG821" s="372"/>
      <c r="AH821" s="372"/>
      <c r="AI821" s="372"/>
      <c r="AJ821" s="372"/>
      <c r="AK821" s="372"/>
      <c r="AL821" s="372"/>
      <c r="AM821" s="372"/>
    </row>
    <row r="822">
      <c r="A822" s="369"/>
      <c r="B822" s="369"/>
      <c r="C822" s="405"/>
      <c r="D822" s="369"/>
      <c r="E822" s="369"/>
      <c r="F822" s="372"/>
      <c r="G822" s="372"/>
      <c r="H822" s="372"/>
      <c r="I822" s="372"/>
      <c r="J822" s="372"/>
      <c r="K822" s="369"/>
      <c r="L822" s="369"/>
      <c r="M822" s="373"/>
      <c r="N822" s="369"/>
      <c r="O822" s="369"/>
      <c r="P822" s="374"/>
      <c r="Q822" s="372"/>
      <c r="R822" s="372"/>
      <c r="S822" s="372"/>
      <c r="T822" s="372"/>
      <c r="U822" s="372"/>
      <c r="V822" s="372"/>
      <c r="W822" s="372"/>
      <c r="X822" s="372"/>
      <c r="Y822" s="372"/>
      <c r="Z822" s="372"/>
      <c r="AA822" s="372"/>
      <c r="AB822" s="372"/>
      <c r="AC822" s="372"/>
      <c r="AD822" s="372"/>
      <c r="AE822" s="372"/>
      <c r="AF822" s="372"/>
      <c r="AG822" s="372"/>
      <c r="AH822" s="372"/>
      <c r="AI822" s="372"/>
      <c r="AJ822" s="372"/>
      <c r="AK822" s="372"/>
      <c r="AL822" s="372"/>
      <c r="AM822" s="372"/>
    </row>
    <row r="823">
      <c r="A823" s="369"/>
      <c r="B823" s="369"/>
      <c r="C823" s="405"/>
      <c r="D823" s="369"/>
      <c r="E823" s="369"/>
      <c r="F823" s="372"/>
      <c r="G823" s="372"/>
      <c r="H823" s="372"/>
      <c r="I823" s="372"/>
      <c r="J823" s="372"/>
      <c r="K823" s="369"/>
      <c r="L823" s="369"/>
      <c r="M823" s="373"/>
      <c r="N823" s="369"/>
      <c r="O823" s="369"/>
      <c r="P823" s="374"/>
      <c r="Q823" s="372"/>
      <c r="R823" s="372"/>
      <c r="S823" s="372"/>
      <c r="T823" s="372"/>
      <c r="U823" s="372"/>
      <c r="V823" s="372"/>
      <c r="W823" s="372"/>
      <c r="X823" s="372"/>
      <c r="Y823" s="372"/>
      <c r="Z823" s="372"/>
      <c r="AA823" s="372"/>
      <c r="AB823" s="372"/>
      <c r="AC823" s="372"/>
      <c r="AD823" s="372"/>
      <c r="AE823" s="372"/>
      <c r="AF823" s="372"/>
      <c r="AG823" s="372"/>
      <c r="AH823" s="372"/>
      <c r="AI823" s="372"/>
      <c r="AJ823" s="372"/>
      <c r="AK823" s="372"/>
      <c r="AL823" s="372"/>
      <c r="AM823" s="372"/>
    </row>
    <row r="824">
      <c r="A824" s="369"/>
      <c r="B824" s="369"/>
      <c r="C824" s="405"/>
      <c r="D824" s="369"/>
      <c r="E824" s="369"/>
      <c r="F824" s="372"/>
      <c r="G824" s="372"/>
      <c r="H824" s="372"/>
      <c r="I824" s="372"/>
      <c r="J824" s="372"/>
      <c r="K824" s="369"/>
      <c r="L824" s="369"/>
      <c r="M824" s="373"/>
      <c r="N824" s="369"/>
      <c r="O824" s="369"/>
      <c r="P824" s="374"/>
      <c r="Q824" s="372"/>
      <c r="R824" s="372"/>
      <c r="S824" s="372"/>
      <c r="T824" s="372"/>
      <c r="U824" s="372"/>
      <c r="V824" s="372"/>
      <c r="W824" s="372"/>
      <c r="X824" s="372"/>
      <c r="Y824" s="372"/>
      <c r="Z824" s="372"/>
      <c r="AA824" s="372"/>
      <c r="AB824" s="372"/>
      <c r="AC824" s="372"/>
      <c r="AD824" s="372"/>
      <c r="AE824" s="372"/>
      <c r="AF824" s="372"/>
      <c r="AG824" s="372"/>
      <c r="AH824" s="372"/>
      <c r="AI824" s="372"/>
      <c r="AJ824" s="372"/>
      <c r="AK824" s="372"/>
      <c r="AL824" s="372"/>
      <c r="AM824" s="372"/>
    </row>
    <row r="825">
      <c r="A825" s="369"/>
      <c r="B825" s="369"/>
      <c r="C825" s="405"/>
      <c r="D825" s="369"/>
      <c r="E825" s="369"/>
      <c r="F825" s="372"/>
      <c r="G825" s="372"/>
      <c r="H825" s="372"/>
      <c r="I825" s="372"/>
      <c r="J825" s="372"/>
      <c r="K825" s="369"/>
      <c r="L825" s="369"/>
      <c r="M825" s="373"/>
      <c r="N825" s="369"/>
      <c r="O825" s="369"/>
      <c r="P825" s="374"/>
      <c r="Q825" s="372"/>
      <c r="R825" s="372"/>
      <c r="S825" s="372"/>
      <c r="T825" s="372"/>
      <c r="U825" s="372"/>
      <c r="V825" s="372"/>
      <c r="W825" s="372"/>
      <c r="X825" s="372"/>
      <c r="Y825" s="372"/>
      <c r="Z825" s="372"/>
      <c r="AA825" s="372"/>
      <c r="AB825" s="372"/>
      <c r="AC825" s="372"/>
      <c r="AD825" s="372"/>
      <c r="AE825" s="372"/>
      <c r="AF825" s="372"/>
      <c r="AG825" s="372"/>
      <c r="AH825" s="372"/>
      <c r="AI825" s="372"/>
      <c r="AJ825" s="372"/>
      <c r="AK825" s="372"/>
      <c r="AL825" s="372"/>
      <c r="AM825" s="372"/>
    </row>
    <row r="826">
      <c r="A826" s="369"/>
      <c r="B826" s="369"/>
      <c r="C826" s="405"/>
      <c r="D826" s="369"/>
      <c r="E826" s="369"/>
      <c r="F826" s="372"/>
      <c r="G826" s="372"/>
      <c r="H826" s="372"/>
      <c r="I826" s="372"/>
      <c r="J826" s="372"/>
      <c r="K826" s="369"/>
      <c r="L826" s="369"/>
      <c r="M826" s="373"/>
      <c r="N826" s="369"/>
      <c r="O826" s="369"/>
      <c r="P826" s="374"/>
      <c r="Q826" s="372"/>
      <c r="R826" s="372"/>
      <c r="S826" s="372"/>
      <c r="T826" s="372"/>
      <c r="U826" s="372"/>
      <c r="V826" s="372"/>
      <c r="W826" s="372"/>
      <c r="X826" s="372"/>
      <c r="Y826" s="372"/>
      <c r="Z826" s="372"/>
      <c r="AA826" s="372"/>
      <c r="AB826" s="372"/>
      <c r="AC826" s="372"/>
      <c r="AD826" s="372"/>
      <c r="AE826" s="372"/>
      <c r="AF826" s="372"/>
      <c r="AG826" s="372"/>
      <c r="AH826" s="372"/>
      <c r="AI826" s="372"/>
      <c r="AJ826" s="372"/>
      <c r="AK826" s="372"/>
      <c r="AL826" s="372"/>
      <c r="AM826" s="372"/>
    </row>
    <row r="827">
      <c r="A827" s="369"/>
      <c r="B827" s="369"/>
      <c r="C827" s="405"/>
      <c r="D827" s="369"/>
      <c r="E827" s="369"/>
      <c r="F827" s="372"/>
      <c r="G827" s="372"/>
      <c r="H827" s="372"/>
      <c r="I827" s="372"/>
      <c r="J827" s="372"/>
      <c r="K827" s="369"/>
      <c r="L827" s="369"/>
      <c r="M827" s="373"/>
      <c r="N827" s="369"/>
      <c r="O827" s="369"/>
      <c r="P827" s="374"/>
      <c r="Q827" s="372"/>
      <c r="R827" s="372"/>
      <c r="S827" s="372"/>
      <c r="T827" s="372"/>
      <c r="U827" s="372"/>
      <c r="V827" s="372"/>
      <c r="W827" s="372"/>
      <c r="X827" s="372"/>
      <c r="Y827" s="372"/>
      <c r="Z827" s="372"/>
      <c r="AA827" s="372"/>
      <c r="AB827" s="372"/>
      <c r="AC827" s="372"/>
      <c r="AD827" s="372"/>
      <c r="AE827" s="372"/>
      <c r="AF827" s="372"/>
      <c r="AG827" s="372"/>
      <c r="AH827" s="372"/>
      <c r="AI827" s="372"/>
      <c r="AJ827" s="372"/>
      <c r="AK827" s="372"/>
      <c r="AL827" s="372"/>
      <c r="AM827" s="372"/>
    </row>
    <row r="828">
      <c r="A828" s="369"/>
      <c r="B828" s="369"/>
      <c r="C828" s="405"/>
      <c r="D828" s="369"/>
      <c r="E828" s="369"/>
      <c r="F828" s="372"/>
      <c r="G828" s="372"/>
      <c r="H828" s="372"/>
      <c r="I828" s="372"/>
      <c r="J828" s="372"/>
      <c r="K828" s="369"/>
      <c r="L828" s="369"/>
      <c r="M828" s="373"/>
      <c r="N828" s="369"/>
      <c r="O828" s="369"/>
      <c r="P828" s="374"/>
      <c r="Q828" s="372"/>
      <c r="R828" s="372"/>
      <c r="S828" s="372"/>
      <c r="T828" s="372"/>
      <c r="U828" s="372"/>
      <c r="V828" s="372"/>
      <c r="W828" s="372"/>
      <c r="X828" s="372"/>
      <c r="Y828" s="372"/>
      <c r="Z828" s="372"/>
      <c r="AA828" s="372"/>
      <c r="AB828" s="372"/>
      <c r="AC828" s="372"/>
      <c r="AD828" s="372"/>
      <c r="AE828" s="372"/>
      <c r="AF828" s="372"/>
      <c r="AG828" s="372"/>
      <c r="AH828" s="372"/>
      <c r="AI828" s="372"/>
      <c r="AJ828" s="372"/>
      <c r="AK828" s="372"/>
      <c r="AL828" s="372"/>
      <c r="AM828" s="372"/>
    </row>
    <row r="829">
      <c r="A829" s="369"/>
      <c r="B829" s="369"/>
      <c r="C829" s="405"/>
      <c r="D829" s="369"/>
      <c r="E829" s="369"/>
      <c r="F829" s="372"/>
      <c r="G829" s="372"/>
      <c r="H829" s="372"/>
      <c r="I829" s="372"/>
      <c r="J829" s="372"/>
      <c r="K829" s="369"/>
      <c r="L829" s="369"/>
      <c r="M829" s="373"/>
      <c r="N829" s="369"/>
      <c r="O829" s="369"/>
      <c r="P829" s="374"/>
      <c r="Q829" s="372"/>
      <c r="R829" s="372"/>
      <c r="S829" s="372"/>
      <c r="T829" s="372"/>
      <c r="U829" s="372"/>
      <c r="V829" s="372"/>
      <c r="W829" s="372"/>
      <c r="X829" s="372"/>
      <c r="Y829" s="372"/>
      <c r="Z829" s="372"/>
      <c r="AA829" s="372"/>
      <c r="AB829" s="372"/>
      <c r="AC829" s="372"/>
      <c r="AD829" s="372"/>
      <c r="AE829" s="372"/>
      <c r="AF829" s="372"/>
      <c r="AG829" s="372"/>
      <c r="AH829" s="372"/>
      <c r="AI829" s="372"/>
      <c r="AJ829" s="372"/>
      <c r="AK829" s="372"/>
      <c r="AL829" s="372"/>
      <c r="AM829" s="372"/>
    </row>
    <row r="830">
      <c r="A830" s="369"/>
      <c r="B830" s="369"/>
      <c r="C830" s="405"/>
      <c r="D830" s="369"/>
      <c r="E830" s="369"/>
      <c r="F830" s="372"/>
      <c r="G830" s="372"/>
      <c r="H830" s="372"/>
      <c r="I830" s="372"/>
      <c r="J830" s="372"/>
      <c r="K830" s="369"/>
      <c r="L830" s="369"/>
      <c r="M830" s="373"/>
      <c r="N830" s="369"/>
      <c r="O830" s="369"/>
      <c r="P830" s="374"/>
      <c r="Q830" s="372"/>
      <c r="R830" s="372"/>
      <c r="S830" s="372"/>
      <c r="T830" s="372"/>
      <c r="U830" s="372"/>
      <c r="V830" s="372"/>
      <c r="W830" s="372"/>
      <c r="X830" s="372"/>
      <c r="Y830" s="372"/>
      <c r="Z830" s="372"/>
      <c r="AA830" s="372"/>
      <c r="AB830" s="372"/>
      <c r="AC830" s="372"/>
      <c r="AD830" s="372"/>
      <c r="AE830" s="372"/>
      <c r="AF830" s="372"/>
      <c r="AG830" s="372"/>
      <c r="AH830" s="372"/>
      <c r="AI830" s="372"/>
      <c r="AJ830" s="372"/>
      <c r="AK830" s="372"/>
      <c r="AL830" s="372"/>
      <c r="AM830" s="372"/>
    </row>
    <row r="831">
      <c r="A831" s="369"/>
      <c r="B831" s="369"/>
      <c r="C831" s="405"/>
      <c r="D831" s="369"/>
      <c r="E831" s="369"/>
      <c r="F831" s="372"/>
      <c r="G831" s="372"/>
      <c r="H831" s="372"/>
      <c r="I831" s="372"/>
      <c r="J831" s="372"/>
      <c r="K831" s="369"/>
      <c r="L831" s="369"/>
      <c r="M831" s="373"/>
      <c r="N831" s="369"/>
      <c r="O831" s="369"/>
      <c r="P831" s="374"/>
      <c r="Q831" s="372"/>
      <c r="R831" s="372"/>
      <c r="S831" s="372"/>
      <c r="T831" s="372"/>
      <c r="U831" s="372"/>
      <c r="V831" s="372"/>
      <c r="W831" s="372"/>
      <c r="X831" s="372"/>
      <c r="Y831" s="372"/>
      <c r="Z831" s="372"/>
      <c r="AA831" s="372"/>
      <c r="AB831" s="372"/>
      <c r="AC831" s="372"/>
      <c r="AD831" s="372"/>
      <c r="AE831" s="372"/>
      <c r="AF831" s="372"/>
      <c r="AG831" s="372"/>
      <c r="AH831" s="372"/>
      <c r="AI831" s="372"/>
      <c r="AJ831" s="372"/>
      <c r="AK831" s="372"/>
      <c r="AL831" s="372"/>
      <c r="AM831" s="372"/>
    </row>
    <row r="832">
      <c r="A832" s="369"/>
      <c r="B832" s="369"/>
      <c r="C832" s="405"/>
      <c r="D832" s="369"/>
      <c r="E832" s="369"/>
      <c r="F832" s="372"/>
      <c r="G832" s="372"/>
      <c r="H832" s="372"/>
      <c r="I832" s="372"/>
      <c r="J832" s="372"/>
      <c r="K832" s="369"/>
      <c r="L832" s="369"/>
      <c r="M832" s="373"/>
      <c r="N832" s="369"/>
      <c r="O832" s="369"/>
      <c r="P832" s="374"/>
      <c r="Q832" s="372"/>
      <c r="R832" s="372"/>
      <c r="S832" s="372"/>
      <c r="T832" s="372"/>
      <c r="U832" s="372"/>
      <c r="V832" s="372"/>
      <c r="W832" s="372"/>
      <c r="X832" s="372"/>
      <c r="Y832" s="372"/>
      <c r="Z832" s="372"/>
      <c r="AA832" s="372"/>
      <c r="AB832" s="372"/>
      <c r="AC832" s="372"/>
      <c r="AD832" s="372"/>
      <c r="AE832" s="372"/>
      <c r="AF832" s="372"/>
      <c r="AG832" s="372"/>
      <c r="AH832" s="372"/>
      <c r="AI832" s="372"/>
      <c r="AJ832" s="372"/>
      <c r="AK832" s="372"/>
      <c r="AL832" s="372"/>
      <c r="AM832" s="372"/>
    </row>
    <row r="833">
      <c r="A833" s="369"/>
      <c r="B833" s="369"/>
      <c r="C833" s="405"/>
      <c r="D833" s="369"/>
      <c r="E833" s="369"/>
      <c r="F833" s="372"/>
      <c r="G833" s="372"/>
      <c r="H833" s="372"/>
      <c r="I833" s="372"/>
      <c r="J833" s="372"/>
      <c r="K833" s="369"/>
      <c r="L833" s="369"/>
      <c r="M833" s="373"/>
      <c r="N833" s="369"/>
      <c r="O833" s="369"/>
      <c r="P833" s="374"/>
      <c r="Q833" s="372"/>
      <c r="R833" s="372"/>
      <c r="S833" s="372"/>
      <c r="T833" s="372"/>
      <c r="U833" s="372"/>
      <c r="V833" s="372"/>
      <c r="W833" s="372"/>
      <c r="X833" s="372"/>
      <c r="Y833" s="372"/>
      <c r="Z833" s="372"/>
      <c r="AA833" s="372"/>
      <c r="AB833" s="372"/>
      <c r="AC833" s="372"/>
      <c r="AD833" s="372"/>
      <c r="AE833" s="372"/>
      <c r="AF833" s="372"/>
      <c r="AG833" s="372"/>
      <c r="AH833" s="372"/>
      <c r="AI833" s="372"/>
      <c r="AJ833" s="372"/>
      <c r="AK833" s="372"/>
      <c r="AL833" s="372"/>
      <c r="AM833" s="372"/>
    </row>
    <row r="834">
      <c r="A834" s="369"/>
      <c r="B834" s="369"/>
      <c r="C834" s="405"/>
      <c r="D834" s="369"/>
      <c r="E834" s="369"/>
      <c r="F834" s="372"/>
      <c r="G834" s="372"/>
      <c r="H834" s="372"/>
      <c r="I834" s="372"/>
      <c r="J834" s="372"/>
      <c r="K834" s="369"/>
      <c r="L834" s="369"/>
      <c r="M834" s="373"/>
      <c r="N834" s="369"/>
      <c r="O834" s="369"/>
      <c r="P834" s="374"/>
      <c r="Q834" s="372"/>
      <c r="R834" s="372"/>
      <c r="S834" s="372"/>
      <c r="T834" s="372"/>
      <c r="U834" s="372"/>
      <c r="V834" s="372"/>
      <c r="W834" s="372"/>
      <c r="X834" s="372"/>
      <c r="Y834" s="372"/>
      <c r="Z834" s="372"/>
      <c r="AA834" s="372"/>
      <c r="AB834" s="372"/>
      <c r="AC834" s="372"/>
      <c r="AD834" s="372"/>
      <c r="AE834" s="372"/>
      <c r="AF834" s="372"/>
      <c r="AG834" s="372"/>
      <c r="AH834" s="372"/>
      <c r="AI834" s="372"/>
      <c r="AJ834" s="372"/>
      <c r="AK834" s="372"/>
      <c r="AL834" s="372"/>
      <c r="AM834" s="372"/>
    </row>
    <row r="835">
      <c r="A835" s="369"/>
      <c r="B835" s="369"/>
      <c r="C835" s="405"/>
      <c r="D835" s="369"/>
      <c r="E835" s="369"/>
      <c r="F835" s="372"/>
      <c r="G835" s="372"/>
      <c r="H835" s="372"/>
      <c r="I835" s="372"/>
      <c r="J835" s="372"/>
      <c r="K835" s="369"/>
      <c r="L835" s="369"/>
      <c r="M835" s="373"/>
      <c r="N835" s="369"/>
      <c r="O835" s="369"/>
      <c r="P835" s="374"/>
      <c r="Q835" s="372"/>
      <c r="R835" s="372"/>
      <c r="S835" s="372"/>
      <c r="T835" s="372"/>
      <c r="U835" s="372"/>
      <c r="V835" s="372"/>
      <c r="W835" s="372"/>
      <c r="X835" s="372"/>
      <c r="Y835" s="372"/>
      <c r="Z835" s="372"/>
      <c r="AA835" s="372"/>
      <c r="AB835" s="372"/>
      <c r="AC835" s="372"/>
      <c r="AD835" s="372"/>
      <c r="AE835" s="372"/>
      <c r="AF835" s="372"/>
      <c r="AG835" s="372"/>
      <c r="AH835" s="372"/>
      <c r="AI835" s="372"/>
      <c r="AJ835" s="372"/>
      <c r="AK835" s="372"/>
      <c r="AL835" s="372"/>
      <c r="AM835" s="372"/>
    </row>
    <row r="836">
      <c r="A836" s="369"/>
      <c r="B836" s="369"/>
      <c r="C836" s="405"/>
      <c r="D836" s="369"/>
      <c r="E836" s="369"/>
      <c r="F836" s="372"/>
      <c r="G836" s="372"/>
      <c r="H836" s="372"/>
      <c r="I836" s="372"/>
      <c r="J836" s="372"/>
      <c r="K836" s="369"/>
      <c r="L836" s="369"/>
      <c r="M836" s="373"/>
      <c r="N836" s="369"/>
      <c r="O836" s="369"/>
      <c r="P836" s="374"/>
      <c r="Q836" s="372"/>
      <c r="R836" s="372"/>
      <c r="S836" s="372"/>
      <c r="T836" s="372"/>
      <c r="U836" s="372"/>
      <c r="V836" s="372"/>
      <c r="W836" s="372"/>
      <c r="X836" s="372"/>
      <c r="Y836" s="372"/>
      <c r="Z836" s="372"/>
      <c r="AA836" s="372"/>
      <c r="AB836" s="372"/>
      <c r="AC836" s="372"/>
      <c r="AD836" s="372"/>
      <c r="AE836" s="372"/>
      <c r="AF836" s="372"/>
      <c r="AG836" s="372"/>
      <c r="AH836" s="372"/>
      <c r="AI836" s="372"/>
      <c r="AJ836" s="372"/>
      <c r="AK836" s="372"/>
      <c r="AL836" s="372"/>
      <c r="AM836" s="372"/>
    </row>
    <row r="837">
      <c r="A837" s="369"/>
      <c r="B837" s="369"/>
      <c r="C837" s="405"/>
      <c r="D837" s="369"/>
      <c r="E837" s="369"/>
      <c r="F837" s="372"/>
      <c r="G837" s="372"/>
      <c r="H837" s="372"/>
      <c r="I837" s="372"/>
      <c r="J837" s="372"/>
      <c r="K837" s="369"/>
      <c r="L837" s="369"/>
      <c r="M837" s="373"/>
      <c r="N837" s="369"/>
      <c r="O837" s="369"/>
      <c r="P837" s="374"/>
      <c r="Q837" s="372"/>
      <c r="R837" s="372"/>
      <c r="S837" s="372"/>
      <c r="T837" s="372"/>
      <c r="U837" s="372"/>
      <c r="V837" s="372"/>
      <c r="W837" s="372"/>
      <c r="X837" s="372"/>
      <c r="Y837" s="372"/>
      <c r="Z837" s="372"/>
      <c r="AA837" s="372"/>
      <c r="AB837" s="372"/>
      <c r="AC837" s="372"/>
      <c r="AD837" s="372"/>
      <c r="AE837" s="372"/>
      <c r="AF837" s="372"/>
      <c r="AG837" s="372"/>
      <c r="AH837" s="372"/>
      <c r="AI837" s="372"/>
      <c r="AJ837" s="372"/>
      <c r="AK837" s="372"/>
      <c r="AL837" s="372"/>
      <c r="AM837" s="372"/>
    </row>
    <row r="838">
      <c r="A838" s="369"/>
      <c r="B838" s="369"/>
      <c r="C838" s="405"/>
      <c r="D838" s="369"/>
      <c r="E838" s="369"/>
      <c r="F838" s="372"/>
      <c r="G838" s="372"/>
      <c r="H838" s="372"/>
      <c r="I838" s="372"/>
      <c r="J838" s="372"/>
      <c r="K838" s="369"/>
      <c r="L838" s="369"/>
      <c r="M838" s="373"/>
      <c r="N838" s="369"/>
      <c r="O838" s="369"/>
      <c r="P838" s="374"/>
      <c r="Q838" s="372"/>
      <c r="R838" s="372"/>
      <c r="S838" s="372"/>
      <c r="T838" s="372"/>
      <c r="U838" s="372"/>
      <c r="V838" s="372"/>
      <c r="W838" s="372"/>
      <c r="X838" s="372"/>
      <c r="Y838" s="372"/>
      <c r="Z838" s="372"/>
      <c r="AA838" s="372"/>
      <c r="AB838" s="372"/>
      <c r="AC838" s="372"/>
      <c r="AD838" s="372"/>
      <c r="AE838" s="372"/>
      <c r="AF838" s="372"/>
      <c r="AG838" s="372"/>
      <c r="AH838" s="372"/>
      <c r="AI838" s="372"/>
      <c r="AJ838" s="372"/>
      <c r="AK838" s="372"/>
      <c r="AL838" s="372"/>
      <c r="AM838" s="372"/>
    </row>
    <row r="839">
      <c r="A839" s="369"/>
      <c r="B839" s="369"/>
      <c r="C839" s="405"/>
      <c r="D839" s="369"/>
      <c r="E839" s="369"/>
      <c r="F839" s="372"/>
      <c r="G839" s="372"/>
      <c r="H839" s="372"/>
      <c r="I839" s="372"/>
      <c r="J839" s="372"/>
      <c r="K839" s="369"/>
      <c r="L839" s="369"/>
      <c r="M839" s="373"/>
      <c r="N839" s="369"/>
      <c r="O839" s="369"/>
      <c r="P839" s="374"/>
      <c r="Q839" s="372"/>
      <c r="R839" s="372"/>
      <c r="S839" s="372"/>
      <c r="T839" s="372"/>
      <c r="U839" s="372"/>
      <c r="V839" s="372"/>
      <c r="W839" s="372"/>
      <c r="X839" s="372"/>
      <c r="Y839" s="372"/>
      <c r="Z839" s="372"/>
      <c r="AA839" s="372"/>
      <c r="AB839" s="372"/>
      <c r="AC839" s="372"/>
      <c r="AD839" s="372"/>
      <c r="AE839" s="372"/>
      <c r="AF839" s="372"/>
      <c r="AG839" s="372"/>
      <c r="AH839" s="372"/>
      <c r="AI839" s="372"/>
      <c r="AJ839" s="372"/>
      <c r="AK839" s="372"/>
      <c r="AL839" s="372"/>
      <c r="AM839" s="372"/>
    </row>
    <row r="840">
      <c r="A840" s="369"/>
      <c r="B840" s="369"/>
      <c r="C840" s="405"/>
      <c r="D840" s="369"/>
      <c r="E840" s="369"/>
      <c r="F840" s="372"/>
      <c r="G840" s="372"/>
      <c r="H840" s="372"/>
      <c r="I840" s="372"/>
      <c r="J840" s="372"/>
      <c r="K840" s="369"/>
      <c r="L840" s="369"/>
      <c r="M840" s="373"/>
      <c r="N840" s="369"/>
      <c r="O840" s="369"/>
      <c r="P840" s="374"/>
      <c r="Q840" s="372"/>
      <c r="R840" s="372"/>
      <c r="S840" s="372"/>
      <c r="T840" s="372"/>
      <c r="U840" s="372"/>
      <c r="V840" s="372"/>
      <c r="W840" s="372"/>
      <c r="X840" s="372"/>
      <c r="Y840" s="372"/>
      <c r="Z840" s="372"/>
      <c r="AA840" s="372"/>
      <c r="AB840" s="372"/>
      <c r="AC840" s="372"/>
      <c r="AD840" s="372"/>
      <c r="AE840" s="372"/>
      <c r="AF840" s="372"/>
      <c r="AG840" s="372"/>
      <c r="AH840" s="372"/>
      <c r="AI840" s="372"/>
      <c r="AJ840" s="372"/>
      <c r="AK840" s="372"/>
      <c r="AL840" s="372"/>
      <c r="AM840" s="372"/>
    </row>
    <row r="841">
      <c r="A841" s="369"/>
      <c r="B841" s="369"/>
      <c r="C841" s="405"/>
      <c r="D841" s="369"/>
      <c r="E841" s="369"/>
      <c r="F841" s="372"/>
      <c r="G841" s="372"/>
      <c r="H841" s="372"/>
      <c r="I841" s="372"/>
      <c r="J841" s="372"/>
      <c r="K841" s="369"/>
      <c r="L841" s="369"/>
      <c r="M841" s="373"/>
      <c r="N841" s="369"/>
      <c r="O841" s="369"/>
      <c r="P841" s="374"/>
      <c r="Q841" s="372"/>
      <c r="R841" s="372"/>
      <c r="S841" s="372"/>
      <c r="T841" s="372"/>
      <c r="U841" s="372"/>
      <c r="V841" s="372"/>
      <c r="W841" s="372"/>
      <c r="X841" s="372"/>
      <c r="Y841" s="372"/>
      <c r="Z841" s="372"/>
      <c r="AA841" s="372"/>
      <c r="AB841" s="372"/>
      <c r="AC841" s="372"/>
      <c r="AD841" s="372"/>
      <c r="AE841" s="372"/>
      <c r="AF841" s="372"/>
      <c r="AG841" s="372"/>
      <c r="AH841" s="372"/>
      <c r="AI841" s="372"/>
      <c r="AJ841" s="372"/>
      <c r="AK841" s="372"/>
      <c r="AL841" s="372"/>
      <c r="AM841" s="372"/>
    </row>
    <row r="842">
      <c r="A842" s="369"/>
      <c r="B842" s="369"/>
      <c r="C842" s="405"/>
      <c r="D842" s="369"/>
      <c r="E842" s="369"/>
      <c r="F842" s="372"/>
      <c r="G842" s="372"/>
      <c r="H842" s="372"/>
      <c r="I842" s="372"/>
      <c r="J842" s="372"/>
      <c r="K842" s="369"/>
      <c r="L842" s="369"/>
      <c r="M842" s="373"/>
      <c r="N842" s="369"/>
      <c r="O842" s="369"/>
      <c r="P842" s="374"/>
      <c r="Q842" s="372"/>
      <c r="R842" s="372"/>
      <c r="S842" s="372"/>
      <c r="T842" s="372"/>
      <c r="U842" s="372"/>
      <c r="V842" s="372"/>
      <c r="W842" s="372"/>
      <c r="X842" s="372"/>
      <c r="Y842" s="372"/>
      <c r="Z842" s="372"/>
      <c r="AA842" s="372"/>
      <c r="AB842" s="372"/>
      <c r="AC842" s="372"/>
      <c r="AD842" s="372"/>
      <c r="AE842" s="372"/>
      <c r="AF842" s="372"/>
      <c r="AG842" s="372"/>
      <c r="AH842" s="372"/>
      <c r="AI842" s="372"/>
      <c r="AJ842" s="372"/>
      <c r="AK842" s="372"/>
      <c r="AL842" s="372"/>
      <c r="AM842" s="372"/>
    </row>
    <row r="843">
      <c r="A843" s="369"/>
      <c r="B843" s="369"/>
      <c r="C843" s="405"/>
      <c r="D843" s="369"/>
      <c r="E843" s="369"/>
      <c r="F843" s="372"/>
      <c r="G843" s="372"/>
      <c r="H843" s="372"/>
      <c r="I843" s="372"/>
      <c r="J843" s="372"/>
      <c r="K843" s="369"/>
      <c r="L843" s="369"/>
      <c r="M843" s="373"/>
      <c r="N843" s="369"/>
      <c r="O843" s="369"/>
      <c r="P843" s="374"/>
      <c r="Q843" s="372"/>
      <c r="R843" s="372"/>
      <c r="S843" s="372"/>
      <c r="T843" s="372"/>
      <c r="U843" s="372"/>
      <c r="V843" s="372"/>
      <c r="W843" s="372"/>
      <c r="X843" s="372"/>
      <c r="Y843" s="372"/>
      <c r="Z843" s="372"/>
      <c r="AA843" s="372"/>
      <c r="AB843" s="372"/>
      <c r="AC843" s="372"/>
      <c r="AD843" s="372"/>
      <c r="AE843" s="372"/>
      <c r="AF843" s="372"/>
      <c r="AG843" s="372"/>
      <c r="AH843" s="372"/>
      <c r="AI843" s="372"/>
      <c r="AJ843" s="372"/>
      <c r="AK843" s="372"/>
      <c r="AL843" s="372"/>
      <c r="AM843" s="372"/>
    </row>
    <row r="844">
      <c r="A844" s="369"/>
      <c r="B844" s="369"/>
      <c r="C844" s="405"/>
      <c r="D844" s="369"/>
      <c r="E844" s="369"/>
      <c r="F844" s="372"/>
      <c r="G844" s="372"/>
      <c r="H844" s="372"/>
      <c r="I844" s="372"/>
      <c r="J844" s="372"/>
      <c r="K844" s="369"/>
      <c r="L844" s="369"/>
      <c r="M844" s="373"/>
      <c r="N844" s="369"/>
      <c r="O844" s="369"/>
      <c r="P844" s="374"/>
      <c r="Q844" s="372"/>
      <c r="R844" s="372"/>
      <c r="S844" s="372"/>
      <c r="T844" s="372"/>
      <c r="U844" s="372"/>
      <c r="V844" s="372"/>
      <c r="W844" s="372"/>
      <c r="X844" s="372"/>
      <c r="Y844" s="372"/>
      <c r="Z844" s="372"/>
      <c r="AA844" s="372"/>
      <c r="AB844" s="372"/>
      <c r="AC844" s="372"/>
      <c r="AD844" s="372"/>
      <c r="AE844" s="372"/>
      <c r="AF844" s="372"/>
      <c r="AG844" s="372"/>
      <c r="AH844" s="372"/>
      <c r="AI844" s="372"/>
      <c r="AJ844" s="372"/>
      <c r="AK844" s="372"/>
      <c r="AL844" s="372"/>
      <c r="AM844" s="372"/>
    </row>
    <row r="845">
      <c r="A845" s="369"/>
      <c r="B845" s="369"/>
      <c r="C845" s="405"/>
      <c r="D845" s="369"/>
      <c r="E845" s="369"/>
      <c r="F845" s="372"/>
      <c r="G845" s="372"/>
      <c r="H845" s="372"/>
      <c r="I845" s="372"/>
      <c r="J845" s="372"/>
      <c r="K845" s="369"/>
      <c r="L845" s="369"/>
      <c r="M845" s="373"/>
      <c r="N845" s="369"/>
      <c r="O845" s="369"/>
      <c r="P845" s="374"/>
      <c r="Q845" s="372"/>
      <c r="R845" s="372"/>
      <c r="S845" s="372"/>
      <c r="T845" s="372"/>
      <c r="U845" s="372"/>
      <c r="V845" s="372"/>
      <c r="W845" s="372"/>
      <c r="X845" s="372"/>
      <c r="Y845" s="372"/>
      <c r="Z845" s="372"/>
      <c r="AA845" s="372"/>
      <c r="AB845" s="372"/>
      <c r="AC845" s="372"/>
      <c r="AD845" s="372"/>
      <c r="AE845" s="372"/>
      <c r="AF845" s="372"/>
      <c r="AG845" s="372"/>
      <c r="AH845" s="372"/>
      <c r="AI845" s="372"/>
      <c r="AJ845" s="372"/>
      <c r="AK845" s="372"/>
      <c r="AL845" s="372"/>
      <c r="AM845" s="372"/>
    </row>
    <row r="846">
      <c r="A846" s="369"/>
      <c r="B846" s="369"/>
      <c r="C846" s="405"/>
      <c r="D846" s="369"/>
      <c r="E846" s="369"/>
      <c r="F846" s="372"/>
      <c r="G846" s="372"/>
      <c r="H846" s="372"/>
      <c r="I846" s="372"/>
      <c r="J846" s="372"/>
      <c r="K846" s="369"/>
      <c r="L846" s="369"/>
      <c r="M846" s="373"/>
      <c r="N846" s="369"/>
      <c r="O846" s="369"/>
      <c r="P846" s="374"/>
      <c r="Q846" s="372"/>
      <c r="R846" s="372"/>
      <c r="S846" s="372"/>
      <c r="T846" s="372"/>
      <c r="U846" s="372"/>
      <c r="V846" s="372"/>
      <c r="W846" s="372"/>
      <c r="X846" s="372"/>
      <c r="Y846" s="372"/>
      <c r="Z846" s="372"/>
      <c r="AA846" s="372"/>
      <c r="AB846" s="372"/>
      <c r="AC846" s="372"/>
      <c r="AD846" s="372"/>
      <c r="AE846" s="372"/>
      <c r="AF846" s="372"/>
      <c r="AG846" s="372"/>
      <c r="AH846" s="372"/>
      <c r="AI846" s="372"/>
      <c r="AJ846" s="372"/>
      <c r="AK846" s="372"/>
      <c r="AL846" s="372"/>
      <c r="AM846" s="372"/>
    </row>
    <row r="847">
      <c r="A847" s="369"/>
      <c r="B847" s="369"/>
      <c r="C847" s="405"/>
      <c r="D847" s="369"/>
      <c r="E847" s="369"/>
      <c r="F847" s="372"/>
      <c r="G847" s="372"/>
      <c r="H847" s="372"/>
      <c r="I847" s="372"/>
      <c r="J847" s="372"/>
      <c r="K847" s="369"/>
      <c r="L847" s="369"/>
      <c r="M847" s="373"/>
      <c r="N847" s="369"/>
      <c r="O847" s="369"/>
      <c r="P847" s="374"/>
      <c r="Q847" s="372"/>
      <c r="R847" s="372"/>
      <c r="S847" s="372"/>
      <c r="T847" s="372"/>
      <c r="U847" s="372"/>
      <c r="V847" s="372"/>
      <c r="W847" s="372"/>
      <c r="X847" s="372"/>
      <c r="Y847" s="372"/>
      <c r="Z847" s="372"/>
      <c r="AA847" s="372"/>
      <c r="AB847" s="372"/>
      <c r="AC847" s="372"/>
      <c r="AD847" s="372"/>
      <c r="AE847" s="372"/>
      <c r="AF847" s="372"/>
      <c r="AG847" s="372"/>
      <c r="AH847" s="372"/>
      <c r="AI847" s="372"/>
      <c r="AJ847" s="372"/>
      <c r="AK847" s="372"/>
      <c r="AL847" s="372"/>
      <c r="AM847" s="372"/>
    </row>
    <row r="848">
      <c r="A848" s="369"/>
      <c r="B848" s="369"/>
      <c r="C848" s="405"/>
      <c r="D848" s="369"/>
      <c r="E848" s="369"/>
      <c r="F848" s="372"/>
      <c r="G848" s="372"/>
      <c r="H848" s="372"/>
      <c r="I848" s="372"/>
      <c r="J848" s="372"/>
      <c r="K848" s="369"/>
      <c r="L848" s="369"/>
      <c r="M848" s="373"/>
      <c r="N848" s="369"/>
      <c r="O848" s="369"/>
      <c r="P848" s="374"/>
      <c r="Q848" s="372"/>
      <c r="R848" s="372"/>
      <c r="S848" s="372"/>
      <c r="T848" s="372"/>
      <c r="U848" s="372"/>
      <c r="V848" s="372"/>
      <c r="W848" s="372"/>
      <c r="X848" s="372"/>
      <c r="Y848" s="372"/>
      <c r="Z848" s="372"/>
      <c r="AA848" s="372"/>
      <c r="AB848" s="372"/>
      <c r="AC848" s="372"/>
      <c r="AD848" s="372"/>
      <c r="AE848" s="372"/>
      <c r="AF848" s="372"/>
      <c r="AG848" s="372"/>
      <c r="AH848" s="372"/>
      <c r="AI848" s="372"/>
      <c r="AJ848" s="372"/>
      <c r="AK848" s="372"/>
      <c r="AL848" s="372"/>
      <c r="AM848" s="372"/>
    </row>
    <row r="849">
      <c r="A849" s="369"/>
      <c r="B849" s="369"/>
      <c r="C849" s="405"/>
      <c r="D849" s="369"/>
      <c r="E849" s="369"/>
      <c r="F849" s="372"/>
      <c r="G849" s="372"/>
      <c r="H849" s="372"/>
      <c r="I849" s="372"/>
      <c r="J849" s="372"/>
      <c r="K849" s="369"/>
      <c r="L849" s="369"/>
      <c r="M849" s="373"/>
      <c r="N849" s="369"/>
      <c r="O849" s="369"/>
      <c r="P849" s="374"/>
      <c r="Q849" s="372"/>
      <c r="R849" s="372"/>
      <c r="S849" s="372"/>
      <c r="T849" s="372"/>
      <c r="U849" s="372"/>
      <c r="V849" s="372"/>
      <c r="W849" s="372"/>
      <c r="X849" s="372"/>
      <c r="Y849" s="372"/>
      <c r="Z849" s="372"/>
      <c r="AA849" s="372"/>
      <c r="AB849" s="372"/>
      <c r="AC849" s="372"/>
      <c r="AD849" s="372"/>
      <c r="AE849" s="372"/>
      <c r="AF849" s="372"/>
      <c r="AG849" s="372"/>
      <c r="AH849" s="372"/>
      <c r="AI849" s="372"/>
      <c r="AJ849" s="372"/>
      <c r="AK849" s="372"/>
      <c r="AL849" s="372"/>
      <c r="AM849" s="372"/>
    </row>
    <row r="850">
      <c r="A850" s="369"/>
      <c r="B850" s="369"/>
      <c r="C850" s="405"/>
      <c r="D850" s="369"/>
      <c r="E850" s="369"/>
      <c r="F850" s="372"/>
      <c r="G850" s="372"/>
      <c r="H850" s="372"/>
      <c r="I850" s="372"/>
      <c r="J850" s="372"/>
      <c r="K850" s="369"/>
      <c r="L850" s="369"/>
      <c r="M850" s="373"/>
      <c r="N850" s="369"/>
      <c r="O850" s="369"/>
      <c r="P850" s="374"/>
      <c r="Q850" s="372"/>
      <c r="R850" s="372"/>
      <c r="S850" s="372"/>
      <c r="T850" s="372"/>
      <c r="U850" s="372"/>
      <c r="V850" s="372"/>
      <c r="W850" s="372"/>
      <c r="X850" s="372"/>
      <c r="Y850" s="372"/>
      <c r="Z850" s="372"/>
      <c r="AA850" s="372"/>
      <c r="AB850" s="372"/>
      <c r="AC850" s="372"/>
      <c r="AD850" s="372"/>
      <c r="AE850" s="372"/>
      <c r="AF850" s="372"/>
      <c r="AG850" s="372"/>
      <c r="AH850" s="372"/>
      <c r="AI850" s="372"/>
      <c r="AJ850" s="372"/>
      <c r="AK850" s="372"/>
      <c r="AL850" s="372"/>
      <c r="AM850" s="372"/>
    </row>
    <row r="851">
      <c r="A851" s="369"/>
      <c r="B851" s="369"/>
      <c r="C851" s="405"/>
      <c r="D851" s="369"/>
      <c r="E851" s="369"/>
      <c r="F851" s="372"/>
      <c r="G851" s="372"/>
      <c r="H851" s="372"/>
      <c r="I851" s="372"/>
      <c r="J851" s="372"/>
      <c r="K851" s="369"/>
      <c r="L851" s="369"/>
      <c r="M851" s="373"/>
      <c r="N851" s="369"/>
      <c r="O851" s="369"/>
      <c r="P851" s="374"/>
      <c r="Q851" s="372"/>
      <c r="R851" s="372"/>
      <c r="S851" s="372"/>
      <c r="T851" s="372"/>
      <c r="U851" s="372"/>
      <c r="V851" s="372"/>
      <c r="W851" s="372"/>
      <c r="X851" s="372"/>
      <c r="Y851" s="372"/>
      <c r="Z851" s="372"/>
      <c r="AA851" s="372"/>
      <c r="AB851" s="372"/>
      <c r="AC851" s="372"/>
      <c r="AD851" s="372"/>
      <c r="AE851" s="372"/>
      <c r="AF851" s="372"/>
      <c r="AG851" s="372"/>
      <c r="AH851" s="372"/>
      <c r="AI851" s="372"/>
      <c r="AJ851" s="372"/>
      <c r="AK851" s="372"/>
      <c r="AL851" s="372"/>
      <c r="AM851" s="372"/>
    </row>
    <row r="852">
      <c r="A852" s="369"/>
      <c r="B852" s="369"/>
      <c r="C852" s="405"/>
      <c r="D852" s="369"/>
      <c r="E852" s="369"/>
      <c r="F852" s="372"/>
      <c r="G852" s="372"/>
      <c r="H852" s="372"/>
      <c r="I852" s="372"/>
      <c r="J852" s="372"/>
      <c r="K852" s="369"/>
      <c r="L852" s="369"/>
      <c r="M852" s="373"/>
      <c r="N852" s="369"/>
      <c r="O852" s="369"/>
      <c r="P852" s="374"/>
      <c r="Q852" s="372"/>
      <c r="R852" s="372"/>
      <c r="S852" s="372"/>
      <c r="T852" s="372"/>
      <c r="U852" s="372"/>
      <c r="V852" s="372"/>
      <c r="W852" s="372"/>
      <c r="X852" s="372"/>
      <c r="Y852" s="372"/>
      <c r="Z852" s="372"/>
      <c r="AA852" s="372"/>
      <c r="AB852" s="372"/>
      <c r="AC852" s="372"/>
      <c r="AD852" s="372"/>
      <c r="AE852" s="372"/>
      <c r="AF852" s="372"/>
      <c r="AG852" s="372"/>
      <c r="AH852" s="372"/>
      <c r="AI852" s="372"/>
      <c r="AJ852" s="372"/>
      <c r="AK852" s="372"/>
      <c r="AL852" s="372"/>
      <c r="AM852" s="372"/>
    </row>
    <row r="853">
      <c r="A853" s="369"/>
      <c r="B853" s="369"/>
      <c r="C853" s="405"/>
      <c r="D853" s="369"/>
      <c r="E853" s="369"/>
      <c r="F853" s="372"/>
      <c r="G853" s="372"/>
      <c r="H853" s="372"/>
      <c r="I853" s="372"/>
      <c r="J853" s="372"/>
      <c r="K853" s="369"/>
      <c r="L853" s="369"/>
      <c r="M853" s="373"/>
      <c r="N853" s="369"/>
      <c r="O853" s="369"/>
      <c r="P853" s="374"/>
      <c r="Q853" s="372"/>
      <c r="R853" s="372"/>
      <c r="S853" s="372"/>
      <c r="T853" s="372"/>
      <c r="U853" s="372"/>
      <c r="V853" s="372"/>
      <c r="W853" s="372"/>
      <c r="X853" s="372"/>
      <c r="Y853" s="372"/>
      <c r="Z853" s="372"/>
      <c r="AA853" s="372"/>
      <c r="AB853" s="372"/>
      <c r="AC853" s="372"/>
      <c r="AD853" s="372"/>
      <c r="AE853" s="372"/>
      <c r="AF853" s="372"/>
      <c r="AG853" s="372"/>
      <c r="AH853" s="372"/>
      <c r="AI853" s="372"/>
      <c r="AJ853" s="372"/>
      <c r="AK853" s="372"/>
      <c r="AL853" s="372"/>
      <c r="AM853" s="372"/>
    </row>
    <row r="854">
      <c r="A854" s="369"/>
      <c r="B854" s="369"/>
      <c r="C854" s="405"/>
      <c r="D854" s="369"/>
      <c r="E854" s="369"/>
      <c r="F854" s="372"/>
      <c r="G854" s="372"/>
      <c r="H854" s="372"/>
      <c r="I854" s="372"/>
      <c r="J854" s="372"/>
      <c r="K854" s="369"/>
      <c r="L854" s="369"/>
      <c r="M854" s="373"/>
      <c r="N854" s="369"/>
      <c r="O854" s="369"/>
      <c r="P854" s="374"/>
      <c r="Q854" s="372"/>
      <c r="R854" s="372"/>
      <c r="S854" s="372"/>
      <c r="T854" s="372"/>
      <c r="U854" s="372"/>
      <c r="V854" s="372"/>
      <c r="W854" s="372"/>
      <c r="X854" s="372"/>
      <c r="Y854" s="372"/>
      <c r="Z854" s="372"/>
      <c r="AA854" s="372"/>
      <c r="AB854" s="372"/>
      <c r="AC854" s="372"/>
      <c r="AD854" s="372"/>
      <c r="AE854" s="372"/>
      <c r="AF854" s="372"/>
      <c r="AG854" s="372"/>
      <c r="AH854" s="372"/>
      <c r="AI854" s="372"/>
      <c r="AJ854" s="372"/>
      <c r="AK854" s="372"/>
      <c r="AL854" s="372"/>
      <c r="AM854" s="372"/>
    </row>
    <row r="855">
      <c r="A855" s="369"/>
      <c r="B855" s="369"/>
      <c r="C855" s="405"/>
      <c r="D855" s="369"/>
      <c r="E855" s="369"/>
      <c r="F855" s="372"/>
      <c r="G855" s="372"/>
      <c r="H855" s="372"/>
      <c r="I855" s="372"/>
      <c r="J855" s="372"/>
      <c r="K855" s="369"/>
      <c r="L855" s="369"/>
      <c r="M855" s="373"/>
      <c r="N855" s="369"/>
      <c r="O855" s="369"/>
      <c r="P855" s="374"/>
      <c r="Q855" s="372"/>
      <c r="R855" s="372"/>
      <c r="S855" s="372"/>
      <c r="T855" s="372"/>
      <c r="U855" s="372"/>
      <c r="V855" s="372"/>
      <c r="W855" s="372"/>
      <c r="X855" s="372"/>
      <c r="Y855" s="372"/>
      <c r="Z855" s="372"/>
      <c r="AA855" s="372"/>
      <c r="AB855" s="372"/>
      <c r="AC855" s="372"/>
      <c r="AD855" s="372"/>
      <c r="AE855" s="372"/>
      <c r="AF855" s="372"/>
      <c r="AG855" s="372"/>
      <c r="AH855" s="372"/>
      <c r="AI855" s="372"/>
      <c r="AJ855" s="372"/>
      <c r="AK855" s="372"/>
      <c r="AL855" s="372"/>
      <c r="AM855" s="372"/>
    </row>
    <row r="856">
      <c r="A856" s="369"/>
      <c r="B856" s="369"/>
      <c r="C856" s="405"/>
      <c r="D856" s="369"/>
      <c r="E856" s="369"/>
      <c r="F856" s="372"/>
      <c r="G856" s="372"/>
      <c r="H856" s="372"/>
      <c r="I856" s="372"/>
      <c r="J856" s="372"/>
      <c r="K856" s="369"/>
      <c r="L856" s="369"/>
      <c r="M856" s="373"/>
      <c r="N856" s="369"/>
      <c r="O856" s="369"/>
      <c r="P856" s="374"/>
      <c r="Q856" s="372"/>
      <c r="R856" s="372"/>
      <c r="S856" s="372"/>
      <c r="T856" s="372"/>
      <c r="U856" s="372"/>
      <c r="V856" s="372"/>
      <c r="W856" s="372"/>
      <c r="X856" s="372"/>
      <c r="Y856" s="372"/>
      <c r="Z856" s="372"/>
      <c r="AA856" s="372"/>
      <c r="AB856" s="372"/>
      <c r="AC856" s="372"/>
      <c r="AD856" s="372"/>
      <c r="AE856" s="372"/>
      <c r="AF856" s="372"/>
      <c r="AG856" s="372"/>
      <c r="AH856" s="372"/>
      <c r="AI856" s="372"/>
      <c r="AJ856" s="372"/>
      <c r="AK856" s="372"/>
      <c r="AL856" s="372"/>
      <c r="AM856" s="372"/>
    </row>
    <row r="857">
      <c r="A857" s="369"/>
      <c r="B857" s="369"/>
      <c r="C857" s="405"/>
      <c r="D857" s="369"/>
      <c r="E857" s="369"/>
      <c r="F857" s="372"/>
      <c r="G857" s="372"/>
      <c r="H857" s="372"/>
      <c r="I857" s="372"/>
      <c r="J857" s="372"/>
      <c r="K857" s="369"/>
      <c r="L857" s="369"/>
      <c r="M857" s="373"/>
      <c r="N857" s="369"/>
      <c r="O857" s="369"/>
      <c r="P857" s="374"/>
      <c r="Q857" s="372"/>
      <c r="R857" s="372"/>
      <c r="S857" s="372"/>
      <c r="T857" s="372"/>
      <c r="U857" s="372"/>
      <c r="V857" s="372"/>
      <c r="W857" s="372"/>
      <c r="X857" s="372"/>
      <c r="Y857" s="372"/>
      <c r="Z857" s="372"/>
      <c r="AA857" s="372"/>
      <c r="AB857" s="372"/>
      <c r="AC857" s="372"/>
      <c r="AD857" s="372"/>
      <c r="AE857" s="372"/>
      <c r="AF857" s="372"/>
      <c r="AG857" s="372"/>
      <c r="AH857" s="372"/>
      <c r="AI857" s="372"/>
      <c r="AJ857" s="372"/>
      <c r="AK857" s="372"/>
      <c r="AL857" s="372"/>
      <c r="AM857" s="372"/>
    </row>
    <row r="858">
      <c r="A858" s="369"/>
      <c r="B858" s="369"/>
      <c r="C858" s="405"/>
      <c r="D858" s="369"/>
      <c r="E858" s="369"/>
      <c r="F858" s="372"/>
      <c r="G858" s="372"/>
      <c r="H858" s="372"/>
      <c r="I858" s="372"/>
      <c r="J858" s="372"/>
      <c r="K858" s="369"/>
      <c r="L858" s="369"/>
      <c r="M858" s="373"/>
      <c r="N858" s="369"/>
      <c r="O858" s="369"/>
      <c r="P858" s="374"/>
      <c r="Q858" s="372"/>
      <c r="R858" s="372"/>
      <c r="S858" s="372"/>
      <c r="T858" s="372"/>
      <c r="U858" s="372"/>
      <c r="V858" s="372"/>
      <c r="W858" s="372"/>
      <c r="X858" s="372"/>
      <c r="Y858" s="372"/>
      <c r="Z858" s="372"/>
      <c r="AA858" s="372"/>
      <c r="AB858" s="372"/>
      <c r="AC858" s="372"/>
      <c r="AD858" s="372"/>
      <c r="AE858" s="372"/>
      <c r="AF858" s="372"/>
      <c r="AG858" s="372"/>
      <c r="AH858" s="372"/>
      <c r="AI858" s="372"/>
      <c r="AJ858" s="372"/>
      <c r="AK858" s="372"/>
      <c r="AL858" s="372"/>
      <c r="AM858" s="372"/>
    </row>
    <row r="859">
      <c r="A859" s="369"/>
      <c r="B859" s="369"/>
      <c r="C859" s="405"/>
      <c r="D859" s="369"/>
      <c r="E859" s="369"/>
      <c r="F859" s="372"/>
      <c r="G859" s="372"/>
      <c r="H859" s="372"/>
      <c r="I859" s="372"/>
      <c r="J859" s="372"/>
      <c r="K859" s="369"/>
      <c r="L859" s="369"/>
      <c r="M859" s="373"/>
      <c r="N859" s="369"/>
      <c r="O859" s="369"/>
      <c r="P859" s="374"/>
      <c r="Q859" s="372"/>
      <c r="R859" s="372"/>
      <c r="S859" s="372"/>
      <c r="T859" s="372"/>
      <c r="U859" s="372"/>
      <c r="V859" s="372"/>
      <c r="W859" s="372"/>
      <c r="X859" s="372"/>
      <c r="Y859" s="372"/>
      <c r="Z859" s="372"/>
      <c r="AA859" s="372"/>
      <c r="AB859" s="372"/>
      <c r="AC859" s="372"/>
      <c r="AD859" s="372"/>
      <c r="AE859" s="372"/>
      <c r="AF859" s="372"/>
      <c r="AG859" s="372"/>
      <c r="AH859" s="372"/>
      <c r="AI859" s="372"/>
      <c r="AJ859" s="372"/>
      <c r="AK859" s="372"/>
      <c r="AL859" s="372"/>
      <c r="AM859" s="372"/>
    </row>
    <row r="860">
      <c r="A860" s="369"/>
      <c r="B860" s="369"/>
      <c r="C860" s="405"/>
      <c r="D860" s="369"/>
      <c r="E860" s="369"/>
      <c r="F860" s="372"/>
      <c r="G860" s="372"/>
      <c r="H860" s="372"/>
      <c r="I860" s="372"/>
      <c r="J860" s="372"/>
      <c r="K860" s="369"/>
      <c r="L860" s="369"/>
      <c r="M860" s="373"/>
      <c r="N860" s="369"/>
      <c r="O860" s="369"/>
      <c r="P860" s="374"/>
      <c r="Q860" s="372"/>
      <c r="R860" s="372"/>
      <c r="S860" s="372"/>
      <c r="T860" s="372"/>
      <c r="U860" s="372"/>
      <c r="V860" s="372"/>
      <c r="W860" s="372"/>
      <c r="X860" s="372"/>
      <c r="Y860" s="372"/>
      <c r="Z860" s="372"/>
      <c r="AA860" s="372"/>
      <c r="AB860" s="372"/>
      <c r="AC860" s="372"/>
      <c r="AD860" s="372"/>
      <c r="AE860" s="372"/>
      <c r="AF860" s="372"/>
      <c r="AG860" s="372"/>
      <c r="AH860" s="372"/>
      <c r="AI860" s="372"/>
      <c r="AJ860" s="372"/>
      <c r="AK860" s="372"/>
      <c r="AL860" s="372"/>
      <c r="AM860" s="372"/>
    </row>
    <row r="861">
      <c r="A861" s="369"/>
      <c r="B861" s="369"/>
      <c r="C861" s="405"/>
      <c r="D861" s="369"/>
      <c r="E861" s="369"/>
      <c r="F861" s="372"/>
      <c r="G861" s="372"/>
      <c r="H861" s="372"/>
      <c r="I861" s="372"/>
      <c r="J861" s="372"/>
      <c r="K861" s="369"/>
      <c r="L861" s="369"/>
      <c r="M861" s="373"/>
      <c r="N861" s="369"/>
      <c r="O861" s="369"/>
      <c r="P861" s="374"/>
      <c r="Q861" s="372"/>
      <c r="R861" s="372"/>
      <c r="S861" s="372"/>
      <c r="T861" s="372"/>
      <c r="U861" s="372"/>
      <c r="V861" s="372"/>
      <c r="W861" s="372"/>
      <c r="X861" s="372"/>
      <c r="Y861" s="372"/>
      <c r="Z861" s="372"/>
      <c r="AA861" s="372"/>
      <c r="AB861" s="372"/>
      <c r="AC861" s="372"/>
      <c r="AD861" s="372"/>
      <c r="AE861" s="372"/>
      <c r="AF861" s="372"/>
      <c r="AG861" s="372"/>
      <c r="AH861" s="372"/>
      <c r="AI861" s="372"/>
      <c r="AJ861" s="372"/>
      <c r="AK861" s="372"/>
      <c r="AL861" s="372"/>
      <c r="AM861" s="372"/>
    </row>
    <row r="862">
      <c r="A862" s="369"/>
      <c r="B862" s="369"/>
      <c r="C862" s="405"/>
      <c r="D862" s="369"/>
      <c r="E862" s="369"/>
      <c r="F862" s="372"/>
      <c r="G862" s="372"/>
      <c r="H862" s="372"/>
      <c r="I862" s="372"/>
      <c r="J862" s="372"/>
      <c r="K862" s="369"/>
      <c r="L862" s="369"/>
      <c r="M862" s="373"/>
      <c r="N862" s="369"/>
      <c r="O862" s="369"/>
      <c r="P862" s="374"/>
      <c r="Q862" s="372"/>
      <c r="R862" s="372"/>
      <c r="S862" s="372"/>
      <c r="T862" s="372"/>
      <c r="U862" s="372"/>
      <c r="V862" s="372"/>
      <c r="W862" s="372"/>
      <c r="X862" s="372"/>
      <c r="Y862" s="372"/>
      <c r="Z862" s="372"/>
      <c r="AA862" s="372"/>
      <c r="AB862" s="372"/>
      <c r="AC862" s="372"/>
      <c r="AD862" s="372"/>
      <c r="AE862" s="372"/>
      <c r="AF862" s="372"/>
      <c r="AG862" s="372"/>
      <c r="AH862" s="372"/>
      <c r="AI862" s="372"/>
      <c r="AJ862" s="372"/>
      <c r="AK862" s="372"/>
      <c r="AL862" s="372"/>
      <c r="AM862" s="372"/>
    </row>
    <row r="863">
      <c r="A863" s="369"/>
      <c r="B863" s="369"/>
      <c r="C863" s="405"/>
      <c r="D863" s="369"/>
      <c r="E863" s="369"/>
      <c r="F863" s="372"/>
      <c r="G863" s="372"/>
      <c r="H863" s="372"/>
      <c r="I863" s="372"/>
      <c r="J863" s="372"/>
      <c r="K863" s="369"/>
      <c r="L863" s="369"/>
      <c r="M863" s="373"/>
      <c r="N863" s="369"/>
      <c r="O863" s="369"/>
      <c r="P863" s="374"/>
      <c r="Q863" s="372"/>
      <c r="R863" s="372"/>
      <c r="S863" s="372"/>
      <c r="T863" s="372"/>
      <c r="U863" s="372"/>
      <c r="V863" s="372"/>
      <c r="W863" s="372"/>
      <c r="X863" s="372"/>
      <c r="Y863" s="372"/>
      <c r="Z863" s="372"/>
      <c r="AA863" s="372"/>
      <c r="AB863" s="372"/>
      <c r="AC863" s="372"/>
      <c r="AD863" s="372"/>
      <c r="AE863" s="372"/>
      <c r="AF863" s="372"/>
      <c r="AG863" s="372"/>
      <c r="AH863" s="372"/>
      <c r="AI863" s="372"/>
      <c r="AJ863" s="372"/>
      <c r="AK863" s="372"/>
      <c r="AL863" s="372"/>
      <c r="AM863" s="372"/>
    </row>
    <row r="864">
      <c r="A864" s="369"/>
      <c r="B864" s="369"/>
      <c r="C864" s="405"/>
      <c r="D864" s="369"/>
      <c r="E864" s="369"/>
      <c r="F864" s="372"/>
      <c r="G864" s="372"/>
      <c r="H864" s="372"/>
      <c r="I864" s="372"/>
      <c r="J864" s="372"/>
      <c r="K864" s="369"/>
      <c r="L864" s="369"/>
      <c r="M864" s="373"/>
      <c r="N864" s="369"/>
      <c r="O864" s="369"/>
      <c r="P864" s="374"/>
      <c r="Q864" s="372"/>
      <c r="R864" s="372"/>
      <c r="S864" s="372"/>
      <c r="T864" s="372"/>
      <c r="U864" s="372"/>
      <c r="V864" s="372"/>
      <c r="W864" s="372"/>
      <c r="X864" s="372"/>
      <c r="Y864" s="372"/>
      <c r="Z864" s="372"/>
      <c r="AA864" s="372"/>
      <c r="AB864" s="372"/>
      <c r="AC864" s="372"/>
      <c r="AD864" s="372"/>
      <c r="AE864" s="372"/>
      <c r="AF864" s="372"/>
      <c r="AG864" s="372"/>
      <c r="AH864" s="372"/>
      <c r="AI864" s="372"/>
      <c r="AJ864" s="372"/>
      <c r="AK864" s="372"/>
      <c r="AL864" s="372"/>
      <c r="AM864" s="372"/>
    </row>
    <row r="865">
      <c r="A865" s="369"/>
      <c r="B865" s="369"/>
      <c r="C865" s="405"/>
      <c r="D865" s="369"/>
      <c r="E865" s="369"/>
      <c r="F865" s="372"/>
      <c r="G865" s="372"/>
      <c r="H865" s="372"/>
      <c r="I865" s="372"/>
      <c r="J865" s="372"/>
      <c r="K865" s="369"/>
      <c r="L865" s="369"/>
      <c r="M865" s="373"/>
      <c r="N865" s="369"/>
      <c r="O865" s="369"/>
      <c r="P865" s="374"/>
      <c r="Q865" s="372"/>
      <c r="R865" s="372"/>
      <c r="S865" s="372"/>
      <c r="T865" s="372"/>
      <c r="U865" s="372"/>
      <c r="V865" s="372"/>
      <c r="W865" s="372"/>
      <c r="X865" s="372"/>
      <c r="Y865" s="372"/>
      <c r="Z865" s="372"/>
      <c r="AA865" s="372"/>
      <c r="AB865" s="372"/>
      <c r="AC865" s="372"/>
      <c r="AD865" s="372"/>
      <c r="AE865" s="372"/>
      <c r="AF865" s="372"/>
      <c r="AG865" s="372"/>
      <c r="AH865" s="372"/>
      <c r="AI865" s="372"/>
      <c r="AJ865" s="372"/>
      <c r="AK865" s="372"/>
      <c r="AL865" s="372"/>
      <c r="AM865" s="372"/>
    </row>
    <row r="866">
      <c r="A866" s="369"/>
      <c r="B866" s="369"/>
      <c r="C866" s="405"/>
      <c r="D866" s="369"/>
      <c r="E866" s="369"/>
      <c r="F866" s="372"/>
      <c r="G866" s="372"/>
      <c r="H866" s="372"/>
      <c r="I866" s="372"/>
      <c r="J866" s="372"/>
      <c r="K866" s="369"/>
      <c r="L866" s="369"/>
      <c r="M866" s="373"/>
      <c r="N866" s="369"/>
      <c r="O866" s="369"/>
      <c r="P866" s="374"/>
      <c r="Q866" s="372"/>
      <c r="R866" s="372"/>
      <c r="S866" s="372"/>
      <c r="T866" s="372"/>
      <c r="U866" s="372"/>
      <c r="V866" s="372"/>
      <c r="W866" s="372"/>
      <c r="X866" s="372"/>
      <c r="Y866" s="372"/>
      <c r="Z866" s="372"/>
      <c r="AA866" s="372"/>
      <c r="AB866" s="372"/>
      <c r="AC866" s="372"/>
      <c r="AD866" s="372"/>
      <c r="AE866" s="372"/>
      <c r="AF866" s="372"/>
      <c r="AG866" s="372"/>
      <c r="AH866" s="372"/>
      <c r="AI866" s="372"/>
      <c r="AJ866" s="372"/>
      <c r="AK866" s="372"/>
      <c r="AL866" s="372"/>
      <c r="AM866" s="372"/>
    </row>
    <row r="867">
      <c r="A867" s="369"/>
      <c r="B867" s="369"/>
      <c r="C867" s="405"/>
      <c r="D867" s="369"/>
      <c r="E867" s="369"/>
      <c r="F867" s="372"/>
      <c r="G867" s="372"/>
      <c r="H867" s="372"/>
      <c r="I867" s="372"/>
      <c r="J867" s="372"/>
      <c r="K867" s="369"/>
      <c r="L867" s="369"/>
      <c r="M867" s="373"/>
      <c r="N867" s="369"/>
      <c r="O867" s="369"/>
      <c r="P867" s="374"/>
      <c r="Q867" s="372"/>
      <c r="R867" s="372"/>
      <c r="S867" s="372"/>
      <c r="T867" s="372"/>
      <c r="U867" s="372"/>
      <c r="V867" s="372"/>
      <c r="W867" s="372"/>
      <c r="X867" s="372"/>
      <c r="Y867" s="372"/>
      <c r="Z867" s="372"/>
      <c r="AA867" s="372"/>
      <c r="AB867" s="372"/>
      <c r="AC867" s="372"/>
      <c r="AD867" s="372"/>
      <c r="AE867" s="372"/>
      <c r="AF867" s="372"/>
      <c r="AG867" s="372"/>
      <c r="AH867" s="372"/>
      <c r="AI867" s="372"/>
      <c r="AJ867" s="372"/>
      <c r="AK867" s="372"/>
      <c r="AL867" s="372"/>
      <c r="AM867" s="372"/>
    </row>
    <row r="868">
      <c r="A868" s="369"/>
      <c r="B868" s="369"/>
      <c r="C868" s="405"/>
      <c r="D868" s="369"/>
      <c r="E868" s="369"/>
      <c r="F868" s="372"/>
      <c r="G868" s="372"/>
      <c r="H868" s="372"/>
      <c r="I868" s="372"/>
      <c r="J868" s="372"/>
      <c r="K868" s="369"/>
      <c r="L868" s="369"/>
      <c r="M868" s="373"/>
      <c r="N868" s="369"/>
      <c r="O868" s="369"/>
      <c r="P868" s="374"/>
      <c r="Q868" s="372"/>
      <c r="R868" s="372"/>
      <c r="S868" s="372"/>
      <c r="T868" s="372"/>
      <c r="U868" s="372"/>
      <c r="V868" s="372"/>
      <c r="W868" s="372"/>
      <c r="X868" s="372"/>
      <c r="Y868" s="372"/>
      <c r="Z868" s="372"/>
      <c r="AA868" s="372"/>
      <c r="AB868" s="372"/>
      <c r="AC868" s="372"/>
      <c r="AD868" s="372"/>
      <c r="AE868" s="372"/>
      <c r="AF868" s="372"/>
      <c r="AG868" s="372"/>
      <c r="AH868" s="372"/>
      <c r="AI868" s="372"/>
      <c r="AJ868" s="372"/>
      <c r="AK868" s="372"/>
      <c r="AL868" s="372"/>
      <c r="AM868" s="372"/>
    </row>
    <row r="869">
      <c r="A869" s="369"/>
      <c r="B869" s="369"/>
      <c r="C869" s="405"/>
      <c r="D869" s="369"/>
      <c r="E869" s="369"/>
      <c r="F869" s="372"/>
      <c r="G869" s="372"/>
      <c r="H869" s="372"/>
      <c r="I869" s="372"/>
      <c r="J869" s="372"/>
      <c r="K869" s="369"/>
      <c r="L869" s="369"/>
      <c r="M869" s="373"/>
      <c r="N869" s="369"/>
      <c r="O869" s="369"/>
      <c r="P869" s="374"/>
      <c r="Q869" s="372"/>
      <c r="R869" s="372"/>
      <c r="S869" s="372"/>
      <c r="T869" s="372"/>
      <c r="U869" s="372"/>
      <c r="V869" s="372"/>
      <c r="W869" s="372"/>
      <c r="X869" s="372"/>
      <c r="Y869" s="372"/>
      <c r="Z869" s="372"/>
      <c r="AA869" s="372"/>
      <c r="AB869" s="372"/>
      <c r="AC869" s="372"/>
      <c r="AD869" s="372"/>
      <c r="AE869" s="372"/>
      <c r="AF869" s="372"/>
      <c r="AG869" s="372"/>
      <c r="AH869" s="372"/>
      <c r="AI869" s="372"/>
      <c r="AJ869" s="372"/>
      <c r="AK869" s="372"/>
      <c r="AL869" s="372"/>
      <c r="AM869" s="372"/>
    </row>
    <row r="870">
      <c r="A870" s="369"/>
      <c r="B870" s="369"/>
      <c r="C870" s="405"/>
      <c r="D870" s="369"/>
      <c r="E870" s="369"/>
      <c r="F870" s="372"/>
      <c r="G870" s="372"/>
      <c r="H870" s="372"/>
      <c r="I870" s="372"/>
      <c r="J870" s="372"/>
      <c r="K870" s="369"/>
      <c r="L870" s="369"/>
      <c r="M870" s="373"/>
      <c r="N870" s="369"/>
      <c r="O870" s="369"/>
      <c r="P870" s="374"/>
      <c r="Q870" s="372"/>
      <c r="R870" s="372"/>
      <c r="S870" s="372"/>
      <c r="T870" s="372"/>
      <c r="U870" s="372"/>
      <c r="V870" s="372"/>
      <c r="W870" s="372"/>
      <c r="X870" s="372"/>
      <c r="Y870" s="372"/>
      <c r="Z870" s="372"/>
      <c r="AA870" s="372"/>
      <c r="AB870" s="372"/>
      <c r="AC870" s="372"/>
      <c r="AD870" s="372"/>
      <c r="AE870" s="372"/>
      <c r="AF870" s="372"/>
      <c r="AG870" s="372"/>
      <c r="AH870" s="372"/>
      <c r="AI870" s="372"/>
      <c r="AJ870" s="372"/>
      <c r="AK870" s="372"/>
      <c r="AL870" s="372"/>
      <c r="AM870" s="372"/>
    </row>
    <row r="871">
      <c r="A871" s="369"/>
      <c r="B871" s="369"/>
      <c r="C871" s="405"/>
      <c r="D871" s="369"/>
      <c r="E871" s="369"/>
      <c r="F871" s="372"/>
      <c r="G871" s="372"/>
      <c r="H871" s="372"/>
      <c r="I871" s="372"/>
      <c r="J871" s="372"/>
      <c r="K871" s="369"/>
      <c r="L871" s="369"/>
      <c r="M871" s="373"/>
      <c r="N871" s="369"/>
      <c r="O871" s="369"/>
      <c r="P871" s="374"/>
      <c r="Q871" s="372"/>
      <c r="R871" s="372"/>
      <c r="S871" s="372"/>
      <c r="T871" s="372"/>
      <c r="U871" s="372"/>
      <c r="V871" s="372"/>
      <c r="W871" s="372"/>
      <c r="X871" s="372"/>
      <c r="Y871" s="372"/>
      <c r="Z871" s="372"/>
      <c r="AA871" s="372"/>
      <c r="AB871" s="372"/>
      <c r="AC871" s="372"/>
      <c r="AD871" s="372"/>
      <c r="AE871" s="372"/>
      <c r="AF871" s="372"/>
      <c r="AG871" s="372"/>
      <c r="AH871" s="372"/>
      <c r="AI871" s="372"/>
      <c r="AJ871" s="372"/>
      <c r="AK871" s="372"/>
      <c r="AL871" s="372"/>
      <c r="AM871" s="372"/>
    </row>
    <row r="872">
      <c r="A872" s="369"/>
      <c r="B872" s="369"/>
      <c r="C872" s="405"/>
      <c r="D872" s="369"/>
      <c r="E872" s="369"/>
      <c r="F872" s="372"/>
      <c r="G872" s="372"/>
      <c r="H872" s="372"/>
      <c r="I872" s="372"/>
      <c r="J872" s="372"/>
      <c r="K872" s="369"/>
      <c r="L872" s="369"/>
      <c r="M872" s="373"/>
      <c r="N872" s="369"/>
      <c r="O872" s="369"/>
      <c r="P872" s="374"/>
      <c r="Q872" s="372"/>
      <c r="R872" s="372"/>
      <c r="S872" s="372"/>
      <c r="T872" s="372"/>
      <c r="U872" s="372"/>
      <c r="V872" s="372"/>
      <c r="W872" s="372"/>
      <c r="X872" s="372"/>
      <c r="Y872" s="372"/>
      <c r="Z872" s="372"/>
      <c r="AA872" s="372"/>
      <c r="AB872" s="372"/>
      <c r="AC872" s="372"/>
      <c r="AD872" s="372"/>
      <c r="AE872" s="372"/>
      <c r="AF872" s="372"/>
      <c r="AG872" s="372"/>
      <c r="AH872" s="372"/>
      <c r="AI872" s="372"/>
      <c r="AJ872" s="372"/>
      <c r="AK872" s="372"/>
      <c r="AL872" s="372"/>
      <c r="AM872" s="372"/>
    </row>
    <row r="873">
      <c r="A873" s="369"/>
      <c r="B873" s="369"/>
      <c r="C873" s="405"/>
      <c r="D873" s="369"/>
      <c r="E873" s="369"/>
      <c r="F873" s="372"/>
      <c r="G873" s="372"/>
      <c r="H873" s="372"/>
      <c r="I873" s="372"/>
      <c r="J873" s="372"/>
      <c r="K873" s="369"/>
      <c r="L873" s="369"/>
      <c r="M873" s="373"/>
      <c r="N873" s="369"/>
      <c r="O873" s="369"/>
      <c r="P873" s="374"/>
      <c r="Q873" s="372"/>
      <c r="R873" s="372"/>
      <c r="S873" s="372"/>
      <c r="T873" s="372"/>
      <c r="U873" s="372"/>
      <c r="V873" s="372"/>
      <c r="W873" s="372"/>
      <c r="X873" s="372"/>
      <c r="Y873" s="372"/>
      <c r="Z873" s="372"/>
      <c r="AA873" s="372"/>
      <c r="AB873" s="372"/>
      <c r="AC873" s="372"/>
      <c r="AD873" s="372"/>
      <c r="AE873" s="372"/>
      <c r="AF873" s="372"/>
      <c r="AG873" s="372"/>
      <c r="AH873" s="372"/>
      <c r="AI873" s="372"/>
      <c r="AJ873" s="372"/>
      <c r="AK873" s="372"/>
      <c r="AL873" s="372"/>
      <c r="AM873" s="372"/>
    </row>
    <row r="874">
      <c r="A874" s="369"/>
      <c r="B874" s="369"/>
      <c r="C874" s="405"/>
      <c r="D874" s="369"/>
      <c r="E874" s="369"/>
      <c r="F874" s="372"/>
      <c r="G874" s="372"/>
      <c r="H874" s="372"/>
      <c r="I874" s="372"/>
      <c r="J874" s="372"/>
      <c r="K874" s="369"/>
      <c r="L874" s="369"/>
      <c r="M874" s="373"/>
      <c r="N874" s="369"/>
      <c r="O874" s="369"/>
      <c r="P874" s="374"/>
      <c r="Q874" s="372"/>
      <c r="R874" s="372"/>
      <c r="S874" s="372"/>
      <c r="T874" s="372"/>
      <c r="U874" s="372"/>
      <c r="V874" s="372"/>
      <c r="W874" s="372"/>
      <c r="X874" s="372"/>
      <c r="Y874" s="372"/>
      <c r="Z874" s="372"/>
      <c r="AA874" s="372"/>
      <c r="AB874" s="372"/>
      <c r="AC874" s="372"/>
      <c r="AD874" s="372"/>
      <c r="AE874" s="372"/>
      <c r="AF874" s="372"/>
      <c r="AG874" s="372"/>
      <c r="AH874" s="372"/>
      <c r="AI874" s="372"/>
      <c r="AJ874" s="372"/>
      <c r="AK874" s="372"/>
      <c r="AL874" s="372"/>
      <c r="AM874" s="372"/>
    </row>
    <row r="875">
      <c r="A875" s="369"/>
      <c r="B875" s="369"/>
      <c r="C875" s="405"/>
      <c r="D875" s="369"/>
      <c r="E875" s="369"/>
      <c r="F875" s="372"/>
      <c r="G875" s="372"/>
      <c r="H875" s="372"/>
      <c r="I875" s="372"/>
      <c r="J875" s="372"/>
      <c r="K875" s="369"/>
      <c r="L875" s="369"/>
      <c r="M875" s="373"/>
      <c r="N875" s="369"/>
      <c r="O875" s="369"/>
      <c r="P875" s="374"/>
      <c r="Q875" s="372"/>
      <c r="R875" s="372"/>
      <c r="S875" s="372"/>
      <c r="T875" s="372"/>
      <c r="U875" s="372"/>
      <c r="V875" s="372"/>
      <c r="W875" s="372"/>
      <c r="X875" s="372"/>
      <c r="Y875" s="372"/>
      <c r="Z875" s="372"/>
      <c r="AA875" s="372"/>
      <c r="AB875" s="372"/>
      <c r="AC875" s="372"/>
      <c r="AD875" s="372"/>
      <c r="AE875" s="372"/>
      <c r="AF875" s="372"/>
      <c r="AG875" s="372"/>
      <c r="AH875" s="372"/>
      <c r="AI875" s="372"/>
      <c r="AJ875" s="372"/>
      <c r="AK875" s="372"/>
      <c r="AL875" s="372"/>
      <c r="AM875" s="372"/>
    </row>
    <row r="876">
      <c r="A876" s="369"/>
      <c r="B876" s="369"/>
      <c r="C876" s="405"/>
      <c r="D876" s="369"/>
      <c r="E876" s="369"/>
      <c r="F876" s="372"/>
      <c r="G876" s="372"/>
      <c r="H876" s="372"/>
      <c r="I876" s="372"/>
      <c r="J876" s="372"/>
      <c r="K876" s="369"/>
      <c r="L876" s="369"/>
      <c r="M876" s="373"/>
      <c r="N876" s="369"/>
      <c r="O876" s="369"/>
      <c r="P876" s="374"/>
      <c r="Q876" s="372"/>
      <c r="R876" s="372"/>
      <c r="S876" s="372"/>
      <c r="T876" s="372"/>
      <c r="U876" s="372"/>
      <c r="V876" s="372"/>
      <c r="W876" s="372"/>
      <c r="X876" s="372"/>
      <c r="Y876" s="372"/>
      <c r="Z876" s="372"/>
      <c r="AA876" s="372"/>
      <c r="AB876" s="372"/>
      <c r="AC876" s="372"/>
      <c r="AD876" s="372"/>
      <c r="AE876" s="372"/>
      <c r="AF876" s="372"/>
      <c r="AG876" s="372"/>
      <c r="AH876" s="372"/>
      <c r="AI876" s="372"/>
      <c r="AJ876" s="372"/>
      <c r="AK876" s="372"/>
      <c r="AL876" s="372"/>
      <c r="AM876" s="372"/>
    </row>
    <row r="877">
      <c r="A877" s="369"/>
      <c r="B877" s="369"/>
      <c r="C877" s="405"/>
      <c r="D877" s="369"/>
      <c r="E877" s="369"/>
      <c r="F877" s="372"/>
      <c r="G877" s="372"/>
      <c r="H877" s="372"/>
      <c r="I877" s="372"/>
      <c r="J877" s="372"/>
      <c r="K877" s="369"/>
      <c r="L877" s="369"/>
      <c r="M877" s="373"/>
      <c r="N877" s="369"/>
      <c r="O877" s="369"/>
      <c r="P877" s="374"/>
      <c r="Q877" s="372"/>
      <c r="R877" s="372"/>
      <c r="S877" s="372"/>
      <c r="T877" s="372"/>
      <c r="U877" s="372"/>
      <c r="V877" s="372"/>
      <c r="W877" s="372"/>
      <c r="X877" s="372"/>
      <c r="Y877" s="372"/>
      <c r="Z877" s="372"/>
      <c r="AA877" s="372"/>
      <c r="AB877" s="372"/>
      <c r="AC877" s="372"/>
      <c r="AD877" s="372"/>
      <c r="AE877" s="372"/>
      <c r="AF877" s="372"/>
      <c r="AG877" s="372"/>
      <c r="AH877" s="372"/>
      <c r="AI877" s="372"/>
      <c r="AJ877" s="372"/>
      <c r="AK877" s="372"/>
      <c r="AL877" s="372"/>
      <c r="AM877" s="372"/>
    </row>
    <row r="878">
      <c r="A878" s="369"/>
      <c r="B878" s="369"/>
      <c r="C878" s="405"/>
      <c r="D878" s="369"/>
      <c r="E878" s="369"/>
      <c r="F878" s="372"/>
      <c r="G878" s="372"/>
      <c r="H878" s="372"/>
      <c r="I878" s="372"/>
      <c r="J878" s="372"/>
      <c r="K878" s="369"/>
      <c r="L878" s="369"/>
      <c r="M878" s="373"/>
      <c r="N878" s="369"/>
      <c r="O878" s="369"/>
      <c r="P878" s="374"/>
      <c r="Q878" s="372"/>
      <c r="R878" s="372"/>
      <c r="S878" s="372"/>
      <c r="T878" s="372"/>
      <c r="U878" s="372"/>
      <c r="V878" s="372"/>
      <c r="W878" s="372"/>
      <c r="X878" s="372"/>
      <c r="Y878" s="372"/>
      <c r="Z878" s="372"/>
      <c r="AA878" s="372"/>
      <c r="AB878" s="372"/>
      <c r="AC878" s="372"/>
      <c r="AD878" s="372"/>
      <c r="AE878" s="372"/>
      <c r="AF878" s="372"/>
      <c r="AG878" s="372"/>
      <c r="AH878" s="372"/>
      <c r="AI878" s="372"/>
      <c r="AJ878" s="372"/>
      <c r="AK878" s="372"/>
      <c r="AL878" s="372"/>
      <c r="AM878" s="372"/>
    </row>
    <row r="879">
      <c r="A879" s="369"/>
      <c r="B879" s="369"/>
      <c r="C879" s="405"/>
      <c r="D879" s="369"/>
      <c r="E879" s="369"/>
      <c r="F879" s="372"/>
      <c r="G879" s="372"/>
      <c r="H879" s="372"/>
      <c r="I879" s="372"/>
      <c r="J879" s="372"/>
      <c r="K879" s="369"/>
      <c r="L879" s="369"/>
      <c r="M879" s="373"/>
      <c r="N879" s="369"/>
      <c r="O879" s="369"/>
      <c r="P879" s="374"/>
      <c r="Q879" s="372"/>
      <c r="R879" s="372"/>
      <c r="S879" s="372"/>
      <c r="T879" s="372"/>
      <c r="U879" s="372"/>
      <c r="V879" s="372"/>
      <c r="W879" s="372"/>
      <c r="X879" s="372"/>
      <c r="Y879" s="372"/>
      <c r="Z879" s="372"/>
      <c r="AA879" s="372"/>
      <c r="AB879" s="372"/>
      <c r="AC879" s="372"/>
      <c r="AD879" s="372"/>
      <c r="AE879" s="372"/>
      <c r="AF879" s="372"/>
      <c r="AG879" s="372"/>
      <c r="AH879" s="372"/>
      <c r="AI879" s="372"/>
      <c r="AJ879" s="372"/>
      <c r="AK879" s="372"/>
      <c r="AL879" s="372"/>
      <c r="AM879" s="372"/>
    </row>
    <row r="880">
      <c r="A880" s="369"/>
      <c r="B880" s="369"/>
      <c r="C880" s="405"/>
      <c r="D880" s="369"/>
      <c r="E880" s="369"/>
      <c r="F880" s="372"/>
      <c r="G880" s="372"/>
      <c r="H880" s="372"/>
      <c r="I880" s="372"/>
      <c r="J880" s="372"/>
      <c r="K880" s="369"/>
      <c r="L880" s="369"/>
      <c r="M880" s="373"/>
      <c r="N880" s="369"/>
      <c r="O880" s="369"/>
      <c r="P880" s="374"/>
      <c r="Q880" s="372"/>
      <c r="R880" s="372"/>
      <c r="S880" s="372"/>
      <c r="T880" s="372"/>
      <c r="U880" s="372"/>
      <c r="V880" s="372"/>
      <c r="W880" s="372"/>
      <c r="X880" s="372"/>
      <c r="Y880" s="372"/>
      <c r="Z880" s="372"/>
      <c r="AA880" s="372"/>
      <c r="AB880" s="372"/>
      <c r="AC880" s="372"/>
      <c r="AD880" s="372"/>
      <c r="AE880" s="372"/>
      <c r="AF880" s="372"/>
      <c r="AG880" s="372"/>
      <c r="AH880" s="372"/>
      <c r="AI880" s="372"/>
      <c r="AJ880" s="372"/>
      <c r="AK880" s="372"/>
      <c r="AL880" s="372"/>
      <c r="AM880" s="372"/>
    </row>
    <row r="881">
      <c r="A881" s="369"/>
      <c r="B881" s="369"/>
      <c r="C881" s="405"/>
      <c r="D881" s="369"/>
      <c r="E881" s="369"/>
      <c r="F881" s="372"/>
      <c r="G881" s="372"/>
      <c r="H881" s="372"/>
      <c r="I881" s="372"/>
      <c r="J881" s="372"/>
      <c r="K881" s="369"/>
      <c r="L881" s="369"/>
      <c r="M881" s="373"/>
      <c r="N881" s="369"/>
      <c r="O881" s="369"/>
      <c r="P881" s="374"/>
      <c r="Q881" s="372"/>
      <c r="R881" s="372"/>
      <c r="S881" s="372"/>
      <c r="T881" s="372"/>
      <c r="U881" s="372"/>
      <c r="V881" s="372"/>
      <c r="W881" s="372"/>
      <c r="X881" s="372"/>
      <c r="Y881" s="372"/>
      <c r="Z881" s="372"/>
      <c r="AA881" s="372"/>
      <c r="AB881" s="372"/>
      <c r="AC881" s="372"/>
      <c r="AD881" s="372"/>
      <c r="AE881" s="372"/>
      <c r="AF881" s="372"/>
      <c r="AG881" s="372"/>
      <c r="AH881" s="372"/>
      <c r="AI881" s="372"/>
      <c r="AJ881" s="372"/>
      <c r="AK881" s="372"/>
      <c r="AL881" s="372"/>
      <c r="AM881" s="372"/>
    </row>
    <row r="882">
      <c r="A882" s="369"/>
      <c r="B882" s="369"/>
      <c r="C882" s="405"/>
      <c r="D882" s="369"/>
      <c r="E882" s="369"/>
      <c r="F882" s="372"/>
      <c r="G882" s="372"/>
      <c r="H882" s="372"/>
      <c r="I882" s="372"/>
      <c r="J882" s="372"/>
      <c r="K882" s="369"/>
      <c r="L882" s="369"/>
      <c r="M882" s="373"/>
      <c r="N882" s="369"/>
      <c r="O882" s="369"/>
      <c r="P882" s="374"/>
      <c r="Q882" s="372"/>
      <c r="R882" s="372"/>
      <c r="S882" s="372"/>
      <c r="T882" s="372"/>
      <c r="U882" s="372"/>
      <c r="V882" s="372"/>
      <c r="W882" s="372"/>
      <c r="X882" s="372"/>
      <c r="Y882" s="372"/>
      <c r="Z882" s="372"/>
      <c r="AA882" s="372"/>
      <c r="AB882" s="372"/>
      <c r="AC882" s="372"/>
      <c r="AD882" s="372"/>
      <c r="AE882" s="372"/>
      <c r="AF882" s="372"/>
      <c r="AG882" s="372"/>
      <c r="AH882" s="372"/>
      <c r="AI882" s="372"/>
      <c r="AJ882" s="372"/>
      <c r="AK882" s="372"/>
      <c r="AL882" s="372"/>
      <c r="AM882" s="372"/>
    </row>
    <row r="883">
      <c r="A883" s="369"/>
      <c r="B883" s="369"/>
      <c r="C883" s="405"/>
      <c r="D883" s="369"/>
      <c r="E883" s="369"/>
      <c r="F883" s="372"/>
      <c r="G883" s="372"/>
      <c r="H883" s="372"/>
      <c r="I883" s="372"/>
      <c r="J883" s="372"/>
      <c r="K883" s="369"/>
      <c r="L883" s="369"/>
      <c r="M883" s="373"/>
      <c r="N883" s="369"/>
      <c r="O883" s="369"/>
      <c r="P883" s="374"/>
      <c r="Q883" s="372"/>
      <c r="R883" s="372"/>
      <c r="S883" s="372"/>
      <c r="T883" s="372"/>
      <c r="U883" s="372"/>
      <c r="V883" s="372"/>
      <c r="W883" s="372"/>
      <c r="X883" s="372"/>
      <c r="Y883" s="372"/>
      <c r="Z883" s="372"/>
      <c r="AA883" s="372"/>
      <c r="AB883" s="372"/>
      <c r="AC883" s="372"/>
      <c r="AD883" s="372"/>
      <c r="AE883" s="372"/>
      <c r="AF883" s="372"/>
      <c r="AG883" s="372"/>
      <c r="AH883" s="372"/>
      <c r="AI883" s="372"/>
      <c r="AJ883" s="372"/>
      <c r="AK883" s="372"/>
      <c r="AL883" s="372"/>
      <c r="AM883" s="372"/>
    </row>
    <row r="884">
      <c r="A884" s="369"/>
      <c r="B884" s="369"/>
      <c r="C884" s="405"/>
      <c r="D884" s="369"/>
      <c r="E884" s="369"/>
      <c r="F884" s="372"/>
      <c r="G884" s="372"/>
      <c r="H884" s="372"/>
      <c r="I884" s="372"/>
      <c r="J884" s="372"/>
      <c r="K884" s="369"/>
      <c r="L884" s="369"/>
      <c r="M884" s="373"/>
      <c r="N884" s="369"/>
      <c r="O884" s="369"/>
      <c r="P884" s="374"/>
      <c r="Q884" s="372"/>
      <c r="R884" s="372"/>
      <c r="S884" s="372"/>
      <c r="T884" s="372"/>
      <c r="U884" s="372"/>
      <c r="V884" s="372"/>
      <c r="W884" s="372"/>
      <c r="X884" s="372"/>
      <c r="Y884" s="372"/>
      <c r="Z884" s="372"/>
      <c r="AA884" s="372"/>
      <c r="AB884" s="372"/>
      <c r="AC884" s="372"/>
      <c r="AD884" s="372"/>
      <c r="AE884" s="372"/>
      <c r="AF884" s="372"/>
      <c r="AG884" s="372"/>
      <c r="AH884" s="372"/>
      <c r="AI884" s="372"/>
      <c r="AJ884" s="372"/>
      <c r="AK884" s="372"/>
      <c r="AL884" s="372"/>
      <c r="AM884" s="372"/>
    </row>
    <row r="885">
      <c r="A885" s="369"/>
      <c r="B885" s="369"/>
      <c r="C885" s="405"/>
      <c r="D885" s="369"/>
      <c r="E885" s="369"/>
      <c r="F885" s="372"/>
      <c r="G885" s="372"/>
      <c r="H885" s="372"/>
      <c r="I885" s="372"/>
      <c r="J885" s="372"/>
      <c r="K885" s="369"/>
      <c r="L885" s="369"/>
      <c r="M885" s="373"/>
      <c r="N885" s="369"/>
      <c r="O885" s="369"/>
      <c r="P885" s="374"/>
      <c r="Q885" s="372"/>
      <c r="R885" s="372"/>
      <c r="S885" s="372"/>
      <c r="T885" s="372"/>
      <c r="U885" s="372"/>
      <c r="V885" s="372"/>
      <c r="W885" s="372"/>
      <c r="X885" s="372"/>
      <c r="Y885" s="372"/>
      <c r="Z885" s="372"/>
      <c r="AA885" s="372"/>
      <c r="AB885" s="372"/>
      <c r="AC885" s="372"/>
      <c r="AD885" s="372"/>
      <c r="AE885" s="372"/>
      <c r="AF885" s="372"/>
      <c r="AG885" s="372"/>
      <c r="AH885" s="372"/>
      <c r="AI885" s="372"/>
      <c r="AJ885" s="372"/>
      <c r="AK885" s="372"/>
      <c r="AL885" s="372"/>
      <c r="AM885" s="372"/>
    </row>
    <row r="886">
      <c r="A886" s="369"/>
      <c r="B886" s="369"/>
      <c r="C886" s="405"/>
      <c r="D886" s="369"/>
      <c r="E886" s="369"/>
      <c r="F886" s="372"/>
      <c r="G886" s="372"/>
      <c r="H886" s="372"/>
      <c r="I886" s="372"/>
      <c r="J886" s="372"/>
      <c r="K886" s="369"/>
      <c r="L886" s="369"/>
      <c r="M886" s="373"/>
      <c r="N886" s="369"/>
      <c r="O886" s="369"/>
      <c r="P886" s="374"/>
      <c r="Q886" s="372"/>
      <c r="R886" s="372"/>
      <c r="S886" s="372"/>
      <c r="T886" s="372"/>
      <c r="U886" s="372"/>
      <c r="V886" s="372"/>
      <c r="W886" s="372"/>
      <c r="X886" s="372"/>
      <c r="Y886" s="372"/>
      <c r="Z886" s="372"/>
      <c r="AA886" s="372"/>
      <c r="AB886" s="372"/>
      <c r="AC886" s="372"/>
      <c r="AD886" s="372"/>
      <c r="AE886" s="372"/>
      <c r="AF886" s="372"/>
      <c r="AG886" s="372"/>
      <c r="AH886" s="372"/>
      <c r="AI886" s="372"/>
      <c r="AJ886" s="372"/>
      <c r="AK886" s="372"/>
      <c r="AL886" s="372"/>
      <c r="AM886" s="372"/>
    </row>
    <row r="887">
      <c r="A887" s="369"/>
      <c r="B887" s="369"/>
      <c r="C887" s="405"/>
      <c r="D887" s="369"/>
      <c r="E887" s="369"/>
      <c r="F887" s="372"/>
      <c r="G887" s="372"/>
      <c r="H887" s="372"/>
      <c r="I887" s="372"/>
      <c r="J887" s="372"/>
      <c r="K887" s="369"/>
      <c r="L887" s="369"/>
      <c r="M887" s="373"/>
      <c r="N887" s="369"/>
      <c r="O887" s="369"/>
      <c r="P887" s="374"/>
      <c r="Q887" s="372"/>
      <c r="R887" s="372"/>
      <c r="S887" s="372"/>
      <c r="T887" s="372"/>
      <c r="U887" s="372"/>
      <c r="V887" s="372"/>
      <c r="W887" s="372"/>
      <c r="X887" s="372"/>
      <c r="Y887" s="372"/>
      <c r="Z887" s="372"/>
      <c r="AA887" s="372"/>
      <c r="AB887" s="372"/>
      <c r="AC887" s="372"/>
      <c r="AD887" s="372"/>
      <c r="AE887" s="372"/>
      <c r="AF887" s="372"/>
      <c r="AG887" s="372"/>
      <c r="AH887" s="372"/>
      <c r="AI887" s="372"/>
      <c r="AJ887" s="372"/>
      <c r="AK887" s="372"/>
      <c r="AL887" s="372"/>
      <c r="AM887" s="372"/>
    </row>
    <row r="888">
      <c r="A888" s="369"/>
      <c r="B888" s="369"/>
      <c r="C888" s="405"/>
      <c r="D888" s="369"/>
      <c r="E888" s="369"/>
      <c r="F888" s="372"/>
      <c r="G888" s="372"/>
      <c r="H888" s="372"/>
      <c r="I888" s="372"/>
      <c r="J888" s="372"/>
      <c r="K888" s="369"/>
      <c r="L888" s="369"/>
      <c r="M888" s="373"/>
      <c r="N888" s="369"/>
      <c r="O888" s="369"/>
      <c r="P888" s="374"/>
      <c r="Q888" s="372"/>
      <c r="R888" s="372"/>
      <c r="S888" s="372"/>
      <c r="T888" s="372"/>
      <c r="U888" s="372"/>
      <c r="V888" s="372"/>
      <c r="W888" s="372"/>
      <c r="X888" s="372"/>
      <c r="Y888" s="372"/>
      <c r="Z888" s="372"/>
      <c r="AA888" s="372"/>
      <c r="AB888" s="372"/>
      <c r="AC888" s="372"/>
      <c r="AD888" s="372"/>
      <c r="AE888" s="372"/>
      <c r="AF888" s="372"/>
      <c r="AG888" s="372"/>
      <c r="AH888" s="372"/>
      <c r="AI888" s="372"/>
      <c r="AJ888" s="372"/>
      <c r="AK888" s="372"/>
      <c r="AL888" s="372"/>
      <c r="AM888" s="372"/>
    </row>
    <row r="889">
      <c r="A889" s="369"/>
      <c r="B889" s="369"/>
      <c r="C889" s="405"/>
      <c r="D889" s="369"/>
      <c r="E889" s="369"/>
      <c r="F889" s="372"/>
      <c r="G889" s="372"/>
      <c r="H889" s="372"/>
      <c r="I889" s="372"/>
      <c r="J889" s="372"/>
      <c r="K889" s="369"/>
      <c r="L889" s="369"/>
      <c r="M889" s="373"/>
      <c r="N889" s="369"/>
      <c r="O889" s="369"/>
      <c r="P889" s="374"/>
      <c r="Q889" s="372"/>
      <c r="R889" s="372"/>
      <c r="S889" s="372"/>
      <c r="T889" s="372"/>
      <c r="U889" s="372"/>
      <c r="V889" s="372"/>
      <c r="W889" s="372"/>
      <c r="X889" s="372"/>
      <c r="Y889" s="372"/>
      <c r="Z889" s="372"/>
      <c r="AA889" s="372"/>
      <c r="AB889" s="372"/>
      <c r="AC889" s="372"/>
      <c r="AD889" s="372"/>
      <c r="AE889" s="372"/>
      <c r="AF889" s="372"/>
      <c r="AG889" s="372"/>
      <c r="AH889" s="372"/>
      <c r="AI889" s="372"/>
      <c r="AJ889" s="372"/>
      <c r="AK889" s="372"/>
      <c r="AL889" s="372"/>
      <c r="AM889" s="372"/>
    </row>
    <row r="890">
      <c r="A890" s="369"/>
      <c r="B890" s="369"/>
      <c r="C890" s="405"/>
      <c r="D890" s="369"/>
      <c r="E890" s="369"/>
      <c r="F890" s="372"/>
      <c r="G890" s="372"/>
      <c r="H890" s="372"/>
      <c r="I890" s="372"/>
      <c r="J890" s="372"/>
      <c r="K890" s="369"/>
      <c r="L890" s="369"/>
      <c r="M890" s="373"/>
      <c r="N890" s="369"/>
      <c r="O890" s="369"/>
      <c r="P890" s="374"/>
      <c r="Q890" s="372"/>
      <c r="R890" s="372"/>
      <c r="S890" s="372"/>
      <c r="T890" s="372"/>
      <c r="U890" s="372"/>
      <c r="V890" s="372"/>
      <c r="W890" s="372"/>
      <c r="X890" s="372"/>
      <c r="Y890" s="372"/>
      <c r="Z890" s="372"/>
      <c r="AA890" s="372"/>
      <c r="AB890" s="372"/>
      <c r="AC890" s="372"/>
      <c r="AD890" s="372"/>
      <c r="AE890" s="372"/>
      <c r="AF890" s="372"/>
      <c r="AG890" s="372"/>
      <c r="AH890" s="372"/>
      <c r="AI890" s="372"/>
      <c r="AJ890" s="372"/>
      <c r="AK890" s="372"/>
      <c r="AL890" s="372"/>
      <c r="AM890" s="372"/>
    </row>
    <row r="891">
      <c r="A891" s="369"/>
      <c r="B891" s="369"/>
      <c r="C891" s="405"/>
      <c r="D891" s="369"/>
      <c r="E891" s="369"/>
      <c r="F891" s="372"/>
      <c r="G891" s="372"/>
      <c r="H891" s="372"/>
      <c r="I891" s="372"/>
      <c r="J891" s="372"/>
      <c r="K891" s="369"/>
      <c r="L891" s="369"/>
      <c r="M891" s="373"/>
      <c r="N891" s="369"/>
      <c r="O891" s="369"/>
      <c r="P891" s="374"/>
      <c r="Q891" s="372"/>
      <c r="R891" s="372"/>
      <c r="S891" s="372"/>
      <c r="T891" s="372"/>
      <c r="U891" s="372"/>
      <c r="V891" s="372"/>
      <c r="W891" s="372"/>
      <c r="X891" s="372"/>
      <c r="Y891" s="372"/>
      <c r="Z891" s="372"/>
      <c r="AA891" s="372"/>
      <c r="AB891" s="372"/>
      <c r="AC891" s="372"/>
      <c r="AD891" s="372"/>
      <c r="AE891" s="372"/>
      <c r="AF891" s="372"/>
      <c r="AG891" s="372"/>
      <c r="AH891" s="372"/>
      <c r="AI891" s="372"/>
      <c r="AJ891" s="372"/>
      <c r="AK891" s="372"/>
      <c r="AL891" s="372"/>
      <c r="AM891" s="372"/>
    </row>
    <row r="892">
      <c r="A892" s="369"/>
      <c r="B892" s="369"/>
      <c r="C892" s="405"/>
      <c r="D892" s="369"/>
      <c r="E892" s="369"/>
      <c r="F892" s="372"/>
      <c r="G892" s="372"/>
      <c r="H892" s="372"/>
      <c r="I892" s="372"/>
      <c r="J892" s="372"/>
      <c r="K892" s="369"/>
      <c r="L892" s="369"/>
      <c r="M892" s="373"/>
      <c r="N892" s="369"/>
      <c r="O892" s="369"/>
      <c r="P892" s="374"/>
      <c r="Q892" s="372"/>
      <c r="R892" s="372"/>
      <c r="S892" s="372"/>
      <c r="T892" s="372"/>
      <c r="U892" s="372"/>
      <c r="V892" s="372"/>
      <c r="W892" s="372"/>
      <c r="X892" s="372"/>
      <c r="Y892" s="372"/>
      <c r="Z892" s="372"/>
      <c r="AA892" s="372"/>
      <c r="AB892" s="372"/>
      <c r="AC892" s="372"/>
      <c r="AD892" s="372"/>
      <c r="AE892" s="372"/>
      <c r="AF892" s="372"/>
      <c r="AG892" s="372"/>
      <c r="AH892" s="372"/>
      <c r="AI892" s="372"/>
      <c r="AJ892" s="372"/>
      <c r="AK892" s="372"/>
      <c r="AL892" s="372"/>
      <c r="AM892" s="372"/>
    </row>
    <row r="893">
      <c r="A893" s="369"/>
      <c r="B893" s="369"/>
      <c r="C893" s="405"/>
      <c r="D893" s="369"/>
      <c r="E893" s="369"/>
      <c r="F893" s="372"/>
      <c r="G893" s="372"/>
      <c r="H893" s="372"/>
      <c r="I893" s="372"/>
      <c r="J893" s="372"/>
      <c r="K893" s="369"/>
      <c r="L893" s="369"/>
      <c r="M893" s="373"/>
      <c r="N893" s="369"/>
      <c r="O893" s="369"/>
      <c r="P893" s="374"/>
      <c r="Q893" s="372"/>
      <c r="R893" s="372"/>
      <c r="S893" s="372"/>
      <c r="T893" s="372"/>
      <c r="U893" s="372"/>
      <c r="V893" s="372"/>
      <c r="W893" s="372"/>
      <c r="X893" s="372"/>
      <c r="Y893" s="372"/>
      <c r="Z893" s="372"/>
      <c r="AA893" s="372"/>
      <c r="AB893" s="372"/>
      <c r="AC893" s="372"/>
      <c r="AD893" s="372"/>
      <c r="AE893" s="372"/>
      <c r="AF893" s="372"/>
      <c r="AG893" s="372"/>
      <c r="AH893" s="372"/>
      <c r="AI893" s="372"/>
      <c r="AJ893" s="372"/>
      <c r="AK893" s="372"/>
      <c r="AL893" s="372"/>
      <c r="AM893" s="372"/>
    </row>
    <row r="894">
      <c r="A894" s="369"/>
      <c r="B894" s="369"/>
      <c r="C894" s="405"/>
      <c r="D894" s="369"/>
      <c r="E894" s="369"/>
      <c r="F894" s="372"/>
      <c r="G894" s="372"/>
      <c r="H894" s="372"/>
      <c r="I894" s="372"/>
      <c r="J894" s="372"/>
      <c r="K894" s="369"/>
      <c r="L894" s="369"/>
      <c r="M894" s="373"/>
      <c r="N894" s="369"/>
      <c r="O894" s="369"/>
      <c r="P894" s="374"/>
      <c r="Q894" s="372"/>
      <c r="R894" s="372"/>
      <c r="S894" s="372"/>
      <c r="T894" s="372"/>
      <c r="U894" s="372"/>
      <c r="V894" s="372"/>
      <c r="W894" s="372"/>
      <c r="X894" s="372"/>
      <c r="Y894" s="372"/>
      <c r="Z894" s="372"/>
      <c r="AA894" s="372"/>
      <c r="AB894" s="372"/>
      <c r="AC894" s="372"/>
      <c r="AD894" s="372"/>
      <c r="AE894" s="372"/>
      <c r="AF894" s="372"/>
      <c r="AG894" s="372"/>
      <c r="AH894" s="372"/>
      <c r="AI894" s="372"/>
      <c r="AJ894" s="372"/>
      <c r="AK894" s="372"/>
      <c r="AL894" s="372"/>
      <c r="AM894" s="372"/>
    </row>
    <row r="895">
      <c r="A895" s="369"/>
      <c r="B895" s="369"/>
      <c r="C895" s="405"/>
      <c r="D895" s="369"/>
      <c r="E895" s="369"/>
      <c r="F895" s="372"/>
      <c r="G895" s="372"/>
      <c r="H895" s="372"/>
      <c r="I895" s="372"/>
      <c r="J895" s="372"/>
      <c r="K895" s="369"/>
      <c r="L895" s="369"/>
      <c r="M895" s="373"/>
      <c r="N895" s="369"/>
      <c r="O895" s="369"/>
      <c r="P895" s="374"/>
      <c r="Q895" s="372"/>
      <c r="R895" s="372"/>
      <c r="S895" s="372"/>
      <c r="T895" s="372"/>
      <c r="U895" s="372"/>
      <c r="V895" s="372"/>
      <c r="W895" s="372"/>
      <c r="X895" s="372"/>
      <c r="Y895" s="372"/>
      <c r="Z895" s="372"/>
      <c r="AA895" s="372"/>
      <c r="AB895" s="372"/>
      <c r="AC895" s="372"/>
      <c r="AD895" s="372"/>
      <c r="AE895" s="372"/>
      <c r="AF895" s="372"/>
      <c r="AG895" s="372"/>
      <c r="AH895" s="372"/>
      <c r="AI895" s="372"/>
      <c r="AJ895" s="372"/>
      <c r="AK895" s="372"/>
      <c r="AL895" s="372"/>
      <c r="AM895" s="372"/>
    </row>
    <row r="896">
      <c r="A896" s="369"/>
      <c r="B896" s="369"/>
      <c r="C896" s="405"/>
      <c r="D896" s="369"/>
      <c r="E896" s="369"/>
      <c r="F896" s="372"/>
      <c r="G896" s="372"/>
      <c r="H896" s="372"/>
      <c r="I896" s="372"/>
      <c r="J896" s="372"/>
      <c r="K896" s="369"/>
      <c r="L896" s="369"/>
      <c r="M896" s="373"/>
      <c r="N896" s="369"/>
      <c r="O896" s="369"/>
      <c r="P896" s="374"/>
      <c r="Q896" s="372"/>
      <c r="R896" s="372"/>
      <c r="S896" s="372"/>
      <c r="T896" s="372"/>
      <c r="U896" s="372"/>
      <c r="V896" s="372"/>
      <c r="W896" s="372"/>
      <c r="X896" s="372"/>
      <c r="Y896" s="372"/>
      <c r="Z896" s="372"/>
      <c r="AA896" s="372"/>
      <c r="AB896" s="372"/>
      <c r="AC896" s="372"/>
      <c r="AD896" s="372"/>
      <c r="AE896" s="372"/>
      <c r="AF896" s="372"/>
      <c r="AG896" s="372"/>
      <c r="AH896" s="372"/>
      <c r="AI896" s="372"/>
      <c r="AJ896" s="372"/>
      <c r="AK896" s="372"/>
      <c r="AL896" s="372"/>
      <c r="AM896" s="372"/>
    </row>
    <row r="897">
      <c r="A897" s="369"/>
      <c r="B897" s="369"/>
      <c r="C897" s="405"/>
      <c r="D897" s="369"/>
      <c r="E897" s="369"/>
      <c r="F897" s="372"/>
      <c r="G897" s="372"/>
      <c r="H897" s="372"/>
      <c r="I897" s="372"/>
      <c r="J897" s="372"/>
      <c r="K897" s="369"/>
      <c r="L897" s="369"/>
      <c r="M897" s="373"/>
      <c r="N897" s="369"/>
      <c r="O897" s="369"/>
      <c r="P897" s="374"/>
      <c r="Q897" s="372"/>
      <c r="R897" s="372"/>
      <c r="S897" s="372"/>
      <c r="T897" s="372"/>
      <c r="U897" s="372"/>
      <c r="V897" s="372"/>
      <c r="W897" s="372"/>
      <c r="X897" s="372"/>
      <c r="Y897" s="372"/>
      <c r="Z897" s="372"/>
      <c r="AA897" s="372"/>
      <c r="AB897" s="372"/>
      <c r="AC897" s="372"/>
      <c r="AD897" s="372"/>
      <c r="AE897" s="372"/>
      <c r="AF897" s="372"/>
      <c r="AG897" s="372"/>
      <c r="AH897" s="372"/>
      <c r="AI897" s="372"/>
      <c r="AJ897" s="372"/>
      <c r="AK897" s="372"/>
      <c r="AL897" s="372"/>
      <c r="AM897" s="372"/>
    </row>
    <row r="898">
      <c r="A898" s="369"/>
      <c r="B898" s="369"/>
      <c r="C898" s="405"/>
      <c r="D898" s="369"/>
      <c r="E898" s="369"/>
      <c r="F898" s="372"/>
      <c r="G898" s="372"/>
      <c r="H898" s="372"/>
      <c r="I898" s="372"/>
      <c r="J898" s="372"/>
      <c r="K898" s="369"/>
      <c r="L898" s="369"/>
      <c r="M898" s="373"/>
      <c r="N898" s="369"/>
      <c r="O898" s="369"/>
      <c r="P898" s="374"/>
      <c r="Q898" s="372"/>
      <c r="R898" s="372"/>
      <c r="S898" s="372"/>
      <c r="T898" s="372"/>
      <c r="U898" s="372"/>
      <c r="V898" s="372"/>
      <c r="W898" s="372"/>
      <c r="X898" s="372"/>
      <c r="Y898" s="372"/>
      <c r="Z898" s="372"/>
      <c r="AA898" s="372"/>
      <c r="AB898" s="372"/>
      <c r="AC898" s="372"/>
      <c r="AD898" s="372"/>
      <c r="AE898" s="372"/>
      <c r="AF898" s="372"/>
      <c r="AG898" s="372"/>
      <c r="AH898" s="372"/>
      <c r="AI898" s="372"/>
      <c r="AJ898" s="372"/>
      <c r="AK898" s="372"/>
      <c r="AL898" s="372"/>
      <c r="AM898" s="372"/>
    </row>
    <row r="899">
      <c r="A899" s="369"/>
      <c r="B899" s="369"/>
      <c r="C899" s="405"/>
      <c r="D899" s="369"/>
      <c r="E899" s="369"/>
      <c r="F899" s="372"/>
      <c r="G899" s="372"/>
      <c r="H899" s="372"/>
      <c r="I899" s="372"/>
      <c r="J899" s="372"/>
      <c r="K899" s="369"/>
      <c r="L899" s="369"/>
      <c r="M899" s="373"/>
      <c r="N899" s="369"/>
      <c r="O899" s="369"/>
      <c r="P899" s="374"/>
      <c r="Q899" s="372"/>
      <c r="R899" s="372"/>
      <c r="S899" s="372"/>
      <c r="T899" s="372"/>
      <c r="U899" s="372"/>
      <c r="V899" s="372"/>
      <c r="W899" s="372"/>
      <c r="X899" s="372"/>
      <c r="Y899" s="372"/>
      <c r="Z899" s="372"/>
      <c r="AA899" s="372"/>
      <c r="AB899" s="372"/>
      <c r="AC899" s="372"/>
      <c r="AD899" s="372"/>
      <c r="AE899" s="372"/>
      <c r="AF899" s="372"/>
      <c r="AG899" s="372"/>
      <c r="AH899" s="372"/>
      <c r="AI899" s="372"/>
      <c r="AJ899" s="372"/>
      <c r="AK899" s="372"/>
      <c r="AL899" s="372"/>
      <c r="AM899" s="372"/>
    </row>
    <row r="900">
      <c r="A900" s="369"/>
      <c r="B900" s="369"/>
      <c r="C900" s="405"/>
      <c r="D900" s="369"/>
      <c r="E900" s="369"/>
      <c r="F900" s="372"/>
      <c r="G900" s="372"/>
      <c r="H900" s="372"/>
      <c r="I900" s="372"/>
      <c r="J900" s="372"/>
      <c r="K900" s="369"/>
      <c r="L900" s="369"/>
      <c r="M900" s="373"/>
      <c r="N900" s="369"/>
      <c r="O900" s="369"/>
      <c r="P900" s="374"/>
      <c r="Q900" s="372"/>
      <c r="R900" s="372"/>
      <c r="S900" s="372"/>
      <c r="T900" s="372"/>
      <c r="U900" s="372"/>
      <c r="V900" s="372"/>
      <c r="W900" s="372"/>
      <c r="X900" s="372"/>
      <c r="Y900" s="372"/>
      <c r="Z900" s="372"/>
      <c r="AA900" s="372"/>
      <c r="AB900" s="372"/>
      <c r="AC900" s="372"/>
      <c r="AD900" s="372"/>
      <c r="AE900" s="372"/>
      <c r="AF900" s="372"/>
      <c r="AG900" s="372"/>
      <c r="AH900" s="372"/>
      <c r="AI900" s="372"/>
      <c r="AJ900" s="372"/>
      <c r="AK900" s="372"/>
      <c r="AL900" s="372"/>
      <c r="AM900" s="372"/>
    </row>
    <row r="901">
      <c r="A901" s="369"/>
      <c r="B901" s="369"/>
      <c r="C901" s="405"/>
      <c r="D901" s="369"/>
      <c r="E901" s="369"/>
      <c r="F901" s="372"/>
      <c r="G901" s="372"/>
      <c r="H901" s="372"/>
      <c r="I901" s="372"/>
      <c r="J901" s="372"/>
      <c r="K901" s="369"/>
      <c r="L901" s="369"/>
      <c r="M901" s="373"/>
      <c r="N901" s="369"/>
      <c r="O901" s="369"/>
      <c r="P901" s="374"/>
      <c r="Q901" s="372"/>
      <c r="R901" s="372"/>
      <c r="S901" s="372"/>
      <c r="T901" s="372"/>
      <c r="U901" s="372"/>
      <c r="V901" s="372"/>
      <c r="W901" s="372"/>
      <c r="X901" s="372"/>
      <c r="Y901" s="372"/>
      <c r="Z901" s="372"/>
      <c r="AA901" s="372"/>
      <c r="AB901" s="372"/>
      <c r="AC901" s="372"/>
      <c r="AD901" s="372"/>
      <c r="AE901" s="372"/>
      <c r="AF901" s="372"/>
      <c r="AG901" s="372"/>
      <c r="AH901" s="372"/>
      <c r="AI901" s="372"/>
      <c r="AJ901" s="372"/>
      <c r="AK901" s="372"/>
      <c r="AL901" s="372"/>
      <c r="AM901" s="372"/>
    </row>
    <row r="902">
      <c r="A902" s="369"/>
      <c r="B902" s="369"/>
      <c r="C902" s="405"/>
      <c r="D902" s="369"/>
      <c r="E902" s="369"/>
      <c r="F902" s="372"/>
      <c r="G902" s="372"/>
      <c r="H902" s="372"/>
      <c r="I902" s="372"/>
      <c r="J902" s="372"/>
      <c r="K902" s="369"/>
      <c r="L902" s="369"/>
      <c r="M902" s="373"/>
      <c r="N902" s="369"/>
      <c r="O902" s="369"/>
      <c r="P902" s="374"/>
      <c r="Q902" s="372"/>
      <c r="R902" s="372"/>
      <c r="S902" s="372"/>
      <c r="T902" s="372"/>
      <c r="U902" s="372"/>
      <c r="V902" s="372"/>
      <c r="W902" s="372"/>
      <c r="X902" s="372"/>
      <c r="Y902" s="372"/>
      <c r="Z902" s="372"/>
      <c r="AA902" s="372"/>
      <c r="AB902" s="372"/>
      <c r="AC902" s="372"/>
      <c r="AD902" s="372"/>
      <c r="AE902" s="372"/>
      <c r="AF902" s="372"/>
      <c r="AG902" s="372"/>
      <c r="AH902" s="372"/>
      <c r="AI902" s="372"/>
      <c r="AJ902" s="372"/>
      <c r="AK902" s="372"/>
      <c r="AL902" s="372"/>
      <c r="AM902" s="372"/>
    </row>
    <row r="903">
      <c r="A903" s="369"/>
      <c r="B903" s="369"/>
      <c r="C903" s="405"/>
      <c r="D903" s="369"/>
      <c r="E903" s="369"/>
      <c r="F903" s="372"/>
      <c r="G903" s="372"/>
      <c r="H903" s="372"/>
      <c r="I903" s="372"/>
      <c r="J903" s="372"/>
      <c r="K903" s="369"/>
      <c r="L903" s="369"/>
      <c r="M903" s="373"/>
      <c r="N903" s="369"/>
      <c r="O903" s="369"/>
      <c r="P903" s="374"/>
      <c r="Q903" s="372"/>
      <c r="R903" s="372"/>
      <c r="S903" s="372"/>
      <c r="T903" s="372"/>
      <c r="U903" s="372"/>
      <c r="V903" s="372"/>
      <c r="W903" s="372"/>
      <c r="X903" s="372"/>
      <c r="Y903" s="372"/>
      <c r="Z903" s="372"/>
      <c r="AA903" s="372"/>
      <c r="AB903" s="372"/>
      <c r="AC903" s="372"/>
      <c r="AD903" s="372"/>
      <c r="AE903" s="372"/>
      <c r="AF903" s="372"/>
      <c r="AG903" s="372"/>
      <c r="AH903" s="372"/>
      <c r="AI903" s="372"/>
      <c r="AJ903" s="372"/>
      <c r="AK903" s="372"/>
      <c r="AL903" s="372"/>
      <c r="AM903" s="372"/>
    </row>
    <row r="904">
      <c r="A904" s="369"/>
      <c r="B904" s="369"/>
      <c r="C904" s="405"/>
      <c r="D904" s="369"/>
      <c r="E904" s="369"/>
      <c r="F904" s="372"/>
      <c r="G904" s="372"/>
      <c r="H904" s="372"/>
      <c r="I904" s="372"/>
      <c r="J904" s="372"/>
      <c r="K904" s="369"/>
      <c r="L904" s="369"/>
      <c r="M904" s="373"/>
      <c r="N904" s="369"/>
      <c r="O904" s="369"/>
      <c r="P904" s="374"/>
      <c r="Q904" s="372"/>
      <c r="R904" s="372"/>
      <c r="S904" s="372"/>
      <c r="T904" s="372"/>
      <c r="U904" s="372"/>
      <c r="V904" s="372"/>
      <c r="W904" s="372"/>
      <c r="X904" s="372"/>
      <c r="Y904" s="372"/>
      <c r="Z904" s="372"/>
      <c r="AA904" s="372"/>
      <c r="AB904" s="372"/>
      <c r="AC904" s="372"/>
      <c r="AD904" s="372"/>
      <c r="AE904" s="372"/>
      <c r="AF904" s="372"/>
      <c r="AG904" s="372"/>
      <c r="AH904" s="372"/>
      <c r="AI904" s="372"/>
      <c r="AJ904" s="372"/>
      <c r="AK904" s="372"/>
      <c r="AL904" s="372"/>
      <c r="AM904" s="372"/>
    </row>
    <row r="905">
      <c r="A905" s="369"/>
      <c r="B905" s="369"/>
      <c r="C905" s="405"/>
      <c r="D905" s="369"/>
      <c r="E905" s="369"/>
      <c r="F905" s="372"/>
      <c r="G905" s="372"/>
      <c r="H905" s="372"/>
      <c r="I905" s="372"/>
      <c r="J905" s="372"/>
      <c r="K905" s="369"/>
      <c r="L905" s="369"/>
      <c r="M905" s="373"/>
      <c r="N905" s="369"/>
      <c r="O905" s="369"/>
      <c r="P905" s="374"/>
      <c r="Q905" s="372"/>
      <c r="R905" s="372"/>
      <c r="S905" s="372"/>
      <c r="T905" s="372"/>
      <c r="U905" s="372"/>
      <c r="V905" s="372"/>
      <c r="W905" s="372"/>
      <c r="X905" s="372"/>
      <c r="Y905" s="372"/>
      <c r="Z905" s="372"/>
      <c r="AA905" s="372"/>
      <c r="AB905" s="372"/>
      <c r="AC905" s="372"/>
      <c r="AD905" s="372"/>
      <c r="AE905" s="372"/>
      <c r="AF905" s="372"/>
      <c r="AG905" s="372"/>
      <c r="AH905" s="372"/>
      <c r="AI905" s="372"/>
      <c r="AJ905" s="372"/>
      <c r="AK905" s="372"/>
      <c r="AL905" s="372"/>
      <c r="AM905" s="372"/>
    </row>
    <row r="906">
      <c r="A906" s="369"/>
      <c r="B906" s="369"/>
      <c r="C906" s="405"/>
      <c r="D906" s="369"/>
      <c r="E906" s="369"/>
      <c r="F906" s="372"/>
      <c r="G906" s="372"/>
      <c r="H906" s="372"/>
      <c r="I906" s="372"/>
      <c r="J906" s="372"/>
      <c r="K906" s="369"/>
      <c r="L906" s="369"/>
      <c r="M906" s="373"/>
      <c r="N906" s="369"/>
      <c r="O906" s="369"/>
      <c r="P906" s="374"/>
      <c r="Q906" s="372"/>
      <c r="R906" s="372"/>
      <c r="S906" s="372"/>
      <c r="T906" s="372"/>
      <c r="U906" s="372"/>
      <c r="V906" s="372"/>
      <c r="W906" s="372"/>
      <c r="X906" s="372"/>
      <c r="Y906" s="372"/>
      <c r="Z906" s="372"/>
      <c r="AA906" s="372"/>
      <c r="AB906" s="372"/>
      <c r="AC906" s="372"/>
      <c r="AD906" s="372"/>
      <c r="AE906" s="372"/>
      <c r="AF906" s="372"/>
      <c r="AG906" s="372"/>
      <c r="AH906" s="372"/>
      <c r="AI906" s="372"/>
      <c r="AJ906" s="372"/>
      <c r="AK906" s="372"/>
      <c r="AL906" s="372"/>
      <c r="AM906" s="372"/>
    </row>
    <row r="907">
      <c r="A907" s="369"/>
      <c r="B907" s="369"/>
      <c r="C907" s="405"/>
      <c r="D907" s="369"/>
      <c r="E907" s="369"/>
      <c r="F907" s="372"/>
      <c r="G907" s="372"/>
      <c r="H907" s="372"/>
      <c r="I907" s="372"/>
      <c r="J907" s="372"/>
      <c r="K907" s="369"/>
      <c r="L907" s="369"/>
      <c r="M907" s="373"/>
      <c r="N907" s="369"/>
      <c r="O907" s="369"/>
      <c r="P907" s="374"/>
      <c r="Q907" s="372"/>
      <c r="R907" s="372"/>
      <c r="S907" s="372"/>
      <c r="T907" s="372"/>
      <c r="U907" s="372"/>
      <c r="V907" s="372"/>
      <c r="W907" s="372"/>
      <c r="X907" s="372"/>
      <c r="Y907" s="372"/>
      <c r="Z907" s="372"/>
      <c r="AA907" s="372"/>
      <c r="AB907" s="372"/>
      <c r="AC907" s="372"/>
      <c r="AD907" s="372"/>
      <c r="AE907" s="372"/>
      <c r="AF907" s="372"/>
      <c r="AG907" s="372"/>
      <c r="AH907" s="372"/>
      <c r="AI907" s="372"/>
      <c r="AJ907" s="372"/>
      <c r="AK907" s="372"/>
      <c r="AL907" s="372"/>
      <c r="AM907" s="372"/>
    </row>
    <row r="908">
      <c r="A908" s="369"/>
      <c r="B908" s="369"/>
      <c r="C908" s="405"/>
      <c r="D908" s="369"/>
      <c r="E908" s="369"/>
      <c r="F908" s="372"/>
      <c r="G908" s="372"/>
      <c r="H908" s="372"/>
      <c r="I908" s="372"/>
      <c r="J908" s="372"/>
      <c r="K908" s="369"/>
      <c r="L908" s="369"/>
      <c r="M908" s="373"/>
      <c r="N908" s="369"/>
      <c r="O908" s="369"/>
      <c r="P908" s="374"/>
      <c r="Q908" s="372"/>
      <c r="R908" s="372"/>
      <c r="S908" s="372"/>
      <c r="T908" s="372"/>
      <c r="U908" s="372"/>
      <c r="V908" s="372"/>
      <c r="W908" s="372"/>
      <c r="X908" s="372"/>
      <c r="Y908" s="372"/>
      <c r="Z908" s="372"/>
      <c r="AA908" s="372"/>
      <c r="AB908" s="372"/>
      <c r="AC908" s="372"/>
      <c r="AD908" s="372"/>
      <c r="AE908" s="372"/>
      <c r="AF908" s="372"/>
      <c r="AG908" s="372"/>
      <c r="AH908" s="372"/>
      <c r="AI908" s="372"/>
      <c r="AJ908" s="372"/>
      <c r="AK908" s="372"/>
      <c r="AL908" s="372"/>
      <c r="AM908" s="372"/>
    </row>
    <row r="909">
      <c r="A909" s="369"/>
      <c r="B909" s="369"/>
      <c r="C909" s="405"/>
      <c r="D909" s="369"/>
      <c r="E909" s="369"/>
      <c r="F909" s="372"/>
      <c r="G909" s="372"/>
      <c r="H909" s="372"/>
      <c r="I909" s="372"/>
      <c r="J909" s="372"/>
      <c r="K909" s="369"/>
      <c r="L909" s="369"/>
      <c r="M909" s="373"/>
      <c r="N909" s="369"/>
      <c r="O909" s="369"/>
      <c r="P909" s="374"/>
      <c r="Q909" s="372"/>
      <c r="R909" s="372"/>
      <c r="S909" s="372"/>
      <c r="T909" s="372"/>
      <c r="U909" s="372"/>
      <c r="V909" s="372"/>
      <c r="W909" s="372"/>
      <c r="X909" s="372"/>
      <c r="Y909" s="372"/>
      <c r="Z909" s="372"/>
      <c r="AA909" s="372"/>
      <c r="AB909" s="372"/>
      <c r="AC909" s="372"/>
      <c r="AD909" s="372"/>
      <c r="AE909" s="372"/>
      <c r="AF909" s="372"/>
      <c r="AG909" s="372"/>
      <c r="AH909" s="372"/>
      <c r="AI909" s="372"/>
      <c r="AJ909" s="372"/>
      <c r="AK909" s="372"/>
      <c r="AL909" s="372"/>
      <c r="AM909" s="372"/>
    </row>
    <row r="910">
      <c r="A910" s="369"/>
      <c r="B910" s="369"/>
      <c r="C910" s="405"/>
      <c r="D910" s="369"/>
      <c r="E910" s="369"/>
      <c r="F910" s="372"/>
      <c r="G910" s="372"/>
      <c r="H910" s="372"/>
      <c r="I910" s="372"/>
      <c r="J910" s="372"/>
      <c r="K910" s="369"/>
      <c r="L910" s="369"/>
      <c r="M910" s="373"/>
      <c r="N910" s="369"/>
      <c r="O910" s="369"/>
      <c r="P910" s="374"/>
      <c r="Q910" s="372"/>
      <c r="R910" s="372"/>
      <c r="S910" s="372"/>
      <c r="T910" s="372"/>
      <c r="U910" s="372"/>
      <c r="V910" s="372"/>
      <c r="W910" s="372"/>
      <c r="X910" s="372"/>
      <c r="Y910" s="372"/>
      <c r="Z910" s="372"/>
      <c r="AA910" s="372"/>
      <c r="AB910" s="372"/>
      <c r="AC910" s="372"/>
      <c r="AD910" s="372"/>
      <c r="AE910" s="372"/>
      <c r="AF910" s="372"/>
      <c r="AG910" s="372"/>
      <c r="AH910" s="372"/>
      <c r="AI910" s="372"/>
      <c r="AJ910" s="372"/>
      <c r="AK910" s="372"/>
      <c r="AL910" s="372"/>
      <c r="AM910" s="372"/>
    </row>
    <row r="911">
      <c r="A911" s="369"/>
      <c r="B911" s="369"/>
      <c r="C911" s="405"/>
      <c r="D911" s="369"/>
      <c r="E911" s="369"/>
      <c r="F911" s="372"/>
      <c r="G911" s="372"/>
      <c r="H911" s="372"/>
      <c r="I911" s="372"/>
      <c r="J911" s="372"/>
      <c r="K911" s="369"/>
      <c r="L911" s="369"/>
      <c r="M911" s="373"/>
      <c r="N911" s="369"/>
      <c r="O911" s="369"/>
      <c r="P911" s="374"/>
      <c r="Q911" s="372"/>
      <c r="R911" s="372"/>
      <c r="S911" s="372"/>
      <c r="T911" s="372"/>
      <c r="U911" s="372"/>
      <c r="V911" s="372"/>
      <c r="W911" s="372"/>
      <c r="X911" s="372"/>
      <c r="Y911" s="372"/>
      <c r="Z911" s="372"/>
      <c r="AA911" s="372"/>
      <c r="AB911" s="372"/>
      <c r="AC911" s="372"/>
      <c r="AD911" s="372"/>
      <c r="AE911" s="372"/>
      <c r="AF911" s="372"/>
      <c r="AG911" s="372"/>
      <c r="AH911" s="372"/>
      <c r="AI911" s="372"/>
      <c r="AJ911" s="372"/>
      <c r="AK911" s="372"/>
      <c r="AL911" s="372"/>
      <c r="AM911" s="372"/>
    </row>
    <row r="912">
      <c r="A912" s="369"/>
      <c r="B912" s="369"/>
      <c r="C912" s="405"/>
      <c r="D912" s="369"/>
      <c r="E912" s="369"/>
      <c r="F912" s="372"/>
      <c r="G912" s="372"/>
      <c r="H912" s="372"/>
      <c r="I912" s="372"/>
      <c r="J912" s="372"/>
      <c r="K912" s="369"/>
      <c r="L912" s="369"/>
      <c r="M912" s="373"/>
      <c r="N912" s="369"/>
      <c r="O912" s="369"/>
      <c r="P912" s="374"/>
      <c r="Q912" s="372"/>
      <c r="R912" s="372"/>
      <c r="S912" s="372"/>
      <c r="T912" s="372"/>
      <c r="U912" s="372"/>
      <c r="V912" s="372"/>
      <c r="W912" s="372"/>
      <c r="X912" s="372"/>
      <c r="Y912" s="372"/>
      <c r="Z912" s="372"/>
      <c r="AA912" s="372"/>
      <c r="AB912" s="372"/>
      <c r="AC912" s="372"/>
      <c r="AD912" s="372"/>
      <c r="AE912" s="372"/>
      <c r="AF912" s="372"/>
      <c r="AG912" s="372"/>
      <c r="AH912" s="372"/>
      <c r="AI912" s="372"/>
      <c r="AJ912" s="372"/>
      <c r="AK912" s="372"/>
      <c r="AL912" s="372"/>
      <c r="AM912" s="372"/>
    </row>
    <row r="913">
      <c r="A913" s="369"/>
      <c r="B913" s="369"/>
      <c r="C913" s="405"/>
      <c r="D913" s="369"/>
      <c r="E913" s="369"/>
      <c r="F913" s="372"/>
      <c r="G913" s="372"/>
      <c r="H913" s="372"/>
      <c r="I913" s="372"/>
      <c r="J913" s="372"/>
      <c r="K913" s="369"/>
      <c r="L913" s="369"/>
      <c r="M913" s="373"/>
      <c r="N913" s="369"/>
      <c r="O913" s="369"/>
      <c r="P913" s="374"/>
      <c r="Q913" s="372"/>
      <c r="R913" s="372"/>
      <c r="S913" s="372"/>
      <c r="T913" s="372"/>
      <c r="U913" s="372"/>
      <c r="V913" s="372"/>
      <c r="W913" s="372"/>
      <c r="X913" s="372"/>
      <c r="Y913" s="372"/>
      <c r="Z913" s="372"/>
      <c r="AA913" s="372"/>
      <c r="AB913" s="372"/>
      <c r="AC913" s="372"/>
      <c r="AD913" s="372"/>
      <c r="AE913" s="372"/>
      <c r="AF913" s="372"/>
      <c r="AG913" s="372"/>
      <c r="AH913" s="372"/>
      <c r="AI913" s="372"/>
      <c r="AJ913" s="372"/>
      <c r="AK913" s="372"/>
      <c r="AL913" s="372"/>
      <c r="AM913" s="372"/>
    </row>
    <row r="914">
      <c r="A914" s="369"/>
      <c r="B914" s="369"/>
      <c r="C914" s="405"/>
      <c r="D914" s="369"/>
      <c r="E914" s="369"/>
      <c r="F914" s="372"/>
      <c r="G914" s="372"/>
      <c r="H914" s="372"/>
      <c r="I914" s="372"/>
      <c r="J914" s="372"/>
      <c r="K914" s="369"/>
      <c r="L914" s="369"/>
      <c r="M914" s="373"/>
      <c r="N914" s="369"/>
      <c r="O914" s="369"/>
      <c r="P914" s="374"/>
      <c r="Q914" s="372"/>
      <c r="R914" s="372"/>
      <c r="S914" s="372"/>
      <c r="T914" s="372"/>
      <c r="U914" s="372"/>
      <c r="V914" s="372"/>
      <c r="W914" s="372"/>
      <c r="X914" s="372"/>
      <c r="Y914" s="372"/>
      <c r="Z914" s="372"/>
      <c r="AA914" s="372"/>
      <c r="AB914" s="372"/>
      <c r="AC914" s="372"/>
      <c r="AD914" s="372"/>
      <c r="AE914" s="372"/>
      <c r="AF914" s="372"/>
      <c r="AG914" s="372"/>
      <c r="AH914" s="372"/>
      <c r="AI914" s="372"/>
      <c r="AJ914" s="372"/>
      <c r="AK914" s="372"/>
      <c r="AL914" s="372"/>
      <c r="AM914" s="372"/>
    </row>
    <row r="915">
      <c r="A915" s="369"/>
      <c r="B915" s="369"/>
      <c r="C915" s="405"/>
      <c r="D915" s="369"/>
      <c r="E915" s="369"/>
      <c r="F915" s="372"/>
      <c r="G915" s="372"/>
      <c r="H915" s="372"/>
      <c r="I915" s="372"/>
      <c r="J915" s="372"/>
      <c r="K915" s="369"/>
      <c r="L915" s="369"/>
      <c r="M915" s="373"/>
      <c r="N915" s="369"/>
      <c r="O915" s="369"/>
      <c r="P915" s="374"/>
      <c r="Q915" s="372"/>
      <c r="R915" s="372"/>
      <c r="S915" s="372"/>
      <c r="T915" s="372"/>
      <c r="U915" s="372"/>
      <c r="V915" s="372"/>
      <c r="W915" s="372"/>
      <c r="X915" s="372"/>
      <c r="Y915" s="372"/>
      <c r="Z915" s="372"/>
      <c r="AA915" s="372"/>
      <c r="AB915" s="372"/>
      <c r="AC915" s="372"/>
      <c r="AD915" s="372"/>
      <c r="AE915" s="372"/>
      <c r="AF915" s="372"/>
      <c r="AG915" s="372"/>
      <c r="AH915" s="372"/>
      <c r="AI915" s="372"/>
      <c r="AJ915" s="372"/>
      <c r="AK915" s="372"/>
      <c r="AL915" s="372"/>
      <c r="AM915" s="372"/>
    </row>
    <row r="916">
      <c r="A916" s="369"/>
      <c r="B916" s="369"/>
      <c r="C916" s="405"/>
      <c r="D916" s="369"/>
      <c r="E916" s="369"/>
      <c r="F916" s="372"/>
      <c r="G916" s="372"/>
      <c r="H916" s="372"/>
      <c r="I916" s="372"/>
      <c r="J916" s="372"/>
      <c r="K916" s="369"/>
      <c r="L916" s="369"/>
      <c r="M916" s="373"/>
      <c r="N916" s="369"/>
      <c r="O916" s="369"/>
      <c r="P916" s="374"/>
      <c r="Q916" s="372"/>
      <c r="R916" s="372"/>
      <c r="S916" s="372"/>
      <c r="T916" s="372"/>
      <c r="U916" s="372"/>
      <c r="V916" s="372"/>
      <c r="W916" s="372"/>
      <c r="X916" s="372"/>
      <c r="Y916" s="372"/>
      <c r="Z916" s="372"/>
      <c r="AA916" s="372"/>
      <c r="AB916" s="372"/>
      <c r="AC916" s="372"/>
      <c r="AD916" s="372"/>
      <c r="AE916" s="372"/>
      <c r="AF916" s="372"/>
      <c r="AG916" s="372"/>
      <c r="AH916" s="372"/>
      <c r="AI916" s="372"/>
      <c r="AJ916" s="372"/>
      <c r="AK916" s="372"/>
      <c r="AL916" s="372"/>
      <c r="AM916" s="372"/>
    </row>
    <row r="917">
      <c r="A917" s="369"/>
      <c r="B917" s="369"/>
      <c r="C917" s="405"/>
      <c r="D917" s="369"/>
      <c r="E917" s="369"/>
      <c r="F917" s="372"/>
      <c r="G917" s="372"/>
      <c r="H917" s="372"/>
      <c r="I917" s="372"/>
      <c r="J917" s="372"/>
      <c r="K917" s="369"/>
      <c r="L917" s="369"/>
      <c r="M917" s="373"/>
      <c r="N917" s="369"/>
      <c r="O917" s="369"/>
      <c r="P917" s="374"/>
      <c r="Q917" s="372"/>
      <c r="R917" s="372"/>
      <c r="S917" s="372"/>
      <c r="T917" s="372"/>
      <c r="U917" s="372"/>
      <c r="V917" s="372"/>
      <c r="W917" s="372"/>
      <c r="X917" s="372"/>
      <c r="Y917" s="372"/>
      <c r="Z917" s="372"/>
      <c r="AA917" s="372"/>
      <c r="AB917" s="372"/>
      <c r="AC917" s="372"/>
      <c r="AD917" s="372"/>
      <c r="AE917" s="372"/>
      <c r="AF917" s="372"/>
      <c r="AG917" s="372"/>
      <c r="AH917" s="372"/>
      <c r="AI917" s="372"/>
      <c r="AJ917" s="372"/>
      <c r="AK917" s="372"/>
      <c r="AL917" s="372"/>
      <c r="AM917" s="372"/>
    </row>
    <row r="918">
      <c r="A918" s="369"/>
      <c r="B918" s="369"/>
      <c r="C918" s="405"/>
      <c r="D918" s="369"/>
      <c r="E918" s="369"/>
      <c r="F918" s="372"/>
      <c r="G918" s="372"/>
      <c r="H918" s="372"/>
      <c r="I918" s="372"/>
      <c r="J918" s="372"/>
      <c r="K918" s="369"/>
      <c r="L918" s="369"/>
      <c r="M918" s="373"/>
      <c r="N918" s="369"/>
      <c r="O918" s="369"/>
      <c r="P918" s="374"/>
      <c r="Q918" s="372"/>
      <c r="R918" s="372"/>
      <c r="S918" s="372"/>
      <c r="T918" s="372"/>
      <c r="U918" s="372"/>
      <c r="V918" s="372"/>
      <c r="W918" s="372"/>
      <c r="X918" s="372"/>
      <c r="Y918" s="372"/>
      <c r="Z918" s="372"/>
      <c r="AA918" s="372"/>
      <c r="AB918" s="372"/>
      <c r="AC918" s="372"/>
      <c r="AD918" s="372"/>
      <c r="AE918" s="372"/>
      <c r="AF918" s="372"/>
      <c r="AG918" s="372"/>
      <c r="AH918" s="372"/>
      <c r="AI918" s="372"/>
      <c r="AJ918" s="372"/>
      <c r="AK918" s="372"/>
      <c r="AL918" s="372"/>
      <c r="AM918" s="372"/>
    </row>
    <row r="919">
      <c r="A919" s="369"/>
      <c r="B919" s="369"/>
      <c r="C919" s="405"/>
      <c r="D919" s="369"/>
      <c r="E919" s="369"/>
      <c r="F919" s="372"/>
      <c r="G919" s="372"/>
      <c r="H919" s="372"/>
      <c r="I919" s="372"/>
      <c r="J919" s="372"/>
      <c r="K919" s="369"/>
      <c r="L919" s="369"/>
      <c r="M919" s="373"/>
      <c r="N919" s="369"/>
      <c r="O919" s="369"/>
      <c r="P919" s="374"/>
      <c r="Q919" s="372"/>
      <c r="R919" s="372"/>
      <c r="S919" s="372"/>
      <c r="T919" s="372"/>
      <c r="U919" s="372"/>
      <c r="V919" s="372"/>
      <c r="W919" s="372"/>
      <c r="X919" s="372"/>
      <c r="Y919" s="372"/>
      <c r="Z919" s="372"/>
      <c r="AA919" s="372"/>
      <c r="AB919" s="372"/>
      <c r="AC919" s="372"/>
      <c r="AD919" s="372"/>
      <c r="AE919" s="372"/>
      <c r="AF919" s="372"/>
      <c r="AG919" s="372"/>
      <c r="AH919" s="372"/>
      <c r="AI919" s="372"/>
      <c r="AJ919" s="372"/>
      <c r="AK919" s="372"/>
      <c r="AL919" s="372"/>
      <c r="AM919" s="372"/>
    </row>
    <row r="920">
      <c r="A920" s="369"/>
      <c r="B920" s="369"/>
      <c r="C920" s="405"/>
      <c r="D920" s="369"/>
      <c r="E920" s="369"/>
      <c r="F920" s="372"/>
      <c r="G920" s="372"/>
      <c r="H920" s="372"/>
      <c r="I920" s="372"/>
      <c r="J920" s="372"/>
      <c r="K920" s="369"/>
      <c r="L920" s="369"/>
      <c r="M920" s="373"/>
      <c r="N920" s="369"/>
      <c r="O920" s="369"/>
      <c r="P920" s="374"/>
      <c r="Q920" s="372"/>
      <c r="R920" s="372"/>
      <c r="S920" s="372"/>
      <c r="T920" s="372"/>
      <c r="U920" s="372"/>
      <c r="V920" s="372"/>
      <c r="W920" s="372"/>
      <c r="X920" s="372"/>
      <c r="Y920" s="372"/>
      <c r="Z920" s="372"/>
      <c r="AA920" s="372"/>
      <c r="AB920" s="372"/>
      <c r="AC920" s="372"/>
      <c r="AD920" s="372"/>
      <c r="AE920" s="372"/>
      <c r="AF920" s="372"/>
      <c r="AG920" s="372"/>
      <c r="AH920" s="372"/>
      <c r="AI920" s="372"/>
      <c r="AJ920" s="372"/>
      <c r="AK920" s="372"/>
      <c r="AL920" s="372"/>
      <c r="AM920" s="372"/>
    </row>
    <row r="921">
      <c r="A921" s="369"/>
      <c r="B921" s="369"/>
      <c r="C921" s="405"/>
      <c r="D921" s="369"/>
      <c r="E921" s="369"/>
      <c r="F921" s="372"/>
      <c r="G921" s="372"/>
      <c r="H921" s="372"/>
      <c r="I921" s="372"/>
      <c r="J921" s="372"/>
      <c r="K921" s="369"/>
      <c r="L921" s="369"/>
      <c r="M921" s="373"/>
      <c r="N921" s="369"/>
      <c r="O921" s="369"/>
      <c r="P921" s="374"/>
      <c r="Q921" s="372"/>
      <c r="R921" s="372"/>
      <c r="S921" s="372"/>
      <c r="T921" s="372"/>
      <c r="U921" s="372"/>
      <c r="V921" s="372"/>
      <c r="W921" s="372"/>
      <c r="X921" s="372"/>
      <c r="Y921" s="372"/>
      <c r="Z921" s="372"/>
      <c r="AA921" s="372"/>
      <c r="AB921" s="372"/>
      <c r="AC921" s="372"/>
      <c r="AD921" s="372"/>
      <c r="AE921" s="372"/>
      <c r="AF921" s="372"/>
      <c r="AG921" s="372"/>
      <c r="AH921" s="372"/>
      <c r="AI921" s="372"/>
      <c r="AJ921" s="372"/>
      <c r="AK921" s="372"/>
      <c r="AL921" s="372"/>
      <c r="AM921" s="372"/>
    </row>
    <row r="922">
      <c r="A922" s="369"/>
      <c r="B922" s="369"/>
      <c r="C922" s="405"/>
      <c r="D922" s="369"/>
      <c r="E922" s="369"/>
      <c r="F922" s="372"/>
      <c r="G922" s="372"/>
      <c r="H922" s="372"/>
      <c r="I922" s="372"/>
      <c r="J922" s="372"/>
      <c r="K922" s="369"/>
      <c r="L922" s="369"/>
      <c r="M922" s="373"/>
      <c r="N922" s="369"/>
      <c r="O922" s="369"/>
      <c r="P922" s="374"/>
      <c r="Q922" s="372"/>
      <c r="R922" s="372"/>
      <c r="S922" s="372"/>
      <c r="T922" s="372"/>
      <c r="U922" s="372"/>
      <c r="V922" s="372"/>
      <c r="W922" s="372"/>
      <c r="X922" s="372"/>
      <c r="Y922" s="372"/>
      <c r="Z922" s="372"/>
      <c r="AA922" s="372"/>
      <c r="AB922" s="372"/>
      <c r="AC922" s="372"/>
      <c r="AD922" s="372"/>
      <c r="AE922" s="372"/>
      <c r="AF922" s="372"/>
      <c r="AG922" s="372"/>
      <c r="AH922" s="372"/>
      <c r="AI922" s="372"/>
      <c r="AJ922" s="372"/>
      <c r="AK922" s="372"/>
      <c r="AL922" s="372"/>
      <c r="AM922" s="372"/>
    </row>
    <row r="923">
      <c r="A923" s="369"/>
      <c r="B923" s="369"/>
      <c r="C923" s="405"/>
      <c r="D923" s="369"/>
      <c r="E923" s="369"/>
      <c r="F923" s="372"/>
      <c r="G923" s="372"/>
      <c r="H923" s="372"/>
      <c r="I923" s="372"/>
      <c r="J923" s="372"/>
      <c r="K923" s="369"/>
      <c r="L923" s="369"/>
      <c r="M923" s="373"/>
      <c r="N923" s="369"/>
      <c r="O923" s="369"/>
      <c r="P923" s="374"/>
      <c r="Q923" s="372"/>
      <c r="R923" s="372"/>
      <c r="S923" s="372"/>
      <c r="T923" s="372"/>
      <c r="U923" s="372"/>
      <c r="V923" s="372"/>
      <c r="W923" s="372"/>
      <c r="X923" s="372"/>
      <c r="Y923" s="372"/>
      <c r="Z923" s="372"/>
      <c r="AA923" s="372"/>
      <c r="AB923" s="372"/>
      <c r="AC923" s="372"/>
      <c r="AD923" s="372"/>
      <c r="AE923" s="372"/>
      <c r="AF923" s="372"/>
      <c r="AG923" s="372"/>
      <c r="AH923" s="372"/>
      <c r="AI923" s="372"/>
      <c r="AJ923" s="372"/>
      <c r="AK923" s="372"/>
      <c r="AL923" s="372"/>
      <c r="AM923" s="372"/>
    </row>
    <row r="924">
      <c r="A924" s="369"/>
      <c r="B924" s="369"/>
      <c r="C924" s="405"/>
      <c r="D924" s="369"/>
      <c r="E924" s="369"/>
      <c r="F924" s="372"/>
      <c r="G924" s="372"/>
      <c r="H924" s="372"/>
      <c r="I924" s="372"/>
      <c r="J924" s="372"/>
      <c r="K924" s="369"/>
      <c r="L924" s="369"/>
      <c r="M924" s="373"/>
      <c r="N924" s="369"/>
      <c r="O924" s="369"/>
      <c r="P924" s="374"/>
      <c r="Q924" s="372"/>
      <c r="R924" s="372"/>
      <c r="S924" s="372"/>
      <c r="T924" s="372"/>
      <c r="U924" s="372"/>
      <c r="V924" s="372"/>
      <c r="W924" s="372"/>
      <c r="X924" s="372"/>
      <c r="Y924" s="372"/>
      <c r="Z924" s="372"/>
      <c r="AA924" s="372"/>
      <c r="AB924" s="372"/>
      <c r="AC924" s="372"/>
      <c r="AD924" s="372"/>
      <c r="AE924" s="372"/>
      <c r="AF924" s="372"/>
      <c r="AG924" s="372"/>
      <c r="AH924" s="372"/>
      <c r="AI924" s="372"/>
      <c r="AJ924" s="372"/>
      <c r="AK924" s="372"/>
      <c r="AL924" s="372"/>
      <c r="AM924" s="372"/>
    </row>
    <row r="925">
      <c r="A925" s="369"/>
      <c r="B925" s="369"/>
      <c r="C925" s="405"/>
      <c r="D925" s="369"/>
      <c r="E925" s="369"/>
      <c r="F925" s="372"/>
      <c r="G925" s="372"/>
      <c r="H925" s="372"/>
      <c r="I925" s="372"/>
      <c r="J925" s="372"/>
      <c r="K925" s="369"/>
      <c r="L925" s="369"/>
      <c r="M925" s="373"/>
      <c r="N925" s="369"/>
      <c r="O925" s="369"/>
      <c r="P925" s="374"/>
      <c r="Q925" s="372"/>
      <c r="R925" s="372"/>
      <c r="S925" s="372"/>
      <c r="T925" s="372"/>
      <c r="U925" s="372"/>
      <c r="V925" s="372"/>
      <c r="W925" s="372"/>
      <c r="X925" s="372"/>
      <c r="Y925" s="372"/>
      <c r="Z925" s="372"/>
      <c r="AA925" s="372"/>
      <c r="AB925" s="372"/>
      <c r="AC925" s="372"/>
      <c r="AD925" s="372"/>
      <c r="AE925" s="372"/>
      <c r="AF925" s="372"/>
      <c r="AG925" s="372"/>
      <c r="AH925" s="372"/>
      <c r="AI925" s="372"/>
      <c r="AJ925" s="372"/>
      <c r="AK925" s="372"/>
      <c r="AL925" s="372"/>
      <c r="AM925" s="372"/>
    </row>
    <row r="926">
      <c r="A926" s="369"/>
      <c r="B926" s="369"/>
      <c r="C926" s="405"/>
      <c r="D926" s="369"/>
      <c r="E926" s="369"/>
      <c r="F926" s="372"/>
      <c r="G926" s="372"/>
      <c r="H926" s="372"/>
      <c r="I926" s="372"/>
      <c r="J926" s="372"/>
      <c r="K926" s="369"/>
      <c r="L926" s="369"/>
      <c r="M926" s="373"/>
      <c r="N926" s="369"/>
      <c r="O926" s="369"/>
      <c r="P926" s="374"/>
      <c r="Q926" s="372"/>
      <c r="R926" s="372"/>
      <c r="S926" s="372"/>
      <c r="T926" s="372"/>
      <c r="U926" s="372"/>
      <c r="V926" s="372"/>
      <c r="W926" s="372"/>
      <c r="X926" s="372"/>
      <c r="Y926" s="372"/>
      <c r="Z926" s="372"/>
      <c r="AA926" s="372"/>
      <c r="AB926" s="372"/>
      <c r="AC926" s="372"/>
      <c r="AD926" s="372"/>
      <c r="AE926" s="372"/>
      <c r="AF926" s="372"/>
      <c r="AG926" s="372"/>
      <c r="AH926" s="372"/>
      <c r="AI926" s="372"/>
      <c r="AJ926" s="372"/>
      <c r="AK926" s="372"/>
      <c r="AL926" s="372"/>
      <c r="AM926" s="372"/>
    </row>
    <row r="927">
      <c r="A927" s="369"/>
      <c r="B927" s="369"/>
      <c r="C927" s="405"/>
      <c r="D927" s="369"/>
      <c r="E927" s="369"/>
      <c r="F927" s="372"/>
      <c r="G927" s="372"/>
      <c r="H927" s="372"/>
      <c r="I927" s="372"/>
      <c r="J927" s="372"/>
      <c r="K927" s="369"/>
      <c r="L927" s="369"/>
      <c r="M927" s="373"/>
      <c r="N927" s="369"/>
      <c r="O927" s="369"/>
      <c r="P927" s="374"/>
      <c r="Q927" s="372"/>
      <c r="R927" s="372"/>
      <c r="S927" s="372"/>
      <c r="T927" s="372"/>
      <c r="U927" s="372"/>
      <c r="V927" s="372"/>
      <c r="W927" s="372"/>
      <c r="X927" s="372"/>
      <c r="Y927" s="372"/>
      <c r="Z927" s="372"/>
      <c r="AA927" s="372"/>
      <c r="AB927" s="372"/>
      <c r="AC927" s="372"/>
      <c r="AD927" s="372"/>
      <c r="AE927" s="372"/>
      <c r="AF927" s="372"/>
      <c r="AG927" s="372"/>
      <c r="AH927" s="372"/>
      <c r="AI927" s="372"/>
      <c r="AJ927" s="372"/>
      <c r="AK927" s="372"/>
      <c r="AL927" s="372"/>
      <c r="AM927" s="372"/>
    </row>
    <row r="928">
      <c r="A928" s="369"/>
      <c r="B928" s="369"/>
      <c r="C928" s="405"/>
      <c r="D928" s="369"/>
      <c r="E928" s="369"/>
      <c r="F928" s="372"/>
      <c r="G928" s="372"/>
      <c r="H928" s="372"/>
      <c r="I928" s="372"/>
      <c r="J928" s="372"/>
      <c r="K928" s="369"/>
      <c r="L928" s="369"/>
      <c r="M928" s="373"/>
      <c r="N928" s="369"/>
      <c r="O928" s="369"/>
      <c r="P928" s="374"/>
      <c r="Q928" s="372"/>
      <c r="R928" s="372"/>
      <c r="S928" s="372"/>
      <c r="T928" s="372"/>
      <c r="U928" s="372"/>
      <c r="V928" s="372"/>
      <c r="W928" s="372"/>
      <c r="X928" s="372"/>
      <c r="Y928" s="372"/>
      <c r="Z928" s="372"/>
      <c r="AA928" s="372"/>
      <c r="AB928" s="372"/>
      <c r="AC928" s="372"/>
      <c r="AD928" s="372"/>
      <c r="AE928" s="372"/>
      <c r="AF928" s="372"/>
      <c r="AG928" s="372"/>
      <c r="AH928" s="372"/>
      <c r="AI928" s="372"/>
      <c r="AJ928" s="372"/>
      <c r="AK928" s="372"/>
      <c r="AL928" s="372"/>
      <c r="AM928" s="372"/>
    </row>
    <row r="929">
      <c r="A929" s="369"/>
      <c r="B929" s="369"/>
      <c r="C929" s="405"/>
      <c r="D929" s="369"/>
      <c r="E929" s="369"/>
      <c r="F929" s="372"/>
      <c r="G929" s="372"/>
      <c r="H929" s="372"/>
      <c r="I929" s="372"/>
      <c r="J929" s="372"/>
      <c r="K929" s="369"/>
      <c r="L929" s="369"/>
      <c r="M929" s="373"/>
      <c r="N929" s="369"/>
      <c r="O929" s="369"/>
      <c r="P929" s="374"/>
      <c r="Q929" s="372"/>
      <c r="R929" s="372"/>
      <c r="S929" s="372"/>
      <c r="T929" s="372"/>
      <c r="U929" s="372"/>
      <c r="V929" s="372"/>
      <c r="W929" s="372"/>
      <c r="X929" s="372"/>
      <c r="Y929" s="372"/>
      <c r="Z929" s="372"/>
      <c r="AA929" s="372"/>
      <c r="AB929" s="372"/>
      <c r="AC929" s="372"/>
      <c r="AD929" s="372"/>
      <c r="AE929" s="372"/>
      <c r="AF929" s="372"/>
      <c r="AG929" s="372"/>
      <c r="AH929" s="372"/>
      <c r="AI929" s="372"/>
      <c r="AJ929" s="372"/>
      <c r="AK929" s="372"/>
      <c r="AL929" s="372"/>
      <c r="AM929" s="372"/>
    </row>
    <row r="930">
      <c r="A930" s="369"/>
      <c r="B930" s="369"/>
      <c r="C930" s="405"/>
      <c r="D930" s="369"/>
      <c r="E930" s="369"/>
      <c r="F930" s="372"/>
      <c r="G930" s="372"/>
      <c r="H930" s="372"/>
      <c r="I930" s="372"/>
      <c r="J930" s="372"/>
      <c r="K930" s="369"/>
      <c r="L930" s="369"/>
      <c r="M930" s="373"/>
      <c r="N930" s="369"/>
      <c r="O930" s="369"/>
      <c r="P930" s="374"/>
      <c r="Q930" s="372"/>
      <c r="R930" s="372"/>
      <c r="S930" s="372"/>
      <c r="T930" s="372"/>
      <c r="U930" s="372"/>
      <c r="V930" s="372"/>
      <c r="W930" s="372"/>
      <c r="X930" s="372"/>
      <c r="Y930" s="372"/>
      <c r="Z930" s="372"/>
      <c r="AA930" s="372"/>
      <c r="AB930" s="372"/>
      <c r="AC930" s="372"/>
      <c r="AD930" s="372"/>
      <c r="AE930" s="372"/>
      <c r="AF930" s="372"/>
      <c r="AG930" s="372"/>
      <c r="AH930" s="372"/>
      <c r="AI930" s="372"/>
      <c r="AJ930" s="372"/>
      <c r="AK930" s="372"/>
      <c r="AL930" s="372"/>
      <c r="AM930" s="372"/>
    </row>
    <row r="931">
      <c r="A931" s="369"/>
      <c r="B931" s="369"/>
      <c r="C931" s="405"/>
      <c r="D931" s="369"/>
      <c r="E931" s="369"/>
      <c r="F931" s="372"/>
      <c r="G931" s="372"/>
      <c r="H931" s="372"/>
      <c r="I931" s="372"/>
      <c r="J931" s="372"/>
      <c r="K931" s="369"/>
      <c r="L931" s="369"/>
      <c r="M931" s="373"/>
      <c r="N931" s="369"/>
      <c r="O931" s="369"/>
      <c r="P931" s="374"/>
      <c r="Q931" s="372"/>
      <c r="R931" s="372"/>
      <c r="S931" s="372"/>
      <c r="T931" s="372"/>
      <c r="U931" s="372"/>
      <c r="V931" s="372"/>
      <c r="W931" s="372"/>
      <c r="X931" s="372"/>
      <c r="Y931" s="372"/>
      <c r="Z931" s="372"/>
      <c r="AA931" s="372"/>
      <c r="AB931" s="372"/>
      <c r="AC931" s="372"/>
      <c r="AD931" s="372"/>
      <c r="AE931" s="372"/>
      <c r="AF931" s="372"/>
      <c r="AG931" s="372"/>
      <c r="AH931" s="372"/>
      <c r="AI931" s="372"/>
      <c r="AJ931" s="372"/>
      <c r="AK931" s="372"/>
      <c r="AL931" s="372"/>
      <c r="AM931" s="372"/>
    </row>
    <row r="932">
      <c r="A932" s="369"/>
      <c r="B932" s="369"/>
      <c r="C932" s="405"/>
      <c r="D932" s="369"/>
      <c r="E932" s="369"/>
      <c r="F932" s="372"/>
      <c r="G932" s="372"/>
      <c r="H932" s="372"/>
      <c r="I932" s="372"/>
      <c r="J932" s="372"/>
      <c r="K932" s="369"/>
      <c r="L932" s="369"/>
      <c r="M932" s="373"/>
      <c r="N932" s="369"/>
      <c r="O932" s="369"/>
      <c r="P932" s="374"/>
      <c r="Q932" s="372"/>
      <c r="R932" s="372"/>
      <c r="S932" s="372"/>
      <c r="T932" s="372"/>
      <c r="U932" s="372"/>
      <c r="V932" s="372"/>
      <c r="W932" s="372"/>
      <c r="X932" s="372"/>
      <c r="Y932" s="372"/>
      <c r="Z932" s="372"/>
      <c r="AA932" s="372"/>
      <c r="AB932" s="372"/>
      <c r="AC932" s="372"/>
      <c r="AD932" s="372"/>
      <c r="AE932" s="372"/>
      <c r="AF932" s="372"/>
      <c r="AG932" s="372"/>
      <c r="AH932" s="372"/>
      <c r="AI932" s="372"/>
      <c r="AJ932" s="372"/>
      <c r="AK932" s="372"/>
      <c r="AL932" s="372"/>
      <c r="AM932" s="372"/>
    </row>
    <row r="933">
      <c r="A933" s="369"/>
      <c r="B933" s="369"/>
      <c r="C933" s="405"/>
      <c r="D933" s="369"/>
      <c r="E933" s="369"/>
      <c r="F933" s="372"/>
      <c r="G933" s="372"/>
      <c r="H933" s="372"/>
      <c r="I933" s="372"/>
      <c r="J933" s="372"/>
      <c r="K933" s="369"/>
      <c r="L933" s="369"/>
      <c r="M933" s="373"/>
      <c r="N933" s="369"/>
      <c r="O933" s="369"/>
      <c r="P933" s="374"/>
      <c r="Q933" s="372"/>
      <c r="R933" s="372"/>
      <c r="S933" s="372"/>
      <c r="T933" s="372"/>
      <c r="U933" s="372"/>
      <c r="V933" s="372"/>
      <c r="W933" s="372"/>
      <c r="X933" s="372"/>
      <c r="Y933" s="372"/>
      <c r="Z933" s="372"/>
      <c r="AA933" s="372"/>
      <c r="AB933" s="372"/>
      <c r="AC933" s="372"/>
      <c r="AD933" s="372"/>
      <c r="AE933" s="372"/>
      <c r="AF933" s="372"/>
      <c r="AG933" s="372"/>
      <c r="AH933" s="372"/>
      <c r="AI933" s="372"/>
      <c r="AJ933" s="372"/>
      <c r="AK933" s="372"/>
      <c r="AL933" s="372"/>
      <c r="AM933" s="372"/>
    </row>
    <row r="934">
      <c r="A934" s="369"/>
      <c r="B934" s="369"/>
      <c r="C934" s="405"/>
      <c r="D934" s="369"/>
      <c r="E934" s="369"/>
      <c r="F934" s="372"/>
      <c r="G934" s="372"/>
      <c r="H934" s="372"/>
      <c r="I934" s="372"/>
      <c r="J934" s="372"/>
      <c r="K934" s="369"/>
      <c r="L934" s="369"/>
      <c r="M934" s="373"/>
      <c r="N934" s="369"/>
      <c r="O934" s="369"/>
      <c r="P934" s="374"/>
      <c r="Q934" s="372"/>
      <c r="R934" s="372"/>
      <c r="S934" s="372"/>
      <c r="T934" s="372"/>
      <c r="U934" s="372"/>
      <c r="V934" s="372"/>
      <c r="W934" s="372"/>
      <c r="X934" s="372"/>
      <c r="Y934" s="372"/>
      <c r="Z934" s="372"/>
      <c r="AA934" s="372"/>
      <c r="AB934" s="372"/>
      <c r="AC934" s="372"/>
      <c r="AD934" s="372"/>
      <c r="AE934" s="372"/>
      <c r="AF934" s="372"/>
      <c r="AG934" s="372"/>
      <c r="AH934" s="372"/>
      <c r="AI934" s="372"/>
      <c r="AJ934" s="372"/>
      <c r="AK934" s="372"/>
      <c r="AL934" s="372"/>
      <c r="AM934" s="372"/>
    </row>
    <row r="935">
      <c r="A935" s="369"/>
      <c r="B935" s="369"/>
      <c r="C935" s="405"/>
      <c r="D935" s="369"/>
      <c r="E935" s="369"/>
      <c r="F935" s="372"/>
      <c r="G935" s="372"/>
      <c r="H935" s="372"/>
      <c r="I935" s="372"/>
      <c r="J935" s="372"/>
      <c r="K935" s="369"/>
      <c r="L935" s="369"/>
      <c r="M935" s="373"/>
      <c r="N935" s="369"/>
      <c r="O935" s="369"/>
      <c r="P935" s="374"/>
      <c r="Q935" s="372"/>
      <c r="R935" s="372"/>
      <c r="S935" s="372"/>
      <c r="T935" s="372"/>
      <c r="U935" s="372"/>
      <c r="V935" s="372"/>
      <c r="W935" s="372"/>
      <c r="X935" s="372"/>
      <c r="Y935" s="372"/>
      <c r="Z935" s="372"/>
      <c r="AA935" s="372"/>
      <c r="AB935" s="372"/>
      <c r="AC935" s="372"/>
      <c r="AD935" s="372"/>
      <c r="AE935" s="372"/>
      <c r="AF935" s="372"/>
      <c r="AG935" s="372"/>
      <c r="AH935" s="372"/>
      <c r="AI935" s="372"/>
      <c r="AJ935" s="372"/>
      <c r="AK935" s="372"/>
      <c r="AL935" s="372"/>
      <c r="AM935" s="372"/>
    </row>
    <row r="936">
      <c r="A936" s="369"/>
      <c r="B936" s="369"/>
      <c r="C936" s="405"/>
      <c r="D936" s="369"/>
      <c r="E936" s="369"/>
      <c r="F936" s="372"/>
      <c r="G936" s="372"/>
      <c r="H936" s="372"/>
      <c r="I936" s="372"/>
      <c r="J936" s="372"/>
      <c r="K936" s="369"/>
      <c r="L936" s="369"/>
      <c r="M936" s="373"/>
      <c r="N936" s="369"/>
      <c r="O936" s="369"/>
      <c r="P936" s="374"/>
      <c r="Q936" s="372"/>
      <c r="R936" s="372"/>
      <c r="S936" s="372"/>
      <c r="T936" s="372"/>
      <c r="U936" s="372"/>
      <c r="V936" s="372"/>
      <c r="W936" s="372"/>
      <c r="X936" s="372"/>
      <c r="Y936" s="372"/>
      <c r="Z936" s="372"/>
      <c r="AA936" s="372"/>
      <c r="AB936" s="372"/>
      <c r="AC936" s="372"/>
      <c r="AD936" s="372"/>
      <c r="AE936" s="372"/>
      <c r="AF936" s="372"/>
      <c r="AG936" s="372"/>
      <c r="AH936" s="372"/>
      <c r="AI936" s="372"/>
      <c r="AJ936" s="372"/>
      <c r="AK936" s="372"/>
      <c r="AL936" s="372"/>
      <c r="AM936" s="372"/>
    </row>
    <row r="937">
      <c r="A937" s="369"/>
      <c r="B937" s="369"/>
      <c r="C937" s="405"/>
      <c r="D937" s="369"/>
      <c r="E937" s="369"/>
      <c r="F937" s="372"/>
      <c r="G937" s="372"/>
      <c r="H937" s="372"/>
      <c r="I937" s="372"/>
      <c r="J937" s="372"/>
      <c r="K937" s="369"/>
      <c r="L937" s="369"/>
      <c r="M937" s="373"/>
      <c r="N937" s="369"/>
      <c r="O937" s="369"/>
      <c r="P937" s="374"/>
      <c r="Q937" s="372"/>
      <c r="R937" s="372"/>
      <c r="S937" s="372"/>
      <c r="T937" s="372"/>
      <c r="U937" s="372"/>
      <c r="V937" s="372"/>
      <c r="W937" s="372"/>
      <c r="X937" s="372"/>
      <c r="Y937" s="372"/>
      <c r="Z937" s="372"/>
      <c r="AA937" s="372"/>
      <c r="AB937" s="372"/>
      <c r="AC937" s="372"/>
      <c r="AD937" s="372"/>
      <c r="AE937" s="372"/>
      <c r="AF937" s="372"/>
      <c r="AG937" s="372"/>
      <c r="AH937" s="372"/>
      <c r="AI937" s="372"/>
      <c r="AJ937" s="372"/>
      <c r="AK937" s="372"/>
      <c r="AL937" s="372"/>
      <c r="AM937" s="372"/>
    </row>
    <row r="938">
      <c r="A938" s="369"/>
      <c r="B938" s="369"/>
      <c r="C938" s="405"/>
      <c r="D938" s="369"/>
      <c r="E938" s="369"/>
      <c r="F938" s="372"/>
      <c r="G938" s="372"/>
      <c r="H938" s="372"/>
      <c r="I938" s="372"/>
      <c r="J938" s="372"/>
      <c r="K938" s="369"/>
      <c r="L938" s="369"/>
      <c r="M938" s="373"/>
      <c r="N938" s="369"/>
      <c r="O938" s="369"/>
      <c r="P938" s="374"/>
      <c r="Q938" s="372"/>
      <c r="R938" s="372"/>
      <c r="S938" s="372"/>
      <c r="T938" s="372"/>
      <c r="U938" s="372"/>
      <c r="V938" s="372"/>
      <c r="W938" s="372"/>
      <c r="X938" s="372"/>
      <c r="Y938" s="372"/>
      <c r="Z938" s="372"/>
      <c r="AA938" s="372"/>
      <c r="AB938" s="372"/>
      <c r="AC938" s="372"/>
      <c r="AD938" s="372"/>
      <c r="AE938" s="372"/>
      <c r="AF938" s="372"/>
      <c r="AG938" s="372"/>
      <c r="AH938" s="372"/>
      <c r="AI938" s="372"/>
      <c r="AJ938" s="372"/>
      <c r="AK938" s="372"/>
      <c r="AL938" s="372"/>
      <c r="AM938" s="372"/>
    </row>
    <row r="939">
      <c r="A939" s="369"/>
      <c r="B939" s="369"/>
      <c r="C939" s="405"/>
      <c r="D939" s="369"/>
      <c r="E939" s="369"/>
      <c r="F939" s="372"/>
      <c r="G939" s="372"/>
      <c r="H939" s="372"/>
      <c r="I939" s="372"/>
      <c r="J939" s="372"/>
      <c r="K939" s="369"/>
      <c r="L939" s="369"/>
      <c r="M939" s="373"/>
      <c r="N939" s="369"/>
      <c r="O939" s="369"/>
      <c r="P939" s="374"/>
      <c r="Q939" s="372"/>
      <c r="R939" s="372"/>
      <c r="S939" s="372"/>
      <c r="T939" s="372"/>
      <c r="U939" s="372"/>
      <c r="V939" s="372"/>
      <c r="W939" s="372"/>
      <c r="X939" s="372"/>
      <c r="Y939" s="372"/>
      <c r="Z939" s="372"/>
      <c r="AA939" s="372"/>
      <c r="AB939" s="372"/>
      <c r="AC939" s="372"/>
      <c r="AD939" s="372"/>
      <c r="AE939" s="372"/>
      <c r="AF939" s="372"/>
      <c r="AG939" s="372"/>
      <c r="AH939" s="372"/>
      <c r="AI939" s="372"/>
      <c r="AJ939" s="372"/>
      <c r="AK939" s="372"/>
      <c r="AL939" s="372"/>
      <c r="AM939" s="372"/>
    </row>
    <row r="940">
      <c r="A940" s="369"/>
      <c r="B940" s="369"/>
      <c r="C940" s="405"/>
      <c r="D940" s="369"/>
      <c r="E940" s="369"/>
      <c r="F940" s="372"/>
      <c r="G940" s="372"/>
      <c r="H940" s="372"/>
      <c r="I940" s="372"/>
      <c r="J940" s="372"/>
      <c r="K940" s="369"/>
      <c r="L940" s="369"/>
      <c r="M940" s="373"/>
      <c r="N940" s="369"/>
      <c r="O940" s="369"/>
      <c r="P940" s="374"/>
      <c r="Q940" s="372"/>
      <c r="R940" s="372"/>
      <c r="S940" s="372"/>
      <c r="T940" s="372"/>
      <c r="U940" s="372"/>
      <c r="V940" s="372"/>
      <c r="W940" s="372"/>
      <c r="X940" s="372"/>
      <c r="Y940" s="372"/>
      <c r="Z940" s="372"/>
      <c r="AA940" s="372"/>
      <c r="AB940" s="372"/>
      <c r="AC940" s="372"/>
      <c r="AD940" s="372"/>
      <c r="AE940" s="372"/>
      <c r="AF940" s="372"/>
      <c r="AG940" s="372"/>
      <c r="AH940" s="372"/>
      <c r="AI940" s="372"/>
      <c r="AJ940" s="372"/>
      <c r="AK940" s="372"/>
      <c r="AL940" s="372"/>
      <c r="AM940" s="372"/>
    </row>
    <row r="941">
      <c r="A941" s="369"/>
      <c r="B941" s="369"/>
      <c r="C941" s="405"/>
      <c r="D941" s="369"/>
      <c r="E941" s="369"/>
      <c r="F941" s="372"/>
      <c r="G941" s="372"/>
      <c r="H941" s="372"/>
      <c r="I941" s="372"/>
      <c r="J941" s="372"/>
      <c r="K941" s="369"/>
      <c r="L941" s="369"/>
      <c r="M941" s="373"/>
      <c r="N941" s="369"/>
      <c r="O941" s="369"/>
      <c r="P941" s="374"/>
      <c r="Q941" s="372"/>
      <c r="R941" s="372"/>
      <c r="S941" s="372"/>
      <c r="T941" s="372"/>
      <c r="U941" s="372"/>
      <c r="V941" s="372"/>
      <c r="W941" s="372"/>
      <c r="X941" s="372"/>
      <c r="Y941" s="372"/>
      <c r="Z941" s="372"/>
      <c r="AA941" s="372"/>
      <c r="AB941" s="372"/>
      <c r="AC941" s="372"/>
      <c r="AD941" s="372"/>
      <c r="AE941" s="372"/>
      <c r="AF941" s="372"/>
      <c r="AG941" s="372"/>
      <c r="AH941" s="372"/>
      <c r="AI941" s="372"/>
      <c r="AJ941" s="372"/>
      <c r="AK941" s="372"/>
      <c r="AL941" s="372"/>
      <c r="AM941" s="372"/>
    </row>
    <row r="942">
      <c r="A942" s="369"/>
      <c r="B942" s="369"/>
      <c r="C942" s="405"/>
      <c r="D942" s="369"/>
      <c r="E942" s="369"/>
      <c r="F942" s="372"/>
      <c r="G942" s="372"/>
      <c r="H942" s="372"/>
      <c r="I942" s="372"/>
      <c r="J942" s="372"/>
      <c r="K942" s="369"/>
      <c r="L942" s="369"/>
      <c r="M942" s="373"/>
      <c r="N942" s="369"/>
      <c r="O942" s="369"/>
      <c r="P942" s="374"/>
      <c r="Q942" s="372"/>
      <c r="R942" s="372"/>
      <c r="S942" s="372"/>
      <c r="T942" s="372"/>
      <c r="U942" s="372"/>
      <c r="V942" s="372"/>
      <c r="W942" s="372"/>
      <c r="X942" s="372"/>
      <c r="Y942" s="372"/>
      <c r="Z942" s="372"/>
      <c r="AA942" s="372"/>
      <c r="AB942" s="372"/>
      <c r="AC942" s="372"/>
      <c r="AD942" s="372"/>
      <c r="AE942" s="372"/>
      <c r="AF942" s="372"/>
      <c r="AG942" s="372"/>
      <c r="AH942" s="372"/>
      <c r="AI942" s="372"/>
      <c r="AJ942" s="372"/>
      <c r="AK942" s="372"/>
      <c r="AL942" s="372"/>
      <c r="AM942" s="372"/>
    </row>
    <row r="943">
      <c r="A943" s="369"/>
      <c r="B943" s="369"/>
      <c r="C943" s="405"/>
      <c r="D943" s="369"/>
      <c r="E943" s="369"/>
      <c r="F943" s="372"/>
      <c r="G943" s="372"/>
      <c r="H943" s="372"/>
      <c r="I943" s="372"/>
      <c r="J943" s="372"/>
      <c r="K943" s="369"/>
      <c r="L943" s="369"/>
      <c r="M943" s="373"/>
      <c r="N943" s="369"/>
      <c r="O943" s="369"/>
      <c r="P943" s="374"/>
      <c r="Q943" s="372"/>
      <c r="R943" s="372"/>
      <c r="S943" s="372"/>
      <c r="T943" s="372"/>
      <c r="U943" s="372"/>
      <c r="V943" s="372"/>
      <c r="W943" s="372"/>
      <c r="X943" s="372"/>
      <c r="Y943" s="372"/>
      <c r="Z943" s="372"/>
      <c r="AA943" s="372"/>
      <c r="AB943" s="372"/>
      <c r="AC943" s="372"/>
      <c r="AD943" s="372"/>
      <c r="AE943" s="372"/>
      <c r="AF943" s="372"/>
      <c r="AG943" s="372"/>
      <c r="AH943" s="372"/>
      <c r="AI943" s="372"/>
      <c r="AJ943" s="372"/>
      <c r="AK943" s="372"/>
      <c r="AL943" s="372"/>
      <c r="AM943" s="372"/>
    </row>
    <row r="944">
      <c r="A944" s="369"/>
      <c r="B944" s="369"/>
      <c r="C944" s="405"/>
      <c r="D944" s="369"/>
      <c r="E944" s="369"/>
      <c r="F944" s="372"/>
      <c r="G944" s="372"/>
      <c r="H944" s="372"/>
      <c r="I944" s="372"/>
      <c r="J944" s="372"/>
      <c r="K944" s="369"/>
      <c r="L944" s="369"/>
      <c r="M944" s="373"/>
      <c r="N944" s="369"/>
      <c r="O944" s="369"/>
      <c r="P944" s="374"/>
      <c r="Q944" s="372"/>
      <c r="R944" s="372"/>
      <c r="S944" s="372"/>
      <c r="T944" s="372"/>
      <c r="U944" s="372"/>
      <c r="V944" s="372"/>
      <c r="W944" s="372"/>
      <c r="X944" s="372"/>
      <c r="Y944" s="372"/>
      <c r="Z944" s="372"/>
      <c r="AA944" s="372"/>
      <c r="AB944" s="372"/>
      <c r="AC944" s="372"/>
      <c r="AD944" s="372"/>
      <c r="AE944" s="372"/>
      <c r="AF944" s="372"/>
      <c r="AG944" s="372"/>
      <c r="AH944" s="372"/>
      <c r="AI944" s="372"/>
      <c r="AJ944" s="372"/>
      <c r="AK944" s="372"/>
      <c r="AL944" s="372"/>
      <c r="AM944" s="372"/>
    </row>
    <row r="945">
      <c r="A945" s="369"/>
      <c r="B945" s="369"/>
      <c r="C945" s="405"/>
      <c r="D945" s="369"/>
      <c r="E945" s="369"/>
      <c r="F945" s="372"/>
      <c r="G945" s="372"/>
      <c r="H945" s="372"/>
      <c r="I945" s="372"/>
      <c r="J945" s="372"/>
      <c r="K945" s="369"/>
      <c r="L945" s="369"/>
      <c r="M945" s="373"/>
      <c r="N945" s="369"/>
      <c r="O945" s="369"/>
      <c r="P945" s="374"/>
      <c r="Q945" s="372"/>
      <c r="R945" s="372"/>
      <c r="S945" s="372"/>
      <c r="T945" s="372"/>
      <c r="U945" s="372"/>
      <c r="V945" s="372"/>
      <c r="W945" s="372"/>
      <c r="X945" s="372"/>
      <c r="Y945" s="372"/>
      <c r="Z945" s="372"/>
      <c r="AA945" s="372"/>
      <c r="AB945" s="372"/>
      <c r="AC945" s="372"/>
      <c r="AD945" s="372"/>
      <c r="AE945" s="372"/>
      <c r="AF945" s="372"/>
      <c r="AG945" s="372"/>
      <c r="AH945" s="372"/>
      <c r="AI945" s="372"/>
      <c r="AJ945" s="372"/>
      <c r="AK945" s="372"/>
      <c r="AL945" s="372"/>
      <c r="AM945" s="372"/>
    </row>
    <row r="946">
      <c r="A946" s="369"/>
      <c r="B946" s="369"/>
      <c r="C946" s="405"/>
      <c r="D946" s="369"/>
      <c r="E946" s="369"/>
      <c r="F946" s="372"/>
      <c r="G946" s="372"/>
      <c r="H946" s="372"/>
      <c r="I946" s="372"/>
      <c r="J946" s="372"/>
      <c r="K946" s="369"/>
      <c r="L946" s="369"/>
      <c r="M946" s="373"/>
      <c r="N946" s="369"/>
      <c r="O946" s="369"/>
      <c r="P946" s="374"/>
      <c r="Q946" s="372"/>
      <c r="R946" s="372"/>
      <c r="S946" s="372"/>
      <c r="T946" s="372"/>
      <c r="U946" s="372"/>
      <c r="V946" s="372"/>
      <c r="W946" s="372"/>
      <c r="X946" s="372"/>
      <c r="Y946" s="372"/>
      <c r="Z946" s="372"/>
      <c r="AA946" s="372"/>
      <c r="AB946" s="372"/>
      <c r="AC946" s="372"/>
      <c r="AD946" s="372"/>
      <c r="AE946" s="372"/>
      <c r="AF946" s="372"/>
      <c r="AG946" s="372"/>
      <c r="AH946" s="372"/>
      <c r="AI946" s="372"/>
      <c r="AJ946" s="372"/>
      <c r="AK946" s="372"/>
      <c r="AL946" s="372"/>
      <c r="AM946" s="372"/>
    </row>
    <row r="947">
      <c r="A947" s="369"/>
      <c r="B947" s="369"/>
      <c r="C947" s="405"/>
      <c r="D947" s="369"/>
      <c r="E947" s="369"/>
      <c r="F947" s="372"/>
      <c r="G947" s="372"/>
      <c r="H947" s="372"/>
      <c r="I947" s="372"/>
      <c r="J947" s="372"/>
      <c r="K947" s="369"/>
      <c r="L947" s="369"/>
      <c r="M947" s="373"/>
      <c r="N947" s="369"/>
      <c r="O947" s="369"/>
      <c r="P947" s="374"/>
      <c r="Q947" s="372"/>
      <c r="R947" s="372"/>
      <c r="S947" s="372"/>
      <c r="T947" s="372"/>
      <c r="U947" s="372"/>
      <c r="V947" s="372"/>
      <c r="W947" s="372"/>
      <c r="X947" s="372"/>
      <c r="Y947" s="372"/>
      <c r="Z947" s="372"/>
      <c r="AA947" s="372"/>
      <c r="AB947" s="372"/>
      <c r="AC947" s="372"/>
      <c r="AD947" s="372"/>
      <c r="AE947" s="372"/>
      <c r="AF947" s="372"/>
      <c r="AG947" s="372"/>
      <c r="AH947" s="372"/>
      <c r="AI947" s="372"/>
      <c r="AJ947" s="372"/>
      <c r="AK947" s="372"/>
      <c r="AL947" s="372"/>
      <c r="AM947" s="372"/>
    </row>
    <row r="948">
      <c r="A948" s="369"/>
      <c r="B948" s="369"/>
      <c r="C948" s="405"/>
      <c r="D948" s="369"/>
      <c r="E948" s="369"/>
      <c r="F948" s="372"/>
      <c r="G948" s="372"/>
      <c r="H948" s="372"/>
      <c r="I948" s="372"/>
      <c r="J948" s="372"/>
      <c r="K948" s="369"/>
      <c r="L948" s="369"/>
      <c r="M948" s="373"/>
      <c r="N948" s="369"/>
      <c r="O948" s="369"/>
      <c r="P948" s="374"/>
      <c r="Q948" s="372"/>
      <c r="R948" s="372"/>
      <c r="S948" s="372"/>
      <c r="T948" s="372"/>
      <c r="U948" s="372"/>
      <c r="V948" s="372"/>
      <c r="W948" s="372"/>
      <c r="X948" s="372"/>
      <c r="Y948" s="372"/>
      <c r="Z948" s="372"/>
      <c r="AA948" s="372"/>
      <c r="AB948" s="372"/>
      <c r="AC948" s="372"/>
      <c r="AD948" s="372"/>
      <c r="AE948" s="372"/>
      <c r="AF948" s="372"/>
      <c r="AG948" s="372"/>
      <c r="AH948" s="372"/>
      <c r="AI948" s="372"/>
      <c r="AJ948" s="372"/>
      <c r="AK948" s="372"/>
      <c r="AL948" s="372"/>
      <c r="AM948" s="372"/>
    </row>
    <row r="949">
      <c r="A949" s="369"/>
      <c r="B949" s="369"/>
      <c r="C949" s="405"/>
      <c r="D949" s="369"/>
      <c r="E949" s="369"/>
      <c r="F949" s="372"/>
      <c r="G949" s="372"/>
      <c r="H949" s="372"/>
      <c r="I949" s="372"/>
      <c r="J949" s="372"/>
      <c r="K949" s="369"/>
      <c r="L949" s="369"/>
      <c r="M949" s="373"/>
      <c r="N949" s="369"/>
      <c r="O949" s="369"/>
      <c r="P949" s="374"/>
      <c r="Q949" s="372"/>
      <c r="R949" s="372"/>
      <c r="S949" s="372"/>
      <c r="T949" s="372"/>
      <c r="U949" s="372"/>
      <c r="V949" s="372"/>
      <c r="W949" s="372"/>
      <c r="X949" s="372"/>
      <c r="Y949" s="372"/>
      <c r="Z949" s="372"/>
      <c r="AA949" s="372"/>
      <c r="AB949" s="372"/>
      <c r="AC949" s="372"/>
      <c r="AD949" s="372"/>
      <c r="AE949" s="372"/>
      <c r="AF949" s="372"/>
      <c r="AG949" s="372"/>
      <c r="AH949" s="372"/>
      <c r="AI949" s="372"/>
      <c r="AJ949" s="372"/>
      <c r="AK949" s="372"/>
      <c r="AL949" s="372"/>
      <c r="AM949" s="372"/>
    </row>
    <row r="950">
      <c r="A950" s="369"/>
      <c r="B950" s="369"/>
      <c r="C950" s="405"/>
      <c r="D950" s="369"/>
      <c r="E950" s="369"/>
      <c r="F950" s="372"/>
      <c r="G950" s="372"/>
      <c r="H950" s="372"/>
      <c r="I950" s="372"/>
      <c r="J950" s="372"/>
      <c r="K950" s="369"/>
      <c r="L950" s="369"/>
      <c r="M950" s="373"/>
      <c r="N950" s="369"/>
      <c r="O950" s="369"/>
      <c r="P950" s="374"/>
      <c r="Q950" s="372"/>
      <c r="R950" s="372"/>
      <c r="S950" s="372"/>
      <c r="T950" s="372"/>
      <c r="U950" s="372"/>
      <c r="V950" s="372"/>
      <c r="W950" s="372"/>
      <c r="X950" s="372"/>
      <c r="Y950" s="372"/>
      <c r="Z950" s="372"/>
      <c r="AA950" s="372"/>
      <c r="AB950" s="372"/>
      <c r="AC950" s="372"/>
      <c r="AD950" s="372"/>
      <c r="AE950" s="372"/>
      <c r="AF950" s="372"/>
      <c r="AG950" s="372"/>
      <c r="AH950" s="372"/>
      <c r="AI950" s="372"/>
      <c r="AJ950" s="372"/>
      <c r="AK950" s="372"/>
      <c r="AL950" s="372"/>
      <c r="AM950" s="372"/>
    </row>
    <row r="951">
      <c r="A951" s="369"/>
      <c r="B951" s="369"/>
      <c r="C951" s="405"/>
      <c r="D951" s="369"/>
      <c r="E951" s="369"/>
      <c r="F951" s="372"/>
      <c r="G951" s="372"/>
      <c r="H951" s="372"/>
      <c r="I951" s="372"/>
      <c r="J951" s="372"/>
      <c r="K951" s="369"/>
      <c r="L951" s="369"/>
      <c r="M951" s="373"/>
      <c r="N951" s="369"/>
      <c r="O951" s="369"/>
      <c r="P951" s="374"/>
      <c r="Q951" s="372"/>
      <c r="R951" s="372"/>
      <c r="S951" s="372"/>
      <c r="T951" s="372"/>
      <c r="U951" s="372"/>
      <c r="V951" s="372"/>
      <c r="W951" s="372"/>
      <c r="X951" s="372"/>
      <c r="Y951" s="372"/>
      <c r="Z951" s="372"/>
      <c r="AA951" s="372"/>
      <c r="AB951" s="372"/>
      <c r="AC951" s="372"/>
      <c r="AD951" s="372"/>
      <c r="AE951" s="372"/>
      <c r="AF951" s="372"/>
      <c r="AG951" s="372"/>
      <c r="AH951" s="372"/>
      <c r="AI951" s="372"/>
      <c r="AJ951" s="372"/>
      <c r="AK951" s="372"/>
      <c r="AL951" s="372"/>
      <c r="AM951" s="372"/>
    </row>
    <row r="952">
      <c r="A952" s="369"/>
      <c r="B952" s="369"/>
      <c r="C952" s="405"/>
      <c r="D952" s="369"/>
      <c r="E952" s="369"/>
      <c r="F952" s="372"/>
      <c r="G952" s="372"/>
      <c r="H952" s="372"/>
      <c r="I952" s="372"/>
      <c r="J952" s="372"/>
      <c r="K952" s="369"/>
      <c r="L952" s="369"/>
      <c r="M952" s="373"/>
      <c r="N952" s="369"/>
      <c r="O952" s="369"/>
      <c r="P952" s="374"/>
      <c r="Q952" s="372"/>
      <c r="R952" s="372"/>
      <c r="S952" s="372"/>
      <c r="T952" s="372"/>
      <c r="U952" s="372"/>
      <c r="V952" s="372"/>
      <c r="W952" s="372"/>
      <c r="X952" s="372"/>
      <c r="Y952" s="372"/>
      <c r="Z952" s="372"/>
      <c r="AA952" s="372"/>
      <c r="AB952" s="372"/>
      <c r="AC952" s="372"/>
      <c r="AD952" s="372"/>
      <c r="AE952" s="372"/>
      <c r="AF952" s="372"/>
      <c r="AG952" s="372"/>
      <c r="AH952" s="372"/>
      <c r="AI952" s="372"/>
      <c r="AJ952" s="372"/>
      <c r="AK952" s="372"/>
      <c r="AL952" s="372"/>
      <c r="AM952" s="372"/>
    </row>
    <row r="953">
      <c r="A953" s="369"/>
      <c r="B953" s="369"/>
      <c r="C953" s="405"/>
      <c r="D953" s="369"/>
      <c r="E953" s="369"/>
      <c r="F953" s="372"/>
      <c r="G953" s="372"/>
      <c r="H953" s="372"/>
      <c r="I953" s="372"/>
      <c r="J953" s="372"/>
      <c r="K953" s="369"/>
      <c r="L953" s="369"/>
      <c r="M953" s="373"/>
      <c r="N953" s="369"/>
      <c r="O953" s="369"/>
      <c r="P953" s="374"/>
      <c r="Q953" s="372"/>
      <c r="R953" s="372"/>
      <c r="S953" s="372"/>
      <c r="T953" s="372"/>
      <c r="U953" s="372"/>
      <c r="V953" s="372"/>
      <c r="W953" s="372"/>
      <c r="X953" s="372"/>
      <c r="Y953" s="372"/>
      <c r="Z953" s="372"/>
      <c r="AA953" s="372"/>
      <c r="AB953" s="372"/>
      <c r="AC953" s="372"/>
      <c r="AD953" s="372"/>
      <c r="AE953" s="372"/>
      <c r="AF953" s="372"/>
      <c r="AG953" s="372"/>
      <c r="AH953" s="372"/>
      <c r="AI953" s="372"/>
      <c r="AJ953" s="372"/>
      <c r="AK953" s="372"/>
      <c r="AL953" s="372"/>
      <c r="AM953" s="372"/>
    </row>
    <row r="954">
      <c r="A954" s="369"/>
      <c r="B954" s="369"/>
      <c r="C954" s="405"/>
      <c r="D954" s="369"/>
      <c r="E954" s="369"/>
      <c r="F954" s="372"/>
      <c r="G954" s="372"/>
      <c r="H954" s="372"/>
      <c r="I954" s="372"/>
      <c r="J954" s="372"/>
      <c r="K954" s="369"/>
      <c r="L954" s="369"/>
      <c r="M954" s="373"/>
      <c r="N954" s="369"/>
      <c r="O954" s="369"/>
      <c r="P954" s="374"/>
      <c r="Q954" s="372"/>
      <c r="R954" s="372"/>
      <c r="S954" s="372"/>
      <c r="T954" s="372"/>
      <c r="U954" s="372"/>
      <c r="V954" s="372"/>
      <c r="W954" s="372"/>
      <c r="X954" s="372"/>
      <c r="Y954" s="372"/>
      <c r="Z954" s="372"/>
      <c r="AA954" s="372"/>
      <c r="AB954" s="372"/>
      <c r="AC954" s="372"/>
      <c r="AD954" s="372"/>
      <c r="AE954" s="372"/>
      <c r="AF954" s="372"/>
      <c r="AG954" s="372"/>
      <c r="AH954" s="372"/>
      <c r="AI954" s="372"/>
      <c r="AJ954" s="372"/>
      <c r="AK954" s="372"/>
      <c r="AL954" s="372"/>
      <c r="AM954" s="372"/>
    </row>
    <row r="955">
      <c r="A955" s="369"/>
      <c r="B955" s="369"/>
      <c r="C955" s="405"/>
      <c r="D955" s="369"/>
      <c r="E955" s="369"/>
      <c r="F955" s="372"/>
      <c r="G955" s="372"/>
      <c r="H955" s="372"/>
      <c r="I955" s="372"/>
      <c r="J955" s="372"/>
      <c r="K955" s="369"/>
      <c r="L955" s="369"/>
      <c r="M955" s="373"/>
      <c r="N955" s="369"/>
      <c r="O955" s="369"/>
      <c r="P955" s="374"/>
      <c r="Q955" s="372"/>
      <c r="R955" s="372"/>
      <c r="S955" s="372"/>
      <c r="T955" s="372"/>
      <c r="U955" s="372"/>
      <c r="V955" s="372"/>
      <c r="W955" s="372"/>
      <c r="X955" s="372"/>
      <c r="Y955" s="372"/>
      <c r="Z955" s="372"/>
      <c r="AA955" s="372"/>
      <c r="AB955" s="372"/>
      <c r="AC955" s="372"/>
      <c r="AD955" s="372"/>
      <c r="AE955" s="372"/>
      <c r="AF955" s="372"/>
      <c r="AG955" s="372"/>
      <c r="AH955" s="372"/>
      <c r="AI955" s="372"/>
      <c r="AJ955" s="372"/>
      <c r="AK955" s="372"/>
      <c r="AL955" s="372"/>
      <c r="AM955" s="372"/>
    </row>
    <row r="956">
      <c r="A956" s="369"/>
      <c r="B956" s="369"/>
      <c r="C956" s="405"/>
      <c r="D956" s="369"/>
      <c r="E956" s="369"/>
      <c r="F956" s="372"/>
      <c r="G956" s="372"/>
      <c r="H956" s="372"/>
      <c r="I956" s="372"/>
      <c r="J956" s="372"/>
      <c r="K956" s="369"/>
      <c r="L956" s="369"/>
      <c r="M956" s="373"/>
      <c r="N956" s="369"/>
      <c r="O956" s="369"/>
      <c r="P956" s="374"/>
      <c r="Q956" s="372"/>
      <c r="R956" s="372"/>
      <c r="S956" s="372"/>
      <c r="T956" s="372"/>
      <c r="U956" s="372"/>
      <c r="V956" s="372"/>
      <c r="W956" s="372"/>
      <c r="X956" s="372"/>
      <c r="Y956" s="372"/>
      <c r="Z956" s="372"/>
      <c r="AA956" s="372"/>
      <c r="AB956" s="372"/>
      <c r="AC956" s="372"/>
      <c r="AD956" s="372"/>
      <c r="AE956" s="372"/>
      <c r="AF956" s="372"/>
      <c r="AG956" s="372"/>
      <c r="AH956" s="372"/>
      <c r="AI956" s="372"/>
      <c r="AJ956" s="372"/>
      <c r="AK956" s="372"/>
      <c r="AL956" s="372"/>
      <c r="AM956" s="372"/>
    </row>
    <row r="957">
      <c r="A957" s="369"/>
      <c r="B957" s="369"/>
      <c r="C957" s="405"/>
      <c r="D957" s="369"/>
      <c r="E957" s="369"/>
      <c r="F957" s="372"/>
      <c r="G957" s="372"/>
      <c r="H957" s="372"/>
      <c r="I957" s="372"/>
      <c r="J957" s="372"/>
      <c r="K957" s="369"/>
      <c r="L957" s="369"/>
      <c r="M957" s="373"/>
      <c r="N957" s="369"/>
      <c r="O957" s="369"/>
      <c r="P957" s="374"/>
      <c r="Q957" s="372"/>
      <c r="R957" s="372"/>
      <c r="S957" s="372"/>
      <c r="T957" s="372"/>
      <c r="U957" s="372"/>
      <c r="V957" s="372"/>
      <c r="W957" s="372"/>
      <c r="X957" s="372"/>
      <c r="Y957" s="372"/>
      <c r="Z957" s="372"/>
      <c r="AA957" s="372"/>
      <c r="AB957" s="372"/>
      <c r="AC957" s="372"/>
      <c r="AD957" s="372"/>
      <c r="AE957" s="372"/>
      <c r="AF957" s="372"/>
      <c r="AG957" s="372"/>
      <c r="AH957" s="372"/>
      <c r="AI957" s="372"/>
      <c r="AJ957" s="372"/>
      <c r="AK957" s="372"/>
      <c r="AL957" s="372"/>
      <c r="AM957" s="372"/>
    </row>
    <row r="958">
      <c r="A958" s="369"/>
      <c r="B958" s="369"/>
      <c r="C958" s="405"/>
      <c r="D958" s="369"/>
      <c r="E958" s="369"/>
      <c r="F958" s="372"/>
      <c r="G958" s="372"/>
      <c r="H958" s="372"/>
      <c r="I958" s="372"/>
      <c r="J958" s="372"/>
      <c r="K958" s="369"/>
      <c r="L958" s="369"/>
      <c r="M958" s="373"/>
      <c r="N958" s="369"/>
      <c r="O958" s="369"/>
      <c r="P958" s="374"/>
      <c r="Q958" s="372"/>
      <c r="R958" s="372"/>
      <c r="S958" s="372"/>
      <c r="T958" s="372"/>
      <c r="U958" s="372"/>
      <c r="V958" s="372"/>
      <c r="W958" s="372"/>
      <c r="X958" s="372"/>
      <c r="Y958" s="372"/>
      <c r="Z958" s="372"/>
      <c r="AA958" s="372"/>
      <c r="AB958" s="372"/>
      <c r="AC958" s="372"/>
      <c r="AD958" s="372"/>
      <c r="AE958" s="372"/>
      <c r="AF958" s="372"/>
      <c r="AG958" s="372"/>
      <c r="AH958" s="372"/>
      <c r="AI958" s="372"/>
      <c r="AJ958" s="372"/>
      <c r="AK958" s="372"/>
      <c r="AL958" s="372"/>
      <c r="AM958" s="372"/>
    </row>
    <row r="959">
      <c r="A959" s="369"/>
      <c r="B959" s="369"/>
      <c r="C959" s="405"/>
      <c r="D959" s="369"/>
      <c r="E959" s="369"/>
      <c r="F959" s="372"/>
      <c r="G959" s="372"/>
      <c r="H959" s="372"/>
      <c r="I959" s="372"/>
      <c r="J959" s="372"/>
      <c r="K959" s="369"/>
      <c r="L959" s="369"/>
      <c r="M959" s="373"/>
      <c r="N959" s="369"/>
      <c r="O959" s="369"/>
      <c r="P959" s="374"/>
      <c r="Q959" s="372"/>
      <c r="R959" s="372"/>
      <c r="S959" s="372"/>
      <c r="T959" s="372"/>
      <c r="U959" s="372"/>
      <c r="V959" s="372"/>
      <c r="W959" s="372"/>
      <c r="X959" s="372"/>
      <c r="Y959" s="372"/>
      <c r="Z959" s="372"/>
      <c r="AA959" s="372"/>
      <c r="AB959" s="372"/>
      <c r="AC959" s="372"/>
      <c r="AD959" s="372"/>
      <c r="AE959" s="372"/>
      <c r="AF959" s="372"/>
      <c r="AG959" s="372"/>
      <c r="AH959" s="372"/>
      <c r="AI959" s="372"/>
      <c r="AJ959" s="372"/>
      <c r="AK959" s="372"/>
      <c r="AL959" s="372"/>
      <c r="AM959" s="372"/>
    </row>
    <row r="960">
      <c r="A960" s="369"/>
      <c r="B960" s="369"/>
      <c r="C960" s="405"/>
      <c r="D960" s="369"/>
      <c r="E960" s="369"/>
      <c r="F960" s="372"/>
      <c r="G960" s="372"/>
      <c r="H960" s="372"/>
      <c r="I960" s="372"/>
      <c r="J960" s="372"/>
      <c r="K960" s="369"/>
      <c r="L960" s="369"/>
      <c r="M960" s="373"/>
      <c r="N960" s="369"/>
      <c r="O960" s="369"/>
      <c r="P960" s="374"/>
      <c r="Q960" s="372"/>
      <c r="R960" s="372"/>
      <c r="S960" s="372"/>
      <c r="T960" s="372"/>
      <c r="U960" s="372"/>
      <c r="V960" s="372"/>
      <c r="W960" s="372"/>
      <c r="X960" s="372"/>
      <c r="Y960" s="372"/>
      <c r="Z960" s="372"/>
      <c r="AA960" s="372"/>
      <c r="AB960" s="372"/>
      <c r="AC960" s="372"/>
      <c r="AD960" s="372"/>
      <c r="AE960" s="372"/>
      <c r="AF960" s="372"/>
      <c r="AG960" s="372"/>
      <c r="AH960" s="372"/>
      <c r="AI960" s="372"/>
      <c r="AJ960" s="372"/>
      <c r="AK960" s="372"/>
      <c r="AL960" s="372"/>
      <c r="AM960" s="372"/>
    </row>
    <row r="961">
      <c r="A961" s="369"/>
      <c r="B961" s="369"/>
      <c r="C961" s="405"/>
      <c r="D961" s="369"/>
      <c r="E961" s="369"/>
      <c r="F961" s="372"/>
      <c r="G961" s="372"/>
      <c r="H961" s="372"/>
      <c r="I961" s="372"/>
      <c r="J961" s="372"/>
      <c r="K961" s="369"/>
      <c r="L961" s="369"/>
      <c r="M961" s="373"/>
      <c r="N961" s="369"/>
      <c r="O961" s="369"/>
      <c r="P961" s="374"/>
      <c r="Q961" s="372"/>
      <c r="R961" s="372"/>
      <c r="S961" s="372"/>
      <c r="T961" s="372"/>
      <c r="U961" s="372"/>
      <c r="V961" s="372"/>
      <c r="W961" s="372"/>
      <c r="X961" s="372"/>
      <c r="Y961" s="372"/>
      <c r="Z961" s="372"/>
      <c r="AA961" s="372"/>
      <c r="AB961" s="372"/>
      <c r="AC961" s="372"/>
      <c r="AD961" s="372"/>
      <c r="AE961" s="372"/>
      <c r="AF961" s="372"/>
      <c r="AG961" s="372"/>
      <c r="AH961" s="372"/>
      <c r="AI961" s="372"/>
      <c r="AJ961" s="372"/>
      <c r="AK961" s="372"/>
      <c r="AL961" s="372"/>
      <c r="AM961" s="372"/>
    </row>
    <row r="962">
      <c r="A962" s="369"/>
      <c r="B962" s="369"/>
      <c r="C962" s="405"/>
      <c r="D962" s="369"/>
      <c r="E962" s="369"/>
      <c r="F962" s="372"/>
      <c r="G962" s="372"/>
      <c r="H962" s="372"/>
      <c r="I962" s="372"/>
      <c r="J962" s="372"/>
      <c r="K962" s="369"/>
      <c r="L962" s="369"/>
      <c r="M962" s="373"/>
      <c r="N962" s="369"/>
      <c r="O962" s="369"/>
      <c r="P962" s="374"/>
      <c r="Q962" s="372"/>
      <c r="R962" s="372"/>
      <c r="S962" s="372"/>
      <c r="T962" s="372"/>
      <c r="U962" s="372"/>
      <c r="V962" s="372"/>
      <c r="W962" s="372"/>
      <c r="X962" s="372"/>
      <c r="Y962" s="372"/>
      <c r="Z962" s="372"/>
      <c r="AA962" s="372"/>
      <c r="AB962" s="372"/>
      <c r="AC962" s="372"/>
      <c r="AD962" s="372"/>
      <c r="AE962" s="372"/>
      <c r="AF962" s="372"/>
      <c r="AG962" s="372"/>
      <c r="AH962" s="372"/>
      <c r="AI962" s="372"/>
      <c r="AJ962" s="372"/>
      <c r="AK962" s="372"/>
      <c r="AL962" s="372"/>
      <c r="AM962" s="372"/>
    </row>
    <row r="963">
      <c r="A963" s="369"/>
      <c r="B963" s="369"/>
      <c r="C963" s="405"/>
      <c r="D963" s="369"/>
      <c r="E963" s="369"/>
      <c r="F963" s="372"/>
      <c r="G963" s="372"/>
      <c r="H963" s="372"/>
      <c r="I963" s="372"/>
      <c r="J963" s="372"/>
      <c r="K963" s="369"/>
      <c r="L963" s="369"/>
      <c r="M963" s="373"/>
      <c r="N963" s="369"/>
      <c r="O963" s="369"/>
      <c r="P963" s="374"/>
      <c r="Q963" s="372"/>
      <c r="R963" s="372"/>
      <c r="S963" s="372"/>
      <c r="T963" s="372"/>
      <c r="U963" s="372"/>
      <c r="V963" s="372"/>
      <c r="W963" s="372"/>
      <c r="X963" s="372"/>
      <c r="Y963" s="372"/>
      <c r="Z963" s="372"/>
      <c r="AA963" s="372"/>
      <c r="AB963" s="372"/>
      <c r="AC963" s="372"/>
      <c r="AD963" s="372"/>
      <c r="AE963" s="372"/>
      <c r="AF963" s="372"/>
      <c r="AG963" s="372"/>
      <c r="AH963" s="372"/>
      <c r="AI963" s="372"/>
      <c r="AJ963" s="372"/>
      <c r="AK963" s="372"/>
      <c r="AL963" s="372"/>
      <c r="AM963" s="372"/>
    </row>
    <row r="964">
      <c r="A964" s="369"/>
      <c r="B964" s="369"/>
      <c r="C964" s="405"/>
      <c r="D964" s="369"/>
      <c r="E964" s="369"/>
      <c r="F964" s="372"/>
      <c r="G964" s="372"/>
      <c r="H964" s="372"/>
      <c r="I964" s="372"/>
      <c r="J964" s="372"/>
      <c r="K964" s="369"/>
      <c r="L964" s="369"/>
      <c r="M964" s="373"/>
      <c r="N964" s="369"/>
      <c r="O964" s="369"/>
      <c r="P964" s="374"/>
      <c r="Q964" s="372"/>
      <c r="R964" s="372"/>
      <c r="S964" s="372"/>
      <c r="T964" s="372"/>
      <c r="U964" s="372"/>
      <c r="V964" s="372"/>
      <c r="W964" s="372"/>
      <c r="X964" s="372"/>
      <c r="Y964" s="372"/>
      <c r="Z964" s="372"/>
      <c r="AA964" s="372"/>
      <c r="AB964" s="372"/>
      <c r="AC964" s="372"/>
      <c r="AD964" s="372"/>
      <c r="AE964" s="372"/>
      <c r="AF964" s="372"/>
      <c r="AG964" s="372"/>
      <c r="AH964" s="372"/>
      <c r="AI964" s="372"/>
      <c r="AJ964" s="372"/>
      <c r="AK964" s="372"/>
      <c r="AL964" s="372"/>
      <c r="AM964" s="372"/>
    </row>
    <row r="965">
      <c r="A965" s="369"/>
      <c r="B965" s="369"/>
      <c r="C965" s="405"/>
      <c r="D965" s="369"/>
      <c r="E965" s="369"/>
      <c r="F965" s="372"/>
      <c r="G965" s="372"/>
      <c r="H965" s="372"/>
      <c r="I965" s="372"/>
      <c r="J965" s="372"/>
      <c r="K965" s="369"/>
      <c r="L965" s="369"/>
      <c r="M965" s="373"/>
      <c r="N965" s="369"/>
      <c r="O965" s="369"/>
      <c r="P965" s="374"/>
      <c r="Q965" s="372"/>
      <c r="R965" s="372"/>
      <c r="S965" s="372"/>
      <c r="T965" s="372"/>
      <c r="U965" s="372"/>
      <c r="V965" s="372"/>
      <c r="W965" s="372"/>
      <c r="X965" s="372"/>
      <c r="Y965" s="372"/>
      <c r="Z965" s="372"/>
      <c r="AA965" s="372"/>
      <c r="AB965" s="372"/>
      <c r="AC965" s="372"/>
      <c r="AD965" s="372"/>
      <c r="AE965" s="372"/>
      <c r="AF965" s="372"/>
      <c r="AG965" s="372"/>
      <c r="AH965" s="372"/>
      <c r="AI965" s="372"/>
      <c r="AJ965" s="372"/>
      <c r="AK965" s="372"/>
      <c r="AL965" s="372"/>
      <c r="AM965" s="372"/>
    </row>
    <row r="966">
      <c r="A966" s="369"/>
      <c r="B966" s="369"/>
      <c r="C966" s="405"/>
      <c r="D966" s="369"/>
      <c r="E966" s="369"/>
      <c r="F966" s="372"/>
      <c r="G966" s="372"/>
      <c r="H966" s="372"/>
      <c r="I966" s="372"/>
      <c r="J966" s="372"/>
      <c r="K966" s="369"/>
      <c r="L966" s="369"/>
      <c r="M966" s="373"/>
      <c r="N966" s="369"/>
      <c r="O966" s="369"/>
      <c r="P966" s="374"/>
      <c r="Q966" s="372"/>
      <c r="R966" s="372"/>
      <c r="S966" s="372"/>
      <c r="T966" s="372"/>
      <c r="U966" s="372"/>
      <c r="V966" s="372"/>
      <c r="W966" s="372"/>
      <c r="X966" s="372"/>
      <c r="Y966" s="372"/>
      <c r="Z966" s="372"/>
      <c r="AA966" s="372"/>
      <c r="AB966" s="372"/>
      <c r="AC966" s="372"/>
      <c r="AD966" s="372"/>
      <c r="AE966" s="372"/>
      <c r="AF966" s="372"/>
      <c r="AG966" s="372"/>
      <c r="AH966" s="372"/>
      <c r="AI966" s="372"/>
      <c r="AJ966" s="372"/>
      <c r="AK966" s="372"/>
      <c r="AL966" s="372"/>
      <c r="AM966" s="372"/>
    </row>
    <row r="967">
      <c r="A967" s="369"/>
      <c r="B967" s="369"/>
      <c r="C967" s="405"/>
      <c r="D967" s="369"/>
      <c r="E967" s="369"/>
      <c r="F967" s="372"/>
      <c r="G967" s="372"/>
      <c r="H967" s="372"/>
      <c r="I967" s="372"/>
      <c r="J967" s="372"/>
      <c r="K967" s="369"/>
      <c r="L967" s="369"/>
      <c r="M967" s="373"/>
      <c r="N967" s="369"/>
      <c r="O967" s="369"/>
      <c r="P967" s="374"/>
      <c r="Q967" s="372"/>
      <c r="R967" s="372"/>
      <c r="S967" s="372"/>
      <c r="T967" s="372"/>
      <c r="U967" s="372"/>
      <c r="V967" s="372"/>
      <c r="W967" s="372"/>
      <c r="X967" s="372"/>
      <c r="Y967" s="372"/>
      <c r="Z967" s="372"/>
      <c r="AA967" s="372"/>
      <c r="AB967" s="372"/>
      <c r="AC967" s="372"/>
      <c r="AD967" s="372"/>
      <c r="AE967" s="372"/>
      <c r="AF967" s="372"/>
      <c r="AG967" s="372"/>
      <c r="AH967" s="372"/>
      <c r="AI967" s="372"/>
      <c r="AJ967" s="372"/>
      <c r="AK967" s="372"/>
      <c r="AL967" s="372"/>
      <c r="AM967" s="372"/>
    </row>
    <row r="968">
      <c r="A968" s="369"/>
      <c r="B968" s="369"/>
      <c r="C968" s="405"/>
      <c r="D968" s="369"/>
      <c r="E968" s="369"/>
      <c r="F968" s="372"/>
      <c r="G968" s="372"/>
      <c r="H968" s="372"/>
      <c r="I968" s="372"/>
      <c r="J968" s="372"/>
      <c r="K968" s="369"/>
      <c r="L968" s="369"/>
      <c r="M968" s="373"/>
      <c r="N968" s="369"/>
      <c r="O968" s="369"/>
      <c r="P968" s="374"/>
      <c r="Q968" s="372"/>
      <c r="R968" s="372"/>
      <c r="S968" s="372"/>
      <c r="T968" s="372"/>
      <c r="U968" s="372"/>
      <c r="V968" s="372"/>
      <c r="W968" s="372"/>
      <c r="X968" s="372"/>
      <c r="Y968" s="372"/>
      <c r="Z968" s="372"/>
      <c r="AA968" s="372"/>
      <c r="AB968" s="372"/>
      <c r="AC968" s="372"/>
      <c r="AD968" s="372"/>
      <c r="AE968" s="372"/>
      <c r="AF968" s="372"/>
      <c r="AG968" s="372"/>
      <c r="AH968" s="372"/>
      <c r="AI968" s="372"/>
      <c r="AJ968" s="372"/>
      <c r="AK968" s="372"/>
      <c r="AL968" s="372"/>
      <c r="AM968" s="372"/>
    </row>
    <row r="969">
      <c r="A969" s="369"/>
      <c r="B969" s="369"/>
      <c r="C969" s="405"/>
      <c r="D969" s="369"/>
      <c r="E969" s="369"/>
      <c r="F969" s="372"/>
      <c r="G969" s="372"/>
      <c r="H969" s="372"/>
      <c r="I969" s="372"/>
      <c r="J969" s="372"/>
      <c r="K969" s="369"/>
      <c r="L969" s="369"/>
      <c r="M969" s="373"/>
      <c r="N969" s="369"/>
      <c r="O969" s="369"/>
      <c r="P969" s="374"/>
      <c r="Q969" s="372"/>
      <c r="R969" s="372"/>
      <c r="S969" s="372"/>
      <c r="T969" s="372"/>
      <c r="U969" s="372"/>
      <c r="V969" s="372"/>
      <c r="W969" s="372"/>
      <c r="X969" s="372"/>
      <c r="Y969" s="372"/>
      <c r="Z969" s="372"/>
      <c r="AA969" s="372"/>
      <c r="AB969" s="372"/>
      <c r="AC969" s="372"/>
      <c r="AD969" s="372"/>
      <c r="AE969" s="372"/>
      <c r="AF969" s="372"/>
      <c r="AG969" s="372"/>
      <c r="AH969" s="372"/>
      <c r="AI969" s="372"/>
      <c r="AJ969" s="372"/>
      <c r="AK969" s="372"/>
      <c r="AL969" s="372"/>
      <c r="AM969" s="372"/>
    </row>
    <row r="970">
      <c r="A970" s="369"/>
      <c r="B970" s="369"/>
      <c r="C970" s="405"/>
      <c r="D970" s="369"/>
      <c r="E970" s="369"/>
      <c r="F970" s="372"/>
      <c r="G970" s="372"/>
      <c r="H970" s="372"/>
      <c r="I970" s="372"/>
      <c r="J970" s="372"/>
      <c r="K970" s="369"/>
      <c r="L970" s="369"/>
      <c r="M970" s="373"/>
      <c r="N970" s="369"/>
      <c r="O970" s="369"/>
      <c r="P970" s="374"/>
      <c r="Q970" s="372"/>
      <c r="R970" s="372"/>
      <c r="S970" s="372"/>
      <c r="T970" s="372"/>
      <c r="U970" s="372"/>
      <c r="V970" s="372"/>
      <c r="W970" s="372"/>
      <c r="X970" s="372"/>
      <c r="Y970" s="372"/>
      <c r="Z970" s="372"/>
      <c r="AA970" s="372"/>
      <c r="AB970" s="372"/>
      <c r="AC970" s="372"/>
      <c r="AD970" s="372"/>
      <c r="AE970" s="372"/>
      <c r="AF970" s="372"/>
      <c r="AG970" s="372"/>
      <c r="AH970" s="372"/>
      <c r="AI970" s="372"/>
      <c r="AJ970" s="372"/>
      <c r="AK970" s="372"/>
      <c r="AL970" s="372"/>
      <c r="AM970" s="372"/>
    </row>
    <row r="971">
      <c r="A971" s="369"/>
      <c r="B971" s="369"/>
      <c r="C971" s="405"/>
      <c r="D971" s="369"/>
      <c r="E971" s="369"/>
      <c r="F971" s="372"/>
      <c r="G971" s="372"/>
      <c r="H971" s="372"/>
      <c r="I971" s="372"/>
      <c r="J971" s="372"/>
      <c r="K971" s="369"/>
      <c r="L971" s="369"/>
      <c r="M971" s="373"/>
      <c r="N971" s="369"/>
      <c r="O971" s="369"/>
      <c r="P971" s="374"/>
      <c r="Q971" s="372"/>
      <c r="R971" s="372"/>
      <c r="S971" s="372"/>
      <c r="T971" s="372"/>
      <c r="U971" s="372"/>
      <c r="V971" s="372"/>
      <c r="W971" s="372"/>
      <c r="X971" s="372"/>
      <c r="Y971" s="372"/>
      <c r="Z971" s="372"/>
      <c r="AA971" s="372"/>
      <c r="AB971" s="372"/>
      <c r="AC971" s="372"/>
      <c r="AD971" s="372"/>
      <c r="AE971" s="372"/>
      <c r="AF971" s="372"/>
      <c r="AG971" s="372"/>
      <c r="AH971" s="372"/>
      <c r="AI971" s="372"/>
      <c r="AJ971" s="372"/>
      <c r="AK971" s="372"/>
      <c r="AL971" s="372"/>
      <c r="AM971" s="372"/>
    </row>
    <row r="972">
      <c r="A972" s="369"/>
      <c r="B972" s="369"/>
      <c r="C972" s="405"/>
      <c r="D972" s="369"/>
      <c r="E972" s="369"/>
      <c r="F972" s="372"/>
      <c r="G972" s="372"/>
      <c r="H972" s="372"/>
      <c r="I972" s="372"/>
      <c r="J972" s="372"/>
      <c r="K972" s="369"/>
      <c r="L972" s="369"/>
      <c r="M972" s="373"/>
      <c r="N972" s="369"/>
      <c r="O972" s="369"/>
      <c r="P972" s="374"/>
      <c r="Q972" s="372"/>
      <c r="R972" s="372"/>
      <c r="S972" s="372"/>
      <c r="T972" s="372"/>
      <c r="U972" s="372"/>
      <c r="V972" s="372"/>
      <c r="W972" s="372"/>
      <c r="X972" s="372"/>
      <c r="Y972" s="372"/>
      <c r="Z972" s="372"/>
      <c r="AA972" s="372"/>
      <c r="AB972" s="372"/>
      <c r="AC972" s="372"/>
      <c r="AD972" s="372"/>
      <c r="AE972" s="372"/>
      <c r="AF972" s="372"/>
      <c r="AG972" s="372"/>
      <c r="AH972" s="372"/>
      <c r="AI972" s="372"/>
      <c r="AJ972" s="372"/>
      <c r="AK972" s="372"/>
      <c r="AL972" s="372"/>
      <c r="AM972" s="372"/>
    </row>
    <row r="973">
      <c r="A973" s="369"/>
      <c r="B973" s="369"/>
      <c r="C973" s="405"/>
      <c r="D973" s="369"/>
      <c r="E973" s="369"/>
      <c r="F973" s="372"/>
      <c r="G973" s="372"/>
      <c r="H973" s="372"/>
      <c r="I973" s="372"/>
      <c r="J973" s="372"/>
      <c r="K973" s="369"/>
      <c r="L973" s="369"/>
      <c r="M973" s="373"/>
      <c r="N973" s="369"/>
      <c r="O973" s="369"/>
      <c r="P973" s="374"/>
      <c r="Q973" s="372"/>
      <c r="R973" s="372"/>
      <c r="S973" s="372"/>
      <c r="T973" s="372"/>
      <c r="U973" s="372"/>
      <c r="V973" s="372"/>
      <c r="W973" s="372"/>
      <c r="X973" s="372"/>
      <c r="Y973" s="372"/>
      <c r="Z973" s="372"/>
      <c r="AA973" s="372"/>
      <c r="AB973" s="372"/>
      <c r="AC973" s="372"/>
      <c r="AD973" s="372"/>
      <c r="AE973" s="372"/>
      <c r="AF973" s="372"/>
      <c r="AG973" s="372"/>
      <c r="AH973" s="372"/>
      <c r="AI973" s="372"/>
      <c r="AJ973" s="372"/>
      <c r="AK973" s="372"/>
      <c r="AL973" s="372"/>
      <c r="AM973" s="372"/>
    </row>
    <row r="974">
      <c r="A974" s="369"/>
      <c r="B974" s="369"/>
      <c r="C974" s="405"/>
      <c r="D974" s="369"/>
      <c r="E974" s="369"/>
      <c r="F974" s="372"/>
      <c r="G974" s="372"/>
      <c r="H974" s="372"/>
      <c r="I974" s="372"/>
      <c r="J974" s="372"/>
      <c r="K974" s="369"/>
      <c r="L974" s="369"/>
      <c r="M974" s="373"/>
      <c r="N974" s="369"/>
      <c r="O974" s="369"/>
      <c r="P974" s="374"/>
      <c r="Q974" s="372"/>
      <c r="R974" s="372"/>
      <c r="S974" s="372"/>
      <c r="T974" s="372"/>
      <c r="U974" s="372"/>
      <c r="V974" s="372"/>
      <c r="W974" s="372"/>
      <c r="X974" s="372"/>
      <c r="Y974" s="372"/>
      <c r="Z974" s="372"/>
      <c r="AA974" s="372"/>
      <c r="AB974" s="372"/>
      <c r="AC974" s="372"/>
      <c r="AD974" s="372"/>
      <c r="AE974" s="372"/>
      <c r="AF974" s="372"/>
      <c r="AG974" s="372"/>
      <c r="AH974" s="372"/>
      <c r="AI974" s="372"/>
      <c r="AJ974" s="372"/>
      <c r="AK974" s="372"/>
      <c r="AL974" s="372"/>
      <c r="AM974" s="372"/>
    </row>
    <row r="975">
      <c r="A975" s="369"/>
      <c r="B975" s="369"/>
      <c r="C975" s="405"/>
      <c r="D975" s="369"/>
      <c r="E975" s="369"/>
      <c r="F975" s="372"/>
      <c r="G975" s="372"/>
      <c r="H975" s="372"/>
      <c r="I975" s="372"/>
      <c r="J975" s="372"/>
      <c r="K975" s="369"/>
      <c r="L975" s="369"/>
      <c r="M975" s="373"/>
      <c r="N975" s="369"/>
      <c r="O975" s="369"/>
      <c r="P975" s="374"/>
      <c r="Q975" s="372"/>
      <c r="R975" s="372"/>
      <c r="S975" s="372"/>
      <c r="T975" s="372"/>
      <c r="U975" s="372"/>
      <c r="V975" s="372"/>
      <c r="W975" s="372"/>
      <c r="X975" s="372"/>
      <c r="Y975" s="372"/>
      <c r="Z975" s="372"/>
      <c r="AA975" s="372"/>
      <c r="AB975" s="372"/>
      <c r="AC975" s="372"/>
      <c r="AD975" s="372"/>
      <c r="AE975" s="372"/>
      <c r="AF975" s="372"/>
      <c r="AG975" s="372"/>
      <c r="AH975" s="372"/>
      <c r="AI975" s="372"/>
      <c r="AJ975" s="372"/>
      <c r="AK975" s="372"/>
      <c r="AL975" s="372"/>
      <c r="AM975" s="372"/>
    </row>
    <row r="976">
      <c r="A976" s="369"/>
      <c r="B976" s="369"/>
      <c r="C976" s="405"/>
      <c r="D976" s="369"/>
      <c r="E976" s="369"/>
      <c r="F976" s="372"/>
      <c r="G976" s="372"/>
      <c r="H976" s="372"/>
      <c r="I976" s="372"/>
      <c r="J976" s="372"/>
      <c r="K976" s="369"/>
      <c r="L976" s="369"/>
      <c r="M976" s="373"/>
      <c r="N976" s="369"/>
      <c r="O976" s="369"/>
      <c r="P976" s="374"/>
      <c r="Q976" s="372"/>
      <c r="R976" s="372"/>
      <c r="S976" s="372"/>
      <c r="T976" s="372"/>
      <c r="U976" s="372"/>
      <c r="V976" s="372"/>
      <c r="W976" s="372"/>
      <c r="X976" s="372"/>
      <c r="Y976" s="372"/>
      <c r="Z976" s="372"/>
      <c r="AA976" s="372"/>
      <c r="AB976" s="372"/>
      <c r="AC976" s="372"/>
      <c r="AD976" s="372"/>
      <c r="AE976" s="372"/>
      <c r="AF976" s="372"/>
      <c r="AG976" s="372"/>
      <c r="AH976" s="372"/>
      <c r="AI976" s="372"/>
      <c r="AJ976" s="372"/>
      <c r="AK976" s="372"/>
      <c r="AL976" s="372"/>
      <c r="AM976" s="372"/>
    </row>
    <row r="977">
      <c r="A977" s="369"/>
      <c r="B977" s="369"/>
      <c r="C977" s="405"/>
      <c r="D977" s="369"/>
      <c r="E977" s="369"/>
      <c r="F977" s="372"/>
      <c r="G977" s="372"/>
      <c r="H977" s="372"/>
      <c r="I977" s="372"/>
      <c r="J977" s="372"/>
      <c r="K977" s="369"/>
      <c r="L977" s="369"/>
      <c r="M977" s="373"/>
      <c r="N977" s="369"/>
      <c r="O977" s="369"/>
      <c r="P977" s="374"/>
      <c r="Q977" s="372"/>
      <c r="R977" s="372"/>
      <c r="S977" s="372"/>
      <c r="T977" s="372"/>
      <c r="U977" s="372"/>
      <c r="V977" s="372"/>
      <c r="W977" s="372"/>
      <c r="X977" s="372"/>
      <c r="Y977" s="372"/>
      <c r="Z977" s="372"/>
      <c r="AA977" s="372"/>
      <c r="AB977" s="372"/>
      <c r="AC977" s="372"/>
      <c r="AD977" s="372"/>
      <c r="AE977" s="372"/>
      <c r="AF977" s="372"/>
      <c r="AG977" s="372"/>
      <c r="AH977" s="372"/>
      <c r="AI977" s="372"/>
      <c r="AJ977" s="372"/>
      <c r="AK977" s="372"/>
      <c r="AL977" s="372"/>
      <c r="AM977" s="372"/>
    </row>
    <row r="978">
      <c r="A978" s="369"/>
      <c r="B978" s="369"/>
      <c r="C978" s="405"/>
      <c r="D978" s="369"/>
      <c r="E978" s="369"/>
      <c r="F978" s="372"/>
      <c r="G978" s="372"/>
      <c r="H978" s="372"/>
      <c r="I978" s="372"/>
      <c r="J978" s="372"/>
      <c r="K978" s="369"/>
      <c r="L978" s="369"/>
      <c r="M978" s="373"/>
      <c r="N978" s="369"/>
      <c r="O978" s="369"/>
      <c r="P978" s="374"/>
      <c r="Q978" s="372"/>
      <c r="R978" s="372"/>
      <c r="S978" s="372"/>
      <c r="T978" s="372"/>
      <c r="U978" s="372"/>
      <c r="V978" s="372"/>
      <c r="W978" s="372"/>
      <c r="X978" s="372"/>
      <c r="Y978" s="372"/>
      <c r="Z978" s="372"/>
      <c r="AA978" s="372"/>
      <c r="AB978" s="372"/>
      <c r="AC978" s="372"/>
      <c r="AD978" s="372"/>
      <c r="AE978" s="372"/>
      <c r="AF978" s="372"/>
      <c r="AG978" s="372"/>
      <c r="AH978" s="372"/>
      <c r="AI978" s="372"/>
      <c r="AJ978" s="372"/>
      <c r="AK978" s="372"/>
      <c r="AL978" s="372"/>
      <c r="AM978" s="372"/>
    </row>
    <row r="979">
      <c r="A979" s="369"/>
      <c r="B979" s="369"/>
      <c r="C979" s="405"/>
      <c r="D979" s="369"/>
      <c r="E979" s="369"/>
      <c r="F979" s="372"/>
      <c r="G979" s="372"/>
      <c r="H979" s="372"/>
      <c r="I979" s="372"/>
      <c r="J979" s="372"/>
      <c r="K979" s="369"/>
      <c r="L979" s="369"/>
      <c r="M979" s="373"/>
      <c r="N979" s="369"/>
      <c r="O979" s="369"/>
      <c r="P979" s="374"/>
      <c r="Q979" s="372"/>
      <c r="R979" s="372"/>
      <c r="S979" s="372"/>
      <c r="T979" s="372"/>
      <c r="U979" s="372"/>
      <c r="V979" s="372"/>
      <c r="W979" s="372"/>
      <c r="X979" s="372"/>
      <c r="Y979" s="372"/>
      <c r="Z979" s="372"/>
      <c r="AA979" s="372"/>
      <c r="AB979" s="372"/>
      <c r="AC979" s="372"/>
      <c r="AD979" s="372"/>
      <c r="AE979" s="372"/>
      <c r="AF979" s="372"/>
      <c r="AG979" s="372"/>
      <c r="AH979" s="372"/>
      <c r="AI979" s="372"/>
      <c r="AJ979" s="372"/>
      <c r="AK979" s="372"/>
      <c r="AL979" s="372"/>
      <c r="AM979" s="372"/>
    </row>
    <row r="980">
      <c r="A980" s="369"/>
      <c r="B980" s="369"/>
      <c r="C980" s="405"/>
      <c r="D980" s="369"/>
      <c r="E980" s="369"/>
      <c r="F980" s="372"/>
      <c r="G980" s="372"/>
      <c r="H980" s="372"/>
      <c r="I980" s="372"/>
      <c r="J980" s="372"/>
      <c r="K980" s="369"/>
      <c r="L980" s="369"/>
      <c r="M980" s="373"/>
      <c r="N980" s="369"/>
      <c r="O980" s="369"/>
      <c r="P980" s="374"/>
      <c r="Q980" s="372"/>
      <c r="R980" s="372"/>
      <c r="S980" s="372"/>
      <c r="T980" s="372"/>
      <c r="U980" s="372"/>
      <c r="V980" s="372"/>
      <c r="W980" s="372"/>
      <c r="X980" s="372"/>
      <c r="Y980" s="372"/>
      <c r="Z980" s="372"/>
      <c r="AA980" s="372"/>
      <c r="AB980" s="372"/>
      <c r="AC980" s="372"/>
      <c r="AD980" s="372"/>
      <c r="AE980" s="372"/>
      <c r="AF980" s="372"/>
      <c r="AG980" s="372"/>
      <c r="AH980" s="372"/>
      <c r="AI980" s="372"/>
      <c r="AJ980" s="372"/>
      <c r="AK980" s="372"/>
      <c r="AL980" s="372"/>
      <c r="AM980" s="372"/>
    </row>
    <row r="981">
      <c r="A981" s="369"/>
      <c r="B981" s="369"/>
      <c r="C981" s="405"/>
      <c r="D981" s="369"/>
      <c r="E981" s="369"/>
      <c r="F981" s="372"/>
      <c r="G981" s="372"/>
      <c r="H981" s="372"/>
      <c r="I981" s="372"/>
      <c r="J981" s="372"/>
      <c r="K981" s="369"/>
      <c r="L981" s="369"/>
      <c r="M981" s="373"/>
      <c r="N981" s="369"/>
      <c r="O981" s="369"/>
      <c r="P981" s="374"/>
      <c r="Q981" s="372"/>
      <c r="R981" s="372"/>
      <c r="S981" s="372"/>
      <c r="T981" s="372"/>
      <c r="U981" s="372"/>
      <c r="V981" s="372"/>
      <c r="W981" s="372"/>
      <c r="X981" s="372"/>
      <c r="Y981" s="372"/>
      <c r="Z981" s="372"/>
      <c r="AA981" s="372"/>
      <c r="AB981" s="372"/>
      <c r="AC981" s="372"/>
      <c r="AD981" s="372"/>
      <c r="AE981" s="372"/>
      <c r="AF981" s="372"/>
      <c r="AG981" s="372"/>
      <c r="AH981" s="372"/>
      <c r="AI981" s="372"/>
      <c r="AJ981" s="372"/>
      <c r="AK981" s="372"/>
      <c r="AL981" s="372"/>
      <c r="AM981" s="372"/>
    </row>
    <row r="982">
      <c r="A982" s="369"/>
      <c r="B982" s="369"/>
      <c r="C982" s="405"/>
      <c r="D982" s="369"/>
      <c r="E982" s="369"/>
      <c r="F982" s="372"/>
      <c r="G982" s="372"/>
      <c r="H982" s="372"/>
      <c r="I982" s="372"/>
      <c r="J982" s="372"/>
      <c r="K982" s="369"/>
      <c r="L982" s="369"/>
      <c r="M982" s="373"/>
      <c r="N982" s="369"/>
      <c r="O982" s="369"/>
      <c r="P982" s="374"/>
      <c r="Q982" s="372"/>
      <c r="R982" s="372"/>
      <c r="S982" s="372"/>
      <c r="T982" s="372"/>
      <c r="U982" s="372"/>
      <c r="V982" s="372"/>
      <c r="W982" s="372"/>
      <c r="X982" s="372"/>
      <c r="Y982" s="372"/>
      <c r="Z982" s="372"/>
      <c r="AA982" s="372"/>
      <c r="AB982" s="372"/>
      <c r="AC982" s="372"/>
      <c r="AD982" s="372"/>
      <c r="AE982" s="372"/>
      <c r="AF982" s="372"/>
      <c r="AG982" s="372"/>
      <c r="AH982" s="372"/>
      <c r="AI982" s="372"/>
      <c r="AJ982" s="372"/>
      <c r="AK982" s="372"/>
      <c r="AL982" s="372"/>
      <c r="AM982" s="372"/>
    </row>
    <row r="983">
      <c r="A983" s="369"/>
      <c r="B983" s="369"/>
      <c r="C983" s="405"/>
      <c r="D983" s="369"/>
      <c r="E983" s="369"/>
      <c r="F983" s="372"/>
      <c r="G983" s="372"/>
      <c r="H983" s="372"/>
      <c r="I983" s="372"/>
      <c r="J983" s="372"/>
      <c r="K983" s="369"/>
      <c r="L983" s="369"/>
      <c r="M983" s="373"/>
      <c r="N983" s="369"/>
      <c r="O983" s="369"/>
      <c r="P983" s="374"/>
      <c r="Q983" s="372"/>
      <c r="R983" s="372"/>
      <c r="S983" s="372"/>
      <c r="T983" s="372"/>
      <c r="U983" s="372"/>
      <c r="V983" s="372"/>
      <c r="W983" s="372"/>
      <c r="X983" s="372"/>
      <c r="Y983" s="372"/>
      <c r="Z983" s="372"/>
      <c r="AA983" s="372"/>
      <c r="AB983" s="372"/>
      <c r="AC983" s="372"/>
      <c r="AD983" s="372"/>
      <c r="AE983" s="372"/>
      <c r="AF983" s="372"/>
      <c r="AG983" s="372"/>
      <c r="AH983" s="372"/>
      <c r="AI983" s="372"/>
      <c r="AJ983" s="372"/>
      <c r="AK983" s="372"/>
      <c r="AL983" s="372"/>
      <c r="AM983" s="372"/>
    </row>
    <row r="984">
      <c r="A984" s="369"/>
      <c r="B984" s="369"/>
      <c r="C984" s="405"/>
      <c r="D984" s="369"/>
      <c r="E984" s="369"/>
      <c r="F984" s="372"/>
      <c r="G984" s="372"/>
      <c r="H984" s="372"/>
      <c r="I984" s="372"/>
      <c r="J984" s="372"/>
      <c r="K984" s="369"/>
      <c r="L984" s="369"/>
      <c r="M984" s="373"/>
      <c r="N984" s="369"/>
      <c r="O984" s="369"/>
      <c r="P984" s="374"/>
      <c r="Q984" s="372"/>
      <c r="R984" s="372"/>
      <c r="S984" s="372"/>
      <c r="T984" s="372"/>
      <c r="U984" s="372"/>
      <c r="V984" s="372"/>
      <c r="W984" s="372"/>
      <c r="X984" s="372"/>
      <c r="Y984" s="372"/>
      <c r="Z984" s="372"/>
      <c r="AA984" s="372"/>
      <c r="AB984" s="372"/>
      <c r="AC984" s="372"/>
      <c r="AD984" s="372"/>
      <c r="AE984" s="372"/>
      <c r="AF984" s="372"/>
      <c r="AG984" s="372"/>
      <c r="AH984" s="372"/>
      <c r="AI984" s="372"/>
      <c r="AJ984" s="372"/>
      <c r="AK984" s="372"/>
      <c r="AL984" s="372"/>
      <c r="AM984" s="372"/>
    </row>
    <row r="985">
      <c r="A985" s="369"/>
      <c r="B985" s="369"/>
      <c r="C985" s="405"/>
      <c r="D985" s="369"/>
      <c r="E985" s="369"/>
      <c r="F985" s="372"/>
      <c r="G985" s="372"/>
      <c r="H985" s="372"/>
      <c r="I985" s="372"/>
      <c r="J985" s="372"/>
      <c r="K985" s="369"/>
      <c r="L985" s="369"/>
      <c r="M985" s="373"/>
      <c r="N985" s="369"/>
      <c r="O985" s="369"/>
      <c r="P985" s="374"/>
      <c r="Q985" s="372"/>
      <c r="R985" s="372"/>
      <c r="S985" s="372"/>
      <c r="T985" s="372"/>
      <c r="U985" s="372"/>
      <c r="V985" s="372"/>
      <c r="W985" s="372"/>
      <c r="X985" s="372"/>
      <c r="Y985" s="372"/>
      <c r="Z985" s="372"/>
      <c r="AA985" s="372"/>
      <c r="AB985" s="372"/>
      <c r="AC985" s="372"/>
      <c r="AD985" s="372"/>
      <c r="AE985" s="372"/>
      <c r="AF985" s="372"/>
      <c r="AG985" s="372"/>
      <c r="AH985" s="372"/>
      <c r="AI985" s="372"/>
      <c r="AJ985" s="372"/>
      <c r="AK985" s="372"/>
      <c r="AL985" s="372"/>
      <c r="AM985" s="372"/>
    </row>
    <row r="986">
      <c r="A986" s="369"/>
      <c r="B986" s="369"/>
      <c r="C986" s="405"/>
      <c r="D986" s="369"/>
      <c r="E986" s="369"/>
      <c r="F986" s="372"/>
      <c r="G986" s="372"/>
      <c r="H986" s="372"/>
      <c r="I986" s="372"/>
      <c r="J986" s="372"/>
      <c r="K986" s="369"/>
      <c r="L986" s="369"/>
      <c r="M986" s="373"/>
      <c r="N986" s="369"/>
      <c r="O986" s="369"/>
      <c r="P986" s="374"/>
      <c r="Q986" s="372"/>
      <c r="R986" s="372"/>
      <c r="S986" s="372"/>
      <c r="T986" s="372"/>
      <c r="U986" s="372"/>
      <c r="V986" s="372"/>
      <c r="W986" s="372"/>
      <c r="X986" s="372"/>
      <c r="Y986" s="372"/>
      <c r="Z986" s="372"/>
      <c r="AA986" s="372"/>
      <c r="AB986" s="372"/>
      <c r="AC986" s="372"/>
      <c r="AD986" s="372"/>
      <c r="AE986" s="372"/>
      <c r="AF986" s="372"/>
      <c r="AG986" s="372"/>
      <c r="AH986" s="372"/>
      <c r="AI986" s="372"/>
      <c r="AJ986" s="372"/>
      <c r="AK986" s="372"/>
      <c r="AL986" s="372"/>
      <c r="AM986" s="372"/>
    </row>
    <row r="987">
      <c r="A987" s="369"/>
      <c r="B987" s="369"/>
      <c r="C987" s="405"/>
      <c r="D987" s="369"/>
      <c r="E987" s="369"/>
      <c r="F987" s="372"/>
      <c r="G987" s="372"/>
      <c r="H987" s="372"/>
      <c r="I987" s="372"/>
      <c r="J987" s="372"/>
      <c r="K987" s="369"/>
      <c r="L987" s="369"/>
      <c r="M987" s="373"/>
      <c r="N987" s="369"/>
      <c r="O987" s="369"/>
      <c r="P987" s="374"/>
      <c r="Q987" s="372"/>
      <c r="R987" s="372"/>
      <c r="S987" s="372"/>
      <c r="T987" s="372"/>
      <c r="U987" s="372"/>
      <c r="V987" s="372"/>
      <c r="W987" s="372"/>
      <c r="X987" s="372"/>
      <c r="Y987" s="372"/>
      <c r="Z987" s="372"/>
      <c r="AA987" s="372"/>
      <c r="AB987" s="372"/>
      <c r="AC987" s="372"/>
      <c r="AD987" s="372"/>
      <c r="AE987" s="372"/>
      <c r="AF987" s="372"/>
      <c r="AG987" s="372"/>
      <c r="AH987" s="372"/>
      <c r="AI987" s="372"/>
      <c r="AJ987" s="372"/>
      <c r="AK987" s="372"/>
      <c r="AL987" s="372"/>
      <c r="AM987" s="372"/>
    </row>
    <row r="988">
      <c r="A988" s="369"/>
      <c r="B988" s="369"/>
      <c r="C988" s="405"/>
      <c r="D988" s="369"/>
      <c r="E988" s="369"/>
      <c r="F988" s="372"/>
      <c r="G988" s="372"/>
      <c r="H988" s="372"/>
      <c r="I988" s="372"/>
      <c r="J988" s="372"/>
      <c r="K988" s="369"/>
      <c r="L988" s="369"/>
      <c r="M988" s="373"/>
      <c r="N988" s="369"/>
      <c r="O988" s="369"/>
      <c r="P988" s="374"/>
      <c r="Q988" s="372"/>
      <c r="R988" s="372"/>
      <c r="S988" s="372"/>
      <c r="T988" s="372"/>
      <c r="U988" s="372"/>
      <c r="V988" s="372"/>
      <c r="W988" s="372"/>
      <c r="X988" s="372"/>
      <c r="Y988" s="372"/>
      <c r="Z988" s="372"/>
      <c r="AA988" s="372"/>
      <c r="AB988" s="372"/>
      <c r="AC988" s="372"/>
      <c r="AD988" s="372"/>
      <c r="AE988" s="372"/>
      <c r="AF988" s="372"/>
      <c r="AG988" s="372"/>
      <c r="AH988" s="372"/>
      <c r="AI988" s="372"/>
      <c r="AJ988" s="372"/>
      <c r="AK988" s="372"/>
      <c r="AL988" s="372"/>
      <c r="AM988" s="372"/>
    </row>
    <row r="989">
      <c r="A989" s="369"/>
      <c r="B989" s="369"/>
      <c r="C989" s="405"/>
      <c r="D989" s="369"/>
      <c r="E989" s="369"/>
      <c r="F989" s="372"/>
      <c r="G989" s="372"/>
      <c r="H989" s="372"/>
      <c r="I989" s="372"/>
      <c r="J989" s="372"/>
      <c r="K989" s="369"/>
      <c r="L989" s="369"/>
      <c r="M989" s="373"/>
      <c r="N989" s="369"/>
      <c r="O989" s="369"/>
      <c r="P989" s="374"/>
      <c r="Q989" s="372"/>
      <c r="R989" s="372"/>
      <c r="S989" s="372"/>
      <c r="T989" s="372"/>
      <c r="U989" s="372"/>
      <c r="V989" s="372"/>
      <c r="W989" s="372"/>
      <c r="X989" s="372"/>
      <c r="Y989" s="372"/>
      <c r="Z989" s="372"/>
      <c r="AA989" s="372"/>
      <c r="AB989" s="372"/>
      <c r="AC989" s="372"/>
      <c r="AD989" s="372"/>
      <c r="AE989" s="372"/>
      <c r="AF989" s="372"/>
      <c r="AG989" s="372"/>
      <c r="AH989" s="372"/>
      <c r="AI989" s="372"/>
      <c r="AJ989" s="372"/>
      <c r="AK989" s="372"/>
      <c r="AL989" s="372"/>
      <c r="AM989" s="372"/>
    </row>
    <row r="990">
      <c r="A990" s="369"/>
      <c r="B990" s="369"/>
      <c r="C990" s="405"/>
      <c r="D990" s="369"/>
      <c r="E990" s="369"/>
      <c r="F990" s="372"/>
      <c r="G990" s="372"/>
      <c r="H990" s="372"/>
      <c r="I990" s="372"/>
      <c r="J990" s="372"/>
      <c r="K990" s="369"/>
      <c r="L990" s="369"/>
      <c r="M990" s="373"/>
      <c r="N990" s="369"/>
      <c r="O990" s="369"/>
      <c r="P990" s="374"/>
      <c r="Q990" s="372"/>
      <c r="R990" s="372"/>
      <c r="S990" s="372"/>
      <c r="T990" s="372"/>
      <c r="U990" s="372"/>
      <c r="V990" s="372"/>
      <c r="W990" s="372"/>
      <c r="X990" s="372"/>
      <c r="Y990" s="372"/>
      <c r="Z990" s="372"/>
      <c r="AA990" s="372"/>
      <c r="AB990" s="372"/>
      <c r="AC990" s="372"/>
      <c r="AD990" s="372"/>
      <c r="AE990" s="372"/>
      <c r="AF990" s="372"/>
      <c r="AG990" s="372"/>
      <c r="AH990" s="372"/>
      <c r="AI990" s="372"/>
      <c r="AJ990" s="372"/>
      <c r="AK990" s="372"/>
      <c r="AL990" s="372"/>
      <c r="AM990" s="372"/>
    </row>
    <row r="991">
      <c r="A991" s="369"/>
      <c r="B991" s="369"/>
      <c r="C991" s="405"/>
      <c r="D991" s="369"/>
      <c r="E991" s="369"/>
      <c r="F991" s="372"/>
      <c r="G991" s="372"/>
      <c r="H991" s="372"/>
      <c r="I991" s="372"/>
      <c r="J991" s="372"/>
      <c r="K991" s="369"/>
      <c r="L991" s="369"/>
      <c r="M991" s="373"/>
      <c r="N991" s="369"/>
      <c r="O991" s="369"/>
      <c r="P991" s="374"/>
      <c r="Q991" s="372"/>
      <c r="R991" s="372"/>
      <c r="S991" s="372"/>
      <c r="T991" s="372"/>
      <c r="U991" s="372"/>
      <c r="V991" s="372"/>
      <c r="W991" s="372"/>
      <c r="X991" s="372"/>
      <c r="Y991" s="372"/>
      <c r="Z991" s="372"/>
      <c r="AA991" s="372"/>
      <c r="AB991" s="372"/>
      <c r="AC991" s="372"/>
      <c r="AD991" s="372"/>
      <c r="AE991" s="372"/>
      <c r="AF991" s="372"/>
      <c r="AG991" s="372"/>
      <c r="AH991" s="372"/>
      <c r="AI991" s="372"/>
      <c r="AJ991" s="372"/>
      <c r="AK991" s="372"/>
      <c r="AL991" s="372"/>
      <c r="AM991" s="372"/>
    </row>
    <row r="992">
      <c r="A992" s="369"/>
      <c r="B992" s="369"/>
      <c r="C992" s="405"/>
      <c r="D992" s="369"/>
      <c r="E992" s="369"/>
      <c r="F992" s="372"/>
      <c r="G992" s="372"/>
      <c r="H992" s="372"/>
      <c r="I992" s="372"/>
      <c r="J992" s="372"/>
      <c r="K992" s="369"/>
      <c r="L992" s="369"/>
      <c r="M992" s="373"/>
      <c r="N992" s="369"/>
      <c r="O992" s="369"/>
      <c r="P992" s="374"/>
      <c r="Q992" s="372"/>
      <c r="R992" s="372"/>
      <c r="S992" s="372"/>
      <c r="T992" s="372"/>
      <c r="U992" s="372"/>
      <c r="V992" s="372"/>
      <c r="W992" s="372"/>
      <c r="X992" s="372"/>
      <c r="Y992" s="372"/>
      <c r="Z992" s="372"/>
      <c r="AA992" s="372"/>
      <c r="AB992" s="372"/>
      <c r="AC992" s="372"/>
      <c r="AD992" s="372"/>
      <c r="AE992" s="372"/>
      <c r="AF992" s="372"/>
      <c r="AG992" s="372"/>
      <c r="AH992" s="372"/>
      <c r="AI992" s="372"/>
      <c r="AJ992" s="372"/>
      <c r="AK992" s="372"/>
      <c r="AL992" s="372"/>
      <c r="AM992" s="372"/>
    </row>
    <row r="993">
      <c r="A993" s="369"/>
      <c r="B993" s="369"/>
      <c r="C993" s="405"/>
      <c r="D993" s="369"/>
      <c r="E993" s="369"/>
      <c r="F993" s="372"/>
      <c r="G993" s="372"/>
      <c r="H993" s="372"/>
      <c r="I993" s="372"/>
      <c r="J993" s="372"/>
      <c r="K993" s="369"/>
      <c r="L993" s="369"/>
      <c r="M993" s="373"/>
      <c r="N993" s="369"/>
      <c r="O993" s="369"/>
      <c r="P993" s="374"/>
      <c r="Q993" s="372"/>
      <c r="R993" s="372"/>
      <c r="S993" s="372"/>
      <c r="T993" s="372"/>
      <c r="U993" s="372"/>
      <c r="V993" s="372"/>
      <c r="W993" s="372"/>
      <c r="X993" s="372"/>
      <c r="Y993" s="372"/>
      <c r="Z993" s="372"/>
      <c r="AA993" s="372"/>
      <c r="AB993" s="372"/>
      <c r="AC993" s="372"/>
      <c r="AD993" s="372"/>
      <c r="AE993" s="372"/>
      <c r="AF993" s="372"/>
      <c r="AG993" s="372"/>
      <c r="AH993" s="372"/>
      <c r="AI993" s="372"/>
      <c r="AJ993" s="372"/>
      <c r="AK993" s="372"/>
      <c r="AL993" s="372"/>
      <c r="AM993" s="372"/>
    </row>
    <row r="994">
      <c r="A994" s="369"/>
      <c r="B994" s="369"/>
      <c r="C994" s="405"/>
      <c r="D994" s="369"/>
      <c r="E994" s="369"/>
      <c r="F994" s="372"/>
      <c r="G994" s="372"/>
      <c r="H994" s="372"/>
      <c r="I994" s="372"/>
      <c r="J994" s="372"/>
      <c r="K994" s="369"/>
      <c r="L994" s="369"/>
      <c r="M994" s="373"/>
      <c r="N994" s="369"/>
      <c r="O994" s="369"/>
      <c r="P994" s="374"/>
      <c r="Q994" s="372"/>
      <c r="R994" s="372"/>
      <c r="S994" s="372"/>
      <c r="T994" s="372"/>
      <c r="U994" s="372"/>
      <c r="V994" s="372"/>
      <c r="W994" s="372"/>
      <c r="X994" s="372"/>
      <c r="Y994" s="372"/>
      <c r="Z994" s="372"/>
      <c r="AA994" s="372"/>
      <c r="AB994" s="372"/>
      <c r="AC994" s="372"/>
      <c r="AD994" s="372"/>
      <c r="AE994" s="372"/>
      <c r="AF994" s="372"/>
      <c r="AG994" s="372"/>
      <c r="AH994" s="372"/>
      <c r="AI994" s="372"/>
      <c r="AJ994" s="372"/>
      <c r="AK994" s="372"/>
      <c r="AL994" s="372"/>
      <c r="AM994" s="372"/>
    </row>
    <row r="995">
      <c r="A995" s="369"/>
      <c r="B995" s="369"/>
      <c r="C995" s="405"/>
      <c r="D995" s="369"/>
      <c r="E995" s="369"/>
      <c r="F995" s="372"/>
      <c r="G995" s="372"/>
      <c r="H995" s="372"/>
      <c r="I995" s="372"/>
      <c r="J995" s="372"/>
      <c r="K995" s="369"/>
      <c r="L995" s="369"/>
      <c r="M995" s="373"/>
      <c r="N995" s="369"/>
      <c r="O995" s="369"/>
      <c r="P995" s="374"/>
      <c r="Q995" s="372"/>
      <c r="R995" s="372"/>
      <c r="S995" s="372"/>
      <c r="T995" s="372"/>
      <c r="U995" s="372"/>
      <c r="V995" s="372"/>
      <c r="W995" s="372"/>
      <c r="X995" s="372"/>
      <c r="Y995" s="372"/>
      <c r="Z995" s="372"/>
      <c r="AA995" s="372"/>
      <c r="AB995" s="372"/>
      <c r="AC995" s="372"/>
      <c r="AD995" s="372"/>
      <c r="AE995" s="372"/>
      <c r="AF995" s="372"/>
      <c r="AG995" s="372"/>
      <c r="AH995" s="372"/>
      <c r="AI995" s="372"/>
      <c r="AJ995" s="372"/>
      <c r="AK995" s="372"/>
      <c r="AL995" s="372"/>
      <c r="AM995" s="372"/>
    </row>
    <row r="996">
      <c r="A996" s="369"/>
      <c r="B996" s="369"/>
      <c r="C996" s="405"/>
      <c r="D996" s="369"/>
      <c r="E996" s="369"/>
      <c r="F996" s="372"/>
      <c r="G996" s="372"/>
      <c r="H996" s="372"/>
      <c r="I996" s="372"/>
      <c r="J996" s="372"/>
      <c r="K996" s="369"/>
      <c r="L996" s="369"/>
      <c r="M996" s="373"/>
      <c r="N996" s="369"/>
      <c r="O996" s="369"/>
      <c r="P996" s="374"/>
      <c r="Q996" s="372"/>
      <c r="R996" s="372"/>
      <c r="S996" s="372"/>
      <c r="T996" s="372"/>
      <c r="U996" s="372"/>
      <c r="V996" s="372"/>
      <c r="W996" s="372"/>
      <c r="X996" s="372"/>
      <c r="Y996" s="372"/>
      <c r="Z996" s="372"/>
      <c r="AA996" s="372"/>
      <c r="AB996" s="372"/>
      <c r="AC996" s="372"/>
      <c r="AD996" s="372"/>
      <c r="AE996" s="372"/>
      <c r="AF996" s="372"/>
      <c r="AG996" s="372"/>
      <c r="AH996" s="372"/>
      <c r="AI996" s="372"/>
      <c r="AJ996" s="372"/>
      <c r="AK996" s="372"/>
      <c r="AL996" s="372"/>
      <c r="AM996" s="372"/>
    </row>
    <row r="997">
      <c r="A997" s="369"/>
      <c r="B997" s="369"/>
      <c r="C997" s="405"/>
      <c r="D997" s="369"/>
      <c r="E997" s="369"/>
      <c r="F997" s="372"/>
      <c r="G997" s="372"/>
      <c r="H997" s="372"/>
      <c r="I997" s="372"/>
      <c r="J997" s="372"/>
      <c r="K997" s="369"/>
      <c r="L997" s="369"/>
      <c r="M997" s="373"/>
      <c r="N997" s="369"/>
      <c r="O997" s="369"/>
      <c r="P997" s="374"/>
      <c r="Q997" s="372"/>
      <c r="R997" s="372"/>
      <c r="S997" s="372"/>
      <c r="T997" s="372"/>
      <c r="U997" s="372"/>
      <c r="V997" s="372"/>
      <c r="W997" s="372"/>
      <c r="X997" s="372"/>
      <c r="Y997" s="372"/>
      <c r="Z997" s="372"/>
      <c r="AA997" s="372"/>
      <c r="AB997" s="372"/>
      <c r="AC997" s="372"/>
      <c r="AD997" s="372"/>
      <c r="AE997" s="372"/>
      <c r="AF997" s="372"/>
      <c r="AG997" s="372"/>
      <c r="AH997" s="372"/>
      <c r="AI997" s="372"/>
      <c r="AJ997" s="372"/>
      <c r="AK997" s="372"/>
      <c r="AL997" s="372"/>
      <c r="AM997" s="372"/>
    </row>
    <row r="998">
      <c r="A998" s="369"/>
      <c r="B998" s="369"/>
      <c r="C998" s="405"/>
      <c r="D998" s="369"/>
      <c r="E998" s="369"/>
      <c r="F998" s="372"/>
      <c r="G998" s="372"/>
      <c r="H998" s="372"/>
      <c r="I998" s="372"/>
      <c r="J998" s="372"/>
      <c r="K998" s="369"/>
      <c r="L998" s="369"/>
      <c r="M998" s="373"/>
      <c r="N998" s="369"/>
      <c r="O998" s="369"/>
      <c r="P998" s="374"/>
      <c r="Q998" s="372"/>
      <c r="R998" s="372"/>
      <c r="S998" s="372"/>
      <c r="T998" s="372"/>
      <c r="U998" s="372"/>
      <c r="V998" s="372"/>
      <c r="W998" s="372"/>
      <c r="X998" s="372"/>
      <c r="Y998" s="372"/>
      <c r="Z998" s="372"/>
      <c r="AA998" s="372"/>
      <c r="AB998" s="372"/>
      <c r="AC998" s="372"/>
      <c r="AD998" s="372"/>
      <c r="AE998" s="372"/>
      <c r="AF998" s="372"/>
      <c r="AG998" s="372"/>
      <c r="AH998" s="372"/>
      <c r="AI998" s="372"/>
      <c r="AJ998" s="372"/>
      <c r="AK998" s="372"/>
      <c r="AL998" s="372"/>
      <c r="AM998" s="372"/>
    </row>
    <row r="999">
      <c r="A999" s="369"/>
      <c r="B999" s="369"/>
      <c r="C999" s="405"/>
      <c r="D999" s="369"/>
      <c r="E999" s="369"/>
      <c r="F999" s="372"/>
      <c r="G999" s="372"/>
      <c r="H999" s="372"/>
      <c r="I999" s="372"/>
      <c r="J999" s="372"/>
      <c r="K999" s="369"/>
      <c r="L999" s="369"/>
      <c r="M999" s="373"/>
      <c r="N999" s="369"/>
      <c r="O999" s="369"/>
      <c r="P999" s="374"/>
      <c r="Q999" s="372"/>
      <c r="R999" s="372"/>
      <c r="S999" s="372"/>
      <c r="T999" s="372"/>
      <c r="U999" s="372"/>
      <c r="V999" s="372"/>
      <c r="W999" s="372"/>
      <c r="X999" s="372"/>
      <c r="Y999" s="372"/>
      <c r="Z999" s="372"/>
      <c r="AA999" s="372"/>
      <c r="AB999" s="372"/>
      <c r="AC999" s="372"/>
      <c r="AD999" s="372"/>
      <c r="AE999" s="372"/>
      <c r="AF999" s="372"/>
      <c r="AG999" s="372"/>
      <c r="AH999" s="372"/>
      <c r="AI999" s="372"/>
      <c r="AJ999" s="372"/>
      <c r="AK999" s="372"/>
      <c r="AL999" s="372"/>
      <c r="AM999" s="372"/>
    </row>
    <row r="1000">
      <c r="A1000" s="369"/>
      <c r="B1000" s="369"/>
      <c r="C1000" s="405"/>
      <c r="D1000" s="369"/>
      <c r="E1000" s="369"/>
      <c r="F1000" s="372"/>
      <c r="G1000" s="372"/>
      <c r="H1000" s="372"/>
      <c r="I1000" s="372"/>
      <c r="J1000" s="372"/>
      <c r="K1000" s="369"/>
      <c r="L1000" s="369"/>
      <c r="M1000" s="373"/>
      <c r="N1000" s="369"/>
      <c r="O1000" s="369"/>
      <c r="P1000" s="374"/>
      <c r="Q1000" s="372"/>
      <c r="R1000" s="372"/>
      <c r="S1000" s="372"/>
      <c r="T1000" s="372"/>
      <c r="U1000" s="372"/>
      <c r="V1000" s="372"/>
      <c r="W1000" s="372"/>
      <c r="X1000" s="372"/>
      <c r="Y1000" s="372"/>
      <c r="Z1000" s="372"/>
      <c r="AA1000" s="372"/>
      <c r="AB1000" s="372"/>
      <c r="AC1000" s="372"/>
      <c r="AD1000" s="372"/>
      <c r="AE1000" s="372"/>
      <c r="AF1000" s="372"/>
      <c r="AG1000" s="372"/>
      <c r="AH1000" s="372"/>
      <c r="AI1000" s="372"/>
      <c r="AJ1000" s="372"/>
      <c r="AK1000" s="372"/>
      <c r="AL1000" s="372"/>
      <c r="AM1000" s="372"/>
    </row>
  </sheetData>
  <autoFilter ref="$A$3:$AM$212"/>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 width="12.0"/>
    <col customWidth="1" min="3" max="3" width="15.88"/>
    <col customWidth="1" min="6" max="7" width="27.63"/>
    <col customWidth="1" min="11" max="11" width="19.88"/>
  </cols>
  <sheetData>
    <row r="1">
      <c r="A1" s="101" t="s">
        <v>236</v>
      </c>
      <c r="B1" s="101" t="s">
        <v>237</v>
      </c>
      <c r="C1" s="101" t="s">
        <v>70</v>
      </c>
    </row>
    <row r="2">
      <c r="A2" s="55" t="s">
        <v>171</v>
      </c>
      <c r="B2" s="55">
        <v>6.85979068E9</v>
      </c>
      <c r="C2" s="54">
        <v>46118.29791666667</v>
      </c>
      <c r="F2" s="55"/>
      <c r="G2" s="55" t="s">
        <v>709</v>
      </c>
      <c r="H2" s="98">
        <f t="shared" ref="H2:H29" si="1">xlookup(B2,$J$2:$J$4,$K$2:$K$4,0)</f>
        <v>0</v>
      </c>
      <c r="J2" s="55">
        <v>7.717490963E9</v>
      </c>
      <c r="K2" s="406" t="s">
        <v>710</v>
      </c>
    </row>
    <row r="3">
      <c r="A3" s="55" t="s">
        <v>711</v>
      </c>
      <c r="B3" s="55">
        <v>1.956489617E9</v>
      </c>
      <c r="C3" s="54">
        <v>46118.361805555556</v>
      </c>
      <c r="G3" s="98" t="s">
        <v>712</v>
      </c>
      <c r="H3" s="98">
        <f t="shared" si="1"/>
        <v>0</v>
      </c>
      <c r="J3" s="55">
        <v>7.892490731E9</v>
      </c>
      <c r="K3" s="407" t="s">
        <v>710</v>
      </c>
    </row>
    <row r="4">
      <c r="A4" s="55" t="s">
        <v>713</v>
      </c>
      <c r="B4" s="55">
        <v>8.261210151E9</v>
      </c>
      <c r="C4" s="54">
        <v>46118.36666666667</v>
      </c>
      <c r="F4" s="55"/>
      <c r="G4" s="55" t="s">
        <v>709</v>
      </c>
      <c r="H4" s="98">
        <f t="shared" si="1"/>
        <v>0</v>
      </c>
      <c r="K4" s="408"/>
    </row>
    <row r="5">
      <c r="A5" s="55" t="s">
        <v>197</v>
      </c>
      <c r="B5" s="55">
        <v>5.60223739E9</v>
      </c>
      <c r="C5" s="54">
        <v>46118.39791666667</v>
      </c>
      <c r="F5" s="55"/>
      <c r="G5" s="55" t="s">
        <v>709</v>
      </c>
      <c r="H5" s="98">
        <f t="shared" si="1"/>
        <v>0</v>
      </c>
      <c r="K5" s="408"/>
    </row>
    <row r="6">
      <c r="A6" s="55" t="s">
        <v>714</v>
      </c>
      <c r="B6" s="55">
        <v>8.736422145E9</v>
      </c>
      <c r="C6" s="54">
        <v>46118.39791666667</v>
      </c>
      <c r="F6" s="55"/>
      <c r="G6" s="55" t="s">
        <v>709</v>
      </c>
      <c r="H6" s="98">
        <f t="shared" si="1"/>
        <v>0</v>
      </c>
    </row>
    <row r="7">
      <c r="A7" s="55" t="s">
        <v>715</v>
      </c>
      <c r="B7" s="55">
        <v>1.728528589E9</v>
      </c>
      <c r="C7" s="54">
        <v>46118.48888888889</v>
      </c>
      <c r="F7" s="55"/>
      <c r="G7" s="55" t="s">
        <v>709</v>
      </c>
      <c r="H7" s="98">
        <f t="shared" si="1"/>
        <v>0</v>
      </c>
    </row>
    <row r="8">
      <c r="A8" s="55" t="s">
        <v>716</v>
      </c>
      <c r="B8" s="55">
        <v>7.822653479E9</v>
      </c>
      <c r="C8" s="54">
        <v>46118.489583333336</v>
      </c>
      <c r="F8" s="55"/>
      <c r="G8" s="55" t="s">
        <v>709</v>
      </c>
      <c r="H8" s="98">
        <f t="shared" si="1"/>
        <v>0</v>
      </c>
    </row>
    <row r="9">
      <c r="A9" s="55" t="s">
        <v>717</v>
      </c>
      <c r="B9" s="55">
        <v>7.237034356E9</v>
      </c>
      <c r="C9" s="54">
        <v>46118.490277777775</v>
      </c>
      <c r="G9" s="98" t="s">
        <v>712</v>
      </c>
      <c r="H9" s="98">
        <f t="shared" si="1"/>
        <v>0</v>
      </c>
    </row>
    <row r="10">
      <c r="A10" s="55" t="s">
        <v>718</v>
      </c>
      <c r="B10" s="55">
        <v>1.83227873E9</v>
      </c>
      <c r="C10" s="54">
        <v>46118.50208333333</v>
      </c>
      <c r="G10" s="98" t="s">
        <v>712</v>
      </c>
      <c r="H10" s="98">
        <f t="shared" si="1"/>
        <v>0</v>
      </c>
    </row>
    <row r="11">
      <c r="A11" s="55" t="s">
        <v>719</v>
      </c>
      <c r="B11" s="55">
        <v>5.779222454E9</v>
      </c>
      <c r="C11" s="54">
        <v>46118.51388888889</v>
      </c>
      <c r="F11" s="55"/>
      <c r="G11" s="55" t="s">
        <v>720</v>
      </c>
      <c r="H11" s="98">
        <f t="shared" si="1"/>
        <v>0</v>
      </c>
    </row>
    <row r="12">
      <c r="A12" s="55" t="s">
        <v>721</v>
      </c>
      <c r="B12" s="55">
        <v>6.234932607E9</v>
      </c>
      <c r="C12" s="54">
        <v>46118.52291666667</v>
      </c>
      <c r="G12" s="98" t="s">
        <v>712</v>
      </c>
      <c r="H12" s="98">
        <f t="shared" si="1"/>
        <v>0</v>
      </c>
    </row>
    <row r="13">
      <c r="A13" s="55" t="s">
        <v>722</v>
      </c>
      <c r="B13" s="55">
        <v>6.361576236E9</v>
      </c>
      <c r="C13" s="54">
        <v>46118.55138888889</v>
      </c>
      <c r="F13" s="55"/>
      <c r="G13" s="55" t="s">
        <v>709</v>
      </c>
      <c r="H13" s="98">
        <f t="shared" si="1"/>
        <v>0</v>
      </c>
    </row>
    <row r="14">
      <c r="A14" s="55" t="s">
        <v>723</v>
      </c>
      <c r="B14" s="55">
        <v>7.772056124E9</v>
      </c>
      <c r="C14" s="54">
        <v>46118.55416666667</v>
      </c>
      <c r="F14" s="55"/>
      <c r="G14" s="55" t="s">
        <v>709</v>
      </c>
      <c r="H14" s="98">
        <f t="shared" si="1"/>
        <v>0</v>
      </c>
    </row>
    <row r="15">
      <c r="A15" s="55" t="s">
        <v>724</v>
      </c>
      <c r="B15" s="55">
        <v>5.291733181E9</v>
      </c>
      <c r="C15" s="54">
        <v>46118.677777777775</v>
      </c>
      <c r="F15" s="55"/>
      <c r="G15" s="55" t="s">
        <v>709</v>
      </c>
      <c r="H15" s="98">
        <f t="shared" si="1"/>
        <v>0</v>
      </c>
    </row>
    <row r="16">
      <c r="A16" s="55" t="s">
        <v>725</v>
      </c>
      <c r="B16" s="55">
        <v>6.558915011E9</v>
      </c>
      <c r="C16" s="54">
        <v>46118.68125</v>
      </c>
      <c r="F16" s="55"/>
      <c r="G16" s="55" t="s">
        <v>709</v>
      </c>
      <c r="H16" s="98">
        <f t="shared" si="1"/>
        <v>0</v>
      </c>
    </row>
    <row r="17">
      <c r="A17" s="55" t="s">
        <v>726</v>
      </c>
      <c r="B17" s="55">
        <v>7.717490963E9</v>
      </c>
      <c r="C17" s="54">
        <v>46118.74166666667</v>
      </c>
      <c r="F17" s="55"/>
      <c r="G17" s="55" t="s">
        <v>710</v>
      </c>
      <c r="H17" s="98" t="str">
        <f t="shared" si="1"/>
        <v>❌ Bad Request: chat not found</v>
      </c>
    </row>
    <row r="18">
      <c r="A18" s="55" t="s">
        <v>727</v>
      </c>
      <c r="B18" s="55">
        <v>8.363411386E9</v>
      </c>
      <c r="C18" s="54">
        <v>46118.74166666667</v>
      </c>
      <c r="G18" s="98" t="s">
        <v>712</v>
      </c>
      <c r="H18" s="98">
        <f t="shared" si="1"/>
        <v>0</v>
      </c>
    </row>
    <row r="19">
      <c r="A19" s="55" t="s">
        <v>728</v>
      </c>
      <c r="B19" s="55">
        <v>6.681796896E9</v>
      </c>
      <c r="C19" s="54">
        <v>46118.74444444444</v>
      </c>
      <c r="F19" s="55"/>
      <c r="G19" s="55" t="s">
        <v>709</v>
      </c>
      <c r="H19" s="98">
        <f t="shared" si="1"/>
        <v>0</v>
      </c>
    </row>
    <row r="20">
      <c r="A20" s="55" t="s">
        <v>729</v>
      </c>
      <c r="B20" s="55">
        <v>1.760645053E9</v>
      </c>
      <c r="C20" s="54">
        <v>46118.756944444445</v>
      </c>
      <c r="F20" s="55"/>
      <c r="G20" s="55" t="s">
        <v>709</v>
      </c>
      <c r="H20" s="98">
        <f t="shared" si="1"/>
        <v>0</v>
      </c>
    </row>
    <row r="21">
      <c r="A21" s="55" t="s">
        <v>195</v>
      </c>
      <c r="B21" s="55">
        <v>8.653753857E9</v>
      </c>
      <c r="C21" s="54">
        <v>46148.37777777778</v>
      </c>
      <c r="F21" s="55"/>
      <c r="G21" s="55" t="s">
        <v>709</v>
      </c>
      <c r="H21" s="98">
        <f t="shared" si="1"/>
        <v>0</v>
      </c>
    </row>
    <row r="22">
      <c r="A22" s="55" t="s">
        <v>730</v>
      </c>
      <c r="B22" s="55">
        <v>6.132505154E9</v>
      </c>
      <c r="C22" s="54">
        <v>46148.40902777778</v>
      </c>
      <c r="F22" s="55"/>
      <c r="G22" s="55" t="s">
        <v>709</v>
      </c>
      <c r="H22" s="98">
        <f t="shared" si="1"/>
        <v>0</v>
      </c>
    </row>
    <row r="23">
      <c r="A23" s="55" t="s">
        <v>731</v>
      </c>
      <c r="B23" s="55">
        <v>8.540261626E9</v>
      </c>
      <c r="C23" s="54">
        <v>46148.575</v>
      </c>
      <c r="F23" s="55"/>
      <c r="G23" s="55" t="s">
        <v>709</v>
      </c>
      <c r="H23" s="98">
        <f t="shared" si="1"/>
        <v>0</v>
      </c>
    </row>
    <row r="24">
      <c r="A24" s="55" t="s">
        <v>193</v>
      </c>
      <c r="B24" s="409">
        <v>1.672525126E9</v>
      </c>
      <c r="C24" s="54">
        <v>46148.64791666667</v>
      </c>
      <c r="F24" s="55"/>
      <c r="G24" s="55" t="s">
        <v>732</v>
      </c>
      <c r="H24" s="98">
        <f t="shared" si="1"/>
        <v>0</v>
      </c>
    </row>
    <row r="25">
      <c r="A25" s="55" t="s">
        <v>733</v>
      </c>
      <c r="B25" s="409">
        <v>8.5974569E9</v>
      </c>
      <c r="C25" s="54">
        <v>46148.68819444445</v>
      </c>
      <c r="F25" s="55"/>
      <c r="G25" s="55" t="s">
        <v>720</v>
      </c>
      <c r="H25" s="98">
        <f t="shared" si="1"/>
        <v>0</v>
      </c>
    </row>
    <row r="26">
      <c r="A26" s="55" t="s">
        <v>734</v>
      </c>
      <c r="B26" s="55">
        <v>6.555381983E9</v>
      </c>
      <c r="C26" s="54">
        <v>46148.85208333333</v>
      </c>
      <c r="F26" s="55"/>
      <c r="G26" s="55" t="s">
        <v>732</v>
      </c>
      <c r="H26" s="98">
        <f t="shared" si="1"/>
        <v>0</v>
      </c>
    </row>
    <row r="27">
      <c r="A27" s="55" t="s">
        <v>735</v>
      </c>
      <c r="B27" s="55">
        <v>8.724936487E9</v>
      </c>
      <c r="C27" s="54">
        <v>46271.433333333334</v>
      </c>
      <c r="G27" s="55" t="s">
        <v>732</v>
      </c>
      <c r="H27" s="98">
        <f t="shared" si="1"/>
        <v>0</v>
      </c>
    </row>
    <row r="28">
      <c r="A28" s="55" t="s">
        <v>736</v>
      </c>
      <c r="B28" s="55">
        <v>7.892490731E9</v>
      </c>
      <c r="C28" s="54">
        <v>46271.589583333334</v>
      </c>
      <c r="G28" s="55" t="s">
        <v>710</v>
      </c>
      <c r="H28" s="98" t="str">
        <f t="shared" si="1"/>
        <v>❌ Bad Request: chat not found</v>
      </c>
    </row>
    <row r="29">
      <c r="A29" s="55" t="s">
        <v>737</v>
      </c>
      <c r="B29" s="55">
        <v>8.101548354E9</v>
      </c>
      <c r="C29" s="54">
        <v>46301.51388888889</v>
      </c>
      <c r="G29" s="55" t="s">
        <v>732</v>
      </c>
      <c r="H29" s="98">
        <f t="shared" si="1"/>
        <v>0</v>
      </c>
    </row>
    <row r="30">
      <c r="A30" s="55" t="s">
        <v>738</v>
      </c>
      <c r="B30" s="55">
        <v>5.97754012E9</v>
      </c>
      <c r="C30" s="54">
        <v>46332.370833333334</v>
      </c>
      <c r="G30" s="55" t="s">
        <v>732</v>
      </c>
    </row>
    <row r="31">
      <c r="A31" s="55" t="s">
        <v>26</v>
      </c>
      <c r="B31" s="55">
        <v>7.423623114E9</v>
      </c>
      <c r="C31" s="54">
        <v>46362.87222222222</v>
      </c>
      <c r="G31" s="55" t="s">
        <v>732</v>
      </c>
    </row>
    <row r="32">
      <c r="A32" s="55" t="s">
        <v>739</v>
      </c>
      <c r="B32" s="55">
        <v>7.841929216E9</v>
      </c>
      <c r="C32" s="55" t="s">
        <v>740</v>
      </c>
    </row>
  </sheetData>
  <autoFilter ref="$A$1:$AA$32"/>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55.63"/>
    <col customWidth="1" min="3" max="4" width="6.25"/>
    <col customWidth="1" min="6" max="6" width="17.38"/>
    <col customWidth="1" min="8" max="44" width="50.75"/>
  </cols>
  <sheetData>
    <row r="1">
      <c r="A1" s="410" t="str">
        <f>IFERROR(__xludf.DUMMYFUNCTION("query(IMPORTRANGE(""https://docs.google.com/spreadsheets/d/1Nzs-aazweM7FII83T5z0Sz18QX-iEFZD-F811MYQF1g/edit?gid=613746726#gid=613746726"",""WoList input!V:BK""),""select Col1,Col4, Col17, Col41, Col42,Col13 where Col35=1 order by Col13 asc"")"),"MYTEL VIETTEL MYANMAR  Wo List  Export time: 02/07/2026 16:57:20")</f>
        <v>MYTEL VIETTEL MYANMAR  Wo List  Export time: 02/07/2026 16:57:20</v>
      </c>
      <c r="B1" s="410" t="str">
        <f>IFERROR(__xludf.DUMMYFUNCTION("""COMPUTED_VALUE"""),"     ")</f>
        <v>     </v>
      </c>
      <c r="C1" s="410" t="str">
        <f>IFERROR(__xludf.DUMMYFUNCTION("""COMPUTED_VALUE"""),"     ")</f>
        <v>     </v>
      </c>
      <c r="D1" s="410" t="str">
        <f>IFERROR(__xludf.DUMMYFUNCTION("""COMPUTED_VALUE"""),"     ")</f>
        <v>     </v>
      </c>
      <c r="E1" s="410" t="str">
        <f>IFERROR(__xludf.DUMMYFUNCTION("""COMPUTED_VALUE"""),"     ")</f>
        <v>     </v>
      </c>
      <c r="F1" s="410" t="str">
        <f>IFERROR(__xludf.DUMMYFUNCTION("""COMPUTED_VALUE"""),"     ")</f>
        <v>     </v>
      </c>
      <c r="H1" s="411" t="str">
        <f>IFERROR(__xludf.DUMMYFUNCTION("IMPORTRANGE(""https://docs.google.com/spreadsheets/d/1Nzs-aazweM7FII83T5z0Sz18QX-iEFZD-F811MYQF1g/edit?gid=173700764#gid=173700764"",""Team 1 Wo Remain!A:AA"")"),"Cable_route_Patrol_BB")</f>
        <v>Cable_route_Patrol_BB</v>
      </c>
      <c r="I1" s="411" t="str">
        <f>IFERROR(__xludf.DUMMYFUNCTION("""COMPUTED_VALUE"""),"Cable_route_Patrol_AC")</f>
        <v>Cable_route_Patrol_AC</v>
      </c>
      <c r="J1" s="411" t="str">
        <f>IFERROR(__xludf.DUMMYFUNCTION("""COMPUTED_VALUE"""),"Cable_route_Measure_AC")</f>
        <v>Cable_route_Measure_AC</v>
      </c>
      <c r="K1" s="411" t="str">
        <f>IFERROR(__xludf.DUMMYFUNCTION("""COMPUTED_VALUE"""),"Cable_route_Measure_BB")</f>
        <v>Cable_route_Measure_BB</v>
      </c>
      <c r="L1" s="411" t="str">
        <f>IFERROR(__xludf.DUMMYFUNCTION("""COMPUTED_VALUE"""),"Maintenance_Main_Station")</f>
        <v>Maintenance_Main_Station</v>
      </c>
      <c r="M1" s="411" t="str">
        <f>IFERROR(__xludf.DUMMYFUNCTION("""COMPUTED_VALUE"""),"Maintenance_Mytel_Station")</f>
        <v>Maintenance_Mytel_Station</v>
      </c>
      <c r="N1" s="411" t="str">
        <f>IFERROR(__xludf.DUMMYFUNCTION("""COMPUTED_VALUE"""),"Maintenance_Towerco_Station")</f>
        <v>Maintenance_Towerco_Station</v>
      </c>
      <c r="O1" s="411" t="str">
        <f>IFERROR(__xludf.DUMMYFUNCTION("""COMPUTED_VALUE"""),"Routine_Station_Inspection")</f>
        <v>Routine_Station_Inspection</v>
      </c>
      <c r="P1" s="411" t="str">
        <f>IFERROR(__xludf.DUMMYFUNCTION("""COMPUTED_VALUE"""),"Bảo dưỡng hạ tầng nh")</f>
        <v>Bảo dưỡng hạ tầng nh</v>
      </c>
      <c r="Q1" s="412" t="str">
        <f>IFERROR(__xludf.DUMMYFUNCTION("""COMPUTED_VALUE"""),"Sửa chữa hạ tầng m")</f>
        <v>Sửa chữa hạ tầng m</v>
      </c>
      <c r="R1" s="413" t="str">
        <f>IFERROR(__xludf.DUMMYFUNCTION("""COMPUTED_VALUE"""),"Repair infrastruct")</f>
        <v>Repair infrastruct</v>
      </c>
      <c r="S1" s="412" t="str">
        <f>IFERROR(__xludf.DUMMYFUNCTION("""COMPUTED_VALUE"""),"VCM_OTDR &amp; Splicer")</f>
        <v>VCM_OTDR &amp; Splicer</v>
      </c>
      <c r="T1" s="411" t="str">
        <f>IFERROR(__xludf.DUMMYFUNCTION("""COMPUTED_VALUE"""),"VCM_TOOL")</f>
        <v>VCM_TOOL</v>
      </c>
      <c r="U1" s="411" t="str">
        <f>IFERROR(__xludf.DUMMYFUNCTION("""COMPUTED_VALUE"""),"5s and W")</f>
        <v>5s and W</v>
      </c>
      <c r="V1" s="411" t="str">
        <f>IFERROR(__xludf.DUMMYFUNCTION("""COMPUTED_VALUE"""),"CR_NORMAL_TRANSMISSION")</f>
        <v>CR_NORMAL_TRANSMISSION</v>
      </c>
      <c r="W1" s="411" t="str">
        <f>IFERROR(__xludf.DUMMYFUNCTION("""COMPUTED_VALUE"""),"FTTH")</f>
        <v>FTTH</v>
      </c>
      <c r="X1" s="411" t="str">
        <f>IFERROR(__xludf.DUMMYFUNCTION("""COMPUTED_VALUE"""),"DWDM")</f>
        <v>DWDM</v>
      </c>
      <c r="Y1" s="411" t="str">
        <f>IFERROR(__xludf.DUMMYFUNCTION("""COMPUTED_VALUE"""),"IP")</f>
        <v>IP</v>
      </c>
      <c r="Z1" s="411" t="str">
        <f>IFERROR(__xludf.DUMMYFUNCTION("""COMPUTED_VALUE"""),"- SR 2")</f>
        <v>- SR 2</v>
      </c>
      <c r="AA1" s="411" t="str">
        <f>IFERROR(__xludf.DUMMYFUNCTION("""COMPUTED_VALUE"""),"SN")</f>
        <v>SN</v>
      </c>
      <c r="AB1" s="411" t="str">
        <f>IFERROR(__xludf.DUMMYFUNCTION("""COMPUTED_VALUE"""),"Maintenacne_Solar")</f>
        <v>Maintenacne_Solar</v>
      </c>
      <c r="AC1" s="411" t="str">
        <f>IFERROR(__xludf.DUMMYFUNCTION("""COMPUTED_VALUE"""),"Solar Power System")</f>
        <v>Solar Power System</v>
      </c>
      <c r="AD1" s="411" t="str">
        <f>IFERROR(__xludf.DUMMYFUNCTION("""COMPUTED_VALUE"""),"Maintenance_Clean_Water")</f>
        <v>Maintenance_Clean_Water</v>
      </c>
      <c r="AE1" s="411" t="str">
        <f>IFERROR(__xludf.DUMMYFUNCTION("""COMPUTED_VALUE"""),"Maintenance_Generator")</f>
        <v>Maintenance_Generator</v>
      </c>
      <c r="AF1" s="411" t="str">
        <f>IFERROR(__xludf.DUMMYFUNCTION("""COMPUTED_VALUE"""),"Generator Fuel Monitoring")</f>
        <v>Generator Fuel Monitoring</v>
      </c>
      <c r="AG1" s="411" t="str">
        <f>IFERROR(__xludf.DUMMYFUNCTION("""COMPUTED_VALUE"""),"Swap with")</f>
        <v>Swap with</v>
      </c>
      <c r="AH1" s="414" t="str">
        <f>IFERROR(__xludf.DUMMYFUNCTION("""COMPUTED_VALUE"""),"VCM_MDG")</f>
        <v>VCM_MDG</v>
      </c>
      <c r="AI1" s="414"/>
      <c r="AJ1" s="414"/>
      <c r="AK1" s="414"/>
      <c r="AL1" s="414"/>
      <c r="AM1" s="414"/>
      <c r="AN1" s="414"/>
      <c r="AO1" s="414"/>
      <c r="AP1" s="414"/>
      <c r="AQ1" s="414"/>
      <c r="AR1" s="414"/>
    </row>
    <row r="2">
      <c r="A2" s="410" t="str">
        <f>IFERROR(__xludf.DUMMYFUNCTION("""COMPUTED_VALUE"""),"WO_WFM-OTHERS_20260701_123693545")</f>
        <v>WO_WFM-OTHERS_20260701_123693545</v>
      </c>
      <c r="B2" s="410" t="str">
        <f>IFERROR(__xludf.DUMMYFUNCTION("""COMPUTED_VALUE"""),"IP : TNI0213SRT001-TNI0430SRT001 link down at 29/06/2026 21:23:00")</f>
        <v>IP : TNI0213SRT001-TNI0430SRT001 link down at 29/06/2026 21:23:00</v>
      </c>
      <c r="C2" s="410">
        <f>IFERROR(__xludf.DUMMYFUNCTION("""COMPUTED_VALUE"""),5.55)</f>
        <v>5.55</v>
      </c>
      <c r="D2" s="410" t="str">
        <f>IFERROR(__xludf.DUMMYFUNCTION("""COMPUTED_VALUE"""),"T1")</f>
        <v>T1</v>
      </c>
      <c r="E2" s="410" t="str">
        <f>IFERROR(__xludf.DUMMYFUNCTION("""COMPUTED_VALUE"""),"TNI0213")</f>
        <v>TNI0213</v>
      </c>
      <c r="F2" s="410"/>
      <c r="H2" s="415">
        <f>IFERROR(__xludf.DUMMYFUNCTION("""COMPUTED_VALUE"""),1.0)</f>
        <v>1</v>
      </c>
      <c r="I2" s="415">
        <f>IFERROR(__xludf.DUMMYFUNCTION("""COMPUTED_VALUE"""),2.0)</f>
        <v>2</v>
      </c>
      <c r="J2" s="415">
        <f>IFERROR(__xludf.DUMMYFUNCTION("""COMPUTED_VALUE"""),3.0)</f>
        <v>3</v>
      </c>
      <c r="K2" s="415">
        <f>IFERROR(__xludf.DUMMYFUNCTION("""COMPUTED_VALUE"""),4.0)</f>
        <v>4</v>
      </c>
      <c r="L2" s="415">
        <f>IFERROR(__xludf.DUMMYFUNCTION("""COMPUTED_VALUE"""),5.0)</f>
        <v>5</v>
      </c>
      <c r="M2" s="415">
        <f>IFERROR(__xludf.DUMMYFUNCTION("""COMPUTED_VALUE"""),6.0)</f>
        <v>6</v>
      </c>
      <c r="N2" s="415">
        <f>IFERROR(__xludf.DUMMYFUNCTION("""COMPUTED_VALUE"""),7.0)</f>
        <v>7</v>
      </c>
      <c r="O2" s="415">
        <f>IFERROR(__xludf.DUMMYFUNCTION("""COMPUTED_VALUE"""),8.0)</f>
        <v>8</v>
      </c>
      <c r="P2" s="415">
        <f>IFERROR(__xludf.DUMMYFUNCTION("""COMPUTED_VALUE"""),9.0)</f>
        <v>9</v>
      </c>
      <c r="Q2" s="416">
        <f>IFERROR(__xludf.DUMMYFUNCTION("""COMPUTED_VALUE"""),10.0)</f>
        <v>10</v>
      </c>
      <c r="R2" s="416">
        <f>IFERROR(__xludf.DUMMYFUNCTION("""COMPUTED_VALUE"""),11.0)</f>
        <v>11</v>
      </c>
      <c r="S2" s="416">
        <f>IFERROR(__xludf.DUMMYFUNCTION("""COMPUTED_VALUE"""),12.0)</f>
        <v>12</v>
      </c>
      <c r="T2" s="415">
        <f>IFERROR(__xludf.DUMMYFUNCTION("""COMPUTED_VALUE"""),13.0)</f>
        <v>13</v>
      </c>
      <c r="U2" s="415">
        <f>IFERROR(__xludf.DUMMYFUNCTION("""COMPUTED_VALUE"""),14.0)</f>
        <v>14</v>
      </c>
      <c r="V2" s="415">
        <f>IFERROR(__xludf.DUMMYFUNCTION("""COMPUTED_VALUE"""),15.0)</f>
        <v>15</v>
      </c>
      <c r="W2" s="415">
        <f>IFERROR(__xludf.DUMMYFUNCTION("""COMPUTED_VALUE"""),16.0)</f>
        <v>16</v>
      </c>
      <c r="X2" s="415">
        <f>IFERROR(__xludf.DUMMYFUNCTION("""COMPUTED_VALUE"""),17.0)</f>
        <v>17</v>
      </c>
      <c r="Y2" s="415">
        <f>IFERROR(__xludf.DUMMYFUNCTION("""COMPUTED_VALUE"""),18.0)</f>
        <v>18</v>
      </c>
      <c r="Z2" s="415">
        <f>IFERROR(__xludf.DUMMYFUNCTION("""COMPUTED_VALUE"""),19.0)</f>
        <v>19</v>
      </c>
      <c r="AA2" s="415">
        <f>IFERROR(__xludf.DUMMYFUNCTION("""COMPUTED_VALUE"""),20.0)</f>
        <v>20</v>
      </c>
      <c r="AB2" s="415">
        <f>IFERROR(__xludf.DUMMYFUNCTION("""COMPUTED_VALUE"""),21.0)</f>
        <v>21</v>
      </c>
      <c r="AC2" s="415">
        <f>IFERROR(__xludf.DUMMYFUNCTION("""COMPUTED_VALUE"""),22.0)</f>
        <v>22</v>
      </c>
      <c r="AD2" s="415">
        <f>IFERROR(__xludf.DUMMYFUNCTION("""COMPUTED_VALUE"""),23.0)</f>
        <v>23</v>
      </c>
      <c r="AE2" s="415">
        <f>IFERROR(__xludf.DUMMYFUNCTION("""COMPUTED_VALUE"""),24.0)</f>
        <v>24</v>
      </c>
      <c r="AF2" s="415">
        <f>IFERROR(__xludf.DUMMYFUNCTION("""COMPUTED_VALUE"""),25.0)</f>
        <v>25</v>
      </c>
      <c r="AG2" s="415">
        <f>IFERROR(__xludf.DUMMYFUNCTION("""COMPUTED_VALUE"""),26.0)</f>
        <v>26</v>
      </c>
      <c r="AH2" s="417">
        <f>IFERROR(__xludf.DUMMYFUNCTION("""COMPUTED_VALUE"""),27.0)</f>
        <v>27</v>
      </c>
      <c r="AI2" s="417"/>
      <c r="AJ2" s="417"/>
      <c r="AK2" s="417"/>
      <c r="AL2" s="417"/>
      <c r="AM2" s="417"/>
      <c r="AN2" s="417"/>
      <c r="AO2" s="417"/>
      <c r="AP2" s="417"/>
      <c r="AQ2" s="417"/>
      <c r="AR2" s="417"/>
    </row>
    <row r="3">
      <c r="A3" s="410" t="str">
        <f>IFERROR(__xludf.DUMMYFUNCTION("""COMPUTED_VALUE"""),"WO_WFM-OTHERS_20260628_123663529")</f>
        <v>WO_WFM-OTHERS_20260628_123663529</v>
      </c>
      <c r="B3" s="410" t="str">
        <f>IFERROR(__xludf.DUMMYFUNCTION("""COMPUTED_VALUE"""),"IP : TNI0188SRT001-TNI0330SRT001 link down at 27/06/2026 09:08:00")</f>
        <v>IP : TNI0188SRT001-TNI0330SRT001 link down at 27/06/2026 09:08:00</v>
      </c>
      <c r="C3" s="410">
        <f>IFERROR(__xludf.DUMMYFUNCTION("""COMPUTED_VALUE"""),-65.45)</f>
        <v>-65.45</v>
      </c>
      <c r="D3" s="410" t="str">
        <f>IFERROR(__xludf.DUMMYFUNCTION("""COMPUTED_VALUE"""),"T1")</f>
        <v>T1</v>
      </c>
      <c r="E3" s="410" t="str">
        <f>IFERROR(__xludf.DUMMYFUNCTION("""COMPUTED_VALUE"""),"TNI0188")</f>
        <v>TNI0188</v>
      </c>
      <c r="F3" s="410"/>
      <c r="H3" s="269" t="str">
        <f>IFERROR(__xludf.DUMMYFUNCTION("""COMPUTED_VALUE"""),"WO_WFM-OTHERS_20260625_123634105 *=* Cable Patrol for (BB)-TNI0013-TNI0005 *=* myt_bonemyat.naing1 *=* 439.03 Hour")</f>
        <v>WO_WFM-OTHERS_20260625_123634105 *=* Cable Patrol for (BB)-TNI0013-TNI0005 *=* myt_bonemyat.naing1 *=* 439.03 Hour</v>
      </c>
      <c r="I3" s="269" t="str">
        <f>IFERROR(__xludf.DUMMYFUNCTION("""COMPUTED_VALUE"""),"WO_WFM-OTHERS_20260625_123634106 *=* Cable Patrol for (AC)-TNI0115-TNI0275 *=* myt_bhonehtet.aung *=* 439.03 Hour")</f>
        <v>WO_WFM-OTHERS_20260625_123634106 *=* Cable Patrol for (AC)-TNI0115-TNI0275 *=* myt_bhonehtet.aung *=* 439.03 Hour</v>
      </c>
      <c r="J3" s="269" t="str">
        <f>IFERROR(__xludf.DUMMYFUNCTION("""COMPUTED_VALUE"""),"WO_WFM-OTHERS_20260623_123613115 *=* Cable routes measure-AC-TNI0273-TNIM063 *=* myt_bonemyat.naing1 *=* 439.03 Hour")</f>
        <v>WO_WFM-OTHERS_20260623_123613115 *=* Cable routes measure-AC-TNI0273-TNIM063 *=* myt_bonemyat.naing1 *=* 439.03 Hour</v>
      </c>
      <c r="K3" s="269" t="str">
        <f>IFERROR(__xludf.DUMMYFUNCTION("""COMPUTED_VALUE"""),"WO_WFM-OTHERS_20260623_123613097 *=* Cable routes measure-BB-TNI0006-TNI0013 *=* myt_bonemyat.naing1 *=* 439.03 Hour")</f>
        <v>WO_WFM-OTHERS_20260623_123613097 *=* Cable routes measure-BB-TNI0006-TNI0013 *=* myt_bonemyat.naing1 *=* 439.03 Hour</v>
      </c>
      <c r="L3" s="269" t="str">
        <f>IFERROR(__xludf.DUMMYFUNCTION("""COMPUTED_VALUE"""),"WO_ICMS_20260623_123613512 *=* TNI0011 MYT_Routine_Maintenance_Main_Station MYT_RTE_MTE_MAIN_STN *=* myt_aungthin.mya *=* 502.17 Hour")</f>
        <v>WO_ICMS_20260623_123613512 *=* TNI0011 MYT_Routine_Maintenance_Main_Station MYT_RTE_MTE_MAIN_STN *=* myt_aungthin.mya *=* 502.17 Hour</v>
      </c>
      <c r="M3" s="269" t="str">
        <f>IFERROR(__xludf.DUMMYFUNCTION("""COMPUTED_VALUE"""),"WO_ICMS_20260623_123615127 *=* TNI0069 MYT_Routine_Maintenance_Mytel_Station MYT_RTE_MTE_SB_STN *=* myt_phyoko.ko44 *=* 886.64 Hour")</f>
        <v>WO_ICMS_20260623_123615127 *=* TNI0069 MYT_Routine_Maintenance_Mytel_Station MYT_RTE_MTE_SB_STN *=* myt_phyoko.ko44 *=* 886.64 Hour</v>
      </c>
      <c r="N3" s="269" t="str">
        <f>IFERROR(__xludf.DUMMYFUNCTION("""COMPUTED_VALUE"""),"WO_ICMS_20260623_123611327 *=* TNI0018 MYT_Routine_Maintenance_Towerco_Station MYT_RTE_MTE_TCO_STN *=* myt_phyoko.ko44 *=* 882.55 Hour")</f>
        <v>WO_ICMS_20260623_123611327 *=* TNI0018 MYT_Routine_Maintenance_Towerco_Station MYT_RTE_MTE_TCO_STN *=* myt_phyoko.ko44 *=* 882.55 Hour</v>
      </c>
      <c r="O3" s="269" t="str">
        <f>IFERROR(__xludf.DUMMYFUNCTION("""COMPUTED_VALUE"""),"#N/A")</f>
        <v>#N/A</v>
      </c>
      <c r="P3" s="269" t="str">
        <f>IFERROR(__xludf.DUMMYFUNCTION("""COMPUTED_VALUE"""),"WO_QLCTKT_20260615_123533525 *=* TNI0013 Bảo dưỡng hạ tầng nhà trạm *=* myt_bonemyat.naing1 *=* -263.98 Hour")</f>
        <v>WO_QLCTKT_20260615_123533525 *=* TNI0013 Bảo dưỡng hạ tầng nhà trạm *=* myt_bonemyat.naing1 *=* -263.98 Hour</v>
      </c>
      <c r="Q3" s="269" t="str">
        <f>IFERROR(__xludf.DUMMYFUNCTION("""COMPUTED_VALUE"""),"WO_QLCTKT_20260605_123449662 *=* TNI0271 - Sửa chữa hạ tầng mạng lưới - bla: Prevent insect, mause, squirrel attack: Cover all cable hole , gaps of room, door, cabinet, ODF *=* myt_bhonehtet.aung *=* -581.76 Hour")</f>
        <v>WO_QLCTKT_20260605_123449662 *=* TNI0271 - Sửa chữa hạ tầng mạng lưới - bla: Prevent insect, mause, squirrel attack: Cover all cable hole , gaps of room, door, cabinet, ODF *=* myt_bhonehtet.aung *=* -581.76 Hour</v>
      </c>
      <c r="R3" s="269" t="str">
        <f>IFERROR(__xludf.DUMMYFUNCTION("""COMPUTED_VALUE"""),"WO_QLCTKT_20260626_123641952 *=* TNI0220 - Repair infrastructure - bla: Cleaning the station, remove grass, vines, tree, rubbish, recall unused equipment, material: Clean the station *=* myt_tharhtoo.aung11 *=* 16.96 Hour")</f>
        <v>WO_QLCTKT_20260626_123641952 *=* TNI0220 - Repair infrastructure - bla: Cleaning the station, remove grass, vines, tree, rubbish, recall unused equipment, material: Clean the station *=* myt_tharhtoo.aung11 *=* 16.96 Hour</v>
      </c>
      <c r="S3" s="269" t="str">
        <f>IFERROR(__xludf.DUMMYFUNCTION("""COMPUTED_VALUE"""),"#N/A")</f>
        <v>#N/A</v>
      </c>
      <c r="T3" s="269" t="str">
        <f>IFERROR(__xludf.DUMMYFUNCTION("""COMPUTED_VALUE"""),"#N/A")</f>
        <v>#N/A</v>
      </c>
      <c r="U3" s="269" t="str">
        <f>IFERROR(__xludf.DUMMYFUNCTION("""COMPUTED_VALUE"""),"WO_WFM-FT_20260615_123531840 *=* 5s &amp; WH inventory file for TNI_ team 01 *=*  *=* -233.45 Hour")</f>
        <v>WO_WFM-FT_20260615_123531840 *=* 5s &amp; WH inventory file for TNI_ team 01 *=*  *=* -233.45 Hour</v>
      </c>
      <c r="V3" s="269" t="str">
        <f>IFERROR(__xludf.DUMMYFUNCTION("""COMPUTED_VALUE"""),"#N/A")</f>
        <v>#N/A</v>
      </c>
      <c r="W3" s="269" t="str">
        <f>IFERROR(__xludf.DUMMYFUNCTION("""COMPUTED_VALUE"""),"WO_WFM-FT_20260615_123532984 *=* FTTH : TNI0275OLT001 Slot 3 port 7 was down 6/15/2026 15:30 *=*  *=* -312.95 Hour")</f>
        <v>WO_WFM-FT_20260615_123532984 *=* FTTH : TNI0275OLT001 Slot 3 port 7 was down 6/15/2026 15:30 *=*  *=* -312.95 Hour</v>
      </c>
      <c r="X3" s="269" t="str">
        <f>IFERROR(__xludf.DUMMYFUNCTION("""COMPUTED_VALUE"""),"#N/A")</f>
        <v>#N/A</v>
      </c>
      <c r="Y3" s="269" t="str">
        <f>IFERROR(__xludf.DUMMYFUNCTION("""COMPUTED_VALUE"""),"WO_WFM-OTHERS_20260701_123693545 *=* IP : TNI0213SRT001-TNI0430SRT001 link down at 29/06/2026 21:23:00 *=*  *=* 5.55 Hour")</f>
        <v>WO_WFM-OTHERS_20260701_123693545 *=* IP : TNI0213SRT001-TNI0430SRT001 link down at 29/06/2026 21:23:00 *=*  *=* 5.55 Hour</v>
      </c>
      <c r="Z3" s="269" t="str">
        <f>IFERROR(__xludf.DUMMYFUNCTION("""COMPUTED_VALUE"""),"#N/A")</f>
        <v>#N/A</v>
      </c>
      <c r="AA3" s="269" t="str">
        <f>IFERROR(__xludf.DUMMYFUNCTION("""COMPUTED_VALUE"""),"#N/A")</f>
        <v>#N/A</v>
      </c>
      <c r="AB3" s="269" t="str">
        <f>IFERROR(__xludf.DUMMYFUNCTION("""COMPUTED_VALUE"""),"WO_QLCTKT_20260421_123051401 *=* TNI0153_01 MYT_Maintenacne_Solar *=* myt_aungthin.mya *=* -1048.95 Hour")</f>
        <v>WO_QLCTKT_20260421_123051401 *=* TNI0153_01 MYT_Maintenacne_Solar *=* myt_aungthin.mya *=* -1048.95 Hour</v>
      </c>
      <c r="AC3" s="269" t="str">
        <f>IFERROR(__xludf.DUMMYFUNCTION("""COMPUTED_VALUE"""),"WO_QLCTKT_20260626_123639005 *=* TNI0006 MYT_Troubleshooting Solar Power System *=* myt_tharhtoo.aung11 *=* 7.05 Hour")</f>
        <v>WO_QLCTKT_20260626_123639005 *=* TNI0006 MYT_Troubleshooting Solar Power System *=* myt_tharhtoo.aung11 *=* 7.05 Hour</v>
      </c>
      <c r="AD3" s="269" t="str">
        <f>IFERROR(__xludf.DUMMYFUNCTION("""COMPUTED_VALUE"""),"#N/A")</f>
        <v>#N/A</v>
      </c>
      <c r="AE3" s="269" t="str">
        <f>IFERROR(__xludf.DUMMYFUNCTION("""COMPUTED_VALUE"""),"WO_ICMS_20260701_123690043 *=* TNI0006 MYT_Checking quality for DG Fuel MYT_ME_DG_CHECK_FUEL; MYT_Maintenance_Generator_Change_Air_Filter, Clean Radiator and Clean Engine Room MYT_ME_DG_CHG_AIR_FIL_CLN_RAD_ENG; MYT_Maintenance_Generator_Change_Fuel_Filter"&amp;" MYT_ME_DG_CHG_FUEL_FIL; MYT_Maintenance_Generator_Change_Oil MYT_ME_DG_CHG_OIL; MYT_Maintenance_Generator_Change_Oil_Filter MYT_ME_DG_CHG_OIL_FIL *=* myt_tharhtoo.aung11 *=* 234.08 Hour")</f>
        <v>WO_ICMS_20260701_123690043 *=* TNI0006 MYT_Checking quality for DG Fuel MYT_ME_DG_CHECK_FUEL; MYT_Maintenance_Generator_Change_Air_Filter, Clean Radiator and Clean Engine Room MYT_ME_DG_CHG_AIR_FIL_CLN_RAD_ENG; MYT_Maintenance_Generator_Change_Fuel_Filter MYT_ME_DG_CHG_FUEL_FIL; MYT_Maintenance_Generator_Change_Oil MYT_ME_DG_CHG_OIL; MYT_Maintenance_Generator_Change_Oil_Filter MYT_ME_DG_CHG_OIL_FIL *=* myt_tharhtoo.aung11 *=* 234.08 Hour</v>
      </c>
      <c r="AF3" s="269" t="str">
        <f>IFERROR(__xludf.DUMMYFUNCTION("""COMPUTED_VALUE"""),"WO_QLCTKT_20260615_123526936 *=* TNI0272 MYT_Generator Fuel Monitoring Abnormal Checking *=* myt_aunglwin.phyo *=* -280.95 Hour")</f>
        <v>WO_QLCTKT_20260615_123526936 *=* TNI0272 MYT_Generator Fuel Monitoring Abnormal Checking *=* myt_aunglwin.phyo *=* -280.95 Hour</v>
      </c>
      <c r="AG3" s="269" t="str">
        <f>IFERROR(__xludf.DUMMYFUNCTION("""COMPUTED_VALUE"""),"#N/A")</f>
        <v>#N/A</v>
      </c>
      <c r="AH3" s="269" t="str">
        <f>IFERROR(__xludf.DUMMYFUNCTION("""COMPUTED_VALUE"""),"#N/A")</f>
        <v>#N/A</v>
      </c>
      <c r="AI3" s="269"/>
      <c r="AJ3" s="269"/>
      <c r="AK3" s="269"/>
      <c r="AL3" s="269"/>
      <c r="AM3" s="269"/>
      <c r="AN3" s="269"/>
      <c r="AO3" s="269"/>
      <c r="AP3" s="269"/>
      <c r="AQ3" s="269"/>
      <c r="AR3" s="269"/>
    </row>
    <row r="4">
      <c r="A4" s="410" t="str">
        <f>IFERROR(__xludf.DUMMYFUNCTION("""COMPUTED_VALUE"""),"WO_WFM-OTHERS_20260626_123647489")</f>
        <v>WO_WFM-OTHERS_20260626_123647489</v>
      </c>
      <c r="B4" s="410" t="str">
        <f>IFERROR(__xludf.DUMMYFUNCTION("""COMPUTED_VALUE"""),"IP : TNI0207SRT001-TNI0356SRT001 and TNI0018SRT001-TNI0170SRT001 link down at 26/06/2026 03:48:26")</f>
        <v>IP : TNI0207SRT001-TNI0356SRT001 and TNI0018SRT001-TNI0170SRT001 link down at 26/06/2026 03:48:26</v>
      </c>
      <c r="C4" s="410">
        <f>IFERROR(__xludf.DUMMYFUNCTION("""COMPUTED_VALUE"""),-112.95)</f>
        <v>-112.95</v>
      </c>
      <c r="D4" s="410" t="str">
        <f>IFERROR(__xludf.DUMMYFUNCTION("""COMPUTED_VALUE"""),"T1")</f>
        <v>T1</v>
      </c>
      <c r="E4" s="410" t="str">
        <f>IFERROR(__xludf.DUMMYFUNCTION("""COMPUTED_VALUE"""),"TNI0207")</f>
        <v>TNI0207</v>
      </c>
      <c r="F4" s="410"/>
      <c r="H4" s="269" t="str">
        <f>IFERROR(__xludf.DUMMYFUNCTION("""COMPUTED_VALUE"""),"WO_WFM-OTHERS_20260623_123616201 *=* Cable Patrol for (BB)-TNI0006-TNI0013 *=* myt_bonemyat.naing1 *=* 439.03 Hour")</f>
        <v>WO_WFM-OTHERS_20260623_123616201 *=* Cable Patrol for (BB)-TNI0006-TNI0013 *=* myt_bonemyat.naing1 *=* 439.03 Hour</v>
      </c>
      <c r="I4" s="269" t="str">
        <f>IFERROR(__xludf.DUMMYFUNCTION("""COMPUTED_VALUE"""),"WO_WFM-OTHERS_20260623_123616236 *=* Cable Patrol for (AC)-TNI0040-TNIM026 *=* myt_bonemyat.naing1 *=* 439.03 Hour")</f>
        <v>WO_WFM-OTHERS_20260623_123616236 *=* Cable Patrol for (AC)-TNI0040-TNIM026 *=* myt_bonemyat.naing1 *=* 439.03 Hour</v>
      </c>
      <c r="J4" s="269" t="str">
        <f>IFERROR(__xludf.DUMMYFUNCTION("""COMPUTED_VALUE"""),"WO_WFM-OTHERS_20260623_123613116 *=* Cable routes measure-AC-TNI0046-JB(TNI0005-TNI0013) *=* myt_bonemyat.naing1 *=* 439.03 Hour")</f>
        <v>WO_WFM-OTHERS_20260623_123613116 *=* Cable routes measure-AC-TNI0046-JB(TNI0005-TNI0013) *=* myt_bonemyat.naing1 *=* 439.03 Hour</v>
      </c>
      <c r="K4" s="269" t="str">
        <f>IFERROR(__xludf.DUMMYFUNCTION("""COMPUTED_VALUE"""),"WO_WFM-OTHERS_20260623_123613096 *=* Cable routes measure-BB-TNI0013-TNI0005 *=* myt_bonemyat.naing1 *=* 439.03 Hour")</f>
        <v>WO_WFM-OTHERS_20260623_123613096 *=* Cable routes measure-BB-TNI0013-TNI0005 *=* myt_bonemyat.naing1 *=* 439.03 Hour</v>
      </c>
      <c r="L4" s="269" t="str">
        <f>IFERROR(__xludf.DUMMYFUNCTION("""COMPUTED_VALUE"""),"WO_ICMS_20260623_123613616 *=* TNI0012 MYT_Routine_Maintenance_Main_Station MYT_RTE_MTE_MAIN_STN *=* myt_aungthin.mya *=* 502.17 Hour")</f>
        <v>WO_ICMS_20260623_123613616 *=* TNI0012 MYT_Routine_Maintenance_Main_Station MYT_RTE_MTE_MAIN_STN *=* myt_aungthin.mya *=* 502.17 Hour</v>
      </c>
      <c r="M4" s="269" t="str">
        <f>IFERROR(__xludf.DUMMYFUNCTION("""COMPUTED_VALUE"""),"WO_ICMS_20260623_123614460 *=* TNI0115 MYT_Routine_Maintenance_Mytel_Station MYT_RTE_MTE_SB_STN *=* myt_paingaung.soe *=* 886.64 Hour")</f>
        <v>WO_ICMS_20260623_123614460 *=* TNI0115 MYT_Routine_Maintenance_Mytel_Station MYT_RTE_MTE_SB_STN *=* myt_paingaung.soe *=* 886.64 Hour</v>
      </c>
      <c r="N4" s="269" t="str">
        <f>IFERROR(__xludf.DUMMYFUNCTION("""COMPUTED_VALUE"""),"WO_ICMS_20260623_123611326 *=* TNI0019 MYT_Routine_Maintenance_Towerco_Station MYT_RTE_MTE_TCO_STN *=* myt_phyoko.ko44 *=* 882.55 Hour")</f>
        <v>WO_ICMS_20260623_123611326 *=* TNI0019 MYT_Routine_Maintenance_Towerco_Station MYT_RTE_MTE_TCO_STN *=* myt_phyoko.ko44 *=* 882.55 Hour</v>
      </c>
      <c r="O4" s="269"/>
      <c r="P4" s="269" t="str">
        <f>IFERROR(__xludf.DUMMYFUNCTION("""COMPUTED_VALUE"""),"WO_QLCTKT_20260518_123298460 *=* TNI0150 Bảo dưỡng hạ tầng nhà trạm *=* myt_tharhtoo.aung11 *=* -32.49 Hour")</f>
        <v>WO_QLCTKT_20260518_123298460 *=* TNI0150 Bảo dưỡng hạ tầng nhà trạm *=* myt_tharhtoo.aung11 *=* -32.49 Hour</v>
      </c>
      <c r="Q4" s="269"/>
      <c r="R4" s="269" t="str">
        <f>IFERROR(__xludf.DUMMYFUNCTION("""COMPUTED_VALUE"""),"WO_QLCTKT_20260626_123641951 *=* TNI0220 - Repair infrastructure - bla: Install the cables at station: Install the Optical cable CPRI *=* myt_tharhtoo.aung11 *=* 568.96 Hour")</f>
        <v>WO_QLCTKT_20260626_123641951 *=* TNI0220 - Repair infrastructure - bla: Install the cables at station: Install the Optical cable CPRI *=* myt_tharhtoo.aung11 *=* 568.96 Hour</v>
      </c>
      <c r="S4" s="269"/>
      <c r="T4" s="269"/>
      <c r="U4" s="269" t="str">
        <f>IFERROR(__xludf.DUMMYFUNCTION("""COMPUTED_VALUE"""),"WO_WFM-FT_20260513_123263386 *=* 5s and WH inventory for TNI_team 01 *=* myt_aungthin.mya *=* -1001.45 Hour")</f>
        <v>WO_WFM-FT_20260513_123263386 *=* 5s and WH inventory for TNI_team 01 *=* myt_aungthin.mya *=* -1001.45 Hour</v>
      </c>
      <c r="V4" s="269"/>
      <c r="W4" s="269" t="str">
        <f>IFERROR(__xludf.DUMMYFUNCTION("""COMPUTED_VALUE"""),"WO_WFM-FT_20260605_123450082 *=* FTTH : TNI0251OLT001 Slot 3 port 12,13,15,16 down at 6/5/2026 11:07 *=*  *=* -646.45 Hour")</f>
        <v>WO_WFM-FT_20260605_123450082 *=* FTTH : TNI0251OLT001 Slot 3 port 12,13,15,16 down at 6/5/2026 11:07 *=*  *=* -646.45 Hour</v>
      </c>
      <c r="X4" s="269"/>
      <c r="Y4" s="269" t="str">
        <f>IFERROR(__xludf.DUMMYFUNCTION("""COMPUTED_VALUE"""),"WO_WFM-OTHERS_20260628_123663529 *=* IP : TNI0188SRT001-TNI0330SRT001 link down at 27/06/2026 09:08:00 *=*  *=* -65.45 Hour")</f>
        <v>WO_WFM-OTHERS_20260628_123663529 *=* IP : TNI0188SRT001-TNI0330SRT001 link down at 27/06/2026 09:08:00 *=*  *=* -65.45 Hour</v>
      </c>
      <c r="Z4" s="269"/>
      <c r="AA4" s="269"/>
      <c r="AB4" s="269" t="str">
        <f>IFERROR(__xludf.DUMMYFUNCTION("""COMPUTED_VALUE"""),"WO_QLCTKT_20260421_123051228 *=* TNI0040 MYT_Maintenacne_Solar *=* myt_bhonehtet.aung *=* -1048.95 Hour")</f>
        <v>WO_QLCTKT_20260421_123051228 *=* TNI0040 MYT_Maintenacne_Solar *=* myt_bhonehtet.aung *=* -1048.95 Hour</v>
      </c>
      <c r="AC4" s="269" t="str">
        <f>IFERROR(__xludf.DUMMYFUNCTION("""COMPUTED_VALUE"""),"WO_QLCTKT_20260604_123438289 *=* TNI0272 MYT_Troubleshooting Solar Power System *=* myt_tharhtoo.aung11 *=* -520.95 Hour")</f>
        <v>WO_QLCTKT_20260604_123438289 *=* TNI0272 MYT_Troubleshooting Solar Power System *=* myt_tharhtoo.aung11 *=* -520.95 Hour</v>
      </c>
      <c r="AD4" s="269"/>
      <c r="AE4" s="269" t="str">
        <f>IFERROR(__xludf.DUMMYFUNCTION("""COMPUTED_VALUE"""),"WO_ICMS_20260701_123690035 *=* TNI0061 MYT_Checking quality for DG Fuel MYT_ME_DG_CHECK_FUEL; MYT_Maintenance_Generator_Change_Fuel_Filter MYT_ME_DG_CHG_FUEL_FIL; MYT_Maintenance_Generator_Change_Oil MYT_ME_DG_CHG_OIL; MYT_Maintenance_Generator_Change_Oil"&amp;"_Filter MYT_ME_DG_CHG_OIL_FIL *=* myt_bonemyat.naing1 *=* 234.08 Hour")</f>
        <v>WO_ICMS_20260701_123690035 *=* TNI0061 MYT_Checking quality for DG Fuel MYT_ME_DG_CHECK_FUEL; MYT_Maintenance_Generator_Change_Fuel_Filter MYT_ME_DG_CHG_FUEL_FIL; MYT_Maintenance_Generator_Change_Oil MYT_ME_DG_CHG_OIL; MYT_Maintenance_Generator_Change_Oil_Filter MYT_ME_DG_CHG_OIL_FIL *=* myt_bonemyat.naing1 *=* 234.08 Hour</v>
      </c>
      <c r="AF4" s="269"/>
      <c r="AG4" s="269"/>
      <c r="AH4" s="269"/>
      <c r="AI4" s="269"/>
      <c r="AJ4" s="269"/>
      <c r="AK4" s="269"/>
      <c r="AL4" s="269"/>
      <c r="AM4" s="269"/>
      <c r="AN4" s="269"/>
      <c r="AO4" s="269"/>
      <c r="AP4" s="269"/>
      <c r="AQ4" s="269"/>
      <c r="AR4" s="269"/>
    </row>
    <row r="5">
      <c r="A5" s="410" t="str">
        <f>IFERROR(__xludf.DUMMYFUNCTION("""COMPUTED_VALUE"""),"WO_WFM-OTHERS_20260623_123616300")</f>
        <v>WO_WFM-OTHERS_20260623_123616300</v>
      </c>
      <c r="B5" s="410" t="str">
        <f>IFERROR(__xludf.DUMMYFUNCTION("""COMPUTED_VALUE"""),"Cable Patrol for (AC)-TNI0064-TNIM081")</f>
        <v>Cable Patrol for (AC)-TNI0064-TNIM081</v>
      </c>
      <c r="C5" s="410">
        <f>IFERROR(__xludf.DUMMYFUNCTION("""COMPUTED_VALUE"""),439.03)</f>
        <v>439.03</v>
      </c>
      <c r="D5" s="410" t="str">
        <f>IFERROR(__xludf.DUMMYFUNCTION("""COMPUTED_VALUE"""),"T4")</f>
        <v>T4</v>
      </c>
      <c r="E5" s="410" t="str">
        <f>IFERROR(__xludf.DUMMYFUNCTION("""COMPUTED_VALUE"""),"TNI0064")</f>
        <v>TNI0064</v>
      </c>
      <c r="F5" s="410"/>
      <c r="H5" s="269" t="str">
        <f>IFERROR(__xludf.DUMMYFUNCTION("""COMPUTED_VALUE"""),"WO_WFM-OTHERS_20260623_123616203 *=* Cable Patrol for (BB)-TNI0013-TNIM021 *=* myt_bonemyat.naing1 *=* 439.03 Hour")</f>
        <v>WO_WFM-OTHERS_20260623_123616203 *=* Cable Patrol for (BB)-TNI0013-TNIM021 *=* myt_bonemyat.naing1 *=* 439.03 Hour</v>
      </c>
      <c r="I5" s="269" t="str">
        <f>IFERROR(__xludf.DUMMYFUNCTION("""COMPUTED_VALUE"""),"WO_WFM-OTHERS_20260623_123616228 *=* Cable Patrol for (AC)-TNI0208-TNIM057 *=* myt_bonemyat.naing1 *=* 439.03 Hour")</f>
        <v>WO_WFM-OTHERS_20260623_123616228 *=* Cable Patrol for (AC)-TNI0208-TNIM057 *=* myt_bonemyat.naing1 *=* 439.03 Hour</v>
      </c>
      <c r="J5" s="269" t="str">
        <f>IFERROR(__xludf.DUMMYFUNCTION("""COMPUTED_VALUE"""),"WO_WFM-OTHERS_20260623_123613118 *=* Cable routes measure-AC-TNI0198-TNIM055 *=* myt_bonemyat.naing1 *=* 439.03 Hour")</f>
        <v>WO_WFM-OTHERS_20260623_123613118 *=* Cable routes measure-AC-TNI0198-TNIM055 *=* myt_bonemyat.naing1 *=* 439.03 Hour</v>
      </c>
      <c r="K5" s="269" t="str">
        <f>IFERROR(__xludf.DUMMYFUNCTION("""COMPUTED_VALUE"""),"WO_WFM-OTHERS_20260623_123613098 *=* Cable routes measure-BB-TNI0013-TNI0250_2 *=* myt_bonemyat.naing1 *=* 439.03 Hour")</f>
        <v>WO_WFM-OTHERS_20260623_123613098 *=* Cable routes measure-BB-TNI0013-TNI0250_2 *=* myt_bonemyat.naing1 *=* 439.03 Hour</v>
      </c>
      <c r="L5" s="269" t="str">
        <f>IFERROR(__xludf.DUMMYFUNCTION("""COMPUTED_VALUE"""),"WO_QLCTKT_20260620_123577208 *=* TNI0006 MYT_Routine_Maintenance_Main_Station_VCM *=* myt_aungthin.mya *=* 271.05 Hour")</f>
        <v>WO_QLCTKT_20260620_123577208 *=* TNI0006 MYT_Routine_Maintenance_Main_Station_VCM *=* myt_aungthin.mya *=* 271.05 Hour</v>
      </c>
      <c r="M5" s="269" t="str">
        <f>IFERROR(__xludf.DUMMYFUNCTION("""COMPUTED_VALUE"""),"WO_ICMS_20260623_123615128 *=* TNI0066 MYT_Routine_Maintenance_Mytel_Station MYT_RTE_MTE_SB_STN *=* myt_phyoko.ko44 *=* 886.64 Hour")</f>
        <v>WO_ICMS_20260623_123615128 *=* TNI0066 MYT_Routine_Maintenance_Mytel_Station MYT_RTE_MTE_SB_STN *=* myt_phyoko.ko44 *=* 886.64 Hour</v>
      </c>
      <c r="N5" s="269" t="str">
        <f>IFERROR(__xludf.DUMMYFUNCTION("""COMPUTED_VALUE"""),"WO_ICMS_20260623_123611290 *=* TNI0053 MYT_Routine_Maintenance_Towerco_Station MYT_RTE_MTE_TCO_STN *=* myt_aunglwin.phyo *=* 882.55 Hour")</f>
        <v>WO_ICMS_20260623_123611290 *=* TNI0053 MYT_Routine_Maintenance_Towerco_Station MYT_RTE_MTE_TCO_STN *=* myt_aunglwin.phyo *=* 882.55 Hour</v>
      </c>
      <c r="O5" s="269"/>
      <c r="P5" s="269"/>
      <c r="Q5" s="269"/>
      <c r="R5" s="269" t="str">
        <f>IFERROR(__xludf.DUMMYFUNCTION("""COMPUTED_VALUE"""),"WO_QLCTKT_20260626_123641949 *=* TNI0220 - Repair infrastructure - bla: Cleaning the station, remove grass, vines, tree, rubbish, recall unused equipment, material: Clean the station *=* myt_tharhtoo.aung11 *=* 16.96 Hour")</f>
        <v>WO_QLCTKT_20260626_123641949 *=* TNI0220 - Repair infrastructure - bla: Cleaning the station, remove grass, vines, tree, rubbish, recall unused equipment, material: Clean the station *=* myt_tharhtoo.aung11 *=* 16.96 Hour</v>
      </c>
      <c r="S5" s="269"/>
      <c r="T5" s="269"/>
      <c r="U5" s="269" t="str">
        <f>IFERROR(__xludf.DUMMYFUNCTION("""COMPUTED_VALUE"""),"WO_WFM-FT_20260420_123042391 *=* 5s &amp; WH inventory file for TNI_team 01 *=* myt_aungthin.mya *=* -1577.45 Hour")</f>
        <v>WO_WFM-FT_20260420_123042391 *=* 5s &amp; WH inventory file for TNI_team 01 *=* myt_aungthin.mya *=* -1577.45 Hour</v>
      </c>
      <c r="V5" s="269"/>
      <c r="W5" s="269" t="str">
        <f>IFERROR(__xludf.DUMMYFUNCTION("""COMPUTED_VALUE"""),"WO_WFM-FT_20260514_123272600 *=* FTTH : TNI0251OLT001 SLOT=3,PORT=15 down at 5/14/2026 16:19 *=*  *=* -1169.45 Hour")</f>
        <v>WO_WFM-FT_20260514_123272600 *=* FTTH : TNI0251OLT001 SLOT=3,PORT=15 down at 5/14/2026 16:19 *=*  *=* -1169.45 Hour</v>
      </c>
      <c r="X5" s="269"/>
      <c r="Y5" s="269" t="str">
        <f>IFERROR(__xludf.DUMMYFUNCTION("""COMPUTED_VALUE"""),"WO_WFM-OTHERS_20260626_123647489 *=* IP : TNI0207SRT001-TNI0356SRT001 and TNI0018SRT001-TNI0170SRT001 link down at 26/06/2026 03:48:26 *=*  *=* -112.95 Hour")</f>
        <v>WO_WFM-OTHERS_20260626_123647489 *=* IP : TNI0207SRT001-TNI0356SRT001 and TNI0018SRT001-TNI0170SRT001 link down at 26/06/2026 03:48:26 *=*  *=* -112.95 Hour</v>
      </c>
      <c r="Z5" s="269"/>
      <c r="AA5" s="269"/>
      <c r="AB5" s="269" t="str">
        <f>IFERROR(__xludf.DUMMYFUNCTION("""COMPUTED_VALUE"""),"WO_QLCTKT_20260421_123050637 *=* TNI0185 MYT_Maintenacne_Solar *=* myt_tharhtoo.aung11 *=* -1048.95 Hour")</f>
        <v>WO_QLCTKT_20260421_123050637 *=* TNI0185 MYT_Maintenacne_Solar *=* myt_tharhtoo.aung11 *=* -1048.95 Hour</v>
      </c>
      <c r="AC5" s="269" t="str">
        <f>IFERROR(__xludf.DUMMYFUNCTION("""COMPUTED_VALUE"""),"WO_QLCTKT_20260604_123438281 *=* TNI0231 MYT_Troubleshooting Solar Power System *=* myt_aunglwin.phyo *=* -520.95 Hour")</f>
        <v>WO_QLCTKT_20260604_123438281 *=* TNI0231 MYT_Troubleshooting Solar Power System *=* myt_aunglwin.phyo *=* -520.95 Hour</v>
      </c>
      <c r="AD5" s="269"/>
      <c r="AE5" s="269" t="str">
        <f>IFERROR(__xludf.DUMMYFUNCTION("""COMPUTED_VALUE"""),"WO_ICMS_20260701_123690036 *=* TNI0049 MYT_Checking quality for DG Fuel MYT_ME_DG_CHECK_FUEL; MYT_Maintenance_Generator_Change_Oil MYT_ME_DG_CHG_OIL *=* myt_bonemyat.naing1 *=* 234.08 Hour")</f>
        <v>WO_ICMS_20260701_123690036 *=* TNI0049 MYT_Checking quality for DG Fuel MYT_ME_DG_CHECK_FUEL; MYT_Maintenance_Generator_Change_Oil MYT_ME_DG_CHG_OIL *=* myt_bonemyat.naing1 *=* 234.08 Hour</v>
      </c>
      <c r="AF5" s="269"/>
      <c r="AG5" s="269"/>
      <c r="AH5" s="269"/>
      <c r="AI5" s="269"/>
      <c r="AJ5" s="269"/>
      <c r="AK5" s="269"/>
      <c r="AL5" s="269"/>
      <c r="AM5" s="269"/>
      <c r="AN5" s="269"/>
      <c r="AO5" s="269"/>
      <c r="AP5" s="269"/>
      <c r="AQ5" s="269"/>
      <c r="AR5" s="269"/>
    </row>
    <row r="6">
      <c r="A6" s="410" t="str">
        <f>IFERROR(__xludf.DUMMYFUNCTION("""COMPUTED_VALUE"""),"WO_WFM-OTHERS_20260623_123616301")</f>
        <v>WO_WFM-OTHERS_20260623_123616301</v>
      </c>
      <c r="B6" s="410" t="str">
        <f>IFERROR(__xludf.DUMMYFUNCTION("""COMPUTED_VALUE"""),"Cable Patrol for (AC)-TNI0017-JB(TNI0017-TNI0229)")</f>
        <v>Cable Patrol for (AC)-TNI0017-JB(TNI0017-TNI0229)</v>
      </c>
      <c r="C6" s="410">
        <f>IFERROR(__xludf.DUMMYFUNCTION("""COMPUTED_VALUE"""),439.03)</f>
        <v>439.03</v>
      </c>
      <c r="D6" s="410" t="str">
        <f>IFERROR(__xludf.DUMMYFUNCTION("""COMPUTED_VALUE"""),"T4")</f>
        <v>T4</v>
      </c>
      <c r="E6" s="410" t="str">
        <f>IFERROR(__xludf.DUMMYFUNCTION("""COMPUTED_VALUE"""),"TNI0017")</f>
        <v>TNI0017</v>
      </c>
      <c r="F6" s="410"/>
      <c r="H6" s="269" t="str">
        <f>IFERROR(__xludf.DUMMYFUNCTION("""COMPUTED_VALUE"""),"WO_WFM-OTHERS_20260623_123616202 *=* Cable Patrol for (BB)-TNI0013-TNIM020 *=* myt_phyoko.ko44 *=* 439.03 Hour")</f>
        <v>WO_WFM-OTHERS_20260623_123616202 *=* Cable Patrol for (BB)-TNI0013-TNIM020 *=* myt_phyoko.ko44 *=* 439.03 Hour</v>
      </c>
      <c r="I6" s="269" t="str">
        <f>IFERROR(__xludf.DUMMYFUNCTION("""COMPUTED_VALUE"""),"WO_WFM-OTHERS_20260623_123616232 *=* Cable Patrol for (AC)-TNI0189-TNIM052 *=* myt_bonemyat.naing1 *=* 439.03 Hour")</f>
        <v>WO_WFM-OTHERS_20260623_123616232 *=* Cable Patrol for (AC)-TNI0189-TNIM052 *=* myt_bonemyat.naing1 *=* 439.03 Hour</v>
      </c>
      <c r="J6" s="269" t="str">
        <f>IFERROR(__xludf.DUMMYFUNCTION("""COMPUTED_VALUE"""),"WO_WFM-OTHERS_20260623_123613117 *=* Cable routes measure-AC-TNI0424-TNIM034 *=* myt_bonemyat.naing1 *=* 439.03 Hour")</f>
        <v>WO_WFM-OTHERS_20260623_123613117 *=* Cable routes measure-AC-TNI0424-TNIM034 *=* myt_bonemyat.naing1 *=* 439.03 Hour</v>
      </c>
      <c r="K6" s="269" t="str">
        <f>IFERROR(__xludf.DUMMYFUNCTION("""COMPUTED_VALUE"""),"WO_WFM-OTHERS_20260623_123612883 *=* Cable routes measure-BB-TNI0006-TNI0013 *=* myt_bonemyat.naing1 *=* 439.03 Hour")</f>
        <v>WO_WFM-OTHERS_20260623_123612883 *=* Cable routes measure-BB-TNI0006-TNI0013 *=* myt_bonemyat.naing1 *=* 439.03 Hour</v>
      </c>
      <c r="L6" s="269" t="str">
        <f>IFERROR(__xludf.DUMMYFUNCTION("""COMPUTED_VALUE"""),"WO_QLCTKT_20260619_123565997 *=* TNI0013 MYT_Routine_Maintenance_Main_Station_VCM *=* myt_bonemyat.naing1 *=* 247.05 Hour")</f>
        <v>WO_QLCTKT_20260619_123565997 *=* TNI0013 MYT_Routine_Maintenance_Main_Station_VCM *=* myt_bonemyat.naing1 *=* 247.05 Hour</v>
      </c>
      <c r="M6" s="269" t="str">
        <f>IFERROR(__xludf.DUMMYFUNCTION("""COMPUTED_VALUE"""),"WO_ICMS_20260623_123615126 *=* TNI0072 MYT_Routine_Maintenance_Mytel_Station MYT_RTE_MTE_SB_STN *=* myt_phyoko.ko44 *=* 886.64 Hour")</f>
        <v>WO_ICMS_20260623_123615126 *=* TNI0072 MYT_Routine_Maintenance_Mytel_Station MYT_RTE_MTE_SB_STN *=* myt_phyoko.ko44 *=* 886.64 Hour</v>
      </c>
      <c r="N6" s="269" t="str">
        <f>IFERROR(__xludf.DUMMYFUNCTION("""COMPUTED_VALUE"""),"WO_ICMS_20260623_123611291 *=* TNI0049 MYT_Routine_Maintenance_Towerco_Station MYT_RTE_MTE_TCO_STN *=* myt_aunglwin.phyo *=* 882.55 Hour")</f>
        <v>WO_ICMS_20260623_123611291 *=* TNI0049 MYT_Routine_Maintenance_Towerco_Station MYT_RTE_MTE_TCO_STN *=* myt_aunglwin.phyo *=* 882.55 Hour</v>
      </c>
      <c r="O6" s="269"/>
      <c r="P6" s="269"/>
      <c r="Q6" s="269"/>
      <c r="R6" s="269" t="str">
        <f>IFERROR(__xludf.DUMMYFUNCTION("""COMPUTED_VALUE"""),"WO_QLCTKT_20260626_123642017 *=* TNI0220 - Repair infrastructure - bla: Install the cables at station: Install the Optical cable CPRI *=* myt_tharhtoo.aung11 *=* 568.96 Hour")</f>
        <v>WO_QLCTKT_20260626_123642017 *=* TNI0220 - Repair infrastructure - bla: Install the cables at station: Install the Optical cable CPRI *=* myt_tharhtoo.aung11 *=* 568.96 Hour</v>
      </c>
      <c r="S6" s="269"/>
      <c r="T6" s="269"/>
      <c r="U6" s="269"/>
      <c r="V6" s="269"/>
      <c r="W6" s="269" t="str">
        <f>IFERROR(__xludf.DUMMYFUNCTION("""COMPUTED_VALUE"""),"WO_WFM-FT_20260406_122907898 *=* FTTH : TNI0231OLT001 SLOT=3,PORT=5 ,6,7 down at 4/6/2026 16:00 *=*  *=* -2065.45 Hour")</f>
        <v>WO_WFM-FT_20260406_122907898 *=* FTTH : TNI0231OLT001 SLOT=3,PORT=5 ,6,7 down at 4/6/2026 16:00 *=*  *=* -2065.45 Hour</v>
      </c>
      <c r="X6" s="269"/>
      <c r="Y6" s="269" t="str">
        <f>IFERROR(__xludf.DUMMYFUNCTION("""COMPUTED_VALUE"""),"WO_WFM-OTHERS_20260622_123602688 *=* IP : TNI0250AGG001-TNI0031SRT001 link down at 22/06/2026 *=*  *=* -209.45 Hour")</f>
        <v>WO_WFM-OTHERS_20260622_123602688 *=* IP : TNI0250AGG001-TNI0031SRT001 link down at 22/06/2026 *=*  *=* -209.45 Hour</v>
      </c>
      <c r="Z6" s="269"/>
      <c r="AA6" s="269"/>
      <c r="AB6" s="269" t="str">
        <f>IFERROR(__xludf.DUMMYFUNCTION("""COMPUTED_VALUE"""),"WO_QLCTKT_20260421_123050623 *=* TNI0089 MYT_Maintenacne_Solar *=* myt_phyoko.ko44 *=* -1048.95 Hour")</f>
        <v>WO_QLCTKT_20260421_123050623 *=* TNI0089 MYT_Maintenacne_Solar *=* myt_phyoko.ko44 *=* -1048.95 Hour</v>
      </c>
      <c r="AC6" s="269" t="str">
        <f>IFERROR(__xludf.DUMMYFUNCTION("""COMPUTED_VALUE"""),"WO_QLCTKT_20260604_123438248 *=* TNI0201 MYT_Troubleshooting Solar Power System *=* myt_aunglwin.phyo *=* -520.95 Hour")</f>
        <v>WO_QLCTKT_20260604_123438248 *=* TNI0201 MYT_Troubleshooting Solar Power System *=* myt_aunglwin.phyo *=* -520.95 Hour</v>
      </c>
      <c r="AD6" s="269"/>
      <c r="AE6" s="269" t="str">
        <f>IFERROR(__xludf.DUMMYFUNCTION("""COMPUTED_VALUE"""),"WO_ICMS_20260701_123690032 *=* TNI0201 MYT_Checking quality for DG Fuel MYT_ME_DG_CHECK_FUEL; MYT_Maintenance_Generator_Change_Air_Filter, Clean Radiator and Clean Engine Room MYT_ME_DG_CHG_AIR_FIL_CLN_RAD_ENG; MYT_Maintenance_Generator_Change_Fuel_Filter"&amp;" MYT_ME_DG_CHG_FUEL_FIL; MYT_Maintenance_Generator_Change_Oil MYT_ME_DG_CHG_OIL; MYT_Maintenance_Generator_Change_Oil_Filter MYT_ME_DG_CHG_OIL_FIL *=* myt_aunglwin.phyo *=* 234.08 Hour")</f>
        <v>WO_ICMS_20260701_123690032 *=* TNI0201 MYT_Checking quality for DG Fuel MYT_ME_DG_CHECK_FUEL; MYT_Maintenance_Generator_Change_Air_Filter, Clean Radiator and Clean Engine Room MYT_ME_DG_CHG_AIR_FIL_CLN_RAD_ENG; MYT_Maintenance_Generator_Change_Fuel_Filter MYT_ME_DG_CHG_FUEL_FIL; MYT_Maintenance_Generator_Change_Oil MYT_ME_DG_CHG_OIL; MYT_Maintenance_Generator_Change_Oil_Filter MYT_ME_DG_CHG_OIL_FIL *=* myt_aunglwin.phyo *=* 234.08 Hour</v>
      </c>
      <c r="AF6" s="269"/>
      <c r="AG6" s="269"/>
      <c r="AH6" s="269"/>
      <c r="AI6" s="269"/>
      <c r="AJ6" s="269"/>
      <c r="AK6" s="269"/>
      <c r="AL6" s="269"/>
      <c r="AM6" s="269"/>
      <c r="AN6" s="269"/>
      <c r="AO6" s="269"/>
      <c r="AP6" s="269"/>
      <c r="AQ6" s="269"/>
      <c r="AR6" s="269"/>
    </row>
    <row r="7">
      <c r="A7" s="410" t="str">
        <f>IFERROR(__xludf.DUMMYFUNCTION("""COMPUTED_VALUE"""),"WO_WFM-OTHERS_20260623_123616299")</f>
        <v>WO_WFM-OTHERS_20260623_123616299</v>
      </c>
      <c r="B7" s="410" t="str">
        <f>IFERROR(__xludf.DUMMYFUNCTION("""COMPUTED_VALUE"""),"Cable Patrol for (AC)-TNI0123-JB(TNI0015-TNI0012)")</f>
        <v>Cable Patrol for (AC)-TNI0123-JB(TNI0015-TNI0012)</v>
      </c>
      <c r="C7" s="410">
        <f>IFERROR(__xludf.DUMMYFUNCTION("""COMPUTED_VALUE"""),439.03)</f>
        <v>439.03</v>
      </c>
      <c r="D7" s="410" t="str">
        <f>IFERROR(__xludf.DUMMYFUNCTION("""COMPUTED_VALUE"""),"T4")</f>
        <v>T4</v>
      </c>
      <c r="E7" s="410" t="str">
        <f>IFERROR(__xludf.DUMMYFUNCTION("""COMPUTED_VALUE"""),"TNI0123")</f>
        <v>TNI0123</v>
      </c>
      <c r="F7" s="410"/>
      <c r="H7" s="269" t="str">
        <f>IFERROR(__xludf.DUMMYFUNCTION("""COMPUTED_VALUE"""),"WO_WFM-OTHERS_20260623_123616200 *=* Cable Patrol for (BB)-TNI0006-TNIM010 *=* myt_phyoko.ko44 *=* 439.03 Hour")</f>
        <v>WO_WFM-OTHERS_20260623_123616200 *=* Cable Patrol for (BB)-TNI0006-TNIM010 *=* myt_phyoko.ko44 *=* 439.03 Hour</v>
      </c>
      <c r="I7" s="269" t="str">
        <f>IFERROR(__xludf.DUMMYFUNCTION("""COMPUTED_VALUE"""),"WO_WFM-OTHERS_20260623_123616234 *=* Cable Patrol for (AC)-TNI0197-TNIM054 *=*  *=* 439.03 Hour")</f>
        <v>WO_WFM-OTHERS_20260623_123616234 *=* Cable Patrol for (AC)-TNI0197-TNIM054 *=*  *=* 439.03 Hour</v>
      </c>
      <c r="J7" s="269" t="str">
        <f>IFERROR(__xludf.DUMMYFUNCTION("""COMPUTED_VALUE"""),"WO_WFM-OTHERS_20260623_123613114 *=* Cable routes measure-AC-TNI0019-TNIM024 *=*  *=* 439.03 Hour")</f>
        <v>WO_WFM-OTHERS_20260623_123613114 *=* Cable routes measure-AC-TNI0019-TNIM024 *=*  *=* 439.03 Hour</v>
      </c>
      <c r="K7" s="269" t="str">
        <f>IFERROR(__xludf.DUMMYFUNCTION("""COMPUTED_VALUE"""),"WO_WFM-OTHERS_20260623_123612884 *=* Cable routes measure-BB-TNI0013-TNI0250_2 *=* myt_bonemyat.naing1 *=* 439.03 Hour")</f>
        <v>WO_WFM-OTHERS_20260623_123612884 *=* Cable routes measure-BB-TNI0013-TNI0250_2 *=* myt_bonemyat.naing1 *=* 439.03 Hour</v>
      </c>
      <c r="L7" s="269"/>
      <c r="M7" s="269" t="str">
        <f>IFERROR(__xludf.DUMMYFUNCTION("""COMPUTED_VALUE"""),"WO_ICMS_20260623_123615121 *=* TNI0154 MYT_Routine_Maintenance_Mytel_Station MYT_RTE_MTE_SB_STN *=* myt_aungthin.mya *=* 886.64 Hour")</f>
        <v>WO_ICMS_20260623_123615121 *=* TNI0154 MYT_Routine_Maintenance_Mytel_Station MYT_RTE_MTE_SB_STN *=* myt_aungthin.mya *=* 886.64 Hour</v>
      </c>
      <c r="N7" s="269" t="str">
        <f>IFERROR(__xludf.DUMMYFUNCTION("""COMPUTED_VALUE"""),"WO_ICMS_20260623_123611289 *=* TNI0061 MYT_Routine_Maintenance_Towerco_Station MYT_RTE_MTE_TCO_STN *=* myt_bhonehtet.aung *=* 882.55 Hour")</f>
        <v>WO_ICMS_20260623_123611289 *=* TNI0061 MYT_Routine_Maintenance_Towerco_Station MYT_RTE_MTE_TCO_STN *=* myt_bhonehtet.aung *=* 882.55 Hour</v>
      </c>
      <c r="O7" s="269"/>
      <c r="P7" s="269"/>
      <c r="Q7" s="269"/>
      <c r="R7" s="269" t="str">
        <f>IFERROR(__xludf.DUMMYFUNCTION("""COMPUTED_VALUE"""),"WO_QLCTKT_20260625_123635848 *=* TNI0049 - Repair infrastructure - bla: Maintenance the equipments: Lubricant oil (DG) *=* myt_bonemyat.naing1 *=* -0.99 Hour")</f>
        <v>WO_QLCTKT_20260625_123635848 *=* TNI0049 - Repair infrastructure - bla: Maintenance the equipments: Lubricant oil (DG) *=* myt_bonemyat.naing1 *=* -0.99 Hour</v>
      </c>
      <c r="S7" s="269"/>
      <c r="T7" s="269"/>
      <c r="U7" s="269"/>
      <c r="V7" s="269"/>
      <c r="W7" s="269"/>
      <c r="X7" s="269"/>
      <c r="Y7" s="269" t="str">
        <f>IFERROR(__xludf.DUMMYFUNCTION("""COMPUTED_VALUE"""),"WO_WFM-OTHERS_20260619_123576710 *=* IP : TNI0250AGG001-TNI0031SRT001 link down at 19/06/2026 *=*  *=* -281.45 Hour")</f>
        <v>WO_WFM-OTHERS_20260619_123576710 *=* IP : TNI0250AGG001-TNI0031SRT001 link down at 19/06/2026 *=*  *=* -281.45 Hour</v>
      </c>
      <c r="Z7" s="269"/>
      <c r="AA7" s="269"/>
      <c r="AB7" s="269" t="str">
        <f>IFERROR(__xludf.DUMMYFUNCTION("""COMPUTED_VALUE"""),"WO_QLCTKT_20260421_123048219 *=* TNI0231 MYT_Maintenacne_Solar *=* myt_tharhtoo.aung11 *=* -1048.95 Hour")</f>
        <v>WO_QLCTKT_20260421_123048219 *=* TNI0231 MYT_Maintenacne_Solar *=* myt_tharhtoo.aung11 *=* -1048.95 Hour</v>
      </c>
      <c r="AC7" s="269" t="str">
        <f>IFERROR(__xludf.DUMMYFUNCTION("""COMPUTED_VALUE"""),"WO_QLCTKT_20260604_123438229 *=* TNI0129 MYT_Troubleshooting Solar Power System *=* myt_tharhtoo.aung11 *=* -520.95 Hour")</f>
        <v>WO_QLCTKT_20260604_123438229 *=* TNI0129 MYT_Troubleshooting Solar Power System *=* myt_tharhtoo.aung11 *=* -520.95 Hour</v>
      </c>
      <c r="AD7" s="269"/>
      <c r="AE7" s="269" t="str">
        <f>IFERROR(__xludf.DUMMYFUNCTION("""COMPUTED_VALUE"""),"WO_QLCTKT_20260624_123619105 *=* TNI0041 MYT_Maintenance_Generator_Change_Oil - MYT_Checking quality for DG Fuel *=* myt_bonemyat.naing1 *=* -64.95 Hour")</f>
        <v>WO_QLCTKT_20260624_123619105 *=* TNI0041 MYT_Maintenance_Generator_Change_Oil - MYT_Checking quality for DG Fuel *=* myt_bonemyat.naing1 *=* -64.95 Hour</v>
      </c>
      <c r="AF7" s="269"/>
      <c r="AG7" s="269"/>
      <c r="AH7" s="269"/>
      <c r="AI7" s="269"/>
      <c r="AJ7" s="269"/>
      <c r="AK7" s="269"/>
      <c r="AL7" s="269"/>
      <c r="AM7" s="269"/>
      <c r="AN7" s="269"/>
      <c r="AO7" s="269"/>
      <c r="AP7" s="269"/>
      <c r="AQ7" s="269"/>
      <c r="AR7" s="269"/>
    </row>
    <row r="8">
      <c r="A8" s="410" t="str">
        <f>IFERROR(__xludf.DUMMYFUNCTION("""COMPUTED_VALUE"""),"WO_WFM-OTHERS_20260623_123616298")</f>
        <v>WO_WFM-OTHERS_20260623_123616298</v>
      </c>
      <c r="B8" s="410" t="str">
        <f>IFERROR(__xludf.DUMMYFUNCTION("""COMPUTED_VALUE"""),"Cable Patrol for (AC)-TNI0063-TNIM030")</f>
        <v>Cable Patrol for (AC)-TNI0063-TNIM030</v>
      </c>
      <c r="C8" s="410">
        <f>IFERROR(__xludf.DUMMYFUNCTION("""COMPUTED_VALUE"""),439.03)</f>
        <v>439.03</v>
      </c>
      <c r="D8" s="410" t="str">
        <f>IFERROR(__xludf.DUMMYFUNCTION("""COMPUTED_VALUE"""),"T4")</f>
        <v>T4</v>
      </c>
      <c r="E8" s="410" t="str">
        <f>IFERROR(__xludf.DUMMYFUNCTION("""COMPUTED_VALUE"""),"TNI0063")</f>
        <v>TNI0063</v>
      </c>
      <c r="F8" s="410"/>
      <c r="H8" s="269" t="str">
        <f>IFERROR(__xludf.DUMMYFUNCTION("""COMPUTED_VALUE"""),"WO_WFM-OTHERS_20260623_123616199 *=* Cable Patrol for (BB)-TNI0006-TNIM009 *=* myt_phyoko.ko44 *=* 439.03 Hour")</f>
        <v>WO_WFM-OTHERS_20260623_123616199 *=* Cable Patrol for (BB)-TNI0006-TNIM009 *=* myt_phyoko.ko44 *=* 439.03 Hour</v>
      </c>
      <c r="I8" s="269" t="str">
        <f>IFERROR(__xludf.DUMMYFUNCTION("""COMPUTED_VALUE"""),"WO_WFM-OTHERS_20260623_123616226 *=* Cable Patrol for (AC)-TNI0326-JB(MON0002-TNI0006) *=* myt_bonemyat.naing1 *=* 439.03 Hour")</f>
        <v>WO_WFM-OTHERS_20260623_123616226 *=* Cable Patrol for (AC)-TNI0326-JB(MON0002-TNI0006) *=* myt_bonemyat.naing1 *=* 439.03 Hour</v>
      </c>
      <c r="J8" s="269" t="str">
        <f>IFERROR(__xludf.DUMMYFUNCTION("""COMPUTED_VALUE"""),"WO_WFM-OTHERS_20260623_123613113 *=* Cable routes measure-AC-TNI0319-JB(TNI0005-TNI0013) *=* myt_bhonehtet.aung *=* 439.03 Hour")</f>
        <v>WO_WFM-OTHERS_20260623_123613113 *=* Cable routes measure-AC-TNI0319-JB(TNI0005-TNI0013) *=* myt_bhonehtet.aung *=* 439.03 Hour</v>
      </c>
      <c r="K8" s="269"/>
      <c r="L8" s="269"/>
      <c r="M8" s="269" t="str">
        <f>IFERROR(__xludf.DUMMYFUNCTION("""COMPUTED_VALUE"""),"WO_ICMS_20260623_123615119 *=* TNI0214 MYT_Routine_Maintenance_Mytel_Station MYT_RTE_MTE_SB_STN *=* myt_tharhtoo.aung11 *=* 886.64 Hour")</f>
        <v>WO_ICMS_20260623_123615119 *=* TNI0214 MYT_Routine_Maintenance_Mytel_Station MYT_RTE_MTE_SB_STN *=* myt_tharhtoo.aung11 *=* 886.64 Hour</v>
      </c>
      <c r="N8" s="269" t="str">
        <f>IFERROR(__xludf.DUMMYFUNCTION("""COMPUTED_VALUE"""),"WO_ICMS_20260623_123610998 *=* TNI0207 MYT_Routine_Maintenance_Towerco_Station MYT_RTE_MTE_TCO_STN *=* myt_bonemyat.naing1 *=* 882.55 Hour")</f>
        <v>WO_ICMS_20260623_123610998 *=* TNI0207 MYT_Routine_Maintenance_Towerco_Station MYT_RTE_MTE_TCO_STN *=* myt_bonemyat.naing1 *=* 882.55 Hour</v>
      </c>
      <c r="O8" s="269"/>
      <c r="P8" s="269"/>
      <c r="Q8" s="269"/>
      <c r="R8" s="269" t="str">
        <f>IFERROR(__xludf.DUMMYFUNCTION("""COMPUTED_VALUE"""),"WO_QLCTKT_20260618_123562598 *=* TNI0264 - Repair infrastructure - bla: Cleaning the station, remove grass, vines, tree, rubbish, recall unused equipment, material: Clean the all equipments, room, slabs, install the patchcod neatly, tidy *=* myt_aunglwin."&amp;"phyo *=* -167.83 Hour")</f>
        <v>WO_QLCTKT_20260618_123562598 *=* TNI0264 - Repair infrastructure - bla: Cleaning the station, remove grass, vines, tree, rubbish, recall unused equipment, material: Clean the all equipments, room, slabs, install the patchcod neatly, tidy *=* myt_aunglwin.phyo *=* -167.83 Hour</v>
      </c>
      <c r="S8" s="269"/>
      <c r="T8" s="269"/>
      <c r="U8" s="269"/>
      <c r="V8" s="269"/>
      <c r="W8" s="269"/>
      <c r="X8" s="269"/>
      <c r="Y8" s="269" t="str">
        <f>IFERROR(__xludf.DUMMYFUNCTION("""COMPUTED_VALUE"""),"WO_WFM-OTHERS_20260618_123561893 *=* IP : TNI0046SRT001-TNI0319SRT001 link down at 23/05/2026 11:22:00 *=*  *=* -137.45 Hour")</f>
        <v>WO_WFM-OTHERS_20260618_123561893 *=* IP : TNI0046SRT001-TNI0319SRT001 link down at 23/05/2026 11:22:00 *=*  *=* -137.45 Hour</v>
      </c>
      <c r="Z8" s="269"/>
      <c r="AA8" s="269"/>
      <c r="AB8" s="269" t="str">
        <f>IFERROR(__xludf.DUMMYFUNCTION("""COMPUTED_VALUE"""),"WO_QLCTKT_20260421_123047251 *=* TNI0043 MYT_Maintenacne_Solar *=* myt_tharhtoo.aung11 *=* -1048.95 Hour")</f>
        <v>WO_QLCTKT_20260421_123047251 *=* TNI0043 MYT_Maintenacne_Solar *=* myt_tharhtoo.aung11 *=* -1048.95 Hour</v>
      </c>
      <c r="AC8" s="269" t="str">
        <f>IFERROR(__xludf.DUMMYFUNCTION("""COMPUTED_VALUE"""),"WO_QLCTKT_20260604_123438233 *=* TNI0153 MYT_Troubleshooting Solar Power System *=* myt_tharhtoo.aung11 *=* -520.95 Hour")</f>
        <v>WO_QLCTKT_20260604_123438233 *=* TNI0153 MYT_Troubleshooting Solar Power System *=* myt_tharhtoo.aung11 *=* -520.95 Hour</v>
      </c>
      <c r="AD8" s="269"/>
      <c r="AE8" s="269" t="str">
        <f>IFERROR(__xludf.DUMMYFUNCTION("""COMPUTED_VALUE"""),"WO_QLCTKT_20260624_123618981 *=* TNI0038 MYT_Maintenance_Generator_Change_Oil - MYT_Checking quality for DG Fuel *=* myt_bonemyat.naing1 *=* -64.95 Hour")</f>
        <v>WO_QLCTKT_20260624_123618981 *=* TNI0038 MYT_Maintenance_Generator_Change_Oil - MYT_Checking quality for DG Fuel *=* myt_bonemyat.naing1 *=* -64.95 Hour</v>
      </c>
      <c r="AF8" s="269"/>
      <c r="AG8" s="269"/>
      <c r="AH8" s="269"/>
      <c r="AI8" s="269"/>
      <c r="AJ8" s="269"/>
      <c r="AK8" s="269"/>
      <c r="AL8" s="269"/>
      <c r="AM8" s="269"/>
      <c r="AN8" s="269"/>
      <c r="AO8" s="269"/>
      <c r="AP8" s="269"/>
      <c r="AQ8" s="269"/>
      <c r="AR8" s="269"/>
    </row>
    <row r="9">
      <c r="A9" s="410" t="str">
        <f>IFERROR(__xludf.DUMMYFUNCTION("""COMPUTED_VALUE"""),"WO_WFM-OTHERS_20260623_123616290")</f>
        <v>WO_WFM-OTHERS_20260623_123616290</v>
      </c>
      <c r="B9" s="410" t="str">
        <f>IFERROR(__xludf.DUMMYFUNCTION("""COMPUTED_VALUE"""),"Cable Patrol for (BB)-TNI0012-TNIM018")</f>
        <v>Cable Patrol for (BB)-TNI0012-TNIM018</v>
      </c>
      <c r="C9" s="410">
        <f>IFERROR(__xludf.DUMMYFUNCTION("""COMPUTED_VALUE"""),439.03)</f>
        <v>439.03</v>
      </c>
      <c r="D9" s="410" t="str">
        <f>IFERROR(__xludf.DUMMYFUNCTION("""COMPUTED_VALUE"""),"T4")</f>
        <v>T4</v>
      </c>
      <c r="E9" s="410" t="str">
        <f>IFERROR(__xludf.DUMMYFUNCTION("""COMPUTED_VALUE"""),"TNI0012")</f>
        <v>TNI0012</v>
      </c>
      <c r="F9" s="410"/>
      <c r="H9" s="269"/>
      <c r="I9" s="269" t="str">
        <f>IFERROR(__xludf.DUMMYFUNCTION("""COMPUTED_VALUE"""),"WO_WFM-OTHERS_20260623_123616235 *=* Cable Patrol for (AC)-TNI0201-TNIM056 *=*  *=* 439.03 Hour")</f>
        <v>WO_WFM-OTHERS_20260623_123616235 *=* Cable Patrol for (AC)-TNI0201-TNIM056 *=*  *=* 439.03 Hour</v>
      </c>
      <c r="J9" s="269" t="str">
        <f>IFERROR(__xludf.DUMMYFUNCTION("""COMPUTED_VALUE"""),"WO_WFM-OTHERS_20260623_123613108 *=* Cable routes measure-AC-TNI0147-TNI0357 *=* myt_bhonehtet.aung *=* 439.03 Hour")</f>
        <v>WO_WFM-OTHERS_20260623_123613108 *=* Cable routes measure-AC-TNI0147-TNI0357 *=* myt_bhonehtet.aung *=* 439.03 Hour</v>
      </c>
      <c r="K9" s="269"/>
      <c r="L9" s="269"/>
      <c r="M9" s="269" t="str">
        <f>IFERROR(__xludf.DUMMYFUNCTION("""COMPUTED_VALUE"""),"WO_ICMS_20260623_123615079 *=* TNI0256 MYT_Routine_Maintenance_Mytel_Station MYT_RTE_MTE_SB_STN *=* myt_phyoko.ko44 *=* 886.64 Hour")</f>
        <v>WO_ICMS_20260623_123615079 *=* TNI0256 MYT_Routine_Maintenance_Mytel_Station MYT_RTE_MTE_SB_STN *=* myt_phyoko.ko44 *=* 886.64 Hour</v>
      </c>
      <c r="N9" s="269" t="str">
        <f>IFERROR(__xludf.DUMMYFUNCTION("""COMPUTED_VALUE"""),"WO_ICMS_20260623_123611282 *=* TNI0129 MYT_Routine_Maintenance_Towerco_Station MYT_RTE_MTE_TCO_STN *=* myt_tharhtoo.aung11 *=* 882.55 Hour")</f>
        <v>WO_ICMS_20260623_123611282 *=* TNI0129 MYT_Routine_Maintenance_Towerco_Station MYT_RTE_MTE_TCO_STN *=* myt_tharhtoo.aung11 *=* 882.55 Hour</v>
      </c>
      <c r="O9" s="269"/>
      <c r="P9" s="269"/>
      <c r="Q9" s="269"/>
      <c r="R9" s="269" t="str">
        <f>IFERROR(__xludf.DUMMYFUNCTION("""COMPUTED_VALUE"""),"WO_QLCTKT_20260608_123475280 *=* TNI0006 - Repair infrastructure - bla: Prevent insect, mause, squirrel attack: Cover all cable hole , gaps of room, door, cabinet, ODF *=* myt_tharhtoo.aung11 *=* -506.24 Hour")</f>
        <v>WO_QLCTKT_20260608_123475280 *=* TNI0006 - Repair infrastructure - bla: Prevent insect, mause, squirrel attack: Cover all cable hole , gaps of room, door, cabinet, ODF *=* myt_tharhtoo.aung11 *=* -506.24 Hour</v>
      </c>
      <c r="S9" s="269"/>
      <c r="T9" s="269"/>
      <c r="U9" s="269"/>
      <c r="V9" s="269"/>
      <c r="W9" s="269"/>
      <c r="X9" s="269"/>
      <c r="Y9" s="269" t="str">
        <f>IFERROR(__xludf.DUMMYFUNCTION("""COMPUTED_VALUE"""),"WO_WFM-OTHERS_20260617_123550841 *=* IP : TNI0188SRT001-TNI0330SRT001 link down at 11/06/2026 17:01:00 *=*  *=* -137.45 Hour")</f>
        <v>WO_WFM-OTHERS_20260617_123550841 *=* IP : TNI0188SRT001-TNI0330SRT001 link down at 11/06/2026 17:01:00 *=*  *=* -137.45 Hour</v>
      </c>
      <c r="Z9" s="269"/>
      <c r="AA9" s="269"/>
      <c r="AB9" s="269"/>
      <c r="AC9" s="269" t="str">
        <f>IFERROR(__xludf.DUMMYFUNCTION("""COMPUTED_VALUE"""),"WO_QLCTKT_20260604_123438218 *=* TNI0069 MYT_Troubleshooting Solar Power System *=* myt_bonemyat.naing1 *=* -520.95 Hour")</f>
        <v>WO_QLCTKT_20260604_123438218 *=* TNI0069 MYT_Troubleshooting Solar Power System *=* myt_bonemyat.naing1 *=* -520.95 Hour</v>
      </c>
      <c r="AD9" s="269"/>
      <c r="AE9" s="269" t="str">
        <f>IFERROR(__xludf.DUMMYFUNCTION("""COMPUTED_VALUE"""),"WO_QLCTKT_20260614_123519638 *=* TNI0198 MYT_Maintenance_Generator_Change_Oil - MYT_Maintenance_Generator_Change_Oil_Filter - MYT_Maintenance_Generator_Change_Fuel_Filter - MYT_Maintenance_Generator_Change_Air_Filter, Clean Radiator and Clean Engine Room "&amp;"- MYT_Checking quality for DG Fuel *=* myt_phyoko.ko44 *=* -304.95 Hour")</f>
        <v>WO_QLCTKT_20260614_123519638 *=* TNI0198 MYT_Maintenance_Generator_Change_Oil - MYT_Maintenance_Generator_Change_Oil_Filter - MYT_Maintenance_Generator_Change_Fuel_Filter - MYT_Maintenance_Generator_Change_Air_Filter, Clean Radiator and Clean Engine Room - MYT_Checking quality for DG Fuel *=* myt_phyoko.ko44 *=* -304.95 Hour</v>
      </c>
      <c r="AF9" s="269"/>
      <c r="AG9" s="269"/>
      <c r="AH9" s="269"/>
      <c r="AI9" s="269"/>
      <c r="AJ9" s="269"/>
      <c r="AK9" s="269"/>
      <c r="AL9" s="269"/>
      <c r="AM9" s="269"/>
      <c r="AN9" s="269"/>
      <c r="AO9" s="269"/>
      <c r="AP9" s="269"/>
      <c r="AQ9" s="269"/>
      <c r="AR9" s="269"/>
    </row>
    <row r="10">
      <c r="A10" s="410" t="str">
        <f>IFERROR(__xludf.DUMMYFUNCTION("""COMPUTED_VALUE"""),"WO_WFM-OTHERS_20260623_123616289")</f>
        <v>WO_WFM-OTHERS_20260623_123616289</v>
      </c>
      <c r="B10" s="410" t="str">
        <f>IFERROR(__xludf.DUMMYFUNCTION("""COMPUTED_VALUE"""),"Cable Patrol for (BB)-TNI0011-TNIM017")</f>
        <v>Cable Patrol for (BB)-TNI0011-TNIM017</v>
      </c>
      <c r="C10" s="410">
        <f>IFERROR(__xludf.DUMMYFUNCTION("""COMPUTED_VALUE"""),439.03)</f>
        <v>439.03</v>
      </c>
      <c r="D10" s="410" t="str">
        <f>IFERROR(__xludf.DUMMYFUNCTION("""COMPUTED_VALUE"""),"T4")</f>
        <v>T4</v>
      </c>
      <c r="E10" s="410" t="str">
        <f>IFERROR(__xludf.DUMMYFUNCTION("""COMPUTED_VALUE"""),"TNI0011")</f>
        <v>TNI0011</v>
      </c>
      <c r="F10" s="410"/>
      <c r="H10" s="269"/>
      <c r="I10" s="269" t="str">
        <f>IFERROR(__xludf.DUMMYFUNCTION("""COMPUTED_VALUE"""),"WO_WFM-OTHERS_20260623_123616229 *=* Cable Patrol for (AC)-TNI0390-JB(MON0002-TNI0006) *=* myt_tharhtoo.aung11 *=* 439.03 Hour")</f>
        <v>WO_WFM-OTHERS_20260623_123616229 *=* Cable Patrol for (AC)-TNI0390-JB(MON0002-TNI0006) *=* myt_tharhtoo.aung11 *=* 439.03 Hour</v>
      </c>
      <c r="J10" s="269" t="str">
        <f>IFERROR(__xludf.DUMMYFUNCTION("""COMPUTED_VALUE"""),"WO_WFM-OTHERS_20260623_123613104 *=* Cable routes measure-AC-TNI0357-TNI0170 *=* myt_bonemyat.naing1 *=* 439.03 Hour")</f>
        <v>WO_WFM-OTHERS_20260623_123613104 *=* Cable routes measure-AC-TNI0357-TNI0170 *=* myt_bonemyat.naing1 *=* 439.03 Hour</v>
      </c>
      <c r="K10" s="269"/>
      <c r="L10" s="269"/>
      <c r="M10" s="269" t="str">
        <f>IFERROR(__xludf.DUMMYFUNCTION("""COMPUTED_VALUE"""),"WO_ICMS_20260623_123615074 *=* TNI0264 MYT_Routine_Maintenance_Mytel_Station MYT_RTE_MTE_SB_STN *=* myt_phyoko.ko44 *=* 886.64 Hour")</f>
        <v>WO_ICMS_20260623_123615074 *=* TNI0264 MYT_Routine_Maintenance_Mytel_Station MYT_RTE_MTE_SB_STN *=* myt_phyoko.ko44 *=* 886.64 Hour</v>
      </c>
      <c r="N10" s="269" t="str">
        <f>IFERROR(__xludf.DUMMYFUNCTION("""COMPUTED_VALUE"""),"WO_ICMS_20260623_123611281 *=* TNI0170 MYT_Routine_Maintenance_Towerco_Station MYT_RTE_MTE_TCO_STN *=* myt_bhonehtet.aung *=* 882.55 Hour")</f>
        <v>WO_ICMS_20260623_123611281 *=* TNI0170 MYT_Routine_Maintenance_Towerco_Station MYT_RTE_MTE_TCO_STN *=* myt_bhonehtet.aung *=* 882.55 Hour</v>
      </c>
      <c r="O10" s="269"/>
      <c r="P10" s="269"/>
      <c r="Q10" s="269"/>
      <c r="R10" s="269" t="str">
        <f>IFERROR(__xludf.DUMMYFUNCTION("""COMPUTED_VALUE"""),"WO_QLCTKT_20260604_123442864 *=* TNI0073 - Repair infrastructure - bla: Cleaning the station, remove grass, vines, tree, rubbish, recall unused equipment, material: Clean the station *=* myt_aunglwin.phyo *=* -506.96 Hour")</f>
        <v>WO_QLCTKT_20260604_123442864 *=* TNI0073 - Repair infrastructure - bla: Cleaning the station, remove grass, vines, tree, rubbish, recall unused equipment, material: Clean the station *=* myt_aunglwin.phyo *=* -506.96 Hour</v>
      </c>
      <c r="S10" s="269"/>
      <c r="T10" s="269"/>
      <c r="U10" s="269"/>
      <c r="V10" s="269"/>
      <c r="W10" s="269"/>
      <c r="X10" s="269"/>
      <c r="Y10" s="269" t="str">
        <f>IFERROR(__xludf.DUMMYFUNCTION("""COMPUTED_VALUE"""),"WO_WFM-OTHERS_20260615_123533424 *=* IP : TNI0198SRT001-TNI0278SRT001 link down at 14/06/2026 17:37:00 *=*  *=* -378.45 Hour")</f>
        <v>WO_WFM-OTHERS_20260615_123533424 *=* IP : TNI0198SRT001-TNI0278SRT001 link down at 14/06/2026 17:37:00 *=*  *=* -378.45 Hour</v>
      </c>
      <c r="Z10" s="269"/>
      <c r="AA10" s="269"/>
      <c r="AB10" s="269"/>
      <c r="AC10" s="269" t="str">
        <f>IFERROR(__xludf.DUMMYFUNCTION("""COMPUTED_VALUE"""),"WO_QLCTKT_20260604_123438210 *=* TNI0040 MYT_Troubleshooting Solar Power System *=* myt_aunglwin.phyo *=* -520.95 Hour")</f>
        <v>WO_QLCTKT_20260604_123438210 *=* TNI0040 MYT_Troubleshooting Solar Power System *=* myt_aunglwin.phyo *=* -520.95 Hour</v>
      </c>
      <c r="AD10" s="269"/>
      <c r="AE10" s="269" t="str">
        <f>IFERROR(__xludf.DUMMYFUNCTION("""COMPUTED_VALUE"""),"WO_QLCTKT_20260607_123463093 *=* TNI0314 MYT_Maintenance_Generator_Change_Oil - MYT_Maintenance_Generator_Change_Oil_Filter - MYT_Maintenance_Generator_Change_Fuel_Filter - MYT_Maintenance_Generator_Change_Air_Filter, Clean Radiator and Clean Engine Room "&amp;"- MYT_Checking quality for DG Fuel *=* myt_tharhtoo.aung11 *=* -472.95 Hour")</f>
        <v>WO_QLCTKT_20260607_123463093 *=* TNI0314 MYT_Maintenance_Generator_Change_Oil - MYT_Maintenance_Generator_Change_Oil_Filter - MYT_Maintenance_Generator_Change_Fuel_Filter - MYT_Maintenance_Generator_Change_Air_Filter, Clean Radiator and Clean Engine Room - MYT_Checking quality for DG Fuel *=* myt_tharhtoo.aung11 *=* -472.95 Hour</v>
      </c>
      <c r="AF10" s="269"/>
      <c r="AG10" s="269"/>
      <c r="AH10" s="269"/>
      <c r="AI10" s="269"/>
      <c r="AJ10" s="269"/>
      <c r="AK10" s="269"/>
      <c r="AL10" s="269"/>
      <c r="AM10" s="269"/>
      <c r="AN10" s="269"/>
      <c r="AO10" s="269"/>
      <c r="AP10" s="269"/>
      <c r="AQ10" s="269"/>
      <c r="AR10" s="269"/>
    </row>
    <row r="11">
      <c r="A11" s="410" t="str">
        <f>IFERROR(__xludf.DUMMYFUNCTION("""COMPUTED_VALUE"""),"WO_WFM-OTHERS_20260623_123616253")</f>
        <v>WO_WFM-OTHERS_20260623_123616253</v>
      </c>
      <c r="B11" s="410" t="str">
        <f>IFERROR(__xludf.DUMMYFUNCTION("""COMPUTED_VALUE"""),"IP : SHN0007AGG001-TNI0012AGG001 , KYN0008AGG001-TNI0012AGG001 ,TNI0012SRT001-TNI0435SRT001-TNI0434SRT001 and TNI0012SRT001-TNI0434SRT001 link down at 23/06/2026 09:25:00")</f>
        <v>IP : SHN0007AGG001-TNI0012AGG001 , KYN0008AGG001-TNI0012AGG001 ,TNI0012SRT001-TNI0435SRT001-TNI0434SRT001 and TNI0012SRT001-TNI0434SRT001 link down at 23/06/2026 09:25:00</v>
      </c>
      <c r="C11" s="410">
        <f>IFERROR(__xludf.DUMMYFUNCTION("""COMPUTED_VALUE"""),-186.45)</f>
        <v>-186.45</v>
      </c>
      <c r="D11" s="410" t="str">
        <f>IFERROR(__xludf.DUMMYFUNCTION("""COMPUTED_VALUE"""),"T4")</f>
        <v>T4</v>
      </c>
      <c r="E11" s="410" t="str">
        <f>IFERROR(__xludf.DUMMYFUNCTION("""COMPUTED_VALUE"""),"TNI0012")</f>
        <v>TNI0012</v>
      </c>
      <c r="F11" s="410"/>
      <c r="H11" s="269"/>
      <c r="I11" s="269" t="str">
        <f>IFERROR(__xludf.DUMMYFUNCTION("""COMPUTED_VALUE"""),"WO_WFM-OTHERS_20260623_123616233 *=* Cable Patrol for (AC)-TNI0309-JB(TNI0005-TNI0013) *=* myt_tharhtoo.aung11 *=* 439.03 Hour")</f>
        <v>WO_WFM-OTHERS_20260623_123616233 *=* Cable Patrol for (AC)-TNI0309-JB(TNI0005-TNI0013) *=* myt_tharhtoo.aung11 *=* 439.03 Hour</v>
      </c>
      <c r="J11" s="269" t="str">
        <f>IFERROR(__xludf.DUMMYFUNCTION("""COMPUTED_VALUE"""),"WO_WFM-OTHERS_20260623_123613105 *=* Cable routes measure-AC-TNI0150-TNI0206 *=* myt_bonemyat.naing1 *=* 439.03 Hour")</f>
        <v>WO_WFM-OTHERS_20260623_123613105 *=* Cable routes measure-AC-TNI0150-TNI0206 *=* myt_bonemyat.naing1 *=* 439.03 Hour</v>
      </c>
      <c r="K11" s="269"/>
      <c r="L11" s="269"/>
      <c r="M11" s="269" t="str">
        <f>IFERROR(__xludf.DUMMYFUNCTION("""COMPUTED_VALUE"""),"WO_ICMS_20260623_123615070 *=* TNI0272 MYT_Routine_Maintenance_Mytel_Station MYT_RTE_MTE_SB_STN *=* myt_bonemyat.naing1 *=* 886.64 Hour")</f>
        <v>WO_ICMS_20260623_123615070 *=* TNI0272 MYT_Routine_Maintenance_Mytel_Station MYT_RTE_MTE_SB_STN *=* myt_bonemyat.naing1 *=* 886.64 Hour</v>
      </c>
      <c r="N11" s="269" t="str">
        <f>IFERROR(__xludf.DUMMYFUNCTION("""COMPUTED_VALUE"""),"WO_ICMS_20260623_123611279 *=* TNI0198 MYT_Routine_Maintenance_Towerco_Station MYT_RTE_MTE_TCO_STN *=* myt_bhonehtet.aung *=* 882.55 Hour")</f>
        <v>WO_ICMS_20260623_123611279 *=* TNI0198 MYT_Routine_Maintenance_Towerco_Station MYT_RTE_MTE_TCO_STN *=* myt_bhonehtet.aung *=* 882.55 Hour</v>
      </c>
      <c r="O11" s="269"/>
      <c r="P11" s="269"/>
      <c r="Q11" s="269"/>
      <c r="R11" s="269" t="str">
        <f>IFERROR(__xludf.DUMMYFUNCTION("""COMPUTED_VALUE"""),"WO_QLCTKT_20260604_123442977 *=* TNI0073 - Repair infrastructure - bla: Cleaning the station, remove grass, vines, tree, rubbish, recall unused equipment, material: Clean the station *=* myt_aunglwin.phyo *=* -506.96 Hour")</f>
        <v>WO_QLCTKT_20260604_123442977 *=* TNI0073 - Repair infrastructure - bla: Cleaning the station, remove grass, vines, tree, rubbish, recall unused equipment, material: Clean the station *=* myt_aunglwin.phyo *=* -506.96 Hour</v>
      </c>
      <c r="S11" s="269"/>
      <c r="T11" s="269"/>
      <c r="U11" s="269"/>
      <c r="V11" s="269"/>
      <c r="W11" s="269"/>
      <c r="X11" s="269"/>
      <c r="Y11" s="269" t="str">
        <f>IFERROR(__xludf.DUMMYFUNCTION("""COMPUTED_VALUE"""),"WO_WFM-OTHERS_20260610_123491103 *=* IP : TNI0207SRT001-TNI0356SRT001 link down at 08/06/2026 09:44:00 *=*  *=* -329.45 Hour")</f>
        <v>WO_WFM-OTHERS_20260610_123491103 *=* IP : TNI0207SRT001-TNI0356SRT001 link down at 08/06/2026 09:44:00 *=*  *=* -329.45 Hour</v>
      </c>
      <c r="Z11" s="269"/>
      <c r="AA11" s="269"/>
      <c r="AB11" s="269"/>
      <c r="AC11" s="269"/>
      <c r="AD11" s="269"/>
      <c r="AE11" s="269" t="str">
        <f>IFERROR(__xludf.DUMMYFUNCTION("""COMPUTED_VALUE"""),"WO_WFM-OTHERS_20260605_123451867 *=* TNI0251 MYT_Maintenance_Generator_Cleaning Rediator - MYT_Maintenance_Generator_Checking Coolant Level - MYT_Maintenance_Generator_Change Engine Oil *=* myt_aunglwin.phyo *=* -280.95 Hour")</f>
        <v>WO_WFM-OTHERS_20260605_123451867 *=* TNI0251 MYT_Maintenance_Generator_Cleaning Rediator - MYT_Maintenance_Generator_Checking Coolant Level - MYT_Maintenance_Generator_Change Engine Oil *=* myt_aunglwin.phyo *=* -280.95 Hour</v>
      </c>
      <c r="AF11" s="269"/>
      <c r="AG11" s="269"/>
      <c r="AH11" s="269"/>
      <c r="AI11" s="269"/>
      <c r="AJ11" s="269"/>
      <c r="AK11" s="269"/>
      <c r="AL11" s="269"/>
      <c r="AM11" s="269"/>
      <c r="AN11" s="269"/>
      <c r="AO11" s="269"/>
      <c r="AP11" s="269"/>
      <c r="AQ11" s="269"/>
      <c r="AR11" s="269"/>
    </row>
    <row r="12">
      <c r="A12" s="410" t="str">
        <f>IFERROR(__xludf.DUMMYFUNCTION("""COMPUTED_VALUE"""),"WO_WFM-OTHERS_20260623_123616252")</f>
        <v>WO_WFM-OTHERS_20260623_123616252</v>
      </c>
      <c r="B12" s="410" t="str">
        <f>IFERROR(__xludf.DUMMYFUNCTION("""COMPUTED_VALUE"""),"Cable Patrol for (AC)-TNI0324-JB(TNI0003-TNI0004)")</f>
        <v>Cable Patrol for (AC)-TNI0324-JB(TNI0003-TNI0004)</v>
      </c>
      <c r="C12" s="410">
        <f>IFERROR(__xludf.DUMMYFUNCTION("""COMPUTED_VALUE"""),439.03)</f>
        <v>439.03</v>
      </c>
      <c r="D12" s="410" t="str">
        <f>IFERROR(__xludf.DUMMYFUNCTION("""COMPUTED_VALUE"""),"T2")</f>
        <v>T2</v>
      </c>
      <c r="E12" s="410" t="str">
        <f>IFERROR(__xludf.DUMMYFUNCTION("""COMPUTED_VALUE"""),"TNI0324")</f>
        <v>TNI0324</v>
      </c>
      <c r="F12" s="410"/>
      <c r="H12" s="269"/>
      <c r="I12" s="269" t="str">
        <f>IFERROR(__xludf.DUMMYFUNCTION("""COMPUTED_VALUE"""),"WO_WFM-OTHERS_20260623_123616225 *=* Cable Patrol for (AC)-TNI0006-TNIDOS51 *=* myt_tharhtoo.aung11 *=* 439.03 Hour")</f>
        <v>WO_WFM-OTHERS_20260623_123616225 *=* Cable Patrol for (AC)-TNI0006-TNIDOS51 *=* myt_tharhtoo.aung11 *=* 439.03 Hour</v>
      </c>
      <c r="J12" s="269" t="str">
        <f>IFERROR(__xludf.DUMMYFUNCTION("""COMPUTED_VALUE"""),"WO_WFM-OTHERS_20260623_123613109 *=* Cable routes measure-AC-TNI0206-TNI0213 *=* myt_bonemyat.naing1 *=* 439.03 Hour")</f>
        <v>WO_WFM-OTHERS_20260623_123613109 *=* Cable routes measure-AC-TNI0206-TNI0213 *=* myt_bonemyat.naing1 *=* 439.03 Hour</v>
      </c>
      <c r="K12" s="269"/>
      <c r="L12" s="269"/>
      <c r="M12" s="269" t="str">
        <f>IFERROR(__xludf.DUMMYFUNCTION("""COMPUTED_VALUE"""),"WO_ICMS_20260623_123615073 *=* TNI0265 MYT_Routine_Maintenance_Mytel_Station MYT_RTE_MTE_SB_STN *=* myt_phyoko.ko44 *=* 886.64 Hour")</f>
        <v>WO_ICMS_20260623_123615073 *=* TNI0265 MYT_Routine_Maintenance_Mytel_Station MYT_RTE_MTE_SB_STN *=* myt_phyoko.ko44 *=* 886.64 Hour</v>
      </c>
      <c r="N12" s="269" t="str">
        <f>IFERROR(__xludf.DUMMYFUNCTION("""COMPUTED_VALUE"""),"WO_ICMS_20260623_123611231 *=* TNI0220 MYT_Routine_Maintenance_Towerco_Station MYT_RTE_MTE_TCO_STN *=* myt_tharhtoo.aung11 *=* 882.54 Hour")</f>
        <v>WO_ICMS_20260623_123611231 *=* TNI0220 MYT_Routine_Maintenance_Towerco_Station MYT_RTE_MTE_TCO_STN *=* myt_tharhtoo.aung11 *=* 882.54 Hour</v>
      </c>
      <c r="O12" s="269"/>
      <c r="P12" s="269"/>
      <c r="Q12" s="269"/>
      <c r="R12" s="269" t="str">
        <f>IFERROR(__xludf.DUMMYFUNCTION("""COMPUTED_VALUE"""),"WO_QLCTKT_20260521_123329986 *=* TNI0006 - Repair infrastructure - bla: Install the Equipment: Install the Solar system *=* myt_tharhtoo.aung11 *=* -672.82 Hour")</f>
        <v>WO_QLCTKT_20260521_123329986 *=* TNI0006 - Repair infrastructure - bla: Install the Equipment: Install the Solar system *=* myt_tharhtoo.aung11 *=* -672.82 Hour</v>
      </c>
      <c r="S12" s="269"/>
      <c r="T12" s="269"/>
      <c r="U12" s="269"/>
      <c r="V12" s="269"/>
      <c r="W12" s="269"/>
      <c r="X12" s="269"/>
      <c r="Y12" s="269" t="str">
        <f>IFERROR(__xludf.DUMMYFUNCTION("""COMPUTED_VALUE"""),"WO_WFM-OTHERS_20260610_123488266 *=* IP : TNI0250AGG001-TNI0031SRT001 link down at 08/06/2026 *=*  *=* -497.45 Hour")</f>
        <v>WO_WFM-OTHERS_20260610_123488266 *=* IP : TNI0250AGG001-TNI0031SRT001 link down at 08/06/2026 *=*  *=* -497.45 Hour</v>
      </c>
      <c r="Z12" s="269"/>
      <c r="AA12" s="269"/>
      <c r="AB12" s="269"/>
      <c r="AC12" s="269"/>
      <c r="AD12" s="269"/>
      <c r="AE12" s="269" t="str">
        <f>IFERROR(__xludf.DUMMYFUNCTION("""COMPUTED_VALUE"""),"WO_WFM-OTHERS_20260605_123451668 *=* TNI0247 MYT_Maintenance_Generator_Cleaning Rediator - MYT_Maintenance_Generator_Checking Coolant Level - MYT_Maintenance_Generator_Change Engine Oil *=* myt_aunglwin.phyo *=* -280.95 Hour")</f>
        <v>WO_WFM-OTHERS_20260605_123451668 *=* TNI0247 MYT_Maintenance_Generator_Cleaning Rediator - MYT_Maintenance_Generator_Checking Coolant Level - MYT_Maintenance_Generator_Change Engine Oil *=* myt_aunglwin.phyo *=* -280.95 Hour</v>
      </c>
      <c r="AF12" s="269"/>
      <c r="AG12" s="269"/>
      <c r="AH12" s="269"/>
      <c r="AI12" s="269"/>
      <c r="AJ12" s="269"/>
      <c r="AK12" s="269"/>
      <c r="AL12" s="269"/>
      <c r="AM12" s="269"/>
      <c r="AN12" s="269"/>
      <c r="AO12" s="269"/>
      <c r="AP12" s="269"/>
      <c r="AQ12" s="269"/>
      <c r="AR12" s="269"/>
    </row>
    <row r="13">
      <c r="A13" s="410" t="str">
        <f>IFERROR(__xludf.DUMMYFUNCTION("""COMPUTED_VALUE"""),"WO_WFM-OTHERS_20260623_123616248")</f>
        <v>WO_WFM-OTHERS_20260623_123616248</v>
      </c>
      <c r="B13" s="410" t="str">
        <f>IFERROR(__xludf.DUMMYFUNCTION("""COMPUTED_VALUE"""),"Cable Patrol for (AC)-TNI0281-TNIM069")</f>
        <v>Cable Patrol for (AC)-TNI0281-TNIM069</v>
      </c>
      <c r="C13" s="410">
        <f>IFERROR(__xludf.DUMMYFUNCTION("""COMPUTED_VALUE"""),439.03)</f>
        <v>439.03</v>
      </c>
      <c r="D13" s="410" t="str">
        <f>IFERROR(__xludf.DUMMYFUNCTION("""COMPUTED_VALUE"""),"T2")</f>
        <v>T2</v>
      </c>
      <c r="E13" s="410" t="str">
        <f>IFERROR(__xludf.DUMMYFUNCTION("""COMPUTED_VALUE"""),"TNI0281")</f>
        <v>TNI0281</v>
      </c>
      <c r="F13" s="410"/>
      <c r="H13" s="269"/>
      <c r="I13" s="269" t="str">
        <f>IFERROR(__xludf.DUMMYFUNCTION("""COMPUTED_VALUE"""),"WO_WFM-OTHERS_20260623_123616231 *=* Cable Patrol for (AC)-TNI0314-JB(TNI0147-TNI0148) *=* myt_tharhtoo.aung11 *=* 439.03 Hour")</f>
        <v>WO_WFM-OTHERS_20260623_123616231 *=* Cable Patrol for (AC)-TNI0314-JB(TNI0147-TNI0148) *=* myt_tharhtoo.aung11 *=* 439.03 Hour</v>
      </c>
      <c r="J13" s="269" t="str">
        <f>IFERROR(__xludf.DUMMYFUNCTION("""COMPUTED_VALUE"""),"WO_WFM-OTHERS_20260623_123613112 *=* Cable routes measure-AC-TNI0322-JB(TNI0013-TNI0005) *=* myt_bonemyat.naing1 *=* 439.03 Hour")</f>
        <v>WO_WFM-OTHERS_20260623_123613112 *=* Cable routes measure-AC-TNI0322-JB(TNI0013-TNI0005) *=* myt_bonemyat.naing1 *=* 439.03 Hour</v>
      </c>
      <c r="K13" s="269"/>
      <c r="L13" s="269"/>
      <c r="M13" s="269" t="str">
        <f>IFERROR(__xludf.DUMMYFUNCTION("""COMPUTED_VALUE"""),"WO_ICMS_20260623_123615067 *=* TNI0321 MYT_Routine_Maintenance_Mytel_Station MYT_RTE_MTE_SB_STN *=* myt_phyoko.ko44 *=* 886.64 Hour")</f>
        <v>WO_ICMS_20260623_123615067 *=* TNI0321 MYT_Routine_Maintenance_Mytel_Station MYT_RTE_MTE_SB_STN *=* myt_phyoko.ko44 *=* 886.64 Hour</v>
      </c>
      <c r="N13" s="269" t="str">
        <f>IFERROR(__xludf.DUMMYFUNCTION("""COMPUTED_VALUE"""),"WO_ICMS_20260623_123611228 *=* TNI0392 MYT_Routine_Maintenance_Towerco_Station MYT_RTE_MTE_TCO_STN *=* myt_aungthin.mya *=* 882.54 Hour")</f>
        <v>WO_ICMS_20260623_123611228 *=* TNI0392 MYT_Routine_Maintenance_Towerco_Station MYT_RTE_MTE_TCO_STN *=* myt_aungthin.mya *=* 882.54 Hour</v>
      </c>
      <c r="O13" s="269"/>
      <c r="P13" s="269"/>
      <c r="Q13" s="269"/>
      <c r="R13" s="269" t="str">
        <f>IFERROR(__xludf.DUMMYFUNCTION("""COMPUTED_VALUE"""),"WO_QLCTKT_20260521_123326056 *=* TNI0247 - Repair infrastructure - bla: Cleaning the station, remove grass, vines, tree, rubbish, recall unused equipment, material: Clean the station *=* myt_myothant.htoo *=* -848.21 Hour")</f>
        <v>WO_QLCTKT_20260521_123326056 *=* TNI0247 - Repair infrastructure - bla: Cleaning the station, remove grass, vines, tree, rubbish, recall unused equipment, material: Clean the station *=* myt_myothant.htoo *=* -848.21 Hour</v>
      </c>
      <c r="S13" s="269"/>
      <c r="T13" s="269"/>
      <c r="U13" s="269"/>
      <c r="V13" s="269"/>
      <c r="W13" s="269"/>
      <c r="X13" s="269"/>
      <c r="Y13" s="269" t="str">
        <f>IFERROR(__xludf.DUMMYFUNCTION("""COMPUTED_VALUE"""),"WO_WFM-OTHERS_20260609_123486509 *=* IP : TNI0006SRT002-TNI0206SRT001 and TNI0213SRT001-TNI0283SRT001 link down at 09/06/2026 *=*  *=* -497.45 Hour")</f>
        <v>WO_WFM-OTHERS_20260609_123486509 *=* IP : TNI0006SRT002-TNI0206SRT001 and TNI0213SRT001-TNI0283SRT001 link down at 09/06/2026 *=*  *=* -497.45 Hour</v>
      </c>
      <c r="Z13" s="269"/>
      <c r="AA13" s="269"/>
      <c r="AB13" s="269"/>
      <c r="AC13" s="269"/>
      <c r="AD13" s="269"/>
      <c r="AE13" s="269" t="str">
        <f>IFERROR(__xludf.DUMMYFUNCTION("""COMPUTED_VALUE"""),"WO_WFM-OTHERS_20260605_123451861 *=* TNI0231 MYT_Maintenance_Generator_Cleaning Rediator - MYT_Maintenance_Generator_Checking Coolant Level - MYT_Maintenance_Generator_Change Engine Oil *=* myt_bonemyat.naing1 *=* -280.95 Hour")</f>
        <v>WO_WFM-OTHERS_20260605_123451861 *=* TNI0231 MYT_Maintenance_Generator_Cleaning Rediator - MYT_Maintenance_Generator_Checking Coolant Level - MYT_Maintenance_Generator_Change Engine Oil *=* myt_bonemyat.naing1 *=* -280.95 Hour</v>
      </c>
      <c r="AF13" s="269"/>
      <c r="AG13" s="269"/>
      <c r="AH13" s="269"/>
      <c r="AI13" s="269"/>
      <c r="AJ13" s="269"/>
      <c r="AK13" s="269"/>
      <c r="AL13" s="269"/>
      <c r="AM13" s="269"/>
      <c r="AN13" s="269"/>
      <c r="AO13" s="269"/>
      <c r="AP13" s="269"/>
      <c r="AQ13" s="269"/>
      <c r="AR13" s="269"/>
    </row>
    <row r="14">
      <c r="A14" s="410" t="str">
        <f>IFERROR(__xludf.DUMMYFUNCTION("""COMPUTED_VALUE"""),"WO_WFM-OTHERS_20260623_123616234")</f>
        <v>WO_WFM-OTHERS_20260623_123616234</v>
      </c>
      <c r="B14" s="410" t="str">
        <f>IFERROR(__xludf.DUMMYFUNCTION("""COMPUTED_VALUE"""),"Cable Patrol for (AC)-TNI0197-TNIM054")</f>
        <v>Cable Patrol for (AC)-TNI0197-TNIM054</v>
      </c>
      <c r="C14" s="410">
        <f>IFERROR(__xludf.DUMMYFUNCTION("""COMPUTED_VALUE"""),439.03)</f>
        <v>439.03</v>
      </c>
      <c r="D14" s="410" t="str">
        <f>IFERROR(__xludf.DUMMYFUNCTION("""COMPUTED_VALUE"""),"T1")</f>
        <v>T1</v>
      </c>
      <c r="E14" s="410" t="str">
        <f>IFERROR(__xludf.DUMMYFUNCTION("""COMPUTED_VALUE"""),"TNI0197")</f>
        <v>TNI0197</v>
      </c>
      <c r="F14" s="410"/>
      <c r="H14" s="269"/>
      <c r="I14" s="269" t="str">
        <f>IFERROR(__xludf.DUMMYFUNCTION("""COMPUTED_VALUE"""),"WO_WFM-OTHERS_20260623_123616224 *=* Cable Patrol for (AC)-TNI0312-JB(TNI0006-TNI0013) *=* myt_bonemyat.naing1 *=* 439.03 Hour")</f>
        <v>WO_WFM-OTHERS_20260623_123616224 *=* Cable Patrol for (AC)-TNI0312-JB(TNI0006-TNI0013) *=* myt_bonemyat.naing1 *=* 439.03 Hour</v>
      </c>
      <c r="J14" s="269" t="str">
        <f>IFERROR(__xludf.DUMMYFUNCTION("""COMPUTED_VALUE"""),"WO_WFM-OTHERS_20260623_123613106 *=* Cable routes measure-AC-TNI0146-TNI0357 *=* myt_bonemyat.naing1 *=* 439.03 Hour")</f>
        <v>WO_WFM-OTHERS_20260623_123613106 *=* Cable routes measure-AC-TNI0146-TNI0357 *=* myt_bonemyat.naing1 *=* 439.03 Hour</v>
      </c>
      <c r="K14" s="269"/>
      <c r="L14" s="269"/>
      <c r="M14" s="269" t="str">
        <f>IFERROR(__xludf.DUMMYFUNCTION("""COMPUTED_VALUE"""),"WO_ICMS_20260623_123615068 *=* TNI0305 MYT_Routine_Maintenance_Mytel_Station MYT_RTE_MTE_SB_STN *=* myt_tharhtoo.aung11 *=* 886.64 Hour")</f>
        <v>WO_ICMS_20260623_123615068 *=* TNI0305 MYT_Routine_Maintenance_Mytel_Station MYT_RTE_MTE_SB_STN *=* myt_tharhtoo.aung11 *=* 886.64 Hour</v>
      </c>
      <c r="N14" s="269" t="str">
        <f>IFERROR(__xludf.DUMMYFUNCTION("""COMPUTED_VALUE"""),"WO_ICMS_20260623_123611226 *=* TNI0426 MYT_Routine_Maintenance_Towerco_Station MYT_RTE_MTE_TCO_STN *=* myt_aunglwin.phyo *=* 882.54 Hour")</f>
        <v>WO_ICMS_20260623_123611226 *=* TNI0426 MYT_Routine_Maintenance_Towerco_Station MYT_RTE_MTE_TCO_STN *=* myt_aunglwin.phyo *=* 882.54 Hour</v>
      </c>
      <c r="O14" s="269"/>
      <c r="P14" s="269"/>
      <c r="Q14" s="269"/>
      <c r="R14" s="269" t="str">
        <f>IFERROR(__xludf.DUMMYFUNCTION("""COMPUTED_VALUE"""),"WO_QLCTKT_20260511_123247548 *=* TNI0046 - Repair infrastructure - bla: Cleaning the station, remove grass, vines, tree, rubbish, recall unused equipment, material: Recall unused materials at site (cables, equipment broken...) *=* myt_aunglwin.phyo *=* -9"&amp;"14.77 Hour")</f>
        <v>WO_QLCTKT_20260511_123247548 *=* TNI0046 - Repair infrastructure - bla: Cleaning the station, remove grass, vines, tree, rubbish, recall unused equipment, material: Recall unused materials at site (cables, equipment broken...) *=* myt_aunglwin.phyo *=* -914.77 Hour</v>
      </c>
      <c r="S14" s="269"/>
      <c r="T14" s="269"/>
      <c r="U14" s="269"/>
      <c r="V14" s="269"/>
      <c r="W14" s="269"/>
      <c r="X14" s="269"/>
      <c r="Y14" s="269" t="str">
        <f>IFERROR(__xludf.DUMMYFUNCTION("""COMPUTED_VALUE"""),"WO_WFM-OTHERS_20260604_123443410 *=* IP : TNI0006SRT002-TNI0331SRT001 link down at 03/06/2026 21:33:54 *=*  *=* -641.45 Hour")</f>
        <v>WO_WFM-OTHERS_20260604_123443410 *=* IP : TNI0006SRT002-TNI0331SRT001 link down at 03/06/2026 21:33:54 *=*  *=* -641.45 Hour</v>
      </c>
      <c r="Z14" s="269"/>
      <c r="AA14" s="269"/>
      <c r="AB14" s="269"/>
      <c r="AC14" s="269"/>
      <c r="AD14" s="269"/>
      <c r="AE14" s="269" t="str">
        <f>IFERROR(__xludf.DUMMYFUNCTION("""COMPUTED_VALUE"""),"WO_WFM-OTHERS_20260605_123451841 *=* TNI0211 MYT_Maintenance_Generator_Cleaning Rediator - MYT_Maintenance_Generator_Checking Coolant Level - MYT_Maintenance_Generator_Change Engine Oil *=* myt_bonemyat.naing1 *=* -280.95 Hour")</f>
        <v>WO_WFM-OTHERS_20260605_123451841 *=* TNI0211 MYT_Maintenance_Generator_Cleaning Rediator - MYT_Maintenance_Generator_Checking Coolant Level - MYT_Maintenance_Generator_Change Engine Oil *=* myt_bonemyat.naing1 *=* -280.95 Hour</v>
      </c>
      <c r="AF14" s="269"/>
      <c r="AG14" s="269"/>
      <c r="AH14" s="269"/>
      <c r="AI14" s="269"/>
      <c r="AJ14" s="269"/>
      <c r="AK14" s="269"/>
      <c r="AL14" s="269"/>
      <c r="AM14" s="269"/>
      <c r="AN14" s="269"/>
      <c r="AO14" s="269"/>
      <c r="AP14" s="269"/>
      <c r="AQ14" s="269"/>
      <c r="AR14" s="269"/>
    </row>
    <row r="15">
      <c r="A15" s="410" t="str">
        <f>IFERROR(__xludf.DUMMYFUNCTION("""COMPUTED_VALUE"""),"WO_WFM-OTHERS_20260623_123616235")</f>
        <v>WO_WFM-OTHERS_20260623_123616235</v>
      </c>
      <c r="B15" s="410" t="str">
        <f>IFERROR(__xludf.DUMMYFUNCTION("""COMPUTED_VALUE"""),"Cable Patrol for (AC)-TNI0201-TNIM056")</f>
        <v>Cable Patrol for (AC)-TNI0201-TNIM056</v>
      </c>
      <c r="C15" s="410">
        <f>IFERROR(__xludf.DUMMYFUNCTION("""COMPUTED_VALUE"""),439.03)</f>
        <v>439.03</v>
      </c>
      <c r="D15" s="410" t="str">
        <f>IFERROR(__xludf.DUMMYFUNCTION("""COMPUTED_VALUE"""),"T1")</f>
        <v>T1</v>
      </c>
      <c r="E15" s="410" t="str">
        <f>IFERROR(__xludf.DUMMYFUNCTION("""COMPUTED_VALUE"""),"TNI0201")</f>
        <v>TNI0201</v>
      </c>
      <c r="F15" s="410"/>
      <c r="H15" s="269"/>
      <c r="I15" s="269" t="str">
        <f>IFERROR(__xludf.DUMMYFUNCTION("""COMPUTED_VALUE"""),"WO_WFM-OTHERS_20260623_123616213 *=* Cable Patrol for (AC)-TNI0273-TNIM063 *=* myt_bonemyat.naing1 *=* 439.03 Hour")</f>
        <v>WO_WFM-OTHERS_20260623_123616213 *=* Cable Patrol for (AC)-TNI0273-TNIM063 *=* myt_bonemyat.naing1 *=* 439.03 Hour</v>
      </c>
      <c r="J15" s="269" t="str">
        <f>IFERROR(__xludf.DUMMYFUNCTION("""COMPUTED_VALUE"""),"WO_WFM-OTHERS_20260623_123613107 *=* Cable routes measure-AC-TNI0206-TNI0220 *=* myt_bonemyat.naing1 *=* 439.03 Hour")</f>
        <v>WO_WFM-OTHERS_20260623_123613107 *=* Cable routes measure-AC-TNI0206-TNI0220 *=* myt_bonemyat.naing1 *=* 439.03 Hour</v>
      </c>
      <c r="K15" s="269"/>
      <c r="L15" s="269"/>
      <c r="M15" s="269" t="str">
        <f>IFERROR(__xludf.DUMMYFUNCTION("""COMPUTED_VALUE"""),"WO_ICMS_20260623_123615036 *=* TNI0394 MYT_Routine_Maintenance_Mytel_Station MYT_RTE_MTE_SB_STN *=* myt_paingaung.soe *=* 886.64 Hour")</f>
        <v>WO_ICMS_20260623_123615036 *=* TNI0394 MYT_Routine_Maintenance_Mytel_Station MYT_RTE_MTE_SB_STN *=* myt_paingaung.soe *=* 886.64 Hour</v>
      </c>
      <c r="N15" s="269" t="str">
        <f>IFERROR(__xludf.DUMMYFUNCTION("""COMPUTED_VALUE"""),"WO_QLCTKT_20260509_123226864 *=* TNI0312 MYT_Routine_Maintenance_Towerco_Station_VCM *=* myt_phyoko.ko44 *=* -256.95 Hour")</f>
        <v>WO_QLCTKT_20260509_123226864 *=* TNI0312 MYT_Routine_Maintenance_Towerco_Station_VCM *=* myt_phyoko.ko44 *=* -256.95 Hour</v>
      </c>
      <c r="O15" s="269"/>
      <c r="P15" s="269"/>
      <c r="Q15" s="269"/>
      <c r="R15" s="269" t="str">
        <f>IFERROR(__xludf.DUMMYFUNCTION("""COMPUTED_VALUE"""),"WO_QLCTKT_20260511_123247393 *=* TNI0046 - Repair infrastructure - bla: Cleaning the station, remove grass, vines, tree, rubbish, recall unused equipment, material: Clean the all equipments, room, slabs, install the patchcod neatly, tidy *=* myt_aunglwin."&amp;"phyo *=* -1083.3 Hour")</f>
        <v>WO_QLCTKT_20260511_123247393 *=* TNI0046 - Repair infrastructure - bla: Cleaning the station, remove grass, vines, tree, rubbish, recall unused equipment, material: Clean the all equipments, room, slabs, install the patchcod neatly, tidy *=* myt_aunglwin.phyo *=* -1083.3 Hour</v>
      </c>
      <c r="S15" s="269"/>
      <c r="T15" s="269"/>
      <c r="U15" s="269"/>
      <c r="V15" s="269"/>
      <c r="W15" s="269"/>
      <c r="X15" s="269"/>
      <c r="Y15" s="269" t="str">
        <f>IFERROR(__xludf.DUMMYFUNCTION("""COMPUTED_VALUE"""),"WO_WFM-OTHERS_20260604_123443396 *=* IP : TNI0146SRT001- TNI0197SRT001 link down at 04/06/2026 00:09:54 *=*  *=* -641.45 Hour")</f>
        <v>WO_WFM-OTHERS_20260604_123443396 *=* IP : TNI0146SRT001- TNI0197SRT001 link down at 04/06/2026 00:09:54 *=*  *=* -641.45 Hour</v>
      </c>
      <c r="Z15" s="269"/>
      <c r="AA15" s="269"/>
      <c r="AB15" s="269"/>
      <c r="AC15" s="269"/>
      <c r="AD15" s="269"/>
      <c r="AE15" s="269" t="str">
        <f>IFERROR(__xludf.DUMMYFUNCTION("""COMPUTED_VALUE"""),"WO_WFM-OTHERS_20260605_123451657 *=* TNI0170 MYT_Maintenance_Generator_Cleaning Rediator - MYT_Maintenance_Generator_Checking Coolant Level - MYT_Maintenance_Generator_Change Engine Oil *=* myt_bonemyat.naing1 *=* -280.95 Hour")</f>
        <v>WO_WFM-OTHERS_20260605_123451657 *=* TNI0170 MYT_Maintenance_Generator_Cleaning Rediator - MYT_Maintenance_Generator_Checking Coolant Level - MYT_Maintenance_Generator_Change Engine Oil *=* myt_bonemyat.naing1 *=* -280.95 Hour</v>
      </c>
      <c r="AF15" s="269"/>
      <c r="AG15" s="269"/>
      <c r="AH15" s="269"/>
      <c r="AI15" s="269"/>
      <c r="AJ15" s="269"/>
      <c r="AK15" s="269"/>
      <c r="AL15" s="269"/>
      <c r="AM15" s="269"/>
      <c r="AN15" s="269"/>
      <c r="AO15" s="269"/>
      <c r="AP15" s="269"/>
      <c r="AQ15" s="269"/>
      <c r="AR15" s="269"/>
    </row>
    <row r="16">
      <c r="A16" s="410" t="str">
        <f>IFERROR(__xludf.DUMMYFUNCTION("""COMPUTED_VALUE"""),"WO_WFM-OTHERS_20260623_123613359")</f>
        <v>WO_WFM-OTHERS_20260623_123613359</v>
      </c>
      <c r="B16" s="410" t="str">
        <f>IFERROR(__xludf.DUMMYFUNCTION("""COMPUTED_VALUE"""),"Cable routes measure-AC-TNI0350-JB(TNI0011-TNI0012)")</f>
        <v>Cable routes measure-AC-TNI0350-JB(TNI0011-TNI0012)</v>
      </c>
      <c r="C16" s="410">
        <f>IFERROR(__xludf.DUMMYFUNCTION("""COMPUTED_VALUE"""),439.03)</f>
        <v>439.03</v>
      </c>
      <c r="D16" s="410" t="str">
        <f>IFERROR(__xludf.DUMMYFUNCTION("""COMPUTED_VALUE"""),"T4")</f>
        <v>T4</v>
      </c>
      <c r="E16" s="410" t="str">
        <f>IFERROR(__xludf.DUMMYFUNCTION("""COMPUTED_VALUE"""),"TNI0350")</f>
        <v>TNI0350</v>
      </c>
      <c r="F16" s="410"/>
      <c r="H16" s="269"/>
      <c r="I16" s="269" t="str">
        <f>IFERROR(__xludf.DUMMYFUNCTION("""COMPUTED_VALUE"""),"WO_WFM-OTHERS_20260623_123616216 *=* Cable Patrol for (AC)-TNI0198-TNIM055 *=* myt_phyoko.ko44 *=* 439.03 Hour")</f>
        <v>WO_WFM-OTHERS_20260623_123616216 *=* Cable Patrol for (AC)-TNI0198-TNIM055 *=* myt_phyoko.ko44 *=* 439.03 Hour</v>
      </c>
      <c r="J16" s="269" t="str">
        <f>IFERROR(__xludf.DUMMYFUNCTION("""COMPUTED_VALUE"""),"WO_WFM-OTHERS_20260623_123613103 *=* Cable routes measure-AC-TNI0148-TNI0150 *=* myt_bonemyat.naing1 *=* 439.03 Hour")</f>
        <v>WO_WFM-OTHERS_20260623_123613103 *=* Cable routes measure-AC-TNI0148-TNI0150 *=* myt_bonemyat.naing1 *=* 439.03 Hour</v>
      </c>
      <c r="K16" s="269"/>
      <c r="L16" s="269"/>
      <c r="M16" s="269" t="str">
        <f>IFERROR(__xludf.DUMMYFUNCTION("""COMPUTED_VALUE"""),"WO_QLCTKT_20260529_123389868 *=* TNI0257 MYT_Routine_Maintenance_Mytel_Station_VCM *=* myt_myothant.htoo *=* 223.05 Hour")</f>
        <v>WO_QLCTKT_20260529_123389868 *=* TNI0257 MYT_Routine_Maintenance_Mytel_Station_VCM *=* myt_myothant.htoo *=* 223.05 Hour</v>
      </c>
      <c r="N16" s="269" t="str">
        <f>IFERROR(__xludf.DUMMYFUNCTION("""COMPUTED_VALUE"""),"WO_QLCTKT_20260509_123226338 *=* TNI0197 MYT_Routine_Maintenance_Towerco_Station_VCM *=* myt_myothant.htoo *=* -256.95 Hour")</f>
        <v>WO_QLCTKT_20260509_123226338 *=* TNI0197 MYT_Routine_Maintenance_Towerco_Station_VCM *=* myt_myothant.htoo *=* -256.95 Hour</v>
      </c>
      <c r="O16" s="269"/>
      <c r="P16" s="269"/>
      <c r="Q16" s="269"/>
      <c r="R16" s="269" t="str">
        <f>IFERROR(__xludf.DUMMYFUNCTION("""COMPUTED_VALUE"""),"WO_QLCTKT_20260511_123247241 *=* TNI0046 - Repair infrastructure - bla: Cleaning the station, remove grass, vines, tree, rubbish, recall unused equipment, material: Ensure: Cleaning tool, slipper *=* myt_aunglwin.phyo *=* -531.73 Hour")</f>
        <v>WO_QLCTKT_20260511_123247241 *=* TNI0046 - Repair infrastructure - bla: Cleaning the station, remove grass, vines, tree, rubbish, recall unused equipment, material: Ensure: Cleaning tool, slipper *=* myt_aunglwin.phyo *=* -531.73 Hour</v>
      </c>
      <c r="S16" s="269"/>
      <c r="T16" s="269"/>
      <c r="U16" s="269"/>
      <c r="V16" s="269"/>
      <c r="W16" s="269"/>
      <c r="X16" s="269"/>
      <c r="Y16" s="269" t="str">
        <f>IFERROR(__xludf.DUMMYFUNCTION("""COMPUTED_VALUE"""),"WO_WFM-OTHERS_20260601_123419141 *=* IP : TNI0089SRT001-TNI0275SRT001 link down at 31/05/2026 11:22:00 *=*  *=* -593.45 Hour")</f>
        <v>WO_WFM-OTHERS_20260601_123419141 *=* IP : TNI0089SRT001-TNI0275SRT001 link down at 31/05/2026 11:22:00 *=*  *=* -593.45 Hour</v>
      </c>
      <c r="Z16" s="269"/>
      <c r="AA16" s="269"/>
      <c r="AB16" s="269"/>
      <c r="AC16" s="269"/>
      <c r="AD16" s="269"/>
      <c r="AE16" s="269" t="str">
        <f>IFERROR(__xludf.DUMMYFUNCTION("""COMPUTED_VALUE"""),"WO_WFM-OTHERS_20260605_123451826 *=* TNI0089 MYT_Maintenance_Generator_Cleaning Rediator - MYT_Maintenance_Generator_Checking Coolant Level - MYT_Maintenance_Generator_Change Engine Oil *=* myt_bhonehtet.aung *=* -280.95 Hour")</f>
        <v>WO_WFM-OTHERS_20260605_123451826 *=* TNI0089 MYT_Maintenance_Generator_Cleaning Rediator - MYT_Maintenance_Generator_Checking Coolant Level - MYT_Maintenance_Generator_Change Engine Oil *=* myt_bhonehtet.aung *=* -280.95 Hour</v>
      </c>
      <c r="AF16" s="269"/>
      <c r="AG16" s="269"/>
      <c r="AH16" s="269"/>
      <c r="AI16" s="269"/>
      <c r="AJ16" s="269"/>
      <c r="AK16" s="269"/>
      <c r="AL16" s="269"/>
      <c r="AM16" s="269"/>
      <c r="AN16" s="269"/>
      <c r="AO16" s="269"/>
      <c r="AP16" s="269"/>
      <c r="AQ16" s="269"/>
      <c r="AR16" s="269"/>
    </row>
    <row r="17">
      <c r="A17" s="410" t="str">
        <f>IFERROR(__xludf.DUMMYFUNCTION("""COMPUTED_VALUE"""),"WO_WFM-OTHERS_20260623_123613157")</f>
        <v>WO_WFM-OTHERS_20260623_123613157</v>
      </c>
      <c r="B17" s="410" t="str">
        <f>IFERROR(__xludf.DUMMYFUNCTION("""COMPUTED_VALUE"""),"Cable routes measure-AC-TNI0355-JB(TNI0012-TNI0015)")</f>
        <v>Cable routes measure-AC-TNI0355-JB(TNI0012-TNI0015)</v>
      </c>
      <c r="C17" s="410">
        <f>IFERROR(__xludf.DUMMYFUNCTION("""COMPUTED_VALUE"""),439.03)</f>
        <v>439.03</v>
      </c>
      <c r="D17" s="410" t="str">
        <f>IFERROR(__xludf.DUMMYFUNCTION("""COMPUTED_VALUE"""),"T4")</f>
        <v>T4</v>
      </c>
      <c r="E17" s="410" t="str">
        <f>IFERROR(__xludf.DUMMYFUNCTION("""COMPUTED_VALUE"""),"TNI0355")</f>
        <v>TNI0355</v>
      </c>
      <c r="F17" s="410"/>
      <c r="H17" s="269"/>
      <c r="I17" s="269" t="str">
        <f>IFERROR(__xludf.DUMMYFUNCTION("""COMPUTED_VALUE"""),"WO_WFM-OTHERS_20260623_123616222 *=* Cable Patrol for (AC)-TNI0288-TNIM073 *=* myt_phyoko.ko44 *=* 439.03 Hour")</f>
        <v>WO_WFM-OTHERS_20260623_123616222 *=* Cable Patrol for (AC)-TNI0288-TNIM073 *=* myt_phyoko.ko44 *=* 439.03 Hour</v>
      </c>
      <c r="J17" s="269" t="str">
        <f>IFERROR(__xludf.DUMMYFUNCTION("""COMPUTED_VALUE"""),"WO_WFM-OTHERS_20260623_123613111 *=* Cable routes measure-AC-TNI0115-TNI0275 *=* myt_bonemyat.naing1 *=* 439.03 Hour")</f>
        <v>WO_WFM-OTHERS_20260623_123613111 *=* Cable routes measure-AC-TNI0115-TNI0275 *=* myt_bonemyat.naing1 *=* 439.03 Hour</v>
      </c>
      <c r="K17" s="269"/>
      <c r="L17" s="269"/>
      <c r="M17" s="269" t="str">
        <f>IFERROR(__xludf.DUMMYFUNCTION("""COMPUTED_VALUE"""),"WO_QLCTKT_20260529_123389851 *=* TNI0251 MYT_Routine_Maintenance_Mytel_Station_VCM *=* myt_bhonehtet.aung *=* 223.05 Hour")</f>
        <v>WO_QLCTKT_20260529_123389851 *=* TNI0251 MYT_Routine_Maintenance_Mytel_Station_VCM *=* myt_bhonehtet.aung *=* 223.05 Hour</v>
      </c>
      <c r="N17" s="269" t="str">
        <f>IFERROR(__xludf.DUMMYFUNCTION("""COMPUTED_VALUE"""),"WO_QLCTKT_20260509_123225930 *=* TNI0351 MYT_Routine_Maintenance_Towerco_Station_VCM *=* myt_tharhtoo.aung11 *=* -256.95 Hour")</f>
        <v>WO_QLCTKT_20260509_123225930 *=* TNI0351 MYT_Routine_Maintenance_Towerco_Station_VCM *=* myt_tharhtoo.aung11 *=* -256.95 Hour</v>
      </c>
      <c r="O17" s="269"/>
      <c r="P17" s="269"/>
      <c r="Q17" s="269"/>
      <c r="R17" s="269" t="str">
        <f>IFERROR(__xludf.DUMMYFUNCTION("""COMPUTED_VALUE"""),"WO_QLCTKT_20260409_122953368 *=* TNI0049 - Repair infrastructure - MYT_Operation Management: Maintenance the equipments: Maintenance Battery &amp; Battery cabinet *=* myt_bonemyat.naing1 *=* -1855.68 Hour")</f>
        <v>WO_QLCTKT_20260409_122953368 *=* TNI0049 - Repair infrastructure - MYT_Operation Management: Maintenance the equipments: Maintenance Battery &amp; Battery cabinet *=* myt_bonemyat.naing1 *=* -1855.68 Hour</v>
      </c>
      <c r="S17" s="269"/>
      <c r="T17" s="269"/>
      <c r="U17" s="269"/>
      <c r="V17" s="269"/>
      <c r="W17" s="269"/>
      <c r="X17" s="269"/>
      <c r="Y17" s="269" t="str">
        <f>IFERROR(__xludf.DUMMYFUNCTION("""COMPUTED_VALUE"""),"WO_WFM-OTHERS_20260601_123419138 *=* IP : TNI0213SRT001-TNI0150SRT001 link down at 29/05/2026 17:30:00 *=*  *=* -593.45 Hour")</f>
        <v>WO_WFM-OTHERS_20260601_123419138 *=* IP : TNI0213SRT001-TNI0150SRT001 link down at 29/05/2026 17:30:00 *=*  *=* -593.45 Hour</v>
      </c>
      <c r="Z17" s="269"/>
      <c r="AA17" s="269"/>
      <c r="AB17" s="269"/>
      <c r="AC17" s="269"/>
      <c r="AD17" s="269"/>
      <c r="AE17" s="269" t="str">
        <f>IFERROR(__xludf.DUMMYFUNCTION("""COMPUTED_VALUE"""),"WO_WFM-OTHERS_20260605_123451652 *=* TNI0046 MYT_Maintenance_Generator_Cleaning Rediator - MYT_Maintenance_Generator_Checking Coolant Level - MYT_Maintenance_Generator_Change Engine Oil *=* myt_phyoko.ko44 *=* -280.95 Hour")</f>
        <v>WO_WFM-OTHERS_20260605_123451652 *=* TNI0046 MYT_Maintenance_Generator_Cleaning Rediator - MYT_Maintenance_Generator_Checking Coolant Level - MYT_Maintenance_Generator_Change Engine Oil *=* myt_phyoko.ko44 *=* -280.95 Hour</v>
      </c>
      <c r="AF17" s="269"/>
      <c r="AG17" s="269"/>
      <c r="AH17" s="269"/>
      <c r="AI17" s="269"/>
      <c r="AJ17" s="269"/>
      <c r="AK17" s="269"/>
      <c r="AL17" s="269"/>
      <c r="AM17" s="269"/>
      <c r="AN17" s="269"/>
      <c r="AO17" s="269"/>
      <c r="AP17" s="269"/>
      <c r="AQ17" s="269"/>
      <c r="AR17" s="269"/>
    </row>
    <row r="18">
      <c r="A18" s="410" t="str">
        <f>IFERROR(__xludf.DUMMYFUNCTION("""COMPUTED_VALUE"""),"WO_WFM-OTHERS_20260623_123613158")</f>
        <v>WO_WFM-OTHERS_20260623_123613158</v>
      </c>
      <c r="B18" s="410" t="str">
        <f>IFERROR(__xludf.DUMMYFUNCTION("""COMPUTED_VALUE"""),"Cable routes measure-AC-TNI0037-TNI0254")</f>
        <v>Cable routes measure-AC-TNI0037-TNI0254</v>
      </c>
      <c r="C18" s="410">
        <f>IFERROR(__xludf.DUMMYFUNCTION("""COMPUTED_VALUE"""),439.03)</f>
        <v>439.03</v>
      </c>
      <c r="D18" s="410" t="str">
        <f>IFERROR(__xludf.DUMMYFUNCTION("""COMPUTED_VALUE"""),"T4")</f>
        <v>T4</v>
      </c>
      <c r="E18" s="410" t="str">
        <f>IFERROR(__xludf.DUMMYFUNCTION("""COMPUTED_VALUE"""),"TNI0037")</f>
        <v>TNI0037</v>
      </c>
      <c r="F18" s="410"/>
      <c r="H18" s="269"/>
      <c r="I18" s="269" t="str">
        <f>IFERROR(__xludf.DUMMYFUNCTION("""COMPUTED_VALUE"""),"WO_WFM-OTHERS_20260623_123616214 *=* Cable Patrol for (AC)-TNI0046-JB(TNI0005-TNI0013) *=* myt_phyoko.ko44 *=* 439.03 Hour")</f>
        <v>WO_WFM-OTHERS_20260623_123616214 *=* Cable Patrol for (AC)-TNI0046-JB(TNI0005-TNI0013) *=* myt_phyoko.ko44 *=* 439.03 Hour</v>
      </c>
      <c r="J18" s="269" t="str">
        <f>IFERROR(__xludf.DUMMYFUNCTION("""COMPUTED_VALUE"""),"WO_WFM-OTHERS_20260623_123613102 *=* Cable routes measure-AC-TNI0213-TNIM059 *=* myt_bonemyat.naing1 *=* 439.03 Hour")</f>
        <v>WO_WFM-OTHERS_20260623_123613102 *=* Cable routes measure-AC-TNI0213-TNIM059 *=* myt_bonemyat.naing1 *=* 439.03 Hour</v>
      </c>
      <c r="K18" s="269"/>
      <c r="L18" s="269"/>
      <c r="M18" s="269" t="str">
        <f>IFERROR(__xludf.DUMMYFUNCTION("""COMPUTED_VALUE"""),"WO_QLCTKT_20260529_123389765 *=* TNI0207 MYT_Routine_Maintenance_Mytel_Station_VCM *=* myt_bhonehtet.aung *=* 223.05 Hour")</f>
        <v>WO_QLCTKT_20260529_123389765 *=* TNI0207 MYT_Routine_Maintenance_Mytel_Station_VCM *=* myt_bhonehtet.aung *=* 223.05 Hour</v>
      </c>
      <c r="N18" s="269" t="str">
        <f>IFERROR(__xludf.DUMMYFUNCTION("""COMPUTED_VALUE"""),"WO_QLCTKT_20260408_122933332 *=* TNI0153_01 MYT_Routine_Maintenance_Towerco_Station_VCM *=* myt_tharhtoo.aung11 *=* -1000.95 Hour")</f>
        <v>WO_QLCTKT_20260408_122933332 *=* TNI0153_01 MYT_Routine_Maintenance_Towerco_Station_VCM *=* myt_tharhtoo.aung11 *=* -1000.95 Hour</v>
      </c>
      <c r="O18" s="269"/>
      <c r="P18" s="269"/>
      <c r="Q18" s="269"/>
      <c r="R18" s="269"/>
      <c r="S18" s="269"/>
      <c r="T18" s="269"/>
      <c r="U18" s="269"/>
      <c r="V18" s="269"/>
      <c r="W18" s="269"/>
      <c r="X18" s="269"/>
      <c r="Y18" s="269" t="str">
        <f>IFERROR(__xludf.DUMMYFUNCTION("""COMPUTED_VALUE"""),"WO_WFM-OTHERS_20260528_123384751 *=* IP : TNI0188SRT001-TNI0326SRT001 link down at 25/05/2026 10:15:00 *=*  *=* -617.45 Hour")</f>
        <v>WO_WFM-OTHERS_20260528_123384751 *=* IP : TNI0188SRT001-TNI0326SRT001 link down at 25/05/2026 10:15:00 *=*  *=* -617.45 Hour</v>
      </c>
      <c r="Z18" s="269"/>
      <c r="AA18" s="269"/>
      <c r="AB18" s="269"/>
      <c r="AC18" s="269"/>
      <c r="AD18" s="269"/>
      <c r="AE18" s="269" t="str">
        <f>IFERROR(__xludf.DUMMYFUNCTION("""COMPUTED_VALUE"""),"WO_WFM-OTHERS_20260605_123451647 *=* TNI0040 MYT_Maintenance_Generator_Cleaning Rediator - MYT_Maintenance_Generator_Checking Coolant Level - MYT_Maintenance_Generator_Change Engine Oil *=* myt_phyoko.ko44 *=* -280.95 Hour")</f>
        <v>WO_WFM-OTHERS_20260605_123451647 *=* TNI0040 MYT_Maintenance_Generator_Cleaning Rediator - MYT_Maintenance_Generator_Checking Coolant Level - MYT_Maintenance_Generator_Change Engine Oil *=* myt_phyoko.ko44 *=* -280.95 Hour</v>
      </c>
      <c r="AF18" s="269"/>
      <c r="AG18" s="269"/>
      <c r="AH18" s="269"/>
      <c r="AI18" s="269"/>
      <c r="AJ18" s="269"/>
      <c r="AK18" s="269"/>
      <c r="AL18" s="269"/>
      <c r="AM18" s="269"/>
      <c r="AN18" s="269"/>
      <c r="AO18" s="269"/>
      <c r="AP18" s="269"/>
      <c r="AQ18" s="269"/>
      <c r="AR18" s="269"/>
    </row>
    <row r="19">
      <c r="A19" s="410" t="str">
        <f>IFERROR(__xludf.DUMMYFUNCTION("""COMPUTED_VALUE"""),"WO_WFM-OTHERS_20260623_123613114")</f>
        <v>WO_WFM-OTHERS_20260623_123613114</v>
      </c>
      <c r="B19" s="410" t="str">
        <f>IFERROR(__xludf.DUMMYFUNCTION("""COMPUTED_VALUE"""),"Cable routes measure-AC-TNI0019-TNIM024")</f>
        <v>Cable routes measure-AC-TNI0019-TNIM024</v>
      </c>
      <c r="C19" s="410">
        <f>IFERROR(__xludf.DUMMYFUNCTION("""COMPUTED_VALUE"""),439.03)</f>
        <v>439.03</v>
      </c>
      <c r="D19" s="410" t="str">
        <f>IFERROR(__xludf.DUMMYFUNCTION("""COMPUTED_VALUE"""),"T1")</f>
        <v>T1</v>
      </c>
      <c r="E19" s="410" t="str">
        <f>IFERROR(__xludf.DUMMYFUNCTION("""COMPUTED_VALUE"""),"TNI0019")</f>
        <v>TNI0019</v>
      </c>
      <c r="F19" s="410"/>
      <c r="H19" s="269"/>
      <c r="I19" s="269" t="str">
        <f>IFERROR(__xludf.DUMMYFUNCTION("""COMPUTED_VALUE"""),"WO_WFM-OTHERS_20260623_123616218 *=* Cable Patrol for (AC)-TNI0194-TNIM053 *=* myt_bonemyat.naing1 *=* 439.03 Hour")</f>
        <v>WO_WFM-OTHERS_20260623_123616218 *=* Cable Patrol for (AC)-TNI0194-TNIM053 *=* myt_bonemyat.naing1 *=* 439.03 Hour</v>
      </c>
      <c r="J19" s="269" t="str">
        <f>IFERROR(__xludf.DUMMYFUNCTION("""COMPUTED_VALUE"""),"WO_WFM-OTHERS_20260623_123613100 *=* Cable routes measure-AC-TNI0147-TNI0148 *=* myt_bonemyat.naing1 *=* 439.03 Hour")</f>
        <v>WO_WFM-OTHERS_20260623_123613100 *=* Cable routes measure-AC-TNI0147-TNI0148 *=* myt_bonemyat.naing1 *=* 439.03 Hour</v>
      </c>
      <c r="K19" s="269"/>
      <c r="L19" s="269"/>
      <c r="M19" s="269" t="str">
        <f>IFERROR(__xludf.DUMMYFUNCTION("""COMPUTED_VALUE"""),"WO_QLCTKT_20260529_123389766 *=* TNI0201 MYT_Routine_Maintenance_Mytel_Station_VCM *=* myt_aunglwin.phyo *=* 223.05 Hour")</f>
        <v>WO_QLCTKT_20260529_123389766 *=* TNI0201 MYT_Routine_Maintenance_Mytel_Station_VCM *=* myt_aunglwin.phyo *=* 223.05 Hour</v>
      </c>
      <c r="N19" s="269" t="str">
        <f>IFERROR(__xludf.DUMMYFUNCTION("""COMPUTED_VALUE"""),"WO_QLCTKT_20260408_122933272 *=* TNI0208 MYT_Routine_Maintenance_Towerco_Station_VCM *=* myt_myothant.htoo *=* -1000.95 Hour")</f>
        <v>WO_QLCTKT_20260408_122933272 *=* TNI0208 MYT_Routine_Maintenance_Towerco_Station_VCM *=* myt_myothant.htoo *=* -1000.95 Hour</v>
      </c>
      <c r="O19" s="269"/>
      <c r="P19" s="269"/>
      <c r="Q19" s="269"/>
      <c r="R19" s="269"/>
      <c r="S19" s="269"/>
      <c r="T19" s="269"/>
      <c r="U19" s="269"/>
      <c r="V19" s="269"/>
      <c r="W19" s="269"/>
      <c r="X19" s="269"/>
      <c r="Y19" s="269" t="str">
        <f>IFERROR(__xludf.DUMMYFUNCTION("""COMPUTED_VALUE"""),"WO_WFM-OTHERS_20260525_123360234 *=* IP : TNI0213SRT001-TNI0283SRT001 and TNI0006SRT002-TNI0206SRT001 link down at 24/05/2026 15:56:00 *=*  *=* -713.45 Hour")</f>
        <v>WO_WFM-OTHERS_20260525_123360234 *=* IP : TNI0213SRT001-TNI0283SRT001 and TNI0006SRT002-TNI0206SRT001 link down at 24/05/2026 15:56:00 *=*  *=* -713.45 Hour</v>
      </c>
      <c r="Z19" s="269"/>
      <c r="AA19" s="269"/>
      <c r="AB19" s="269"/>
      <c r="AC19" s="269"/>
      <c r="AD19" s="269"/>
      <c r="AE19" s="269" t="str">
        <f>IFERROR(__xludf.DUMMYFUNCTION("""COMPUTED_VALUE"""),"WO_WFM-OTHERS_20260605_123451574 *=* TNI0257 MYT_Maintenance_Generator_Cleaning Rediator - MYT_Maintenance_Generator_Checking Coolant Level *=* myt_phyoko.ko44 *=* -280.95 Hour")</f>
        <v>WO_WFM-OTHERS_20260605_123451574 *=* TNI0257 MYT_Maintenance_Generator_Cleaning Rediator - MYT_Maintenance_Generator_Checking Coolant Level *=* myt_phyoko.ko44 *=* -280.95 Hour</v>
      </c>
      <c r="AF19" s="269"/>
      <c r="AG19" s="269"/>
      <c r="AH19" s="269"/>
      <c r="AI19" s="269"/>
      <c r="AJ19" s="269"/>
      <c r="AK19" s="269"/>
      <c r="AL19" s="269"/>
      <c r="AM19" s="269"/>
      <c r="AN19" s="269"/>
      <c r="AO19" s="269"/>
      <c r="AP19" s="269"/>
      <c r="AQ19" s="269"/>
      <c r="AR19" s="269"/>
    </row>
    <row r="20">
      <c r="A20" s="410" t="str">
        <f>IFERROR(__xludf.DUMMYFUNCTION("""COMPUTED_VALUE"""),"WO_WFM-OTHERS_20260623_123612937")</f>
        <v>WO_WFM-OTHERS_20260623_123612937</v>
      </c>
      <c r="B20" s="410" t="str">
        <f>IFERROR(__xludf.DUMMYFUNCTION("""COMPUTED_VALUE"""),"Cable routes measure-AC-TNI0295-JB(TNI0012-TNI0015)")</f>
        <v>Cable routes measure-AC-TNI0295-JB(TNI0012-TNI0015)</v>
      </c>
      <c r="C20" s="410">
        <f>IFERROR(__xludf.DUMMYFUNCTION("""COMPUTED_VALUE"""),439.03)</f>
        <v>439.03</v>
      </c>
      <c r="D20" s="410" t="str">
        <f>IFERROR(__xludf.DUMMYFUNCTION("""COMPUTED_VALUE"""),"T4")</f>
        <v>T4</v>
      </c>
      <c r="E20" s="410" t="str">
        <f>IFERROR(__xludf.DUMMYFUNCTION("""COMPUTED_VALUE"""),"TNI0295")</f>
        <v>TNI0295</v>
      </c>
      <c r="F20" s="410"/>
      <c r="H20" s="269"/>
      <c r="I20" s="269" t="str">
        <f>IFERROR(__xludf.DUMMYFUNCTION("""COMPUTED_VALUE"""),"WO_WFM-OTHERS_20260623_123616212 *=* Cable Patrol for (AC)-TNI0019-TNIM024 *=* myt_bonemyat.naing1 *=* 439.03 Hour")</f>
        <v>WO_WFM-OTHERS_20260623_123616212 *=* Cable Patrol for (AC)-TNI0019-TNIM024 *=* myt_bonemyat.naing1 *=* 439.03 Hour</v>
      </c>
      <c r="J20" s="269" t="str">
        <f>IFERROR(__xludf.DUMMYFUNCTION("""COMPUTED_VALUE"""),"WO_WFM-OTHERS_20260623_123613101 *=* Cable routes measure-AC-TNI0185-JB(MON0002-TNI0006) *=* myt_bonemyat.naing1 *=* 439.03 Hour")</f>
        <v>WO_WFM-OTHERS_20260623_123613101 *=* Cable routes measure-AC-TNI0185-JB(MON0002-TNI0006) *=* myt_bonemyat.naing1 *=* 439.03 Hour</v>
      </c>
      <c r="K20" s="269"/>
      <c r="L20" s="269"/>
      <c r="M20" s="269" t="str">
        <f>IFERROR(__xludf.DUMMYFUNCTION("""COMPUTED_VALUE"""),"WO_QLCTKT_20260529_123389764 *=* TNI0206 MYT_Routine_Maintenance_Mytel_Station_VCM *=* myt_tharhtoo.aung11 *=* 223.05 Hour")</f>
        <v>WO_QLCTKT_20260529_123389764 *=* TNI0206 MYT_Routine_Maintenance_Mytel_Station_VCM *=* myt_tharhtoo.aung11 *=* 223.05 Hour</v>
      </c>
      <c r="N20" s="269" t="str">
        <f>IFERROR(__xludf.DUMMYFUNCTION("""COMPUTED_VALUE"""),"WO_QLCTKT_20260408_122933226 *=* TNI0283 MYT_Routine_Maintenance_Towerco_Station_VCM *=* myt_tharhtoo.aung11 *=* -1000.95 Hour")</f>
        <v>WO_QLCTKT_20260408_122933226 *=* TNI0283 MYT_Routine_Maintenance_Towerco_Station_VCM *=* myt_tharhtoo.aung11 *=* -1000.95 Hour</v>
      </c>
      <c r="O20" s="269"/>
      <c r="P20" s="269"/>
      <c r="Q20" s="269"/>
      <c r="R20" s="269"/>
      <c r="S20" s="269"/>
      <c r="T20" s="269"/>
      <c r="U20" s="269"/>
      <c r="V20" s="269"/>
      <c r="W20" s="269"/>
      <c r="X20" s="269"/>
      <c r="Y20" s="269" t="str">
        <f>IFERROR(__xludf.DUMMYFUNCTION("""COMPUTED_VALUE"""),"WO_WFM-OTHERS_20260516_123288065 *=* IP : TNI0006SRT002-TNI0206SRT001 link down at 15/05/2026 10:51:00 *=*  *=* -953.45 Hour")</f>
        <v>WO_WFM-OTHERS_20260516_123288065 *=* IP : TNI0006SRT002-TNI0206SRT001 link down at 15/05/2026 10:51:00 *=*  *=* -953.45 Hour</v>
      </c>
      <c r="Z20" s="269"/>
      <c r="AA20" s="269"/>
      <c r="AB20" s="269"/>
      <c r="AC20" s="269"/>
      <c r="AD20" s="269"/>
      <c r="AE20" s="269" t="str">
        <f>IFERROR(__xludf.DUMMYFUNCTION("""COMPUTED_VALUE"""),"WO_WFM-OTHERS_20260605_123451539 *=* TNI0245 MYT_Maintenance_Generator_Cleaning Rediator - MYT_Maintenance_Generator_Checking Coolant Level *=* myt_tharhtoo.aung11 *=* -280.95 Hour")</f>
        <v>WO_WFM-OTHERS_20260605_123451539 *=* TNI0245 MYT_Maintenance_Generator_Cleaning Rediator - MYT_Maintenance_Generator_Checking Coolant Level *=* myt_tharhtoo.aung11 *=* -280.95 Hour</v>
      </c>
      <c r="AF20" s="269"/>
      <c r="AG20" s="269"/>
      <c r="AH20" s="269"/>
      <c r="AI20" s="269"/>
      <c r="AJ20" s="269"/>
      <c r="AK20" s="269"/>
      <c r="AL20" s="269"/>
      <c r="AM20" s="269"/>
      <c r="AN20" s="269"/>
      <c r="AO20" s="269"/>
      <c r="AP20" s="269"/>
      <c r="AQ20" s="269"/>
      <c r="AR20" s="269"/>
    </row>
    <row r="21">
      <c r="A21" s="410" t="str">
        <f>IFERROR(__xludf.DUMMYFUNCTION("""COMPUTED_VALUE"""),"WO_WFM-OTHERS_20260623_123612938")</f>
        <v>WO_WFM-OTHERS_20260623_123612938</v>
      </c>
      <c r="B21" s="410" t="str">
        <f>IFERROR(__xludf.DUMMYFUNCTION("""COMPUTED_VALUE"""),"Cable routes measure-AC-TNI0202-TNIM090")</f>
        <v>Cable routes measure-AC-TNI0202-TNIM090</v>
      </c>
      <c r="C21" s="410">
        <f>IFERROR(__xludf.DUMMYFUNCTION("""COMPUTED_VALUE"""),439.03)</f>
        <v>439.03</v>
      </c>
      <c r="D21" s="410" t="str">
        <f>IFERROR(__xludf.DUMMYFUNCTION("""COMPUTED_VALUE"""),"T4")</f>
        <v>T4</v>
      </c>
      <c r="E21" s="410" t="str">
        <f>IFERROR(__xludf.DUMMYFUNCTION("""COMPUTED_VALUE"""),"TNI0202")</f>
        <v>TNI0202</v>
      </c>
      <c r="F21" s="410"/>
      <c r="H21" s="269"/>
      <c r="I21" s="269" t="str">
        <f>IFERROR(__xludf.DUMMYFUNCTION("""COMPUTED_VALUE"""),"WO_WFM-OTHERS_20260623_123616219 *=* Cable Patrol for (AC)-TNI0331-JB(MON0002-TNI0006) *=* myt_bonemyat.naing1 *=* 439.03 Hour")</f>
        <v>WO_WFM-OTHERS_20260623_123616219 *=* Cable Patrol for (AC)-TNI0331-JB(MON0002-TNI0006) *=* myt_bonemyat.naing1 *=* 439.03 Hour</v>
      </c>
      <c r="J21" s="269" t="str">
        <f>IFERROR(__xludf.DUMMYFUNCTION("""COMPUTED_VALUE"""),"WO_WFM-OTHERS_20260623_123612898 *=* Cable routes measure-AC-TNI0319-JB(TNI0005-TNI0013) *=* myt_bonemyat.naing1 *=* 439.03 Hour")</f>
        <v>WO_WFM-OTHERS_20260623_123612898 *=* Cable routes measure-AC-TNI0319-JB(TNI0005-TNI0013) *=* myt_bonemyat.naing1 *=* 439.03 Hour</v>
      </c>
      <c r="K21" s="269"/>
      <c r="L21" s="269"/>
      <c r="M21" s="269" t="str">
        <f>IFERROR(__xludf.DUMMYFUNCTION("""COMPUTED_VALUE"""),"WO_QLCTKT_20260529_123389690 *=* TNI0153 MYT_Routine_Maintenance_Mytel_Station_VCM *=* myt_tharhtoo.aung11 *=* 223.05 Hour")</f>
        <v>WO_QLCTKT_20260529_123389690 *=* TNI0153 MYT_Routine_Maintenance_Mytel_Station_VCM *=* myt_tharhtoo.aung11 *=* 223.05 Hour</v>
      </c>
      <c r="N21" s="269" t="str">
        <f>IFERROR(__xludf.DUMMYFUNCTION("""COMPUTED_VALUE"""),"WO_QLCTKT_20260408_122933219 *=* TNI0278 MYT_Routine_Maintenance_Towerco_Station_VCM *=* myt_phyoko.ko44 *=* -1000.95 Hour")</f>
        <v>WO_QLCTKT_20260408_122933219 *=* TNI0278 MYT_Routine_Maintenance_Towerco_Station_VCM *=* myt_phyoko.ko44 *=* -1000.95 Hour</v>
      </c>
      <c r="O21" s="269"/>
      <c r="P21" s="269"/>
      <c r="Q21" s="269"/>
      <c r="R21" s="269"/>
      <c r="S21" s="269"/>
      <c r="T21" s="269"/>
      <c r="U21" s="269"/>
      <c r="V21" s="269"/>
      <c r="W21" s="269"/>
      <c r="X21" s="269"/>
      <c r="Y21" s="269" t="str">
        <f>IFERROR(__xludf.DUMMYFUNCTION("""COMPUTED_VALUE"""),"WO_WFM-OTHERS_20260515_123281434 *=* IP : TNI0250AGG001-TNI0272SRT001 link down at 14/05/2026 15:52:03 *=*  *=* -1121.45 Hour")</f>
        <v>WO_WFM-OTHERS_20260515_123281434 *=* IP : TNI0250AGG001-TNI0272SRT001 link down at 14/05/2026 15:52:03 *=*  *=* -1121.45 Hour</v>
      </c>
      <c r="Z21" s="269"/>
      <c r="AA21" s="269"/>
      <c r="AB21" s="269"/>
      <c r="AC21" s="269"/>
      <c r="AD21" s="269"/>
      <c r="AE21" s="269" t="str">
        <f>IFERROR(__xludf.DUMMYFUNCTION("""COMPUTED_VALUE"""),"WO_WFM-OTHERS_20260605_123451568 *=* TNI0220 MYT_Maintenance_Generator_Cleaning Rediator - MYT_Maintenance_Generator_Checking Coolant Level *=* myt_tharhtoo.aung11 *=* -280.95 Hour")</f>
        <v>WO_WFM-OTHERS_20260605_123451568 *=* TNI0220 MYT_Maintenance_Generator_Cleaning Rediator - MYT_Maintenance_Generator_Checking Coolant Level *=* myt_tharhtoo.aung11 *=* -280.95 Hour</v>
      </c>
      <c r="AF21" s="269"/>
      <c r="AG21" s="269"/>
      <c r="AH21" s="269"/>
      <c r="AI21" s="269"/>
      <c r="AJ21" s="269"/>
      <c r="AK21" s="269"/>
      <c r="AL21" s="269"/>
      <c r="AM21" s="269"/>
      <c r="AN21" s="269"/>
      <c r="AO21" s="269"/>
      <c r="AP21" s="269"/>
      <c r="AQ21" s="269"/>
      <c r="AR21" s="269"/>
    </row>
    <row r="22">
      <c r="A22" s="410" t="str">
        <f>IFERROR(__xludf.DUMMYFUNCTION("""COMPUTED_VALUE"""),"WO_WFM-OTHERS_20260623_123612931")</f>
        <v>WO_WFM-OTHERS_20260623_123612931</v>
      </c>
      <c r="B22" s="410" t="str">
        <f>IFERROR(__xludf.DUMMYFUNCTION("""COMPUTED_VALUE"""),"Cable routes measure-BB-TNI0015-TNI0012")</f>
        <v>Cable routes measure-BB-TNI0015-TNI0012</v>
      </c>
      <c r="C22" s="410">
        <f>IFERROR(__xludf.DUMMYFUNCTION("""COMPUTED_VALUE"""),439.03)</f>
        <v>439.03</v>
      </c>
      <c r="D22" s="410" t="str">
        <f>IFERROR(__xludf.DUMMYFUNCTION("""COMPUTED_VALUE"""),"T4")</f>
        <v>T4</v>
      </c>
      <c r="E22" s="410" t="str">
        <f>IFERROR(__xludf.DUMMYFUNCTION("""COMPUTED_VALUE"""),"TNI0015")</f>
        <v>TNI0015</v>
      </c>
      <c r="F22" s="410"/>
      <c r="H22" s="269"/>
      <c r="I22" s="269" t="str">
        <f>IFERROR(__xludf.DUMMYFUNCTION("""COMPUTED_VALUE"""),"WO_WFM-OTHERS_20260623_123616215 *=* Cable Patrol for (AC)-TNI0424-TNIM034 *=* myt_bonemyat.naing1 *=* 439.03 Hour")</f>
        <v>WO_WFM-OTHERS_20260623_123616215 *=* Cable Patrol for (AC)-TNI0424-TNIM034 *=* myt_bonemyat.naing1 *=* 439.03 Hour</v>
      </c>
      <c r="J22" s="269" t="str">
        <f>IFERROR(__xludf.DUMMYFUNCTION("""COMPUTED_VALUE"""),"WO_WFM-OTHERS_20260623_123612899 *=* Cable routes measure-AC-TNI0019-TNIM024 *=* myt_bonemyat.naing1 *=* 439.03 Hour")</f>
        <v>WO_WFM-OTHERS_20260623_123612899 *=* Cable routes measure-AC-TNI0019-TNIM024 *=* myt_bonemyat.naing1 *=* 439.03 Hour</v>
      </c>
      <c r="K22" s="269"/>
      <c r="L22" s="269"/>
      <c r="M22" s="269" t="str">
        <f>IFERROR(__xludf.DUMMYFUNCTION("""COMPUTED_VALUE"""),"WO_QLCTKT_20260529_123389672 *=* TNI0089 MYT_Routine_Maintenance_Mytel_Station_VCM *=* myt_phyoko.ko44 *=* 223.05 Hour")</f>
        <v>WO_QLCTKT_20260529_123389672 *=* TNI0089 MYT_Routine_Maintenance_Mytel_Station_VCM *=* myt_phyoko.ko44 *=* 223.05 Hour</v>
      </c>
      <c r="N22" s="269" t="str">
        <f>IFERROR(__xludf.DUMMYFUNCTION("""COMPUTED_VALUE"""),"WO_QLCTKT_20260408_122933161 *=* TNI0078 MYT_Routine_Maintenance_Towerco_Station_VCM *=* myt_aunglwin.phyo *=* -1000.95 Hour")</f>
        <v>WO_QLCTKT_20260408_122933161 *=* TNI0078 MYT_Routine_Maintenance_Towerco_Station_VCM *=* myt_aunglwin.phyo *=* -1000.95 Hour</v>
      </c>
      <c r="O22" s="269"/>
      <c r="P22" s="269"/>
      <c r="Q22" s="269"/>
      <c r="R22" s="269"/>
      <c r="S22" s="269"/>
      <c r="T22" s="269"/>
      <c r="U22" s="269"/>
      <c r="V22" s="269"/>
      <c r="W22" s="269"/>
      <c r="X22" s="269"/>
      <c r="Y22" s="269" t="str">
        <f>IFERROR(__xludf.DUMMYFUNCTION("""COMPUTED_VALUE"""),"WO_WFM-OTHERS_20260510_123241721 *=* IP : TNI0189SRT001-TNI0197SRT001 link down 10/05/2026 *=*  *=* -1241.45 Hour")</f>
        <v>WO_WFM-OTHERS_20260510_123241721 *=* IP : TNI0189SRT001-TNI0197SRT001 link down 10/05/2026 *=*  *=* -1241.45 Hour</v>
      </c>
      <c r="Z22" s="269"/>
      <c r="AA22" s="269"/>
      <c r="AB22" s="269"/>
      <c r="AC22" s="269"/>
      <c r="AD22" s="269"/>
      <c r="AE22" s="269" t="str">
        <f>IFERROR(__xludf.DUMMYFUNCTION("""COMPUTED_VALUE"""),"WO_WFM-OTHERS_20260605_123451564 *=* TNI0206 MYT_Maintenance_Generator_Cleaning Rediator - MYT_Maintenance_Generator_Checking Coolant Level *=* myt_tharhtoo.aung11 *=* -280.95 Hour")</f>
        <v>WO_WFM-OTHERS_20260605_123451564 *=* TNI0206 MYT_Maintenance_Generator_Cleaning Rediator - MYT_Maintenance_Generator_Checking Coolant Level *=* myt_tharhtoo.aung11 *=* -280.95 Hour</v>
      </c>
      <c r="AF22" s="269"/>
      <c r="AG22" s="269"/>
      <c r="AH22" s="269"/>
      <c r="AI22" s="269"/>
      <c r="AJ22" s="269"/>
      <c r="AK22" s="269"/>
      <c r="AL22" s="269"/>
      <c r="AM22" s="269"/>
      <c r="AN22" s="269"/>
      <c r="AO22" s="269"/>
      <c r="AP22" s="269"/>
      <c r="AQ22" s="269"/>
      <c r="AR22" s="269"/>
    </row>
    <row r="23">
      <c r="A23" s="410" t="str">
        <f>IFERROR(__xludf.DUMMYFUNCTION("""COMPUTED_VALUE"""),"WO_WFM-OTHERS_20260623_123612933")</f>
        <v>WO_WFM-OTHERS_20260623_123612933</v>
      </c>
      <c r="B23" s="410" t="str">
        <f>IFERROR(__xludf.DUMMYFUNCTION("""COMPUTED_VALUE"""),"Cable routes measure-AC-TNI0120-TNI0202")</f>
        <v>Cable routes measure-AC-TNI0120-TNI0202</v>
      </c>
      <c r="C23" s="410">
        <f>IFERROR(__xludf.DUMMYFUNCTION("""COMPUTED_VALUE"""),439.03)</f>
        <v>439.03</v>
      </c>
      <c r="D23" s="410" t="str">
        <f>IFERROR(__xludf.DUMMYFUNCTION("""COMPUTED_VALUE"""),"T4")</f>
        <v>T4</v>
      </c>
      <c r="E23" s="410" t="str">
        <f>IFERROR(__xludf.DUMMYFUNCTION("""COMPUTED_VALUE"""),"TNI0120")</f>
        <v>TNI0120</v>
      </c>
      <c r="F23" s="410"/>
      <c r="H23" s="269"/>
      <c r="I23" s="269" t="str">
        <f>IFERROR(__xludf.DUMMYFUNCTION("""COMPUTED_VALUE"""),"WO_WFM-OTHERS_20260623_123616223 *=* Cable Patrol for (AC)-TNI0078-TNIM032 *=* myt_bonemyat.naing1 *=* 439.03 Hour")</f>
        <v>WO_WFM-OTHERS_20260623_123616223 *=* Cable Patrol for (AC)-TNI0078-TNIM032 *=* myt_bonemyat.naing1 *=* 439.03 Hour</v>
      </c>
      <c r="J23" s="269" t="str">
        <f>IFERROR(__xludf.DUMMYFUNCTION("""COMPUTED_VALUE"""),"WO_WFM-OTHERS_20260623_123612900 *=* Cable routes measure-AC-TNI0273-TNIM063 *=* myt_bonemyat.naing1 *=* 439.03 Hour")</f>
        <v>WO_WFM-OTHERS_20260623_123612900 *=* Cable routes measure-AC-TNI0273-TNIM063 *=* myt_bonemyat.naing1 *=* 439.03 Hour</v>
      </c>
      <c r="K23" s="269"/>
      <c r="L23" s="269"/>
      <c r="M23" s="269" t="str">
        <f>IFERROR(__xludf.DUMMYFUNCTION("""COMPUTED_VALUE"""),"WO_QLCTKT_20260529_123389605 *=* TNI0071 MYT_Routine_Maintenance_Mytel_Station_VCM *=* myt_bonemyat.naing1 *=* 223.05 Hour")</f>
        <v>WO_QLCTKT_20260529_123389605 *=* TNI0071 MYT_Routine_Maintenance_Mytel_Station_VCM *=* myt_bonemyat.naing1 *=* 223.05 Hour</v>
      </c>
      <c r="N23" s="269" t="str">
        <f>IFERROR(__xludf.DUMMYFUNCTION("""COMPUTED_VALUE"""),"WO_QLCTKT_20260408_122933154 *=* TNI0213_01 MYT_Routine_Maintenance_Towerco_Station_VCM *=* myt_aungthin.mya *=* -1000.95 Hour")</f>
        <v>WO_QLCTKT_20260408_122933154 *=* TNI0213_01 MYT_Routine_Maintenance_Towerco_Station_VCM *=* myt_aungthin.mya *=* -1000.95 Hour</v>
      </c>
      <c r="O23" s="269"/>
      <c r="P23" s="269"/>
      <c r="Q23" s="269"/>
      <c r="R23" s="269"/>
      <c r="S23" s="269"/>
      <c r="T23" s="269"/>
      <c r="U23" s="269"/>
      <c r="V23" s="269"/>
      <c r="W23" s="269"/>
      <c r="X23" s="269"/>
      <c r="Y23" s="269" t="str">
        <f>IFERROR(__xludf.DUMMYFUNCTION("""COMPUTED_VALUE"""),"WO_WFM-OTHERS_20260510_123239488 *=* IP : SHN0018SRT001-SHN0047SRT001 link down at 09/05/2026 18:25:00 *=*  *=* -1241.45 Hour")</f>
        <v>WO_WFM-OTHERS_20260510_123239488 *=* IP : SHN0018SRT001-SHN0047SRT001 link down at 09/05/2026 18:25:00 *=*  *=* -1241.45 Hour</v>
      </c>
      <c r="Z23" s="269"/>
      <c r="AA23" s="269"/>
      <c r="AB23" s="269"/>
      <c r="AC23" s="269"/>
      <c r="AD23" s="269"/>
      <c r="AE23" s="269" t="str">
        <f>IFERROR(__xludf.DUMMYFUNCTION("""COMPUTED_VALUE"""),"WO_WFM-OTHERS_20260605_123451356 *=* TNI0153 MYT_Maintenance_Generator_Cleaning Rediator - MYT_Maintenance_Generator_Checking Coolant Level *=* myt_tharhtoo.aung11 *=* -280.95 Hour")</f>
        <v>WO_WFM-OTHERS_20260605_123451356 *=* TNI0153 MYT_Maintenance_Generator_Cleaning Rediator - MYT_Maintenance_Generator_Checking Coolant Level *=* myt_tharhtoo.aung11 *=* -280.95 Hour</v>
      </c>
      <c r="AF23" s="269"/>
      <c r="AG23" s="269"/>
      <c r="AH23" s="269"/>
      <c r="AI23" s="269"/>
      <c r="AJ23" s="269"/>
      <c r="AK23" s="269"/>
      <c r="AL23" s="269"/>
      <c r="AM23" s="269"/>
      <c r="AN23" s="269"/>
      <c r="AO23" s="269"/>
      <c r="AP23" s="269"/>
      <c r="AQ23" s="269"/>
      <c r="AR23" s="269"/>
    </row>
    <row r="24">
      <c r="A24" s="410" t="str">
        <f>IFERROR(__xludf.DUMMYFUNCTION("""COMPUTED_VALUE"""),"WO_WFM-OTHERS_20260623_123612934")</f>
        <v>WO_WFM-OTHERS_20260623_123612934</v>
      </c>
      <c r="B24" s="410" t="str">
        <f>IFERROR(__xludf.DUMMYFUNCTION("""COMPUTED_VALUE"""),"Cable routes measure-AC-TNI0123-TNI0227")</f>
        <v>Cable routes measure-AC-TNI0123-TNI0227</v>
      </c>
      <c r="C24" s="410">
        <f>IFERROR(__xludf.DUMMYFUNCTION("""COMPUTED_VALUE"""),439.03)</f>
        <v>439.03</v>
      </c>
      <c r="D24" s="410" t="str">
        <f>IFERROR(__xludf.DUMMYFUNCTION("""COMPUTED_VALUE"""),"T4")</f>
        <v>T4</v>
      </c>
      <c r="E24" s="410" t="str">
        <f>IFERROR(__xludf.DUMMYFUNCTION("""COMPUTED_VALUE"""),"TNI0123")</f>
        <v>TNI0123</v>
      </c>
      <c r="F24" s="410"/>
      <c r="H24" s="269"/>
      <c r="I24" s="269" t="str">
        <f>IFERROR(__xludf.DUMMYFUNCTION("""COMPUTED_VALUE"""),"WO_WFM-OTHERS_20260623_123616217 *=* Cable Patrol for (AC)-TNI0129-TNIM043 *=* myt_bonemyat.naing1 *=* 439.03 Hour")</f>
        <v>WO_WFM-OTHERS_20260623_123616217 *=* Cable Patrol for (AC)-TNI0129-TNIM043 *=* myt_bonemyat.naing1 *=* 439.03 Hour</v>
      </c>
      <c r="J24" s="269" t="str">
        <f>IFERROR(__xludf.DUMMYFUNCTION("""COMPUTED_VALUE"""),"WO_WFM-OTHERS_20260623_123612894 *=* Cable routes measure-AC-TNI0206-TNI0213 *=* myt_bonemyat.naing1 *=* 439.03 Hour")</f>
        <v>WO_WFM-OTHERS_20260623_123612894 *=* Cable routes measure-AC-TNI0206-TNI0213 *=* myt_bonemyat.naing1 *=* 439.03 Hour</v>
      </c>
      <c r="K24" s="269"/>
      <c r="L24" s="269"/>
      <c r="M24" s="269" t="str">
        <f>IFERROR(__xludf.DUMMYFUNCTION("""COMPUTED_VALUE"""),"WO_QLCTKT_20260529_123389547 *=* TNI0070 MYT_Routine_Maintenance_Mytel_Station_VCM *=* myt_bhonehtet.aung *=* 223.05 Hour")</f>
        <v>WO_QLCTKT_20260529_123389547 *=* TNI0070 MYT_Routine_Maintenance_Mytel_Station_VCM *=* myt_bhonehtet.aung *=* 223.05 Hour</v>
      </c>
      <c r="N24" s="269" t="str">
        <f>IFERROR(__xludf.DUMMYFUNCTION("""COMPUTED_VALUE"""),"WO_QLCTKT_20260408_122933057 *=* TNI0035 MYT_Routine_Maintenance_Towerco_Station_VCM *=* myt_aunglwin.phyo *=* -1000.95 Hour")</f>
        <v>WO_QLCTKT_20260408_122933057 *=* TNI0035 MYT_Routine_Maintenance_Towerco_Station_VCM *=* myt_aunglwin.phyo *=* -1000.95 Hour</v>
      </c>
      <c r="O24" s="269"/>
      <c r="P24" s="269"/>
      <c r="Q24" s="269"/>
      <c r="R24" s="269"/>
      <c r="S24" s="269"/>
      <c r="T24" s="269"/>
      <c r="U24" s="269"/>
      <c r="V24" s="269"/>
      <c r="W24" s="269"/>
      <c r="X24" s="269"/>
      <c r="Y24" s="269" t="str">
        <f>IFERROR(__xludf.DUMMYFUNCTION("""COMPUTED_VALUE"""),"WO_WFM-OTHERS_20260508_123220591 *=* IP : TNI0207SRT001-TNI0356SRT001 link down at 06/05/2026 19:14:00 *=*  *=* -1121.45 Hour")</f>
        <v>WO_WFM-OTHERS_20260508_123220591 *=* IP : TNI0207SRT001-TNI0356SRT001 link down at 06/05/2026 19:14:00 *=*  *=* -1121.45 Hour</v>
      </c>
      <c r="Z24" s="269"/>
      <c r="AA24" s="269"/>
      <c r="AB24" s="269"/>
      <c r="AC24" s="269"/>
      <c r="AD24" s="269"/>
      <c r="AE24" s="269" t="str">
        <f>IFERROR(__xludf.DUMMYFUNCTION("""COMPUTED_VALUE"""),"WO_WFM-OTHERS_20260605_123451523 *=* TNI0053 MYT_Maintenance_Generator_Cleaning Rediator - MYT_Maintenance_Generator_Checking Coolant Level *=* myt_aunglwin.phyo *=* -280.95 Hour")</f>
        <v>WO_WFM-OTHERS_20260605_123451523 *=* TNI0053 MYT_Maintenance_Generator_Cleaning Rediator - MYT_Maintenance_Generator_Checking Coolant Level *=* myt_aunglwin.phyo *=* -280.95 Hour</v>
      </c>
      <c r="AF24" s="269"/>
      <c r="AG24" s="269"/>
      <c r="AH24" s="269"/>
      <c r="AI24" s="269"/>
      <c r="AJ24" s="269"/>
      <c r="AK24" s="269"/>
      <c r="AL24" s="269"/>
      <c r="AM24" s="269"/>
      <c r="AN24" s="269"/>
      <c r="AO24" s="269"/>
      <c r="AP24" s="269"/>
      <c r="AQ24" s="269"/>
      <c r="AR24" s="269"/>
    </row>
    <row r="25">
      <c r="A25" s="410" t="str">
        <f>IFERROR(__xludf.DUMMYFUNCTION("""COMPUTED_VALUE"""),"WO_WFM-OTHERS_20260623_123612935")</f>
        <v>WO_WFM-OTHERS_20260623_123612935</v>
      </c>
      <c r="B25" s="410" t="str">
        <f>IFERROR(__xludf.DUMMYFUNCTION("""COMPUTED_VALUE"""),"Cable routes measure-AC-TNI0011-TNIDOS54")</f>
        <v>Cable routes measure-AC-TNI0011-TNIDOS54</v>
      </c>
      <c r="C25" s="410">
        <f>IFERROR(__xludf.DUMMYFUNCTION("""COMPUTED_VALUE"""),439.03)</f>
        <v>439.03</v>
      </c>
      <c r="D25" s="410" t="str">
        <f>IFERROR(__xludf.DUMMYFUNCTION("""COMPUTED_VALUE"""),"T4")</f>
        <v>T4</v>
      </c>
      <c r="E25" s="410" t="str">
        <f>IFERROR(__xludf.DUMMYFUNCTION("""COMPUTED_VALUE"""),"TNI0011")</f>
        <v>TNI0011</v>
      </c>
      <c r="F25" s="410"/>
      <c r="H25" s="269"/>
      <c r="I25" s="269" t="str">
        <f>IFERROR(__xludf.DUMMYFUNCTION("""COMPUTED_VALUE"""),"WO_WFM-OTHERS_20260623_123616209 *=* Cable Patrol for (AC)-TNI0210-TNI0322 *=* myt_phyoko.ko44 *=* 439.03 Hour")</f>
        <v>WO_WFM-OTHERS_20260623_123616209 *=* Cable Patrol for (AC)-TNI0210-TNI0322 *=* myt_phyoko.ko44 *=* 439.03 Hour</v>
      </c>
      <c r="J25" s="269" t="str">
        <f>IFERROR(__xludf.DUMMYFUNCTION("""COMPUTED_VALUE"""),"WO_WFM-OTHERS_20260623_123612897 *=* Cable routes measure-AC-TNI0322-JB(TNI0013-TNI0005) *=* myt_bonemyat.naing1 *=* 439.03 Hour")</f>
        <v>WO_WFM-OTHERS_20260623_123612897 *=* Cable routes measure-AC-TNI0322-JB(TNI0013-TNI0005) *=* myt_bonemyat.naing1 *=* 439.03 Hour</v>
      </c>
      <c r="K25" s="269"/>
      <c r="L25" s="269"/>
      <c r="M25" s="269" t="str">
        <f>IFERROR(__xludf.DUMMYFUNCTION("""COMPUTED_VALUE"""),"WO_QLCTKT_20260529_123389546 *=* TNI0073 MYT_Routine_Maintenance_Mytel_Station_VCM *=* myt_aunglwin.phyo *=* 223.05 Hour")</f>
        <v>WO_QLCTKT_20260529_123389546 *=* TNI0073 MYT_Routine_Maintenance_Mytel_Station_VCM *=* myt_aunglwin.phyo *=* 223.05 Hour</v>
      </c>
      <c r="N25" s="269" t="str">
        <f>IFERROR(__xludf.DUMMYFUNCTION("""COMPUTED_VALUE"""),"WO_QLCTKT_20260408_122932520 *=* TNI0498 MYT_Routine_Maintenance_Towerco_Station_VCM *=* myt_tharhtoo.aung11 *=* -1000.95 Hour")</f>
        <v>WO_QLCTKT_20260408_122932520 *=* TNI0498 MYT_Routine_Maintenance_Towerco_Station_VCM *=* myt_tharhtoo.aung11 *=* -1000.95 Hour</v>
      </c>
      <c r="O25" s="269"/>
      <c r="P25" s="269"/>
      <c r="Q25" s="269"/>
      <c r="R25" s="269"/>
      <c r="S25" s="269"/>
      <c r="T25" s="269"/>
      <c r="U25" s="269"/>
      <c r="V25" s="269"/>
      <c r="W25" s="269"/>
      <c r="X25" s="269"/>
      <c r="Y25" s="269" t="str">
        <f>IFERROR(__xludf.DUMMYFUNCTION("""COMPUTED_VALUE"""),"WO_WFM-OTHERS_20260507_123207576 *=* IP : TNI0206SRT001-TNI0220SRT001 link down at 06/05/2026 12:07:00 *=*  *=* -1313.45 Hour")</f>
        <v>WO_WFM-OTHERS_20260507_123207576 *=* IP : TNI0206SRT001-TNI0220SRT001 link down at 06/05/2026 12:07:00 *=*  *=* -1313.45 Hour</v>
      </c>
      <c r="Z25" s="269"/>
      <c r="AA25" s="269"/>
      <c r="AB25" s="269"/>
      <c r="AC25" s="269"/>
      <c r="AD25" s="269"/>
      <c r="AE25" s="269" t="str">
        <f>IFERROR(__xludf.DUMMYFUNCTION("""COMPUTED_VALUE"""),"WO_WFM-OTHERS_20260605_123451350 *=* TNI0050 MYT_Maintenance_Generator_Cleaning Rediator - MYT_Maintenance_Generator_Checking Coolant Level *=* myt_phyoko.ko44 *=* -280.95 Hour")</f>
        <v>WO_WFM-OTHERS_20260605_123451350 *=* TNI0050 MYT_Maintenance_Generator_Cleaning Rediator - MYT_Maintenance_Generator_Checking Coolant Level *=* myt_phyoko.ko44 *=* -280.95 Hour</v>
      </c>
      <c r="AF25" s="269"/>
      <c r="AG25" s="269"/>
      <c r="AH25" s="269"/>
      <c r="AI25" s="269"/>
      <c r="AJ25" s="269"/>
      <c r="AK25" s="269"/>
      <c r="AL25" s="269"/>
      <c r="AM25" s="269"/>
      <c r="AN25" s="269"/>
      <c r="AO25" s="269"/>
      <c r="AP25" s="269"/>
      <c r="AQ25" s="269"/>
      <c r="AR25" s="269"/>
    </row>
    <row r="26">
      <c r="A26" s="410" t="str">
        <f>IFERROR(__xludf.DUMMYFUNCTION("""COMPUTED_VALUE"""),"WO_WFM-OTHERS_20260623_123612936")</f>
        <v>WO_WFM-OTHERS_20260623_123612936</v>
      </c>
      <c r="B26" s="410" t="str">
        <f>IFERROR(__xludf.DUMMYFUNCTION("""COMPUTED_VALUE"""),"Cable routes measure-AC-TNI0057-TNIM029")</f>
        <v>Cable routes measure-AC-TNI0057-TNIM029</v>
      </c>
      <c r="C26" s="410">
        <f>IFERROR(__xludf.DUMMYFUNCTION("""COMPUTED_VALUE"""),439.03)</f>
        <v>439.03</v>
      </c>
      <c r="D26" s="410" t="str">
        <f>IFERROR(__xludf.DUMMYFUNCTION("""COMPUTED_VALUE"""),"T4")</f>
        <v>T4</v>
      </c>
      <c r="E26" s="410" t="str">
        <f>IFERROR(__xludf.DUMMYFUNCTION("""COMPUTED_VALUE"""),"TNI0057")</f>
        <v>TNI0057</v>
      </c>
      <c r="F26" s="410"/>
      <c r="H26" s="269"/>
      <c r="I26" s="269" t="str">
        <f>IFERROR(__xludf.DUMMYFUNCTION("""COMPUTED_VALUE"""),"WO_WFM-OTHERS_20260623_123616210 *=* Cable Patrol for (AC)-TNI0322-JB(TNI0013-TNI0005) *=* myt_bonemyat.naing1 *=* 439.03 Hour")</f>
        <v>WO_WFM-OTHERS_20260623_123616210 *=* Cable Patrol for (AC)-TNI0322-JB(TNI0013-TNI0005) *=* myt_bonemyat.naing1 *=* 439.03 Hour</v>
      </c>
      <c r="J26" s="269" t="str">
        <f>IFERROR(__xludf.DUMMYFUNCTION("""COMPUTED_VALUE"""),"WO_WFM-OTHERS_20260623_123612901 *=* Cable routes measure-AC-TNI0046-JB(TNI0005-TNI0013) *=* myt_bonemyat.naing1 *=* 439.03 Hour")</f>
        <v>WO_WFM-OTHERS_20260623_123612901 *=* Cable routes measure-AC-TNI0046-JB(TNI0005-TNI0013) *=* myt_bonemyat.naing1 *=* 439.03 Hour</v>
      </c>
      <c r="K26" s="269"/>
      <c r="L26" s="269"/>
      <c r="M26" s="269" t="str">
        <f>IFERROR(__xludf.DUMMYFUNCTION("""COMPUTED_VALUE"""),"WO_QLCTKT_20260529_123389537 *=* TNI0068 MYT_Routine_Maintenance_Mytel_Station_VCM *=* myt_bhonehtet.aung *=* 223.05 Hour")</f>
        <v>WO_QLCTKT_20260529_123389537 *=* TNI0068 MYT_Routine_Maintenance_Mytel_Station_VCM *=* myt_bhonehtet.aung *=* 223.05 Hour</v>
      </c>
      <c r="N26" s="269" t="str">
        <f>IFERROR(__xludf.DUMMYFUNCTION("""COMPUTED_VALUE"""),"WO_QLCTKT_20260408_122931892 *=* TNI0264_01 MYT_Routine_Maintenance_Towerco_Station_VCM *=* myt_myothant.htoo *=* -1000.95 Hour")</f>
        <v>WO_QLCTKT_20260408_122931892 *=* TNI0264_01 MYT_Routine_Maintenance_Towerco_Station_VCM *=* myt_myothant.htoo *=* -1000.95 Hour</v>
      </c>
      <c r="O26" s="269"/>
      <c r="P26" s="269"/>
      <c r="Q26" s="269"/>
      <c r="R26" s="269"/>
      <c r="S26" s="269"/>
      <c r="T26" s="269"/>
      <c r="U26" s="269"/>
      <c r="V26" s="269"/>
      <c r="W26" s="269"/>
      <c r="X26" s="269"/>
      <c r="Y26" s="269" t="str">
        <f>IFERROR(__xludf.DUMMYFUNCTION("""COMPUTED_VALUE"""),"WO_WFM-OTHERS_20260504_123185474 *=* IP : TNI0188SRT001-TNI0330SRT001 link down at 04/05/2026 08:49:00 *=*  *=* -1241.45 Hour")</f>
        <v>WO_WFM-OTHERS_20260504_123185474 *=* IP : TNI0188SRT001-TNI0330SRT001 link down at 04/05/2026 08:49:00 *=*  *=* -1241.45 Hour</v>
      </c>
      <c r="Z26" s="269"/>
      <c r="AA26" s="269"/>
      <c r="AB26" s="269"/>
      <c r="AC26" s="269"/>
      <c r="AD26" s="269"/>
      <c r="AE26" s="269" t="str">
        <f>IFERROR(__xludf.DUMMYFUNCTION("""COMPUTED_VALUE"""),"WO_WFM-OTHERS_20260605_123451346 *=* TNI0018 MYT_Maintenance_Generator_Cleaning Rediator - MYT_Maintenance_Generator_Checking Coolant Level *=* myt_bhonehtet.aung *=* -280.95 Hour")</f>
        <v>WO_WFM-OTHERS_20260605_123451346 *=* TNI0018 MYT_Maintenance_Generator_Cleaning Rediator - MYT_Maintenance_Generator_Checking Coolant Level *=* myt_bhonehtet.aung *=* -280.95 Hour</v>
      </c>
      <c r="AF26" s="269"/>
      <c r="AG26" s="269"/>
      <c r="AH26" s="269"/>
      <c r="AI26" s="269"/>
      <c r="AJ26" s="269"/>
      <c r="AK26" s="269"/>
      <c r="AL26" s="269"/>
      <c r="AM26" s="269"/>
      <c r="AN26" s="269"/>
      <c r="AO26" s="269"/>
      <c r="AP26" s="269"/>
      <c r="AQ26" s="269"/>
      <c r="AR26" s="269"/>
    </row>
    <row r="27">
      <c r="A27" s="410" t="str">
        <f>IFERROR(__xludf.DUMMYFUNCTION("""COMPUTED_VALUE"""),"WO_WFM-OTHERS_20260623_123612932")</f>
        <v>WO_WFM-OTHERS_20260623_123612932</v>
      </c>
      <c r="B27" s="410" t="str">
        <f>IFERROR(__xludf.DUMMYFUNCTION("""COMPUTED_VALUE"""),"Cable routes measure-BB-TNI0012-TNI0011")</f>
        <v>Cable routes measure-BB-TNI0012-TNI0011</v>
      </c>
      <c r="C27" s="410">
        <f>IFERROR(__xludf.DUMMYFUNCTION("""COMPUTED_VALUE"""),439.03)</f>
        <v>439.03</v>
      </c>
      <c r="D27" s="410" t="str">
        <f>IFERROR(__xludf.DUMMYFUNCTION("""COMPUTED_VALUE"""),"T4")</f>
        <v>T4</v>
      </c>
      <c r="E27" s="410" t="str">
        <f>IFERROR(__xludf.DUMMYFUNCTION("""COMPUTED_VALUE"""),"TNI0012")</f>
        <v>TNI0012</v>
      </c>
      <c r="F27" s="410"/>
      <c r="H27" s="269"/>
      <c r="I27" s="269" t="str">
        <f>IFERROR(__xludf.DUMMYFUNCTION("""COMPUTED_VALUE"""),"WO_WFM-OTHERS_20260623_123616205 *=* Cable Patrol for (AC)-TNI0213-TNIM059 *=* myt_bonemyat.naing1 *=* 439.03 Hour")</f>
        <v>WO_WFM-OTHERS_20260623_123616205 *=* Cable Patrol for (AC)-TNI0213-TNIM059 *=* myt_bonemyat.naing1 *=* 439.03 Hour</v>
      </c>
      <c r="J27" s="269" t="str">
        <f>IFERROR(__xludf.DUMMYFUNCTION("""COMPUTED_VALUE"""),"WO_WFM-OTHERS_20260623_123612896 *=* Cable routes measure-AC-TNI0115-TNI0275 *=* myt_bonemyat.naing1 *=* 439.03 Hour")</f>
        <v>WO_WFM-OTHERS_20260623_123612896 *=* Cable routes measure-AC-TNI0115-TNI0275 *=* myt_bonemyat.naing1 *=* 439.03 Hour</v>
      </c>
      <c r="K27" s="269"/>
      <c r="L27" s="269"/>
      <c r="M27" s="269" t="str">
        <f>IFERROR(__xludf.DUMMYFUNCTION("""COMPUTED_VALUE"""),"WO_QLCTKT_20260529_123389526 *=* TNI0058 MYT_Routine_Maintenance_Mytel_Station_VCM *=* myt_bhonehtet.aung *=* 223.05 Hour")</f>
        <v>WO_QLCTKT_20260529_123389526 *=* TNI0058 MYT_Routine_Maintenance_Mytel_Station_VCM *=* myt_bhonehtet.aung *=* 223.05 Hour</v>
      </c>
      <c r="N27" s="269"/>
      <c r="O27" s="269"/>
      <c r="P27" s="269"/>
      <c r="Q27" s="269"/>
      <c r="R27" s="269"/>
      <c r="S27" s="269"/>
      <c r="T27" s="269"/>
      <c r="U27" s="269"/>
      <c r="V27" s="269"/>
      <c r="W27" s="269"/>
      <c r="X27" s="269"/>
      <c r="Y27" s="269" t="str">
        <f>IFERROR(__xludf.DUMMYFUNCTION("""COMPUTED_VALUE"""),"WO_WFM-OTHERS_20260504_123184943 *=* IP : TNI0019SRT001-TNI0089SRT001-TNI0289SRT001 link down at 04/05/2026 04:10:00 *=*  *=* -1241.45 Hour")</f>
        <v>WO_WFM-OTHERS_20260504_123184943 *=* IP : TNI0019SRT001-TNI0089SRT001-TNI0289SRT001 link down at 04/05/2026 04:10:00 *=*  *=* -1241.45 Hour</v>
      </c>
      <c r="Z27" s="269"/>
      <c r="AA27" s="269"/>
      <c r="AB27" s="269"/>
      <c r="AC27" s="269"/>
      <c r="AD27" s="269"/>
      <c r="AE27" s="269" t="str">
        <f>IFERROR(__xludf.DUMMYFUNCTION("""COMPUTED_VALUE"""),"WO_QLCTKT_20260531_123407700 *=* TNI0312 MYT_Maintenance_Generator_Change_Oil - MYT_Checking quality for DG Fuel *=* myt_phyoko.ko44 *=* -640.95 Hour")</f>
        <v>WO_QLCTKT_20260531_123407700 *=* TNI0312 MYT_Maintenance_Generator_Change_Oil - MYT_Checking quality for DG Fuel *=* myt_phyoko.ko44 *=* -640.95 Hour</v>
      </c>
      <c r="AF27" s="269"/>
      <c r="AG27" s="269"/>
      <c r="AH27" s="269"/>
      <c r="AI27" s="269"/>
      <c r="AJ27" s="269"/>
      <c r="AK27" s="269"/>
      <c r="AL27" s="269"/>
      <c r="AM27" s="269"/>
      <c r="AN27" s="269"/>
      <c r="AO27" s="269"/>
      <c r="AP27" s="269"/>
      <c r="AQ27" s="269"/>
      <c r="AR27" s="269"/>
    </row>
    <row r="28">
      <c r="A28" s="410" t="str">
        <f>IFERROR(__xludf.DUMMYFUNCTION("""COMPUTED_VALUE"""),"WO_WFM-OTHERS_20260622_123603229")</f>
        <v>WO_WFM-OTHERS_20260622_123603229</v>
      </c>
      <c r="B28" s="410" t="str">
        <f>IFERROR(__xludf.DUMMYFUNCTION("""COMPUTED_VALUE"""),"TNI0268_Cleaning Radiator and change engine oil")</f>
        <v>TNI0268_Cleaning Radiator and change engine oil</v>
      </c>
      <c r="C28" s="410">
        <f>IFERROR(__xludf.DUMMYFUNCTION("""COMPUTED_VALUE"""),-41.95)</f>
        <v>-41.95</v>
      </c>
      <c r="D28" s="410" t="str">
        <f>IFERROR(__xludf.DUMMYFUNCTION("""COMPUTED_VALUE"""),"T2")</f>
        <v>T2</v>
      </c>
      <c r="E28" s="410" t="str">
        <f>IFERROR(__xludf.DUMMYFUNCTION("""COMPUTED_VALUE"""),"TNI0268")</f>
        <v>TNI0268</v>
      </c>
      <c r="F28" s="410"/>
      <c r="H28" s="269"/>
      <c r="I28" s="269" t="str">
        <f>IFERROR(__xludf.DUMMYFUNCTION("""COMPUTED_VALUE"""),"WO_WFM-OTHERS_20260623_123616206 *=* Cable Patrol for (AC)-TNI0357-TNI0170 *=* myt_bonemyat.naing1 *=* 439.03 Hour")</f>
        <v>WO_WFM-OTHERS_20260623_123616206 *=* Cable Patrol for (AC)-TNI0357-TNI0170 *=* myt_bonemyat.naing1 *=* 439.03 Hour</v>
      </c>
      <c r="J28" s="269" t="str">
        <f>IFERROR(__xludf.DUMMYFUNCTION("""COMPUTED_VALUE"""),"WO_WFM-OTHERS_20260623_123612902 *=* Cable routes measure-AC-TNI0424-TNIM034 *=* myt_bonemyat.naing1 *=* 439.03 Hour")</f>
        <v>WO_WFM-OTHERS_20260623_123612902 *=* Cable routes measure-AC-TNI0424-TNIM034 *=* myt_bonemyat.naing1 *=* 439.03 Hour</v>
      </c>
      <c r="K28" s="269"/>
      <c r="L28" s="269"/>
      <c r="M28" s="269" t="str">
        <f>IFERROR(__xludf.DUMMYFUNCTION("""COMPUTED_VALUE"""),"WO_QLCTKT_20260529_123389460 *=* TNI0050 MYT_Routine_Maintenance_Mytel_Station_VCM *=* myt_bhonehtet.aung *=* 223.05 Hour")</f>
        <v>WO_QLCTKT_20260529_123389460 *=* TNI0050 MYT_Routine_Maintenance_Mytel_Station_VCM *=* myt_bhonehtet.aung *=* 223.05 Hour</v>
      </c>
      <c r="N28" s="269"/>
      <c r="O28" s="269"/>
      <c r="P28" s="269"/>
      <c r="Q28" s="269"/>
      <c r="R28" s="269"/>
      <c r="S28" s="269"/>
      <c r="T28" s="269"/>
      <c r="U28" s="269"/>
      <c r="V28" s="269"/>
      <c r="W28" s="269"/>
      <c r="X28" s="269"/>
      <c r="Y28" s="269" t="str">
        <f>IFERROR(__xludf.DUMMYFUNCTION("""COMPUTED_VALUE"""),"WO_WFM-OTHERS_20260504_123184389 *=* IP : SHN0170SRT001-SHN2323SRT001 link down at IP : SHN0170SRT001-SHN2323SRT001 link down *=*  *=* -1385.45 Hour")</f>
        <v>WO_WFM-OTHERS_20260504_123184389 *=* IP : SHN0170SRT001-SHN2323SRT001 link down at IP : SHN0170SRT001-SHN2323SRT001 link down *=*  *=* -1385.45 Hour</v>
      </c>
      <c r="Z28" s="269"/>
      <c r="AA28" s="269"/>
      <c r="AB28" s="269"/>
      <c r="AC28" s="269"/>
      <c r="AD28" s="269"/>
      <c r="AE28" s="269" t="str">
        <f>IFERROR(__xludf.DUMMYFUNCTION("""COMPUTED_VALUE"""),"WO_QLCTKT_20260531_123407571 *=* TNI0129 MYT_Maintenance_Generator_Change_Oil - MYT_Checking quality for DG Fuel *=* myt_tharhtoo.aung11 *=* -640.95 Hour")</f>
        <v>WO_QLCTKT_20260531_123407571 *=* TNI0129 MYT_Maintenance_Generator_Change_Oil - MYT_Checking quality for DG Fuel *=* myt_tharhtoo.aung11 *=* -640.95 Hour</v>
      </c>
      <c r="AF28" s="269"/>
      <c r="AG28" s="269"/>
      <c r="AH28" s="269"/>
      <c r="AI28" s="269"/>
      <c r="AJ28" s="269"/>
      <c r="AK28" s="269"/>
      <c r="AL28" s="269"/>
      <c r="AM28" s="269"/>
      <c r="AN28" s="269"/>
      <c r="AO28" s="269"/>
      <c r="AP28" s="269"/>
      <c r="AQ28" s="269"/>
      <c r="AR28" s="269"/>
    </row>
    <row r="29">
      <c r="A29" s="410" t="str">
        <f>IFERROR(__xludf.DUMMYFUNCTION("""COMPUTED_VALUE"""),"WO_WFM-OTHERS_20260622_123603215")</f>
        <v>WO_WFM-OTHERS_20260622_123603215</v>
      </c>
      <c r="B29" s="410" t="str">
        <f>IFERROR(__xludf.DUMMYFUNCTION("""COMPUTED_VALUE"""),"TNI0252_Cleaning Radiator and change engine oil")</f>
        <v>TNI0252_Cleaning Radiator and change engine oil</v>
      </c>
      <c r="C29" s="410">
        <f>IFERROR(__xludf.DUMMYFUNCTION("""COMPUTED_VALUE"""),-41.95)</f>
        <v>-41.95</v>
      </c>
      <c r="D29" s="410" t="str">
        <f>IFERROR(__xludf.DUMMYFUNCTION("""COMPUTED_VALUE"""),"T2")</f>
        <v>T2</v>
      </c>
      <c r="E29" s="410" t="str">
        <f>IFERROR(__xludf.DUMMYFUNCTION("""COMPUTED_VALUE"""),"TNI0252")</f>
        <v>TNI0252</v>
      </c>
      <c r="F29" s="410"/>
      <c r="H29" s="269"/>
      <c r="I29" s="269" t="str">
        <f>IFERROR(__xludf.DUMMYFUNCTION("""COMPUTED_VALUE"""),"WO_WFM-OTHERS_20260623_123616211 *=* Cable Patrol for (AC)-TNI0319-JB(TNI0005-TNI0013) *=* myt_bonemyat.naing1 *=* 439.03 Hour")</f>
        <v>WO_WFM-OTHERS_20260623_123616211 *=* Cable Patrol for (AC)-TNI0319-JB(TNI0005-TNI0013) *=* myt_bonemyat.naing1 *=* 439.03 Hour</v>
      </c>
      <c r="J29" s="269" t="str">
        <f>IFERROR(__xludf.DUMMYFUNCTION("""COMPUTED_VALUE"""),"WO_WFM-OTHERS_20260623_123612895 *=* Cable routes measure-AC-TNI0210-TNI0322 *=* myt_bonemyat.naing1 *=* 439.03 Hour")</f>
        <v>WO_WFM-OTHERS_20260623_123612895 *=* Cable routes measure-AC-TNI0210-TNI0322 *=* myt_bonemyat.naing1 *=* 439.03 Hour</v>
      </c>
      <c r="K29" s="269"/>
      <c r="L29" s="269"/>
      <c r="M29" s="269" t="str">
        <f>IFERROR(__xludf.DUMMYFUNCTION("""COMPUTED_VALUE"""),"WO_QLCTKT_20260529_123389457 *=* TNI0053 MYT_Routine_Maintenance_Mytel_Station_VCM *=* myt_bhonehtet.aung *=* 223.05 Hour")</f>
        <v>WO_QLCTKT_20260529_123389457 *=* TNI0053 MYT_Routine_Maintenance_Mytel_Station_VCM *=* myt_bhonehtet.aung *=* 223.05 Hour</v>
      </c>
      <c r="N29" s="269"/>
      <c r="O29" s="269"/>
      <c r="P29" s="269"/>
      <c r="Q29" s="269"/>
      <c r="R29" s="269"/>
      <c r="S29" s="269"/>
      <c r="T29" s="269"/>
      <c r="U29" s="269"/>
      <c r="V29" s="269"/>
      <c r="W29" s="269"/>
      <c r="X29" s="269"/>
      <c r="Y29" s="269" t="str">
        <f>IFERROR(__xludf.DUMMYFUNCTION("""COMPUTED_VALUE"""),"WO_WFM-OTHERS_20260502_123168012 *=* IP : TNI0005SRT001-TNI0046SRT001 link down at 29/04/2026 15:30:00 *=*  *=* -1457.45 Hour")</f>
        <v>WO_WFM-OTHERS_20260502_123168012 *=* IP : TNI0005SRT001-TNI0046SRT001 link down at 29/04/2026 15:30:00 *=*  *=* -1457.45 Hour</v>
      </c>
      <c r="Z29" s="269"/>
      <c r="AA29" s="269"/>
      <c r="AB29" s="269"/>
      <c r="AC29" s="269"/>
      <c r="AD29" s="269"/>
      <c r="AE29" s="269" t="str">
        <f>IFERROR(__xludf.DUMMYFUNCTION("""COMPUTED_VALUE"""),"WO_QLCTKT_20260531_123407528 *=* TNI0052 MYT_Maintenance_Generator_Change_Oil - MYT_Checking quality for DG Fuel *=* myt_bonemyat.naing1 *=* -640.95 Hour")</f>
        <v>WO_QLCTKT_20260531_123407528 *=* TNI0052 MYT_Maintenance_Generator_Change_Oil - MYT_Checking quality for DG Fuel *=* myt_bonemyat.naing1 *=* -640.95 Hour</v>
      </c>
      <c r="AF29" s="269"/>
      <c r="AG29" s="269"/>
      <c r="AH29" s="269"/>
      <c r="AI29" s="269"/>
      <c r="AJ29" s="269"/>
      <c r="AK29" s="269"/>
      <c r="AL29" s="269"/>
      <c r="AM29" s="269"/>
      <c r="AN29" s="269"/>
      <c r="AO29" s="269"/>
      <c r="AP29" s="269"/>
      <c r="AQ29" s="269"/>
      <c r="AR29" s="269"/>
    </row>
    <row r="30">
      <c r="A30" s="410" t="str">
        <f>IFERROR(__xludf.DUMMYFUNCTION("""COMPUTED_VALUE"""),"WO_WFM-OTHERS_20260622_123603205")</f>
        <v>WO_WFM-OTHERS_20260622_123603205</v>
      </c>
      <c r="B30" s="410" t="str">
        <f>IFERROR(__xludf.DUMMYFUNCTION("""COMPUTED_VALUE"""),"TNI0242_Cleaning Radiator and change engine oil")</f>
        <v>TNI0242_Cleaning Radiator and change engine oil</v>
      </c>
      <c r="C30" s="410">
        <f>IFERROR(__xludf.DUMMYFUNCTION("""COMPUTED_VALUE"""),-41.95)</f>
        <v>-41.95</v>
      </c>
      <c r="D30" s="410" t="str">
        <f>IFERROR(__xludf.DUMMYFUNCTION("""COMPUTED_VALUE"""),"T2")</f>
        <v>T2</v>
      </c>
      <c r="E30" s="410" t="str">
        <f>IFERROR(__xludf.DUMMYFUNCTION("""COMPUTED_VALUE"""),"TNI0242")</f>
        <v>TNI0242</v>
      </c>
      <c r="F30" s="410"/>
      <c r="H30" s="269"/>
      <c r="I30" s="269" t="str">
        <f>IFERROR(__xludf.DUMMYFUNCTION("""COMPUTED_VALUE"""),"WO_WFM-OTHERS_20260623_123616204 *=* Cable Patrol for (AC)-TNI0185-JB(MON0002-TNI0006) *=* myt_bonemyat.naing1 *=* 439.03 Hour")</f>
        <v>WO_WFM-OTHERS_20260623_123616204 *=* Cable Patrol for (AC)-TNI0185-JB(MON0002-TNI0006) *=* myt_bonemyat.naing1 *=* 439.03 Hour</v>
      </c>
      <c r="J30" s="269" t="str">
        <f>IFERROR(__xludf.DUMMYFUNCTION("""COMPUTED_VALUE"""),"WO_WFM-OTHERS_20260623_123612903 *=* Cable routes measure-AC-TNI0198-TNIM055 *=* myt_bonemyat.naing1 *=* 439.03 Hour")</f>
        <v>WO_WFM-OTHERS_20260623_123612903 *=* Cable routes measure-AC-TNI0198-TNIM055 *=* myt_bonemyat.naing1 *=* 439.03 Hour</v>
      </c>
      <c r="K30" s="269"/>
      <c r="L30" s="269"/>
      <c r="M30" s="269" t="str">
        <f>IFERROR(__xludf.DUMMYFUNCTION("""COMPUTED_VALUE"""),"WO_QLCTKT_20260529_123389455 *=* TNI0046 MYT_Routine_Maintenance_Mytel_Station_VCM *=* myt_aunglwin.phyo *=* 223.05 Hour")</f>
        <v>WO_QLCTKT_20260529_123389455 *=* TNI0046 MYT_Routine_Maintenance_Mytel_Station_VCM *=* myt_aunglwin.phyo *=* 223.05 Hour</v>
      </c>
      <c r="N30" s="269"/>
      <c r="O30" s="269"/>
      <c r="P30" s="269"/>
      <c r="Q30" s="269"/>
      <c r="R30" s="269"/>
      <c r="S30" s="269"/>
      <c r="T30" s="269"/>
      <c r="U30" s="269"/>
      <c r="V30" s="269"/>
      <c r="W30" s="269"/>
      <c r="X30" s="269"/>
      <c r="Y30" s="269" t="str">
        <f>IFERROR(__xludf.DUMMYFUNCTION("""COMPUTED_VALUE"""),"WO_WFM-OTHERS_20260429_123145565 *=* IP : TNI0013AGG001-TNI0070SRT001 link down at 28/04/2026 19:09:00 *=*  *=* -1505.45 Hour")</f>
        <v>WO_WFM-OTHERS_20260429_123145565 *=* IP : TNI0013AGG001-TNI0070SRT001 link down at 28/04/2026 19:09:00 *=*  *=* -1505.45 Hour</v>
      </c>
      <c r="Z30" s="269"/>
      <c r="AA30" s="269"/>
      <c r="AB30" s="269"/>
      <c r="AC30" s="269"/>
      <c r="AD30" s="269"/>
      <c r="AE30" s="269" t="str">
        <f>IFERROR(__xludf.DUMMYFUNCTION("""COMPUTED_VALUE"""),"WO_QLCTKT_20260531_123407494 *=* TNI0013 MYT_Maintenance_Generator_Change_Oil - MYT_Maintenance_Generator_Change_Oil_Filter - MYT_Maintenance_Generator_Change_Fuel_Filter - MYT_Maintenance_Generator_Change_Air_Filter, Clean Radiator and Clean Engine Room "&amp;"- MYT_Checking quality for DG Fuel *=* myt_bonemyat.naing1 *=* -640.95 Hour")</f>
        <v>WO_QLCTKT_20260531_123407494 *=* TNI0013 MYT_Maintenance_Generator_Change_Oil - MYT_Maintenance_Generator_Change_Oil_Filter - MYT_Maintenance_Generator_Change_Fuel_Filter - MYT_Maintenance_Generator_Change_Air_Filter, Clean Radiator and Clean Engine Room - MYT_Checking quality for DG Fuel *=* myt_bonemyat.naing1 *=* -640.95 Hour</v>
      </c>
      <c r="AF30" s="269"/>
      <c r="AG30" s="269"/>
      <c r="AH30" s="269"/>
      <c r="AI30" s="269"/>
      <c r="AJ30" s="269"/>
      <c r="AK30" s="269"/>
      <c r="AL30" s="269"/>
      <c r="AM30" s="269"/>
      <c r="AN30" s="269"/>
      <c r="AO30" s="269"/>
      <c r="AP30" s="269"/>
      <c r="AQ30" s="269"/>
      <c r="AR30" s="269"/>
    </row>
    <row r="31">
      <c r="A31" s="410" t="str">
        <f>IFERROR(__xludf.DUMMYFUNCTION("""COMPUTED_VALUE"""),"WO_WFM-OTHERS_20260622_123603203")</f>
        <v>WO_WFM-OTHERS_20260622_123603203</v>
      </c>
      <c r="B31" s="410" t="str">
        <f>IFERROR(__xludf.DUMMYFUNCTION("""COMPUTED_VALUE"""),"TNI0240_Cleaning Radiator and change engine oil")</f>
        <v>TNI0240_Cleaning Radiator and change engine oil</v>
      </c>
      <c r="C31" s="410">
        <f>IFERROR(__xludf.DUMMYFUNCTION("""COMPUTED_VALUE"""),-41.95)</f>
        <v>-41.95</v>
      </c>
      <c r="D31" s="410" t="str">
        <f>IFERROR(__xludf.DUMMYFUNCTION("""COMPUTED_VALUE"""),"T2")</f>
        <v>T2</v>
      </c>
      <c r="E31" s="410" t="str">
        <f>IFERROR(__xludf.DUMMYFUNCTION("""COMPUTED_VALUE"""),"TNI0240")</f>
        <v>TNI0240</v>
      </c>
      <c r="F31" s="410"/>
      <c r="H31" s="269"/>
      <c r="I31" s="269" t="str">
        <f>IFERROR(__xludf.DUMMYFUNCTION("""COMPUTED_VALUE"""),"WO_WFM-OTHERS_20260623_123616208 *=* Cable Patrol for (AC)-TNI0147-TNI0357 *=* myt_bonemyat.naing1 *=* 439.03 Hour")</f>
        <v>WO_WFM-OTHERS_20260623_123616208 *=* Cable Patrol for (AC)-TNI0147-TNI0357 *=* myt_bonemyat.naing1 *=* 439.03 Hour</v>
      </c>
      <c r="J31" s="269" t="str">
        <f>IFERROR(__xludf.DUMMYFUNCTION("""COMPUTED_VALUE"""),"WO_WFM-OTHERS_20260623_123612887 *=* Cable routes measure-AC-TNI0213-TNIM059 *=* myt_bonemyat.naing1 *=* 439.03 Hour")</f>
        <v>WO_WFM-OTHERS_20260623_123612887 *=* Cable routes measure-AC-TNI0213-TNIM059 *=* myt_bonemyat.naing1 *=* 439.03 Hour</v>
      </c>
      <c r="K31" s="269"/>
      <c r="L31" s="269"/>
      <c r="M31" s="269" t="str">
        <f>IFERROR(__xludf.DUMMYFUNCTION("""COMPUTED_VALUE"""),"WO_QLCTKT_20260529_123389444 *=* TNI0040 MYT_Routine_Maintenance_Mytel_Station_VCM *=* myt_aunglwin.phyo *=* 223.05 Hour")</f>
        <v>WO_QLCTKT_20260529_123389444 *=* TNI0040 MYT_Routine_Maintenance_Mytel_Station_VCM *=* myt_aunglwin.phyo *=* 223.05 Hour</v>
      </c>
      <c r="N31" s="269"/>
      <c r="O31" s="269"/>
      <c r="P31" s="269"/>
      <c r="Q31" s="269"/>
      <c r="R31" s="269"/>
      <c r="S31" s="269"/>
      <c r="T31" s="269"/>
      <c r="U31" s="269"/>
      <c r="V31" s="269"/>
      <c r="W31" s="269"/>
      <c r="X31" s="269"/>
      <c r="Y31" s="269" t="str">
        <f>IFERROR(__xludf.DUMMYFUNCTION("""COMPUTED_VALUE"""),"WO_WFM-OTHERS_20260428_123133282 *=* IP : TNI0006SRT002-TNI0206SRT001 and TNI0213SRT001-TNI0283SRT001 link down at 27/04/2026 17:42:00 *=*  *=* -1530.45 Hour")</f>
        <v>WO_WFM-OTHERS_20260428_123133282 *=* IP : TNI0006SRT002-TNI0206SRT001 and TNI0213SRT001-TNI0283SRT001 link down at 27/04/2026 17:42:00 *=*  *=* -1530.45 Hour</v>
      </c>
      <c r="Z31" s="269"/>
      <c r="AA31" s="269"/>
      <c r="AB31" s="269"/>
      <c r="AC31" s="269"/>
      <c r="AD31" s="269"/>
      <c r="AE31" s="269" t="str">
        <f>IFERROR(__xludf.DUMMYFUNCTION("""COMPUTED_VALUE"""),"WO_QLCTKT_20260524_123348547 *=* TNI0314 MYT_Maintenance_Generator_Change_Oil - MYT_Maintenance_Generator_Change_Oil_Filter - MYT_Checking quality for DG Fuel *=* myt_tharhtoo.aung11 *=* -808.95 Hour")</f>
        <v>WO_QLCTKT_20260524_123348547 *=* TNI0314 MYT_Maintenance_Generator_Change_Oil - MYT_Maintenance_Generator_Change_Oil_Filter - MYT_Checking quality for DG Fuel *=* myt_tharhtoo.aung11 *=* -808.95 Hour</v>
      </c>
      <c r="AF31" s="269"/>
      <c r="AG31" s="269"/>
      <c r="AH31" s="269"/>
      <c r="AI31" s="269"/>
      <c r="AJ31" s="269"/>
      <c r="AK31" s="269"/>
      <c r="AL31" s="269"/>
      <c r="AM31" s="269"/>
      <c r="AN31" s="269"/>
      <c r="AO31" s="269"/>
      <c r="AP31" s="269"/>
      <c r="AQ31" s="269"/>
      <c r="AR31" s="269"/>
    </row>
    <row r="32">
      <c r="A32" s="410" t="str">
        <f>IFERROR(__xludf.DUMMYFUNCTION("""COMPUTED_VALUE"""),"WO_WFM-OTHERS_20260622_123603033")</f>
        <v>WO_WFM-OTHERS_20260622_123603033</v>
      </c>
      <c r="B32" s="410" t="str">
        <f>IFERROR(__xludf.DUMMYFUNCTION("""COMPUTED_VALUE"""),"TNI0199_Cleaning Radiator and change engine oil")</f>
        <v>TNI0199_Cleaning Radiator and change engine oil</v>
      </c>
      <c r="C32" s="410">
        <f>IFERROR(__xludf.DUMMYFUNCTION("""COMPUTED_VALUE"""),-41.95)</f>
        <v>-41.95</v>
      </c>
      <c r="D32" s="410" t="str">
        <f>IFERROR(__xludf.DUMMYFUNCTION("""COMPUTED_VALUE"""),"T2")</f>
        <v>T2</v>
      </c>
      <c r="E32" s="410" t="str">
        <f>IFERROR(__xludf.DUMMYFUNCTION("""COMPUTED_VALUE"""),"TNI0199")</f>
        <v>TNI0199</v>
      </c>
      <c r="F32" s="410"/>
      <c r="H32" s="269"/>
      <c r="I32" s="269" t="str">
        <f>IFERROR(__xludf.DUMMYFUNCTION("""COMPUTED_VALUE"""),"WO_WFM-OTHERS_20260623_123616207 *=* Cable Patrol for (AC)-TNI0146-TNI0357 *=* myt_bhonehtet.aung *=* 439.03 Hour")</f>
        <v>WO_WFM-OTHERS_20260623_123616207 *=* Cable Patrol for (AC)-TNI0146-TNI0357 *=* myt_bhonehtet.aung *=* 439.03 Hour</v>
      </c>
      <c r="J32" s="269" t="str">
        <f>IFERROR(__xludf.DUMMYFUNCTION("""COMPUTED_VALUE"""),"WO_WFM-OTHERS_20260623_123612886 *=* Cable routes measure-AC-TNI0185-JB(MON0002-TNI0006) *=* myt_bonemyat.naing1 *=* 439.03 Hour")</f>
        <v>WO_WFM-OTHERS_20260623_123612886 *=* Cable routes measure-AC-TNI0185-JB(MON0002-TNI0006) *=* myt_bonemyat.naing1 *=* 439.03 Hour</v>
      </c>
      <c r="K32" s="269"/>
      <c r="L32" s="269"/>
      <c r="M32" s="269" t="str">
        <f>IFERROR(__xludf.DUMMYFUNCTION("""COMPUTED_VALUE"""),"WO_QLCTKT_20260529_123389377 *=* TNI0019 MYT_Routine_Maintenance_Mytel_Station_VCM *=* myt_phyoko.ko44 *=* 223.05 Hour")</f>
        <v>WO_QLCTKT_20260529_123389377 *=* TNI0019 MYT_Routine_Maintenance_Mytel_Station_VCM *=* myt_phyoko.ko44 *=* 223.05 Hour</v>
      </c>
      <c r="N32" s="269"/>
      <c r="O32" s="269"/>
      <c r="P32" s="269"/>
      <c r="Q32" s="269"/>
      <c r="R32" s="269"/>
      <c r="S32" s="269"/>
      <c r="T32" s="269"/>
      <c r="U32" s="269"/>
      <c r="V32" s="269"/>
      <c r="W32" s="269"/>
      <c r="X32" s="269"/>
      <c r="Y32" s="269" t="str">
        <f>IFERROR(__xludf.DUMMYFUNCTION("""COMPUTED_VALUE"""),"WO_WFM-OTHERS_20260426_123112990 *=* IP : TNI0129SRT001-TNI0284SRT001 link down at 26/04/2026 08:00:39 *=*  *=* -1457.45 Hour")</f>
        <v>WO_WFM-OTHERS_20260426_123112990 *=* IP : TNI0129SRT001-TNI0284SRT001 link down at 26/04/2026 08:00:39 *=*  *=* -1457.45 Hour</v>
      </c>
      <c r="Z32" s="269"/>
      <c r="AA32" s="269"/>
      <c r="AB32" s="269"/>
      <c r="AC32" s="269"/>
      <c r="AD32" s="269"/>
      <c r="AE32" s="269" t="str">
        <f>IFERROR(__xludf.DUMMYFUNCTION("""COMPUTED_VALUE"""),"WO_QLCTKT_20260516_123282934 *=* TNI0319 MYT_Maintenance_Generator_Change_Oil - MYT_Checking quality for DG Fuel *=* myt_phyoko.ko44 *=* -1000.95 Hour")</f>
        <v>WO_QLCTKT_20260516_123282934 *=* TNI0319 MYT_Maintenance_Generator_Change_Oil - MYT_Checking quality for DG Fuel *=* myt_phyoko.ko44 *=* -1000.95 Hour</v>
      </c>
      <c r="AF32" s="269"/>
      <c r="AG32" s="269"/>
      <c r="AH32" s="269"/>
      <c r="AI32" s="269"/>
      <c r="AJ32" s="269"/>
      <c r="AK32" s="269"/>
      <c r="AL32" s="269"/>
      <c r="AM32" s="269"/>
      <c r="AN32" s="269"/>
      <c r="AO32" s="269"/>
      <c r="AP32" s="269"/>
      <c r="AQ32" s="269"/>
      <c r="AR32" s="269"/>
    </row>
    <row r="33">
      <c r="A33" s="410" t="str">
        <f>IFERROR(__xludf.DUMMYFUNCTION("""COMPUTED_VALUE"""),"WO_WFM-OTHERS_20260622_123602900")</f>
        <v>WO_WFM-OTHERS_20260622_123602900</v>
      </c>
      <c r="B33" s="410" t="str">
        <f>IFERROR(__xludf.DUMMYFUNCTION("""COMPUTED_VALUE"""),"TNI0090_Cleaning Radiator and change engine oil")</f>
        <v>TNI0090_Cleaning Radiator and change engine oil</v>
      </c>
      <c r="C33" s="410">
        <f>IFERROR(__xludf.DUMMYFUNCTION("""COMPUTED_VALUE"""),-41.95)</f>
        <v>-41.95</v>
      </c>
      <c r="D33" s="410" t="str">
        <f>IFERROR(__xludf.DUMMYFUNCTION("""COMPUTED_VALUE"""),"T2")</f>
        <v>T2</v>
      </c>
      <c r="E33" s="410" t="str">
        <f>IFERROR(__xludf.DUMMYFUNCTION("""COMPUTED_VALUE"""),"TNI0090")</f>
        <v>TNI0090</v>
      </c>
      <c r="F33" s="410"/>
      <c r="H33" s="269"/>
      <c r="I33" s="269"/>
      <c r="J33" s="269" t="str">
        <f>IFERROR(__xludf.DUMMYFUNCTION("""COMPUTED_VALUE"""),"WO_WFM-OTHERS_20260623_123612891 *=* Cable routes measure-AC-TNI0146-TNI0357 *=* myt_bonemyat.naing1 *=* 439.03 Hour")</f>
        <v>WO_WFM-OTHERS_20260623_123612891 *=* Cable routes measure-AC-TNI0146-TNI0357 *=* myt_bonemyat.naing1 *=* 439.03 Hour</v>
      </c>
      <c r="K33" s="269"/>
      <c r="L33" s="269"/>
      <c r="M33" s="269" t="str">
        <f>IFERROR(__xludf.DUMMYFUNCTION("""COMPUTED_VALUE"""),"WO_QLCTKT_20260522_123332498 *=* TNI0049 MYT_Routine_Maintenance_Mytel_Station_VCM *=* myt_bonemyat.naing1 *=* 55.05 Hour")</f>
        <v>WO_QLCTKT_20260522_123332498 *=* TNI0049 MYT_Routine_Maintenance_Mytel_Station_VCM *=* myt_bonemyat.naing1 *=* 55.05 Hour</v>
      </c>
      <c r="N33" s="269"/>
      <c r="O33" s="269"/>
      <c r="P33" s="269"/>
      <c r="Q33" s="269"/>
      <c r="R33" s="269"/>
      <c r="S33" s="269"/>
      <c r="T33" s="269"/>
      <c r="U33" s="269"/>
      <c r="V33" s="269"/>
      <c r="W33" s="269"/>
      <c r="X33" s="269"/>
      <c r="Y33" s="269" t="str">
        <f>IFERROR(__xludf.DUMMYFUNCTION("""COMPUTED_VALUE"""),"WO_WFM-OTHERS_20260421_123060782 *=* IP : TNI0207SRT001-TNI0356SRT001 link down at 19/04/2026 09:40:00 *=*  *=* -1697.45 Hour")</f>
        <v>WO_WFM-OTHERS_20260421_123060782 *=* IP : TNI0207SRT001-TNI0356SRT001 link down at 19/04/2026 09:40:00 *=*  *=* -1697.45 Hour</v>
      </c>
      <c r="Z33" s="269"/>
      <c r="AA33" s="269"/>
      <c r="AB33" s="269"/>
      <c r="AC33" s="269"/>
      <c r="AD33" s="269"/>
      <c r="AE33" s="269" t="str">
        <f>IFERROR(__xludf.DUMMYFUNCTION("""COMPUTED_VALUE"""),"WO_QLCTKT_20260516_123282802 *=* TNI0129 MYT_Maintenance_Generator_Change_Oil - MYT_Maintenance_Generator_Change_Oil_Filter - MYT_Maintenance_Generator_Change_Fuel_Filter - MYT_Maintenance_Generator_Change_Air_Filter, Clean Radiator and Clean Engine Room "&amp;"- MYT_Checking quality for DG Fuel *=* myt_tharhtoo.aung11 *=* -1000.95 Hour")</f>
        <v>WO_QLCTKT_20260516_123282802 *=* TNI0129 MYT_Maintenance_Generator_Change_Oil - MYT_Maintenance_Generator_Change_Oil_Filter - MYT_Maintenance_Generator_Change_Fuel_Filter - MYT_Maintenance_Generator_Change_Air_Filter, Clean Radiator and Clean Engine Room - MYT_Checking quality for DG Fuel *=* myt_tharhtoo.aung11 *=* -1000.95 Hour</v>
      </c>
      <c r="AF33" s="269"/>
      <c r="AG33" s="269"/>
      <c r="AH33" s="269"/>
      <c r="AI33" s="269"/>
      <c r="AJ33" s="269"/>
      <c r="AK33" s="269"/>
      <c r="AL33" s="269"/>
      <c r="AM33" s="269"/>
      <c r="AN33" s="269"/>
      <c r="AO33" s="269"/>
      <c r="AP33" s="269"/>
      <c r="AQ33" s="269"/>
      <c r="AR33" s="269"/>
    </row>
    <row r="34">
      <c r="A34" s="410" t="str">
        <f>IFERROR(__xludf.DUMMYFUNCTION("""COMPUTED_VALUE"""),"WO_WFM-OTHERS_20260622_123602756")</f>
        <v>WO_WFM-OTHERS_20260622_123602756</v>
      </c>
      <c r="B34" s="410" t="str">
        <f>IFERROR(__xludf.DUMMYFUNCTION("""COMPUTED_VALUE"""),"TNI0047_Cleaning Radiator and change engine oil")</f>
        <v>TNI0047_Cleaning Radiator and change engine oil</v>
      </c>
      <c r="C34" s="410">
        <f>IFERROR(__xludf.DUMMYFUNCTION("""COMPUTED_VALUE"""),-41.95)</f>
        <v>-41.95</v>
      </c>
      <c r="D34" s="410" t="str">
        <f>IFERROR(__xludf.DUMMYFUNCTION("""COMPUTED_VALUE"""),"T2")</f>
        <v>T2</v>
      </c>
      <c r="E34" s="410" t="str">
        <f>IFERROR(__xludf.DUMMYFUNCTION("""COMPUTED_VALUE"""),"TNI0047")</f>
        <v>TNI0047</v>
      </c>
      <c r="F34" s="410"/>
      <c r="H34" s="269"/>
      <c r="I34" s="269"/>
      <c r="J34" s="269" t="str">
        <f>IFERROR(__xludf.DUMMYFUNCTION("""COMPUTED_VALUE"""),"WO_WFM-OTHERS_20260623_123612893 *=* Cable routes measure-AC-TNI0147-TNI0357 *=* myt_bonemyat.naing1 *=* 439.03 Hour")</f>
        <v>WO_WFM-OTHERS_20260623_123612893 *=* Cable routes measure-AC-TNI0147-TNI0357 *=* myt_bonemyat.naing1 *=* 439.03 Hour</v>
      </c>
      <c r="K34" s="269"/>
      <c r="L34" s="269"/>
      <c r="M34" s="269" t="str">
        <f>IFERROR(__xludf.DUMMYFUNCTION("""COMPUTED_VALUE"""),"WO_QLCTKT_20260430_123146548 *=* TNI0038 MYT_Routine_Maintenance_Mytel_Station_VCM *=* myt_bonemyat.naing1 *=* -472.95 Hour")</f>
        <v>WO_QLCTKT_20260430_123146548 *=* TNI0038 MYT_Routine_Maintenance_Mytel_Station_VCM *=* myt_bonemyat.naing1 *=* -472.95 Hour</v>
      </c>
      <c r="N34" s="269"/>
      <c r="O34" s="269"/>
      <c r="P34" s="269"/>
      <c r="Q34" s="269"/>
      <c r="R34" s="269"/>
      <c r="S34" s="269"/>
      <c r="T34" s="269"/>
      <c r="U34" s="269"/>
      <c r="V34" s="269"/>
      <c r="W34" s="269"/>
      <c r="X34" s="269"/>
      <c r="Y34" s="269" t="str">
        <f>IFERROR(__xludf.DUMMYFUNCTION("""COMPUTED_VALUE"""),"WO_WFM-OTHERS_20260419_123036808 *=* IP : TNI0250AGG001-TNI0231SRT001, TNI0013AGG001-TNI0013GRVSRT001 and TNI0050SRT001-TNI0058SRT001 link down at 18/04/2026 16:23:00 *=*  *=* -1625.45 Hour")</f>
        <v>WO_WFM-OTHERS_20260419_123036808 *=* IP : TNI0250AGG001-TNI0231SRT001, TNI0013AGG001-TNI0013GRVSRT001 and TNI0050SRT001-TNI0058SRT001 link down at 18/04/2026 16:23:00 *=*  *=* -1625.45 Hour</v>
      </c>
      <c r="Z34" s="269"/>
      <c r="AA34" s="269"/>
      <c r="AB34" s="269"/>
      <c r="AC34" s="269"/>
      <c r="AD34" s="269"/>
      <c r="AE34" s="269" t="str">
        <f>IFERROR(__xludf.DUMMYFUNCTION("""COMPUTED_VALUE"""),"WO_QLCTKT_20260516_123282507 *=* TNI0351 MYT_Maintenance_Generator_Change_Oil - MYT_Maintenance_Generator_Change_Oil_Filter - MYT_Maintenance_Generator_Change_Fuel_Filter - MYT_Checking quality for DG Fuel *=* myt_tharhtoo.aung11 *=* -1000.95 Hour")</f>
        <v>WO_QLCTKT_20260516_123282507 *=* TNI0351 MYT_Maintenance_Generator_Change_Oil - MYT_Maintenance_Generator_Change_Oil_Filter - MYT_Maintenance_Generator_Change_Fuel_Filter - MYT_Checking quality for DG Fuel *=* myt_tharhtoo.aung11 *=* -1000.95 Hour</v>
      </c>
      <c r="AF34" s="269"/>
      <c r="AG34" s="269"/>
      <c r="AH34" s="269"/>
      <c r="AI34" s="269"/>
      <c r="AJ34" s="269"/>
      <c r="AK34" s="269"/>
      <c r="AL34" s="269"/>
      <c r="AM34" s="269"/>
      <c r="AN34" s="269"/>
      <c r="AO34" s="269"/>
      <c r="AP34" s="269"/>
      <c r="AQ34" s="269"/>
      <c r="AR34" s="269"/>
    </row>
    <row r="35">
      <c r="A35" s="410" t="str">
        <f>IFERROR(__xludf.DUMMYFUNCTION("""COMPUTED_VALUE"""),"WO_WFM-OTHERS_20260622_123602829")</f>
        <v>WO_WFM-OTHERS_20260622_123602829</v>
      </c>
      <c r="B35" s="410" t="str">
        <f>IFERROR(__xludf.DUMMYFUNCTION("""COMPUTED_VALUE"""),"TNI0042_Cleaning Radiator and change engine oil")</f>
        <v>TNI0042_Cleaning Radiator and change engine oil</v>
      </c>
      <c r="C35" s="410">
        <f>IFERROR(__xludf.DUMMYFUNCTION("""COMPUTED_VALUE"""),-41.95)</f>
        <v>-41.95</v>
      </c>
      <c r="D35" s="410" t="str">
        <f>IFERROR(__xludf.DUMMYFUNCTION("""COMPUTED_VALUE"""),"T2")</f>
        <v>T2</v>
      </c>
      <c r="E35" s="410" t="str">
        <f>IFERROR(__xludf.DUMMYFUNCTION("""COMPUTED_VALUE"""),"TNI0042")</f>
        <v>TNI0042</v>
      </c>
      <c r="F35" s="410"/>
      <c r="H35" s="269"/>
      <c r="I35" s="269"/>
      <c r="J35" s="269" t="str">
        <f>IFERROR(__xludf.DUMMYFUNCTION("""COMPUTED_VALUE"""),"WO_WFM-OTHERS_20260623_123612889 *=* Cable routes measure-AC-TNI0357-TNI0170 *=* myt_bonemyat.naing1 *=* 439.03 Hour")</f>
        <v>WO_WFM-OTHERS_20260623_123612889 *=* Cable routes measure-AC-TNI0357-TNI0170 *=* myt_bonemyat.naing1 *=* 439.03 Hour</v>
      </c>
      <c r="K35" s="269"/>
      <c r="L35" s="269"/>
      <c r="M35" s="269" t="str">
        <f>IFERROR(__xludf.DUMMYFUNCTION("""COMPUTED_VALUE"""),"WO_QLCTKT_20260330_122772199 *=* TNI0257 MYT_Routine_Maintenance_Mytel_Station_VCM *=* myt_myothant.htoo *=* -1100.45 Hour")</f>
        <v>WO_QLCTKT_20260330_122772199 *=* TNI0257 MYT_Routine_Maintenance_Mytel_Station_VCM *=* myt_myothant.htoo *=* -1100.45 Hour</v>
      </c>
      <c r="N35" s="269"/>
      <c r="O35" s="269"/>
      <c r="P35" s="269"/>
      <c r="Q35" s="269"/>
      <c r="R35" s="269"/>
      <c r="S35" s="269"/>
      <c r="T35" s="269"/>
      <c r="U35" s="269"/>
      <c r="V35" s="269"/>
      <c r="W35" s="269"/>
      <c r="X35" s="269"/>
      <c r="Y35" s="269" t="str">
        <f>IFERROR(__xludf.DUMMYFUNCTION("""COMPUTED_VALUE"""),"WO_WFM-OTHERS_20260418_123026238 *=* IP : TNI0031SRT001-TNI0038SRT001 link down at 17/04/2026 14:58:00 *=*  *=* -1649.45 Hour")</f>
        <v>WO_WFM-OTHERS_20260418_123026238 *=* IP : TNI0031SRT001-TNI0038SRT001 link down at 17/04/2026 14:58:00 *=*  *=* -1649.45 Hour</v>
      </c>
      <c r="Z35" s="269"/>
      <c r="AA35" s="269"/>
      <c r="AB35" s="269"/>
      <c r="AC35" s="269"/>
      <c r="AD35" s="269"/>
      <c r="AE35" s="269" t="str">
        <f>IFERROR(__xludf.DUMMYFUNCTION("""COMPUTED_VALUE"""),"WO_QLCTKT_20260509_123226339 *=* TNI0198 MYT_Maintenance_Generator_Change_Oil - MYT_Maintenance_Generator_Change_Oil_Filter - MYT_Maintenance_Generator_Change_Fuel_Filter - MYT_Checking quality for DG Fuel *=* myt_phyoko.ko44 *=* -1168.95 Hour")</f>
        <v>WO_QLCTKT_20260509_123226339 *=* TNI0198 MYT_Maintenance_Generator_Change_Oil - MYT_Maintenance_Generator_Change_Oil_Filter - MYT_Maintenance_Generator_Change_Fuel_Filter - MYT_Checking quality for DG Fuel *=* myt_phyoko.ko44 *=* -1168.95 Hour</v>
      </c>
      <c r="AF35" s="269"/>
      <c r="AG35" s="269"/>
      <c r="AH35" s="269"/>
      <c r="AI35" s="269"/>
      <c r="AJ35" s="269"/>
      <c r="AK35" s="269"/>
      <c r="AL35" s="269"/>
      <c r="AM35" s="269"/>
      <c r="AN35" s="269"/>
      <c r="AO35" s="269"/>
      <c r="AP35" s="269"/>
      <c r="AQ35" s="269"/>
      <c r="AR35" s="269"/>
    </row>
    <row r="36">
      <c r="A36" s="410" t="str">
        <f>IFERROR(__xludf.DUMMYFUNCTION("""COMPUTED_VALUE"""),"WO_WFM-OTHERS_20260622_123602735")</f>
        <v>WO_WFM-OTHERS_20260622_123602735</v>
      </c>
      <c r="B36" s="410" t="str">
        <f>IFERROR(__xludf.DUMMYFUNCTION("""COMPUTED_VALUE"""),"TNI0040_Cleaning Radiator and change engine oil")</f>
        <v>TNI0040_Cleaning Radiator and change engine oil</v>
      </c>
      <c r="C36" s="410">
        <f>IFERROR(__xludf.DUMMYFUNCTION("""COMPUTED_VALUE"""),-41.95)</f>
        <v>-41.95</v>
      </c>
      <c r="D36" s="410" t="str">
        <f>IFERROR(__xludf.DUMMYFUNCTION("""COMPUTED_VALUE"""),"T2")</f>
        <v>T2</v>
      </c>
      <c r="E36" s="410" t="str">
        <f>IFERROR(__xludf.DUMMYFUNCTION("""COMPUTED_VALUE"""),"TNI0040")</f>
        <v>TNI0040</v>
      </c>
      <c r="F36" s="410"/>
      <c r="H36" s="269"/>
      <c r="I36" s="269"/>
      <c r="J36" s="269" t="str">
        <f>IFERROR(__xludf.DUMMYFUNCTION("""COMPUTED_VALUE"""),"WO_WFM-OTHERS_20260623_123612885 *=* Cable routes measure-AC-TNI0147-TNI0148 *=* myt_bonemyat.naing1 *=* 439.03 Hour")</f>
        <v>WO_WFM-OTHERS_20260623_123612885 *=* Cable routes measure-AC-TNI0147-TNI0148 *=* myt_bonemyat.naing1 *=* 439.03 Hour</v>
      </c>
      <c r="K36" s="269"/>
      <c r="L36" s="269"/>
      <c r="M36" s="269" t="str">
        <f>IFERROR(__xludf.DUMMYFUNCTION("""COMPUTED_VALUE"""),"WO_QLCTKT_20260330_122772154 *=* TNI0220 MYT_Routine_Maintenance_Mytel_Station_VCM *=* myt_tharhtoo.aung11 *=* -1100.45 Hour")</f>
        <v>WO_QLCTKT_20260330_122772154 *=* TNI0220 MYT_Routine_Maintenance_Mytel_Station_VCM *=* myt_tharhtoo.aung11 *=* -1100.45 Hour</v>
      </c>
      <c r="N36" s="269"/>
      <c r="O36" s="269"/>
      <c r="P36" s="269"/>
      <c r="Q36" s="269"/>
      <c r="R36" s="269"/>
      <c r="S36" s="269"/>
      <c r="T36" s="269"/>
      <c r="U36" s="269"/>
      <c r="V36" s="269"/>
      <c r="W36" s="269"/>
      <c r="X36" s="269"/>
      <c r="Y36" s="269" t="str">
        <f>IFERROR(__xludf.DUMMYFUNCTION("""COMPUTED_VALUE"""),"WO_WFM-OTHERS_20260415_123007148 *=* IP : TNI0006SRT002-TNI0331SRT001 link down at 14/04/2026 13:13:00 *=*  *=* -1697.45 Hour")</f>
        <v>WO_WFM-OTHERS_20260415_123007148 *=* IP : TNI0006SRT002-TNI0331SRT001 link down at 14/04/2026 13:13:00 *=*  *=* -1697.45 Hour</v>
      </c>
      <c r="Z36" s="269"/>
      <c r="AA36" s="269"/>
      <c r="AB36" s="269"/>
      <c r="AC36" s="269"/>
      <c r="AD36" s="269"/>
      <c r="AE36" s="269" t="str">
        <f>IFERROR(__xludf.DUMMYFUNCTION("""COMPUTED_VALUE"""),"WO_QLCTKT_20260503_123170503 *=* TNI0061 MYT_Maintenance_Generator_Change_Oil - MYT_Checking quality for DG Fuel *=* myt_bonemyat.naing1 *=* -1312.95 Hour")</f>
        <v>WO_QLCTKT_20260503_123170503 *=* TNI0061 MYT_Maintenance_Generator_Change_Oil - MYT_Checking quality for DG Fuel *=* myt_bonemyat.naing1 *=* -1312.95 Hour</v>
      </c>
      <c r="AF36" s="269"/>
      <c r="AG36" s="269"/>
      <c r="AH36" s="269"/>
      <c r="AI36" s="269"/>
      <c r="AJ36" s="269"/>
      <c r="AK36" s="269"/>
      <c r="AL36" s="269"/>
      <c r="AM36" s="269"/>
      <c r="AN36" s="269"/>
      <c r="AO36" s="269"/>
      <c r="AP36" s="269"/>
      <c r="AQ36" s="269"/>
      <c r="AR36" s="269"/>
    </row>
    <row r="37">
      <c r="A37" s="410" t="str">
        <f>IFERROR(__xludf.DUMMYFUNCTION("""COMPUTED_VALUE"""),"WO_WFM-OTHERS_20260622_123602814")</f>
        <v>WO_WFM-OTHERS_20260622_123602814</v>
      </c>
      <c r="B37" s="410" t="str">
        <f>IFERROR(__xludf.DUMMYFUNCTION("""COMPUTED_VALUE"""),"TNI0039_Cleaning Radiator and change engine oil")</f>
        <v>TNI0039_Cleaning Radiator and change engine oil</v>
      </c>
      <c r="C37" s="410">
        <f>IFERROR(__xludf.DUMMYFUNCTION("""COMPUTED_VALUE"""),-41.95)</f>
        <v>-41.95</v>
      </c>
      <c r="D37" s="410" t="str">
        <f>IFERROR(__xludf.DUMMYFUNCTION("""COMPUTED_VALUE"""),"T2")</f>
        <v>T2</v>
      </c>
      <c r="E37" s="410" t="str">
        <f>IFERROR(__xludf.DUMMYFUNCTION("""COMPUTED_VALUE"""),"TNI0039")</f>
        <v>TNI0039</v>
      </c>
      <c r="F37" s="410"/>
      <c r="H37" s="269"/>
      <c r="I37" s="269"/>
      <c r="J37" s="269" t="str">
        <f>IFERROR(__xludf.DUMMYFUNCTION("""COMPUTED_VALUE"""),"WO_WFM-OTHERS_20260623_123612892 *=* Cable routes measure-AC-TNI0206-TNI0220 *=* myt_bonemyat.naing1 *=* 439.03 Hour")</f>
        <v>WO_WFM-OTHERS_20260623_123612892 *=* Cable routes measure-AC-TNI0206-TNI0220 *=* myt_bonemyat.naing1 *=* 439.03 Hour</v>
      </c>
      <c r="K37" s="269"/>
      <c r="L37" s="269"/>
      <c r="M37" s="269" t="str">
        <f>IFERROR(__xludf.DUMMYFUNCTION("""COMPUTED_VALUE"""),"WO_QLCTKT_20260330_122772147 *=* TNI0206 MYT_Routine_Maintenance_Mytel_Station_VCM *=* myt_tharhtoo.aung11 *=* -1100.45 Hour")</f>
        <v>WO_QLCTKT_20260330_122772147 *=* TNI0206 MYT_Routine_Maintenance_Mytel_Station_VCM *=* myt_tharhtoo.aung11 *=* -1100.45 Hour</v>
      </c>
      <c r="N37" s="269"/>
      <c r="O37" s="269"/>
      <c r="P37" s="269"/>
      <c r="Q37" s="269"/>
      <c r="R37" s="269"/>
      <c r="S37" s="269"/>
      <c r="T37" s="269"/>
      <c r="U37" s="269"/>
      <c r="V37" s="269"/>
      <c r="W37" s="269"/>
      <c r="X37" s="269"/>
      <c r="Y37" s="269" t="str">
        <f>IFERROR(__xludf.DUMMYFUNCTION("""COMPUTED_VALUE"""),"WO_WFM-OTHERS_20260409_122961161 *=* IP : TNI0006SRT002-TNI0331SRT001 link down at 07/04/2026 18:40:00 *=*  *=* -1985.45 Hour")</f>
        <v>WO_WFM-OTHERS_20260409_122961161 *=* IP : TNI0006SRT002-TNI0331SRT001 link down at 07/04/2026 18:40:00 *=*  *=* -1985.45 Hour</v>
      </c>
      <c r="Z37" s="269"/>
      <c r="AA37" s="269"/>
      <c r="AB37" s="269"/>
      <c r="AC37" s="269"/>
      <c r="AD37" s="269"/>
      <c r="AE37" s="269" t="str">
        <f>IFERROR(__xludf.DUMMYFUNCTION("""COMPUTED_VALUE"""),"WO_QLCTKT_20260503_123170456 *=* TNI0006 MYT_Maintenance_Generator_Change_Oil - MYT_Maintenance_Generator_Change_Oil_Filter - MYT_Maintenance_Generator_Change_Fuel_Filter - MYT_Maintenance_Generator_Change_Air_Filter and Clean_Radiator - MYT_Checking qual"&amp;"ity for DG Fuel *=* myt_aungthin.mya *=* -1312.95 Hour")</f>
        <v>WO_QLCTKT_20260503_123170456 *=* TNI0006 MYT_Maintenance_Generator_Change_Oil - MYT_Maintenance_Generator_Change_Oil_Filter - MYT_Maintenance_Generator_Change_Fuel_Filter - MYT_Maintenance_Generator_Change_Air_Filter and Clean_Radiator - MYT_Checking quality for DG Fuel *=* myt_aungthin.mya *=* -1312.95 Hour</v>
      </c>
      <c r="AF37" s="269"/>
      <c r="AG37" s="269"/>
      <c r="AH37" s="269"/>
      <c r="AI37" s="269"/>
      <c r="AJ37" s="269"/>
      <c r="AK37" s="269"/>
      <c r="AL37" s="269"/>
      <c r="AM37" s="269"/>
      <c r="AN37" s="269"/>
      <c r="AO37" s="269"/>
      <c r="AP37" s="269"/>
      <c r="AQ37" s="269"/>
      <c r="AR37" s="269"/>
    </row>
    <row r="38">
      <c r="A38" s="410" t="str">
        <f>IFERROR(__xludf.DUMMYFUNCTION("""COMPUTED_VALUE"""),"WO_WFM-OTHERS_20260622_123602806")</f>
        <v>WO_WFM-OTHERS_20260622_123602806</v>
      </c>
      <c r="B38" s="410" t="str">
        <f>IFERROR(__xludf.DUMMYFUNCTION("""COMPUTED_VALUE"""),"TNI0020_Cleaning Radiator and change engine oil")</f>
        <v>TNI0020_Cleaning Radiator and change engine oil</v>
      </c>
      <c r="C38" s="410">
        <f>IFERROR(__xludf.DUMMYFUNCTION("""COMPUTED_VALUE"""),-41.95)</f>
        <v>-41.95</v>
      </c>
      <c r="D38" s="410" t="str">
        <f>IFERROR(__xludf.DUMMYFUNCTION("""COMPUTED_VALUE"""),"T2")</f>
        <v>T2</v>
      </c>
      <c r="E38" s="410" t="str">
        <f>IFERROR(__xludf.DUMMYFUNCTION("""COMPUTED_VALUE"""),"TNI0020")</f>
        <v>TNI0020</v>
      </c>
      <c r="F38" s="410"/>
      <c r="H38" s="269"/>
      <c r="I38" s="269"/>
      <c r="J38" s="269" t="str">
        <f>IFERROR(__xludf.DUMMYFUNCTION("""COMPUTED_VALUE"""),"WO_WFM-OTHERS_20260623_123612888 *=* Cable routes measure-AC-TNI0148-TNI0150 *=* myt_bonemyat.naing1 *=* 439.03 Hour")</f>
        <v>WO_WFM-OTHERS_20260623_123612888 *=* Cable routes measure-AC-TNI0148-TNI0150 *=* myt_bonemyat.naing1 *=* 439.03 Hour</v>
      </c>
      <c r="K38" s="269"/>
      <c r="L38" s="269"/>
      <c r="M38" s="269" t="str">
        <f>IFERROR(__xludf.DUMMYFUNCTION("""COMPUTED_VALUE"""),"WO_QLCTKT_20260330_122772089 *=* TNI0153 MYT_Routine_Maintenance_Mytel_Station_VCM *=* myt_tharhtoo.aung11 *=* -1100.45 Hour")</f>
        <v>WO_QLCTKT_20260330_122772089 *=* TNI0153 MYT_Routine_Maintenance_Mytel_Station_VCM *=* myt_tharhtoo.aung11 *=* -1100.45 Hour</v>
      </c>
      <c r="N38" s="269"/>
      <c r="O38" s="269"/>
      <c r="P38" s="269"/>
      <c r="Q38" s="269"/>
      <c r="R38" s="269"/>
      <c r="S38" s="269"/>
      <c r="T38" s="269"/>
      <c r="U38" s="269"/>
      <c r="V38" s="269"/>
      <c r="W38" s="269"/>
      <c r="X38" s="269"/>
      <c r="Y38" s="269" t="str">
        <f>IFERROR(__xludf.DUMMYFUNCTION("""COMPUTED_VALUE"""),"WO_WFM-OTHERS_20260406_122908248 *=* IP : TNI0213SRT001-TNI0283SRT001 link down at 04/04/2026 22:00:00 *=*  *=* -2057.45 Hour")</f>
        <v>WO_WFM-OTHERS_20260406_122908248 *=* IP : TNI0213SRT001-TNI0283SRT001 link down at 04/04/2026 22:00:00 *=*  *=* -2057.45 Hour</v>
      </c>
      <c r="Z38" s="269"/>
      <c r="AA38" s="269"/>
      <c r="AB38" s="269"/>
      <c r="AC38" s="269"/>
      <c r="AD38" s="269"/>
      <c r="AE38" s="269" t="str">
        <f>IFERROR(__xludf.DUMMYFUNCTION("""COMPUTED_VALUE"""),"WO_QLCTKT_20260426_123105173 *=* TNI0019 MYT_Maintenance_Generator_Change_Oil - MYT_Checking quality for DG Fuel *=* myt_phyoko.ko44 *=* -1480.95 Hour")</f>
        <v>WO_QLCTKT_20260426_123105173 *=* TNI0019 MYT_Maintenance_Generator_Change_Oil - MYT_Checking quality for DG Fuel *=* myt_phyoko.ko44 *=* -1480.95 Hour</v>
      </c>
      <c r="AF38" s="269"/>
      <c r="AG38" s="269"/>
      <c r="AH38" s="269"/>
      <c r="AI38" s="269"/>
      <c r="AJ38" s="269"/>
      <c r="AK38" s="269"/>
      <c r="AL38" s="269"/>
      <c r="AM38" s="269"/>
      <c r="AN38" s="269"/>
      <c r="AO38" s="269"/>
      <c r="AP38" s="269"/>
      <c r="AQ38" s="269"/>
      <c r="AR38" s="269"/>
    </row>
    <row r="39">
      <c r="A39" s="410" t="str">
        <f>IFERROR(__xludf.DUMMYFUNCTION("""COMPUTED_VALUE"""),"WO_WFM-OTHERS_20260622_123602767")</f>
        <v>WO_WFM-OTHERS_20260622_123602767</v>
      </c>
      <c r="B39" s="410" t="str">
        <f>IFERROR(__xludf.DUMMYFUNCTION("""COMPUTED_VALUE"""),"IP : TNI0007SRT001-TNI0164SRT001 and TNI0007SRT001-TNI0127SRT001 link down at 22/06/2026")</f>
        <v>IP : TNI0007SRT001-TNI0164SRT001 and TNI0007SRT001-TNI0127SRT001 link down at 22/06/2026</v>
      </c>
      <c r="C39" s="410">
        <f>IFERROR(__xludf.DUMMYFUNCTION("""COMPUTED_VALUE"""),-209.45)</f>
        <v>-209.45</v>
      </c>
      <c r="D39" s="410" t="str">
        <f>IFERROR(__xludf.DUMMYFUNCTION("""COMPUTED_VALUE"""),"T5")</f>
        <v>T5</v>
      </c>
      <c r="E39" s="410" t="str">
        <f>IFERROR(__xludf.DUMMYFUNCTION("""COMPUTED_VALUE"""),"TNI0007")</f>
        <v>TNI0007</v>
      </c>
      <c r="F39" s="410"/>
      <c r="H39" s="269"/>
      <c r="I39" s="269"/>
      <c r="J39" s="269" t="str">
        <f>IFERROR(__xludf.DUMMYFUNCTION("""COMPUTED_VALUE"""),"WO_WFM-OTHERS_20260623_123612890 *=* Cable routes measure-AC-TNI0150-TNI0206 *=* myt_bonemyat.naing1 *=* 439.03 Hour")</f>
        <v>WO_WFM-OTHERS_20260623_123612890 *=* Cable routes measure-AC-TNI0150-TNI0206 *=* myt_bonemyat.naing1 *=* 439.03 Hour</v>
      </c>
      <c r="K39" s="269"/>
      <c r="L39" s="269"/>
      <c r="M39" s="269" t="str">
        <f>IFERROR(__xludf.DUMMYFUNCTION("""COMPUTED_VALUE"""),"WO_QLCTKT_20260330_122772021 *=* TNI0089 MYT_Routine_Maintenance_Mytel_Station_VCM *=* myt_phyoko.ko44 *=* -1100.45 Hour")</f>
        <v>WO_QLCTKT_20260330_122772021 *=* TNI0089 MYT_Routine_Maintenance_Mytel_Station_VCM *=* myt_phyoko.ko44 *=* -1100.45 Hour</v>
      </c>
      <c r="N39" s="269"/>
      <c r="O39" s="269"/>
      <c r="P39" s="269"/>
      <c r="Q39" s="269"/>
      <c r="R39" s="269"/>
      <c r="S39" s="269"/>
      <c r="T39" s="269"/>
      <c r="U39" s="269"/>
      <c r="V39" s="269"/>
      <c r="W39" s="269"/>
      <c r="X39" s="269"/>
      <c r="Y39" s="269"/>
      <c r="Z39" s="269"/>
      <c r="AA39" s="269"/>
      <c r="AB39" s="269"/>
      <c r="AC39" s="269"/>
      <c r="AD39" s="269"/>
      <c r="AE39" s="269" t="str">
        <f>IFERROR(__xludf.DUMMYFUNCTION("""COMPUTED_VALUE"""),"WO_QLCTKT_20260426_123105079 *=* TNI0314 MYT_Maintenance_Generator_Change_Oil - MYT_Maintenance_Generator_Change_Oil_Filter - MYT_Maintenance_Generator_Change_Fuel_Filter - MYT_Maintenance_Generator_Change_Air_Filter and Clean_Radiator - MYT_Checking qual"&amp;"ity for DG Fuel *=* myt_tharhtoo.aung11 *=* -1480.95 Hour")</f>
        <v>WO_QLCTKT_20260426_123105079 *=* TNI0314 MYT_Maintenance_Generator_Change_Oil - MYT_Maintenance_Generator_Change_Oil_Filter - MYT_Maintenance_Generator_Change_Fuel_Filter - MYT_Maintenance_Generator_Change_Air_Filter and Clean_Radiator - MYT_Checking quality for DG Fuel *=* myt_tharhtoo.aung11 *=* -1480.95 Hour</v>
      </c>
      <c r="AF39" s="269"/>
      <c r="AG39" s="269"/>
      <c r="AH39" s="269"/>
      <c r="AI39" s="269"/>
      <c r="AJ39" s="269"/>
      <c r="AK39" s="269"/>
      <c r="AL39" s="269"/>
      <c r="AM39" s="269"/>
      <c r="AN39" s="269"/>
      <c r="AO39" s="269"/>
      <c r="AP39" s="269"/>
      <c r="AQ39" s="269"/>
      <c r="AR39" s="269"/>
    </row>
    <row r="40">
      <c r="A40" s="410" t="str">
        <f>IFERROR(__xludf.DUMMYFUNCTION("""COMPUTED_VALUE"""),"WO_WFM-OTHERS_20260622_123602688")</f>
        <v>WO_WFM-OTHERS_20260622_123602688</v>
      </c>
      <c r="B40" s="410" t="str">
        <f>IFERROR(__xludf.DUMMYFUNCTION("""COMPUTED_VALUE"""),"IP : TNI0250AGG001-TNI0031SRT001 link down at 22/06/2026")</f>
        <v>IP : TNI0250AGG001-TNI0031SRT001 link down at 22/06/2026</v>
      </c>
      <c r="C40" s="410">
        <f>IFERROR(__xludf.DUMMYFUNCTION("""COMPUTED_VALUE"""),-209.45)</f>
        <v>-209.45</v>
      </c>
      <c r="D40" s="410" t="str">
        <f>IFERROR(__xludf.DUMMYFUNCTION("""COMPUTED_VALUE"""),"T1")</f>
        <v>T1</v>
      </c>
      <c r="E40" s="410" t="str">
        <f>IFERROR(__xludf.DUMMYFUNCTION("""COMPUTED_VALUE"""),"TNI0250")</f>
        <v>TNI0250</v>
      </c>
      <c r="F40" s="410"/>
      <c r="H40" s="269"/>
      <c r="I40" s="269"/>
      <c r="J40" s="269"/>
      <c r="K40" s="269"/>
      <c r="L40" s="269"/>
      <c r="M40" s="269"/>
      <c r="N40" s="269"/>
      <c r="O40" s="269"/>
      <c r="P40" s="269"/>
      <c r="Q40" s="269"/>
      <c r="R40" s="269"/>
      <c r="S40" s="269"/>
      <c r="T40" s="269"/>
      <c r="U40" s="269"/>
      <c r="V40" s="269"/>
      <c r="W40" s="269"/>
      <c r="X40" s="269"/>
      <c r="Y40" s="269"/>
      <c r="Z40" s="269"/>
      <c r="AA40" s="269"/>
      <c r="AB40" s="269"/>
      <c r="AC40" s="269"/>
      <c r="AD40" s="269"/>
      <c r="AE40" s="269" t="str">
        <f>IFERROR(__xludf.DUMMYFUNCTION("""COMPUTED_VALUE"""),"WO_QLCTKT_20260422_123061452 *=* TNI0351 MYT_Maintenance_Generator_Change_Oil - MYT_Maintenance_Generator_Change_Oil_Filter - MYT_Maintenance_Generator_Change_Fuel_Filter - MYT_Maintenance_Generator_Coolant_Water - MYT_Maintenance_Generator_Change_Air_Fil"&amp;"ter and Clean_Radiator - MYT_Checking quality for DG Fuel *=* myt_tharhtoo.aung11 *=* -1576.95 Hour")</f>
        <v>WO_QLCTKT_20260422_123061452 *=* TNI0351 MYT_Maintenance_Generator_Change_Oil - MYT_Maintenance_Generator_Change_Oil_Filter - MYT_Maintenance_Generator_Change_Fuel_Filter - MYT_Maintenance_Generator_Coolant_Water - MYT_Maintenance_Generator_Change_Air_Filter and Clean_Radiator - MYT_Checking quality for DG Fuel *=* myt_tharhtoo.aung11 *=* -1576.95 Hour</v>
      </c>
      <c r="AF40" s="269"/>
      <c r="AG40" s="269"/>
      <c r="AH40" s="269"/>
      <c r="AI40" s="269"/>
      <c r="AJ40" s="269"/>
      <c r="AK40" s="269"/>
      <c r="AL40" s="269"/>
      <c r="AM40" s="269"/>
      <c r="AN40" s="269"/>
      <c r="AO40" s="269"/>
      <c r="AP40" s="269"/>
      <c r="AQ40" s="269"/>
      <c r="AR40" s="269"/>
    </row>
    <row r="41">
      <c r="A41" s="410" t="str">
        <f>IFERROR(__xludf.DUMMYFUNCTION("""COMPUTED_VALUE"""),"WO_WFM-OTHERS_20260622_123602669")</f>
        <v>WO_WFM-OTHERS_20260622_123602669</v>
      </c>
      <c r="B41" s="410" t="str">
        <f>IFERROR(__xludf.DUMMYFUNCTION("""COMPUTED_VALUE"""),"TNI0002_Cleaning Radiator and change engine oil")</f>
        <v>TNI0002_Cleaning Radiator and change engine oil</v>
      </c>
      <c r="C41" s="410">
        <f>IFERROR(__xludf.DUMMYFUNCTION("""COMPUTED_VALUE"""),-41.95)</f>
        <v>-41.95</v>
      </c>
      <c r="D41" s="410" t="str">
        <f>IFERROR(__xludf.DUMMYFUNCTION("""COMPUTED_VALUE"""),"T2")</f>
        <v>T2</v>
      </c>
      <c r="E41" s="410" t="str">
        <f>IFERROR(__xludf.DUMMYFUNCTION("""COMPUTED_VALUE"""),"TNI0002")</f>
        <v>TNI0002</v>
      </c>
      <c r="F41" s="410"/>
      <c r="H41" s="269"/>
      <c r="I41" s="269"/>
      <c r="J41" s="269"/>
      <c r="K41" s="269"/>
      <c r="L41" s="269"/>
      <c r="M41" s="269"/>
      <c r="N41" s="269"/>
      <c r="O41" s="269"/>
      <c r="P41" s="269"/>
      <c r="Q41" s="269"/>
      <c r="R41" s="269"/>
      <c r="S41" s="269"/>
      <c r="T41" s="269"/>
      <c r="U41" s="269"/>
      <c r="V41" s="269"/>
      <c r="W41" s="269"/>
      <c r="X41" s="269"/>
      <c r="Y41" s="269"/>
      <c r="Z41" s="269"/>
      <c r="AA41" s="269"/>
      <c r="AB41" s="269"/>
      <c r="AC41" s="269"/>
      <c r="AD41" s="269"/>
      <c r="AE41" s="269" t="str">
        <f>IFERROR(__xludf.DUMMYFUNCTION("""COMPUTED_VALUE"""),"WO_QLCTKT_20260411_122972558 *=* TNI0319 MYT_Maintenance_Generator_Change_Oil - MYT_Maintenance_Generator_Change_Oil_Filter - MYT_Maintenance_Generator_Change_Fuel_Filter - MYT_Maintenance_Generator_Change_Air_Filter and Clean_Radiator - MYT_Checking qual"&amp;"ity for DG Fuel *=* myt_aungthin.mya *=* -1840.95 Hour")</f>
        <v>WO_QLCTKT_20260411_122972558 *=* TNI0319 MYT_Maintenance_Generator_Change_Oil - MYT_Maintenance_Generator_Change_Oil_Filter - MYT_Maintenance_Generator_Change_Fuel_Filter - MYT_Maintenance_Generator_Change_Air_Filter and Clean_Radiator - MYT_Checking quality for DG Fuel *=* myt_aungthin.mya *=* -1840.95 Hour</v>
      </c>
      <c r="AF41" s="269"/>
      <c r="AG41" s="269"/>
      <c r="AH41" s="269"/>
      <c r="AI41" s="269"/>
      <c r="AJ41" s="269"/>
      <c r="AK41" s="269"/>
      <c r="AL41" s="269"/>
      <c r="AM41" s="269"/>
      <c r="AN41" s="269"/>
      <c r="AO41" s="269"/>
      <c r="AP41" s="269"/>
      <c r="AQ41" s="269"/>
      <c r="AR41" s="269"/>
    </row>
    <row r="42">
      <c r="A42" s="410" t="str">
        <f>IFERROR(__xludf.DUMMYFUNCTION("""COMPUTED_VALUE"""),"WO_WFM-OTHERS_20260621_123593525")</f>
        <v>WO_WFM-OTHERS_20260621_123593525</v>
      </c>
      <c r="B42" s="410" t="str">
        <f>IFERROR(__xludf.DUMMYFUNCTION("""COMPUTED_VALUE"""),"IP : TNI0013AGG001-TNI0013GRVSRT001 link down at 21/06/2026 13:20:00")</f>
        <v>IP : TNI0013AGG001-TNI0013GRVSRT001 link down at 21/06/2026 13:20:00</v>
      </c>
      <c r="C42" s="410">
        <f>IFERROR(__xludf.DUMMYFUNCTION("""COMPUTED_VALUE"""),-65.45)</f>
        <v>-65.45</v>
      </c>
      <c r="D42" s="410" t="str">
        <f>IFERROR(__xludf.DUMMYFUNCTION("""COMPUTED_VALUE"""),"T2")</f>
        <v>T2</v>
      </c>
      <c r="E42" s="410" t="str">
        <f>IFERROR(__xludf.DUMMYFUNCTION("""COMPUTED_VALUE"""),"TNI0013")</f>
        <v>TNI0013</v>
      </c>
      <c r="F42" s="410"/>
      <c r="H42" s="269"/>
      <c r="I42" s="269"/>
      <c r="J42" s="269"/>
      <c r="K42" s="269"/>
      <c r="L42" s="269"/>
      <c r="M42" s="269"/>
      <c r="N42" s="269"/>
      <c r="O42" s="269"/>
      <c r="P42" s="269"/>
      <c r="Q42" s="269"/>
      <c r="R42" s="269"/>
      <c r="S42" s="269"/>
      <c r="T42" s="269"/>
      <c r="U42" s="269"/>
      <c r="V42" s="269"/>
      <c r="W42" s="269"/>
      <c r="X42" s="269"/>
      <c r="Y42" s="269"/>
      <c r="Z42" s="269"/>
      <c r="AA42" s="269"/>
      <c r="AB42" s="269"/>
      <c r="AC42" s="269"/>
      <c r="AD42" s="269"/>
      <c r="AE42" s="269" t="str">
        <f>IFERROR(__xludf.DUMMYFUNCTION("""COMPUTED_VALUE"""),"WO_QLCTKT_20260411_122972238 *=* TNI0306 MYT_Maintenance_Generator_Change_Oil - MYT_Maintenance_Generator_Change_Oil_Filter - MYT_Maintenance_Generator_Change_Fuel_Filter - MYT_Maintenance_Generator_Change_Air_Filter and Clean_Radiator - MYT_Checking qual"&amp;"ity for DG Fuel *=* myt_aungthin.mya *=* -1840.95 Hour")</f>
        <v>WO_QLCTKT_20260411_122972238 *=* TNI0306 MYT_Maintenance_Generator_Change_Oil - MYT_Maintenance_Generator_Change_Oil_Filter - MYT_Maintenance_Generator_Change_Fuel_Filter - MYT_Maintenance_Generator_Change_Air_Filter and Clean_Radiator - MYT_Checking quality for DG Fuel *=* myt_aungthin.mya *=* -1840.95 Hour</v>
      </c>
      <c r="AF42" s="269"/>
      <c r="AG42" s="269"/>
      <c r="AH42" s="269"/>
      <c r="AI42" s="269"/>
      <c r="AJ42" s="269"/>
      <c r="AK42" s="269"/>
      <c r="AL42" s="269"/>
      <c r="AM42" s="269"/>
      <c r="AN42" s="269"/>
      <c r="AO42" s="269"/>
      <c r="AP42" s="269"/>
      <c r="AQ42" s="269"/>
      <c r="AR42" s="269"/>
    </row>
    <row r="43">
      <c r="A43" s="410" t="str">
        <f>IFERROR(__xludf.DUMMYFUNCTION("""COMPUTED_VALUE"""),"WO_WFM-OTHERS_20260619_123576710")</f>
        <v>WO_WFM-OTHERS_20260619_123576710</v>
      </c>
      <c r="B43" s="410" t="str">
        <f>IFERROR(__xludf.DUMMYFUNCTION("""COMPUTED_VALUE"""),"IP : TNI0250AGG001-TNI0031SRT001 link down at 19/06/2026")</f>
        <v>IP : TNI0250AGG001-TNI0031SRT001 link down at 19/06/2026</v>
      </c>
      <c r="C43" s="410">
        <f>IFERROR(__xludf.DUMMYFUNCTION("""COMPUTED_VALUE"""),-281.45)</f>
        <v>-281.45</v>
      </c>
      <c r="D43" s="410" t="str">
        <f>IFERROR(__xludf.DUMMYFUNCTION("""COMPUTED_VALUE"""),"T1")</f>
        <v>T1</v>
      </c>
      <c r="E43" s="410" t="str">
        <f>IFERROR(__xludf.DUMMYFUNCTION("""COMPUTED_VALUE"""),"TNI0250")</f>
        <v>TNI0250</v>
      </c>
      <c r="F43" s="410"/>
      <c r="H43" s="269"/>
      <c r="I43" s="269"/>
      <c r="J43" s="269"/>
      <c r="K43" s="269"/>
      <c r="L43" s="269"/>
      <c r="M43" s="269"/>
      <c r="N43" s="269"/>
      <c r="O43" s="269"/>
      <c r="P43" s="269"/>
      <c r="Q43" s="269"/>
      <c r="R43" s="269"/>
      <c r="S43" s="269"/>
      <c r="T43" s="269"/>
      <c r="U43" s="269"/>
      <c r="V43" s="269"/>
      <c r="W43" s="269"/>
      <c r="X43" s="269"/>
      <c r="Y43" s="269"/>
      <c r="Z43" s="269"/>
      <c r="AA43" s="269"/>
      <c r="AB43" s="269"/>
      <c r="AC43" s="269"/>
      <c r="AD43" s="269"/>
      <c r="AE43" s="269" t="str">
        <f>IFERROR(__xludf.DUMMYFUNCTION("""COMPUTED_VALUE"""),"WO_QLCTKT_20260411_122972481 *=* TNI0198 MYT_Maintenance_Generator_Change_Oil - MYT_Maintenance_Generator_Change_Oil_Filter - MYT_Maintenance_Generator_Change_Fuel_Filter - MYT_Maintenance_Generator_Change_Air_Filter and Clean_Radiator - MYT_Checking qual"&amp;"ity for DG Fuel *=* myt_phyoko.ko44 *=* -1840.95 Hour")</f>
        <v>WO_QLCTKT_20260411_122972481 *=* TNI0198 MYT_Maintenance_Generator_Change_Oil - MYT_Maintenance_Generator_Change_Oil_Filter - MYT_Maintenance_Generator_Change_Fuel_Filter - MYT_Maintenance_Generator_Change_Air_Filter and Clean_Radiator - MYT_Checking quality for DG Fuel *=* myt_phyoko.ko44 *=* -1840.95 Hour</v>
      </c>
      <c r="AF43" s="269"/>
      <c r="AG43" s="269"/>
      <c r="AH43" s="269"/>
      <c r="AI43" s="269"/>
      <c r="AJ43" s="269"/>
      <c r="AK43" s="269"/>
      <c r="AL43" s="269"/>
      <c r="AM43" s="269"/>
      <c r="AN43" s="269"/>
      <c r="AO43" s="269"/>
      <c r="AP43" s="269"/>
      <c r="AQ43" s="269"/>
      <c r="AR43" s="269"/>
    </row>
    <row r="44">
      <c r="A44" s="410" t="str">
        <f>IFERROR(__xludf.DUMMYFUNCTION("""COMPUTED_VALUE"""),"WO_WFM-OTHERS_20260618_123561893")</f>
        <v>WO_WFM-OTHERS_20260618_123561893</v>
      </c>
      <c r="B44" s="410" t="str">
        <f>IFERROR(__xludf.DUMMYFUNCTION("""COMPUTED_VALUE"""),"IP : TNI0046SRT001-TNI0319SRT001 link down at 23/05/2026 11:22:00")</f>
        <v>IP : TNI0046SRT001-TNI0319SRT001 link down at 23/05/2026 11:22:00</v>
      </c>
      <c r="C44" s="410">
        <f>IFERROR(__xludf.DUMMYFUNCTION("""COMPUTED_VALUE"""),-137.45)</f>
        <v>-137.45</v>
      </c>
      <c r="D44" s="410" t="str">
        <f>IFERROR(__xludf.DUMMYFUNCTION("""COMPUTED_VALUE"""),"T1")</f>
        <v>T1</v>
      </c>
      <c r="E44" s="410" t="str">
        <f>IFERROR(__xludf.DUMMYFUNCTION("""COMPUTED_VALUE"""),"TNI0046")</f>
        <v>TNI0046</v>
      </c>
      <c r="F44" s="410"/>
      <c r="H44" s="269"/>
      <c r="I44" s="269"/>
      <c r="J44" s="269"/>
      <c r="K44" s="269"/>
      <c r="L44" s="269"/>
      <c r="M44" s="269"/>
      <c r="N44" s="269"/>
      <c r="O44" s="269"/>
      <c r="P44" s="269"/>
      <c r="Q44" s="269"/>
      <c r="R44" s="269"/>
      <c r="S44" s="269"/>
      <c r="T44" s="269"/>
      <c r="U44" s="269"/>
      <c r="V44" s="269"/>
      <c r="W44" s="269"/>
      <c r="X44" s="269"/>
      <c r="Y44" s="269"/>
      <c r="Z44" s="269"/>
      <c r="AA44" s="269"/>
      <c r="AB44" s="269"/>
      <c r="AC44" s="269"/>
      <c r="AD44" s="269"/>
      <c r="AE44" s="269" t="str">
        <f>IFERROR(__xludf.DUMMYFUNCTION("""COMPUTED_VALUE"""),"WO_QLCTKT_20260411_122972128 *=* TNI0284 MYT_Maintenance_Generator_Change_Oil - MYT_Checking quality for DG Fuel *=* myt_tharhtoo.aung11 *=* -1840.95 Hour")</f>
        <v>WO_QLCTKT_20260411_122972128 *=* TNI0284 MYT_Maintenance_Generator_Change_Oil - MYT_Checking quality for DG Fuel *=* myt_tharhtoo.aung11 *=* -1840.95 Hour</v>
      </c>
      <c r="AF44" s="269"/>
      <c r="AG44" s="269"/>
      <c r="AH44" s="269"/>
      <c r="AI44" s="269"/>
      <c r="AJ44" s="269"/>
      <c r="AK44" s="269"/>
      <c r="AL44" s="269"/>
      <c r="AM44" s="269"/>
      <c r="AN44" s="269"/>
      <c r="AO44" s="269"/>
      <c r="AP44" s="269"/>
      <c r="AQ44" s="269"/>
      <c r="AR44" s="269"/>
    </row>
    <row r="45">
      <c r="A45" s="410" t="str">
        <f>IFERROR(__xludf.DUMMYFUNCTION("""COMPUTED_VALUE"""),"WO_WFM-OTHERS_20260617_123550841")</f>
        <v>WO_WFM-OTHERS_20260617_123550841</v>
      </c>
      <c r="B45" s="410" t="str">
        <f>IFERROR(__xludf.DUMMYFUNCTION("""COMPUTED_VALUE"""),"IP : TNI0188SRT001-TNI0330SRT001 link down at 11/06/2026 17:01:00")</f>
        <v>IP : TNI0188SRT001-TNI0330SRT001 link down at 11/06/2026 17:01:00</v>
      </c>
      <c r="C45" s="410">
        <f>IFERROR(__xludf.DUMMYFUNCTION("""COMPUTED_VALUE"""),-137.45)</f>
        <v>-137.45</v>
      </c>
      <c r="D45" s="410" t="str">
        <f>IFERROR(__xludf.DUMMYFUNCTION("""COMPUTED_VALUE"""),"T1")</f>
        <v>T1</v>
      </c>
      <c r="E45" s="410" t="str">
        <f>IFERROR(__xludf.DUMMYFUNCTION("""COMPUTED_VALUE"""),"TNI0188")</f>
        <v>TNI0188</v>
      </c>
      <c r="F45" s="410"/>
      <c r="H45" s="269"/>
      <c r="I45" s="269"/>
      <c r="J45" s="269"/>
      <c r="K45" s="269"/>
      <c r="L45" s="269"/>
      <c r="M45" s="269"/>
      <c r="N45" s="269"/>
      <c r="O45" s="269"/>
      <c r="P45" s="269"/>
      <c r="Q45" s="269"/>
      <c r="R45" s="269"/>
      <c r="S45" s="269"/>
      <c r="T45" s="269"/>
      <c r="U45" s="269"/>
      <c r="V45" s="269"/>
      <c r="W45" s="269"/>
      <c r="X45" s="269"/>
      <c r="Y45" s="269"/>
      <c r="Z45" s="269"/>
      <c r="AA45" s="269"/>
      <c r="AB45" s="269"/>
      <c r="AC45" s="269"/>
      <c r="AD45" s="269"/>
      <c r="AE45" s="269" t="str">
        <f>IFERROR(__xludf.DUMMYFUNCTION("""COMPUTED_VALUE"""),"WO_QLCTKT_20260402_122825649 *=* TNI0129 MYT_Maintenance_Generator_Change_Oil - MYT_Checking quality for DG Fuel *=* myt_tharhtoo.aung11 *=* -1995.95 Hour")</f>
        <v>WO_QLCTKT_20260402_122825649 *=* TNI0129 MYT_Maintenance_Generator_Change_Oil - MYT_Checking quality for DG Fuel *=* myt_tharhtoo.aung11 *=* -1995.95 Hour</v>
      </c>
      <c r="AF45" s="269"/>
      <c r="AG45" s="269"/>
      <c r="AH45" s="269"/>
      <c r="AI45" s="269"/>
      <c r="AJ45" s="269"/>
      <c r="AK45" s="269"/>
      <c r="AL45" s="269"/>
      <c r="AM45" s="269"/>
      <c r="AN45" s="269"/>
      <c r="AO45" s="269"/>
      <c r="AP45" s="269"/>
      <c r="AQ45" s="269"/>
      <c r="AR45" s="269"/>
    </row>
    <row r="46">
      <c r="A46" s="410" t="str">
        <f>IFERROR(__xludf.DUMMYFUNCTION("""COMPUTED_VALUE"""),"WO_WFM-OTHERS_20260615_123533424")</f>
        <v>WO_WFM-OTHERS_20260615_123533424</v>
      </c>
      <c r="B46" s="410" t="str">
        <f>IFERROR(__xludf.DUMMYFUNCTION("""COMPUTED_VALUE"""),"IP : TNI0198SRT001-TNI0278SRT001 link down at 14/06/2026 17:37:00")</f>
        <v>IP : TNI0198SRT001-TNI0278SRT001 link down at 14/06/2026 17:37:00</v>
      </c>
      <c r="C46" s="410">
        <f>IFERROR(__xludf.DUMMYFUNCTION("""COMPUTED_VALUE"""),-378.45)</f>
        <v>-378.45</v>
      </c>
      <c r="D46" s="410" t="str">
        <f>IFERROR(__xludf.DUMMYFUNCTION("""COMPUTED_VALUE"""),"T1")</f>
        <v>T1</v>
      </c>
      <c r="E46" s="410" t="str">
        <f>IFERROR(__xludf.DUMMYFUNCTION("""COMPUTED_VALUE"""),"TNI0198")</f>
        <v>TNI0198</v>
      </c>
      <c r="F46" s="410"/>
      <c r="H46" s="269"/>
      <c r="I46" s="269"/>
      <c r="J46" s="269"/>
      <c r="K46" s="269"/>
      <c r="L46" s="269"/>
      <c r="M46" s="269"/>
      <c r="N46" s="269"/>
      <c r="O46" s="269"/>
      <c r="P46" s="269"/>
      <c r="Q46" s="269"/>
      <c r="R46" s="269"/>
      <c r="S46" s="269"/>
      <c r="T46" s="269"/>
      <c r="U46" s="269"/>
      <c r="V46" s="269"/>
      <c r="W46" s="269"/>
      <c r="X46" s="269"/>
      <c r="Y46" s="269"/>
      <c r="Z46" s="269"/>
      <c r="AA46" s="269"/>
      <c r="AB46" s="269"/>
      <c r="AC46" s="269"/>
      <c r="AD46" s="269"/>
      <c r="AE46" s="269" t="str">
        <f>IFERROR(__xludf.DUMMYFUNCTION("""COMPUTED_VALUE"""),"WO_QLCTKT_20260402_122825630 *=* TNI0061 MYT_Maintenance_Generator_Change_Oil - MYT_Maintenance_Generator_Change_Oil_Filter - MYT_Maintenance_Generator_Change_Fuel_Filter - MYT_Maintenance_Generator_Coolant_Water - MYT_Maintenance_Generator_Change_Air_Fil"&amp;"ter and Clean_Radiator - MYT_Checking quality for DG Fuel *=* myt_bonemyat.naing1 *=* -1995.95 Hour")</f>
        <v>WO_QLCTKT_20260402_122825630 *=* TNI0061 MYT_Maintenance_Generator_Change_Oil - MYT_Maintenance_Generator_Change_Oil_Filter - MYT_Maintenance_Generator_Change_Fuel_Filter - MYT_Maintenance_Generator_Coolant_Water - MYT_Maintenance_Generator_Change_Air_Filter and Clean_Radiator - MYT_Checking quality for DG Fuel *=* myt_bonemyat.naing1 *=* -1995.95 Hour</v>
      </c>
      <c r="AF46" s="269"/>
      <c r="AG46" s="269"/>
      <c r="AH46" s="269"/>
      <c r="AI46" s="269"/>
      <c r="AJ46" s="269"/>
      <c r="AK46" s="269"/>
      <c r="AL46" s="269"/>
      <c r="AM46" s="269"/>
      <c r="AN46" s="269"/>
      <c r="AO46" s="269"/>
      <c r="AP46" s="269"/>
      <c r="AQ46" s="269"/>
      <c r="AR46" s="269"/>
    </row>
    <row r="47">
      <c r="A47" s="410" t="str">
        <f>IFERROR(__xludf.DUMMYFUNCTION("""COMPUTED_VALUE"""),"WO_WFM-FT_20260615_123532984")</f>
        <v>WO_WFM-FT_20260615_123532984</v>
      </c>
      <c r="B47" s="410" t="str">
        <f>IFERROR(__xludf.DUMMYFUNCTION("""COMPUTED_VALUE"""),"FTTH : TNI0275OLT001 Slot 3 port 7 was down 6/15/2026 15:30")</f>
        <v>FTTH : TNI0275OLT001 Slot 3 port 7 was down 6/15/2026 15:30</v>
      </c>
      <c r="C47" s="410">
        <f>IFERROR(__xludf.DUMMYFUNCTION("""COMPUTED_VALUE"""),-312.95)</f>
        <v>-312.95</v>
      </c>
      <c r="D47" s="410" t="str">
        <f>IFERROR(__xludf.DUMMYFUNCTION("""COMPUTED_VALUE"""),"T1")</f>
        <v>T1</v>
      </c>
      <c r="E47" s="410" t="str">
        <f>IFERROR(__xludf.DUMMYFUNCTION("""COMPUTED_VALUE"""),"TNI0275")</f>
        <v>TNI0275</v>
      </c>
      <c r="F47" s="410"/>
      <c r="H47" s="269"/>
      <c r="I47" s="269"/>
      <c r="J47" s="269"/>
      <c r="K47" s="269"/>
      <c r="L47" s="269"/>
      <c r="M47" s="269"/>
      <c r="N47" s="269"/>
      <c r="O47" s="269"/>
      <c r="P47" s="269"/>
      <c r="Q47" s="269"/>
      <c r="R47" s="269"/>
      <c r="S47" s="269"/>
      <c r="T47" s="269"/>
      <c r="U47" s="269"/>
      <c r="V47" s="269"/>
      <c r="W47" s="269"/>
      <c r="X47" s="269"/>
      <c r="Y47" s="269"/>
      <c r="Z47" s="269"/>
      <c r="AA47" s="269"/>
      <c r="AB47" s="269"/>
      <c r="AC47" s="269"/>
      <c r="AD47" s="269"/>
      <c r="AE47" s="269" t="str">
        <f>IFERROR(__xludf.DUMMYFUNCTION("""COMPUTED_VALUE"""),"WO_QLCTKT_20260402_122825621 *=* TNI0049 MYT_Maintenance_Generator_Change_Oil - MYT_Checking quality for DG Fuel *=* myt_bonemyat.naing1 *=* -1995.95 Hour")</f>
        <v>WO_QLCTKT_20260402_122825621 *=* TNI0049 MYT_Maintenance_Generator_Change_Oil - MYT_Checking quality for DG Fuel *=* myt_bonemyat.naing1 *=* -1995.95 Hour</v>
      </c>
      <c r="AF47" s="269"/>
      <c r="AG47" s="269"/>
      <c r="AH47" s="269"/>
      <c r="AI47" s="269"/>
      <c r="AJ47" s="269"/>
      <c r="AK47" s="269"/>
      <c r="AL47" s="269"/>
      <c r="AM47" s="269"/>
      <c r="AN47" s="269"/>
      <c r="AO47" s="269"/>
      <c r="AP47" s="269"/>
      <c r="AQ47" s="269"/>
      <c r="AR47" s="269"/>
    </row>
    <row r="48">
      <c r="A48" s="410" t="str">
        <f>IFERROR(__xludf.DUMMYFUNCTION("""COMPUTED_VALUE"""),"WO_WFM-FT_20260615_123532043")</f>
        <v>WO_WFM-FT_20260615_123532043</v>
      </c>
      <c r="B48" s="410" t="str">
        <f>IFERROR(__xludf.DUMMYFUNCTION("""COMPUTED_VALUE"""),"5s &amp; WH inventory file for TNI_ team 02")</f>
        <v>5s &amp; WH inventory file for TNI_ team 02</v>
      </c>
      <c r="C48" s="410">
        <f>IFERROR(__xludf.DUMMYFUNCTION("""COMPUTED_VALUE"""),-233.45)</f>
        <v>-233.45</v>
      </c>
      <c r="D48" s="410" t="str">
        <f>IFERROR(__xludf.DUMMYFUNCTION("""COMPUTED_VALUE"""),"T2")</f>
        <v>T2</v>
      </c>
      <c r="E48" s="410" t="str">
        <f>IFERROR(__xludf.DUMMYFUNCTION("""COMPUTED_VALUE"""),"TNI_ te")</f>
        <v>TNI_ te</v>
      </c>
      <c r="F48" s="410"/>
      <c r="H48" s="269"/>
      <c r="I48" s="269"/>
      <c r="J48" s="269"/>
      <c r="K48" s="269"/>
      <c r="L48" s="269"/>
      <c r="M48" s="269"/>
      <c r="N48" s="269"/>
      <c r="O48" s="269"/>
      <c r="P48" s="269"/>
      <c r="Q48" s="269"/>
      <c r="R48" s="269"/>
      <c r="S48" s="269"/>
      <c r="T48" s="269"/>
      <c r="U48" s="269"/>
      <c r="V48" s="269"/>
      <c r="W48" s="269"/>
      <c r="X48" s="269"/>
      <c r="Y48" s="269"/>
      <c r="Z48" s="269"/>
      <c r="AA48" s="269"/>
      <c r="AB48" s="269"/>
      <c r="AC48" s="269"/>
      <c r="AD48" s="269"/>
      <c r="AE48" s="269" t="str">
        <f>IFERROR(__xludf.DUMMYFUNCTION("""COMPUTED_VALUE"""),"WO_QLCTKT_20260402_122825604 *=* TNI0006 MYT_Maintenance_Generator_Change_Oil - MYT_Maintenance_Generator_Change_Oil_Filter - MYT_Maintenance_Generator_Change_Fuel_Filter - MYT_Maintenance_Generator_Change_Air_Filter and Clean_Radiator - MYT_Checking qual"&amp;"ity for DG Fuel *=* myt_tharhtoo.aung11 *=* -1995.95 Hour")</f>
        <v>WO_QLCTKT_20260402_122825604 *=* TNI0006 MYT_Maintenance_Generator_Change_Oil - MYT_Maintenance_Generator_Change_Oil_Filter - MYT_Maintenance_Generator_Change_Fuel_Filter - MYT_Maintenance_Generator_Change_Air_Filter and Clean_Radiator - MYT_Checking quality for DG Fuel *=* myt_tharhtoo.aung11 *=* -1995.95 Hour</v>
      </c>
      <c r="AF48" s="269"/>
      <c r="AG48" s="269"/>
      <c r="AH48" s="269"/>
      <c r="AI48" s="269"/>
      <c r="AJ48" s="269"/>
      <c r="AK48" s="269"/>
      <c r="AL48" s="269"/>
      <c r="AM48" s="269"/>
      <c r="AN48" s="269"/>
      <c r="AO48" s="269"/>
      <c r="AP48" s="269"/>
      <c r="AQ48" s="269"/>
      <c r="AR48" s="269"/>
    </row>
    <row r="49">
      <c r="A49" s="410" t="str">
        <f>IFERROR(__xludf.DUMMYFUNCTION("""COMPUTED_VALUE"""),"WO_WFM-FT_20260615_123531840")</f>
        <v>WO_WFM-FT_20260615_123531840</v>
      </c>
      <c r="B49" s="410" t="str">
        <f>IFERROR(__xludf.DUMMYFUNCTION("""COMPUTED_VALUE"""),"5s &amp; WH inventory file for TNI_ team 01")</f>
        <v>5s &amp; WH inventory file for TNI_ team 01</v>
      </c>
      <c r="C49" s="410">
        <f>IFERROR(__xludf.DUMMYFUNCTION("""COMPUTED_VALUE"""),-233.45)</f>
        <v>-233.45</v>
      </c>
      <c r="D49" s="410" t="str">
        <f>IFERROR(__xludf.DUMMYFUNCTION("""COMPUTED_VALUE"""),"T1")</f>
        <v>T1</v>
      </c>
      <c r="E49" s="410" t="str">
        <f>IFERROR(__xludf.DUMMYFUNCTION("""COMPUTED_VALUE"""),"TNI_ te")</f>
        <v>TNI_ te</v>
      </c>
      <c r="F49" s="410"/>
      <c r="H49" s="269"/>
      <c r="I49" s="269"/>
      <c r="J49" s="269"/>
      <c r="K49" s="269"/>
      <c r="L49" s="269"/>
      <c r="M49" s="269"/>
      <c r="N49" s="269"/>
      <c r="O49" s="269"/>
      <c r="P49" s="269"/>
      <c r="Q49" s="269"/>
      <c r="R49" s="269"/>
      <c r="S49" s="269"/>
      <c r="T49" s="269"/>
      <c r="U49" s="269"/>
      <c r="V49" s="269"/>
      <c r="W49" s="269"/>
      <c r="X49" s="269"/>
      <c r="Y49" s="269"/>
      <c r="Z49" s="269"/>
      <c r="AA49" s="269"/>
      <c r="AB49" s="269"/>
      <c r="AC49" s="269"/>
      <c r="AD49" s="269"/>
      <c r="AE49" s="269"/>
      <c r="AF49" s="269"/>
      <c r="AG49" s="269"/>
      <c r="AH49" s="269"/>
      <c r="AI49" s="269"/>
      <c r="AJ49" s="269"/>
      <c r="AK49" s="269"/>
      <c r="AL49" s="269"/>
      <c r="AM49" s="269"/>
      <c r="AN49" s="269"/>
      <c r="AO49" s="269"/>
      <c r="AP49" s="269"/>
      <c r="AQ49" s="269"/>
      <c r="AR49" s="269"/>
    </row>
    <row r="50">
      <c r="A50" s="410" t="str">
        <f>IFERROR(__xludf.DUMMYFUNCTION("""COMPUTED_VALUE"""),"WO_WFM-OTHERS_20260613_123518129")</f>
        <v>WO_WFM-OTHERS_20260613_123518129</v>
      </c>
      <c r="B50" s="410" t="str">
        <f>IFERROR(__xludf.DUMMYFUNCTION("""COMPUTED_VALUE"""),"IP : TNI0146SRT001-TNI0147SRT001 link down at 11/06/2026 01:49:27")</f>
        <v>IP : TNI0146SRT001-TNI0147SRT001 link down at 11/06/2026 01:49:27</v>
      </c>
      <c r="C50" s="410">
        <f>IFERROR(__xludf.DUMMYFUNCTION("""COMPUTED_VALUE"""),-233.45)</f>
        <v>-233.45</v>
      </c>
      <c r="D50" s="410" t="str">
        <f>IFERROR(__xludf.DUMMYFUNCTION("""COMPUTED_VALUE"""),"T4")</f>
        <v>T4</v>
      </c>
      <c r="E50" s="410" t="str">
        <f>IFERROR(__xludf.DUMMYFUNCTION("""COMPUTED_VALUE"""),"TNI0146")</f>
        <v>TNI0146</v>
      </c>
      <c r="F50" s="410"/>
      <c r="H50" s="269"/>
      <c r="I50" s="269"/>
      <c r="J50" s="269"/>
      <c r="K50" s="269"/>
      <c r="L50" s="269"/>
      <c r="M50" s="269"/>
      <c r="N50" s="269"/>
      <c r="O50" s="269"/>
      <c r="P50" s="269"/>
      <c r="Q50" s="269"/>
      <c r="R50" s="269"/>
      <c r="S50" s="269"/>
      <c r="T50" s="269"/>
      <c r="U50" s="269"/>
      <c r="V50" s="269"/>
      <c r="W50" s="269"/>
      <c r="X50" s="269"/>
      <c r="Y50" s="269"/>
      <c r="Z50" s="269"/>
      <c r="AA50" s="269"/>
      <c r="AB50" s="269"/>
      <c r="AC50" s="269"/>
      <c r="AD50" s="269"/>
      <c r="AE50" s="269"/>
      <c r="AF50" s="269"/>
      <c r="AG50" s="269"/>
      <c r="AH50" s="269"/>
      <c r="AI50" s="269"/>
      <c r="AJ50" s="269"/>
      <c r="AK50" s="269"/>
      <c r="AL50" s="269"/>
      <c r="AM50" s="269"/>
      <c r="AN50" s="269"/>
      <c r="AO50" s="269"/>
      <c r="AP50" s="269"/>
      <c r="AQ50" s="269"/>
      <c r="AR50" s="269"/>
    </row>
    <row r="51">
      <c r="A51" s="410" t="str">
        <f>IFERROR(__xludf.DUMMYFUNCTION("""COMPUTED_VALUE"""),"WO_WFM-OTHERS_20260610_123491103")</f>
        <v>WO_WFM-OTHERS_20260610_123491103</v>
      </c>
      <c r="B51" s="410" t="str">
        <f>IFERROR(__xludf.DUMMYFUNCTION("""COMPUTED_VALUE"""),"IP : TNI0207SRT001-TNI0356SRT001 link down at 08/06/2026 09:44:00")</f>
        <v>IP : TNI0207SRT001-TNI0356SRT001 link down at 08/06/2026 09:44:00</v>
      </c>
      <c r="C51" s="410">
        <f>IFERROR(__xludf.DUMMYFUNCTION("""COMPUTED_VALUE"""),-329.45)</f>
        <v>-329.45</v>
      </c>
      <c r="D51" s="410" t="str">
        <f>IFERROR(__xludf.DUMMYFUNCTION("""COMPUTED_VALUE"""),"T1")</f>
        <v>T1</v>
      </c>
      <c r="E51" s="410" t="str">
        <f>IFERROR(__xludf.DUMMYFUNCTION("""COMPUTED_VALUE"""),"TNI0207")</f>
        <v>TNI0207</v>
      </c>
      <c r="F51" s="410"/>
      <c r="H51" s="269"/>
      <c r="I51" s="269"/>
      <c r="J51" s="269"/>
      <c r="K51" s="269"/>
      <c r="L51" s="269"/>
      <c r="M51" s="269"/>
      <c r="N51" s="269"/>
      <c r="O51" s="269"/>
      <c r="P51" s="269"/>
      <c r="Q51" s="269"/>
      <c r="R51" s="269"/>
      <c r="S51" s="269"/>
      <c r="T51" s="269"/>
      <c r="U51" s="269"/>
      <c r="V51" s="269"/>
      <c r="W51" s="269"/>
      <c r="X51" s="269"/>
      <c r="Y51" s="269"/>
      <c r="Z51" s="269"/>
      <c r="AA51" s="269"/>
      <c r="AB51" s="269"/>
      <c r="AC51" s="269"/>
      <c r="AD51" s="269"/>
      <c r="AE51" s="269"/>
      <c r="AF51" s="269"/>
      <c r="AG51" s="269"/>
      <c r="AH51" s="269"/>
      <c r="AI51" s="269"/>
      <c r="AJ51" s="269"/>
      <c r="AK51" s="269"/>
      <c r="AL51" s="269"/>
      <c r="AM51" s="269"/>
      <c r="AN51" s="269"/>
      <c r="AO51" s="269"/>
      <c r="AP51" s="269"/>
      <c r="AQ51" s="269"/>
      <c r="AR51" s="269"/>
    </row>
    <row r="52">
      <c r="A52" s="410" t="str">
        <f>IFERROR(__xludf.DUMMYFUNCTION("""COMPUTED_VALUE"""),"WO_WFM-OTHERS_20260610_123488266")</f>
        <v>WO_WFM-OTHERS_20260610_123488266</v>
      </c>
      <c r="B52" s="410" t="str">
        <f>IFERROR(__xludf.DUMMYFUNCTION("""COMPUTED_VALUE"""),"IP : TNI0250AGG001-TNI0031SRT001 link down at 08/06/2026")</f>
        <v>IP : TNI0250AGG001-TNI0031SRT001 link down at 08/06/2026</v>
      </c>
      <c r="C52" s="410">
        <f>IFERROR(__xludf.DUMMYFUNCTION("""COMPUTED_VALUE"""),-497.45)</f>
        <v>-497.45</v>
      </c>
      <c r="D52" s="410" t="str">
        <f>IFERROR(__xludf.DUMMYFUNCTION("""COMPUTED_VALUE"""),"T1")</f>
        <v>T1</v>
      </c>
      <c r="E52" s="410" t="str">
        <f>IFERROR(__xludf.DUMMYFUNCTION("""COMPUTED_VALUE"""),"TNI0250")</f>
        <v>TNI0250</v>
      </c>
      <c r="F52" s="410"/>
      <c r="H52" s="269"/>
      <c r="I52" s="269"/>
      <c r="J52" s="269"/>
      <c r="K52" s="269"/>
      <c r="L52" s="269"/>
      <c r="M52" s="269"/>
      <c r="N52" s="269"/>
      <c r="O52" s="269"/>
      <c r="P52" s="269"/>
      <c r="Q52" s="269"/>
      <c r="R52" s="269"/>
      <c r="S52" s="269"/>
      <c r="T52" s="269"/>
      <c r="U52" s="269"/>
      <c r="V52" s="269"/>
      <c r="W52" s="269"/>
      <c r="X52" s="269"/>
      <c r="Y52" s="269"/>
      <c r="Z52" s="269"/>
      <c r="AA52" s="269"/>
      <c r="AB52" s="269"/>
      <c r="AC52" s="269"/>
      <c r="AD52" s="269"/>
      <c r="AE52" s="269"/>
      <c r="AF52" s="269"/>
      <c r="AG52" s="269"/>
      <c r="AH52" s="269"/>
      <c r="AI52" s="269"/>
      <c r="AJ52" s="269"/>
      <c r="AK52" s="269"/>
      <c r="AL52" s="269"/>
      <c r="AM52" s="269"/>
      <c r="AN52" s="269"/>
      <c r="AO52" s="269"/>
      <c r="AP52" s="269"/>
      <c r="AQ52" s="269"/>
      <c r="AR52" s="269"/>
    </row>
    <row r="53">
      <c r="A53" s="410" t="str">
        <f>IFERROR(__xludf.DUMMYFUNCTION("""COMPUTED_VALUE"""),"WO_WFM-OTHERS_20260609_123486509")</f>
        <v>WO_WFM-OTHERS_20260609_123486509</v>
      </c>
      <c r="B53" s="410" t="str">
        <f>IFERROR(__xludf.DUMMYFUNCTION("""COMPUTED_VALUE"""),"IP : TNI0006SRT002-TNI0206SRT001 and TNI0213SRT001-TNI0283SRT001 link down at 09/06/2026")</f>
        <v>IP : TNI0006SRT002-TNI0206SRT001 and TNI0213SRT001-TNI0283SRT001 link down at 09/06/2026</v>
      </c>
      <c r="C53" s="410">
        <f>IFERROR(__xludf.DUMMYFUNCTION("""COMPUTED_VALUE"""),-497.45)</f>
        <v>-497.45</v>
      </c>
      <c r="D53" s="410" t="str">
        <f>IFERROR(__xludf.DUMMYFUNCTION("""COMPUTED_VALUE"""),"T1")</f>
        <v>T1</v>
      </c>
      <c r="E53" s="410" t="str">
        <f>IFERROR(__xludf.DUMMYFUNCTION("""COMPUTED_VALUE"""),"TNI0006")</f>
        <v>TNI0006</v>
      </c>
      <c r="F53" s="410"/>
      <c r="H53" s="269"/>
      <c r="I53" s="269"/>
      <c r="J53" s="269"/>
      <c r="K53" s="269"/>
      <c r="L53" s="269"/>
      <c r="M53" s="269"/>
      <c r="N53" s="269"/>
      <c r="O53" s="269"/>
      <c r="P53" s="269"/>
      <c r="Q53" s="269"/>
      <c r="R53" s="269"/>
      <c r="S53" s="269"/>
      <c r="T53" s="269"/>
      <c r="U53" s="269"/>
      <c r="V53" s="269"/>
      <c r="W53" s="269"/>
      <c r="X53" s="269"/>
      <c r="Y53" s="269"/>
      <c r="Z53" s="269"/>
      <c r="AA53" s="269"/>
      <c r="AB53" s="269"/>
      <c r="AC53" s="269"/>
      <c r="AD53" s="269"/>
      <c r="AE53" s="269"/>
      <c r="AF53" s="269"/>
      <c r="AG53" s="269"/>
      <c r="AH53" s="269"/>
      <c r="AI53" s="269"/>
      <c r="AJ53" s="269"/>
      <c r="AK53" s="269"/>
      <c r="AL53" s="269"/>
      <c r="AM53" s="269"/>
      <c r="AN53" s="269"/>
      <c r="AO53" s="269"/>
      <c r="AP53" s="269"/>
      <c r="AQ53" s="269"/>
      <c r="AR53" s="269"/>
    </row>
    <row r="54">
      <c r="A54" s="410" t="str">
        <f>IFERROR(__xludf.DUMMYFUNCTION("""COMPUTED_VALUE"""),"WO_WFM-OTHERS_20260607_123468922")</f>
        <v>WO_WFM-OTHERS_20260607_123468922</v>
      </c>
      <c r="B54" s="410" t="str">
        <f>IFERROR(__xludf.DUMMYFUNCTION("""COMPUTED_VALUE"""),"IP : TNI0323SRT001-TNI0339SRT001 link down at 06/06/2026 18:07:00")</f>
        <v>IP : TNI0323SRT001-TNI0339SRT001 link down at 06/06/2026 18:07:00</v>
      </c>
      <c r="C54" s="410">
        <f>IFERROR(__xludf.DUMMYFUNCTION("""COMPUTED_VALUE"""),-569.45)</f>
        <v>-569.45</v>
      </c>
      <c r="D54" s="410" t="str">
        <f>IFERROR(__xludf.DUMMYFUNCTION("""COMPUTED_VALUE"""),"T5")</f>
        <v>T5</v>
      </c>
      <c r="E54" s="410" t="str">
        <f>IFERROR(__xludf.DUMMYFUNCTION("""COMPUTED_VALUE"""),"TNI0323")</f>
        <v>TNI0323</v>
      </c>
      <c r="F54" s="410"/>
      <c r="H54" s="269"/>
      <c r="I54" s="269"/>
      <c r="J54" s="269"/>
      <c r="K54" s="269"/>
      <c r="L54" s="269"/>
      <c r="M54" s="269"/>
      <c r="N54" s="269"/>
      <c r="O54" s="269"/>
      <c r="P54" s="269"/>
      <c r="Q54" s="269"/>
      <c r="R54" s="269"/>
      <c r="S54" s="269"/>
      <c r="T54" s="269"/>
      <c r="U54" s="269"/>
      <c r="V54" s="269"/>
      <c r="W54" s="269"/>
      <c r="X54" s="269"/>
      <c r="Y54" s="269"/>
      <c r="Z54" s="269"/>
      <c r="AA54" s="269"/>
      <c r="AB54" s="269"/>
      <c r="AC54" s="269"/>
      <c r="AD54" s="269"/>
      <c r="AE54" s="269"/>
      <c r="AF54" s="269"/>
      <c r="AG54" s="269"/>
      <c r="AH54" s="269"/>
      <c r="AI54" s="269"/>
      <c r="AJ54" s="269"/>
      <c r="AK54" s="269"/>
      <c r="AL54" s="269"/>
      <c r="AM54" s="269"/>
      <c r="AN54" s="269"/>
      <c r="AO54" s="269"/>
      <c r="AP54" s="269"/>
      <c r="AQ54" s="269"/>
      <c r="AR54" s="269"/>
    </row>
    <row r="55">
      <c r="A55" s="410" t="str">
        <f>IFERROR(__xludf.DUMMYFUNCTION("""COMPUTED_VALUE"""),"WO_WFM-FT_20260605_123450082")</f>
        <v>WO_WFM-FT_20260605_123450082</v>
      </c>
      <c r="B55" s="410" t="str">
        <f>IFERROR(__xludf.DUMMYFUNCTION("""COMPUTED_VALUE"""),"FTTH : TNI0251OLT001 Slot 3 port 12,13,15,16 down at 6/5/2026 11:07")</f>
        <v>FTTH : TNI0251OLT001 Slot 3 port 12,13,15,16 down at 6/5/2026 11:07</v>
      </c>
      <c r="C55" s="410">
        <f>IFERROR(__xludf.DUMMYFUNCTION("""COMPUTED_VALUE"""),-646.45)</f>
        <v>-646.45</v>
      </c>
      <c r="D55" s="410" t="str">
        <f>IFERROR(__xludf.DUMMYFUNCTION("""COMPUTED_VALUE"""),"T1")</f>
        <v>T1</v>
      </c>
      <c r="E55" s="410" t="str">
        <f>IFERROR(__xludf.DUMMYFUNCTION("""COMPUTED_VALUE"""),"TNI0251")</f>
        <v>TNI0251</v>
      </c>
      <c r="F55" s="410"/>
      <c r="H55" s="269"/>
      <c r="I55" s="269"/>
      <c r="J55" s="269"/>
      <c r="K55" s="269"/>
      <c r="L55" s="269"/>
      <c r="M55" s="269"/>
      <c r="N55" s="269"/>
      <c r="O55" s="269"/>
      <c r="P55" s="269"/>
      <c r="Q55" s="269"/>
      <c r="R55" s="269"/>
      <c r="S55" s="269"/>
      <c r="T55" s="269"/>
      <c r="U55" s="269"/>
      <c r="V55" s="269"/>
      <c r="W55" s="269"/>
      <c r="X55" s="269"/>
      <c r="Y55" s="269"/>
      <c r="Z55" s="269"/>
      <c r="AA55" s="269"/>
      <c r="AB55" s="269"/>
      <c r="AC55" s="269"/>
      <c r="AD55" s="269"/>
      <c r="AE55" s="269"/>
      <c r="AF55" s="269"/>
      <c r="AG55" s="269"/>
      <c r="AH55" s="269"/>
      <c r="AI55" s="269"/>
      <c r="AJ55" s="269"/>
      <c r="AK55" s="269"/>
      <c r="AL55" s="269"/>
      <c r="AM55" s="269"/>
      <c r="AN55" s="269"/>
      <c r="AO55" s="269"/>
      <c r="AP55" s="269"/>
      <c r="AQ55" s="269"/>
      <c r="AR55" s="269"/>
    </row>
    <row r="56">
      <c r="A56" s="410" t="str">
        <f>IFERROR(__xludf.DUMMYFUNCTION("""COMPUTED_VALUE"""),"WO_WFM-OTHERS_20260604_123443410")</f>
        <v>WO_WFM-OTHERS_20260604_123443410</v>
      </c>
      <c r="B56" s="410" t="str">
        <f>IFERROR(__xludf.DUMMYFUNCTION("""COMPUTED_VALUE"""),"IP : TNI0006SRT002-TNI0331SRT001 link down at 03/06/2026 21:33:54")</f>
        <v>IP : TNI0006SRT002-TNI0331SRT001 link down at 03/06/2026 21:33:54</v>
      </c>
      <c r="C56" s="410">
        <f>IFERROR(__xludf.DUMMYFUNCTION("""COMPUTED_VALUE"""),-641.45)</f>
        <v>-641.45</v>
      </c>
      <c r="D56" s="410" t="str">
        <f>IFERROR(__xludf.DUMMYFUNCTION("""COMPUTED_VALUE"""),"T1")</f>
        <v>T1</v>
      </c>
      <c r="E56" s="410" t="str">
        <f>IFERROR(__xludf.DUMMYFUNCTION("""COMPUTED_VALUE"""),"TNI0006")</f>
        <v>TNI0006</v>
      </c>
      <c r="F56" s="410"/>
      <c r="H56" s="269"/>
      <c r="I56" s="269"/>
      <c r="J56" s="269"/>
      <c r="K56" s="269"/>
      <c r="L56" s="269"/>
      <c r="M56" s="269"/>
      <c r="N56" s="269"/>
      <c r="O56" s="269"/>
      <c r="P56" s="269"/>
      <c r="Q56" s="269"/>
      <c r="R56" s="269"/>
      <c r="S56" s="269"/>
      <c r="T56" s="269"/>
      <c r="U56" s="269"/>
      <c r="V56" s="269"/>
      <c r="W56" s="269"/>
      <c r="X56" s="269"/>
      <c r="Y56" s="269"/>
      <c r="Z56" s="269"/>
      <c r="AA56" s="269"/>
      <c r="AB56" s="269"/>
      <c r="AC56" s="269"/>
      <c r="AD56" s="269"/>
      <c r="AE56" s="269"/>
      <c r="AF56" s="269"/>
      <c r="AG56" s="269"/>
      <c r="AH56" s="269"/>
      <c r="AI56" s="269"/>
      <c r="AJ56" s="269"/>
      <c r="AK56" s="269"/>
      <c r="AL56" s="269"/>
      <c r="AM56" s="269"/>
      <c r="AN56" s="269"/>
      <c r="AO56" s="269"/>
      <c r="AP56" s="269"/>
      <c r="AQ56" s="269"/>
      <c r="AR56" s="269"/>
    </row>
    <row r="57">
      <c r="A57" s="410" t="str">
        <f>IFERROR(__xludf.DUMMYFUNCTION("""COMPUTED_VALUE"""),"WO_WFM-OTHERS_20260604_123443396")</f>
        <v>WO_WFM-OTHERS_20260604_123443396</v>
      </c>
      <c r="B57" s="410" t="str">
        <f>IFERROR(__xludf.DUMMYFUNCTION("""COMPUTED_VALUE"""),"IP : TNI0146SRT001- TNI0197SRT001 link down at 04/06/2026 00:09:54")</f>
        <v>IP : TNI0146SRT001- TNI0197SRT001 link down at 04/06/2026 00:09:54</v>
      </c>
      <c r="C57" s="410">
        <f>IFERROR(__xludf.DUMMYFUNCTION("""COMPUTED_VALUE"""),-641.45)</f>
        <v>-641.45</v>
      </c>
      <c r="D57" s="410" t="str">
        <f>IFERROR(__xludf.DUMMYFUNCTION("""COMPUTED_VALUE"""),"T1")</f>
        <v>T1</v>
      </c>
      <c r="E57" s="410" t="str">
        <f>IFERROR(__xludf.DUMMYFUNCTION("""COMPUTED_VALUE"""),"TNI0146")</f>
        <v>TNI0146</v>
      </c>
      <c r="F57" s="410"/>
      <c r="H57" s="269"/>
      <c r="I57" s="269"/>
      <c r="J57" s="269"/>
      <c r="K57" s="269"/>
      <c r="L57" s="269"/>
      <c r="M57" s="269"/>
      <c r="N57" s="269"/>
      <c r="O57" s="269"/>
      <c r="P57" s="269"/>
      <c r="Q57" s="269"/>
      <c r="R57" s="269"/>
      <c r="S57" s="269"/>
      <c r="T57" s="269"/>
      <c r="U57" s="269"/>
      <c r="V57" s="269"/>
      <c r="W57" s="269"/>
      <c r="X57" s="269"/>
      <c r="Y57" s="269"/>
      <c r="Z57" s="269"/>
      <c r="AA57" s="269"/>
      <c r="AB57" s="269"/>
      <c r="AC57" s="269"/>
      <c r="AD57" s="269"/>
      <c r="AE57" s="269"/>
      <c r="AF57" s="269"/>
      <c r="AG57" s="269"/>
      <c r="AH57" s="269"/>
      <c r="AI57" s="269"/>
      <c r="AJ57" s="269"/>
      <c r="AK57" s="269"/>
      <c r="AL57" s="269"/>
      <c r="AM57" s="269"/>
      <c r="AN57" s="269"/>
      <c r="AO57" s="269"/>
      <c r="AP57" s="269"/>
      <c r="AQ57" s="269"/>
      <c r="AR57" s="269"/>
    </row>
    <row r="58">
      <c r="A58" s="410" t="str">
        <f>IFERROR(__xludf.DUMMYFUNCTION("""COMPUTED_VALUE"""),"WO_WFM-OTHERS_20260601_123419141")</f>
        <v>WO_WFM-OTHERS_20260601_123419141</v>
      </c>
      <c r="B58" s="410" t="str">
        <f>IFERROR(__xludf.DUMMYFUNCTION("""COMPUTED_VALUE"""),"IP : TNI0089SRT001-TNI0275SRT001 link down at 31/05/2026 11:22:00")</f>
        <v>IP : TNI0089SRT001-TNI0275SRT001 link down at 31/05/2026 11:22:00</v>
      </c>
      <c r="C58" s="410">
        <f>IFERROR(__xludf.DUMMYFUNCTION("""COMPUTED_VALUE"""),-593.45)</f>
        <v>-593.45</v>
      </c>
      <c r="D58" s="410" t="str">
        <f>IFERROR(__xludf.DUMMYFUNCTION("""COMPUTED_VALUE"""),"T1")</f>
        <v>T1</v>
      </c>
      <c r="E58" s="410" t="str">
        <f>IFERROR(__xludf.DUMMYFUNCTION("""COMPUTED_VALUE"""),"TNI0089")</f>
        <v>TNI0089</v>
      </c>
      <c r="F58" s="410"/>
      <c r="H58" s="269"/>
      <c r="I58" s="269"/>
      <c r="J58" s="269"/>
      <c r="K58" s="269"/>
      <c r="L58" s="269"/>
      <c r="M58" s="269"/>
      <c r="N58" s="269"/>
      <c r="O58" s="269"/>
      <c r="P58" s="269"/>
      <c r="Q58" s="269"/>
      <c r="R58" s="269"/>
      <c r="S58" s="269"/>
      <c r="T58" s="269"/>
      <c r="U58" s="269"/>
      <c r="V58" s="269"/>
      <c r="W58" s="269"/>
      <c r="X58" s="269"/>
      <c r="Y58" s="269"/>
      <c r="Z58" s="269"/>
      <c r="AA58" s="269"/>
      <c r="AB58" s="269"/>
      <c r="AC58" s="269"/>
      <c r="AD58" s="269"/>
      <c r="AE58" s="269"/>
      <c r="AF58" s="269"/>
      <c r="AG58" s="269"/>
      <c r="AH58" s="269"/>
      <c r="AI58" s="269"/>
      <c r="AJ58" s="269"/>
      <c r="AK58" s="269"/>
      <c r="AL58" s="269"/>
      <c r="AM58" s="269"/>
      <c r="AN58" s="269"/>
      <c r="AO58" s="269"/>
      <c r="AP58" s="269"/>
      <c r="AQ58" s="269"/>
      <c r="AR58" s="269"/>
    </row>
    <row r="59">
      <c r="A59" s="410" t="str">
        <f>IFERROR(__xludf.DUMMYFUNCTION("""COMPUTED_VALUE"""),"WO_WFM-OTHERS_20260601_123419138")</f>
        <v>WO_WFM-OTHERS_20260601_123419138</v>
      </c>
      <c r="B59" s="410" t="str">
        <f>IFERROR(__xludf.DUMMYFUNCTION("""COMPUTED_VALUE"""),"IP : TNI0213SRT001-TNI0150SRT001 link down at 29/05/2026 17:30:00")</f>
        <v>IP : TNI0213SRT001-TNI0150SRT001 link down at 29/05/2026 17:30:00</v>
      </c>
      <c r="C59" s="410">
        <f>IFERROR(__xludf.DUMMYFUNCTION("""COMPUTED_VALUE"""),-593.45)</f>
        <v>-593.45</v>
      </c>
      <c r="D59" s="410" t="str">
        <f>IFERROR(__xludf.DUMMYFUNCTION("""COMPUTED_VALUE"""),"T1")</f>
        <v>T1</v>
      </c>
      <c r="E59" s="410" t="str">
        <f>IFERROR(__xludf.DUMMYFUNCTION("""COMPUTED_VALUE"""),"TNI0213")</f>
        <v>TNI0213</v>
      </c>
      <c r="F59" s="410"/>
      <c r="H59" s="269"/>
      <c r="I59" s="269"/>
      <c r="J59" s="269"/>
      <c r="K59" s="269"/>
      <c r="L59" s="269"/>
      <c r="M59" s="269"/>
      <c r="N59" s="269"/>
      <c r="O59" s="269"/>
      <c r="P59" s="269"/>
      <c r="Q59" s="269"/>
      <c r="R59" s="269"/>
      <c r="S59" s="269"/>
      <c r="T59" s="269"/>
      <c r="U59" s="269"/>
      <c r="V59" s="269"/>
      <c r="W59" s="269"/>
      <c r="X59" s="269"/>
      <c r="Y59" s="269"/>
      <c r="Z59" s="269"/>
      <c r="AA59" s="269"/>
      <c r="AB59" s="269"/>
      <c r="AC59" s="269"/>
      <c r="AD59" s="269"/>
      <c r="AE59" s="269"/>
      <c r="AF59" s="269"/>
      <c r="AG59" s="269"/>
      <c r="AH59" s="269"/>
      <c r="AI59" s="269"/>
      <c r="AJ59" s="269"/>
      <c r="AK59" s="269"/>
      <c r="AL59" s="269"/>
      <c r="AM59" s="269"/>
      <c r="AN59" s="269"/>
      <c r="AO59" s="269"/>
      <c r="AP59" s="269"/>
      <c r="AQ59" s="269"/>
      <c r="AR59" s="269"/>
    </row>
    <row r="60">
      <c r="A60" s="410" t="str">
        <f>IFERROR(__xludf.DUMMYFUNCTION("""COMPUTED_VALUE"""),"WO_WFM-OTHERS_20260528_123384751")</f>
        <v>WO_WFM-OTHERS_20260528_123384751</v>
      </c>
      <c r="B60" s="410" t="str">
        <f>IFERROR(__xludf.DUMMYFUNCTION("""COMPUTED_VALUE"""),"IP : TNI0188SRT001-TNI0326SRT001 link down at 25/05/2026 10:15:00")</f>
        <v>IP : TNI0188SRT001-TNI0326SRT001 link down at 25/05/2026 10:15:00</v>
      </c>
      <c r="C60" s="410">
        <f>IFERROR(__xludf.DUMMYFUNCTION("""COMPUTED_VALUE"""),-617.45)</f>
        <v>-617.45</v>
      </c>
      <c r="D60" s="410" t="str">
        <f>IFERROR(__xludf.DUMMYFUNCTION("""COMPUTED_VALUE"""),"T1")</f>
        <v>T1</v>
      </c>
      <c r="E60" s="410" t="str">
        <f>IFERROR(__xludf.DUMMYFUNCTION("""COMPUTED_VALUE"""),"TNI0188")</f>
        <v>TNI0188</v>
      </c>
      <c r="F60" s="410"/>
      <c r="H60" s="269"/>
      <c r="I60" s="269"/>
      <c r="J60" s="269"/>
      <c r="K60" s="269"/>
      <c r="L60" s="269"/>
      <c r="M60" s="269"/>
      <c r="N60" s="269"/>
      <c r="O60" s="269"/>
      <c r="P60" s="269"/>
      <c r="Q60" s="269"/>
      <c r="R60" s="269"/>
      <c r="S60" s="269"/>
      <c r="T60" s="269"/>
      <c r="U60" s="269"/>
      <c r="V60" s="269"/>
      <c r="W60" s="269"/>
      <c r="X60" s="269"/>
      <c r="Y60" s="269"/>
      <c r="Z60" s="269"/>
      <c r="AA60" s="269"/>
      <c r="AB60" s="269"/>
      <c r="AC60" s="269"/>
      <c r="AD60" s="269"/>
      <c r="AE60" s="269"/>
      <c r="AF60" s="269"/>
      <c r="AG60" s="269"/>
      <c r="AH60" s="269"/>
      <c r="AI60" s="269"/>
      <c r="AJ60" s="269"/>
      <c r="AK60" s="269"/>
      <c r="AL60" s="269"/>
      <c r="AM60" s="269"/>
      <c r="AN60" s="269"/>
      <c r="AO60" s="269"/>
      <c r="AP60" s="269"/>
      <c r="AQ60" s="269"/>
      <c r="AR60" s="269"/>
    </row>
    <row r="61">
      <c r="A61" s="410" t="str">
        <f>IFERROR(__xludf.DUMMYFUNCTION("""COMPUTED_VALUE"""),"WO_WFM-OTHERS_20260527_123376020")</f>
        <v>WO_WFM-OTHERS_20260527_123376020</v>
      </c>
      <c r="B61" s="410" t="str">
        <f>IFERROR(__xludf.DUMMYFUNCTION("""COMPUTED_VALUE"""),"Cable RoutePatrol-AC-TNI0021-TNI0240")</f>
        <v>Cable RoutePatrol-AC-TNI0021-TNI0240</v>
      </c>
      <c r="C61" s="410"/>
      <c r="D61" s="410" t="str">
        <f>IFERROR(__xludf.DUMMYFUNCTION("""COMPUTED_VALUE"""),"T2")</f>
        <v>T2</v>
      </c>
      <c r="E61" s="410" t="str">
        <f>IFERROR(__xludf.DUMMYFUNCTION("""COMPUTED_VALUE"""),"TNI0021")</f>
        <v>TNI0021</v>
      </c>
      <c r="F61" s="410"/>
      <c r="H61" s="269"/>
      <c r="I61" s="269"/>
      <c r="J61" s="269"/>
      <c r="K61" s="269"/>
      <c r="L61" s="269"/>
      <c r="M61" s="269"/>
      <c r="N61" s="269"/>
      <c r="O61" s="269"/>
      <c r="P61" s="269"/>
      <c r="Q61" s="269"/>
      <c r="R61" s="269"/>
      <c r="S61" s="269"/>
      <c r="T61" s="269"/>
      <c r="U61" s="269"/>
      <c r="V61" s="269"/>
      <c r="W61" s="269"/>
      <c r="X61" s="269"/>
      <c r="Y61" s="269"/>
      <c r="Z61" s="269"/>
      <c r="AA61" s="269"/>
      <c r="AB61" s="269"/>
      <c r="AC61" s="269"/>
      <c r="AD61" s="269"/>
      <c r="AE61" s="269"/>
      <c r="AF61" s="269"/>
      <c r="AG61" s="269"/>
      <c r="AH61" s="269"/>
      <c r="AI61" s="269"/>
      <c r="AJ61" s="269"/>
      <c r="AK61" s="269"/>
      <c r="AL61" s="269"/>
      <c r="AM61" s="269"/>
      <c r="AN61" s="269"/>
      <c r="AO61" s="269"/>
      <c r="AP61" s="269"/>
      <c r="AQ61" s="269"/>
      <c r="AR61" s="269"/>
    </row>
    <row r="62">
      <c r="A62" s="410" t="str">
        <f>IFERROR(__xludf.DUMMYFUNCTION("""COMPUTED_VALUE"""),"WO_WFM-OTHERS_20260527_123376021")</f>
        <v>WO_WFM-OTHERS_20260527_123376021</v>
      </c>
      <c r="B62" s="410" t="str">
        <f>IFERROR(__xludf.DUMMYFUNCTION("""COMPUTED_VALUE"""),"Cable RoutePatrol-AC-TNI0232-TNI0294")</f>
        <v>Cable RoutePatrol-AC-TNI0232-TNI0294</v>
      </c>
      <c r="C62" s="410"/>
      <c r="D62" s="410" t="str">
        <f>IFERROR(__xludf.DUMMYFUNCTION("""COMPUTED_VALUE"""),"T2")</f>
        <v>T2</v>
      </c>
      <c r="E62" s="410" t="str">
        <f>IFERROR(__xludf.DUMMYFUNCTION("""COMPUTED_VALUE"""),"TNI0232")</f>
        <v>TNI0232</v>
      </c>
      <c r="F62" s="410"/>
      <c r="H62" s="269"/>
      <c r="I62" s="269"/>
      <c r="J62" s="269"/>
      <c r="K62" s="269"/>
      <c r="L62" s="269"/>
      <c r="M62" s="269"/>
      <c r="N62" s="269"/>
      <c r="O62" s="269"/>
      <c r="P62" s="269"/>
      <c r="Q62" s="269"/>
      <c r="R62" s="269"/>
      <c r="S62" s="269"/>
      <c r="T62" s="269"/>
      <c r="U62" s="269"/>
      <c r="V62" s="269"/>
      <c r="W62" s="269"/>
      <c r="X62" s="269"/>
      <c r="Y62" s="269"/>
      <c r="Z62" s="269"/>
      <c r="AA62" s="269"/>
      <c r="AB62" s="269"/>
      <c r="AC62" s="269"/>
      <c r="AD62" s="269"/>
      <c r="AE62" s="269"/>
      <c r="AF62" s="269"/>
      <c r="AG62" s="269"/>
      <c r="AH62" s="269"/>
      <c r="AI62" s="269"/>
      <c r="AJ62" s="269"/>
      <c r="AK62" s="269"/>
      <c r="AL62" s="269"/>
      <c r="AM62" s="269"/>
      <c r="AN62" s="269"/>
      <c r="AO62" s="269"/>
      <c r="AP62" s="269"/>
      <c r="AQ62" s="269"/>
      <c r="AR62" s="269"/>
    </row>
    <row r="63">
      <c r="A63" s="410" t="str">
        <f>IFERROR(__xludf.DUMMYFUNCTION("""COMPUTED_VALUE"""),"WO_WFM-OTHERS_20260525_123360234")</f>
        <v>WO_WFM-OTHERS_20260525_123360234</v>
      </c>
      <c r="B63" s="410" t="str">
        <f>IFERROR(__xludf.DUMMYFUNCTION("""COMPUTED_VALUE"""),"IP : TNI0213SRT001-TNI0283SRT001 and TNI0006SRT002-TNI0206SRT001 link down at 24/05/2026 15:56:00")</f>
        <v>IP : TNI0213SRT001-TNI0283SRT001 and TNI0006SRT002-TNI0206SRT001 link down at 24/05/2026 15:56:00</v>
      </c>
      <c r="C63" s="410">
        <f>IFERROR(__xludf.DUMMYFUNCTION("""COMPUTED_VALUE"""),-713.45)</f>
        <v>-713.45</v>
      </c>
      <c r="D63" s="410" t="str">
        <f>IFERROR(__xludf.DUMMYFUNCTION("""COMPUTED_VALUE"""),"T1")</f>
        <v>T1</v>
      </c>
      <c r="E63" s="410" t="str">
        <f>IFERROR(__xludf.DUMMYFUNCTION("""COMPUTED_VALUE"""),"TNI0213")</f>
        <v>TNI0213</v>
      </c>
      <c r="F63" s="410"/>
      <c r="H63" s="269"/>
      <c r="I63" s="269"/>
      <c r="J63" s="269"/>
      <c r="K63" s="269"/>
      <c r="L63" s="269"/>
      <c r="M63" s="269"/>
      <c r="N63" s="269"/>
      <c r="O63" s="269"/>
      <c r="P63" s="269"/>
      <c r="Q63" s="269"/>
      <c r="R63" s="269"/>
      <c r="S63" s="269"/>
      <c r="T63" s="269"/>
      <c r="U63" s="269"/>
      <c r="V63" s="269"/>
      <c r="W63" s="269"/>
      <c r="X63" s="269"/>
      <c r="Y63" s="269"/>
      <c r="Z63" s="269"/>
      <c r="AA63" s="269"/>
      <c r="AB63" s="269"/>
      <c r="AC63" s="269"/>
      <c r="AD63" s="269"/>
      <c r="AE63" s="269"/>
      <c r="AF63" s="269"/>
      <c r="AG63" s="269"/>
      <c r="AH63" s="269"/>
      <c r="AI63" s="269"/>
      <c r="AJ63" s="269"/>
      <c r="AK63" s="269"/>
      <c r="AL63" s="269"/>
      <c r="AM63" s="269"/>
      <c r="AN63" s="269"/>
      <c r="AO63" s="269"/>
      <c r="AP63" s="269"/>
      <c r="AQ63" s="269"/>
      <c r="AR63" s="269"/>
    </row>
    <row r="64">
      <c r="A64" s="410" t="str">
        <f>IFERROR(__xludf.DUMMYFUNCTION("""COMPUTED_VALUE"""),"WO_WFM-OTHERS_20260516_123288065")</f>
        <v>WO_WFM-OTHERS_20260516_123288065</v>
      </c>
      <c r="B64" s="410" t="str">
        <f>IFERROR(__xludf.DUMMYFUNCTION("""COMPUTED_VALUE"""),"IP : TNI0006SRT002-TNI0206SRT001 link down at 15/05/2026 10:51:00")</f>
        <v>IP : TNI0006SRT002-TNI0206SRT001 link down at 15/05/2026 10:51:00</v>
      </c>
      <c r="C64" s="410">
        <f>IFERROR(__xludf.DUMMYFUNCTION("""COMPUTED_VALUE"""),-953.45)</f>
        <v>-953.45</v>
      </c>
      <c r="D64" s="410" t="str">
        <f>IFERROR(__xludf.DUMMYFUNCTION("""COMPUTED_VALUE"""),"T1")</f>
        <v>T1</v>
      </c>
      <c r="E64" s="410" t="str">
        <f>IFERROR(__xludf.DUMMYFUNCTION("""COMPUTED_VALUE"""),"TNI0006")</f>
        <v>TNI0006</v>
      </c>
      <c r="F64" s="410"/>
      <c r="H64" s="269"/>
      <c r="I64" s="269"/>
      <c r="J64" s="269"/>
      <c r="K64" s="269"/>
      <c r="L64" s="269"/>
      <c r="M64" s="269"/>
      <c r="N64" s="269"/>
      <c r="O64" s="269"/>
      <c r="P64" s="269"/>
      <c r="Q64" s="269"/>
      <c r="R64" s="269"/>
      <c r="S64" s="269"/>
      <c r="T64" s="269"/>
      <c r="U64" s="269"/>
      <c r="V64" s="269"/>
      <c r="W64" s="269"/>
      <c r="X64" s="269"/>
      <c r="Y64" s="269"/>
      <c r="Z64" s="269"/>
      <c r="AA64" s="269"/>
      <c r="AB64" s="269"/>
      <c r="AC64" s="269"/>
      <c r="AD64" s="269"/>
      <c r="AE64" s="269"/>
      <c r="AF64" s="269"/>
      <c r="AG64" s="269"/>
      <c r="AH64" s="269"/>
      <c r="AI64" s="269"/>
      <c r="AJ64" s="269"/>
      <c r="AK64" s="269"/>
      <c r="AL64" s="269"/>
      <c r="AM64" s="269"/>
      <c r="AN64" s="269"/>
      <c r="AO64" s="269"/>
      <c r="AP64" s="269"/>
      <c r="AQ64" s="269"/>
      <c r="AR64" s="269"/>
    </row>
    <row r="65">
      <c r="A65" s="410" t="str">
        <f>IFERROR(__xludf.DUMMYFUNCTION("""COMPUTED_VALUE"""),"WO_WFM-OTHERS_20260516_123287897")</f>
        <v>WO_WFM-OTHERS_20260516_123287897</v>
      </c>
      <c r="B65" s="410" t="str">
        <f>IFERROR(__xludf.DUMMYFUNCTION("""COMPUTED_VALUE"""),"IP : TNI0146SRT001-TNI0147SRT001 link down at 16/05/2026 05:23:00")</f>
        <v>IP : TNI0146SRT001-TNI0147SRT001 link down at 16/05/2026 05:23:00</v>
      </c>
      <c r="C65" s="410">
        <f>IFERROR(__xludf.DUMMYFUNCTION("""COMPUTED_VALUE"""),-929.45)</f>
        <v>-929.45</v>
      </c>
      <c r="D65" s="410" t="str">
        <f>IFERROR(__xludf.DUMMYFUNCTION("""COMPUTED_VALUE"""),"T4")</f>
        <v>T4</v>
      </c>
      <c r="E65" s="410" t="str">
        <f>IFERROR(__xludf.DUMMYFUNCTION("""COMPUTED_VALUE"""),"TNI0146")</f>
        <v>TNI0146</v>
      </c>
      <c r="F65" s="410"/>
      <c r="H65" s="269"/>
      <c r="I65" s="269"/>
      <c r="J65" s="269"/>
      <c r="K65" s="269"/>
      <c r="L65" s="269"/>
      <c r="M65" s="269"/>
      <c r="N65" s="269"/>
      <c r="O65" s="269"/>
      <c r="P65" s="269"/>
      <c r="Q65" s="269"/>
      <c r="R65" s="269"/>
      <c r="S65" s="269"/>
      <c r="T65" s="269"/>
      <c r="U65" s="269"/>
      <c r="V65" s="269"/>
      <c r="W65" s="269"/>
      <c r="X65" s="269"/>
      <c r="Y65" s="269"/>
      <c r="Z65" s="269"/>
      <c r="AA65" s="269"/>
      <c r="AB65" s="269"/>
      <c r="AC65" s="269"/>
      <c r="AD65" s="269"/>
      <c r="AE65" s="269"/>
      <c r="AF65" s="269"/>
      <c r="AG65" s="269"/>
      <c r="AH65" s="269"/>
      <c r="AI65" s="269"/>
      <c r="AJ65" s="269"/>
      <c r="AK65" s="269"/>
      <c r="AL65" s="269"/>
      <c r="AM65" s="269"/>
      <c r="AN65" s="269"/>
      <c r="AO65" s="269"/>
      <c r="AP65" s="269"/>
      <c r="AQ65" s="269"/>
      <c r="AR65" s="269"/>
    </row>
    <row r="66">
      <c r="A66" s="410" t="str">
        <f>IFERROR(__xludf.DUMMYFUNCTION("""COMPUTED_VALUE"""),"WO_WFM-OTHERS_20260515_123281434")</f>
        <v>WO_WFM-OTHERS_20260515_123281434</v>
      </c>
      <c r="B66" s="410" t="str">
        <f>IFERROR(__xludf.DUMMYFUNCTION("""COMPUTED_VALUE"""),"IP : TNI0250AGG001-TNI0272SRT001 link down at 14/05/2026 15:52:03")</f>
        <v>IP : TNI0250AGG001-TNI0272SRT001 link down at 14/05/2026 15:52:03</v>
      </c>
      <c r="C66" s="410">
        <f>IFERROR(__xludf.DUMMYFUNCTION("""COMPUTED_VALUE"""),-1121.45)</f>
        <v>-1121.45</v>
      </c>
      <c r="D66" s="410" t="str">
        <f>IFERROR(__xludf.DUMMYFUNCTION("""COMPUTED_VALUE"""),"T1")</f>
        <v>T1</v>
      </c>
      <c r="E66" s="410" t="str">
        <f>IFERROR(__xludf.DUMMYFUNCTION("""COMPUTED_VALUE"""),"TNI0250")</f>
        <v>TNI0250</v>
      </c>
      <c r="F66" s="410"/>
      <c r="H66" s="269"/>
      <c r="I66" s="269"/>
      <c r="J66" s="269"/>
      <c r="K66" s="269"/>
      <c r="L66" s="269"/>
      <c r="M66" s="269"/>
      <c r="N66" s="269"/>
      <c r="O66" s="269"/>
      <c r="P66" s="269"/>
      <c r="Q66" s="269"/>
      <c r="R66" s="269"/>
      <c r="S66" s="269"/>
      <c r="T66" s="269"/>
      <c r="U66" s="269"/>
      <c r="V66" s="269"/>
      <c r="W66" s="269"/>
      <c r="X66" s="269"/>
      <c r="Y66" s="269"/>
      <c r="Z66" s="269"/>
      <c r="AA66" s="269"/>
      <c r="AB66" s="269"/>
      <c r="AC66" s="269"/>
      <c r="AD66" s="269"/>
      <c r="AE66" s="269"/>
      <c r="AF66" s="269"/>
      <c r="AG66" s="269"/>
      <c r="AH66" s="269"/>
      <c r="AI66" s="269"/>
      <c r="AJ66" s="269"/>
      <c r="AK66" s="269"/>
      <c r="AL66" s="269"/>
      <c r="AM66" s="269"/>
      <c r="AN66" s="269"/>
      <c r="AO66" s="269"/>
      <c r="AP66" s="269"/>
      <c r="AQ66" s="269"/>
      <c r="AR66" s="269"/>
    </row>
    <row r="67">
      <c r="A67" s="410" t="str">
        <f>IFERROR(__xludf.DUMMYFUNCTION("""COMPUTED_VALUE"""),"WO_WFM-FT_20260514_123272600")</f>
        <v>WO_WFM-FT_20260514_123272600</v>
      </c>
      <c r="B67" s="410" t="str">
        <f>IFERROR(__xludf.DUMMYFUNCTION("""COMPUTED_VALUE"""),"FTTH : TNI0251OLT001 SLOT=3,PORT=15 down at 5/14/2026 16:19")</f>
        <v>FTTH : TNI0251OLT001 SLOT=3,PORT=15 down at 5/14/2026 16:19</v>
      </c>
      <c r="C67" s="410">
        <f>IFERROR(__xludf.DUMMYFUNCTION("""COMPUTED_VALUE"""),-1169.45)</f>
        <v>-1169.45</v>
      </c>
      <c r="D67" s="410" t="str">
        <f>IFERROR(__xludf.DUMMYFUNCTION("""COMPUTED_VALUE"""),"T1")</f>
        <v>T1</v>
      </c>
      <c r="E67" s="410" t="str">
        <f>IFERROR(__xludf.DUMMYFUNCTION("""COMPUTED_VALUE"""),"TNI0251")</f>
        <v>TNI0251</v>
      </c>
      <c r="F67" s="410"/>
      <c r="H67" s="269"/>
      <c r="I67" s="269"/>
      <c r="J67" s="269"/>
      <c r="K67" s="269"/>
      <c r="L67" s="269"/>
      <c r="M67" s="269"/>
      <c r="N67" s="269"/>
      <c r="O67" s="269"/>
      <c r="P67" s="269"/>
      <c r="Q67" s="269"/>
      <c r="R67" s="269"/>
      <c r="S67" s="269"/>
      <c r="T67" s="269"/>
      <c r="U67" s="269"/>
      <c r="V67" s="269"/>
      <c r="W67" s="269"/>
      <c r="X67" s="269"/>
      <c r="Y67" s="269"/>
      <c r="Z67" s="269"/>
      <c r="AA67" s="269"/>
      <c r="AB67" s="269"/>
      <c r="AC67" s="269"/>
      <c r="AD67" s="269"/>
      <c r="AE67" s="269"/>
      <c r="AF67" s="269"/>
      <c r="AG67" s="269"/>
      <c r="AH67" s="269"/>
      <c r="AI67" s="269"/>
      <c r="AJ67" s="269"/>
      <c r="AK67" s="269"/>
      <c r="AL67" s="269"/>
      <c r="AM67" s="269"/>
      <c r="AN67" s="269"/>
      <c r="AO67" s="269"/>
      <c r="AP67" s="269"/>
      <c r="AQ67" s="269"/>
      <c r="AR67" s="269"/>
    </row>
    <row r="68">
      <c r="A68" s="410" t="str">
        <f>IFERROR(__xludf.DUMMYFUNCTION("""COMPUTED_VALUE"""),"WO_WFM-OTHERS_20260510_123241721")</f>
        <v>WO_WFM-OTHERS_20260510_123241721</v>
      </c>
      <c r="B68" s="410" t="str">
        <f>IFERROR(__xludf.DUMMYFUNCTION("""COMPUTED_VALUE"""),"IP : TNI0189SRT001-TNI0197SRT001 link down 10/05/2026")</f>
        <v>IP : TNI0189SRT001-TNI0197SRT001 link down 10/05/2026</v>
      </c>
      <c r="C68" s="410">
        <f>IFERROR(__xludf.DUMMYFUNCTION("""COMPUTED_VALUE"""),-1241.45)</f>
        <v>-1241.45</v>
      </c>
      <c r="D68" s="410" t="str">
        <f>IFERROR(__xludf.DUMMYFUNCTION("""COMPUTED_VALUE"""),"T1")</f>
        <v>T1</v>
      </c>
      <c r="E68" s="410" t="str">
        <f>IFERROR(__xludf.DUMMYFUNCTION("""COMPUTED_VALUE"""),"TNI0189")</f>
        <v>TNI0189</v>
      </c>
      <c r="F68" s="410"/>
      <c r="H68" s="269"/>
      <c r="I68" s="269"/>
      <c r="J68" s="269"/>
      <c r="K68" s="269"/>
      <c r="L68" s="269"/>
      <c r="M68" s="269"/>
      <c r="N68" s="269"/>
      <c r="O68" s="269"/>
      <c r="P68" s="269"/>
      <c r="Q68" s="269"/>
      <c r="R68" s="269"/>
      <c r="S68" s="269"/>
      <c r="T68" s="269"/>
      <c r="U68" s="269"/>
      <c r="V68" s="269"/>
      <c r="W68" s="269"/>
      <c r="X68" s="269"/>
      <c r="Y68" s="269"/>
      <c r="Z68" s="269"/>
      <c r="AA68" s="269"/>
      <c r="AB68" s="269"/>
      <c r="AC68" s="269"/>
      <c r="AD68" s="269"/>
      <c r="AE68" s="269"/>
      <c r="AF68" s="269"/>
      <c r="AG68" s="269"/>
      <c r="AH68" s="269"/>
      <c r="AI68" s="269"/>
      <c r="AJ68" s="269"/>
      <c r="AK68" s="269"/>
      <c r="AL68" s="269"/>
      <c r="AM68" s="269"/>
      <c r="AN68" s="269"/>
      <c r="AO68" s="269"/>
      <c r="AP68" s="269"/>
      <c r="AQ68" s="269"/>
      <c r="AR68" s="269"/>
    </row>
    <row r="69">
      <c r="A69" s="410" t="str">
        <f>IFERROR(__xludf.DUMMYFUNCTION("""COMPUTED_VALUE"""),"WO_WFM-OTHERS_20260510_123239488")</f>
        <v>WO_WFM-OTHERS_20260510_123239488</v>
      </c>
      <c r="B69" s="410" t="str">
        <f>IFERROR(__xludf.DUMMYFUNCTION("""COMPUTED_VALUE"""),"IP : SHN0018SRT001-SHN0047SRT001 link down at 09/05/2026 18:25:00")</f>
        <v>IP : SHN0018SRT001-SHN0047SRT001 link down at 09/05/2026 18:25:00</v>
      </c>
      <c r="C69" s="410">
        <f>IFERROR(__xludf.DUMMYFUNCTION("""COMPUTED_VALUE"""),-1241.45)</f>
        <v>-1241.45</v>
      </c>
      <c r="D69" s="410" t="str">
        <f>IFERROR(__xludf.DUMMYFUNCTION("""COMPUTED_VALUE"""),"T1")</f>
        <v>T1</v>
      </c>
      <c r="E69" s="410" t="str">
        <f>IFERROR(__xludf.DUMMYFUNCTION("""COMPUTED_VALUE"""),"0")</f>
        <v>0</v>
      </c>
      <c r="F69" s="410"/>
      <c r="H69" s="269"/>
      <c r="I69" s="269"/>
      <c r="J69" s="269"/>
      <c r="K69" s="269"/>
      <c r="L69" s="269"/>
      <c r="M69" s="269"/>
      <c r="N69" s="269"/>
      <c r="O69" s="269"/>
      <c r="P69" s="269"/>
      <c r="Q69" s="269"/>
      <c r="R69" s="269"/>
      <c r="S69" s="269"/>
      <c r="T69" s="269"/>
      <c r="U69" s="269"/>
      <c r="V69" s="269"/>
      <c r="W69" s="269"/>
      <c r="X69" s="269"/>
      <c r="Y69" s="269"/>
      <c r="Z69" s="269"/>
      <c r="AA69" s="269"/>
      <c r="AB69" s="269"/>
      <c r="AC69" s="269"/>
      <c r="AD69" s="269"/>
      <c r="AE69" s="269"/>
      <c r="AF69" s="269"/>
      <c r="AG69" s="269"/>
      <c r="AH69" s="269"/>
      <c r="AI69" s="269"/>
      <c r="AJ69" s="269"/>
      <c r="AK69" s="269"/>
      <c r="AL69" s="269"/>
      <c r="AM69" s="269"/>
      <c r="AN69" s="269"/>
      <c r="AO69" s="269"/>
      <c r="AP69" s="269"/>
      <c r="AQ69" s="269"/>
      <c r="AR69" s="269"/>
    </row>
    <row r="70">
      <c r="A70" s="410" t="str">
        <f>IFERROR(__xludf.DUMMYFUNCTION("""COMPUTED_VALUE"""),"WO_WFM-OTHERS_20260509_123230618")</f>
        <v>WO_WFM-OTHERS_20260509_123230618</v>
      </c>
      <c r="B70" s="410" t="str">
        <f>IFERROR(__xludf.DUMMYFUNCTION("""COMPUTED_VALUE"""),"IP : TNI0075SRT001-TNI0165SRT001-TNI0279SRT001 link down at 08/05/2026 17:00:00")</f>
        <v>IP : TNI0075SRT001-TNI0165SRT001-TNI0279SRT001 link down at 08/05/2026 17:00:00</v>
      </c>
      <c r="C70" s="410">
        <f>IFERROR(__xludf.DUMMYFUNCTION("""COMPUTED_VALUE"""),-1121.45)</f>
        <v>-1121.45</v>
      </c>
      <c r="D70" s="410" t="str">
        <f>IFERROR(__xludf.DUMMYFUNCTION("""COMPUTED_VALUE"""),"T5")</f>
        <v>T5</v>
      </c>
      <c r="E70" s="410" t="str">
        <f>IFERROR(__xludf.DUMMYFUNCTION("""COMPUTED_VALUE"""),"TNI0075")</f>
        <v>TNI0075</v>
      </c>
      <c r="F70" s="410"/>
      <c r="H70" s="269"/>
      <c r="I70" s="269"/>
      <c r="J70" s="269"/>
      <c r="K70" s="269"/>
      <c r="L70" s="269"/>
      <c r="M70" s="269"/>
      <c r="N70" s="269"/>
      <c r="O70" s="269"/>
      <c r="P70" s="269"/>
      <c r="Q70" s="269"/>
      <c r="R70" s="269"/>
      <c r="S70" s="269"/>
      <c r="T70" s="269"/>
      <c r="U70" s="269"/>
      <c r="V70" s="269"/>
      <c r="W70" s="269"/>
      <c r="X70" s="269"/>
      <c r="Y70" s="269"/>
      <c r="Z70" s="269"/>
      <c r="AA70" s="269"/>
      <c r="AB70" s="269"/>
      <c r="AC70" s="269"/>
      <c r="AD70" s="269"/>
      <c r="AE70" s="269"/>
      <c r="AF70" s="269"/>
      <c r="AG70" s="269"/>
      <c r="AH70" s="269"/>
      <c r="AI70" s="269"/>
      <c r="AJ70" s="269"/>
      <c r="AK70" s="269"/>
      <c r="AL70" s="269"/>
      <c r="AM70" s="269"/>
      <c r="AN70" s="269"/>
      <c r="AO70" s="269"/>
      <c r="AP70" s="269"/>
      <c r="AQ70" s="269"/>
      <c r="AR70" s="269"/>
    </row>
    <row r="71">
      <c r="A71" s="410" t="str">
        <f>IFERROR(__xludf.DUMMYFUNCTION("""COMPUTED_VALUE"""),"WO_WFM-OTHERS_20260508_123220591")</f>
        <v>WO_WFM-OTHERS_20260508_123220591</v>
      </c>
      <c r="B71" s="410" t="str">
        <f>IFERROR(__xludf.DUMMYFUNCTION("""COMPUTED_VALUE"""),"IP : TNI0207SRT001-TNI0356SRT001 link down at 06/05/2026 19:14:00")</f>
        <v>IP : TNI0207SRT001-TNI0356SRT001 link down at 06/05/2026 19:14:00</v>
      </c>
      <c r="C71" s="410">
        <f>IFERROR(__xludf.DUMMYFUNCTION("""COMPUTED_VALUE"""),-1121.45)</f>
        <v>-1121.45</v>
      </c>
      <c r="D71" s="410" t="str">
        <f>IFERROR(__xludf.DUMMYFUNCTION("""COMPUTED_VALUE"""),"T1")</f>
        <v>T1</v>
      </c>
      <c r="E71" s="410" t="str">
        <f>IFERROR(__xludf.DUMMYFUNCTION("""COMPUTED_VALUE"""),"TNI0207")</f>
        <v>TNI0207</v>
      </c>
      <c r="F71" s="410"/>
      <c r="H71" s="269"/>
      <c r="I71" s="269"/>
      <c r="J71" s="269"/>
      <c r="K71" s="269"/>
      <c r="L71" s="269"/>
      <c r="M71" s="269"/>
      <c r="N71" s="269"/>
      <c r="O71" s="269"/>
      <c r="P71" s="269"/>
      <c r="Q71" s="269"/>
      <c r="R71" s="269"/>
      <c r="S71" s="269"/>
      <c r="T71" s="269"/>
      <c r="U71" s="269"/>
      <c r="V71" s="269"/>
      <c r="W71" s="269"/>
      <c r="X71" s="269"/>
      <c r="Y71" s="269"/>
      <c r="Z71" s="269"/>
      <c r="AA71" s="269"/>
      <c r="AB71" s="269"/>
      <c r="AC71" s="269"/>
      <c r="AD71" s="269"/>
      <c r="AE71" s="269"/>
      <c r="AF71" s="269"/>
      <c r="AG71" s="269"/>
      <c r="AH71" s="269"/>
      <c r="AI71" s="269"/>
      <c r="AJ71" s="269"/>
      <c r="AK71" s="269"/>
      <c r="AL71" s="269"/>
      <c r="AM71" s="269"/>
      <c r="AN71" s="269"/>
      <c r="AO71" s="269"/>
      <c r="AP71" s="269"/>
      <c r="AQ71" s="269"/>
      <c r="AR71" s="269"/>
    </row>
    <row r="72">
      <c r="A72" s="410" t="str">
        <f>IFERROR(__xludf.DUMMYFUNCTION("""COMPUTED_VALUE"""),"WO_WFM-OTHERS_20260507_123207576")</f>
        <v>WO_WFM-OTHERS_20260507_123207576</v>
      </c>
      <c r="B72" s="410" t="str">
        <f>IFERROR(__xludf.DUMMYFUNCTION("""COMPUTED_VALUE"""),"IP : TNI0206SRT001-TNI0220SRT001 link down at 06/05/2026 12:07:00")</f>
        <v>IP : TNI0206SRT001-TNI0220SRT001 link down at 06/05/2026 12:07:00</v>
      </c>
      <c r="C72" s="410">
        <f>IFERROR(__xludf.DUMMYFUNCTION("""COMPUTED_VALUE"""),-1313.45)</f>
        <v>-1313.45</v>
      </c>
      <c r="D72" s="410" t="str">
        <f>IFERROR(__xludf.DUMMYFUNCTION("""COMPUTED_VALUE"""),"T1")</f>
        <v>T1</v>
      </c>
      <c r="E72" s="410" t="str">
        <f>IFERROR(__xludf.DUMMYFUNCTION("""COMPUTED_VALUE"""),"TNI0206")</f>
        <v>TNI0206</v>
      </c>
      <c r="F72" s="410"/>
      <c r="H72" s="269"/>
      <c r="I72" s="269"/>
      <c r="J72" s="269"/>
      <c r="K72" s="269"/>
      <c r="L72" s="269"/>
      <c r="M72" s="269"/>
      <c r="N72" s="269"/>
      <c r="O72" s="269"/>
      <c r="P72" s="269"/>
      <c r="Q72" s="269"/>
      <c r="R72" s="269"/>
      <c r="S72" s="269"/>
      <c r="T72" s="269"/>
      <c r="U72" s="269"/>
      <c r="V72" s="269"/>
      <c r="W72" s="269"/>
      <c r="X72" s="269"/>
      <c r="Y72" s="269"/>
      <c r="Z72" s="269"/>
      <c r="AA72" s="269"/>
      <c r="AB72" s="269"/>
      <c r="AC72" s="269"/>
      <c r="AD72" s="269"/>
      <c r="AE72" s="269"/>
      <c r="AF72" s="269"/>
      <c r="AG72" s="269"/>
      <c r="AH72" s="269"/>
      <c r="AI72" s="269"/>
      <c r="AJ72" s="269"/>
      <c r="AK72" s="269"/>
      <c r="AL72" s="269"/>
      <c r="AM72" s="269"/>
      <c r="AN72" s="269"/>
      <c r="AO72" s="269"/>
      <c r="AP72" s="269"/>
      <c r="AQ72" s="269"/>
      <c r="AR72" s="269"/>
    </row>
    <row r="73">
      <c r="A73" s="410" t="str">
        <f>IFERROR(__xludf.DUMMYFUNCTION("""COMPUTED_VALUE"""),"WO_WFM-OTHERS_20260504_123185474")</f>
        <v>WO_WFM-OTHERS_20260504_123185474</v>
      </c>
      <c r="B73" s="410" t="str">
        <f>IFERROR(__xludf.DUMMYFUNCTION("""COMPUTED_VALUE"""),"IP : TNI0188SRT001-TNI0330SRT001 link down at 04/05/2026 08:49:00")</f>
        <v>IP : TNI0188SRT001-TNI0330SRT001 link down at 04/05/2026 08:49:00</v>
      </c>
      <c r="C73" s="410">
        <f>IFERROR(__xludf.DUMMYFUNCTION("""COMPUTED_VALUE"""),-1241.45)</f>
        <v>-1241.45</v>
      </c>
      <c r="D73" s="410" t="str">
        <f>IFERROR(__xludf.DUMMYFUNCTION("""COMPUTED_VALUE"""),"T1")</f>
        <v>T1</v>
      </c>
      <c r="E73" s="410" t="str">
        <f>IFERROR(__xludf.DUMMYFUNCTION("""COMPUTED_VALUE"""),"TNI0188")</f>
        <v>TNI0188</v>
      </c>
      <c r="F73" s="410"/>
      <c r="H73" s="269"/>
      <c r="I73" s="269"/>
      <c r="J73" s="269"/>
      <c r="K73" s="269"/>
      <c r="L73" s="269"/>
      <c r="M73" s="269"/>
      <c r="N73" s="269"/>
      <c r="O73" s="269"/>
      <c r="P73" s="269"/>
      <c r="Q73" s="269"/>
      <c r="R73" s="269"/>
      <c r="S73" s="269"/>
      <c r="T73" s="269"/>
      <c r="U73" s="269"/>
      <c r="V73" s="269"/>
      <c r="W73" s="269"/>
      <c r="X73" s="269"/>
      <c r="Y73" s="269"/>
      <c r="Z73" s="269"/>
      <c r="AA73" s="269"/>
      <c r="AB73" s="269"/>
      <c r="AC73" s="269"/>
      <c r="AD73" s="269"/>
      <c r="AE73" s="269"/>
      <c r="AF73" s="269"/>
      <c r="AG73" s="269"/>
      <c r="AH73" s="269"/>
      <c r="AI73" s="269"/>
      <c r="AJ73" s="269"/>
      <c r="AK73" s="269"/>
      <c r="AL73" s="269"/>
      <c r="AM73" s="269"/>
      <c r="AN73" s="269"/>
      <c r="AO73" s="269"/>
      <c r="AP73" s="269"/>
      <c r="AQ73" s="269"/>
      <c r="AR73" s="269"/>
    </row>
    <row r="74">
      <c r="A74" s="410" t="str">
        <f>IFERROR(__xludf.DUMMYFUNCTION("""COMPUTED_VALUE"""),"WO_WFM-OTHERS_20260504_123184943")</f>
        <v>WO_WFM-OTHERS_20260504_123184943</v>
      </c>
      <c r="B74" s="410" t="str">
        <f>IFERROR(__xludf.DUMMYFUNCTION("""COMPUTED_VALUE"""),"IP : TNI0019SRT001-TNI0089SRT001-TNI0289SRT001 link down at 04/05/2026 04:10:00")</f>
        <v>IP : TNI0019SRT001-TNI0089SRT001-TNI0289SRT001 link down at 04/05/2026 04:10:00</v>
      </c>
      <c r="C74" s="410">
        <f>IFERROR(__xludf.DUMMYFUNCTION("""COMPUTED_VALUE"""),-1241.45)</f>
        <v>-1241.45</v>
      </c>
      <c r="D74" s="410" t="str">
        <f>IFERROR(__xludf.DUMMYFUNCTION("""COMPUTED_VALUE"""),"T1")</f>
        <v>T1</v>
      </c>
      <c r="E74" s="410" t="str">
        <f>IFERROR(__xludf.DUMMYFUNCTION("""COMPUTED_VALUE"""),"TNI0019")</f>
        <v>TNI0019</v>
      </c>
      <c r="F74" s="410"/>
      <c r="H74" s="269"/>
      <c r="I74" s="269"/>
      <c r="J74" s="269"/>
      <c r="K74" s="269"/>
      <c r="L74" s="269"/>
      <c r="M74" s="269"/>
      <c r="N74" s="269"/>
      <c r="O74" s="269"/>
      <c r="P74" s="269"/>
      <c r="Q74" s="269"/>
      <c r="R74" s="269"/>
      <c r="S74" s="269"/>
      <c r="T74" s="269"/>
      <c r="U74" s="269"/>
      <c r="V74" s="269"/>
      <c r="W74" s="269"/>
      <c r="X74" s="269"/>
      <c r="Y74" s="269"/>
      <c r="Z74" s="269"/>
      <c r="AA74" s="269"/>
      <c r="AB74" s="269"/>
      <c r="AC74" s="269"/>
      <c r="AD74" s="269"/>
      <c r="AE74" s="269"/>
      <c r="AF74" s="269"/>
      <c r="AG74" s="269"/>
      <c r="AH74" s="269"/>
      <c r="AI74" s="269"/>
      <c r="AJ74" s="269"/>
      <c r="AK74" s="269"/>
      <c r="AL74" s="269"/>
      <c r="AM74" s="269"/>
      <c r="AN74" s="269"/>
      <c r="AO74" s="269"/>
      <c r="AP74" s="269"/>
      <c r="AQ74" s="269"/>
      <c r="AR74" s="269"/>
    </row>
    <row r="75">
      <c r="A75" s="410" t="str">
        <f>IFERROR(__xludf.DUMMYFUNCTION("""COMPUTED_VALUE"""),"WO_WFM-OTHERS_20260504_123184389")</f>
        <v>WO_WFM-OTHERS_20260504_123184389</v>
      </c>
      <c r="B75" s="410" t="str">
        <f>IFERROR(__xludf.DUMMYFUNCTION("""COMPUTED_VALUE"""),"IP : SHN0170SRT001-SHN2323SRT001 link down at IP : SHN0170SRT001-SHN2323SRT001 link down")</f>
        <v>IP : SHN0170SRT001-SHN2323SRT001 link down at IP : SHN0170SRT001-SHN2323SRT001 link down</v>
      </c>
      <c r="C75" s="410">
        <f>IFERROR(__xludf.DUMMYFUNCTION("""COMPUTED_VALUE"""),-1385.45)</f>
        <v>-1385.45</v>
      </c>
      <c r="D75" s="410" t="str">
        <f>IFERROR(__xludf.DUMMYFUNCTION("""COMPUTED_VALUE"""),"T1")</f>
        <v>T1</v>
      </c>
      <c r="E75" s="410" t="str">
        <f>IFERROR(__xludf.DUMMYFUNCTION("""COMPUTED_VALUE"""),"0")</f>
        <v>0</v>
      </c>
      <c r="F75" s="410"/>
      <c r="H75" s="269"/>
      <c r="I75" s="269"/>
      <c r="J75" s="269"/>
      <c r="K75" s="269"/>
      <c r="L75" s="269"/>
      <c r="M75" s="269"/>
      <c r="N75" s="269"/>
      <c r="O75" s="269"/>
      <c r="P75" s="269"/>
      <c r="Q75" s="269"/>
      <c r="R75" s="269"/>
      <c r="S75" s="269"/>
      <c r="T75" s="269"/>
      <c r="U75" s="269"/>
      <c r="V75" s="269"/>
      <c r="W75" s="269"/>
      <c r="X75" s="269"/>
      <c r="Y75" s="269"/>
      <c r="Z75" s="269"/>
      <c r="AA75" s="269"/>
      <c r="AB75" s="269"/>
      <c r="AC75" s="269"/>
      <c r="AD75" s="269"/>
      <c r="AE75" s="269"/>
      <c r="AF75" s="269"/>
      <c r="AG75" s="269"/>
      <c r="AH75" s="269"/>
      <c r="AI75" s="269"/>
      <c r="AJ75" s="269"/>
      <c r="AK75" s="269"/>
      <c r="AL75" s="269"/>
      <c r="AM75" s="269"/>
      <c r="AN75" s="269"/>
      <c r="AO75" s="269"/>
      <c r="AP75" s="269"/>
      <c r="AQ75" s="269"/>
      <c r="AR75" s="269"/>
    </row>
    <row r="76">
      <c r="A76" s="410" t="str">
        <f>IFERROR(__xludf.DUMMYFUNCTION("""COMPUTED_VALUE"""),"WO_WFM-OTHERS_20260502_123168012")</f>
        <v>WO_WFM-OTHERS_20260502_123168012</v>
      </c>
      <c r="B76" s="410" t="str">
        <f>IFERROR(__xludf.DUMMYFUNCTION("""COMPUTED_VALUE"""),"IP : TNI0005SRT001-TNI0046SRT001 link down at 29/04/2026 15:30:00")</f>
        <v>IP : TNI0005SRT001-TNI0046SRT001 link down at 29/04/2026 15:30:00</v>
      </c>
      <c r="C76" s="410">
        <f>IFERROR(__xludf.DUMMYFUNCTION("""COMPUTED_VALUE"""),-1457.45)</f>
        <v>-1457.45</v>
      </c>
      <c r="D76" s="410" t="str">
        <f>IFERROR(__xludf.DUMMYFUNCTION("""COMPUTED_VALUE"""),"T1")</f>
        <v>T1</v>
      </c>
      <c r="E76" s="410" t="str">
        <f>IFERROR(__xludf.DUMMYFUNCTION("""COMPUTED_VALUE"""),"TNI0005")</f>
        <v>TNI0005</v>
      </c>
      <c r="F76" s="410"/>
      <c r="H76" s="269"/>
      <c r="I76" s="269"/>
      <c r="J76" s="269"/>
      <c r="K76" s="269"/>
      <c r="L76" s="269"/>
      <c r="M76" s="269"/>
      <c r="N76" s="269"/>
      <c r="O76" s="269"/>
      <c r="P76" s="269"/>
      <c r="Q76" s="269"/>
      <c r="R76" s="269"/>
      <c r="S76" s="269"/>
      <c r="T76" s="269"/>
      <c r="U76" s="269"/>
      <c r="V76" s="269"/>
      <c r="W76" s="269"/>
      <c r="X76" s="269"/>
      <c r="Y76" s="269"/>
      <c r="Z76" s="269"/>
      <c r="AA76" s="269"/>
      <c r="AB76" s="269"/>
      <c r="AC76" s="269"/>
      <c r="AD76" s="269"/>
      <c r="AE76" s="269"/>
      <c r="AF76" s="269"/>
      <c r="AG76" s="269"/>
      <c r="AH76" s="269"/>
      <c r="AI76" s="269"/>
      <c r="AJ76" s="269"/>
      <c r="AK76" s="269"/>
      <c r="AL76" s="269"/>
      <c r="AM76" s="269"/>
      <c r="AN76" s="269"/>
      <c r="AO76" s="269"/>
      <c r="AP76" s="269"/>
      <c r="AQ76" s="269"/>
      <c r="AR76" s="269"/>
    </row>
    <row r="77">
      <c r="A77" s="410" t="str">
        <f>IFERROR(__xludf.DUMMYFUNCTION("""COMPUTED_VALUE"""),"WO_WFM-OTHERS_20260429_123145565")</f>
        <v>WO_WFM-OTHERS_20260429_123145565</v>
      </c>
      <c r="B77" s="410" t="str">
        <f>IFERROR(__xludf.DUMMYFUNCTION("""COMPUTED_VALUE"""),"IP : TNI0013AGG001-TNI0070SRT001 link down at 28/04/2026 19:09:00")</f>
        <v>IP : TNI0013AGG001-TNI0070SRT001 link down at 28/04/2026 19:09:00</v>
      </c>
      <c r="C77" s="410">
        <f>IFERROR(__xludf.DUMMYFUNCTION("""COMPUTED_VALUE"""),-1505.45)</f>
        <v>-1505.45</v>
      </c>
      <c r="D77" s="410" t="str">
        <f>IFERROR(__xludf.DUMMYFUNCTION("""COMPUTED_VALUE"""),"T1")</f>
        <v>T1</v>
      </c>
      <c r="E77" s="410" t="str">
        <f>IFERROR(__xludf.DUMMYFUNCTION("""COMPUTED_VALUE"""),"TNI0013")</f>
        <v>TNI0013</v>
      </c>
      <c r="F77" s="410"/>
      <c r="H77" s="269"/>
      <c r="I77" s="269"/>
      <c r="J77" s="269"/>
      <c r="K77" s="269"/>
      <c r="L77" s="269"/>
      <c r="M77" s="269"/>
      <c r="N77" s="269"/>
      <c r="O77" s="269"/>
      <c r="P77" s="269"/>
      <c r="Q77" s="269"/>
      <c r="R77" s="269"/>
      <c r="S77" s="269"/>
      <c r="T77" s="269"/>
      <c r="U77" s="269"/>
      <c r="V77" s="269"/>
      <c r="W77" s="269"/>
      <c r="X77" s="269"/>
      <c r="Y77" s="269"/>
      <c r="Z77" s="269"/>
      <c r="AA77" s="269"/>
      <c r="AB77" s="269"/>
      <c r="AC77" s="269"/>
      <c r="AD77" s="269"/>
      <c r="AE77" s="269"/>
      <c r="AF77" s="269"/>
      <c r="AG77" s="269"/>
      <c r="AH77" s="269"/>
      <c r="AI77" s="269"/>
      <c r="AJ77" s="269"/>
      <c r="AK77" s="269"/>
      <c r="AL77" s="269"/>
      <c r="AM77" s="269"/>
      <c r="AN77" s="269"/>
      <c r="AO77" s="269"/>
      <c r="AP77" s="269"/>
      <c r="AQ77" s="269"/>
      <c r="AR77" s="269"/>
    </row>
    <row r="78">
      <c r="A78" s="410" t="str">
        <f>IFERROR(__xludf.DUMMYFUNCTION("""COMPUTED_VALUE"""),"WO_WFM-OTHERS_20260428_123133282")</f>
        <v>WO_WFM-OTHERS_20260428_123133282</v>
      </c>
      <c r="B78" s="410" t="str">
        <f>IFERROR(__xludf.DUMMYFUNCTION("""COMPUTED_VALUE"""),"IP : TNI0006SRT002-TNI0206SRT001 and TNI0213SRT001-TNI0283SRT001 link down at 27/04/2026 17:42:00")</f>
        <v>IP : TNI0006SRT002-TNI0206SRT001 and TNI0213SRT001-TNI0283SRT001 link down at 27/04/2026 17:42:00</v>
      </c>
      <c r="C78" s="410">
        <f>IFERROR(__xludf.DUMMYFUNCTION("""COMPUTED_VALUE"""),-1530.45)</f>
        <v>-1530.45</v>
      </c>
      <c r="D78" s="410" t="str">
        <f>IFERROR(__xludf.DUMMYFUNCTION("""COMPUTED_VALUE"""),"T1")</f>
        <v>T1</v>
      </c>
      <c r="E78" s="410" t="str">
        <f>IFERROR(__xludf.DUMMYFUNCTION("""COMPUTED_VALUE"""),"TNI0006")</f>
        <v>TNI0006</v>
      </c>
      <c r="F78" s="410"/>
      <c r="H78" s="269"/>
      <c r="I78" s="269"/>
      <c r="J78" s="269"/>
      <c r="K78" s="269"/>
      <c r="L78" s="269"/>
      <c r="M78" s="269"/>
      <c r="N78" s="269"/>
      <c r="O78" s="269"/>
      <c r="P78" s="269"/>
      <c r="Q78" s="269"/>
      <c r="R78" s="269"/>
      <c r="S78" s="269"/>
      <c r="T78" s="269"/>
      <c r="U78" s="269"/>
      <c r="V78" s="269"/>
      <c r="W78" s="269"/>
      <c r="X78" s="269"/>
      <c r="Y78" s="269"/>
      <c r="Z78" s="269"/>
      <c r="AA78" s="269"/>
      <c r="AB78" s="269"/>
      <c r="AC78" s="269"/>
      <c r="AD78" s="269"/>
      <c r="AE78" s="269"/>
      <c r="AF78" s="269"/>
      <c r="AG78" s="269"/>
      <c r="AH78" s="269"/>
      <c r="AI78" s="269"/>
      <c r="AJ78" s="269"/>
      <c r="AK78" s="269"/>
      <c r="AL78" s="269"/>
      <c r="AM78" s="269"/>
      <c r="AN78" s="269"/>
      <c r="AO78" s="269"/>
      <c r="AP78" s="269"/>
      <c r="AQ78" s="269"/>
      <c r="AR78" s="269"/>
    </row>
    <row r="79">
      <c r="A79" s="410" t="str">
        <f>IFERROR(__xludf.DUMMYFUNCTION("""COMPUTED_VALUE"""),"WO_WFM-OTHERS_20260426_123112990")</f>
        <v>WO_WFM-OTHERS_20260426_123112990</v>
      </c>
      <c r="B79" s="410" t="str">
        <f>IFERROR(__xludf.DUMMYFUNCTION("""COMPUTED_VALUE"""),"IP : TNI0129SRT001-TNI0284SRT001 link down at 26/04/2026 08:00:39")</f>
        <v>IP : TNI0129SRT001-TNI0284SRT001 link down at 26/04/2026 08:00:39</v>
      </c>
      <c r="C79" s="410">
        <f>IFERROR(__xludf.DUMMYFUNCTION("""COMPUTED_VALUE"""),-1457.45)</f>
        <v>-1457.45</v>
      </c>
      <c r="D79" s="410" t="str">
        <f>IFERROR(__xludf.DUMMYFUNCTION("""COMPUTED_VALUE"""),"T1")</f>
        <v>T1</v>
      </c>
      <c r="E79" s="410" t="str">
        <f>IFERROR(__xludf.DUMMYFUNCTION("""COMPUTED_VALUE"""),"TNI0129")</f>
        <v>TNI0129</v>
      </c>
      <c r="F79" s="410"/>
      <c r="H79" s="269"/>
      <c r="I79" s="269"/>
      <c r="J79" s="269"/>
      <c r="K79" s="269"/>
      <c r="L79" s="269"/>
      <c r="M79" s="269"/>
      <c r="N79" s="269"/>
      <c r="O79" s="269"/>
      <c r="P79" s="269"/>
      <c r="Q79" s="269"/>
      <c r="R79" s="269"/>
      <c r="S79" s="269"/>
      <c r="T79" s="269"/>
      <c r="U79" s="269"/>
      <c r="V79" s="269"/>
      <c r="W79" s="269"/>
      <c r="X79" s="269"/>
      <c r="Y79" s="269"/>
      <c r="Z79" s="269"/>
      <c r="AA79" s="269"/>
      <c r="AB79" s="269"/>
      <c r="AC79" s="269"/>
      <c r="AD79" s="269"/>
      <c r="AE79" s="269"/>
      <c r="AF79" s="269"/>
      <c r="AG79" s="269"/>
      <c r="AH79" s="269"/>
      <c r="AI79" s="269"/>
      <c r="AJ79" s="269"/>
      <c r="AK79" s="269"/>
      <c r="AL79" s="269"/>
      <c r="AM79" s="269"/>
      <c r="AN79" s="269"/>
      <c r="AO79" s="269"/>
      <c r="AP79" s="269"/>
      <c r="AQ79" s="269"/>
      <c r="AR79" s="269"/>
    </row>
    <row r="80">
      <c r="A80" s="410" t="str">
        <f>IFERROR(__xludf.DUMMYFUNCTION("""COMPUTED_VALUE"""),"WO_WFM-OTHERS_20260421_123060782")</f>
        <v>WO_WFM-OTHERS_20260421_123060782</v>
      </c>
      <c r="B80" s="410" t="str">
        <f>IFERROR(__xludf.DUMMYFUNCTION("""COMPUTED_VALUE"""),"IP : TNI0207SRT001-TNI0356SRT001 link down at 19/04/2026 09:40:00")</f>
        <v>IP : TNI0207SRT001-TNI0356SRT001 link down at 19/04/2026 09:40:00</v>
      </c>
      <c r="C80" s="410">
        <f>IFERROR(__xludf.DUMMYFUNCTION("""COMPUTED_VALUE"""),-1697.45)</f>
        <v>-1697.45</v>
      </c>
      <c r="D80" s="410" t="str">
        <f>IFERROR(__xludf.DUMMYFUNCTION("""COMPUTED_VALUE"""),"T1")</f>
        <v>T1</v>
      </c>
      <c r="E80" s="410" t="str">
        <f>IFERROR(__xludf.DUMMYFUNCTION("""COMPUTED_VALUE"""),"TNI0207")</f>
        <v>TNI0207</v>
      </c>
      <c r="F80" s="410"/>
      <c r="H80" s="269"/>
      <c r="I80" s="269"/>
      <c r="J80" s="269"/>
      <c r="K80" s="269"/>
      <c r="L80" s="269"/>
      <c r="M80" s="269"/>
      <c r="N80" s="269"/>
      <c r="O80" s="269"/>
      <c r="P80" s="269"/>
      <c r="Q80" s="269"/>
      <c r="R80" s="269"/>
      <c r="S80" s="269"/>
      <c r="T80" s="269"/>
      <c r="U80" s="269"/>
      <c r="V80" s="269"/>
      <c r="W80" s="269"/>
      <c r="X80" s="269"/>
      <c r="Y80" s="269"/>
      <c r="Z80" s="269"/>
      <c r="AA80" s="269"/>
      <c r="AB80" s="269"/>
      <c r="AC80" s="269"/>
      <c r="AD80" s="269"/>
      <c r="AE80" s="269"/>
      <c r="AF80" s="269"/>
      <c r="AG80" s="269"/>
      <c r="AH80" s="269"/>
      <c r="AI80" s="269"/>
      <c r="AJ80" s="269"/>
      <c r="AK80" s="269"/>
      <c r="AL80" s="269"/>
      <c r="AM80" s="269"/>
      <c r="AN80" s="269"/>
      <c r="AO80" s="269"/>
      <c r="AP80" s="269"/>
      <c r="AQ80" s="269"/>
      <c r="AR80" s="269"/>
    </row>
    <row r="81">
      <c r="A81" s="410" t="str">
        <f>IFERROR(__xludf.DUMMYFUNCTION("""COMPUTED_VALUE"""),"WO_WFM-FT_20260420_123042188")</f>
        <v>WO_WFM-FT_20260420_123042188</v>
      </c>
      <c r="B81" s="410" t="str">
        <f>IFERROR(__xludf.DUMMYFUNCTION("""COMPUTED_VALUE"""),"5s &amp; WH inventory file for TNI_team 02")</f>
        <v>5s &amp; WH inventory file for TNI_team 02</v>
      </c>
      <c r="C81" s="410">
        <f>IFERROR(__xludf.DUMMYFUNCTION("""COMPUTED_VALUE"""),-1577.45)</f>
        <v>-1577.45</v>
      </c>
      <c r="D81" s="410" t="str">
        <f>IFERROR(__xludf.DUMMYFUNCTION("""COMPUTED_VALUE"""),"T2")</f>
        <v>T2</v>
      </c>
      <c r="E81" s="410" t="str">
        <f>IFERROR(__xludf.DUMMYFUNCTION("""COMPUTED_VALUE"""),"TNI_tea")</f>
        <v>TNI_tea</v>
      </c>
      <c r="F81" s="410"/>
      <c r="H81" s="269"/>
      <c r="I81" s="269"/>
      <c r="J81" s="269"/>
      <c r="K81" s="269"/>
      <c r="L81" s="269"/>
      <c r="M81" s="269"/>
      <c r="N81" s="269"/>
      <c r="O81" s="269"/>
      <c r="P81" s="269"/>
      <c r="Q81" s="269"/>
      <c r="R81" s="269"/>
      <c r="S81" s="269"/>
      <c r="T81" s="269"/>
      <c r="U81" s="269"/>
      <c r="V81" s="269"/>
      <c r="W81" s="269"/>
      <c r="X81" s="269"/>
      <c r="Y81" s="269"/>
      <c r="Z81" s="269"/>
      <c r="AA81" s="269"/>
      <c r="AB81" s="269"/>
      <c r="AC81" s="269"/>
      <c r="AD81" s="269"/>
      <c r="AE81" s="269"/>
      <c r="AF81" s="269"/>
      <c r="AG81" s="269"/>
      <c r="AH81" s="269"/>
      <c r="AI81" s="269"/>
      <c r="AJ81" s="269"/>
      <c r="AK81" s="269"/>
      <c r="AL81" s="269"/>
      <c r="AM81" s="269"/>
      <c r="AN81" s="269"/>
      <c r="AO81" s="269"/>
      <c r="AP81" s="269"/>
      <c r="AQ81" s="269"/>
      <c r="AR81" s="269"/>
    </row>
    <row r="82">
      <c r="A82" s="410" t="str">
        <f>IFERROR(__xludf.DUMMYFUNCTION("""COMPUTED_VALUE"""),"WO_WFM-OTHERS_20260419_123036808")</f>
        <v>WO_WFM-OTHERS_20260419_123036808</v>
      </c>
      <c r="B82" s="410" t="str">
        <f>IFERROR(__xludf.DUMMYFUNCTION("""COMPUTED_VALUE"""),"IP : TNI0250AGG001-TNI0231SRT001, TNI0013AGG001-TNI0013GRVSRT001 and TNI0050SRT001-TNI0058SRT001 link down at 18/04/2026 16:23:00")</f>
        <v>IP : TNI0250AGG001-TNI0231SRT001, TNI0013AGG001-TNI0013GRVSRT001 and TNI0050SRT001-TNI0058SRT001 link down at 18/04/2026 16:23:00</v>
      </c>
      <c r="C82" s="410">
        <f>IFERROR(__xludf.DUMMYFUNCTION("""COMPUTED_VALUE"""),-1625.45)</f>
        <v>-1625.45</v>
      </c>
      <c r="D82" s="410" t="str">
        <f>IFERROR(__xludf.DUMMYFUNCTION("""COMPUTED_VALUE"""),"T1")</f>
        <v>T1</v>
      </c>
      <c r="E82" s="410" t="str">
        <f>IFERROR(__xludf.DUMMYFUNCTION("""COMPUTED_VALUE"""),"TNI0250")</f>
        <v>TNI0250</v>
      </c>
      <c r="F82" s="410"/>
      <c r="H82" s="269"/>
      <c r="I82" s="269"/>
      <c r="J82" s="269"/>
      <c r="K82" s="269"/>
      <c r="L82" s="269"/>
      <c r="M82" s="269"/>
      <c r="N82" s="269"/>
      <c r="O82" s="269"/>
      <c r="P82" s="269"/>
      <c r="Q82" s="269"/>
      <c r="R82" s="269"/>
      <c r="S82" s="269"/>
      <c r="T82" s="269"/>
      <c r="U82" s="269"/>
      <c r="V82" s="269"/>
      <c r="W82" s="269"/>
      <c r="X82" s="269"/>
      <c r="Y82" s="269"/>
      <c r="Z82" s="269"/>
      <c r="AA82" s="269"/>
      <c r="AB82" s="269"/>
      <c r="AC82" s="269"/>
      <c r="AD82" s="269"/>
      <c r="AE82" s="269"/>
      <c r="AF82" s="269"/>
      <c r="AG82" s="269"/>
      <c r="AH82" s="269"/>
      <c r="AI82" s="269"/>
      <c r="AJ82" s="269"/>
      <c r="AK82" s="269"/>
      <c r="AL82" s="269"/>
      <c r="AM82" s="269"/>
      <c r="AN82" s="269"/>
      <c r="AO82" s="269"/>
      <c r="AP82" s="269"/>
      <c r="AQ82" s="269"/>
      <c r="AR82" s="269"/>
    </row>
    <row r="83">
      <c r="A83" s="410" t="str">
        <f>IFERROR(__xludf.DUMMYFUNCTION("""COMPUTED_VALUE"""),"WO_WFM-OTHERS_20260418_123026238")</f>
        <v>WO_WFM-OTHERS_20260418_123026238</v>
      </c>
      <c r="B83" s="410" t="str">
        <f>IFERROR(__xludf.DUMMYFUNCTION("""COMPUTED_VALUE"""),"IP : TNI0031SRT001-TNI0038SRT001 link down at 17/04/2026 14:58:00")</f>
        <v>IP : TNI0031SRT001-TNI0038SRT001 link down at 17/04/2026 14:58:00</v>
      </c>
      <c r="C83" s="410">
        <f>IFERROR(__xludf.DUMMYFUNCTION("""COMPUTED_VALUE"""),-1649.45)</f>
        <v>-1649.45</v>
      </c>
      <c r="D83" s="410" t="str">
        <f>IFERROR(__xludf.DUMMYFUNCTION("""COMPUTED_VALUE"""),"T1")</f>
        <v>T1</v>
      </c>
      <c r="E83" s="410" t="str">
        <f>IFERROR(__xludf.DUMMYFUNCTION("""COMPUTED_VALUE"""),"TNI0031")</f>
        <v>TNI0031</v>
      </c>
      <c r="F83" s="410"/>
      <c r="H83" s="269"/>
      <c r="I83" s="269"/>
      <c r="J83" s="269"/>
      <c r="K83" s="269"/>
      <c r="L83" s="269"/>
      <c r="M83" s="269"/>
      <c r="N83" s="269"/>
      <c r="O83" s="269"/>
      <c r="P83" s="269"/>
      <c r="Q83" s="269"/>
      <c r="R83" s="269"/>
      <c r="S83" s="269"/>
      <c r="T83" s="269"/>
      <c r="U83" s="269"/>
      <c r="V83" s="269"/>
      <c r="W83" s="269"/>
      <c r="X83" s="269"/>
      <c r="Y83" s="269"/>
      <c r="Z83" s="269"/>
      <c r="AA83" s="269"/>
      <c r="AB83" s="269"/>
      <c r="AC83" s="269"/>
      <c r="AD83" s="269"/>
      <c r="AE83" s="269"/>
      <c r="AF83" s="269"/>
      <c r="AG83" s="269"/>
      <c r="AH83" s="269"/>
      <c r="AI83" s="269"/>
      <c r="AJ83" s="269"/>
      <c r="AK83" s="269"/>
      <c r="AL83" s="269"/>
      <c r="AM83" s="269"/>
      <c r="AN83" s="269"/>
      <c r="AO83" s="269"/>
      <c r="AP83" s="269"/>
      <c r="AQ83" s="269"/>
      <c r="AR83" s="269"/>
    </row>
    <row r="84">
      <c r="A84" s="410" t="str">
        <f>IFERROR(__xludf.DUMMYFUNCTION("""COMPUTED_VALUE"""),"WO_WFM-OTHERS_20260415_123007148")</f>
        <v>WO_WFM-OTHERS_20260415_123007148</v>
      </c>
      <c r="B84" s="410" t="str">
        <f>IFERROR(__xludf.DUMMYFUNCTION("""COMPUTED_VALUE"""),"IP : TNI0006SRT002-TNI0331SRT001 link down at 14/04/2026 13:13:00")</f>
        <v>IP : TNI0006SRT002-TNI0331SRT001 link down at 14/04/2026 13:13:00</v>
      </c>
      <c r="C84" s="410">
        <f>IFERROR(__xludf.DUMMYFUNCTION("""COMPUTED_VALUE"""),-1697.45)</f>
        <v>-1697.45</v>
      </c>
      <c r="D84" s="410" t="str">
        <f>IFERROR(__xludf.DUMMYFUNCTION("""COMPUTED_VALUE"""),"T1")</f>
        <v>T1</v>
      </c>
      <c r="E84" s="410" t="str">
        <f>IFERROR(__xludf.DUMMYFUNCTION("""COMPUTED_VALUE"""),"TNI0006")</f>
        <v>TNI0006</v>
      </c>
      <c r="F84" s="410"/>
      <c r="H84" s="269"/>
      <c r="I84" s="269"/>
      <c r="J84" s="269"/>
      <c r="K84" s="269"/>
      <c r="L84" s="269"/>
      <c r="M84" s="269"/>
      <c r="N84" s="269"/>
      <c r="O84" s="269"/>
      <c r="P84" s="269"/>
      <c r="Q84" s="269"/>
      <c r="R84" s="269"/>
      <c r="S84" s="269"/>
      <c r="T84" s="269"/>
      <c r="U84" s="269"/>
      <c r="V84" s="269"/>
      <c r="W84" s="269"/>
      <c r="X84" s="269"/>
      <c r="Y84" s="269"/>
      <c r="Z84" s="269"/>
      <c r="AA84" s="269"/>
      <c r="AB84" s="269"/>
      <c r="AC84" s="269"/>
      <c r="AD84" s="269"/>
      <c r="AE84" s="269"/>
      <c r="AF84" s="269"/>
      <c r="AG84" s="269"/>
      <c r="AH84" s="269"/>
      <c r="AI84" s="269"/>
      <c r="AJ84" s="269"/>
      <c r="AK84" s="269"/>
      <c r="AL84" s="269"/>
      <c r="AM84" s="269"/>
      <c r="AN84" s="269"/>
      <c r="AO84" s="269"/>
      <c r="AP84" s="269"/>
      <c r="AQ84" s="269"/>
      <c r="AR84" s="269"/>
    </row>
    <row r="85">
      <c r="A85" s="410" t="str">
        <f>IFERROR(__xludf.DUMMYFUNCTION("""COMPUTED_VALUE"""),"WO_WFM-OTHERS_20260410_122970759")</f>
        <v>WO_WFM-OTHERS_20260410_122970759</v>
      </c>
      <c r="B85" s="410" t="str">
        <f>IFERROR(__xludf.DUMMYFUNCTION("""COMPUTED_VALUE"""),"IP : TNI0007SRT001-TNI0164SRT001 link down informed to TNI SOS! at 09/04/2026 19:37:00")</f>
        <v>IP : TNI0007SRT001-TNI0164SRT001 link down informed to TNI SOS! at 09/04/2026 19:37:00</v>
      </c>
      <c r="C85" s="410">
        <f>IFERROR(__xludf.DUMMYFUNCTION("""COMPUTED_VALUE"""),-1841.45)</f>
        <v>-1841.45</v>
      </c>
      <c r="D85" s="410" t="str">
        <f>IFERROR(__xludf.DUMMYFUNCTION("""COMPUTED_VALUE"""),"T5")</f>
        <v>T5</v>
      </c>
      <c r="E85" s="410" t="str">
        <f>IFERROR(__xludf.DUMMYFUNCTION("""COMPUTED_VALUE"""),"TNI0007")</f>
        <v>TNI0007</v>
      </c>
      <c r="F85" s="410"/>
      <c r="H85" s="269"/>
      <c r="I85" s="269"/>
      <c r="J85" s="269"/>
      <c r="K85" s="269"/>
      <c r="L85" s="269"/>
      <c r="M85" s="269"/>
      <c r="N85" s="269"/>
      <c r="O85" s="269"/>
      <c r="P85" s="269"/>
      <c r="Q85" s="269"/>
      <c r="R85" s="269"/>
      <c r="S85" s="269"/>
      <c r="T85" s="269"/>
      <c r="U85" s="269"/>
      <c r="V85" s="269"/>
      <c r="W85" s="269"/>
      <c r="X85" s="269"/>
      <c r="Y85" s="269"/>
      <c r="Z85" s="269"/>
      <c r="AA85" s="269"/>
      <c r="AB85" s="269"/>
      <c r="AC85" s="269"/>
      <c r="AD85" s="269"/>
      <c r="AE85" s="269"/>
      <c r="AF85" s="269"/>
      <c r="AG85" s="269"/>
      <c r="AH85" s="269"/>
      <c r="AI85" s="269"/>
      <c r="AJ85" s="269"/>
      <c r="AK85" s="269"/>
      <c r="AL85" s="269"/>
      <c r="AM85" s="269"/>
      <c r="AN85" s="269"/>
      <c r="AO85" s="269"/>
      <c r="AP85" s="269"/>
      <c r="AQ85" s="269"/>
      <c r="AR85" s="269"/>
    </row>
    <row r="86">
      <c r="A86" s="410" t="str">
        <f>IFERROR(__xludf.DUMMYFUNCTION("""COMPUTED_VALUE"""),"WO_WFM-OTHERS_20260409_122961161")</f>
        <v>WO_WFM-OTHERS_20260409_122961161</v>
      </c>
      <c r="B86" s="410" t="str">
        <f>IFERROR(__xludf.DUMMYFUNCTION("""COMPUTED_VALUE"""),"IP : TNI0006SRT002-TNI0331SRT001 link down at 07/04/2026 18:40:00")</f>
        <v>IP : TNI0006SRT002-TNI0331SRT001 link down at 07/04/2026 18:40:00</v>
      </c>
      <c r="C86" s="410">
        <f>IFERROR(__xludf.DUMMYFUNCTION("""COMPUTED_VALUE"""),-1985.45)</f>
        <v>-1985.45</v>
      </c>
      <c r="D86" s="410" t="str">
        <f>IFERROR(__xludf.DUMMYFUNCTION("""COMPUTED_VALUE"""),"T1")</f>
        <v>T1</v>
      </c>
      <c r="E86" s="410" t="str">
        <f>IFERROR(__xludf.DUMMYFUNCTION("""COMPUTED_VALUE"""),"TNI0006")</f>
        <v>TNI0006</v>
      </c>
      <c r="F86" s="410"/>
      <c r="H86" s="269"/>
      <c r="I86" s="269"/>
      <c r="J86" s="269"/>
      <c r="K86" s="269"/>
      <c r="L86" s="269"/>
      <c r="M86" s="269"/>
      <c r="N86" s="269"/>
      <c r="O86" s="269"/>
      <c r="P86" s="269"/>
      <c r="Q86" s="269"/>
      <c r="R86" s="269"/>
      <c r="S86" s="269"/>
      <c r="T86" s="269"/>
      <c r="U86" s="269"/>
      <c r="V86" s="269"/>
      <c r="W86" s="269"/>
      <c r="X86" s="269"/>
      <c r="Y86" s="269"/>
      <c r="Z86" s="269"/>
      <c r="AA86" s="269"/>
      <c r="AB86" s="269"/>
      <c r="AC86" s="269"/>
      <c r="AD86" s="269"/>
      <c r="AE86" s="269"/>
      <c r="AF86" s="269"/>
      <c r="AG86" s="269"/>
      <c r="AH86" s="269"/>
      <c r="AI86" s="269"/>
      <c r="AJ86" s="269"/>
      <c r="AK86" s="269"/>
      <c r="AL86" s="269"/>
      <c r="AM86" s="269"/>
      <c r="AN86" s="269"/>
      <c r="AO86" s="269"/>
      <c r="AP86" s="269"/>
      <c r="AQ86" s="269"/>
      <c r="AR86" s="269"/>
    </row>
    <row r="87">
      <c r="A87" s="410" t="str">
        <f>IFERROR(__xludf.DUMMYFUNCTION("""COMPUTED_VALUE"""),"WO_WFM-OTHERS_20260409_122960948")</f>
        <v>WO_WFM-OTHERS_20260409_122960948</v>
      </c>
      <c r="B87" s="410" t="str">
        <f>IFERROR(__xludf.DUMMYFUNCTION("""COMPUTED_VALUE"""),"IP : TNI0122SRT001-TNI0164SRT001 link down at 07/04/2026 07:37:00")</f>
        <v>IP : TNI0122SRT001-TNI0164SRT001 link down at 07/04/2026 07:37:00</v>
      </c>
      <c r="C87" s="410">
        <f>IFERROR(__xludf.DUMMYFUNCTION("""COMPUTED_VALUE"""),-1985.45)</f>
        <v>-1985.45</v>
      </c>
      <c r="D87" s="410" t="str">
        <f>IFERROR(__xludf.DUMMYFUNCTION("""COMPUTED_VALUE"""),"T5")</f>
        <v>T5</v>
      </c>
      <c r="E87" s="410" t="str">
        <f>IFERROR(__xludf.DUMMYFUNCTION("""COMPUTED_VALUE"""),"TNI0122")</f>
        <v>TNI0122</v>
      </c>
      <c r="F87" s="410"/>
      <c r="H87" s="269"/>
      <c r="I87" s="269"/>
      <c r="J87" s="269"/>
      <c r="K87" s="269"/>
      <c r="L87" s="269"/>
      <c r="M87" s="269"/>
      <c r="N87" s="269"/>
      <c r="O87" s="269"/>
      <c r="P87" s="269"/>
      <c r="Q87" s="269"/>
      <c r="R87" s="269"/>
      <c r="S87" s="269"/>
      <c r="T87" s="269"/>
      <c r="U87" s="269"/>
      <c r="V87" s="269"/>
      <c r="W87" s="269"/>
      <c r="X87" s="269"/>
      <c r="Y87" s="269"/>
      <c r="Z87" s="269"/>
      <c r="AA87" s="269"/>
      <c r="AB87" s="269"/>
      <c r="AC87" s="269"/>
      <c r="AD87" s="269"/>
      <c r="AE87" s="269"/>
      <c r="AF87" s="269"/>
      <c r="AG87" s="269"/>
      <c r="AH87" s="269"/>
      <c r="AI87" s="269"/>
      <c r="AJ87" s="269"/>
      <c r="AK87" s="269"/>
      <c r="AL87" s="269"/>
      <c r="AM87" s="269"/>
      <c r="AN87" s="269"/>
      <c r="AO87" s="269"/>
      <c r="AP87" s="269"/>
      <c r="AQ87" s="269"/>
      <c r="AR87" s="269"/>
    </row>
    <row r="88">
      <c r="A88" s="410" t="str">
        <f>IFERROR(__xludf.DUMMYFUNCTION("""COMPUTED_VALUE"""),"WO_WFM-OTHERS_20260406_122908248")</f>
        <v>WO_WFM-OTHERS_20260406_122908248</v>
      </c>
      <c r="B88" s="410" t="str">
        <f>IFERROR(__xludf.DUMMYFUNCTION("""COMPUTED_VALUE"""),"IP : TNI0213SRT001-TNI0283SRT001 link down at 04/04/2026 22:00:00")</f>
        <v>IP : TNI0213SRT001-TNI0283SRT001 link down at 04/04/2026 22:00:00</v>
      </c>
      <c r="C88" s="410">
        <f>IFERROR(__xludf.DUMMYFUNCTION("""COMPUTED_VALUE"""),-2057.45)</f>
        <v>-2057.45</v>
      </c>
      <c r="D88" s="410" t="str">
        <f>IFERROR(__xludf.DUMMYFUNCTION("""COMPUTED_VALUE"""),"T1")</f>
        <v>T1</v>
      </c>
      <c r="E88" s="410" t="str">
        <f>IFERROR(__xludf.DUMMYFUNCTION("""COMPUTED_VALUE"""),"TNI0213")</f>
        <v>TNI0213</v>
      </c>
      <c r="F88" s="410"/>
      <c r="H88" s="269"/>
      <c r="I88" s="269"/>
      <c r="J88" s="269"/>
      <c r="K88" s="269"/>
      <c r="L88" s="269"/>
      <c r="M88" s="269"/>
      <c r="N88" s="269"/>
      <c r="O88" s="269"/>
      <c r="P88" s="269"/>
      <c r="Q88" s="269"/>
      <c r="R88" s="269"/>
      <c r="S88" s="269"/>
      <c r="T88" s="269"/>
      <c r="U88" s="269"/>
      <c r="V88" s="269"/>
      <c r="W88" s="269"/>
      <c r="X88" s="269"/>
      <c r="Y88" s="269"/>
      <c r="Z88" s="269"/>
      <c r="AA88" s="269"/>
      <c r="AB88" s="269"/>
      <c r="AC88" s="269"/>
      <c r="AD88" s="269"/>
      <c r="AE88" s="269"/>
      <c r="AF88" s="269"/>
      <c r="AG88" s="269"/>
      <c r="AH88" s="269"/>
      <c r="AI88" s="269"/>
      <c r="AJ88" s="269"/>
      <c r="AK88" s="269"/>
      <c r="AL88" s="269"/>
      <c r="AM88" s="269"/>
      <c r="AN88" s="269"/>
      <c r="AO88" s="269"/>
      <c r="AP88" s="269"/>
      <c r="AQ88" s="269"/>
      <c r="AR88" s="269"/>
    </row>
    <row r="89">
      <c r="A89" s="410" t="str">
        <f>IFERROR(__xludf.DUMMYFUNCTION("""COMPUTED_VALUE"""),"WO_WFM-FT_20260406_122907898")</f>
        <v>WO_WFM-FT_20260406_122907898</v>
      </c>
      <c r="B89" s="410" t="str">
        <f>IFERROR(__xludf.DUMMYFUNCTION("""COMPUTED_VALUE"""),"FTTH : TNI0231OLT001 SLOT=3,PORT=5 ,6,7 down at 4/6/2026 16:00")</f>
        <v>FTTH : TNI0231OLT001 SLOT=3,PORT=5 ,6,7 down at 4/6/2026 16:00</v>
      </c>
      <c r="C89" s="410">
        <f>IFERROR(__xludf.DUMMYFUNCTION("""COMPUTED_VALUE"""),-2065.45)</f>
        <v>-2065.45</v>
      </c>
      <c r="D89" s="410" t="str">
        <f>IFERROR(__xludf.DUMMYFUNCTION("""COMPUTED_VALUE"""),"T1")</f>
        <v>T1</v>
      </c>
      <c r="E89" s="410" t="str">
        <f>IFERROR(__xludf.DUMMYFUNCTION("""COMPUTED_VALUE"""),"TNI0231")</f>
        <v>TNI0231</v>
      </c>
      <c r="F89" s="410"/>
      <c r="H89" s="269"/>
      <c r="I89" s="269"/>
      <c r="J89" s="269"/>
      <c r="K89" s="269"/>
      <c r="L89" s="269"/>
      <c r="M89" s="269"/>
      <c r="N89" s="269"/>
      <c r="O89" s="269"/>
      <c r="P89" s="269"/>
      <c r="Q89" s="269"/>
      <c r="R89" s="269"/>
      <c r="S89" s="269"/>
      <c r="T89" s="269"/>
      <c r="U89" s="269"/>
      <c r="V89" s="269"/>
      <c r="W89" s="269"/>
      <c r="X89" s="269"/>
      <c r="Y89" s="269"/>
      <c r="Z89" s="269"/>
      <c r="AA89" s="269"/>
      <c r="AB89" s="269"/>
      <c r="AC89" s="269"/>
      <c r="AD89" s="269"/>
      <c r="AE89" s="269"/>
      <c r="AF89" s="269"/>
      <c r="AG89" s="269"/>
      <c r="AH89" s="269"/>
      <c r="AI89" s="269"/>
      <c r="AJ89" s="269"/>
      <c r="AK89" s="269"/>
      <c r="AL89" s="269"/>
      <c r="AM89" s="269"/>
      <c r="AN89" s="269"/>
      <c r="AO89" s="269"/>
      <c r="AP89" s="269"/>
      <c r="AQ89" s="269"/>
      <c r="AR89" s="269"/>
    </row>
    <row r="90">
      <c r="A90" s="410" t="str">
        <f>IFERROR(__xludf.DUMMYFUNCTION("""COMPUTED_VALUE"""),"WO_ICMS_20260701_123690032")</f>
        <v>WO_ICMS_20260701_123690032</v>
      </c>
      <c r="B90" s="410" t="str">
        <f>IFERROR(__xludf.DUMMYFUNCTION("""COMPUTED_VALUE"""),"TNI0201 MYT_Checking quality for DG Fuel MYT_ME_DG_CHECK_FUEL; MYT_Maintenance_Generator_Change_Air_Filter, Clean Radiator and Clean Engine Room MYT_ME_DG_CHG_AIR_FIL_CLN_RAD_ENG; MYT_Maintenance_Generator_Change_Fuel_Filter MYT_ME_DG_CHG_FUEL_FIL; MYT_Ma"&amp;"intenance_Generator_Change_Oil MYT_ME_DG_CHG_OIL; MYT_Maintenance_Generator_Change_Oil_Filter MYT_ME_DG_CHG_OIL_FIL")</f>
        <v>TNI0201 MYT_Checking quality for DG Fuel MYT_ME_DG_CHECK_FUEL; MYT_Maintenance_Generator_Change_Air_Filter, Clean Radiator and Clean Engine Room MYT_ME_DG_CHG_AIR_FIL_CLN_RAD_ENG; MYT_Maintenance_Generator_Change_Fuel_Filter MYT_ME_DG_CHG_FUEL_FIL; MYT_Maintenance_Generator_Change_Oil MYT_ME_DG_CHG_OIL; MYT_Maintenance_Generator_Change_Oil_Filter MYT_ME_DG_CHG_OIL_FIL</v>
      </c>
      <c r="C90" s="410">
        <f>IFERROR(__xludf.DUMMYFUNCTION("""COMPUTED_VALUE"""),234.08)</f>
        <v>234.08</v>
      </c>
      <c r="D90" s="410" t="str">
        <f>IFERROR(__xludf.DUMMYFUNCTION("""COMPUTED_VALUE"""),"T1")</f>
        <v>T1</v>
      </c>
      <c r="E90" s="410" t="str">
        <f>IFERROR(__xludf.DUMMYFUNCTION("""COMPUTED_VALUE"""),"TNI0201: 8KVA")</f>
        <v>TNI0201: 8KVA</v>
      </c>
      <c r="F90" s="410" t="str">
        <f>IFERROR(__xludf.DUMMYFUNCTION("""COMPUTED_VALUE"""),"myt_aunglwin.phyo")</f>
        <v>myt_aunglwin.phyo</v>
      </c>
      <c r="H90" s="269"/>
      <c r="I90" s="269"/>
      <c r="J90" s="269"/>
      <c r="K90" s="269"/>
      <c r="L90" s="269"/>
      <c r="M90" s="269"/>
      <c r="N90" s="269"/>
      <c r="O90" s="269"/>
      <c r="P90" s="269"/>
      <c r="Q90" s="269"/>
      <c r="R90" s="269"/>
      <c r="S90" s="269"/>
      <c r="T90" s="269"/>
      <c r="U90" s="269"/>
      <c r="V90" s="269"/>
      <c r="W90" s="269"/>
      <c r="X90" s="269"/>
      <c r="Y90" s="269"/>
      <c r="Z90" s="269"/>
      <c r="AA90" s="269"/>
      <c r="AB90" s="269"/>
      <c r="AC90" s="269"/>
      <c r="AD90" s="269"/>
      <c r="AE90" s="269"/>
      <c r="AF90" s="269"/>
      <c r="AG90" s="269"/>
      <c r="AH90" s="269"/>
      <c r="AI90" s="269"/>
      <c r="AJ90" s="269"/>
      <c r="AK90" s="269"/>
      <c r="AL90" s="269"/>
      <c r="AM90" s="269"/>
      <c r="AN90" s="269"/>
      <c r="AO90" s="269"/>
      <c r="AP90" s="269"/>
      <c r="AQ90" s="269"/>
      <c r="AR90" s="269"/>
    </row>
    <row r="91">
      <c r="A91" s="410" t="str">
        <f>IFERROR(__xludf.DUMMYFUNCTION("""COMPUTED_VALUE"""),"WO_ICMS_20260623_123611290")</f>
        <v>WO_ICMS_20260623_123611290</v>
      </c>
      <c r="B91" s="410" t="str">
        <f>IFERROR(__xludf.DUMMYFUNCTION("""COMPUTED_VALUE"""),"TNI0053 MYT_Routine_Maintenance_Towerco_Station MYT_RTE_MTE_TCO_STN")</f>
        <v>TNI0053 MYT_Routine_Maintenance_Towerco_Station MYT_RTE_MTE_TCO_STN</v>
      </c>
      <c r="C91" s="410">
        <f>IFERROR(__xludf.DUMMYFUNCTION("""COMPUTED_VALUE"""),882.55)</f>
        <v>882.55</v>
      </c>
      <c r="D91" s="410" t="str">
        <f>IFERROR(__xludf.DUMMYFUNCTION("""COMPUTED_VALUE"""),"T1")</f>
        <v>T1</v>
      </c>
      <c r="E91" s="410" t="str">
        <f>IFERROR(__xludf.DUMMYFUNCTION("""COMPUTED_VALUE"""),"TNI0053")</f>
        <v>TNI0053</v>
      </c>
      <c r="F91" s="410" t="str">
        <f>IFERROR(__xludf.DUMMYFUNCTION("""COMPUTED_VALUE"""),"myt_aunglwin.phyo")</f>
        <v>myt_aunglwin.phyo</v>
      </c>
      <c r="H91" s="269"/>
      <c r="I91" s="269"/>
      <c r="J91" s="269"/>
      <c r="K91" s="269"/>
      <c r="L91" s="269"/>
      <c r="M91" s="269"/>
      <c r="N91" s="269"/>
      <c r="O91" s="269"/>
      <c r="P91" s="269"/>
      <c r="Q91" s="269"/>
      <c r="R91" s="269"/>
      <c r="S91" s="269"/>
      <c r="T91" s="269"/>
      <c r="U91" s="269"/>
      <c r="V91" s="269"/>
      <c r="W91" s="269"/>
      <c r="X91" s="269"/>
      <c r="Y91" s="269"/>
      <c r="Z91" s="269"/>
      <c r="AA91" s="269"/>
      <c r="AB91" s="269"/>
      <c r="AC91" s="269"/>
      <c r="AD91" s="269"/>
      <c r="AE91" s="269"/>
      <c r="AF91" s="269"/>
      <c r="AG91" s="269"/>
      <c r="AH91" s="269"/>
      <c r="AI91" s="269"/>
      <c r="AJ91" s="269"/>
      <c r="AK91" s="269"/>
      <c r="AL91" s="269"/>
      <c r="AM91" s="269"/>
      <c r="AN91" s="269"/>
      <c r="AO91" s="269"/>
      <c r="AP91" s="269"/>
      <c r="AQ91" s="269"/>
      <c r="AR91" s="269"/>
    </row>
    <row r="92">
      <c r="A92" s="410" t="str">
        <f>IFERROR(__xludf.DUMMYFUNCTION("""COMPUTED_VALUE"""),"WO_ICMS_20260623_123611291")</f>
        <v>WO_ICMS_20260623_123611291</v>
      </c>
      <c r="B92" s="410" t="str">
        <f>IFERROR(__xludf.DUMMYFUNCTION("""COMPUTED_VALUE"""),"TNI0049 MYT_Routine_Maintenance_Towerco_Station MYT_RTE_MTE_TCO_STN")</f>
        <v>TNI0049 MYT_Routine_Maintenance_Towerco_Station MYT_RTE_MTE_TCO_STN</v>
      </c>
      <c r="C92" s="410">
        <f>IFERROR(__xludf.DUMMYFUNCTION("""COMPUTED_VALUE"""),882.55)</f>
        <v>882.55</v>
      </c>
      <c r="D92" s="410" t="str">
        <f>IFERROR(__xludf.DUMMYFUNCTION("""COMPUTED_VALUE"""),"T1")</f>
        <v>T1</v>
      </c>
      <c r="E92" s="410" t="str">
        <f>IFERROR(__xludf.DUMMYFUNCTION("""COMPUTED_VALUE"""),"TNI0049")</f>
        <v>TNI0049</v>
      </c>
      <c r="F92" s="410" t="str">
        <f>IFERROR(__xludf.DUMMYFUNCTION("""COMPUTED_VALUE"""),"myt_aunglwin.phyo")</f>
        <v>myt_aunglwin.phyo</v>
      </c>
      <c r="H92" s="269"/>
      <c r="I92" s="269"/>
      <c r="J92" s="269"/>
      <c r="K92" s="269"/>
      <c r="L92" s="269"/>
      <c r="M92" s="269"/>
      <c r="N92" s="269"/>
      <c r="O92" s="269"/>
      <c r="P92" s="269"/>
      <c r="Q92" s="269"/>
      <c r="R92" s="269"/>
      <c r="S92" s="269"/>
      <c r="T92" s="269"/>
      <c r="U92" s="269"/>
      <c r="V92" s="269"/>
      <c r="W92" s="269"/>
      <c r="X92" s="269"/>
      <c r="Y92" s="269"/>
      <c r="Z92" s="269"/>
      <c r="AA92" s="269"/>
      <c r="AB92" s="269"/>
      <c r="AC92" s="269"/>
      <c r="AD92" s="269"/>
      <c r="AE92" s="269"/>
      <c r="AF92" s="269"/>
      <c r="AG92" s="269"/>
      <c r="AH92" s="269"/>
      <c r="AI92" s="269"/>
      <c r="AJ92" s="269"/>
      <c r="AK92" s="269"/>
      <c r="AL92" s="269"/>
      <c r="AM92" s="269"/>
      <c r="AN92" s="269"/>
      <c r="AO92" s="269"/>
      <c r="AP92" s="269"/>
      <c r="AQ92" s="269"/>
      <c r="AR92" s="269"/>
    </row>
    <row r="93">
      <c r="A93" s="410" t="str">
        <f>IFERROR(__xludf.DUMMYFUNCTION("""COMPUTED_VALUE"""),"WO_ICMS_20260623_123611226")</f>
        <v>WO_ICMS_20260623_123611226</v>
      </c>
      <c r="B93" s="410" t="str">
        <f>IFERROR(__xludf.DUMMYFUNCTION("""COMPUTED_VALUE"""),"TNI0426 MYT_Routine_Maintenance_Towerco_Station MYT_RTE_MTE_TCO_STN")</f>
        <v>TNI0426 MYT_Routine_Maintenance_Towerco_Station MYT_RTE_MTE_TCO_STN</v>
      </c>
      <c r="C93" s="410">
        <f>IFERROR(__xludf.DUMMYFUNCTION("""COMPUTED_VALUE"""),882.54)</f>
        <v>882.54</v>
      </c>
      <c r="D93" s="410" t="str">
        <f>IFERROR(__xludf.DUMMYFUNCTION("""COMPUTED_VALUE"""),"T1")</f>
        <v>T1</v>
      </c>
      <c r="E93" s="410" t="str">
        <f>IFERROR(__xludf.DUMMYFUNCTION("""COMPUTED_VALUE"""),"TNI0426")</f>
        <v>TNI0426</v>
      </c>
      <c r="F93" s="410" t="str">
        <f>IFERROR(__xludf.DUMMYFUNCTION("""COMPUTED_VALUE"""),"myt_aunglwin.phyo")</f>
        <v>myt_aunglwin.phyo</v>
      </c>
      <c r="H93" s="269"/>
      <c r="I93" s="269"/>
      <c r="J93" s="269"/>
      <c r="K93" s="269"/>
      <c r="L93" s="269"/>
      <c r="M93" s="269"/>
      <c r="N93" s="269"/>
      <c r="O93" s="269"/>
      <c r="P93" s="269"/>
      <c r="Q93" s="269"/>
      <c r="R93" s="269"/>
      <c r="S93" s="269"/>
      <c r="T93" s="269"/>
      <c r="U93" s="269"/>
      <c r="V93" s="269"/>
      <c r="W93" s="269"/>
      <c r="X93" s="269"/>
      <c r="Y93" s="269"/>
      <c r="Z93" s="269"/>
      <c r="AA93" s="269"/>
      <c r="AB93" s="269"/>
      <c r="AC93" s="269"/>
      <c r="AD93" s="269"/>
      <c r="AE93" s="269"/>
      <c r="AF93" s="269"/>
      <c r="AG93" s="269"/>
      <c r="AH93" s="269"/>
      <c r="AI93" s="269"/>
      <c r="AJ93" s="269"/>
      <c r="AK93" s="269"/>
      <c r="AL93" s="269"/>
      <c r="AM93" s="269"/>
      <c r="AN93" s="269"/>
      <c r="AO93" s="269"/>
      <c r="AP93" s="269"/>
      <c r="AQ93" s="269"/>
      <c r="AR93" s="269"/>
    </row>
    <row r="94">
      <c r="A94" s="410" t="str">
        <f>IFERROR(__xludf.DUMMYFUNCTION("""COMPUTED_VALUE"""),"WO_WFM-OTHERS_20260622_123603223")</f>
        <v>WO_WFM-OTHERS_20260622_123603223</v>
      </c>
      <c r="B94" s="410" t="str">
        <f>IFERROR(__xludf.DUMMYFUNCTION("""COMPUTED_VALUE"""),"TNI0257_Cleaning Radiator and change engine oil")</f>
        <v>TNI0257_Cleaning Radiator and change engine oil</v>
      </c>
      <c r="C94" s="410">
        <f>IFERROR(__xludf.DUMMYFUNCTION("""COMPUTED_VALUE"""),-41.95)</f>
        <v>-41.95</v>
      </c>
      <c r="D94" s="410" t="str">
        <f>IFERROR(__xludf.DUMMYFUNCTION("""COMPUTED_VALUE"""),"T1")</f>
        <v>T1</v>
      </c>
      <c r="E94" s="410" t="str">
        <f>IFERROR(__xludf.DUMMYFUNCTION("""COMPUTED_VALUE"""),"TNI0257")</f>
        <v>TNI0257</v>
      </c>
      <c r="F94" s="410" t="str">
        <f>IFERROR(__xludf.DUMMYFUNCTION("""COMPUTED_VALUE"""),"myt_aunglwin.phyo")</f>
        <v>myt_aunglwin.phyo</v>
      </c>
      <c r="H94" s="269"/>
      <c r="I94" s="269"/>
      <c r="J94" s="269"/>
      <c r="K94" s="269"/>
      <c r="L94" s="269"/>
      <c r="M94" s="269"/>
      <c r="N94" s="269"/>
      <c r="O94" s="269"/>
      <c r="P94" s="269"/>
      <c r="Q94" s="269"/>
      <c r="R94" s="269"/>
      <c r="S94" s="269"/>
      <c r="T94" s="269"/>
      <c r="U94" s="269"/>
      <c r="V94" s="269"/>
      <c r="W94" s="269"/>
      <c r="X94" s="269"/>
      <c r="Y94" s="269"/>
      <c r="Z94" s="269"/>
      <c r="AA94" s="269"/>
      <c r="AB94" s="269"/>
      <c r="AC94" s="269"/>
      <c r="AD94" s="269"/>
      <c r="AE94" s="269"/>
      <c r="AF94" s="269"/>
      <c r="AG94" s="269"/>
      <c r="AH94" s="269"/>
      <c r="AI94" s="269"/>
      <c r="AJ94" s="269"/>
      <c r="AK94" s="269"/>
      <c r="AL94" s="269"/>
      <c r="AM94" s="269"/>
      <c r="AN94" s="269"/>
      <c r="AO94" s="269"/>
      <c r="AP94" s="269"/>
      <c r="AQ94" s="269"/>
      <c r="AR94" s="269"/>
    </row>
    <row r="95">
      <c r="A95" s="410" t="str">
        <f>IFERROR(__xludf.DUMMYFUNCTION("""COMPUTED_VALUE"""),"WO_WFM-OTHERS_20260622_123602874")</f>
        <v>WO_WFM-OTHERS_20260622_123602874</v>
      </c>
      <c r="B95" s="410" t="str">
        <f>IFERROR(__xludf.DUMMYFUNCTION("""COMPUTED_VALUE"""),"TNI0053_Cleaning Radiator and change engine oil")</f>
        <v>TNI0053_Cleaning Radiator and change engine oil</v>
      </c>
      <c r="C95" s="410">
        <f>IFERROR(__xludf.DUMMYFUNCTION("""COMPUTED_VALUE"""),-41.95)</f>
        <v>-41.95</v>
      </c>
      <c r="D95" s="410" t="str">
        <f>IFERROR(__xludf.DUMMYFUNCTION("""COMPUTED_VALUE"""),"T1")</f>
        <v>T1</v>
      </c>
      <c r="E95" s="410" t="str">
        <f>IFERROR(__xludf.DUMMYFUNCTION("""COMPUTED_VALUE"""),"TNI0053")</f>
        <v>TNI0053</v>
      </c>
      <c r="F95" s="410" t="str">
        <f>IFERROR(__xludf.DUMMYFUNCTION("""COMPUTED_VALUE"""),"myt_aunglwin.phyo")</f>
        <v>myt_aunglwin.phyo</v>
      </c>
      <c r="H95" s="269"/>
      <c r="I95" s="269"/>
      <c r="J95" s="269"/>
      <c r="K95" s="269"/>
      <c r="L95" s="269"/>
      <c r="M95" s="269"/>
      <c r="N95" s="269"/>
      <c r="O95" s="269"/>
      <c r="P95" s="269"/>
      <c r="Q95" s="269"/>
      <c r="R95" s="269"/>
      <c r="S95" s="269"/>
      <c r="T95" s="269"/>
      <c r="U95" s="269"/>
      <c r="V95" s="269"/>
      <c r="W95" s="269"/>
      <c r="X95" s="269"/>
      <c r="Y95" s="269"/>
      <c r="Z95" s="269"/>
      <c r="AA95" s="269"/>
      <c r="AB95" s="269"/>
      <c r="AC95" s="269"/>
      <c r="AD95" s="269"/>
      <c r="AE95" s="269"/>
      <c r="AF95" s="269"/>
      <c r="AG95" s="269"/>
      <c r="AH95" s="269"/>
      <c r="AI95" s="269"/>
      <c r="AJ95" s="269"/>
      <c r="AK95" s="269"/>
      <c r="AL95" s="269"/>
      <c r="AM95" s="269"/>
      <c r="AN95" s="269"/>
      <c r="AO95" s="269"/>
      <c r="AP95" s="269"/>
      <c r="AQ95" s="269"/>
      <c r="AR95" s="269"/>
    </row>
    <row r="96">
      <c r="A96" s="410" t="str">
        <f>IFERROR(__xludf.DUMMYFUNCTION("""COMPUTED_VALUE"""),"WO_QLCTKT_20260618_123562598")</f>
        <v>WO_QLCTKT_20260618_123562598</v>
      </c>
      <c r="B96" s="410" t="str">
        <f>IFERROR(__xludf.DUMMYFUNCTION("""COMPUTED_VALUE"""),"TNI0264 - Repair infrastructure - bla: Cleaning the station, remove grass, vines, tree, rubbish, recall unused equipment, material: Clean the all equipments, room, slabs, install the patchcod neatly, tidy")</f>
        <v>TNI0264 - Repair infrastructure - bla: Cleaning the station, remove grass, vines, tree, rubbish, recall unused equipment, material: Clean the all equipments, room, slabs, install the patchcod neatly, tidy</v>
      </c>
      <c r="C96" s="410">
        <f>IFERROR(__xludf.DUMMYFUNCTION("""COMPUTED_VALUE"""),-167.83)</f>
        <v>-167.83</v>
      </c>
      <c r="D96" s="410" t="str">
        <f>IFERROR(__xludf.DUMMYFUNCTION("""COMPUTED_VALUE"""),"T1")</f>
        <v>T1</v>
      </c>
      <c r="E96" s="410" t="str">
        <f>IFERROR(__xludf.DUMMYFUNCTION("""COMPUTED_VALUE"""),"TNI0264")</f>
        <v>TNI0264</v>
      </c>
      <c r="F96" s="410" t="str">
        <f>IFERROR(__xludf.DUMMYFUNCTION("""COMPUTED_VALUE"""),"myt_aunglwin.phyo")</f>
        <v>myt_aunglwin.phyo</v>
      </c>
      <c r="H96" s="269"/>
      <c r="I96" s="269"/>
      <c r="J96" s="269"/>
      <c r="K96" s="269"/>
      <c r="L96" s="269"/>
      <c r="M96" s="269"/>
      <c r="N96" s="269"/>
      <c r="O96" s="269"/>
      <c r="P96" s="269"/>
      <c r="Q96" s="269"/>
      <c r="R96" s="269"/>
      <c r="S96" s="269"/>
      <c r="T96" s="269"/>
      <c r="U96" s="269"/>
      <c r="V96" s="269"/>
      <c r="W96" s="269"/>
      <c r="X96" s="269"/>
      <c r="Y96" s="269"/>
      <c r="Z96" s="269"/>
      <c r="AA96" s="269"/>
      <c r="AB96" s="269"/>
      <c r="AC96" s="269"/>
      <c r="AD96" s="269"/>
      <c r="AE96" s="269"/>
      <c r="AF96" s="269"/>
      <c r="AG96" s="269"/>
      <c r="AH96" s="269"/>
      <c r="AI96" s="269"/>
      <c r="AJ96" s="269"/>
      <c r="AK96" s="269"/>
      <c r="AL96" s="269"/>
      <c r="AM96" s="269"/>
      <c r="AN96" s="269"/>
      <c r="AO96" s="269"/>
      <c r="AP96" s="269"/>
      <c r="AQ96" s="269"/>
      <c r="AR96" s="269"/>
    </row>
    <row r="97">
      <c r="A97" s="410" t="str">
        <f>IFERROR(__xludf.DUMMYFUNCTION("""COMPUTED_VALUE"""),"WO_QLCTKT_20260615_123526936")</f>
        <v>WO_QLCTKT_20260615_123526936</v>
      </c>
      <c r="B97" s="410" t="str">
        <f>IFERROR(__xludf.DUMMYFUNCTION("""COMPUTED_VALUE"""),"TNI0272 MYT_Generator Fuel Monitoring Abnormal Checking")</f>
        <v>TNI0272 MYT_Generator Fuel Monitoring Abnormal Checking</v>
      </c>
      <c r="C97" s="410">
        <f>IFERROR(__xludf.DUMMYFUNCTION("""COMPUTED_VALUE"""),-280.95)</f>
        <v>-280.95</v>
      </c>
      <c r="D97" s="410" t="str">
        <f>IFERROR(__xludf.DUMMYFUNCTION("""COMPUTED_VALUE"""),"T1")</f>
        <v>T1</v>
      </c>
      <c r="E97" s="410" t="str">
        <f>IFERROR(__xludf.DUMMYFUNCTION("""COMPUTED_VALUE"""),"TNI0272")</f>
        <v>TNI0272</v>
      </c>
      <c r="F97" s="410" t="str">
        <f>IFERROR(__xludf.DUMMYFUNCTION("""COMPUTED_VALUE"""),"myt_aunglwin.phyo")</f>
        <v>myt_aunglwin.phyo</v>
      </c>
      <c r="H97" s="269"/>
      <c r="I97" s="269"/>
      <c r="J97" s="269"/>
      <c r="K97" s="269"/>
      <c r="L97" s="269"/>
      <c r="M97" s="269"/>
      <c r="N97" s="269"/>
      <c r="O97" s="269"/>
      <c r="P97" s="269"/>
      <c r="Q97" s="269"/>
      <c r="R97" s="269"/>
      <c r="S97" s="269"/>
      <c r="T97" s="269"/>
      <c r="U97" s="269"/>
      <c r="V97" s="269"/>
      <c r="W97" s="269"/>
      <c r="X97" s="269"/>
      <c r="Y97" s="269"/>
      <c r="Z97" s="269"/>
      <c r="AA97" s="269"/>
      <c r="AB97" s="269"/>
      <c r="AC97" s="269"/>
      <c r="AD97" s="269"/>
      <c r="AE97" s="269"/>
      <c r="AF97" s="269"/>
      <c r="AG97" s="269"/>
      <c r="AH97" s="269"/>
      <c r="AI97" s="269"/>
      <c r="AJ97" s="269"/>
      <c r="AK97" s="269"/>
      <c r="AL97" s="269"/>
      <c r="AM97" s="269"/>
      <c r="AN97" s="269"/>
      <c r="AO97" s="269"/>
      <c r="AP97" s="269"/>
      <c r="AQ97" s="269"/>
      <c r="AR97" s="269"/>
    </row>
    <row r="98">
      <c r="A98" s="410" t="str">
        <f>IFERROR(__xludf.DUMMYFUNCTION("""COMPUTED_VALUE"""),"WO_WFM-OTHERS_20260605_123451867")</f>
        <v>WO_WFM-OTHERS_20260605_123451867</v>
      </c>
      <c r="B98" s="410" t="str">
        <f>IFERROR(__xludf.DUMMYFUNCTION("""COMPUTED_VALUE"""),"TNI0251 MYT_Maintenance_Generator_Cleaning Rediator - MYT_Maintenance_Generator_Checking Coolant Level - MYT_Maintenance_Generator_Change Engine Oil")</f>
        <v>TNI0251 MYT_Maintenance_Generator_Cleaning Rediator - MYT_Maintenance_Generator_Checking Coolant Level - MYT_Maintenance_Generator_Change Engine Oil</v>
      </c>
      <c r="C98" s="410">
        <f>IFERROR(__xludf.DUMMYFUNCTION("""COMPUTED_VALUE"""),-280.95)</f>
        <v>-280.95</v>
      </c>
      <c r="D98" s="410" t="str">
        <f>IFERROR(__xludf.DUMMYFUNCTION("""COMPUTED_VALUE"""),"T1")</f>
        <v>T1</v>
      </c>
      <c r="E98" s="410" t="str">
        <f>IFERROR(__xludf.DUMMYFUNCTION("""COMPUTED_VALUE"""),"TNI0381: 8KVA")</f>
        <v>TNI0381: 8KVA</v>
      </c>
      <c r="F98" s="410" t="str">
        <f>IFERROR(__xludf.DUMMYFUNCTION("""COMPUTED_VALUE"""),"myt_aunglwin.phyo")</f>
        <v>myt_aunglwin.phyo</v>
      </c>
      <c r="H98" s="269"/>
      <c r="I98" s="269"/>
      <c r="J98" s="269"/>
      <c r="K98" s="269"/>
      <c r="L98" s="269"/>
      <c r="M98" s="269"/>
      <c r="N98" s="269"/>
      <c r="O98" s="269"/>
      <c r="P98" s="269"/>
      <c r="Q98" s="269"/>
      <c r="R98" s="269"/>
      <c r="S98" s="269"/>
      <c r="T98" s="269"/>
      <c r="U98" s="269"/>
      <c r="V98" s="269"/>
      <c r="W98" s="269"/>
      <c r="X98" s="269"/>
      <c r="Y98" s="269"/>
      <c r="Z98" s="269"/>
      <c r="AA98" s="269"/>
      <c r="AB98" s="269"/>
      <c r="AC98" s="269"/>
      <c r="AD98" s="269"/>
      <c r="AE98" s="269"/>
      <c r="AF98" s="269"/>
      <c r="AG98" s="269"/>
      <c r="AH98" s="269"/>
      <c r="AI98" s="269"/>
      <c r="AJ98" s="269"/>
      <c r="AK98" s="269"/>
      <c r="AL98" s="269"/>
      <c r="AM98" s="269"/>
      <c r="AN98" s="269"/>
      <c r="AO98" s="269"/>
      <c r="AP98" s="269"/>
      <c r="AQ98" s="269"/>
      <c r="AR98" s="269"/>
    </row>
    <row r="99">
      <c r="A99" s="410" t="str">
        <f>IFERROR(__xludf.DUMMYFUNCTION("""COMPUTED_VALUE"""),"WO_WFM-OTHERS_20260605_123451668")</f>
        <v>WO_WFM-OTHERS_20260605_123451668</v>
      </c>
      <c r="B99" s="410" t="str">
        <f>IFERROR(__xludf.DUMMYFUNCTION("""COMPUTED_VALUE"""),"TNI0247 MYT_Maintenance_Generator_Cleaning Rediator - MYT_Maintenance_Generator_Checking Coolant Level - MYT_Maintenance_Generator_Change Engine Oil")</f>
        <v>TNI0247 MYT_Maintenance_Generator_Cleaning Rediator - MYT_Maintenance_Generator_Checking Coolant Level - MYT_Maintenance_Generator_Change Engine Oil</v>
      </c>
      <c r="C99" s="410">
        <f>IFERROR(__xludf.DUMMYFUNCTION("""COMPUTED_VALUE"""),-280.95)</f>
        <v>-280.95</v>
      </c>
      <c r="D99" s="410" t="str">
        <f>IFERROR(__xludf.DUMMYFUNCTION("""COMPUTED_VALUE"""),"T1")</f>
        <v>T1</v>
      </c>
      <c r="E99" s="410" t="str">
        <f>IFERROR(__xludf.DUMMYFUNCTION("""COMPUTED_VALUE"""),"TNI0381: 8KVA")</f>
        <v>TNI0381: 8KVA</v>
      </c>
      <c r="F99" s="410" t="str">
        <f>IFERROR(__xludf.DUMMYFUNCTION("""COMPUTED_VALUE"""),"myt_aunglwin.phyo")</f>
        <v>myt_aunglwin.phyo</v>
      </c>
      <c r="H99" s="269"/>
      <c r="I99" s="269"/>
      <c r="J99" s="269"/>
      <c r="K99" s="269"/>
      <c r="L99" s="269"/>
      <c r="M99" s="269"/>
      <c r="N99" s="269"/>
      <c r="O99" s="269"/>
      <c r="P99" s="269"/>
      <c r="Q99" s="269"/>
      <c r="R99" s="269"/>
      <c r="S99" s="269"/>
      <c r="T99" s="269"/>
      <c r="U99" s="269"/>
      <c r="V99" s="269"/>
      <c r="W99" s="269"/>
      <c r="X99" s="269"/>
      <c r="Y99" s="269"/>
      <c r="Z99" s="269"/>
      <c r="AA99" s="269"/>
      <c r="AB99" s="269"/>
      <c r="AC99" s="269"/>
      <c r="AD99" s="269"/>
      <c r="AE99" s="269"/>
      <c r="AF99" s="269"/>
      <c r="AG99" s="269"/>
      <c r="AH99" s="269"/>
      <c r="AI99" s="269"/>
      <c r="AJ99" s="269"/>
      <c r="AK99" s="269"/>
      <c r="AL99" s="269"/>
      <c r="AM99" s="269"/>
      <c r="AN99" s="269"/>
      <c r="AO99" s="269"/>
      <c r="AP99" s="269"/>
      <c r="AQ99" s="269"/>
      <c r="AR99" s="269"/>
    </row>
    <row r="100">
      <c r="A100" s="410" t="str">
        <f>IFERROR(__xludf.DUMMYFUNCTION("""COMPUTED_VALUE"""),"WO_WFM-OTHERS_20260605_123451523")</f>
        <v>WO_WFM-OTHERS_20260605_123451523</v>
      </c>
      <c r="B100" s="410" t="str">
        <f>IFERROR(__xludf.DUMMYFUNCTION("""COMPUTED_VALUE"""),"TNI0053 MYT_Maintenance_Generator_Cleaning Rediator - MYT_Maintenance_Generator_Checking Coolant Level")</f>
        <v>TNI0053 MYT_Maintenance_Generator_Cleaning Rediator - MYT_Maintenance_Generator_Checking Coolant Level</v>
      </c>
      <c r="C100" s="410">
        <f>IFERROR(__xludf.DUMMYFUNCTION("""COMPUTED_VALUE"""),-280.95)</f>
        <v>-280.95</v>
      </c>
      <c r="D100" s="410" t="str">
        <f>IFERROR(__xludf.DUMMYFUNCTION("""COMPUTED_VALUE"""),"T1")</f>
        <v>T1</v>
      </c>
      <c r="E100" s="410" t="str">
        <f>IFERROR(__xludf.DUMMYFUNCTION("""COMPUTED_VALUE"""),"TNI0381: 8KVA")</f>
        <v>TNI0381: 8KVA</v>
      </c>
      <c r="F100" s="410" t="str">
        <f>IFERROR(__xludf.DUMMYFUNCTION("""COMPUTED_VALUE"""),"myt_aunglwin.phyo")</f>
        <v>myt_aunglwin.phyo</v>
      </c>
      <c r="H100" s="269"/>
      <c r="I100" s="269"/>
      <c r="J100" s="269"/>
      <c r="K100" s="269"/>
      <c r="L100" s="269"/>
      <c r="M100" s="269"/>
      <c r="N100" s="269"/>
      <c r="O100" s="269"/>
      <c r="P100" s="269"/>
      <c r="Q100" s="269"/>
      <c r="R100" s="269"/>
      <c r="S100" s="269"/>
      <c r="T100" s="269"/>
      <c r="U100" s="269"/>
      <c r="V100" s="269"/>
      <c r="W100" s="269"/>
      <c r="X100" s="269"/>
      <c r="Y100" s="269"/>
      <c r="Z100" s="269"/>
      <c r="AA100" s="269"/>
      <c r="AB100" s="269"/>
      <c r="AC100" s="269"/>
      <c r="AD100" s="269"/>
      <c r="AE100" s="269"/>
      <c r="AF100" s="269"/>
      <c r="AG100" s="269"/>
      <c r="AH100" s="269"/>
      <c r="AI100" s="269"/>
      <c r="AJ100" s="269"/>
      <c r="AK100" s="269"/>
      <c r="AL100" s="269"/>
      <c r="AM100" s="269"/>
      <c r="AN100" s="269"/>
      <c r="AO100" s="269"/>
      <c r="AP100" s="269"/>
      <c r="AQ100" s="269"/>
      <c r="AR100" s="269"/>
    </row>
    <row r="101">
      <c r="A101" s="410" t="str">
        <f>IFERROR(__xludf.DUMMYFUNCTION("""COMPUTED_VALUE"""),"WO_QLCTKT_20260604_123442864")</f>
        <v>WO_QLCTKT_20260604_123442864</v>
      </c>
      <c r="B101" s="410" t="str">
        <f>IFERROR(__xludf.DUMMYFUNCTION("""COMPUTED_VALUE"""),"TNI0073 - Repair infrastructure - bla: Cleaning the station, remove grass, vines, tree, rubbish, recall unused equipment, material: Clean the station")</f>
        <v>TNI0073 - Repair infrastructure - bla: Cleaning the station, remove grass, vines, tree, rubbish, recall unused equipment, material: Clean the station</v>
      </c>
      <c r="C101" s="410">
        <f>IFERROR(__xludf.DUMMYFUNCTION("""COMPUTED_VALUE"""),-506.96)</f>
        <v>-506.96</v>
      </c>
      <c r="D101" s="410" t="str">
        <f>IFERROR(__xludf.DUMMYFUNCTION("""COMPUTED_VALUE"""),"T1")</f>
        <v>T1</v>
      </c>
      <c r="E101" s="410" t="str">
        <f>IFERROR(__xludf.DUMMYFUNCTION("""COMPUTED_VALUE"""),"TNI0073")</f>
        <v>TNI0073</v>
      </c>
      <c r="F101" s="410" t="str">
        <f>IFERROR(__xludf.DUMMYFUNCTION("""COMPUTED_VALUE"""),"myt_aunglwin.phyo")</f>
        <v>myt_aunglwin.phyo</v>
      </c>
      <c r="H101" s="269"/>
      <c r="I101" s="269"/>
      <c r="J101" s="269"/>
      <c r="K101" s="269"/>
      <c r="L101" s="269"/>
      <c r="M101" s="269"/>
      <c r="N101" s="269"/>
      <c r="O101" s="269"/>
      <c r="P101" s="269"/>
      <c r="Q101" s="269"/>
      <c r="R101" s="269"/>
      <c r="S101" s="269"/>
      <c r="T101" s="269"/>
      <c r="U101" s="269"/>
      <c r="V101" s="269"/>
      <c r="W101" s="269"/>
      <c r="X101" s="269"/>
      <c r="Y101" s="269"/>
      <c r="Z101" s="269"/>
      <c r="AA101" s="269"/>
      <c r="AB101" s="269"/>
      <c r="AC101" s="269"/>
      <c r="AD101" s="269"/>
      <c r="AE101" s="269"/>
      <c r="AF101" s="269"/>
      <c r="AG101" s="269"/>
      <c r="AH101" s="269"/>
      <c r="AI101" s="269"/>
      <c r="AJ101" s="269"/>
      <c r="AK101" s="269"/>
      <c r="AL101" s="269"/>
      <c r="AM101" s="269"/>
      <c r="AN101" s="269"/>
      <c r="AO101" s="269"/>
      <c r="AP101" s="269"/>
      <c r="AQ101" s="269"/>
      <c r="AR101" s="269"/>
    </row>
    <row r="102">
      <c r="A102" s="410" t="str">
        <f>IFERROR(__xludf.DUMMYFUNCTION("""COMPUTED_VALUE"""),"WO_QLCTKT_20260604_123442977")</f>
        <v>WO_QLCTKT_20260604_123442977</v>
      </c>
      <c r="B102" s="410" t="str">
        <f>IFERROR(__xludf.DUMMYFUNCTION("""COMPUTED_VALUE"""),"TNI0073 - Repair infrastructure - bla: Cleaning the station, remove grass, vines, tree, rubbish, recall unused equipment, material: Clean the station")</f>
        <v>TNI0073 - Repair infrastructure - bla: Cleaning the station, remove grass, vines, tree, rubbish, recall unused equipment, material: Clean the station</v>
      </c>
      <c r="C102" s="410">
        <f>IFERROR(__xludf.DUMMYFUNCTION("""COMPUTED_VALUE"""),-506.96)</f>
        <v>-506.96</v>
      </c>
      <c r="D102" s="410" t="str">
        <f>IFERROR(__xludf.DUMMYFUNCTION("""COMPUTED_VALUE"""),"T1")</f>
        <v>T1</v>
      </c>
      <c r="E102" s="410" t="str">
        <f>IFERROR(__xludf.DUMMYFUNCTION("""COMPUTED_VALUE"""),"TNI0073")</f>
        <v>TNI0073</v>
      </c>
      <c r="F102" s="410" t="str">
        <f>IFERROR(__xludf.DUMMYFUNCTION("""COMPUTED_VALUE"""),"myt_aunglwin.phyo")</f>
        <v>myt_aunglwin.phyo</v>
      </c>
      <c r="H102" s="269"/>
      <c r="I102" s="269"/>
      <c r="J102" s="269"/>
      <c r="K102" s="269"/>
      <c r="L102" s="269"/>
      <c r="M102" s="269"/>
      <c r="N102" s="269"/>
      <c r="O102" s="269"/>
      <c r="P102" s="269"/>
      <c r="Q102" s="269"/>
      <c r="R102" s="269"/>
      <c r="S102" s="269"/>
      <c r="T102" s="269"/>
      <c r="U102" s="269"/>
      <c r="V102" s="269"/>
      <c r="W102" s="269"/>
      <c r="X102" s="269"/>
      <c r="Y102" s="269"/>
      <c r="Z102" s="269"/>
      <c r="AA102" s="269"/>
      <c r="AB102" s="269"/>
      <c r="AC102" s="269"/>
      <c r="AD102" s="269"/>
      <c r="AE102" s="269"/>
      <c r="AF102" s="269"/>
      <c r="AG102" s="269"/>
      <c r="AH102" s="269"/>
      <c r="AI102" s="269"/>
      <c r="AJ102" s="269"/>
      <c r="AK102" s="269"/>
      <c r="AL102" s="269"/>
      <c r="AM102" s="269"/>
      <c r="AN102" s="269"/>
      <c r="AO102" s="269"/>
      <c r="AP102" s="269"/>
      <c r="AQ102" s="269"/>
      <c r="AR102" s="269"/>
    </row>
    <row r="103">
      <c r="A103" s="410" t="str">
        <f>IFERROR(__xludf.DUMMYFUNCTION("""COMPUTED_VALUE"""),"WO_QLCTKT_20260604_123438281")</f>
        <v>WO_QLCTKT_20260604_123438281</v>
      </c>
      <c r="B103" s="410" t="str">
        <f>IFERROR(__xludf.DUMMYFUNCTION("""COMPUTED_VALUE"""),"TNI0231 MYT_Troubleshooting Solar Power System")</f>
        <v>TNI0231 MYT_Troubleshooting Solar Power System</v>
      </c>
      <c r="C103" s="410">
        <f>IFERROR(__xludf.DUMMYFUNCTION("""COMPUTED_VALUE"""),-520.95)</f>
        <v>-520.95</v>
      </c>
      <c r="D103" s="410" t="str">
        <f>IFERROR(__xludf.DUMMYFUNCTION("""COMPUTED_VALUE"""),"T1")</f>
        <v>T1</v>
      </c>
      <c r="E103" s="410" t="str">
        <f>IFERROR(__xludf.DUMMYFUNCTION("""COMPUTED_VALUE"""),"TNI0231")</f>
        <v>TNI0231</v>
      </c>
      <c r="F103" s="410" t="str">
        <f>IFERROR(__xludf.DUMMYFUNCTION("""COMPUTED_VALUE"""),"myt_aunglwin.phyo")</f>
        <v>myt_aunglwin.phyo</v>
      </c>
      <c r="H103" s="269"/>
      <c r="I103" s="269"/>
      <c r="J103" s="269"/>
      <c r="K103" s="269"/>
      <c r="L103" s="269"/>
      <c r="M103" s="269"/>
      <c r="N103" s="269"/>
      <c r="O103" s="269"/>
      <c r="P103" s="269"/>
      <c r="Q103" s="269"/>
      <c r="R103" s="269"/>
      <c r="S103" s="269"/>
      <c r="T103" s="269"/>
      <c r="U103" s="269"/>
      <c r="V103" s="269"/>
      <c r="W103" s="269"/>
      <c r="X103" s="269"/>
      <c r="Y103" s="269"/>
      <c r="Z103" s="269"/>
      <c r="AA103" s="269"/>
      <c r="AB103" s="269"/>
      <c r="AC103" s="269"/>
      <c r="AD103" s="269"/>
      <c r="AE103" s="269"/>
      <c r="AF103" s="269"/>
      <c r="AG103" s="269"/>
      <c r="AH103" s="269"/>
      <c r="AI103" s="269"/>
      <c r="AJ103" s="269"/>
      <c r="AK103" s="269"/>
      <c r="AL103" s="269"/>
      <c r="AM103" s="269"/>
      <c r="AN103" s="269"/>
      <c r="AO103" s="269"/>
      <c r="AP103" s="269"/>
      <c r="AQ103" s="269"/>
      <c r="AR103" s="269"/>
    </row>
    <row r="104">
      <c r="A104" s="410" t="str">
        <f>IFERROR(__xludf.DUMMYFUNCTION("""COMPUTED_VALUE"""),"WO_QLCTKT_20260604_123438248")</f>
        <v>WO_QLCTKT_20260604_123438248</v>
      </c>
      <c r="B104" s="410" t="str">
        <f>IFERROR(__xludf.DUMMYFUNCTION("""COMPUTED_VALUE"""),"TNI0201 MYT_Troubleshooting Solar Power System")</f>
        <v>TNI0201 MYT_Troubleshooting Solar Power System</v>
      </c>
      <c r="C104" s="410">
        <f>IFERROR(__xludf.DUMMYFUNCTION("""COMPUTED_VALUE"""),-520.95)</f>
        <v>-520.95</v>
      </c>
      <c r="D104" s="410" t="str">
        <f>IFERROR(__xludf.DUMMYFUNCTION("""COMPUTED_VALUE"""),"T1")</f>
        <v>T1</v>
      </c>
      <c r="E104" s="410" t="str">
        <f>IFERROR(__xludf.DUMMYFUNCTION("""COMPUTED_VALUE"""),"TNI0201")</f>
        <v>TNI0201</v>
      </c>
      <c r="F104" s="410" t="str">
        <f>IFERROR(__xludf.DUMMYFUNCTION("""COMPUTED_VALUE"""),"myt_aunglwin.phyo")</f>
        <v>myt_aunglwin.phyo</v>
      </c>
      <c r="H104" s="269"/>
      <c r="I104" s="269"/>
      <c r="J104" s="269"/>
      <c r="K104" s="269"/>
      <c r="L104" s="269"/>
      <c r="M104" s="269"/>
      <c r="N104" s="269"/>
      <c r="O104" s="269"/>
      <c r="P104" s="269"/>
      <c r="Q104" s="269"/>
      <c r="R104" s="269"/>
      <c r="S104" s="269"/>
      <c r="T104" s="269"/>
      <c r="U104" s="269"/>
      <c r="V104" s="269"/>
      <c r="W104" s="269"/>
      <c r="X104" s="269"/>
      <c r="Y104" s="269"/>
      <c r="Z104" s="269"/>
      <c r="AA104" s="269"/>
      <c r="AB104" s="269"/>
      <c r="AC104" s="269"/>
      <c r="AD104" s="269"/>
      <c r="AE104" s="269"/>
      <c r="AF104" s="269"/>
      <c r="AG104" s="269"/>
      <c r="AH104" s="269"/>
      <c r="AI104" s="269"/>
      <c r="AJ104" s="269"/>
      <c r="AK104" s="269"/>
      <c r="AL104" s="269"/>
      <c r="AM104" s="269"/>
      <c r="AN104" s="269"/>
      <c r="AO104" s="269"/>
      <c r="AP104" s="269"/>
      <c r="AQ104" s="269"/>
      <c r="AR104" s="269"/>
    </row>
    <row r="105">
      <c r="A105" s="410" t="str">
        <f>IFERROR(__xludf.DUMMYFUNCTION("""COMPUTED_VALUE"""),"WO_QLCTKT_20260604_123438210")</f>
        <v>WO_QLCTKT_20260604_123438210</v>
      </c>
      <c r="B105" s="410" t="str">
        <f>IFERROR(__xludf.DUMMYFUNCTION("""COMPUTED_VALUE"""),"TNI0040 MYT_Troubleshooting Solar Power System")</f>
        <v>TNI0040 MYT_Troubleshooting Solar Power System</v>
      </c>
      <c r="C105" s="410">
        <f>IFERROR(__xludf.DUMMYFUNCTION("""COMPUTED_VALUE"""),-520.95)</f>
        <v>-520.95</v>
      </c>
      <c r="D105" s="410" t="str">
        <f>IFERROR(__xludf.DUMMYFUNCTION("""COMPUTED_VALUE"""),"T1")</f>
        <v>T1</v>
      </c>
      <c r="E105" s="410" t="str">
        <f>IFERROR(__xludf.DUMMYFUNCTION("""COMPUTED_VALUE"""),"TNI0040")</f>
        <v>TNI0040</v>
      </c>
      <c r="F105" s="410" t="str">
        <f>IFERROR(__xludf.DUMMYFUNCTION("""COMPUTED_VALUE"""),"myt_aunglwin.phyo")</f>
        <v>myt_aunglwin.phyo</v>
      </c>
      <c r="H105" s="269"/>
      <c r="I105" s="269"/>
      <c r="J105" s="269"/>
      <c r="K105" s="269"/>
      <c r="L105" s="269"/>
      <c r="M105" s="269"/>
      <c r="N105" s="269"/>
      <c r="O105" s="269"/>
      <c r="P105" s="269"/>
      <c r="Q105" s="269"/>
      <c r="R105" s="269"/>
      <c r="S105" s="269"/>
      <c r="T105" s="269"/>
      <c r="U105" s="269"/>
      <c r="V105" s="269"/>
      <c r="W105" s="269"/>
      <c r="X105" s="269"/>
      <c r="Y105" s="269"/>
      <c r="Z105" s="269"/>
      <c r="AA105" s="269"/>
      <c r="AB105" s="269"/>
      <c r="AC105" s="269"/>
      <c r="AD105" s="269"/>
      <c r="AE105" s="269"/>
      <c r="AF105" s="269"/>
      <c r="AG105" s="269"/>
      <c r="AH105" s="269"/>
      <c r="AI105" s="269"/>
      <c r="AJ105" s="269"/>
      <c r="AK105" s="269"/>
      <c r="AL105" s="269"/>
      <c r="AM105" s="269"/>
      <c r="AN105" s="269"/>
      <c r="AO105" s="269"/>
      <c r="AP105" s="269"/>
      <c r="AQ105" s="269"/>
      <c r="AR105" s="269"/>
    </row>
    <row r="106">
      <c r="A106" s="410" t="str">
        <f>IFERROR(__xludf.DUMMYFUNCTION("""COMPUTED_VALUE"""),"WO_QLCTKT_20260529_123389766")</f>
        <v>WO_QLCTKT_20260529_123389766</v>
      </c>
      <c r="B106" s="410" t="str">
        <f>IFERROR(__xludf.DUMMYFUNCTION("""COMPUTED_VALUE"""),"TNI0201 MYT_Routine_Maintenance_Mytel_Station_VCM")</f>
        <v>TNI0201 MYT_Routine_Maintenance_Mytel_Station_VCM</v>
      </c>
      <c r="C106" s="410">
        <f>IFERROR(__xludf.DUMMYFUNCTION("""COMPUTED_VALUE"""),223.05)</f>
        <v>223.05</v>
      </c>
      <c r="D106" s="410" t="str">
        <f>IFERROR(__xludf.DUMMYFUNCTION("""COMPUTED_VALUE"""),"T1")</f>
        <v>T1</v>
      </c>
      <c r="E106" s="410" t="str">
        <f>IFERROR(__xludf.DUMMYFUNCTION("""COMPUTED_VALUE"""),"TNI0201")</f>
        <v>TNI0201</v>
      </c>
      <c r="F106" s="410" t="str">
        <f>IFERROR(__xludf.DUMMYFUNCTION("""COMPUTED_VALUE"""),"myt_aunglwin.phyo")</f>
        <v>myt_aunglwin.phyo</v>
      </c>
      <c r="H106" s="269"/>
      <c r="I106" s="269"/>
      <c r="J106" s="269"/>
      <c r="K106" s="269"/>
      <c r="L106" s="269"/>
      <c r="M106" s="269"/>
      <c r="N106" s="269"/>
      <c r="O106" s="269"/>
      <c r="P106" s="269"/>
      <c r="Q106" s="269"/>
      <c r="R106" s="269"/>
      <c r="S106" s="269"/>
      <c r="T106" s="269"/>
      <c r="U106" s="269"/>
      <c r="V106" s="269"/>
      <c r="W106" s="269"/>
      <c r="X106" s="269"/>
      <c r="Y106" s="269"/>
      <c r="Z106" s="269"/>
      <c r="AA106" s="269"/>
      <c r="AB106" s="269"/>
      <c r="AC106" s="269"/>
      <c r="AD106" s="269"/>
      <c r="AE106" s="269"/>
      <c r="AF106" s="269"/>
      <c r="AG106" s="269"/>
      <c r="AH106" s="269"/>
      <c r="AI106" s="269"/>
      <c r="AJ106" s="269"/>
      <c r="AK106" s="269"/>
      <c r="AL106" s="269"/>
      <c r="AM106" s="269"/>
      <c r="AN106" s="269"/>
      <c r="AO106" s="269"/>
      <c r="AP106" s="269"/>
      <c r="AQ106" s="269"/>
      <c r="AR106" s="269"/>
    </row>
    <row r="107">
      <c r="A107" s="410" t="str">
        <f>IFERROR(__xludf.DUMMYFUNCTION("""COMPUTED_VALUE"""),"WO_QLCTKT_20260529_123389546")</f>
        <v>WO_QLCTKT_20260529_123389546</v>
      </c>
      <c r="B107" s="410" t="str">
        <f>IFERROR(__xludf.DUMMYFUNCTION("""COMPUTED_VALUE"""),"TNI0073 MYT_Routine_Maintenance_Mytel_Station_VCM")</f>
        <v>TNI0073 MYT_Routine_Maintenance_Mytel_Station_VCM</v>
      </c>
      <c r="C107" s="410">
        <f>IFERROR(__xludf.DUMMYFUNCTION("""COMPUTED_VALUE"""),223.05)</f>
        <v>223.05</v>
      </c>
      <c r="D107" s="410" t="str">
        <f>IFERROR(__xludf.DUMMYFUNCTION("""COMPUTED_VALUE"""),"T1")</f>
        <v>T1</v>
      </c>
      <c r="E107" s="410" t="str">
        <f>IFERROR(__xludf.DUMMYFUNCTION("""COMPUTED_VALUE"""),"TNI0073")</f>
        <v>TNI0073</v>
      </c>
      <c r="F107" s="410" t="str">
        <f>IFERROR(__xludf.DUMMYFUNCTION("""COMPUTED_VALUE"""),"myt_aunglwin.phyo")</f>
        <v>myt_aunglwin.phyo</v>
      </c>
      <c r="H107" s="269"/>
      <c r="I107" s="269"/>
      <c r="J107" s="269"/>
      <c r="K107" s="269"/>
      <c r="L107" s="269"/>
      <c r="M107" s="269"/>
      <c r="N107" s="269"/>
      <c r="O107" s="269"/>
      <c r="P107" s="269"/>
      <c r="Q107" s="269"/>
      <c r="R107" s="269"/>
      <c r="S107" s="269"/>
      <c r="T107" s="269"/>
      <c r="U107" s="269"/>
      <c r="V107" s="269"/>
      <c r="W107" s="269"/>
      <c r="X107" s="269"/>
      <c r="Y107" s="269"/>
      <c r="Z107" s="269"/>
      <c r="AA107" s="269"/>
      <c r="AB107" s="269"/>
      <c r="AC107" s="269"/>
      <c r="AD107" s="269"/>
      <c r="AE107" s="269"/>
      <c r="AF107" s="269"/>
      <c r="AG107" s="269"/>
      <c r="AH107" s="269"/>
      <c r="AI107" s="269"/>
      <c r="AJ107" s="269"/>
      <c r="AK107" s="269"/>
      <c r="AL107" s="269"/>
      <c r="AM107" s="269"/>
      <c r="AN107" s="269"/>
      <c r="AO107" s="269"/>
      <c r="AP107" s="269"/>
      <c r="AQ107" s="269"/>
      <c r="AR107" s="269"/>
    </row>
    <row r="108">
      <c r="A108" s="410" t="str">
        <f>IFERROR(__xludf.DUMMYFUNCTION("""COMPUTED_VALUE"""),"WO_QLCTKT_20260529_123389455")</f>
        <v>WO_QLCTKT_20260529_123389455</v>
      </c>
      <c r="B108" s="410" t="str">
        <f>IFERROR(__xludf.DUMMYFUNCTION("""COMPUTED_VALUE"""),"TNI0046 MYT_Routine_Maintenance_Mytel_Station_VCM")</f>
        <v>TNI0046 MYT_Routine_Maintenance_Mytel_Station_VCM</v>
      </c>
      <c r="C108" s="410">
        <f>IFERROR(__xludf.DUMMYFUNCTION("""COMPUTED_VALUE"""),223.05)</f>
        <v>223.05</v>
      </c>
      <c r="D108" s="410" t="str">
        <f>IFERROR(__xludf.DUMMYFUNCTION("""COMPUTED_VALUE"""),"T1")</f>
        <v>T1</v>
      </c>
      <c r="E108" s="410" t="str">
        <f>IFERROR(__xludf.DUMMYFUNCTION("""COMPUTED_VALUE"""),"TNI0046")</f>
        <v>TNI0046</v>
      </c>
      <c r="F108" s="410" t="str">
        <f>IFERROR(__xludf.DUMMYFUNCTION("""COMPUTED_VALUE"""),"myt_aunglwin.phyo")</f>
        <v>myt_aunglwin.phyo</v>
      </c>
      <c r="H108" s="269"/>
      <c r="I108" s="269"/>
      <c r="J108" s="269"/>
      <c r="K108" s="269"/>
      <c r="L108" s="269"/>
      <c r="M108" s="269"/>
      <c r="N108" s="269"/>
      <c r="O108" s="269"/>
      <c r="P108" s="269"/>
      <c r="Q108" s="269"/>
      <c r="R108" s="269"/>
      <c r="S108" s="269"/>
      <c r="T108" s="269"/>
      <c r="U108" s="269"/>
      <c r="V108" s="269"/>
      <c r="W108" s="269"/>
      <c r="X108" s="269"/>
      <c r="Y108" s="269"/>
      <c r="Z108" s="269"/>
      <c r="AA108" s="269"/>
      <c r="AB108" s="269"/>
      <c r="AC108" s="269"/>
      <c r="AD108" s="269"/>
      <c r="AE108" s="269"/>
      <c r="AF108" s="269"/>
      <c r="AG108" s="269"/>
      <c r="AH108" s="269"/>
      <c r="AI108" s="269"/>
      <c r="AJ108" s="269"/>
      <c r="AK108" s="269"/>
      <c r="AL108" s="269"/>
      <c r="AM108" s="269"/>
      <c r="AN108" s="269"/>
      <c r="AO108" s="269"/>
      <c r="AP108" s="269"/>
      <c r="AQ108" s="269"/>
      <c r="AR108" s="269"/>
    </row>
    <row r="109">
      <c r="A109" s="410" t="str">
        <f>IFERROR(__xludf.DUMMYFUNCTION("""COMPUTED_VALUE"""),"WO_QLCTKT_20260529_123389444")</f>
        <v>WO_QLCTKT_20260529_123389444</v>
      </c>
      <c r="B109" s="410" t="str">
        <f>IFERROR(__xludf.DUMMYFUNCTION("""COMPUTED_VALUE"""),"TNI0040 MYT_Routine_Maintenance_Mytel_Station_VCM")</f>
        <v>TNI0040 MYT_Routine_Maintenance_Mytel_Station_VCM</v>
      </c>
      <c r="C109" s="410">
        <f>IFERROR(__xludf.DUMMYFUNCTION("""COMPUTED_VALUE"""),223.05)</f>
        <v>223.05</v>
      </c>
      <c r="D109" s="410" t="str">
        <f>IFERROR(__xludf.DUMMYFUNCTION("""COMPUTED_VALUE"""),"T1")</f>
        <v>T1</v>
      </c>
      <c r="E109" s="410" t="str">
        <f>IFERROR(__xludf.DUMMYFUNCTION("""COMPUTED_VALUE"""),"TNI0040")</f>
        <v>TNI0040</v>
      </c>
      <c r="F109" s="410" t="str">
        <f>IFERROR(__xludf.DUMMYFUNCTION("""COMPUTED_VALUE"""),"myt_aunglwin.phyo")</f>
        <v>myt_aunglwin.phyo</v>
      </c>
      <c r="H109" s="269"/>
      <c r="I109" s="269"/>
      <c r="J109" s="269"/>
      <c r="K109" s="269"/>
      <c r="L109" s="269"/>
      <c r="M109" s="269"/>
      <c r="N109" s="269"/>
      <c r="O109" s="269"/>
      <c r="P109" s="269"/>
      <c r="Q109" s="269"/>
      <c r="R109" s="269"/>
      <c r="S109" s="269"/>
      <c r="T109" s="269"/>
      <c r="U109" s="269"/>
      <c r="V109" s="269"/>
      <c r="W109" s="269"/>
      <c r="X109" s="269"/>
      <c r="Y109" s="269"/>
      <c r="Z109" s="269"/>
      <c r="AA109" s="269"/>
      <c r="AB109" s="269"/>
      <c r="AC109" s="269"/>
      <c r="AD109" s="269"/>
      <c r="AE109" s="269"/>
      <c r="AF109" s="269"/>
      <c r="AG109" s="269"/>
      <c r="AH109" s="269"/>
      <c r="AI109" s="269"/>
      <c r="AJ109" s="269"/>
      <c r="AK109" s="269"/>
      <c r="AL109" s="269"/>
      <c r="AM109" s="269"/>
      <c r="AN109" s="269"/>
      <c r="AO109" s="269"/>
      <c r="AP109" s="269"/>
      <c r="AQ109" s="269"/>
      <c r="AR109" s="269"/>
    </row>
    <row r="110">
      <c r="A110" s="410" t="str">
        <f>IFERROR(__xludf.DUMMYFUNCTION("""COMPUTED_VALUE"""),"WO_QLCTKT_20260511_123247548")</f>
        <v>WO_QLCTKT_20260511_123247548</v>
      </c>
      <c r="B110" s="410" t="str">
        <f>IFERROR(__xludf.DUMMYFUNCTION("""COMPUTED_VALUE"""),"TNI0046 - Repair infrastructure - bla: Cleaning the station, remove grass, vines, tree, rubbish, recall unused equipment, material: Recall unused materials at site (cables, equipment broken...)")</f>
        <v>TNI0046 - Repair infrastructure - bla: Cleaning the station, remove grass, vines, tree, rubbish, recall unused equipment, material: Recall unused materials at site (cables, equipment broken...)</v>
      </c>
      <c r="C110" s="410">
        <f>IFERROR(__xludf.DUMMYFUNCTION("""COMPUTED_VALUE"""),-914.77)</f>
        <v>-914.77</v>
      </c>
      <c r="D110" s="410" t="str">
        <f>IFERROR(__xludf.DUMMYFUNCTION("""COMPUTED_VALUE"""),"T1")</f>
        <v>T1</v>
      </c>
      <c r="E110" s="410" t="str">
        <f>IFERROR(__xludf.DUMMYFUNCTION("""COMPUTED_VALUE"""),"TNI0046")</f>
        <v>TNI0046</v>
      </c>
      <c r="F110" s="410" t="str">
        <f>IFERROR(__xludf.DUMMYFUNCTION("""COMPUTED_VALUE"""),"myt_aunglwin.phyo")</f>
        <v>myt_aunglwin.phyo</v>
      </c>
      <c r="H110" s="269"/>
      <c r="I110" s="269"/>
      <c r="J110" s="269"/>
      <c r="K110" s="269"/>
      <c r="L110" s="269"/>
      <c r="M110" s="269"/>
      <c r="N110" s="269"/>
      <c r="O110" s="269"/>
      <c r="P110" s="269"/>
      <c r="Q110" s="269"/>
      <c r="R110" s="269"/>
      <c r="S110" s="269"/>
      <c r="T110" s="269"/>
      <c r="U110" s="269"/>
      <c r="V110" s="269"/>
      <c r="W110" s="269"/>
      <c r="X110" s="269"/>
      <c r="Y110" s="269"/>
      <c r="Z110" s="269"/>
      <c r="AA110" s="269"/>
      <c r="AB110" s="269"/>
      <c r="AC110" s="269"/>
      <c r="AD110" s="269"/>
      <c r="AE110" s="269"/>
      <c r="AF110" s="269"/>
      <c r="AG110" s="269"/>
      <c r="AH110" s="269"/>
      <c r="AI110" s="269"/>
      <c r="AJ110" s="269"/>
      <c r="AK110" s="269"/>
      <c r="AL110" s="269"/>
      <c r="AM110" s="269"/>
      <c r="AN110" s="269"/>
      <c r="AO110" s="269"/>
      <c r="AP110" s="269"/>
      <c r="AQ110" s="269"/>
      <c r="AR110" s="269"/>
    </row>
    <row r="111">
      <c r="A111" s="410" t="str">
        <f>IFERROR(__xludf.DUMMYFUNCTION("""COMPUTED_VALUE"""),"WO_QLCTKT_20260511_123247393")</f>
        <v>WO_QLCTKT_20260511_123247393</v>
      </c>
      <c r="B111" s="410" t="str">
        <f>IFERROR(__xludf.DUMMYFUNCTION("""COMPUTED_VALUE"""),"TNI0046 - Repair infrastructure - bla: Cleaning the station, remove grass, vines, tree, rubbish, recall unused equipment, material: Clean the all equipments, room, slabs, install the patchcod neatly, tidy")</f>
        <v>TNI0046 - Repair infrastructure - bla: Cleaning the station, remove grass, vines, tree, rubbish, recall unused equipment, material: Clean the all equipments, room, slabs, install the patchcod neatly, tidy</v>
      </c>
      <c r="C111" s="410">
        <f>IFERROR(__xludf.DUMMYFUNCTION("""COMPUTED_VALUE"""),-1083.3)</f>
        <v>-1083.3</v>
      </c>
      <c r="D111" s="410" t="str">
        <f>IFERROR(__xludf.DUMMYFUNCTION("""COMPUTED_VALUE"""),"T1")</f>
        <v>T1</v>
      </c>
      <c r="E111" s="410" t="str">
        <f>IFERROR(__xludf.DUMMYFUNCTION("""COMPUTED_VALUE"""),"TNI0046")</f>
        <v>TNI0046</v>
      </c>
      <c r="F111" s="410" t="str">
        <f>IFERROR(__xludf.DUMMYFUNCTION("""COMPUTED_VALUE"""),"myt_aunglwin.phyo")</f>
        <v>myt_aunglwin.phyo</v>
      </c>
      <c r="H111" s="269"/>
      <c r="I111" s="269"/>
      <c r="J111" s="269"/>
      <c r="K111" s="269"/>
      <c r="L111" s="269"/>
      <c r="M111" s="269"/>
      <c r="N111" s="269"/>
      <c r="O111" s="269"/>
      <c r="P111" s="269"/>
      <c r="Q111" s="269"/>
      <c r="R111" s="269"/>
      <c r="S111" s="269"/>
      <c r="T111" s="269"/>
      <c r="U111" s="269"/>
      <c r="V111" s="269"/>
      <c r="W111" s="269"/>
      <c r="X111" s="269"/>
      <c r="Y111" s="269"/>
      <c r="Z111" s="269"/>
      <c r="AA111" s="269"/>
      <c r="AB111" s="269"/>
      <c r="AC111" s="269"/>
      <c r="AD111" s="269"/>
      <c r="AE111" s="269"/>
      <c r="AF111" s="269"/>
      <c r="AG111" s="269"/>
      <c r="AH111" s="269"/>
      <c r="AI111" s="269"/>
      <c r="AJ111" s="269"/>
      <c r="AK111" s="269"/>
      <c r="AL111" s="269"/>
      <c r="AM111" s="269"/>
      <c r="AN111" s="269"/>
      <c r="AO111" s="269"/>
      <c r="AP111" s="269"/>
      <c r="AQ111" s="269"/>
      <c r="AR111" s="269"/>
    </row>
    <row r="112">
      <c r="A112" s="410" t="str">
        <f>IFERROR(__xludf.DUMMYFUNCTION("""COMPUTED_VALUE"""),"WO_QLCTKT_20260511_123247241")</f>
        <v>WO_QLCTKT_20260511_123247241</v>
      </c>
      <c r="B112" s="410" t="str">
        <f>IFERROR(__xludf.DUMMYFUNCTION("""COMPUTED_VALUE"""),"TNI0046 - Repair infrastructure - bla: Cleaning the station, remove grass, vines, tree, rubbish, recall unused equipment, material: Ensure: Cleaning tool, slipper")</f>
        <v>TNI0046 - Repair infrastructure - bla: Cleaning the station, remove grass, vines, tree, rubbish, recall unused equipment, material: Ensure: Cleaning tool, slipper</v>
      </c>
      <c r="C112" s="410">
        <f>IFERROR(__xludf.DUMMYFUNCTION("""COMPUTED_VALUE"""),-531.73)</f>
        <v>-531.73</v>
      </c>
      <c r="D112" s="410" t="str">
        <f>IFERROR(__xludf.DUMMYFUNCTION("""COMPUTED_VALUE"""),"T1")</f>
        <v>T1</v>
      </c>
      <c r="E112" s="410" t="str">
        <f>IFERROR(__xludf.DUMMYFUNCTION("""COMPUTED_VALUE"""),"TNI0046")</f>
        <v>TNI0046</v>
      </c>
      <c r="F112" s="410" t="str">
        <f>IFERROR(__xludf.DUMMYFUNCTION("""COMPUTED_VALUE"""),"myt_aunglwin.phyo")</f>
        <v>myt_aunglwin.phyo</v>
      </c>
      <c r="H112" s="269"/>
      <c r="I112" s="269"/>
      <c r="J112" s="269"/>
      <c r="K112" s="269"/>
      <c r="L112" s="269"/>
      <c r="M112" s="269"/>
      <c r="N112" s="269"/>
      <c r="O112" s="269"/>
      <c r="P112" s="269"/>
      <c r="Q112" s="269"/>
      <c r="R112" s="269"/>
      <c r="S112" s="269"/>
      <c r="T112" s="269"/>
      <c r="U112" s="269"/>
      <c r="V112" s="269"/>
      <c r="W112" s="269"/>
      <c r="X112" s="269"/>
      <c r="Y112" s="269"/>
      <c r="Z112" s="269"/>
      <c r="AA112" s="269"/>
      <c r="AB112" s="269"/>
      <c r="AC112" s="269"/>
      <c r="AD112" s="269"/>
      <c r="AE112" s="269"/>
      <c r="AF112" s="269"/>
      <c r="AG112" s="269"/>
      <c r="AH112" s="269"/>
      <c r="AI112" s="269"/>
      <c r="AJ112" s="269"/>
      <c r="AK112" s="269"/>
      <c r="AL112" s="269"/>
      <c r="AM112" s="269"/>
      <c r="AN112" s="269"/>
      <c r="AO112" s="269"/>
      <c r="AP112" s="269"/>
      <c r="AQ112" s="269"/>
      <c r="AR112" s="269"/>
    </row>
    <row r="113">
      <c r="A113" s="410" t="str">
        <f>IFERROR(__xludf.DUMMYFUNCTION("""COMPUTED_VALUE"""),"WO_QLCTKT_20260408_122933161")</f>
        <v>WO_QLCTKT_20260408_122933161</v>
      </c>
      <c r="B113" s="410" t="str">
        <f>IFERROR(__xludf.DUMMYFUNCTION("""COMPUTED_VALUE"""),"TNI0078 MYT_Routine_Maintenance_Towerco_Station_VCM")</f>
        <v>TNI0078 MYT_Routine_Maintenance_Towerco_Station_VCM</v>
      </c>
      <c r="C113" s="410">
        <f>IFERROR(__xludf.DUMMYFUNCTION("""COMPUTED_VALUE"""),-1000.95)</f>
        <v>-1000.95</v>
      </c>
      <c r="D113" s="410" t="str">
        <f>IFERROR(__xludf.DUMMYFUNCTION("""COMPUTED_VALUE"""),"T1")</f>
        <v>T1</v>
      </c>
      <c r="E113" s="410" t="str">
        <f>IFERROR(__xludf.DUMMYFUNCTION("""COMPUTED_VALUE"""),"TNI0078")</f>
        <v>TNI0078</v>
      </c>
      <c r="F113" s="410" t="str">
        <f>IFERROR(__xludf.DUMMYFUNCTION("""COMPUTED_VALUE"""),"myt_aunglwin.phyo")</f>
        <v>myt_aunglwin.phyo</v>
      </c>
      <c r="H113" s="269"/>
      <c r="I113" s="269"/>
      <c r="J113" s="269"/>
      <c r="K113" s="269"/>
      <c r="L113" s="269"/>
      <c r="M113" s="269"/>
      <c r="N113" s="269"/>
      <c r="O113" s="269"/>
      <c r="P113" s="269"/>
      <c r="Q113" s="269"/>
      <c r="R113" s="269"/>
      <c r="S113" s="269"/>
      <c r="T113" s="269"/>
      <c r="U113" s="269"/>
      <c r="V113" s="269"/>
      <c r="W113" s="269"/>
      <c r="X113" s="269"/>
      <c r="Y113" s="269"/>
      <c r="Z113" s="269"/>
      <c r="AA113" s="269"/>
      <c r="AB113" s="269"/>
      <c r="AC113" s="269"/>
      <c r="AD113" s="269"/>
      <c r="AE113" s="269"/>
      <c r="AF113" s="269"/>
      <c r="AG113" s="269"/>
      <c r="AH113" s="269"/>
      <c r="AI113" s="269"/>
      <c r="AJ113" s="269"/>
      <c r="AK113" s="269"/>
      <c r="AL113" s="269"/>
      <c r="AM113" s="269"/>
      <c r="AN113" s="269"/>
      <c r="AO113" s="269"/>
      <c r="AP113" s="269"/>
      <c r="AQ113" s="269"/>
      <c r="AR113" s="269"/>
    </row>
    <row r="114">
      <c r="A114" s="410" t="str">
        <f>IFERROR(__xludf.DUMMYFUNCTION("""COMPUTED_VALUE"""),"WO_QLCTKT_20260408_122933057")</f>
        <v>WO_QLCTKT_20260408_122933057</v>
      </c>
      <c r="B114" s="410" t="str">
        <f>IFERROR(__xludf.DUMMYFUNCTION("""COMPUTED_VALUE"""),"TNI0035 MYT_Routine_Maintenance_Towerco_Station_VCM")</f>
        <v>TNI0035 MYT_Routine_Maintenance_Towerco_Station_VCM</v>
      </c>
      <c r="C114" s="410">
        <f>IFERROR(__xludf.DUMMYFUNCTION("""COMPUTED_VALUE"""),-1000.95)</f>
        <v>-1000.95</v>
      </c>
      <c r="D114" s="410" t="str">
        <f>IFERROR(__xludf.DUMMYFUNCTION("""COMPUTED_VALUE"""),"T1")</f>
        <v>T1</v>
      </c>
      <c r="E114" s="410" t="str">
        <f>IFERROR(__xludf.DUMMYFUNCTION("""COMPUTED_VALUE"""),"TNI0035")</f>
        <v>TNI0035</v>
      </c>
      <c r="F114" s="410" t="str">
        <f>IFERROR(__xludf.DUMMYFUNCTION("""COMPUTED_VALUE"""),"myt_aunglwin.phyo")</f>
        <v>myt_aunglwin.phyo</v>
      </c>
      <c r="H114" s="269"/>
      <c r="I114" s="269"/>
      <c r="J114" s="269"/>
      <c r="K114" s="269"/>
      <c r="L114" s="269"/>
      <c r="M114" s="269"/>
      <c r="N114" s="269"/>
      <c r="O114" s="269"/>
      <c r="P114" s="269"/>
      <c r="Q114" s="269"/>
      <c r="R114" s="269"/>
      <c r="S114" s="269"/>
      <c r="T114" s="269"/>
      <c r="U114" s="269"/>
      <c r="V114" s="269"/>
      <c r="W114" s="269"/>
      <c r="X114" s="269"/>
      <c r="Y114" s="269"/>
      <c r="Z114" s="269"/>
      <c r="AA114" s="269"/>
      <c r="AB114" s="269"/>
      <c r="AC114" s="269"/>
      <c r="AD114" s="269"/>
      <c r="AE114" s="269"/>
      <c r="AF114" s="269"/>
      <c r="AG114" s="269"/>
      <c r="AH114" s="269"/>
      <c r="AI114" s="269"/>
      <c r="AJ114" s="269"/>
      <c r="AK114" s="269"/>
      <c r="AL114" s="269"/>
      <c r="AM114" s="269"/>
      <c r="AN114" s="269"/>
      <c r="AO114" s="269"/>
      <c r="AP114" s="269"/>
      <c r="AQ114" s="269"/>
      <c r="AR114" s="269"/>
    </row>
    <row r="115">
      <c r="A115" s="410" t="str">
        <f>IFERROR(__xludf.DUMMYFUNCTION("""COMPUTED_VALUE"""),"WO_ICMS_20260623_123615121")</f>
        <v>WO_ICMS_20260623_123615121</v>
      </c>
      <c r="B115" s="410" t="str">
        <f>IFERROR(__xludf.DUMMYFUNCTION("""COMPUTED_VALUE"""),"TNI0154 MYT_Routine_Maintenance_Mytel_Station MYT_RTE_MTE_SB_STN")</f>
        <v>TNI0154 MYT_Routine_Maintenance_Mytel_Station MYT_RTE_MTE_SB_STN</v>
      </c>
      <c r="C115" s="410">
        <f>IFERROR(__xludf.DUMMYFUNCTION("""COMPUTED_VALUE"""),886.64)</f>
        <v>886.64</v>
      </c>
      <c r="D115" s="410" t="str">
        <f>IFERROR(__xludf.DUMMYFUNCTION("""COMPUTED_VALUE"""),"T1")</f>
        <v>T1</v>
      </c>
      <c r="E115" s="410" t="str">
        <f>IFERROR(__xludf.DUMMYFUNCTION("""COMPUTED_VALUE"""),"TNI0154")</f>
        <v>TNI0154</v>
      </c>
      <c r="F115" s="410" t="str">
        <f>IFERROR(__xludf.DUMMYFUNCTION("""COMPUTED_VALUE"""),"myt_aungthin.mya")</f>
        <v>myt_aungthin.mya</v>
      </c>
      <c r="H115" s="269"/>
      <c r="I115" s="269"/>
      <c r="J115" s="269"/>
      <c r="K115" s="269"/>
      <c r="L115" s="269"/>
      <c r="M115" s="269"/>
      <c r="N115" s="269"/>
      <c r="O115" s="269"/>
      <c r="P115" s="269"/>
      <c r="Q115" s="269"/>
      <c r="R115" s="269"/>
      <c r="S115" s="269"/>
      <c r="T115" s="269"/>
      <c r="U115" s="269"/>
      <c r="V115" s="269"/>
      <c r="W115" s="269"/>
      <c r="X115" s="269"/>
      <c r="Y115" s="269"/>
      <c r="Z115" s="269"/>
      <c r="AA115" s="269"/>
      <c r="AB115" s="269"/>
      <c r="AC115" s="269"/>
      <c r="AD115" s="269"/>
      <c r="AE115" s="269"/>
      <c r="AF115" s="269"/>
      <c r="AG115" s="269"/>
      <c r="AH115" s="269"/>
      <c r="AI115" s="269"/>
      <c r="AJ115" s="269"/>
      <c r="AK115" s="269"/>
      <c r="AL115" s="269"/>
      <c r="AM115" s="269"/>
      <c r="AN115" s="269"/>
      <c r="AO115" s="269"/>
      <c r="AP115" s="269"/>
      <c r="AQ115" s="269"/>
      <c r="AR115" s="269"/>
    </row>
    <row r="116">
      <c r="A116" s="410" t="str">
        <f>IFERROR(__xludf.DUMMYFUNCTION("""COMPUTED_VALUE"""),"WO_ICMS_20260623_123613512")</f>
        <v>WO_ICMS_20260623_123613512</v>
      </c>
      <c r="B116" s="410" t="str">
        <f>IFERROR(__xludf.DUMMYFUNCTION("""COMPUTED_VALUE"""),"TNI0011 MYT_Routine_Maintenance_Main_Station MYT_RTE_MTE_MAIN_STN")</f>
        <v>TNI0011 MYT_Routine_Maintenance_Main_Station MYT_RTE_MTE_MAIN_STN</v>
      </c>
      <c r="C116" s="410">
        <f>IFERROR(__xludf.DUMMYFUNCTION("""COMPUTED_VALUE"""),502.17)</f>
        <v>502.17</v>
      </c>
      <c r="D116" s="410" t="str">
        <f>IFERROR(__xludf.DUMMYFUNCTION("""COMPUTED_VALUE"""),"T1")</f>
        <v>T1</v>
      </c>
      <c r="E116" s="410" t="str">
        <f>IFERROR(__xludf.DUMMYFUNCTION("""COMPUTED_VALUE"""),"TNI0011")</f>
        <v>TNI0011</v>
      </c>
      <c r="F116" s="410" t="str">
        <f>IFERROR(__xludf.DUMMYFUNCTION("""COMPUTED_VALUE"""),"myt_aungthin.mya")</f>
        <v>myt_aungthin.mya</v>
      </c>
      <c r="H116" s="269"/>
      <c r="I116" s="269"/>
      <c r="J116" s="269"/>
      <c r="K116" s="269"/>
      <c r="L116" s="269"/>
      <c r="M116" s="269"/>
      <c r="N116" s="269"/>
      <c r="O116" s="269"/>
      <c r="P116" s="269"/>
      <c r="Q116" s="269"/>
      <c r="R116" s="269"/>
      <c r="S116" s="269"/>
      <c r="T116" s="269"/>
      <c r="U116" s="269"/>
      <c r="V116" s="269"/>
      <c r="W116" s="269"/>
      <c r="X116" s="269"/>
      <c r="Y116" s="269"/>
      <c r="Z116" s="269"/>
      <c r="AA116" s="269"/>
      <c r="AB116" s="269"/>
      <c r="AC116" s="269"/>
      <c r="AD116" s="269"/>
      <c r="AE116" s="269"/>
      <c r="AF116" s="269"/>
      <c r="AG116" s="269"/>
      <c r="AH116" s="269"/>
      <c r="AI116" s="269"/>
      <c r="AJ116" s="269"/>
      <c r="AK116" s="269"/>
      <c r="AL116" s="269"/>
      <c r="AM116" s="269"/>
      <c r="AN116" s="269"/>
      <c r="AO116" s="269"/>
      <c r="AP116" s="269"/>
      <c r="AQ116" s="269"/>
      <c r="AR116" s="269"/>
    </row>
    <row r="117">
      <c r="A117" s="410" t="str">
        <f>IFERROR(__xludf.DUMMYFUNCTION("""COMPUTED_VALUE"""),"WO_ICMS_20260623_123613616")</f>
        <v>WO_ICMS_20260623_123613616</v>
      </c>
      <c r="B117" s="410" t="str">
        <f>IFERROR(__xludf.DUMMYFUNCTION("""COMPUTED_VALUE"""),"TNI0012 MYT_Routine_Maintenance_Main_Station MYT_RTE_MTE_MAIN_STN")</f>
        <v>TNI0012 MYT_Routine_Maintenance_Main_Station MYT_RTE_MTE_MAIN_STN</v>
      </c>
      <c r="C117" s="410">
        <f>IFERROR(__xludf.DUMMYFUNCTION("""COMPUTED_VALUE"""),502.17)</f>
        <v>502.17</v>
      </c>
      <c r="D117" s="410" t="str">
        <f>IFERROR(__xludf.DUMMYFUNCTION("""COMPUTED_VALUE"""),"T1")</f>
        <v>T1</v>
      </c>
      <c r="E117" s="410" t="str">
        <f>IFERROR(__xludf.DUMMYFUNCTION("""COMPUTED_VALUE"""),"TNI0012")</f>
        <v>TNI0012</v>
      </c>
      <c r="F117" s="410" t="str">
        <f>IFERROR(__xludf.DUMMYFUNCTION("""COMPUTED_VALUE"""),"myt_aungthin.mya")</f>
        <v>myt_aungthin.mya</v>
      </c>
      <c r="H117" s="269"/>
      <c r="I117" s="269"/>
      <c r="J117" s="269"/>
      <c r="K117" s="269"/>
      <c r="L117" s="269"/>
      <c r="M117" s="269"/>
      <c r="N117" s="269"/>
      <c r="O117" s="269"/>
      <c r="P117" s="269"/>
      <c r="Q117" s="269"/>
      <c r="R117" s="269"/>
      <c r="S117" s="269"/>
      <c r="T117" s="269"/>
      <c r="U117" s="269"/>
      <c r="V117" s="269"/>
      <c r="W117" s="269"/>
      <c r="X117" s="269"/>
      <c r="Y117" s="269"/>
      <c r="Z117" s="269"/>
      <c r="AA117" s="269"/>
      <c r="AB117" s="269"/>
      <c r="AC117" s="269"/>
      <c r="AD117" s="269"/>
      <c r="AE117" s="269"/>
      <c r="AF117" s="269"/>
      <c r="AG117" s="269"/>
      <c r="AH117" s="269"/>
      <c r="AI117" s="269"/>
      <c r="AJ117" s="269"/>
      <c r="AK117" s="269"/>
      <c r="AL117" s="269"/>
      <c r="AM117" s="269"/>
      <c r="AN117" s="269"/>
      <c r="AO117" s="269"/>
      <c r="AP117" s="269"/>
      <c r="AQ117" s="269"/>
      <c r="AR117" s="269"/>
    </row>
    <row r="118">
      <c r="A118" s="410" t="str">
        <f>IFERROR(__xludf.DUMMYFUNCTION("""COMPUTED_VALUE"""),"WO_ICMS_20260623_123611228")</f>
        <v>WO_ICMS_20260623_123611228</v>
      </c>
      <c r="B118" s="410" t="str">
        <f>IFERROR(__xludf.DUMMYFUNCTION("""COMPUTED_VALUE"""),"TNI0392 MYT_Routine_Maintenance_Towerco_Station MYT_RTE_MTE_TCO_STN")</f>
        <v>TNI0392 MYT_Routine_Maintenance_Towerco_Station MYT_RTE_MTE_TCO_STN</v>
      </c>
      <c r="C118" s="410">
        <f>IFERROR(__xludf.DUMMYFUNCTION("""COMPUTED_VALUE"""),882.54)</f>
        <v>882.54</v>
      </c>
      <c r="D118" s="410" t="str">
        <f>IFERROR(__xludf.DUMMYFUNCTION("""COMPUTED_VALUE"""),"T1")</f>
        <v>T1</v>
      </c>
      <c r="E118" s="410" t="str">
        <f>IFERROR(__xludf.DUMMYFUNCTION("""COMPUTED_VALUE"""),"TNI0392")</f>
        <v>TNI0392</v>
      </c>
      <c r="F118" s="410" t="str">
        <f>IFERROR(__xludf.DUMMYFUNCTION("""COMPUTED_VALUE"""),"myt_aungthin.mya")</f>
        <v>myt_aungthin.mya</v>
      </c>
      <c r="H118" s="269"/>
      <c r="I118" s="269"/>
      <c r="J118" s="269"/>
      <c r="K118" s="269"/>
      <c r="L118" s="269"/>
      <c r="M118" s="269"/>
      <c r="N118" s="269"/>
      <c r="O118" s="269"/>
      <c r="P118" s="269"/>
      <c r="Q118" s="269"/>
      <c r="R118" s="269"/>
      <c r="S118" s="269"/>
      <c r="T118" s="269"/>
      <c r="U118" s="269"/>
      <c r="V118" s="269"/>
      <c r="W118" s="269"/>
      <c r="X118" s="269"/>
      <c r="Y118" s="269"/>
      <c r="Z118" s="269"/>
      <c r="AA118" s="269"/>
      <c r="AB118" s="269"/>
      <c r="AC118" s="269"/>
      <c r="AD118" s="269"/>
      <c r="AE118" s="269"/>
      <c r="AF118" s="269"/>
      <c r="AG118" s="269"/>
      <c r="AH118" s="269"/>
      <c r="AI118" s="269"/>
      <c r="AJ118" s="269"/>
      <c r="AK118" s="269"/>
      <c r="AL118" s="269"/>
      <c r="AM118" s="269"/>
      <c r="AN118" s="269"/>
      <c r="AO118" s="269"/>
      <c r="AP118" s="269"/>
      <c r="AQ118" s="269"/>
      <c r="AR118" s="269"/>
    </row>
    <row r="119">
      <c r="A119" s="410" t="str">
        <f>IFERROR(__xludf.DUMMYFUNCTION("""COMPUTED_VALUE"""),"WO_QLCTKT_20260620_123577208")</f>
        <v>WO_QLCTKT_20260620_123577208</v>
      </c>
      <c r="B119" s="410" t="str">
        <f>IFERROR(__xludf.DUMMYFUNCTION("""COMPUTED_VALUE"""),"TNI0006 MYT_Routine_Maintenance_Main_Station_VCM")</f>
        <v>TNI0006 MYT_Routine_Maintenance_Main_Station_VCM</v>
      </c>
      <c r="C119" s="410">
        <f>IFERROR(__xludf.DUMMYFUNCTION("""COMPUTED_VALUE"""),271.05)</f>
        <v>271.05</v>
      </c>
      <c r="D119" s="410" t="str">
        <f>IFERROR(__xludf.DUMMYFUNCTION("""COMPUTED_VALUE"""),"T1")</f>
        <v>T1</v>
      </c>
      <c r="E119" s="410" t="str">
        <f>IFERROR(__xludf.DUMMYFUNCTION("""COMPUTED_VALUE"""),"TNI0006")</f>
        <v>TNI0006</v>
      </c>
      <c r="F119" s="410" t="str">
        <f>IFERROR(__xludf.DUMMYFUNCTION("""COMPUTED_VALUE"""),"myt_aungthin.mya")</f>
        <v>myt_aungthin.mya</v>
      </c>
      <c r="H119" s="269"/>
      <c r="I119" s="269"/>
      <c r="J119" s="269"/>
      <c r="K119" s="269"/>
      <c r="L119" s="269"/>
      <c r="M119" s="269"/>
      <c r="N119" s="269"/>
      <c r="O119" s="269"/>
      <c r="P119" s="269"/>
      <c r="Q119" s="269"/>
      <c r="R119" s="269"/>
      <c r="S119" s="269"/>
      <c r="T119" s="269"/>
      <c r="U119" s="269"/>
      <c r="V119" s="269"/>
      <c r="W119" s="269"/>
      <c r="X119" s="269"/>
      <c r="Y119" s="269"/>
      <c r="Z119" s="269"/>
      <c r="AA119" s="269"/>
      <c r="AB119" s="269"/>
      <c r="AC119" s="269"/>
      <c r="AD119" s="269"/>
      <c r="AE119" s="269"/>
      <c r="AF119" s="269"/>
      <c r="AG119" s="269"/>
      <c r="AH119" s="269"/>
      <c r="AI119" s="269"/>
      <c r="AJ119" s="269"/>
      <c r="AK119" s="269"/>
      <c r="AL119" s="269"/>
      <c r="AM119" s="269"/>
      <c r="AN119" s="269"/>
      <c r="AO119" s="269"/>
      <c r="AP119" s="269"/>
      <c r="AQ119" s="269"/>
      <c r="AR119" s="269"/>
    </row>
    <row r="120">
      <c r="A120" s="410" t="str">
        <f>IFERROR(__xludf.DUMMYFUNCTION("""COMPUTED_VALUE"""),"WO_WFM-FT_20260513_123263386")</f>
        <v>WO_WFM-FT_20260513_123263386</v>
      </c>
      <c r="B120" s="410" t="str">
        <f>IFERROR(__xludf.DUMMYFUNCTION("""COMPUTED_VALUE"""),"5s and WH inventory for TNI_team 01")</f>
        <v>5s and WH inventory for TNI_team 01</v>
      </c>
      <c r="C120" s="410">
        <f>IFERROR(__xludf.DUMMYFUNCTION("""COMPUTED_VALUE"""),-1001.45)</f>
        <v>-1001.45</v>
      </c>
      <c r="D120" s="410" t="str">
        <f>IFERROR(__xludf.DUMMYFUNCTION("""COMPUTED_VALUE"""),"T1")</f>
        <v>T1</v>
      </c>
      <c r="E120" s="410" t="str">
        <f>IFERROR(__xludf.DUMMYFUNCTION("""COMPUTED_VALUE"""),"TNI_tea")</f>
        <v>TNI_tea</v>
      </c>
      <c r="F120" s="410" t="str">
        <f>IFERROR(__xludf.DUMMYFUNCTION("""COMPUTED_VALUE"""),"myt_aungthin.mya")</f>
        <v>myt_aungthin.mya</v>
      </c>
      <c r="H120" s="269"/>
      <c r="I120" s="269"/>
      <c r="J120" s="269"/>
      <c r="K120" s="269"/>
      <c r="L120" s="269"/>
      <c r="M120" s="269"/>
      <c r="N120" s="269"/>
      <c r="O120" s="269"/>
      <c r="P120" s="269"/>
      <c r="Q120" s="269"/>
      <c r="R120" s="269"/>
      <c r="S120" s="269"/>
      <c r="T120" s="269"/>
      <c r="U120" s="269"/>
      <c r="V120" s="269"/>
      <c r="W120" s="269"/>
      <c r="X120" s="269"/>
      <c r="Y120" s="269"/>
      <c r="Z120" s="269"/>
      <c r="AA120" s="269"/>
      <c r="AB120" s="269"/>
      <c r="AC120" s="269"/>
      <c r="AD120" s="269"/>
      <c r="AE120" s="269"/>
      <c r="AF120" s="269"/>
      <c r="AG120" s="269"/>
      <c r="AH120" s="269"/>
      <c r="AI120" s="269"/>
      <c r="AJ120" s="269"/>
      <c r="AK120" s="269"/>
      <c r="AL120" s="269"/>
      <c r="AM120" s="269"/>
      <c r="AN120" s="269"/>
      <c r="AO120" s="269"/>
      <c r="AP120" s="269"/>
      <c r="AQ120" s="269"/>
      <c r="AR120" s="269"/>
    </row>
    <row r="121">
      <c r="A121" s="410" t="str">
        <f>IFERROR(__xludf.DUMMYFUNCTION("""COMPUTED_VALUE"""),"WO_QLCTKT_20260503_123170456")</f>
        <v>WO_QLCTKT_20260503_123170456</v>
      </c>
      <c r="B121" s="410" t="str">
        <f>IFERROR(__xludf.DUMMYFUNCTION("""COMPUTED_VALUE"""),"TNI0006 MYT_Maintenance_Generator_Change_Oil - MYT_Maintenance_Generator_Change_Oil_Filter - MYT_Maintenance_Generator_Change_Fuel_Filter - MYT_Maintenance_Generator_Change_Air_Filter and Clean_Radiator - MYT_Checking quality for DG Fuel")</f>
        <v>TNI0006 MYT_Maintenance_Generator_Change_Oil - MYT_Maintenance_Generator_Change_Oil_Filter - MYT_Maintenance_Generator_Change_Fuel_Filter - MYT_Maintenance_Generator_Change_Air_Filter and Clean_Radiator - MYT_Checking quality for DG Fuel</v>
      </c>
      <c r="C121" s="410">
        <f>IFERROR(__xludf.DUMMYFUNCTION("""COMPUTED_VALUE"""),-1312.95)</f>
        <v>-1312.95</v>
      </c>
      <c r="D121" s="410" t="str">
        <f>IFERROR(__xludf.DUMMYFUNCTION("""COMPUTED_VALUE"""),"T1")</f>
        <v>T1</v>
      </c>
      <c r="E121" s="410" t="str">
        <f>IFERROR(__xludf.DUMMYFUNCTION("""COMPUTED_VALUE"""),"TNI0006: 30KVA")</f>
        <v>TNI0006: 30KVA</v>
      </c>
      <c r="F121" s="410" t="str">
        <f>IFERROR(__xludf.DUMMYFUNCTION("""COMPUTED_VALUE"""),"myt_aungthin.mya")</f>
        <v>myt_aungthin.mya</v>
      </c>
      <c r="H121" s="269"/>
      <c r="I121" s="269"/>
      <c r="J121" s="269"/>
      <c r="K121" s="269"/>
      <c r="L121" s="269"/>
      <c r="M121" s="269"/>
      <c r="N121" s="269"/>
      <c r="O121" s="269"/>
      <c r="P121" s="269"/>
      <c r="Q121" s="269"/>
      <c r="R121" s="269"/>
      <c r="S121" s="269"/>
      <c r="T121" s="269"/>
      <c r="U121" s="269"/>
      <c r="V121" s="269"/>
      <c r="W121" s="269"/>
      <c r="X121" s="269"/>
      <c r="Y121" s="269"/>
      <c r="Z121" s="269"/>
      <c r="AA121" s="269"/>
      <c r="AB121" s="269"/>
      <c r="AC121" s="269"/>
      <c r="AD121" s="269"/>
      <c r="AE121" s="269"/>
      <c r="AF121" s="269"/>
      <c r="AG121" s="269"/>
      <c r="AH121" s="269"/>
      <c r="AI121" s="269"/>
      <c r="AJ121" s="269"/>
      <c r="AK121" s="269"/>
      <c r="AL121" s="269"/>
      <c r="AM121" s="269"/>
      <c r="AN121" s="269"/>
      <c r="AO121" s="269"/>
      <c r="AP121" s="269"/>
      <c r="AQ121" s="269"/>
      <c r="AR121" s="269"/>
    </row>
    <row r="122">
      <c r="A122" s="410" t="str">
        <f>IFERROR(__xludf.DUMMYFUNCTION("""COMPUTED_VALUE"""),"WO_QLCTKT_20260421_123051401")</f>
        <v>WO_QLCTKT_20260421_123051401</v>
      </c>
      <c r="B122" s="410" t="str">
        <f>IFERROR(__xludf.DUMMYFUNCTION("""COMPUTED_VALUE"""),"TNI0153_01 MYT_Maintenacne_Solar")</f>
        <v>TNI0153_01 MYT_Maintenacne_Solar</v>
      </c>
      <c r="C122" s="410">
        <f>IFERROR(__xludf.DUMMYFUNCTION("""COMPUTED_VALUE"""),-1048.95)</f>
        <v>-1048.95</v>
      </c>
      <c r="D122" s="410" t="str">
        <f>IFERROR(__xludf.DUMMYFUNCTION("""COMPUTED_VALUE"""),"T1")</f>
        <v>T1</v>
      </c>
      <c r="E122" s="410" t="str">
        <f>IFERROR(__xludf.DUMMYFUNCTION("""COMPUTED_VALUE"""),"TNI0153")</f>
        <v>TNI0153</v>
      </c>
      <c r="F122" s="410" t="str">
        <f>IFERROR(__xludf.DUMMYFUNCTION("""COMPUTED_VALUE"""),"myt_aungthin.mya")</f>
        <v>myt_aungthin.mya</v>
      </c>
      <c r="H122" s="269"/>
      <c r="I122" s="269"/>
      <c r="J122" s="269"/>
      <c r="K122" s="269"/>
      <c r="L122" s="269"/>
      <c r="M122" s="269"/>
      <c r="N122" s="269"/>
      <c r="O122" s="269"/>
      <c r="P122" s="269"/>
      <c r="Q122" s="269"/>
      <c r="R122" s="269"/>
      <c r="S122" s="269"/>
      <c r="T122" s="269"/>
      <c r="U122" s="269"/>
      <c r="V122" s="269"/>
      <c r="W122" s="269"/>
      <c r="X122" s="269"/>
      <c r="Y122" s="269"/>
      <c r="Z122" s="269"/>
      <c r="AA122" s="269"/>
      <c r="AB122" s="269"/>
      <c r="AC122" s="269"/>
      <c r="AD122" s="269"/>
      <c r="AE122" s="269"/>
      <c r="AF122" s="269"/>
      <c r="AG122" s="269"/>
      <c r="AH122" s="269"/>
      <c r="AI122" s="269"/>
      <c r="AJ122" s="269"/>
      <c r="AK122" s="269"/>
      <c r="AL122" s="269"/>
      <c r="AM122" s="269"/>
      <c r="AN122" s="269"/>
      <c r="AO122" s="269"/>
      <c r="AP122" s="269"/>
      <c r="AQ122" s="269"/>
      <c r="AR122" s="269"/>
    </row>
    <row r="123">
      <c r="A123" s="410" t="str">
        <f>IFERROR(__xludf.DUMMYFUNCTION("""COMPUTED_VALUE"""),"WO_WFM-FT_20260420_123042391")</f>
        <v>WO_WFM-FT_20260420_123042391</v>
      </c>
      <c r="B123" s="410" t="str">
        <f>IFERROR(__xludf.DUMMYFUNCTION("""COMPUTED_VALUE"""),"5s &amp; WH inventory file for TNI_team 01")</f>
        <v>5s &amp; WH inventory file for TNI_team 01</v>
      </c>
      <c r="C123" s="410">
        <f>IFERROR(__xludf.DUMMYFUNCTION("""COMPUTED_VALUE"""),-1577.45)</f>
        <v>-1577.45</v>
      </c>
      <c r="D123" s="410" t="str">
        <f>IFERROR(__xludf.DUMMYFUNCTION("""COMPUTED_VALUE"""),"T1")</f>
        <v>T1</v>
      </c>
      <c r="E123" s="410" t="str">
        <f>IFERROR(__xludf.DUMMYFUNCTION("""COMPUTED_VALUE"""),"TNI_tea")</f>
        <v>TNI_tea</v>
      </c>
      <c r="F123" s="410" t="str">
        <f>IFERROR(__xludf.DUMMYFUNCTION("""COMPUTED_VALUE"""),"myt_aungthin.mya")</f>
        <v>myt_aungthin.mya</v>
      </c>
      <c r="H123" s="269"/>
      <c r="I123" s="269"/>
      <c r="J123" s="269"/>
      <c r="K123" s="269"/>
      <c r="L123" s="269"/>
      <c r="M123" s="269"/>
      <c r="N123" s="269"/>
      <c r="O123" s="269"/>
      <c r="P123" s="269"/>
      <c r="Q123" s="269"/>
      <c r="R123" s="269"/>
      <c r="S123" s="269"/>
      <c r="T123" s="269"/>
      <c r="U123" s="269"/>
      <c r="V123" s="269"/>
      <c r="W123" s="269"/>
      <c r="X123" s="269"/>
      <c r="Y123" s="269"/>
      <c r="Z123" s="269"/>
      <c r="AA123" s="269"/>
      <c r="AB123" s="269"/>
      <c r="AC123" s="269"/>
      <c r="AD123" s="269"/>
      <c r="AE123" s="269"/>
      <c r="AF123" s="269"/>
      <c r="AG123" s="269"/>
      <c r="AH123" s="269"/>
      <c r="AI123" s="269"/>
      <c r="AJ123" s="269"/>
      <c r="AK123" s="269"/>
      <c r="AL123" s="269"/>
      <c r="AM123" s="269"/>
      <c r="AN123" s="269"/>
      <c r="AO123" s="269"/>
      <c r="AP123" s="269"/>
      <c r="AQ123" s="269"/>
      <c r="AR123" s="269"/>
    </row>
    <row r="124">
      <c r="A124" s="410" t="str">
        <f>IFERROR(__xludf.DUMMYFUNCTION("""COMPUTED_VALUE"""),"WO_QLCTKT_20260411_122972558")</f>
        <v>WO_QLCTKT_20260411_122972558</v>
      </c>
      <c r="B124" s="410" t="str">
        <f>IFERROR(__xludf.DUMMYFUNCTION("""COMPUTED_VALUE"""),"TNI0319 MYT_Maintenance_Generator_Change_Oil - MYT_Maintenance_Generator_Change_Oil_Filter - MYT_Maintenance_Generator_Change_Fuel_Filter - MYT_Maintenance_Generator_Change_Air_Filter and Clean_Radiator - MYT_Checking quality for DG Fuel")</f>
        <v>TNI0319 MYT_Maintenance_Generator_Change_Oil - MYT_Maintenance_Generator_Change_Oil_Filter - MYT_Maintenance_Generator_Change_Fuel_Filter - MYT_Maintenance_Generator_Change_Air_Filter and Clean_Radiator - MYT_Checking quality for DG Fuel</v>
      </c>
      <c r="C124" s="410">
        <f>IFERROR(__xludf.DUMMYFUNCTION("""COMPUTED_VALUE"""),-1840.95)</f>
        <v>-1840.95</v>
      </c>
      <c r="D124" s="410" t="str">
        <f>IFERROR(__xludf.DUMMYFUNCTION("""COMPUTED_VALUE"""),"T1")</f>
        <v>T1</v>
      </c>
      <c r="E124" s="410" t="str">
        <f>IFERROR(__xludf.DUMMYFUNCTION("""COMPUTED_VALUE"""),"TNI0319: 12KVA")</f>
        <v>TNI0319: 12KVA</v>
      </c>
      <c r="F124" s="410" t="str">
        <f>IFERROR(__xludf.DUMMYFUNCTION("""COMPUTED_VALUE"""),"myt_aungthin.mya")</f>
        <v>myt_aungthin.mya</v>
      </c>
      <c r="H124" s="269"/>
      <c r="I124" s="269"/>
      <c r="J124" s="269"/>
      <c r="K124" s="269"/>
      <c r="L124" s="269"/>
      <c r="M124" s="269"/>
      <c r="N124" s="269"/>
      <c r="O124" s="269"/>
      <c r="P124" s="269"/>
      <c r="Q124" s="269"/>
      <c r="R124" s="269"/>
      <c r="S124" s="269"/>
      <c r="T124" s="269"/>
      <c r="U124" s="269"/>
      <c r="V124" s="269"/>
      <c r="W124" s="269"/>
      <c r="X124" s="269"/>
      <c r="Y124" s="269"/>
      <c r="Z124" s="269"/>
      <c r="AA124" s="269"/>
      <c r="AB124" s="269"/>
      <c r="AC124" s="269"/>
      <c r="AD124" s="269"/>
      <c r="AE124" s="269"/>
      <c r="AF124" s="269"/>
      <c r="AG124" s="269"/>
      <c r="AH124" s="269"/>
      <c r="AI124" s="269"/>
      <c r="AJ124" s="269"/>
      <c r="AK124" s="269"/>
      <c r="AL124" s="269"/>
      <c r="AM124" s="269"/>
      <c r="AN124" s="269"/>
      <c r="AO124" s="269"/>
      <c r="AP124" s="269"/>
      <c r="AQ124" s="269"/>
      <c r="AR124" s="269"/>
    </row>
    <row r="125">
      <c r="A125" s="410" t="str">
        <f>IFERROR(__xludf.DUMMYFUNCTION("""COMPUTED_VALUE"""),"WO_QLCTKT_20260411_122972238")</f>
        <v>WO_QLCTKT_20260411_122972238</v>
      </c>
      <c r="B125" s="410" t="str">
        <f>IFERROR(__xludf.DUMMYFUNCTION("""COMPUTED_VALUE"""),"TNI0306 MYT_Maintenance_Generator_Change_Oil - MYT_Maintenance_Generator_Change_Oil_Filter - MYT_Maintenance_Generator_Change_Fuel_Filter - MYT_Maintenance_Generator_Change_Air_Filter and Clean_Radiator - MYT_Checking quality for DG Fuel")</f>
        <v>TNI0306 MYT_Maintenance_Generator_Change_Oil - MYT_Maintenance_Generator_Change_Oil_Filter - MYT_Maintenance_Generator_Change_Fuel_Filter - MYT_Maintenance_Generator_Change_Air_Filter and Clean_Radiator - MYT_Checking quality for DG Fuel</v>
      </c>
      <c r="C125" s="410">
        <f>IFERROR(__xludf.DUMMYFUNCTION("""COMPUTED_VALUE"""),-1840.95)</f>
        <v>-1840.95</v>
      </c>
      <c r="D125" s="410" t="str">
        <f>IFERROR(__xludf.DUMMYFUNCTION("""COMPUTED_VALUE"""),"T1")</f>
        <v>T1</v>
      </c>
      <c r="E125" s="410" t="str">
        <f>IFERROR(__xludf.DUMMYFUNCTION("""COMPUTED_VALUE"""),"TNI0306: 12DKVA")</f>
        <v>TNI0306: 12DKVA</v>
      </c>
      <c r="F125" s="410" t="str">
        <f>IFERROR(__xludf.DUMMYFUNCTION("""COMPUTED_VALUE"""),"myt_aungthin.mya")</f>
        <v>myt_aungthin.mya</v>
      </c>
      <c r="H125" s="269"/>
      <c r="I125" s="269"/>
      <c r="J125" s="269"/>
      <c r="K125" s="269"/>
      <c r="L125" s="269"/>
      <c r="M125" s="269"/>
      <c r="N125" s="269"/>
      <c r="O125" s="269"/>
      <c r="P125" s="269"/>
      <c r="Q125" s="269"/>
      <c r="R125" s="269"/>
      <c r="S125" s="269"/>
      <c r="T125" s="269"/>
      <c r="U125" s="269"/>
      <c r="V125" s="269"/>
      <c r="W125" s="269"/>
      <c r="X125" s="269"/>
      <c r="Y125" s="269"/>
      <c r="Z125" s="269"/>
      <c r="AA125" s="269"/>
      <c r="AB125" s="269"/>
      <c r="AC125" s="269"/>
      <c r="AD125" s="269"/>
      <c r="AE125" s="269"/>
      <c r="AF125" s="269"/>
      <c r="AG125" s="269"/>
      <c r="AH125" s="269"/>
      <c r="AI125" s="269"/>
      <c r="AJ125" s="269"/>
      <c r="AK125" s="269"/>
      <c r="AL125" s="269"/>
      <c r="AM125" s="269"/>
      <c r="AN125" s="269"/>
      <c r="AO125" s="269"/>
      <c r="AP125" s="269"/>
      <c r="AQ125" s="269"/>
      <c r="AR125" s="269"/>
    </row>
    <row r="126">
      <c r="A126" s="410" t="str">
        <f>IFERROR(__xludf.DUMMYFUNCTION("""COMPUTED_VALUE"""),"WO_QLCTKT_20260408_122933154")</f>
        <v>WO_QLCTKT_20260408_122933154</v>
      </c>
      <c r="B126" s="410" t="str">
        <f>IFERROR(__xludf.DUMMYFUNCTION("""COMPUTED_VALUE"""),"TNI0213_01 MYT_Routine_Maintenance_Towerco_Station_VCM")</f>
        <v>TNI0213_01 MYT_Routine_Maintenance_Towerco_Station_VCM</v>
      </c>
      <c r="C126" s="410">
        <f>IFERROR(__xludf.DUMMYFUNCTION("""COMPUTED_VALUE"""),-1000.95)</f>
        <v>-1000.95</v>
      </c>
      <c r="D126" s="410" t="str">
        <f>IFERROR(__xludf.DUMMYFUNCTION("""COMPUTED_VALUE"""),"T1")</f>
        <v>T1</v>
      </c>
      <c r="E126" s="410" t="str">
        <f>IFERROR(__xludf.DUMMYFUNCTION("""COMPUTED_VALUE"""),"TNI0213")</f>
        <v>TNI0213</v>
      </c>
      <c r="F126" s="410" t="str">
        <f>IFERROR(__xludf.DUMMYFUNCTION("""COMPUTED_VALUE"""),"myt_aungthin.mya")</f>
        <v>myt_aungthin.mya</v>
      </c>
      <c r="H126" s="269"/>
      <c r="I126" s="269"/>
      <c r="J126" s="269"/>
      <c r="K126" s="269"/>
      <c r="L126" s="269"/>
      <c r="M126" s="269"/>
      <c r="N126" s="269"/>
      <c r="O126" s="269"/>
      <c r="P126" s="269"/>
      <c r="Q126" s="269"/>
      <c r="R126" s="269"/>
      <c r="S126" s="269"/>
      <c r="T126" s="269"/>
      <c r="U126" s="269"/>
      <c r="V126" s="269"/>
      <c r="W126" s="269"/>
      <c r="X126" s="269"/>
      <c r="Y126" s="269"/>
      <c r="Z126" s="269"/>
      <c r="AA126" s="269"/>
      <c r="AB126" s="269"/>
      <c r="AC126" s="269"/>
      <c r="AD126" s="269"/>
      <c r="AE126" s="269"/>
      <c r="AF126" s="269"/>
      <c r="AG126" s="269"/>
      <c r="AH126" s="269"/>
      <c r="AI126" s="269"/>
      <c r="AJ126" s="269"/>
      <c r="AK126" s="269"/>
      <c r="AL126" s="269"/>
      <c r="AM126" s="269"/>
      <c r="AN126" s="269"/>
      <c r="AO126" s="269"/>
      <c r="AP126" s="269"/>
      <c r="AQ126" s="269"/>
      <c r="AR126" s="269"/>
    </row>
    <row r="127">
      <c r="A127" s="410" t="str">
        <f>IFERROR(__xludf.DUMMYFUNCTION("""COMPUTED_VALUE"""),"WO_WFM-OTHERS_20260625_123634106")</f>
        <v>WO_WFM-OTHERS_20260625_123634106</v>
      </c>
      <c r="B127" s="410" t="str">
        <f>IFERROR(__xludf.DUMMYFUNCTION("""COMPUTED_VALUE"""),"Cable Patrol for (AC)-TNI0115-TNI0275")</f>
        <v>Cable Patrol for (AC)-TNI0115-TNI0275</v>
      </c>
      <c r="C127" s="410">
        <f>IFERROR(__xludf.DUMMYFUNCTION("""COMPUTED_VALUE"""),439.03)</f>
        <v>439.03</v>
      </c>
      <c r="D127" s="410" t="str">
        <f>IFERROR(__xludf.DUMMYFUNCTION("""COMPUTED_VALUE"""),"T1")</f>
        <v>T1</v>
      </c>
      <c r="E127" s="410" t="str">
        <f>IFERROR(__xludf.DUMMYFUNCTION("""COMPUTED_VALUE"""),"TNI0115")</f>
        <v>TNI0115</v>
      </c>
      <c r="F127" s="410" t="str">
        <f>IFERROR(__xludf.DUMMYFUNCTION("""COMPUTED_VALUE"""),"myt_bhonehtet.aung")</f>
        <v>myt_bhonehtet.aung</v>
      </c>
      <c r="H127" s="269"/>
      <c r="I127" s="269"/>
      <c r="J127" s="269"/>
      <c r="K127" s="269"/>
      <c r="L127" s="269"/>
      <c r="M127" s="269"/>
      <c r="N127" s="269"/>
      <c r="O127" s="269"/>
      <c r="P127" s="269"/>
      <c r="Q127" s="269"/>
      <c r="R127" s="269"/>
      <c r="S127" s="269"/>
      <c r="T127" s="269"/>
      <c r="U127" s="269"/>
      <c r="V127" s="269"/>
      <c r="W127" s="269"/>
      <c r="X127" s="269"/>
      <c r="Y127" s="269"/>
      <c r="Z127" s="269"/>
      <c r="AA127" s="269"/>
      <c r="AB127" s="269"/>
      <c r="AC127" s="269"/>
      <c r="AD127" s="269"/>
      <c r="AE127" s="269"/>
      <c r="AF127" s="269"/>
      <c r="AG127" s="269"/>
      <c r="AH127" s="269"/>
      <c r="AI127" s="269"/>
      <c r="AJ127" s="269"/>
      <c r="AK127" s="269"/>
      <c r="AL127" s="269"/>
      <c r="AM127" s="269"/>
      <c r="AN127" s="269"/>
      <c r="AO127" s="269"/>
      <c r="AP127" s="269"/>
      <c r="AQ127" s="269"/>
      <c r="AR127" s="269"/>
    </row>
    <row r="128">
      <c r="A128" s="410" t="str">
        <f>IFERROR(__xludf.DUMMYFUNCTION("""COMPUTED_VALUE"""),"WO_ICMS_20260625_123632739")</f>
        <v>WO_ICMS_20260625_123632739</v>
      </c>
      <c r="B128" s="410" t="str">
        <f>IFERROR(__xludf.DUMMYFUNCTION("""COMPUTED_VALUE"""),"Patrolling cable routes TNI0206-TNI0213_00, TNI0206 + null – TNI0213 + null")</f>
        <v>Patrolling cable routes TNI0206-TNI0213_00, TNI0206 + null – TNI0213 + null</v>
      </c>
      <c r="C128" s="410">
        <f>IFERROR(__xludf.DUMMYFUNCTION("""COMPUTED_VALUE"""),545.66)</f>
        <v>545.66</v>
      </c>
      <c r="D128" s="410" t="str">
        <f>IFERROR(__xludf.DUMMYFUNCTION("""COMPUTED_VALUE"""),"T1")</f>
        <v>T1</v>
      </c>
      <c r="E128" s="410" t="str">
        <f>IFERROR(__xludf.DUMMYFUNCTION("""COMPUTED_VALUE"""),"TNI0206")</f>
        <v>TNI0206</v>
      </c>
      <c r="F128" s="410" t="str">
        <f>IFERROR(__xludf.DUMMYFUNCTION("""COMPUTED_VALUE"""),"myt_bhonehtet.aung")</f>
        <v>myt_bhonehtet.aung</v>
      </c>
      <c r="H128" s="269"/>
      <c r="I128" s="269"/>
      <c r="J128" s="269"/>
      <c r="K128" s="269"/>
      <c r="L128" s="269"/>
      <c r="M128" s="269"/>
      <c r="N128" s="269"/>
      <c r="O128" s="269"/>
      <c r="P128" s="269"/>
      <c r="Q128" s="269"/>
      <c r="R128" s="269"/>
      <c r="S128" s="269"/>
      <c r="T128" s="269"/>
      <c r="U128" s="269"/>
      <c r="V128" s="269"/>
      <c r="W128" s="269"/>
      <c r="X128" s="269"/>
      <c r="Y128" s="269"/>
      <c r="Z128" s="269"/>
      <c r="AA128" s="269"/>
      <c r="AB128" s="269"/>
      <c r="AC128" s="269"/>
      <c r="AD128" s="269"/>
      <c r="AE128" s="269"/>
      <c r="AF128" s="269"/>
      <c r="AG128" s="269"/>
      <c r="AH128" s="269"/>
      <c r="AI128" s="269"/>
      <c r="AJ128" s="269"/>
      <c r="AK128" s="269"/>
      <c r="AL128" s="269"/>
      <c r="AM128" s="269"/>
      <c r="AN128" s="269"/>
      <c r="AO128" s="269"/>
      <c r="AP128" s="269"/>
      <c r="AQ128" s="269"/>
      <c r="AR128" s="269"/>
    </row>
    <row r="129">
      <c r="A129" s="410" t="str">
        <f>IFERROR(__xludf.DUMMYFUNCTION("""COMPUTED_VALUE"""),"WO_ICMS_20260625_123632817")</f>
        <v>WO_ICMS_20260625_123632817</v>
      </c>
      <c r="B129" s="410" t="str">
        <f>IFERROR(__xludf.DUMMYFUNCTION("""COMPUTED_VALUE"""),"Patrolling cable routes TNI0147-TNI0148_00, TNI0147 + null – TNI0148 + null")</f>
        <v>Patrolling cable routes TNI0147-TNI0148_00, TNI0147 + null – TNI0148 + null</v>
      </c>
      <c r="C129" s="410">
        <f>IFERROR(__xludf.DUMMYFUNCTION("""COMPUTED_VALUE"""),545.66)</f>
        <v>545.66</v>
      </c>
      <c r="D129" s="410" t="str">
        <f>IFERROR(__xludf.DUMMYFUNCTION("""COMPUTED_VALUE"""),"T1")</f>
        <v>T1</v>
      </c>
      <c r="E129" s="410" t="str">
        <f>IFERROR(__xludf.DUMMYFUNCTION("""COMPUTED_VALUE"""),"TNI0147")</f>
        <v>TNI0147</v>
      </c>
      <c r="F129" s="410" t="str">
        <f>IFERROR(__xludf.DUMMYFUNCTION("""COMPUTED_VALUE"""),"myt_bhonehtet.aung")</f>
        <v>myt_bhonehtet.aung</v>
      </c>
      <c r="H129" s="269"/>
      <c r="I129" s="269"/>
      <c r="J129" s="269"/>
      <c r="K129" s="269"/>
      <c r="L129" s="269"/>
      <c r="M129" s="269"/>
      <c r="N129" s="269"/>
      <c r="O129" s="269"/>
      <c r="P129" s="269"/>
      <c r="Q129" s="269"/>
      <c r="R129" s="269"/>
      <c r="S129" s="269"/>
      <c r="T129" s="269"/>
      <c r="U129" s="269"/>
      <c r="V129" s="269"/>
      <c r="W129" s="269"/>
      <c r="X129" s="269"/>
      <c r="Y129" s="269"/>
      <c r="Z129" s="269"/>
      <c r="AA129" s="269"/>
      <c r="AB129" s="269"/>
      <c r="AC129" s="269"/>
      <c r="AD129" s="269"/>
      <c r="AE129" s="269"/>
      <c r="AF129" s="269"/>
      <c r="AG129" s="269"/>
      <c r="AH129" s="269"/>
      <c r="AI129" s="269"/>
      <c r="AJ129" s="269"/>
      <c r="AK129" s="269"/>
      <c r="AL129" s="269"/>
      <c r="AM129" s="269"/>
      <c r="AN129" s="269"/>
      <c r="AO129" s="269"/>
      <c r="AP129" s="269"/>
      <c r="AQ129" s="269"/>
      <c r="AR129" s="269"/>
    </row>
    <row r="130">
      <c r="A130" s="410" t="str">
        <f>IFERROR(__xludf.DUMMYFUNCTION("""COMPUTED_VALUE"""),"WO_ICMS_20260625_123632740")</f>
        <v>WO_ICMS_20260625_123632740</v>
      </c>
      <c r="B130" s="410" t="str">
        <f>IFERROR(__xludf.DUMMYFUNCTION("""COMPUTED_VALUE"""),"Patrolling cable routes TNI0206-TNI0220_00, TNI0206 + null – TNI0220 + null")</f>
        <v>Patrolling cable routes TNI0206-TNI0220_00, TNI0206 + null – TNI0220 + null</v>
      </c>
      <c r="C130" s="410">
        <f>IFERROR(__xludf.DUMMYFUNCTION("""COMPUTED_VALUE"""),545.66)</f>
        <v>545.66</v>
      </c>
      <c r="D130" s="410" t="str">
        <f>IFERROR(__xludf.DUMMYFUNCTION("""COMPUTED_VALUE"""),"T1")</f>
        <v>T1</v>
      </c>
      <c r="E130" s="410" t="str">
        <f>IFERROR(__xludf.DUMMYFUNCTION("""COMPUTED_VALUE"""),"TNI0206")</f>
        <v>TNI0206</v>
      </c>
      <c r="F130" s="410" t="str">
        <f>IFERROR(__xludf.DUMMYFUNCTION("""COMPUTED_VALUE"""),"myt_bhonehtet.aung")</f>
        <v>myt_bhonehtet.aung</v>
      </c>
      <c r="H130" s="269"/>
      <c r="I130" s="269"/>
      <c r="J130" s="269"/>
      <c r="K130" s="269"/>
      <c r="L130" s="269"/>
      <c r="M130" s="269"/>
      <c r="N130" s="269"/>
      <c r="O130" s="269"/>
      <c r="P130" s="269"/>
      <c r="Q130" s="269"/>
      <c r="R130" s="269"/>
      <c r="S130" s="269"/>
      <c r="T130" s="269"/>
      <c r="U130" s="269"/>
      <c r="V130" s="269"/>
      <c r="W130" s="269"/>
      <c r="X130" s="269"/>
      <c r="Y130" s="269"/>
      <c r="Z130" s="269"/>
      <c r="AA130" s="269"/>
      <c r="AB130" s="269"/>
      <c r="AC130" s="269"/>
      <c r="AD130" s="269"/>
      <c r="AE130" s="269"/>
      <c r="AF130" s="269"/>
      <c r="AG130" s="269"/>
      <c r="AH130" s="269"/>
      <c r="AI130" s="269"/>
      <c r="AJ130" s="269"/>
      <c r="AK130" s="269"/>
      <c r="AL130" s="269"/>
      <c r="AM130" s="269"/>
      <c r="AN130" s="269"/>
      <c r="AO130" s="269"/>
      <c r="AP130" s="269"/>
      <c r="AQ130" s="269"/>
      <c r="AR130" s="269"/>
    </row>
    <row r="131">
      <c r="A131" s="410" t="str">
        <f>IFERROR(__xludf.DUMMYFUNCTION("""COMPUTED_VALUE"""),"WO_ICMS_20260625_123632741")</f>
        <v>WO_ICMS_20260625_123632741</v>
      </c>
      <c r="B131" s="410" t="str">
        <f>IFERROR(__xludf.DUMMYFUNCTION("""COMPUTED_VALUE"""),"Patrolling cable routes TNI0148-TNI0150_00, TNI0148 + null – TNI0150 + null")</f>
        <v>Patrolling cable routes TNI0148-TNI0150_00, TNI0148 + null – TNI0150 + null</v>
      </c>
      <c r="C131" s="410">
        <f>IFERROR(__xludf.DUMMYFUNCTION("""COMPUTED_VALUE"""),545.66)</f>
        <v>545.66</v>
      </c>
      <c r="D131" s="410" t="str">
        <f>IFERROR(__xludf.DUMMYFUNCTION("""COMPUTED_VALUE"""),"T1")</f>
        <v>T1</v>
      </c>
      <c r="E131" s="410" t="str">
        <f>IFERROR(__xludf.DUMMYFUNCTION("""COMPUTED_VALUE"""),"TNI0148")</f>
        <v>TNI0148</v>
      </c>
      <c r="F131" s="410" t="str">
        <f>IFERROR(__xludf.DUMMYFUNCTION("""COMPUTED_VALUE"""),"myt_bhonehtet.aung")</f>
        <v>myt_bhonehtet.aung</v>
      </c>
      <c r="H131" s="269"/>
      <c r="I131" s="269"/>
      <c r="J131" s="269"/>
      <c r="K131" s="269"/>
      <c r="L131" s="269"/>
      <c r="M131" s="269"/>
      <c r="N131" s="269"/>
      <c r="O131" s="269"/>
      <c r="P131" s="269"/>
      <c r="Q131" s="269"/>
      <c r="R131" s="269"/>
      <c r="S131" s="269"/>
      <c r="T131" s="269"/>
      <c r="U131" s="269"/>
      <c r="V131" s="269"/>
      <c r="W131" s="269"/>
      <c r="X131" s="269"/>
      <c r="Y131" s="269"/>
      <c r="Z131" s="269"/>
      <c r="AA131" s="269"/>
      <c r="AB131" s="269"/>
      <c r="AC131" s="269"/>
      <c r="AD131" s="269"/>
      <c r="AE131" s="269"/>
      <c r="AF131" s="269"/>
      <c r="AG131" s="269"/>
      <c r="AH131" s="269"/>
      <c r="AI131" s="269"/>
      <c r="AJ131" s="269"/>
      <c r="AK131" s="269"/>
      <c r="AL131" s="269"/>
      <c r="AM131" s="269"/>
      <c r="AN131" s="269"/>
      <c r="AO131" s="269"/>
      <c r="AP131" s="269"/>
      <c r="AQ131" s="269"/>
      <c r="AR131" s="269"/>
    </row>
    <row r="132">
      <c r="A132" s="410" t="str">
        <f>IFERROR(__xludf.DUMMYFUNCTION("""COMPUTED_VALUE"""),"WO_WFM-OTHERS_20260623_123616207")</f>
        <v>WO_WFM-OTHERS_20260623_123616207</v>
      </c>
      <c r="B132" s="410" t="str">
        <f>IFERROR(__xludf.DUMMYFUNCTION("""COMPUTED_VALUE"""),"Cable Patrol for (AC)-TNI0146-TNI0357")</f>
        <v>Cable Patrol for (AC)-TNI0146-TNI0357</v>
      </c>
      <c r="C132" s="410">
        <f>IFERROR(__xludf.DUMMYFUNCTION("""COMPUTED_VALUE"""),439.03)</f>
        <v>439.03</v>
      </c>
      <c r="D132" s="410" t="str">
        <f>IFERROR(__xludf.DUMMYFUNCTION("""COMPUTED_VALUE"""),"T1")</f>
        <v>T1</v>
      </c>
      <c r="E132" s="410" t="str">
        <f>IFERROR(__xludf.DUMMYFUNCTION("""COMPUTED_VALUE"""),"TNI0146")</f>
        <v>TNI0146</v>
      </c>
      <c r="F132" s="410" t="str">
        <f>IFERROR(__xludf.DUMMYFUNCTION("""COMPUTED_VALUE"""),"myt_bhonehtet.aung")</f>
        <v>myt_bhonehtet.aung</v>
      </c>
      <c r="H132" s="269"/>
      <c r="I132" s="269"/>
      <c r="J132" s="269"/>
      <c r="K132" s="269"/>
      <c r="L132" s="269"/>
      <c r="M132" s="269"/>
      <c r="N132" s="269"/>
      <c r="O132" s="269"/>
      <c r="P132" s="269"/>
      <c r="Q132" s="269"/>
      <c r="R132" s="269"/>
      <c r="S132" s="269"/>
      <c r="T132" s="269"/>
      <c r="U132" s="269"/>
      <c r="V132" s="269"/>
      <c r="W132" s="269"/>
      <c r="X132" s="269"/>
      <c r="Y132" s="269"/>
      <c r="Z132" s="269"/>
      <c r="AA132" s="269"/>
      <c r="AB132" s="269"/>
      <c r="AC132" s="269"/>
      <c r="AD132" s="269"/>
      <c r="AE132" s="269"/>
      <c r="AF132" s="269"/>
      <c r="AG132" s="269"/>
      <c r="AH132" s="269"/>
      <c r="AI132" s="269"/>
      <c r="AJ132" s="269"/>
      <c r="AK132" s="269"/>
      <c r="AL132" s="269"/>
      <c r="AM132" s="269"/>
      <c r="AN132" s="269"/>
      <c r="AO132" s="269"/>
      <c r="AP132" s="269"/>
      <c r="AQ132" s="269"/>
      <c r="AR132" s="269"/>
    </row>
    <row r="133">
      <c r="A133" s="410" t="str">
        <f>IFERROR(__xludf.DUMMYFUNCTION("""COMPUTED_VALUE"""),"WO_WFM-OTHERS_20260623_123613113")</f>
        <v>WO_WFM-OTHERS_20260623_123613113</v>
      </c>
      <c r="B133" s="410" t="str">
        <f>IFERROR(__xludf.DUMMYFUNCTION("""COMPUTED_VALUE"""),"Cable routes measure-AC-TNI0319-JB(TNI0005-TNI0013)")</f>
        <v>Cable routes measure-AC-TNI0319-JB(TNI0005-TNI0013)</v>
      </c>
      <c r="C133" s="410">
        <f>IFERROR(__xludf.DUMMYFUNCTION("""COMPUTED_VALUE"""),439.03)</f>
        <v>439.03</v>
      </c>
      <c r="D133" s="410" t="str">
        <f>IFERROR(__xludf.DUMMYFUNCTION("""COMPUTED_VALUE"""),"T1")</f>
        <v>T1</v>
      </c>
      <c r="E133" s="410" t="str">
        <f>IFERROR(__xludf.DUMMYFUNCTION("""COMPUTED_VALUE"""),"TNI0319")</f>
        <v>TNI0319</v>
      </c>
      <c r="F133" s="410" t="str">
        <f>IFERROR(__xludf.DUMMYFUNCTION("""COMPUTED_VALUE"""),"myt_bhonehtet.aung")</f>
        <v>myt_bhonehtet.aung</v>
      </c>
      <c r="H133" s="269"/>
      <c r="I133" s="269"/>
      <c r="J133" s="269"/>
      <c r="K133" s="269"/>
      <c r="L133" s="269"/>
      <c r="M133" s="269"/>
      <c r="N133" s="269"/>
      <c r="O133" s="269"/>
      <c r="P133" s="269"/>
      <c r="Q133" s="269"/>
      <c r="R133" s="269"/>
      <c r="S133" s="269"/>
      <c r="T133" s="269"/>
      <c r="U133" s="269"/>
      <c r="V133" s="269"/>
      <c r="W133" s="269"/>
      <c r="X133" s="269"/>
      <c r="Y133" s="269"/>
      <c r="Z133" s="269"/>
      <c r="AA133" s="269"/>
      <c r="AB133" s="269"/>
      <c r="AC133" s="269"/>
      <c r="AD133" s="269"/>
      <c r="AE133" s="269"/>
      <c r="AF133" s="269"/>
      <c r="AG133" s="269"/>
      <c r="AH133" s="269"/>
      <c r="AI133" s="269"/>
      <c r="AJ133" s="269"/>
      <c r="AK133" s="269"/>
      <c r="AL133" s="269"/>
      <c r="AM133" s="269"/>
      <c r="AN133" s="269"/>
      <c r="AO133" s="269"/>
      <c r="AP133" s="269"/>
      <c r="AQ133" s="269"/>
      <c r="AR133" s="269"/>
    </row>
    <row r="134">
      <c r="A134" s="410" t="str">
        <f>IFERROR(__xludf.DUMMYFUNCTION("""COMPUTED_VALUE"""),"WO_WFM-OTHERS_20260623_123613108")</f>
        <v>WO_WFM-OTHERS_20260623_123613108</v>
      </c>
      <c r="B134" s="410" t="str">
        <f>IFERROR(__xludf.DUMMYFUNCTION("""COMPUTED_VALUE"""),"Cable routes measure-AC-TNI0147-TNI0357")</f>
        <v>Cable routes measure-AC-TNI0147-TNI0357</v>
      </c>
      <c r="C134" s="410">
        <f>IFERROR(__xludf.DUMMYFUNCTION("""COMPUTED_VALUE"""),439.03)</f>
        <v>439.03</v>
      </c>
      <c r="D134" s="410" t="str">
        <f>IFERROR(__xludf.DUMMYFUNCTION("""COMPUTED_VALUE"""),"T1")</f>
        <v>T1</v>
      </c>
      <c r="E134" s="410" t="str">
        <f>IFERROR(__xludf.DUMMYFUNCTION("""COMPUTED_VALUE"""),"TNI0147")</f>
        <v>TNI0147</v>
      </c>
      <c r="F134" s="410" t="str">
        <f>IFERROR(__xludf.DUMMYFUNCTION("""COMPUTED_VALUE"""),"myt_bhonehtet.aung")</f>
        <v>myt_bhonehtet.aung</v>
      </c>
      <c r="H134" s="269"/>
      <c r="I134" s="269"/>
      <c r="J134" s="269"/>
      <c r="K134" s="269"/>
      <c r="L134" s="269"/>
      <c r="M134" s="269"/>
      <c r="N134" s="269"/>
      <c r="O134" s="269"/>
      <c r="P134" s="269"/>
      <c r="Q134" s="269"/>
      <c r="R134" s="269"/>
      <c r="S134" s="269"/>
      <c r="T134" s="269"/>
      <c r="U134" s="269"/>
      <c r="V134" s="269"/>
      <c r="W134" s="269"/>
      <c r="X134" s="269"/>
      <c r="Y134" s="269"/>
      <c r="Z134" s="269"/>
      <c r="AA134" s="269"/>
      <c r="AB134" s="269"/>
      <c r="AC134" s="269"/>
      <c r="AD134" s="269"/>
      <c r="AE134" s="269"/>
      <c r="AF134" s="269"/>
      <c r="AG134" s="269"/>
      <c r="AH134" s="269"/>
      <c r="AI134" s="269"/>
      <c r="AJ134" s="269"/>
      <c r="AK134" s="269"/>
      <c r="AL134" s="269"/>
      <c r="AM134" s="269"/>
      <c r="AN134" s="269"/>
      <c r="AO134" s="269"/>
      <c r="AP134" s="269"/>
      <c r="AQ134" s="269"/>
      <c r="AR134" s="269"/>
    </row>
    <row r="135">
      <c r="A135" s="410" t="str">
        <f>IFERROR(__xludf.DUMMYFUNCTION("""COMPUTED_VALUE"""),"WO_ICMS_20260623_123611289")</f>
        <v>WO_ICMS_20260623_123611289</v>
      </c>
      <c r="B135" s="410" t="str">
        <f>IFERROR(__xludf.DUMMYFUNCTION("""COMPUTED_VALUE"""),"TNI0061 MYT_Routine_Maintenance_Towerco_Station MYT_RTE_MTE_TCO_STN")</f>
        <v>TNI0061 MYT_Routine_Maintenance_Towerco_Station MYT_RTE_MTE_TCO_STN</v>
      </c>
      <c r="C135" s="410">
        <f>IFERROR(__xludf.DUMMYFUNCTION("""COMPUTED_VALUE"""),882.55)</f>
        <v>882.55</v>
      </c>
      <c r="D135" s="410" t="str">
        <f>IFERROR(__xludf.DUMMYFUNCTION("""COMPUTED_VALUE"""),"T1")</f>
        <v>T1</v>
      </c>
      <c r="E135" s="410" t="str">
        <f>IFERROR(__xludf.DUMMYFUNCTION("""COMPUTED_VALUE"""),"TNI0061")</f>
        <v>TNI0061</v>
      </c>
      <c r="F135" s="410" t="str">
        <f>IFERROR(__xludf.DUMMYFUNCTION("""COMPUTED_VALUE"""),"myt_bhonehtet.aung")</f>
        <v>myt_bhonehtet.aung</v>
      </c>
      <c r="H135" s="269"/>
      <c r="I135" s="269"/>
      <c r="J135" s="269"/>
      <c r="K135" s="269"/>
      <c r="L135" s="269"/>
      <c r="M135" s="269"/>
      <c r="N135" s="269"/>
      <c r="O135" s="269"/>
      <c r="P135" s="269"/>
      <c r="Q135" s="269"/>
      <c r="R135" s="269"/>
      <c r="S135" s="269"/>
      <c r="T135" s="269"/>
      <c r="U135" s="269"/>
      <c r="V135" s="269"/>
      <c r="W135" s="269"/>
      <c r="X135" s="269"/>
      <c r="Y135" s="269"/>
      <c r="Z135" s="269"/>
      <c r="AA135" s="269"/>
      <c r="AB135" s="269"/>
      <c r="AC135" s="269"/>
      <c r="AD135" s="269"/>
      <c r="AE135" s="269"/>
      <c r="AF135" s="269"/>
      <c r="AG135" s="269"/>
      <c r="AH135" s="269"/>
      <c r="AI135" s="269"/>
      <c r="AJ135" s="269"/>
      <c r="AK135" s="269"/>
      <c r="AL135" s="269"/>
      <c r="AM135" s="269"/>
      <c r="AN135" s="269"/>
      <c r="AO135" s="269"/>
      <c r="AP135" s="269"/>
      <c r="AQ135" s="269"/>
      <c r="AR135" s="269"/>
    </row>
    <row r="136">
      <c r="A136" s="410" t="str">
        <f>IFERROR(__xludf.DUMMYFUNCTION("""COMPUTED_VALUE"""),"WO_ICMS_20260623_123611281")</f>
        <v>WO_ICMS_20260623_123611281</v>
      </c>
      <c r="B136" s="410" t="str">
        <f>IFERROR(__xludf.DUMMYFUNCTION("""COMPUTED_VALUE"""),"TNI0170 MYT_Routine_Maintenance_Towerco_Station MYT_RTE_MTE_TCO_STN")</f>
        <v>TNI0170 MYT_Routine_Maintenance_Towerco_Station MYT_RTE_MTE_TCO_STN</v>
      </c>
      <c r="C136" s="410">
        <f>IFERROR(__xludf.DUMMYFUNCTION("""COMPUTED_VALUE"""),882.55)</f>
        <v>882.55</v>
      </c>
      <c r="D136" s="410" t="str">
        <f>IFERROR(__xludf.DUMMYFUNCTION("""COMPUTED_VALUE"""),"T1")</f>
        <v>T1</v>
      </c>
      <c r="E136" s="410" t="str">
        <f>IFERROR(__xludf.DUMMYFUNCTION("""COMPUTED_VALUE"""),"TNI0170")</f>
        <v>TNI0170</v>
      </c>
      <c r="F136" s="410" t="str">
        <f>IFERROR(__xludf.DUMMYFUNCTION("""COMPUTED_VALUE"""),"myt_bhonehtet.aung")</f>
        <v>myt_bhonehtet.aung</v>
      </c>
      <c r="H136" s="269"/>
      <c r="I136" s="269"/>
      <c r="J136" s="269"/>
      <c r="K136" s="269"/>
      <c r="L136" s="269"/>
      <c r="M136" s="269"/>
      <c r="N136" s="269"/>
      <c r="O136" s="269"/>
      <c r="P136" s="269"/>
      <c r="Q136" s="269"/>
      <c r="R136" s="269"/>
      <c r="S136" s="269"/>
      <c r="T136" s="269"/>
      <c r="U136" s="269"/>
      <c r="V136" s="269"/>
      <c r="W136" s="269"/>
      <c r="X136" s="269"/>
      <c r="Y136" s="269"/>
      <c r="Z136" s="269"/>
      <c r="AA136" s="269"/>
      <c r="AB136" s="269"/>
      <c r="AC136" s="269"/>
      <c r="AD136" s="269"/>
      <c r="AE136" s="269"/>
      <c r="AF136" s="269"/>
      <c r="AG136" s="269"/>
      <c r="AH136" s="269"/>
      <c r="AI136" s="269"/>
      <c r="AJ136" s="269"/>
      <c r="AK136" s="269"/>
      <c r="AL136" s="269"/>
      <c r="AM136" s="269"/>
      <c r="AN136" s="269"/>
      <c r="AO136" s="269"/>
      <c r="AP136" s="269"/>
      <c r="AQ136" s="269"/>
      <c r="AR136" s="269"/>
    </row>
    <row r="137">
      <c r="A137" s="410" t="str">
        <f>IFERROR(__xludf.DUMMYFUNCTION("""COMPUTED_VALUE"""),"WO_ICMS_20260623_123611279")</f>
        <v>WO_ICMS_20260623_123611279</v>
      </c>
      <c r="B137" s="410" t="str">
        <f>IFERROR(__xludf.DUMMYFUNCTION("""COMPUTED_VALUE"""),"TNI0198 MYT_Routine_Maintenance_Towerco_Station MYT_RTE_MTE_TCO_STN")</f>
        <v>TNI0198 MYT_Routine_Maintenance_Towerco_Station MYT_RTE_MTE_TCO_STN</v>
      </c>
      <c r="C137" s="410">
        <f>IFERROR(__xludf.DUMMYFUNCTION("""COMPUTED_VALUE"""),882.55)</f>
        <v>882.55</v>
      </c>
      <c r="D137" s="410" t="str">
        <f>IFERROR(__xludf.DUMMYFUNCTION("""COMPUTED_VALUE"""),"T1")</f>
        <v>T1</v>
      </c>
      <c r="E137" s="410" t="str">
        <f>IFERROR(__xludf.DUMMYFUNCTION("""COMPUTED_VALUE"""),"TNI0198")</f>
        <v>TNI0198</v>
      </c>
      <c r="F137" s="410" t="str">
        <f>IFERROR(__xludf.DUMMYFUNCTION("""COMPUTED_VALUE"""),"myt_bhonehtet.aung")</f>
        <v>myt_bhonehtet.aung</v>
      </c>
      <c r="H137" s="269"/>
      <c r="I137" s="269"/>
      <c r="J137" s="269"/>
      <c r="K137" s="269"/>
      <c r="L137" s="269"/>
      <c r="M137" s="269"/>
      <c r="N137" s="269"/>
      <c r="O137" s="269"/>
      <c r="P137" s="269"/>
      <c r="Q137" s="269"/>
      <c r="R137" s="269"/>
      <c r="S137" s="269"/>
      <c r="T137" s="269"/>
      <c r="U137" s="269"/>
      <c r="V137" s="269"/>
      <c r="W137" s="269"/>
      <c r="X137" s="269"/>
      <c r="Y137" s="269"/>
      <c r="Z137" s="269"/>
      <c r="AA137" s="269"/>
      <c r="AB137" s="269"/>
      <c r="AC137" s="269"/>
      <c r="AD137" s="269"/>
      <c r="AE137" s="269"/>
      <c r="AF137" s="269"/>
      <c r="AG137" s="269"/>
      <c r="AH137" s="269"/>
      <c r="AI137" s="269"/>
      <c r="AJ137" s="269"/>
      <c r="AK137" s="269"/>
      <c r="AL137" s="269"/>
      <c r="AM137" s="269"/>
      <c r="AN137" s="269"/>
      <c r="AO137" s="269"/>
      <c r="AP137" s="269"/>
      <c r="AQ137" s="269"/>
      <c r="AR137" s="269"/>
    </row>
    <row r="138">
      <c r="A138" s="410" t="str">
        <f>IFERROR(__xludf.DUMMYFUNCTION("""COMPUTED_VALUE"""),"WO_WFM-OTHERS_20260622_123603211")</f>
        <v>WO_WFM-OTHERS_20260622_123603211</v>
      </c>
      <c r="B138" s="410" t="str">
        <f>IFERROR(__xludf.DUMMYFUNCTION("""COMPUTED_VALUE"""),"TNI0251_Cleaning Radiator and change engine oil")</f>
        <v>TNI0251_Cleaning Radiator and change engine oil</v>
      </c>
      <c r="C138" s="410">
        <f>IFERROR(__xludf.DUMMYFUNCTION("""COMPUTED_VALUE"""),-41.95)</f>
        <v>-41.95</v>
      </c>
      <c r="D138" s="410" t="str">
        <f>IFERROR(__xludf.DUMMYFUNCTION("""COMPUTED_VALUE"""),"T1")</f>
        <v>T1</v>
      </c>
      <c r="E138" s="410" t="str">
        <f>IFERROR(__xludf.DUMMYFUNCTION("""COMPUTED_VALUE"""),"TNI0251")</f>
        <v>TNI0251</v>
      </c>
      <c r="F138" s="410" t="str">
        <f>IFERROR(__xludf.DUMMYFUNCTION("""COMPUTED_VALUE"""),"myt_bhonehtet.aung")</f>
        <v>myt_bhonehtet.aung</v>
      </c>
      <c r="H138" s="269"/>
      <c r="I138" s="269"/>
      <c r="J138" s="269"/>
      <c r="K138" s="269"/>
      <c r="L138" s="269"/>
      <c r="M138" s="269"/>
      <c r="N138" s="269"/>
      <c r="O138" s="269"/>
      <c r="P138" s="269"/>
      <c r="Q138" s="269"/>
      <c r="R138" s="269"/>
      <c r="S138" s="269"/>
      <c r="T138" s="269"/>
      <c r="U138" s="269"/>
      <c r="V138" s="269"/>
      <c r="W138" s="269"/>
      <c r="X138" s="269"/>
      <c r="Y138" s="269"/>
      <c r="Z138" s="269"/>
      <c r="AA138" s="269"/>
      <c r="AB138" s="269"/>
      <c r="AC138" s="269"/>
      <c r="AD138" s="269"/>
      <c r="AE138" s="269"/>
      <c r="AF138" s="269"/>
      <c r="AG138" s="269"/>
      <c r="AH138" s="269"/>
      <c r="AI138" s="269"/>
      <c r="AJ138" s="269"/>
      <c r="AK138" s="269"/>
      <c r="AL138" s="269"/>
      <c r="AM138" s="269"/>
      <c r="AN138" s="269"/>
      <c r="AO138" s="269"/>
      <c r="AP138" s="269"/>
      <c r="AQ138" s="269"/>
      <c r="AR138" s="269"/>
    </row>
    <row r="139">
      <c r="A139" s="410" t="str">
        <f>IFERROR(__xludf.DUMMYFUNCTION("""COMPUTED_VALUE"""),"WO_WFM-OTHERS_20260622_123602981")</f>
        <v>WO_WFM-OTHERS_20260622_123602981</v>
      </c>
      <c r="B139" s="410" t="str">
        <f>IFERROR(__xludf.DUMMYFUNCTION("""COMPUTED_VALUE"""),"TNI0089_Cleaning Radiator and change engine oil")</f>
        <v>TNI0089_Cleaning Radiator and change engine oil</v>
      </c>
      <c r="C139" s="410">
        <f>IFERROR(__xludf.DUMMYFUNCTION("""COMPUTED_VALUE"""),-41.95)</f>
        <v>-41.95</v>
      </c>
      <c r="D139" s="410" t="str">
        <f>IFERROR(__xludf.DUMMYFUNCTION("""COMPUTED_VALUE"""),"T1")</f>
        <v>T1</v>
      </c>
      <c r="E139" s="410" t="str">
        <f>IFERROR(__xludf.DUMMYFUNCTION("""COMPUTED_VALUE"""),"TNI0089")</f>
        <v>TNI0089</v>
      </c>
      <c r="F139" s="410" t="str">
        <f>IFERROR(__xludf.DUMMYFUNCTION("""COMPUTED_VALUE"""),"myt_bhonehtet.aung")</f>
        <v>myt_bhonehtet.aung</v>
      </c>
      <c r="H139" s="269"/>
      <c r="I139" s="269"/>
      <c r="J139" s="269"/>
      <c r="K139" s="269"/>
      <c r="L139" s="269"/>
      <c r="M139" s="269"/>
      <c r="N139" s="269"/>
      <c r="O139" s="269"/>
      <c r="P139" s="269"/>
      <c r="Q139" s="269"/>
      <c r="R139" s="269"/>
      <c r="S139" s="269"/>
      <c r="T139" s="269"/>
      <c r="U139" s="269"/>
      <c r="V139" s="269"/>
      <c r="W139" s="269"/>
      <c r="X139" s="269"/>
      <c r="Y139" s="269"/>
      <c r="Z139" s="269"/>
      <c r="AA139" s="269"/>
      <c r="AB139" s="269"/>
      <c r="AC139" s="269"/>
      <c r="AD139" s="269"/>
      <c r="AE139" s="269"/>
      <c r="AF139" s="269"/>
      <c r="AG139" s="269"/>
      <c r="AH139" s="269"/>
      <c r="AI139" s="269"/>
      <c r="AJ139" s="269"/>
      <c r="AK139" s="269"/>
      <c r="AL139" s="269"/>
      <c r="AM139" s="269"/>
      <c r="AN139" s="269"/>
      <c r="AO139" s="269"/>
      <c r="AP139" s="269"/>
      <c r="AQ139" s="269"/>
      <c r="AR139" s="269"/>
    </row>
    <row r="140">
      <c r="A140" s="410" t="str">
        <f>IFERROR(__xludf.DUMMYFUNCTION("""COMPUTED_VALUE"""),"WO_WFM-OTHERS_20260622_123602893")</f>
        <v>WO_WFM-OTHERS_20260622_123602893</v>
      </c>
      <c r="B140" s="410" t="str">
        <f>IFERROR(__xludf.DUMMYFUNCTION("""COMPUTED_VALUE"""),"TNI0071_Cleaning Radiator and change engine oil")</f>
        <v>TNI0071_Cleaning Radiator and change engine oil</v>
      </c>
      <c r="C140" s="410">
        <f>IFERROR(__xludf.DUMMYFUNCTION("""COMPUTED_VALUE"""),-41.95)</f>
        <v>-41.95</v>
      </c>
      <c r="D140" s="410" t="str">
        <f>IFERROR(__xludf.DUMMYFUNCTION("""COMPUTED_VALUE"""),"T1")</f>
        <v>T1</v>
      </c>
      <c r="E140" s="410" t="str">
        <f>IFERROR(__xludf.DUMMYFUNCTION("""COMPUTED_VALUE"""),"TNI0071")</f>
        <v>TNI0071</v>
      </c>
      <c r="F140" s="410" t="str">
        <f>IFERROR(__xludf.DUMMYFUNCTION("""COMPUTED_VALUE"""),"myt_bhonehtet.aung")</f>
        <v>myt_bhonehtet.aung</v>
      </c>
      <c r="H140" s="269"/>
      <c r="I140" s="269"/>
      <c r="J140" s="269"/>
      <c r="K140" s="269"/>
      <c r="L140" s="269"/>
      <c r="M140" s="269"/>
      <c r="N140" s="269"/>
      <c r="O140" s="269"/>
      <c r="P140" s="269"/>
      <c r="Q140" s="269"/>
      <c r="R140" s="269"/>
      <c r="S140" s="269"/>
      <c r="T140" s="269"/>
      <c r="U140" s="269"/>
      <c r="V140" s="269"/>
      <c r="W140" s="269"/>
      <c r="X140" s="269"/>
      <c r="Y140" s="269"/>
      <c r="Z140" s="269"/>
      <c r="AA140" s="269"/>
      <c r="AB140" s="269"/>
      <c r="AC140" s="269"/>
      <c r="AD140" s="269"/>
      <c r="AE140" s="269"/>
      <c r="AF140" s="269"/>
      <c r="AG140" s="269"/>
      <c r="AH140" s="269"/>
      <c r="AI140" s="269"/>
      <c r="AJ140" s="269"/>
      <c r="AK140" s="269"/>
      <c r="AL140" s="269"/>
      <c r="AM140" s="269"/>
      <c r="AN140" s="269"/>
      <c r="AO140" s="269"/>
      <c r="AP140" s="269"/>
      <c r="AQ140" s="269"/>
      <c r="AR140" s="269"/>
    </row>
    <row r="141">
      <c r="A141" s="410" t="str">
        <f>IFERROR(__xludf.DUMMYFUNCTION("""COMPUTED_VALUE"""),"WO_WFM-OTHERS_20260622_123602876")</f>
        <v>WO_WFM-OTHERS_20260622_123602876</v>
      </c>
      <c r="B141" s="410" t="str">
        <f>IFERROR(__xludf.DUMMYFUNCTION("""COMPUTED_VALUE"""),"TNI0058_Cleaning Radiator and change engine oil")</f>
        <v>TNI0058_Cleaning Radiator and change engine oil</v>
      </c>
      <c r="C141" s="410">
        <f>IFERROR(__xludf.DUMMYFUNCTION("""COMPUTED_VALUE"""),-41.95)</f>
        <v>-41.95</v>
      </c>
      <c r="D141" s="410" t="str">
        <f>IFERROR(__xludf.DUMMYFUNCTION("""COMPUTED_VALUE"""),"T1")</f>
        <v>T1</v>
      </c>
      <c r="E141" s="410" t="str">
        <f>IFERROR(__xludf.DUMMYFUNCTION("""COMPUTED_VALUE"""),"TNI0058")</f>
        <v>TNI0058</v>
      </c>
      <c r="F141" s="410" t="str">
        <f>IFERROR(__xludf.DUMMYFUNCTION("""COMPUTED_VALUE"""),"myt_bhonehtet.aung")</f>
        <v>myt_bhonehtet.aung</v>
      </c>
      <c r="H141" s="269"/>
      <c r="I141" s="269"/>
      <c r="J141" s="269"/>
      <c r="K141" s="269"/>
      <c r="L141" s="269"/>
      <c r="M141" s="269"/>
      <c r="N141" s="269"/>
      <c r="O141" s="269"/>
      <c r="P141" s="269"/>
      <c r="Q141" s="269"/>
      <c r="R141" s="269"/>
      <c r="S141" s="269"/>
      <c r="T141" s="269"/>
      <c r="U141" s="269"/>
      <c r="V141" s="269"/>
      <c r="W141" s="269"/>
      <c r="X141" s="269"/>
      <c r="Y141" s="269"/>
      <c r="Z141" s="269"/>
      <c r="AA141" s="269"/>
      <c r="AB141" s="269"/>
      <c r="AC141" s="269"/>
      <c r="AD141" s="269"/>
      <c r="AE141" s="269"/>
      <c r="AF141" s="269"/>
      <c r="AG141" s="269"/>
      <c r="AH141" s="269"/>
      <c r="AI141" s="269"/>
      <c r="AJ141" s="269"/>
      <c r="AK141" s="269"/>
      <c r="AL141" s="269"/>
      <c r="AM141" s="269"/>
      <c r="AN141" s="269"/>
      <c r="AO141" s="269"/>
      <c r="AP141" s="269"/>
      <c r="AQ141" s="269"/>
      <c r="AR141" s="269"/>
    </row>
    <row r="142">
      <c r="A142" s="410" t="str">
        <f>IFERROR(__xludf.DUMMYFUNCTION("""COMPUTED_VALUE"""),"WO_WFM-OTHERS_20260622_123602859")</f>
        <v>WO_WFM-OTHERS_20260622_123602859</v>
      </c>
      <c r="B142" s="410" t="str">
        <f>IFERROR(__xludf.DUMMYFUNCTION("""COMPUTED_VALUE"""),"TNI0050_Cleaning Radiator and change engine oil")</f>
        <v>TNI0050_Cleaning Radiator and change engine oil</v>
      </c>
      <c r="C142" s="410">
        <f>IFERROR(__xludf.DUMMYFUNCTION("""COMPUTED_VALUE"""),-41.95)</f>
        <v>-41.95</v>
      </c>
      <c r="D142" s="410" t="str">
        <f>IFERROR(__xludf.DUMMYFUNCTION("""COMPUTED_VALUE"""),"T1")</f>
        <v>T1</v>
      </c>
      <c r="E142" s="410" t="str">
        <f>IFERROR(__xludf.DUMMYFUNCTION("""COMPUTED_VALUE"""),"TNI0050")</f>
        <v>TNI0050</v>
      </c>
      <c r="F142" s="410" t="str">
        <f>IFERROR(__xludf.DUMMYFUNCTION("""COMPUTED_VALUE"""),"myt_bhonehtet.aung")</f>
        <v>myt_bhonehtet.aung</v>
      </c>
      <c r="H142" s="269"/>
      <c r="I142" s="269"/>
      <c r="J142" s="269"/>
      <c r="K142" s="269"/>
      <c r="L142" s="269"/>
      <c r="M142" s="269"/>
      <c r="N142" s="269"/>
      <c r="O142" s="269"/>
      <c r="P142" s="269"/>
      <c r="Q142" s="269"/>
      <c r="R142" s="269"/>
      <c r="S142" s="269"/>
      <c r="T142" s="269"/>
      <c r="U142" s="269"/>
      <c r="V142" s="269"/>
      <c r="W142" s="269"/>
      <c r="X142" s="269"/>
      <c r="Y142" s="269"/>
      <c r="Z142" s="269"/>
      <c r="AA142" s="269"/>
      <c r="AB142" s="269"/>
      <c r="AC142" s="269"/>
      <c r="AD142" s="269"/>
      <c r="AE142" s="269"/>
      <c r="AF142" s="269"/>
      <c r="AG142" s="269"/>
      <c r="AH142" s="269"/>
      <c r="AI142" s="269"/>
      <c r="AJ142" s="269"/>
      <c r="AK142" s="269"/>
      <c r="AL142" s="269"/>
      <c r="AM142" s="269"/>
      <c r="AN142" s="269"/>
      <c r="AO142" s="269"/>
      <c r="AP142" s="269"/>
      <c r="AQ142" s="269"/>
      <c r="AR142" s="269"/>
    </row>
    <row r="143">
      <c r="A143" s="410" t="str">
        <f>IFERROR(__xludf.DUMMYFUNCTION("""COMPUTED_VALUE"""),"WO_WFM-OTHERS_20260622_123602753")</f>
        <v>WO_WFM-OTHERS_20260622_123602753</v>
      </c>
      <c r="B143" s="410" t="str">
        <f>IFERROR(__xludf.DUMMYFUNCTION("""COMPUTED_VALUE"""),"TNI0046_Cleaning Radiator and change engine oil")</f>
        <v>TNI0046_Cleaning Radiator and change engine oil</v>
      </c>
      <c r="C143" s="410">
        <f>IFERROR(__xludf.DUMMYFUNCTION("""COMPUTED_VALUE"""),-41.95)</f>
        <v>-41.95</v>
      </c>
      <c r="D143" s="410" t="str">
        <f>IFERROR(__xludf.DUMMYFUNCTION("""COMPUTED_VALUE"""),"T1")</f>
        <v>T1</v>
      </c>
      <c r="E143" s="410" t="str">
        <f>IFERROR(__xludf.DUMMYFUNCTION("""COMPUTED_VALUE"""),"TNI0046")</f>
        <v>TNI0046</v>
      </c>
      <c r="F143" s="410" t="str">
        <f>IFERROR(__xludf.DUMMYFUNCTION("""COMPUTED_VALUE"""),"myt_bhonehtet.aung")</f>
        <v>myt_bhonehtet.aung</v>
      </c>
      <c r="H143" s="269"/>
      <c r="I143" s="269"/>
      <c r="J143" s="269"/>
      <c r="K143" s="269"/>
      <c r="L143" s="269"/>
      <c r="M143" s="269"/>
      <c r="N143" s="269"/>
      <c r="O143" s="269"/>
      <c r="P143" s="269"/>
      <c r="Q143" s="269"/>
      <c r="R143" s="269"/>
      <c r="S143" s="269"/>
      <c r="T143" s="269"/>
      <c r="U143" s="269"/>
      <c r="V143" s="269"/>
      <c r="W143" s="269"/>
      <c r="X143" s="269"/>
      <c r="Y143" s="269"/>
      <c r="Z143" s="269"/>
      <c r="AA143" s="269"/>
      <c r="AB143" s="269"/>
      <c r="AC143" s="269"/>
      <c r="AD143" s="269"/>
      <c r="AE143" s="269"/>
      <c r="AF143" s="269"/>
      <c r="AG143" s="269"/>
      <c r="AH143" s="269"/>
      <c r="AI143" s="269"/>
      <c r="AJ143" s="269"/>
      <c r="AK143" s="269"/>
      <c r="AL143" s="269"/>
      <c r="AM143" s="269"/>
      <c r="AN143" s="269"/>
      <c r="AO143" s="269"/>
      <c r="AP143" s="269"/>
      <c r="AQ143" s="269"/>
      <c r="AR143" s="269"/>
    </row>
    <row r="144">
      <c r="A144" s="410" t="str">
        <f>IFERROR(__xludf.DUMMYFUNCTION("""COMPUTED_VALUE"""),"WO_WFM-OTHERS_20260622_123602715")</f>
        <v>WO_WFM-OTHERS_20260622_123602715</v>
      </c>
      <c r="B144" s="410" t="str">
        <f>IFERROR(__xludf.DUMMYFUNCTION("""COMPUTED_VALUE"""),"TNI0018_Cleaning Radiator and change engine oil")</f>
        <v>TNI0018_Cleaning Radiator and change engine oil</v>
      </c>
      <c r="C144" s="410">
        <f>IFERROR(__xludf.DUMMYFUNCTION("""COMPUTED_VALUE"""),-41.95)</f>
        <v>-41.95</v>
      </c>
      <c r="D144" s="410" t="str">
        <f>IFERROR(__xludf.DUMMYFUNCTION("""COMPUTED_VALUE"""),"T1")</f>
        <v>T1</v>
      </c>
      <c r="E144" s="410" t="str">
        <f>IFERROR(__xludf.DUMMYFUNCTION("""COMPUTED_VALUE"""),"TNI0018")</f>
        <v>TNI0018</v>
      </c>
      <c r="F144" s="410" t="str">
        <f>IFERROR(__xludf.DUMMYFUNCTION("""COMPUTED_VALUE"""),"myt_bhonehtet.aung")</f>
        <v>myt_bhonehtet.aung</v>
      </c>
      <c r="H144" s="269"/>
      <c r="I144" s="269"/>
      <c r="J144" s="269"/>
      <c r="K144" s="269"/>
      <c r="L144" s="269"/>
      <c r="M144" s="269"/>
      <c r="N144" s="269"/>
      <c r="O144" s="269"/>
      <c r="P144" s="269"/>
      <c r="Q144" s="269"/>
      <c r="R144" s="269"/>
      <c r="S144" s="269"/>
      <c r="T144" s="269"/>
      <c r="U144" s="269"/>
      <c r="V144" s="269"/>
      <c r="W144" s="269"/>
      <c r="X144" s="269"/>
      <c r="Y144" s="269"/>
      <c r="Z144" s="269"/>
      <c r="AA144" s="269"/>
      <c r="AB144" s="269"/>
      <c r="AC144" s="269"/>
      <c r="AD144" s="269"/>
      <c r="AE144" s="269"/>
      <c r="AF144" s="269"/>
      <c r="AG144" s="269"/>
      <c r="AH144" s="269"/>
      <c r="AI144" s="269"/>
      <c r="AJ144" s="269"/>
      <c r="AK144" s="269"/>
      <c r="AL144" s="269"/>
      <c r="AM144" s="269"/>
      <c r="AN144" s="269"/>
      <c r="AO144" s="269"/>
      <c r="AP144" s="269"/>
      <c r="AQ144" s="269"/>
      <c r="AR144" s="269"/>
    </row>
    <row r="145">
      <c r="A145" s="410" t="str">
        <f>IFERROR(__xludf.DUMMYFUNCTION("""COMPUTED_VALUE"""),"WO_WFM-OTHERS_20260605_123451826")</f>
        <v>WO_WFM-OTHERS_20260605_123451826</v>
      </c>
      <c r="B145" s="410" t="str">
        <f>IFERROR(__xludf.DUMMYFUNCTION("""COMPUTED_VALUE"""),"TNI0089 MYT_Maintenance_Generator_Cleaning Rediator - MYT_Maintenance_Generator_Checking Coolant Level - MYT_Maintenance_Generator_Change Engine Oil")</f>
        <v>TNI0089 MYT_Maintenance_Generator_Cleaning Rediator - MYT_Maintenance_Generator_Checking Coolant Level - MYT_Maintenance_Generator_Change Engine Oil</v>
      </c>
      <c r="C145" s="410">
        <f>IFERROR(__xludf.DUMMYFUNCTION("""COMPUTED_VALUE"""),-280.95)</f>
        <v>-280.95</v>
      </c>
      <c r="D145" s="410" t="str">
        <f>IFERROR(__xludf.DUMMYFUNCTION("""COMPUTED_VALUE"""),"T1")</f>
        <v>T1</v>
      </c>
      <c r="E145" s="410" t="str">
        <f>IFERROR(__xludf.DUMMYFUNCTION("""COMPUTED_VALUE"""),"TNI0381: 8KVA")</f>
        <v>TNI0381: 8KVA</v>
      </c>
      <c r="F145" s="410" t="str">
        <f>IFERROR(__xludf.DUMMYFUNCTION("""COMPUTED_VALUE"""),"myt_bhonehtet.aung")</f>
        <v>myt_bhonehtet.aung</v>
      </c>
      <c r="H145" s="269"/>
      <c r="I145" s="269"/>
      <c r="J145" s="269"/>
      <c r="K145" s="269"/>
      <c r="L145" s="269"/>
      <c r="M145" s="269"/>
      <c r="N145" s="269"/>
      <c r="O145" s="269"/>
      <c r="P145" s="269"/>
      <c r="Q145" s="269"/>
      <c r="R145" s="269"/>
      <c r="S145" s="269"/>
      <c r="T145" s="269"/>
      <c r="U145" s="269"/>
      <c r="V145" s="269"/>
      <c r="W145" s="269"/>
      <c r="X145" s="269"/>
      <c r="Y145" s="269"/>
      <c r="Z145" s="269"/>
      <c r="AA145" s="269"/>
      <c r="AB145" s="269"/>
      <c r="AC145" s="269"/>
      <c r="AD145" s="269"/>
      <c r="AE145" s="269"/>
      <c r="AF145" s="269"/>
      <c r="AG145" s="269"/>
      <c r="AH145" s="269"/>
      <c r="AI145" s="269"/>
      <c r="AJ145" s="269"/>
      <c r="AK145" s="269"/>
      <c r="AL145" s="269"/>
      <c r="AM145" s="269"/>
      <c r="AN145" s="269"/>
      <c r="AO145" s="269"/>
      <c r="AP145" s="269"/>
      <c r="AQ145" s="269"/>
      <c r="AR145" s="269"/>
    </row>
    <row r="146">
      <c r="A146" s="410" t="str">
        <f>IFERROR(__xludf.DUMMYFUNCTION("""COMPUTED_VALUE"""),"WO_WFM-OTHERS_20260605_123451346")</f>
        <v>WO_WFM-OTHERS_20260605_123451346</v>
      </c>
      <c r="B146" s="410" t="str">
        <f>IFERROR(__xludf.DUMMYFUNCTION("""COMPUTED_VALUE"""),"TNI0018 MYT_Maintenance_Generator_Cleaning Rediator - MYT_Maintenance_Generator_Checking Coolant Level")</f>
        <v>TNI0018 MYT_Maintenance_Generator_Cleaning Rediator - MYT_Maintenance_Generator_Checking Coolant Level</v>
      </c>
      <c r="C146" s="410">
        <f>IFERROR(__xludf.DUMMYFUNCTION("""COMPUTED_VALUE"""),-280.95)</f>
        <v>-280.95</v>
      </c>
      <c r="D146" s="410" t="str">
        <f>IFERROR(__xludf.DUMMYFUNCTION("""COMPUTED_VALUE"""),"T1")</f>
        <v>T1</v>
      </c>
      <c r="E146" s="410" t="str">
        <f>IFERROR(__xludf.DUMMYFUNCTION("""COMPUTED_VALUE"""),"TNI0381: 8KVA")</f>
        <v>TNI0381: 8KVA</v>
      </c>
      <c r="F146" s="410" t="str">
        <f>IFERROR(__xludf.DUMMYFUNCTION("""COMPUTED_VALUE"""),"myt_bhonehtet.aung")</f>
        <v>myt_bhonehtet.aung</v>
      </c>
      <c r="H146" s="269"/>
      <c r="I146" s="269"/>
      <c r="J146" s="269"/>
      <c r="K146" s="269"/>
      <c r="L146" s="269"/>
      <c r="M146" s="269"/>
      <c r="N146" s="269"/>
      <c r="O146" s="269"/>
      <c r="P146" s="269"/>
      <c r="Q146" s="269"/>
      <c r="R146" s="269"/>
      <c r="S146" s="269"/>
      <c r="T146" s="269"/>
      <c r="U146" s="269"/>
      <c r="V146" s="269"/>
      <c r="W146" s="269"/>
      <c r="X146" s="269"/>
      <c r="Y146" s="269"/>
      <c r="Z146" s="269"/>
      <c r="AA146" s="269"/>
      <c r="AB146" s="269"/>
      <c r="AC146" s="269"/>
      <c r="AD146" s="269"/>
      <c r="AE146" s="269"/>
      <c r="AF146" s="269"/>
      <c r="AG146" s="269"/>
      <c r="AH146" s="269"/>
      <c r="AI146" s="269"/>
      <c r="AJ146" s="269"/>
      <c r="AK146" s="269"/>
      <c r="AL146" s="269"/>
      <c r="AM146" s="269"/>
      <c r="AN146" s="269"/>
      <c r="AO146" s="269"/>
      <c r="AP146" s="269"/>
      <c r="AQ146" s="269"/>
      <c r="AR146" s="269"/>
    </row>
    <row r="147">
      <c r="A147" s="410" t="str">
        <f>IFERROR(__xludf.DUMMYFUNCTION("""COMPUTED_VALUE"""),"WO_QLCTKT_20260605_123449662")</f>
        <v>WO_QLCTKT_20260605_123449662</v>
      </c>
      <c r="B147" s="410" t="str">
        <f>IFERROR(__xludf.DUMMYFUNCTION("""COMPUTED_VALUE"""),"TNI0271 - Sửa chữa hạ tầng mạng lưới - bla: Prevent insect, mause, squirrel attack: Cover all cable hole , gaps of room, door, cabinet, ODF")</f>
        <v>TNI0271 - Sửa chữa hạ tầng mạng lưới - bla: Prevent insect, mause, squirrel attack: Cover all cable hole , gaps of room, door, cabinet, ODF</v>
      </c>
      <c r="C147" s="410">
        <f>IFERROR(__xludf.DUMMYFUNCTION("""COMPUTED_VALUE"""),-581.76)</f>
        <v>-581.76</v>
      </c>
      <c r="D147" s="410" t="str">
        <f>IFERROR(__xludf.DUMMYFUNCTION("""COMPUTED_VALUE"""),"T1")</f>
        <v>T1</v>
      </c>
      <c r="E147" s="410" t="str">
        <f>IFERROR(__xludf.DUMMYFUNCTION("""COMPUTED_VALUE"""),"TNI0271")</f>
        <v>TNI0271</v>
      </c>
      <c r="F147" s="410" t="str">
        <f>IFERROR(__xludf.DUMMYFUNCTION("""COMPUTED_VALUE"""),"myt_bhonehtet.aung")</f>
        <v>myt_bhonehtet.aung</v>
      </c>
      <c r="H147" s="269"/>
      <c r="I147" s="269"/>
      <c r="J147" s="269"/>
      <c r="K147" s="269"/>
      <c r="L147" s="269"/>
      <c r="M147" s="269"/>
      <c r="N147" s="269"/>
      <c r="O147" s="269"/>
      <c r="P147" s="269"/>
      <c r="Q147" s="269"/>
      <c r="R147" s="269"/>
      <c r="S147" s="269"/>
      <c r="T147" s="269"/>
      <c r="U147" s="269"/>
      <c r="V147" s="269"/>
      <c r="W147" s="269"/>
      <c r="X147" s="269"/>
      <c r="Y147" s="269"/>
      <c r="Z147" s="269"/>
      <c r="AA147" s="269"/>
      <c r="AB147" s="269"/>
      <c r="AC147" s="269"/>
      <c r="AD147" s="269"/>
      <c r="AE147" s="269"/>
      <c r="AF147" s="269"/>
      <c r="AG147" s="269"/>
      <c r="AH147" s="269"/>
      <c r="AI147" s="269"/>
      <c r="AJ147" s="269"/>
      <c r="AK147" s="269"/>
      <c r="AL147" s="269"/>
      <c r="AM147" s="269"/>
      <c r="AN147" s="269"/>
      <c r="AO147" s="269"/>
      <c r="AP147" s="269"/>
      <c r="AQ147" s="269"/>
      <c r="AR147" s="269"/>
    </row>
    <row r="148">
      <c r="A148" s="410" t="str">
        <f>IFERROR(__xludf.DUMMYFUNCTION("""COMPUTED_VALUE"""),"WO_QLCTKT_20260529_123389851")</f>
        <v>WO_QLCTKT_20260529_123389851</v>
      </c>
      <c r="B148" s="410" t="str">
        <f>IFERROR(__xludf.DUMMYFUNCTION("""COMPUTED_VALUE"""),"TNI0251 MYT_Routine_Maintenance_Mytel_Station_VCM")</f>
        <v>TNI0251 MYT_Routine_Maintenance_Mytel_Station_VCM</v>
      </c>
      <c r="C148" s="410">
        <f>IFERROR(__xludf.DUMMYFUNCTION("""COMPUTED_VALUE"""),223.05)</f>
        <v>223.05</v>
      </c>
      <c r="D148" s="410" t="str">
        <f>IFERROR(__xludf.DUMMYFUNCTION("""COMPUTED_VALUE"""),"T1")</f>
        <v>T1</v>
      </c>
      <c r="E148" s="410" t="str">
        <f>IFERROR(__xludf.DUMMYFUNCTION("""COMPUTED_VALUE"""),"TNI0251")</f>
        <v>TNI0251</v>
      </c>
      <c r="F148" s="410" t="str">
        <f>IFERROR(__xludf.DUMMYFUNCTION("""COMPUTED_VALUE"""),"myt_bhonehtet.aung")</f>
        <v>myt_bhonehtet.aung</v>
      </c>
      <c r="H148" s="269"/>
      <c r="I148" s="269"/>
      <c r="J148" s="269"/>
      <c r="K148" s="269"/>
      <c r="L148" s="269"/>
      <c r="M148" s="269"/>
      <c r="N148" s="269"/>
      <c r="O148" s="269"/>
      <c r="P148" s="269"/>
      <c r="Q148" s="269"/>
      <c r="R148" s="269"/>
      <c r="S148" s="269"/>
      <c r="T148" s="269"/>
      <c r="U148" s="269"/>
      <c r="V148" s="269"/>
      <c r="W148" s="269"/>
      <c r="X148" s="269"/>
      <c r="Y148" s="269"/>
      <c r="Z148" s="269"/>
      <c r="AA148" s="269"/>
      <c r="AB148" s="269"/>
      <c r="AC148" s="269"/>
      <c r="AD148" s="269"/>
      <c r="AE148" s="269"/>
      <c r="AF148" s="269"/>
      <c r="AG148" s="269"/>
      <c r="AH148" s="269"/>
      <c r="AI148" s="269"/>
      <c r="AJ148" s="269"/>
      <c r="AK148" s="269"/>
      <c r="AL148" s="269"/>
      <c r="AM148" s="269"/>
      <c r="AN148" s="269"/>
      <c r="AO148" s="269"/>
      <c r="AP148" s="269"/>
      <c r="AQ148" s="269"/>
      <c r="AR148" s="269"/>
    </row>
    <row r="149">
      <c r="A149" s="410" t="str">
        <f>IFERROR(__xludf.DUMMYFUNCTION("""COMPUTED_VALUE"""),"WO_QLCTKT_20260529_123389765")</f>
        <v>WO_QLCTKT_20260529_123389765</v>
      </c>
      <c r="B149" s="410" t="str">
        <f>IFERROR(__xludf.DUMMYFUNCTION("""COMPUTED_VALUE"""),"TNI0207 MYT_Routine_Maintenance_Mytel_Station_VCM")</f>
        <v>TNI0207 MYT_Routine_Maintenance_Mytel_Station_VCM</v>
      </c>
      <c r="C149" s="410">
        <f>IFERROR(__xludf.DUMMYFUNCTION("""COMPUTED_VALUE"""),223.05)</f>
        <v>223.05</v>
      </c>
      <c r="D149" s="410" t="str">
        <f>IFERROR(__xludf.DUMMYFUNCTION("""COMPUTED_VALUE"""),"T1")</f>
        <v>T1</v>
      </c>
      <c r="E149" s="410" t="str">
        <f>IFERROR(__xludf.DUMMYFUNCTION("""COMPUTED_VALUE"""),"TNI0207")</f>
        <v>TNI0207</v>
      </c>
      <c r="F149" s="410" t="str">
        <f>IFERROR(__xludf.DUMMYFUNCTION("""COMPUTED_VALUE"""),"myt_bhonehtet.aung")</f>
        <v>myt_bhonehtet.aung</v>
      </c>
      <c r="H149" s="269"/>
      <c r="I149" s="269"/>
      <c r="J149" s="269"/>
      <c r="K149" s="269"/>
      <c r="L149" s="269"/>
      <c r="M149" s="269"/>
      <c r="N149" s="269"/>
      <c r="O149" s="269"/>
      <c r="P149" s="269"/>
      <c r="Q149" s="269"/>
      <c r="R149" s="269"/>
      <c r="S149" s="269"/>
      <c r="T149" s="269"/>
      <c r="U149" s="269"/>
      <c r="V149" s="269"/>
      <c r="W149" s="269"/>
      <c r="X149" s="269"/>
      <c r="Y149" s="269"/>
      <c r="Z149" s="269"/>
      <c r="AA149" s="269"/>
      <c r="AB149" s="269"/>
      <c r="AC149" s="269"/>
      <c r="AD149" s="269"/>
      <c r="AE149" s="269"/>
      <c r="AF149" s="269"/>
      <c r="AG149" s="269"/>
      <c r="AH149" s="269"/>
      <c r="AI149" s="269"/>
      <c r="AJ149" s="269"/>
      <c r="AK149" s="269"/>
      <c r="AL149" s="269"/>
      <c r="AM149" s="269"/>
      <c r="AN149" s="269"/>
      <c r="AO149" s="269"/>
      <c r="AP149" s="269"/>
      <c r="AQ149" s="269"/>
      <c r="AR149" s="269"/>
    </row>
    <row r="150">
      <c r="A150" s="410" t="str">
        <f>IFERROR(__xludf.DUMMYFUNCTION("""COMPUTED_VALUE"""),"WO_QLCTKT_20260529_123389547")</f>
        <v>WO_QLCTKT_20260529_123389547</v>
      </c>
      <c r="B150" s="410" t="str">
        <f>IFERROR(__xludf.DUMMYFUNCTION("""COMPUTED_VALUE"""),"TNI0070 MYT_Routine_Maintenance_Mytel_Station_VCM")</f>
        <v>TNI0070 MYT_Routine_Maintenance_Mytel_Station_VCM</v>
      </c>
      <c r="C150" s="410">
        <f>IFERROR(__xludf.DUMMYFUNCTION("""COMPUTED_VALUE"""),223.05)</f>
        <v>223.05</v>
      </c>
      <c r="D150" s="410" t="str">
        <f>IFERROR(__xludf.DUMMYFUNCTION("""COMPUTED_VALUE"""),"T1")</f>
        <v>T1</v>
      </c>
      <c r="E150" s="410" t="str">
        <f>IFERROR(__xludf.DUMMYFUNCTION("""COMPUTED_VALUE"""),"TNI0070")</f>
        <v>TNI0070</v>
      </c>
      <c r="F150" s="410" t="str">
        <f>IFERROR(__xludf.DUMMYFUNCTION("""COMPUTED_VALUE"""),"myt_bhonehtet.aung")</f>
        <v>myt_bhonehtet.aung</v>
      </c>
      <c r="H150" s="269"/>
      <c r="I150" s="269"/>
      <c r="J150" s="269"/>
      <c r="K150" s="269"/>
      <c r="L150" s="269"/>
      <c r="M150" s="269"/>
      <c r="N150" s="269"/>
      <c r="O150" s="269"/>
      <c r="P150" s="269"/>
      <c r="Q150" s="269"/>
      <c r="R150" s="269"/>
      <c r="S150" s="269"/>
      <c r="T150" s="269"/>
      <c r="U150" s="269"/>
      <c r="V150" s="269"/>
      <c r="W150" s="269"/>
      <c r="X150" s="269"/>
      <c r="Y150" s="269"/>
      <c r="Z150" s="269"/>
      <c r="AA150" s="269"/>
      <c r="AB150" s="269"/>
      <c r="AC150" s="269"/>
      <c r="AD150" s="269"/>
      <c r="AE150" s="269"/>
      <c r="AF150" s="269"/>
      <c r="AG150" s="269"/>
      <c r="AH150" s="269"/>
      <c r="AI150" s="269"/>
      <c r="AJ150" s="269"/>
      <c r="AK150" s="269"/>
      <c r="AL150" s="269"/>
      <c r="AM150" s="269"/>
      <c r="AN150" s="269"/>
      <c r="AO150" s="269"/>
      <c r="AP150" s="269"/>
      <c r="AQ150" s="269"/>
      <c r="AR150" s="269"/>
    </row>
    <row r="151">
      <c r="A151" s="410" t="str">
        <f>IFERROR(__xludf.DUMMYFUNCTION("""COMPUTED_VALUE"""),"WO_QLCTKT_20260529_123389537")</f>
        <v>WO_QLCTKT_20260529_123389537</v>
      </c>
      <c r="B151" s="410" t="str">
        <f>IFERROR(__xludf.DUMMYFUNCTION("""COMPUTED_VALUE"""),"TNI0068 MYT_Routine_Maintenance_Mytel_Station_VCM")</f>
        <v>TNI0068 MYT_Routine_Maintenance_Mytel_Station_VCM</v>
      </c>
      <c r="C151" s="410">
        <f>IFERROR(__xludf.DUMMYFUNCTION("""COMPUTED_VALUE"""),223.05)</f>
        <v>223.05</v>
      </c>
      <c r="D151" s="410" t="str">
        <f>IFERROR(__xludf.DUMMYFUNCTION("""COMPUTED_VALUE"""),"T1")</f>
        <v>T1</v>
      </c>
      <c r="E151" s="410" t="str">
        <f>IFERROR(__xludf.DUMMYFUNCTION("""COMPUTED_VALUE"""),"TNI0068")</f>
        <v>TNI0068</v>
      </c>
      <c r="F151" s="410" t="str">
        <f>IFERROR(__xludf.DUMMYFUNCTION("""COMPUTED_VALUE"""),"myt_bhonehtet.aung")</f>
        <v>myt_bhonehtet.aung</v>
      </c>
      <c r="H151" s="269"/>
      <c r="I151" s="269"/>
      <c r="J151" s="269"/>
      <c r="K151" s="269"/>
      <c r="L151" s="269"/>
      <c r="M151" s="269"/>
      <c r="N151" s="269"/>
      <c r="O151" s="269"/>
      <c r="P151" s="269"/>
      <c r="Q151" s="269"/>
      <c r="R151" s="269"/>
      <c r="S151" s="269"/>
      <c r="T151" s="269"/>
      <c r="U151" s="269"/>
      <c r="V151" s="269"/>
      <c r="W151" s="269"/>
      <c r="X151" s="269"/>
      <c r="Y151" s="269"/>
      <c r="Z151" s="269"/>
      <c r="AA151" s="269"/>
      <c r="AB151" s="269"/>
      <c r="AC151" s="269"/>
      <c r="AD151" s="269"/>
      <c r="AE151" s="269"/>
      <c r="AF151" s="269"/>
      <c r="AG151" s="269"/>
      <c r="AH151" s="269"/>
      <c r="AI151" s="269"/>
      <c r="AJ151" s="269"/>
      <c r="AK151" s="269"/>
      <c r="AL151" s="269"/>
      <c r="AM151" s="269"/>
      <c r="AN151" s="269"/>
      <c r="AO151" s="269"/>
      <c r="AP151" s="269"/>
      <c r="AQ151" s="269"/>
      <c r="AR151" s="269"/>
    </row>
    <row r="152">
      <c r="A152" s="410" t="str">
        <f>IFERROR(__xludf.DUMMYFUNCTION("""COMPUTED_VALUE"""),"WO_QLCTKT_20260529_123389526")</f>
        <v>WO_QLCTKT_20260529_123389526</v>
      </c>
      <c r="B152" s="410" t="str">
        <f>IFERROR(__xludf.DUMMYFUNCTION("""COMPUTED_VALUE"""),"TNI0058 MYT_Routine_Maintenance_Mytel_Station_VCM")</f>
        <v>TNI0058 MYT_Routine_Maintenance_Mytel_Station_VCM</v>
      </c>
      <c r="C152" s="410">
        <f>IFERROR(__xludf.DUMMYFUNCTION("""COMPUTED_VALUE"""),223.05)</f>
        <v>223.05</v>
      </c>
      <c r="D152" s="410" t="str">
        <f>IFERROR(__xludf.DUMMYFUNCTION("""COMPUTED_VALUE"""),"T1")</f>
        <v>T1</v>
      </c>
      <c r="E152" s="410" t="str">
        <f>IFERROR(__xludf.DUMMYFUNCTION("""COMPUTED_VALUE"""),"TNI0058")</f>
        <v>TNI0058</v>
      </c>
      <c r="F152" s="410" t="str">
        <f>IFERROR(__xludf.DUMMYFUNCTION("""COMPUTED_VALUE"""),"myt_bhonehtet.aung")</f>
        <v>myt_bhonehtet.aung</v>
      </c>
      <c r="H152" s="269"/>
      <c r="I152" s="269"/>
      <c r="J152" s="269"/>
      <c r="K152" s="269"/>
      <c r="L152" s="269"/>
      <c r="M152" s="269"/>
      <c r="N152" s="269"/>
      <c r="O152" s="269"/>
      <c r="P152" s="269"/>
      <c r="Q152" s="269"/>
      <c r="R152" s="269"/>
      <c r="S152" s="269"/>
      <c r="T152" s="269"/>
      <c r="U152" s="269"/>
      <c r="V152" s="269"/>
      <c r="W152" s="269"/>
      <c r="X152" s="269"/>
      <c r="Y152" s="269"/>
      <c r="Z152" s="269"/>
      <c r="AA152" s="269"/>
      <c r="AB152" s="269"/>
      <c r="AC152" s="269"/>
      <c r="AD152" s="269"/>
      <c r="AE152" s="269"/>
      <c r="AF152" s="269"/>
      <c r="AG152" s="269"/>
      <c r="AH152" s="269"/>
      <c r="AI152" s="269"/>
      <c r="AJ152" s="269"/>
      <c r="AK152" s="269"/>
      <c r="AL152" s="269"/>
      <c r="AM152" s="269"/>
      <c r="AN152" s="269"/>
      <c r="AO152" s="269"/>
      <c r="AP152" s="269"/>
      <c r="AQ152" s="269"/>
      <c r="AR152" s="269"/>
    </row>
    <row r="153">
      <c r="A153" s="410" t="str">
        <f>IFERROR(__xludf.DUMMYFUNCTION("""COMPUTED_VALUE"""),"WO_QLCTKT_20260529_123389460")</f>
        <v>WO_QLCTKT_20260529_123389460</v>
      </c>
      <c r="B153" s="410" t="str">
        <f>IFERROR(__xludf.DUMMYFUNCTION("""COMPUTED_VALUE"""),"TNI0050 MYT_Routine_Maintenance_Mytel_Station_VCM")</f>
        <v>TNI0050 MYT_Routine_Maintenance_Mytel_Station_VCM</v>
      </c>
      <c r="C153" s="410">
        <f>IFERROR(__xludf.DUMMYFUNCTION("""COMPUTED_VALUE"""),223.05)</f>
        <v>223.05</v>
      </c>
      <c r="D153" s="410" t="str">
        <f>IFERROR(__xludf.DUMMYFUNCTION("""COMPUTED_VALUE"""),"T1")</f>
        <v>T1</v>
      </c>
      <c r="E153" s="410" t="str">
        <f>IFERROR(__xludf.DUMMYFUNCTION("""COMPUTED_VALUE"""),"TNI0050")</f>
        <v>TNI0050</v>
      </c>
      <c r="F153" s="410" t="str">
        <f>IFERROR(__xludf.DUMMYFUNCTION("""COMPUTED_VALUE"""),"myt_bhonehtet.aung")</f>
        <v>myt_bhonehtet.aung</v>
      </c>
      <c r="H153" s="269"/>
      <c r="I153" s="269"/>
      <c r="J153" s="269"/>
      <c r="K153" s="269"/>
      <c r="L153" s="269"/>
      <c r="M153" s="269"/>
      <c r="N153" s="269"/>
      <c r="O153" s="269"/>
      <c r="P153" s="269"/>
      <c r="Q153" s="269"/>
      <c r="R153" s="269"/>
      <c r="S153" s="269"/>
      <c r="T153" s="269"/>
      <c r="U153" s="269"/>
      <c r="V153" s="269"/>
      <c r="W153" s="269"/>
      <c r="X153" s="269"/>
      <c r="Y153" s="269"/>
      <c r="Z153" s="269"/>
      <c r="AA153" s="269"/>
      <c r="AB153" s="269"/>
      <c r="AC153" s="269"/>
      <c r="AD153" s="269"/>
      <c r="AE153" s="269"/>
      <c r="AF153" s="269"/>
      <c r="AG153" s="269"/>
      <c r="AH153" s="269"/>
      <c r="AI153" s="269"/>
      <c r="AJ153" s="269"/>
      <c r="AK153" s="269"/>
      <c r="AL153" s="269"/>
      <c r="AM153" s="269"/>
      <c r="AN153" s="269"/>
      <c r="AO153" s="269"/>
      <c r="AP153" s="269"/>
      <c r="AQ153" s="269"/>
      <c r="AR153" s="269"/>
    </row>
    <row r="154">
      <c r="A154" s="410" t="str">
        <f>IFERROR(__xludf.DUMMYFUNCTION("""COMPUTED_VALUE"""),"WO_QLCTKT_20260529_123389457")</f>
        <v>WO_QLCTKT_20260529_123389457</v>
      </c>
      <c r="B154" s="410" t="str">
        <f>IFERROR(__xludf.DUMMYFUNCTION("""COMPUTED_VALUE"""),"TNI0053 MYT_Routine_Maintenance_Mytel_Station_VCM")</f>
        <v>TNI0053 MYT_Routine_Maintenance_Mytel_Station_VCM</v>
      </c>
      <c r="C154" s="410">
        <f>IFERROR(__xludf.DUMMYFUNCTION("""COMPUTED_VALUE"""),223.05)</f>
        <v>223.05</v>
      </c>
      <c r="D154" s="410" t="str">
        <f>IFERROR(__xludf.DUMMYFUNCTION("""COMPUTED_VALUE"""),"T1")</f>
        <v>T1</v>
      </c>
      <c r="E154" s="410" t="str">
        <f>IFERROR(__xludf.DUMMYFUNCTION("""COMPUTED_VALUE"""),"TNI0053")</f>
        <v>TNI0053</v>
      </c>
      <c r="F154" s="410" t="str">
        <f>IFERROR(__xludf.DUMMYFUNCTION("""COMPUTED_VALUE"""),"myt_bhonehtet.aung")</f>
        <v>myt_bhonehtet.aung</v>
      </c>
      <c r="H154" s="269"/>
      <c r="I154" s="269"/>
      <c r="J154" s="269"/>
      <c r="K154" s="269"/>
      <c r="L154" s="269"/>
      <c r="M154" s="269"/>
      <c r="N154" s="269"/>
      <c r="O154" s="269"/>
      <c r="P154" s="269"/>
      <c r="Q154" s="269"/>
      <c r="R154" s="269"/>
      <c r="S154" s="269"/>
      <c r="T154" s="269"/>
      <c r="U154" s="269"/>
      <c r="V154" s="269"/>
      <c r="W154" s="269"/>
      <c r="X154" s="269"/>
      <c r="Y154" s="269"/>
      <c r="Z154" s="269"/>
      <c r="AA154" s="269"/>
      <c r="AB154" s="269"/>
      <c r="AC154" s="269"/>
      <c r="AD154" s="269"/>
      <c r="AE154" s="269"/>
      <c r="AF154" s="269"/>
      <c r="AG154" s="269"/>
      <c r="AH154" s="269"/>
      <c r="AI154" s="269"/>
      <c r="AJ154" s="269"/>
      <c r="AK154" s="269"/>
      <c r="AL154" s="269"/>
      <c r="AM154" s="269"/>
      <c r="AN154" s="269"/>
      <c r="AO154" s="269"/>
      <c r="AP154" s="269"/>
      <c r="AQ154" s="269"/>
      <c r="AR154" s="269"/>
    </row>
    <row r="155">
      <c r="A155" s="410" t="str">
        <f>IFERROR(__xludf.DUMMYFUNCTION("""COMPUTED_VALUE"""),"WO_QLCTKT_20260421_123051228")</f>
        <v>WO_QLCTKT_20260421_123051228</v>
      </c>
      <c r="B155" s="410" t="str">
        <f>IFERROR(__xludf.DUMMYFUNCTION("""COMPUTED_VALUE"""),"TNI0040 MYT_Maintenacne_Solar")</f>
        <v>TNI0040 MYT_Maintenacne_Solar</v>
      </c>
      <c r="C155" s="410">
        <f>IFERROR(__xludf.DUMMYFUNCTION("""COMPUTED_VALUE"""),-1048.95)</f>
        <v>-1048.95</v>
      </c>
      <c r="D155" s="410" t="str">
        <f>IFERROR(__xludf.DUMMYFUNCTION("""COMPUTED_VALUE"""),"T1")</f>
        <v>T1</v>
      </c>
      <c r="E155" s="410" t="str">
        <f>IFERROR(__xludf.DUMMYFUNCTION("""COMPUTED_VALUE"""),"TNI0040")</f>
        <v>TNI0040</v>
      </c>
      <c r="F155" s="410" t="str">
        <f>IFERROR(__xludf.DUMMYFUNCTION("""COMPUTED_VALUE"""),"myt_bhonehtet.aung")</f>
        <v>myt_bhonehtet.aung</v>
      </c>
      <c r="H155" s="269"/>
      <c r="I155" s="269"/>
      <c r="J155" s="269"/>
      <c r="K155" s="269"/>
      <c r="L155" s="269"/>
      <c r="M155" s="269"/>
      <c r="N155" s="269"/>
      <c r="O155" s="269"/>
      <c r="P155" s="269"/>
      <c r="Q155" s="269"/>
      <c r="R155" s="269"/>
      <c r="S155" s="269"/>
      <c r="T155" s="269"/>
      <c r="U155" s="269"/>
      <c r="V155" s="269"/>
      <c r="W155" s="269"/>
      <c r="X155" s="269"/>
      <c r="Y155" s="269"/>
      <c r="Z155" s="269"/>
      <c r="AA155" s="269"/>
      <c r="AB155" s="269"/>
      <c r="AC155" s="269"/>
      <c r="AD155" s="269"/>
      <c r="AE155" s="269"/>
      <c r="AF155" s="269"/>
      <c r="AG155" s="269"/>
      <c r="AH155" s="269"/>
      <c r="AI155" s="269"/>
      <c r="AJ155" s="269"/>
      <c r="AK155" s="269"/>
      <c r="AL155" s="269"/>
      <c r="AM155" s="269"/>
      <c r="AN155" s="269"/>
      <c r="AO155" s="269"/>
      <c r="AP155" s="269"/>
      <c r="AQ155" s="269"/>
      <c r="AR155" s="269"/>
    </row>
    <row r="156">
      <c r="A156" s="410" t="str">
        <f>IFERROR(__xludf.DUMMYFUNCTION("""COMPUTED_VALUE"""),"WO_ICMS_20260701_123690035")</f>
        <v>WO_ICMS_20260701_123690035</v>
      </c>
      <c r="B156" s="410" t="str">
        <f>IFERROR(__xludf.DUMMYFUNCTION("""COMPUTED_VALUE"""),"TNI0061 MYT_Checking quality for DG Fuel MYT_ME_DG_CHECK_FUEL; MYT_Maintenance_Generator_Change_Fuel_Filter MYT_ME_DG_CHG_FUEL_FIL; MYT_Maintenance_Generator_Change_Oil MYT_ME_DG_CHG_OIL; MYT_Maintenance_Generator_Change_Oil_Filter MYT_ME_DG_CHG_OIL_FIL")</f>
        <v>TNI0061 MYT_Checking quality for DG Fuel MYT_ME_DG_CHECK_FUEL; MYT_Maintenance_Generator_Change_Fuel_Filter MYT_ME_DG_CHG_FUEL_FIL; MYT_Maintenance_Generator_Change_Oil MYT_ME_DG_CHG_OIL; MYT_Maintenance_Generator_Change_Oil_Filter MYT_ME_DG_CHG_OIL_FIL</v>
      </c>
      <c r="C156" s="410">
        <f>IFERROR(__xludf.DUMMYFUNCTION("""COMPUTED_VALUE"""),234.08)</f>
        <v>234.08</v>
      </c>
      <c r="D156" s="410" t="str">
        <f>IFERROR(__xludf.DUMMYFUNCTION("""COMPUTED_VALUE"""),"T1")</f>
        <v>T1</v>
      </c>
      <c r="E156" s="410" t="str">
        <f>IFERROR(__xludf.DUMMYFUNCTION("""COMPUTED_VALUE"""),"TNI0061: 8KVA")</f>
        <v>TNI0061: 8KVA</v>
      </c>
      <c r="F156" s="410" t="str">
        <f>IFERROR(__xludf.DUMMYFUNCTION("""COMPUTED_VALUE"""),"myt_bonemyat.naing1")</f>
        <v>myt_bonemyat.naing1</v>
      </c>
      <c r="H156" s="269"/>
      <c r="I156" s="269"/>
      <c r="J156" s="269"/>
      <c r="K156" s="269"/>
      <c r="L156" s="269"/>
      <c r="M156" s="269"/>
      <c r="N156" s="269"/>
      <c r="O156" s="269"/>
      <c r="P156" s="269"/>
      <c r="Q156" s="269"/>
      <c r="R156" s="269"/>
      <c r="S156" s="269"/>
      <c r="T156" s="269"/>
      <c r="U156" s="269"/>
      <c r="V156" s="269"/>
      <c r="W156" s="269"/>
      <c r="X156" s="269"/>
      <c r="Y156" s="269"/>
      <c r="Z156" s="269"/>
      <c r="AA156" s="269"/>
      <c r="AB156" s="269"/>
      <c r="AC156" s="269"/>
      <c r="AD156" s="269"/>
      <c r="AE156" s="269"/>
      <c r="AF156" s="269"/>
      <c r="AG156" s="269"/>
      <c r="AH156" s="269"/>
      <c r="AI156" s="269"/>
      <c r="AJ156" s="269"/>
      <c r="AK156" s="269"/>
      <c r="AL156" s="269"/>
      <c r="AM156" s="269"/>
      <c r="AN156" s="269"/>
      <c r="AO156" s="269"/>
      <c r="AP156" s="269"/>
      <c r="AQ156" s="269"/>
      <c r="AR156" s="269"/>
    </row>
    <row r="157">
      <c r="A157" s="410" t="str">
        <f>IFERROR(__xludf.DUMMYFUNCTION("""COMPUTED_VALUE"""),"WO_ICMS_20260701_123690036")</f>
        <v>WO_ICMS_20260701_123690036</v>
      </c>
      <c r="B157" s="410" t="str">
        <f>IFERROR(__xludf.DUMMYFUNCTION("""COMPUTED_VALUE"""),"TNI0049 MYT_Checking quality for DG Fuel MYT_ME_DG_CHECK_FUEL; MYT_Maintenance_Generator_Change_Oil MYT_ME_DG_CHG_OIL")</f>
        <v>TNI0049 MYT_Checking quality for DG Fuel MYT_ME_DG_CHECK_FUEL; MYT_Maintenance_Generator_Change_Oil MYT_ME_DG_CHG_OIL</v>
      </c>
      <c r="C157" s="410">
        <f>IFERROR(__xludf.DUMMYFUNCTION("""COMPUTED_VALUE"""),234.08)</f>
        <v>234.08</v>
      </c>
      <c r="D157" s="410" t="str">
        <f>IFERROR(__xludf.DUMMYFUNCTION("""COMPUTED_VALUE"""),"T1")</f>
        <v>T1</v>
      </c>
      <c r="E157" s="410" t="str">
        <f>IFERROR(__xludf.DUMMYFUNCTION("""COMPUTED_VALUE"""),"TNI0049: 8KVA")</f>
        <v>TNI0049: 8KVA</v>
      </c>
      <c r="F157" s="410" t="str">
        <f>IFERROR(__xludf.DUMMYFUNCTION("""COMPUTED_VALUE"""),"myt_bonemyat.naing1")</f>
        <v>myt_bonemyat.naing1</v>
      </c>
      <c r="H157" s="269"/>
      <c r="I157" s="269"/>
      <c r="J157" s="269"/>
      <c r="K157" s="269"/>
      <c r="L157" s="269"/>
      <c r="M157" s="269"/>
      <c r="N157" s="269"/>
      <c r="O157" s="269"/>
      <c r="P157" s="269"/>
      <c r="Q157" s="269"/>
      <c r="R157" s="269"/>
      <c r="S157" s="269"/>
      <c r="T157" s="269"/>
      <c r="U157" s="269"/>
      <c r="V157" s="269"/>
      <c r="W157" s="269"/>
      <c r="X157" s="269"/>
      <c r="Y157" s="269"/>
      <c r="Z157" s="269"/>
      <c r="AA157" s="269"/>
      <c r="AB157" s="269"/>
      <c r="AC157" s="269"/>
      <c r="AD157" s="269"/>
      <c r="AE157" s="269"/>
      <c r="AF157" s="269"/>
      <c r="AG157" s="269"/>
      <c r="AH157" s="269"/>
      <c r="AI157" s="269"/>
      <c r="AJ157" s="269"/>
      <c r="AK157" s="269"/>
      <c r="AL157" s="269"/>
      <c r="AM157" s="269"/>
      <c r="AN157" s="269"/>
      <c r="AO157" s="269"/>
      <c r="AP157" s="269"/>
      <c r="AQ157" s="269"/>
      <c r="AR157" s="269"/>
    </row>
    <row r="158">
      <c r="A158" s="410" t="str">
        <f>IFERROR(__xludf.DUMMYFUNCTION("""COMPUTED_VALUE"""),"WO_QLCTKT_20260625_123635848")</f>
        <v>WO_QLCTKT_20260625_123635848</v>
      </c>
      <c r="B158" s="410" t="str">
        <f>IFERROR(__xludf.DUMMYFUNCTION("""COMPUTED_VALUE"""),"TNI0049 - Repair infrastructure - bla: Maintenance the equipments: Lubricant oil (DG)")</f>
        <v>TNI0049 - Repair infrastructure - bla: Maintenance the equipments: Lubricant oil (DG)</v>
      </c>
      <c r="C158" s="410">
        <f>IFERROR(__xludf.DUMMYFUNCTION("""COMPUTED_VALUE"""),-0.99)</f>
        <v>-0.99</v>
      </c>
      <c r="D158" s="410" t="str">
        <f>IFERROR(__xludf.DUMMYFUNCTION("""COMPUTED_VALUE"""),"T1")</f>
        <v>T1</v>
      </c>
      <c r="E158" s="410" t="str">
        <f>IFERROR(__xludf.DUMMYFUNCTION("""COMPUTED_VALUE"""),"TNI0049")</f>
        <v>TNI0049</v>
      </c>
      <c r="F158" s="410" t="str">
        <f>IFERROR(__xludf.DUMMYFUNCTION("""COMPUTED_VALUE"""),"myt_bonemyat.naing1")</f>
        <v>myt_bonemyat.naing1</v>
      </c>
      <c r="H158" s="269"/>
      <c r="I158" s="269"/>
      <c r="J158" s="269"/>
      <c r="K158" s="269"/>
      <c r="L158" s="269"/>
      <c r="M158" s="269"/>
      <c r="N158" s="269"/>
      <c r="O158" s="269"/>
      <c r="P158" s="269"/>
      <c r="Q158" s="269"/>
      <c r="R158" s="269"/>
      <c r="S158" s="269"/>
      <c r="T158" s="269"/>
      <c r="U158" s="269"/>
      <c r="V158" s="269"/>
      <c r="W158" s="269"/>
      <c r="X158" s="269"/>
      <c r="Y158" s="269"/>
      <c r="Z158" s="269"/>
      <c r="AA158" s="269"/>
      <c r="AB158" s="269"/>
      <c r="AC158" s="269"/>
      <c r="AD158" s="269"/>
      <c r="AE158" s="269"/>
      <c r="AF158" s="269"/>
      <c r="AG158" s="269"/>
      <c r="AH158" s="269"/>
      <c r="AI158" s="269"/>
      <c r="AJ158" s="269"/>
      <c r="AK158" s="269"/>
      <c r="AL158" s="269"/>
      <c r="AM158" s="269"/>
      <c r="AN158" s="269"/>
      <c r="AO158" s="269"/>
      <c r="AP158" s="269"/>
      <c r="AQ158" s="269"/>
      <c r="AR158" s="269"/>
    </row>
    <row r="159">
      <c r="A159" s="410" t="str">
        <f>IFERROR(__xludf.DUMMYFUNCTION("""COMPUTED_VALUE"""),"WO_WFM-OTHERS_20260625_123634105")</f>
        <v>WO_WFM-OTHERS_20260625_123634105</v>
      </c>
      <c r="B159" s="410" t="str">
        <f>IFERROR(__xludf.DUMMYFUNCTION("""COMPUTED_VALUE"""),"Cable Patrol for (BB)-TNI0013-TNI0005")</f>
        <v>Cable Patrol for (BB)-TNI0013-TNI0005</v>
      </c>
      <c r="C159" s="410">
        <f>IFERROR(__xludf.DUMMYFUNCTION("""COMPUTED_VALUE"""),439.03)</f>
        <v>439.03</v>
      </c>
      <c r="D159" s="410" t="str">
        <f>IFERROR(__xludf.DUMMYFUNCTION("""COMPUTED_VALUE"""),"T1")</f>
        <v>T1</v>
      </c>
      <c r="E159" s="410" t="str">
        <f>IFERROR(__xludf.DUMMYFUNCTION("""COMPUTED_VALUE"""),"TNI0013")</f>
        <v>TNI0013</v>
      </c>
      <c r="F159" s="410" t="str">
        <f>IFERROR(__xludf.DUMMYFUNCTION("""COMPUTED_VALUE"""),"myt_bonemyat.naing1")</f>
        <v>myt_bonemyat.naing1</v>
      </c>
      <c r="H159" s="269"/>
      <c r="I159" s="269"/>
      <c r="J159" s="269"/>
      <c r="K159" s="269"/>
      <c r="L159" s="269"/>
      <c r="M159" s="269"/>
      <c r="N159" s="269"/>
      <c r="O159" s="269"/>
      <c r="P159" s="269"/>
      <c r="Q159" s="269"/>
      <c r="R159" s="269"/>
      <c r="S159" s="269"/>
      <c r="T159" s="269"/>
      <c r="U159" s="269"/>
      <c r="V159" s="269"/>
      <c r="W159" s="269"/>
      <c r="X159" s="269"/>
      <c r="Y159" s="269"/>
      <c r="Z159" s="269"/>
      <c r="AA159" s="269"/>
      <c r="AB159" s="269"/>
      <c r="AC159" s="269"/>
      <c r="AD159" s="269"/>
      <c r="AE159" s="269"/>
      <c r="AF159" s="269"/>
      <c r="AG159" s="269"/>
      <c r="AH159" s="269"/>
      <c r="AI159" s="269"/>
      <c r="AJ159" s="269"/>
      <c r="AK159" s="269"/>
      <c r="AL159" s="269"/>
      <c r="AM159" s="269"/>
      <c r="AN159" s="269"/>
      <c r="AO159" s="269"/>
      <c r="AP159" s="269"/>
      <c r="AQ159" s="269"/>
      <c r="AR159" s="269"/>
    </row>
    <row r="160">
      <c r="A160" s="410" t="str">
        <f>IFERROR(__xludf.DUMMYFUNCTION("""COMPUTED_VALUE"""),"WO_ICMS_20260625_123632816")</f>
        <v>WO_ICMS_20260625_123632816</v>
      </c>
      <c r="B160" s="410" t="str">
        <f>IFERROR(__xludf.DUMMYFUNCTION("""COMPUTED_VALUE"""),"Patrolling cable routes TNI0150-TNI0206_00, TNI0150 + null – TNI0206 + null")</f>
        <v>Patrolling cable routes TNI0150-TNI0206_00, TNI0150 + null – TNI0206 + null</v>
      </c>
      <c r="C160" s="410">
        <f>IFERROR(__xludf.DUMMYFUNCTION("""COMPUTED_VALUE"""),545.66)</f>
        <v>545.66</v>
      </c>
      <c r="D160" s="410" t="str">
        <f>IFERROR(__xludf.DUMMYFUNCTION("""COMPUTED_VALUE"""),"T1")</f>
        <v>T1</v>
      </c>
      <c r="E160" s="410" t="str">
        <f>IFERROR(__xludf.DUMMYFUNCTION("""COMPUTED_VALUE"""),"TNI0150")</f>
        <v>TNI0150</v>
      </c>
      <c r="F160" s="410" t="str">
        <f>IFERROR(__xludf.DUMMYFUNCTION("""COMPUTED_VALUE"""),"myt_bonemyat.naing1")</f>
        <v>myt_bonemyat.naing1</v>
      </c>
      <c r="H160" s="269"/>
      <c r="I160" s="269"/>
      <c r="J160" s="269"/>
      <c r="K160" s="269"/>
      <c r="L160" s="269"/>
      <c r="M160" s="269"/>
      <c r="N160" s="269"/>
      <c r="O160" s="269"/>
      <c r="P160" s="269"/>
      <c r="Q160" s="269"/>
      <c r="R160" s="269"/>
      <c r="S160" s="269"/>
      <c r="T160" s="269"/>
      <c r="U160" s="269"/>
      <c r="V160" s="269"/>
      <c r="W160" s="269"/>
      <c r="X160" s="269"/>
      <c r="Y160" s="269"/>
      <c r="Z160" s="269"/>
      <c r="AA160" s="269"/>
      <c r="AB160" s="269"/>
      <c r="AC160" s="269"/>
      <c r="AD160" s="269"/>
      <c r="AE160" s="269"/>
      <c r="AF160" s="269"/>
      <c r="AG160" s="269"/>
      <c r="AH160" s="269"/>
      <c r="AI160" s="269"/>
      <c r="AJ160" s="269"/>
      <c r="AK160" s="269"/>
      <c r="AL160" s="269"/>
      <c r="AM160" s="269"/>
      <c r="AN160" s="269"/>
      <c r="AO160" s="269"/>
      <c r="AP160" s="269"/>
      <c r="AQ160" s="269"/>
      <c r="AR160" s="269"/>
    </row>
    <row r="161">
      <c r="A161" s="410" t="str">
        <f>IFERROR(__xludf.DUMMYFUNCTION("""COMPUTED_VALUE"""),"WO_ICMS_20260625_123632487")</f>
        <v>WO_ICMS_20260625_123632487</v>
      </c>
      <c r="B161" s="410" t="str">
        <f>IFERROR(__xludf.DUMMYFUNCTION("""COMPUTED_VALUE"""),"Patrolling cable routes TNI0013-TNI0250_01_00, TNI0013 + null – TNI0250_01 + null")</f>
        <v>Patrolling cable routes TNI0013-TNI0250_01_00, TNI0013 + null – TNI0250_01 + null</v>
      </c>
      <c r="C161" s="410">
        <f>IFERROR(__xludf.DUMMYFUNCTION("""COMPUTED_VALUE"""),545.65)</f>
        <v>545.65</v>
      </c>
      <c r="D161" s="410" t="str">
        <f>IFERROR(__xludf.DUMMYFUNCTION("""COMPUTED_VALUE"""),"T1")</f>
        <v>T1</v>
      </c>
      <c r="E161" s="410" t="str">
        <f>IFERROR(__xludf.DUMMYFUNCTION("""COMPUTED_VALUE"""),"TNI0013")</f>
        <v>TNI0013</v>
      </c>
      <c r="F161" s="410" t="str">
        <f>IFERROR(__xludf.DUMMYFUNCTION("""COMPUTED_VALUE"""),"myt_bonemyat.naing1")</f>
        <v>myt_bonemyat.naing1</v>
      </c>
      <c r="H161" s="269"/>
      <c r="I161" s="269"/>
      <c r="J161" s="269"/>
      <c r="K161" s="269"/>
      <c r="L161" s="269"/>
      <c r="M161" s="269"/>
      <c r="N161" s="269"/>
      <c r="O161" s="269"/>
      <c r="P161" s="269"/>
      <c r="Q161" s="269"/>
      <c r="R161" s="269"/>
      <c r="S161" s="269"/>
      <c r="T161" s="269"/>
      <c r="U161" s="269"/>
      <c r="V161" s="269"/>
      <c r="W161" s="269"/>
      <c r="X161" s="269"/>
      <c r="Y161" s="269"/>
      <c r="Z161" s="269"/>
      <c r="AA161" s="269"/>
      <c r="AB161" s="269"/>
      <c r="AC161" s="269"/>
      <c r="AD161" s="269"/>
      <c r="AE161" s="269"/>
      <c r="AF161" s="269"/>
      <c r="AG161" s="269"/>
      <c r="AH161" s="269"/>
      <c r="AI161" s="269"/>
      <c r="AJ161" s="269"/>
      <c r="AK161" s="269"/>
      <c r="AL161" s="269"/>
      <c r="AM161" s="269"/>
      <c r="AN161" s="269"/>
      <c r="AO161" s="269"/>
      <c r="AP161" s="269"/>
      <c r="AQ161" s="269"/>
      <c r="AR161" s="269"/>
    </row>
    <row r="162">
      <c r="A162" s="410" t="str">
        <f>IFERROR(__xludf.DUMMYFUNCTION("""COMPUTED_VALUE"""),"WO_ICMS_20260625_123632486")</f>
        <v>WO_ICMS_20260625_123632486</v>
      </c>
      <c r="B162" s="410" t="str">
        <f>IFERROR(__xludf.DUMMYFUNCTION("""COMPUTED_VALUE"""),"Patrolling cable routes TNI0013-TNI0250_02_00, TNI0013 + null – TNI0250_02 + null")</f>
        <v>Patrolling cable routes TNI0013-TNI0250_02_00, TNI0013 + null – TNI0250_02 + null</v>
      </c>
      <c r="C162" s="410">
        <f>IFERROR(__xludf.DUMMYFUNCTION("""COMPUTED_VALUE"""),545.65)</f>
        <v>545.65</v>
      </c>
      <c r="D162" s="410" t="str">
        <f>IFERROR(__xludf.DUMMYFUNCTION("""COMPUTED_VALUE"""),"T1")</f>
        <v>T1</v>
      </c>
      <c r="E162" s="410" t="str">
        <f>IFERROR(__xludf.DUMMYFUNCTION("""COMPUTED_VALUE"""),"TNI0013")</f>
        <v>TNI0013</v>
      </c>
      <c r="F162" s="410" t="str">
        <f>IFERROR(__xludf.DUMMYFUNCTION("""COMPUTED_VALUE"""),"myt_bonemyat.naing1")</f>
        <v>myt_bonemyat.naing1</v>
      </c>
      <c r="H162" s="269"/>
      <c r="I162" s="269"/>
      <c r="J162" s="269"/>
      <c r="K162" s="269"/>
      <c r="L162" s="269"/>
      <c r="M162" s="269"/>
      <c r="N162" s="269"/>
      <c r="O162" s="269"/>
      <c r="P162" s="269"/>
      <c r="Q162" s="269"/>
      <c r="R162" s="269"/>
      <c r="S162" s="269"/>
      <c r="T162" s="269"/>
      <c r="U162" s="269"/>
      <c r="V162" s="269"/>
      <c r="W162" s="269"/>
      <c r="X162" s="269"/>
      <c r="Y162" s="269"/>
      <c r="Z162" s="269"/>
      <c r="AA162" s="269"/>
      <c r="AB162" s="269"/>
      <c r="AC162" s="269"/>
      <c r="AD162" s="269"/>
      <c r="AE162" s="269"/>
      <c r="AF162" s="269"/>
      <c r="AG162" s="269"/>
      <c r="AH162" s="269"/>
      <c r="AI162" s="269"/>
      <c r="AJ162" s="269"/>
      <c r="AK162" s="269"/>
      <c r="AL162" s="269"/>
      <c r="AM162" s="269"/>
      <c r="AN162" s="269"/>
      <c r="AO162" s="269"/>
      <c r="AP162" s="269"/>
      <c r="AQ162" s="269"/>
      <c r="AR162" s="269"/>
    </row>
    <row r="163">
      <c r="A163" s="410" t="str">
        <f>IFERROR(__xludf.DUMMYFUNCTION("""COMPUTED_VALUE"""),"WO_QLCTKT_20260624_123619105")</f>
        <v>WO_QLCTKT_20260624_123619105</v>
      </c>
      <c r="B163" s="410" t="str">
        <f>IFERROR(__xludf.DUMMYFUNCTION("""COMPUTED_VALUE"""),"TNI0041 MYT_Maintenance_Generator_Change_Oil - MYT_Checking quality for DG Fuel")</f>
        <v>TNI0041 MYT_Maintenance_Generator_Change_Oil - MYT_Checking quality for DG Fuel</v>
      </c>
      <c r="C163" s="410">
        <f>IFERROR(__xludf.DUMMYFUNCTION("""COMPUTED_VALUE"""),-64.95)</f>
        <v>-64.95</v>
      </c>
      <c r="D163" s="410" t="str">
        <f>IFERROR(__xludf.DUMMYFUNCTION("""COMPUTED_VALUE"""),"T1")</f>
        <v>T1</v>
      </c>
      <c r="E163" s="410" t="str">
        <f>IFERROR(__xludf.DUMMYFUNCTION("""COMPUTED_VALUE"""),"TNI0041: 8KVA")</f>
        <v>TNI0041: 8KVA</v>
      </c>
      <c r="F163" s="410" t="str">
        <f>IFERROR(__xludf.DUMMYFUNCTION("""COMPUTED_VALUE"""),"myt_bonemyat.naing1")</f>
        <v>myt_bonemyat.naing1</v>
      </c>
      <c r="H163" s="269"/>
      <c r="I163" s="269"/>
      <c r="J163" s="269"/>
      <c r="K163" s="269"/>
      <c r="L163" s="269"/>
      <c r="M163" s="269"/>
      <c r="N163" s="269"/>
      <c r="O163" s="269"/>
      <c r="P163" s="269"/>
      <c r="Q163" s="269"/>
      <c r="R163" s="269"/>
      <c r="S163" s="269"/>
      <c r="T163" s="269"/>
      <c r="U163" s="269"/>
      <c r="V163" s="269"/>
      <c r="W163" s="269"/>
      <c r="X163" s="269"/>
      <c r="Y163" s="269"/>
      <c r="Z163" s="269"/>
      <c r="AA163" s="269"/>
      <c r="AB163" s="269"/>
      <c r="AC163" s="269"/>
      <c r="AD163" s="269"/>
      <c r="AE163" s="269"/>
      <c r="AF163" s="269"/>
      <c r="AG163" s="269"/>
      <c r="AH163" s="269"/>
      <c r="AI163" s="269"/>
      <c r="AJ163" s="269"/>
      <c r="AK163" s="269"/>
      <c r="AL163" s="269"/>
      <c r="AM163" s="269"/>
      <c r="AN163" s="269"/>
      <c r="AO163" s="269"/>
      <c r="AP163" s="269"/>
      <c r="AQ163" s="269"/>
      <c r="AR163" s="269"/>
    </row>
    <row r="164">
      <c r="A164" s="410" t="str">
        <f>IFERROR(__xludf.DUMMYFUNCTION("""COMPUTED_VALUE"""),"WO_QLCTKT_20260624_123618981")</f>
        <v>WO_QLCTKT_20260624_123618981</v>
      </c>
      <c r="B164" s="410" t="str">
        <f>IFERROR(__xludf.DUMMYFUNCTION("""COMPUTED_VALUE"""),"TNI0038 MYT_Maintenance_Generator_Change_Oil - MYT_Checking quality for DG Fuel")</f>
        <v>TNI0038 MYT_Maintenance_Generator_Change_Oil - MYT_Checking quality for DG Fuel</v>
      </c>
      <c r="C164" s="410">
        <f>IFERROR(__xludf.DUMMYFUNCTION("""COMPUTED_VALUE"""),-64.95)</f>
        <v>-64.95</v>
      </c>
      <c r="D164" s="410" t="str">
        <f>IFERROR(__xludf.DUMMYFUNCTION("""COMPUTED_VALUE"""),"T1")</f>
        <v>T1</v>
      </c>
      <c r="E164" s="410" t="str">
        <f>IFERROR(__xludf.DUMMYFUNCTION("""COMPUTED_VALUE"""),"TNI0038: 8KVA")</f>
        <v>TNI0038: 8KVA</v>
      </c>
      <c r="F164" s="410" t="str">
        <f>IFERROR(__xludf.DUMMYFUNCTION("""COMPUTED_VALUE"""),"myt_bonemyat.naing1")</f>
        <v>myt_bonemyat.naing1</v>
      </c>
      <c r="H164" s="269"/>
      <c r="I164" s="269"/>
      <c r="J164" s="269"/>
      <c r="K164" s="269"/>
      <c r="L164" s="269"/>
      <c r="M164" s="269"/>
      <c r="N164" s="269"/>
      <c r="O164" s="269"/>
      <c r="P164" s="269"/>
      <c r="Q164" s="269"/>
      <c r="R164" s="269"/>
      <c r="S164" s="269"/>
      <c r="T164" s="269"/>
      <c r="U164" s="269"/>
      <c r="V164" s="269"/>
      <c r="W164" s="269"/>
      <c r="X164" s="269"/>
      <c r="Y164" s="269"/>
      <c r="Z164" s="269"/>
      <c r="AA164" s="269"/>
      <c r="AB164" s="269"/>
      <c r="AC164" s="269"/>
      <c r="AD164" s="269"/>
      <c r="AE164" s="269"/>
      <c r="AF164" s="269"/>
      <c r="AG164" s="269"/>
      <c r="AH164" s="269"/>
      <c r="AI164" s="269"/>
      <c r="AJ164" s="269"/>
      <c r="AK164" s="269"/>
      <c r="AL164" s="269"/>
      <c r="AM164" s="269"/>
      <c r="AN164" s="269"/>
      <c r="AO164" s="269"/>
      <c r="AP164" s="269"/>
      <c r="AQ164" s="269"/>
      <c r="AR164" s="269"/>
    </row>
    <row r="165">
      <c r="A165" s="410" t="str">
        <f>IFERROR(__xludf.DUMMYFUNCTION("""COMPUTED_VALUE"""),"WO_WFM-OTHERS_20260623_123616236")</f>
        <v>WO_WFM-OTHERS_20260623_123616236</v>
      </c>
      <c r="B165" s="410" t="str">
        <f>IFERROR(__xludf.DUMMYFUNCTION("""COMPUTED_VALUE"""),"Cable Patrol for (AC)-TNI0040-TNIM026")</f>
        <v>Cable Patrol for (AC)-TNI0040-TNIM026</v>
      </c>
      <c r="C165" s="410">
        <f>IFERROR(__xludf.DUMMYFUNCTION("""COMPUTED_VALUE"""),439.03)</f>
        <v>439.03</v>
      </c>
      <c r="D165" s="410" t="str">
        <f>IFERROR(__xludf.DUMMYFUNCTION("""COMPUTED_VALUE"""),"T1")</f>
        <v>T1</v>
      </c>
      <c r="E165" s="410" t="str">
        <f>IFERROR(__xludf.DUMMYFUNCTION("""COMPUTED_VALUE"""),"TNI0040")</f>
        <v>TNI0040</v>
      </c>
      <c r="F165" s="410" t="str">
        <f>IFERROR(__xludf.DUMMYFUNCTION("""COMPUTED_VALUE"""),"myt_bonemyat.naing1")</f>
        <v>myt_bonemyat.naing1</v>
      </c>
      <c r="H165" s="269"/>
      <c r="I165" s="269"/>
      <c r="J165" s="269"/>
      <c r="K165" s="269"/>
      <c r="L165" s="269"/>
      <c r="M165" s="269"/>
      <c r="N165" s="269"/>
      <c r="O165" s="269"/>
      <c r="P165" s="269"/>
      <c r="Q165" s="269"/>
      <c r="R165" s="269"/>
      <c r="S165" s="269"/>
      <c r="T165" s="269"/>
      <c r="U165" s="269"/>
      <c r="V165" s="269"/>
      <c r="W165" s="269"/>
      <c r="X165" s="269"/>
      <c r="Y165" s="269"/>
      <c r="Z165" s="269"/>
      <c r="AA165" s="269"/>
      <c r="AB165" s="269"/>
      <c r="AC165" s="269"/>
      <c r="AD165" s="269"/>
      <c r="AE165" s="269"/>
      <c r="AF165" s="269"/>
      <c r="AG165" s="269"/>
      <c r="AH165" s="269"/>
      <c r="AI165" s="269"/>
      <c r="AJ165" s="269"/>
      <c r="AK165" s="269"/>
      <c r="AL165" s="269"/>
      <c r="AM165" s="269"/>
      <c r="AN165" s="269"/>
      <c r="AO165" s="269"/>
      <c r="AP165" s="269"/>
      <c r="AQ165" s="269"/>
      <c r="AR165" s="269"/>
    </row>
    <row r="166">
      <c r="A166" s="410" t="str">
        <f>IFERROR(__xludf.DUMMYFUNCTION("""COMPUTED_VALUE"""),"WO_WFM-OTHERS_20260623_123616228")</f>
        <v>WO_WFM-OTHERS_20260623_123616228</v>
      </c>
      <c r="B166" s="410" t="str">
        <f>IFERROR(__xludf.DUMMYFUNCTION("""COMPUTED_VALUE"""),"Cable Patrol for (AC)-TNI0208-TNIM057")</f>
        <v>Cable Patrol for (AC)-TNI0208-TNIM057</v>
      </c>
      <c r="C166" s="410">
        <f>IFERROR(__xludf.DUMMYFUNCTION("""COMPUTED_VALUE"""),439.03)</f>
        <v>439.03</v>
      </c>
      <c r="D166" s="410" t="str">
        <f>IFERROR(__xludf.DUMMYFUNCTION("""COMPUTED_VALUE"""),"T1")</f>
        <v>T1</v>
      </c>
      <c r="E166" s="410" t="str">
        <f>IFERROR(__xludf.DUMMYFUNCTION("""COMPUTED_VALUE"""),"TNI0208")</f>
        <v>TNI0208</v>
      </c>
      <c r="F166" s="410" t="str">
        <f>IFERROR(__xludf.DUMMYFUNCTION("""COMPUTED_VALUE"""),"myt_bonemyat.naing1")</f>
        <v>myt_bonemyat.naing1</v>
      </c>
      <c r="H166" s="269"/>
      <c r="I166" s="269"/>
      <c r="J166" s="269"/>
      <c r="K166" s="269"/>
      <c r="L166" s="269"/>
      <c r="M166" s="269"/>
      <c r="N166" s="269"/>
      <c r="O166" s="269"/>
      <c r="P166" s="269"/>
      <c r="Q166" s="269"/>
      <c r="R166" s="269"/>
      <c r="S166" s="269"/>
      <c r="T166" s="269"/>
      <c r="U166" s="269"/>
      <c r="V166" s="269"/>
      <c r="W166" s="269"/>
      <c r="X166" s="269"/>
      <c r="Y166" s="269"/>
      <c r="Z166" s="269"/>
      <c r="AA166" s="269"/>
      <c r="AB166" s="269"/>
      <c r="AC166" s="269"/>
      <c r="AD166" s="269"/>
      <c r="AE166" s="269"/>
      <c r="AF166" s="269"/>
      <c r="AG166" s="269"/>
      <c r="AH166" s="269"/>
      <c r="AI166" s="269"/>
      <c r="AJ166" s="269"/>
      <c r="AK166" s="269"/>
      <c r="AL166" s="269"/>
      <c r="AM166" s="269"/>
      <c r="AN166" s="269"/>
      <c r="AO166" s="269"/>
      <c r="AP166" s="269"/>
      <c r="AQ166" s="269"/>
      <c r="AR166" s="269"/>
    </row>
    <row r="167">
      <c r="A167" s="410" t="str">
        <f>IFERROR(__xludf.DUMMYFUNCTION("""COMPUTED_VALUE"""),"WO_WFM-OTHERS_20260623_123616232")</f>
        <v>WO_WFM-OTHERS_20260623_123616232</v>
      </c>
      <c r="B167" s="410" t="str">
        <f>IFERROR(__xludf.DUMMYFUNCTION("""COMPUTED_VALUE"""),"Cable Patrol for (AC)-TNI0189-TNIM052")</f>
        <v>Cable Patrol for (AC)-TNI0189-TNIM052</v>
      </c>
      <c r="C167" s="410">
        <f>IFERROR(__xludf.DUMMYFUNCTION("""COMPUTED_VALUE"""),439.03)</f>
        <v>439.03</v>
      </c>
      <c r="D167" s="410" t="str">
        <f>IFERROR(__xludf.DUMMYFUNCTION("""COMPUTED_VALUE"""),"T1")</f>
        <v>T1</v>
      </c>
      <c r="E167" s="410" t="str">
        <f>IFERROR(__xludf.DUMMYFUNCTION("""COMPUTED_VALUE"""),"TNI0189")</f>
        <v>TNI0189</v>
      </c>
      <c r="F167" s="410" t="str">
        <f>IFERROR(__xludf.DUMMYFUNCTION("""COMPUTED_VALUE"""),"myt_bonemyat.naing1")</f>
        <v>myt_bonemyat.naing1</v>
      </c>
      <c r="H167" s="269"/>
      <c r="I167" s="269"/>
      <c r="J167" s="269"/>
      <c r="K167" s="269"/>
      <c r="L167" s="269"/>
      <c r="M167" s="269"/>
      <c r="N167" s="269"/>
      <c r="O167" s="269"/>
      <c r="P167" s="269"/>
      <c r="Q167" s="269"/>
      <c r="R167" s="269"/>
      <c r="S167" s="269"/>
      <c r="T167" s="269"/>
      <c r="U167" s="269"/>
      <c r="V167" s="269"/>
      <c r="W167" s="269"/>
      <c r="X167" s="269"/>
      <c r="Y167" s="269"/>
      <c r="Z167" s="269"/>
      <c r="AA167" s="269"/>
      <c r="AB167" s="269"/>
      <c r="AC167" s="269"/>
      <c r="AD167" s="269"/>
      <c r="AE167" s="269"/>
      <c r="AF167" s="269"/>
      <c r="AG167" s="269"/>
      <c r="AH167" s="269"/>
      <c r="AI167" s="269"/>
      <c r="AJ167" s="269"/>
      <c r="AK167" s="269"/>
      <c r="AL167" s="269"/>
      <c r="AM167" s="269"/>
      <c r="AN167" s="269"/>
      <c r="AO167" s="269"/>
      <c r="AP167" s="269"/>
      <c r="AQ167" s="269"/>
      <c r="AR167" s="269"/>
    </row>
    <row r="168">
      <c r="A168" s="410" t="str">
        <f>IFERROR(__xludf.DUMMYFUNCTION("""COMPUTED_VALUE"""),"WO_WFM-OTHERS_20260623_123616226")</f>
        <v>WO_WFM-OTHERS_20260623_123616226</v>
      </c>
      <c r="B168" s="410" t="str">
        <f>IFERROR(__xludf.DUMMYFUNCTION("""COMPUTED_VALUE"""),"Cable Patrol for (AC)-TNI0326-JB(MON0002-TNI0006)")</f>
        <v>Cable Patrol for (AC)-TNI0326-JB(MON0002-TNI0006)</v>
      </c>
      <c r="C168" s="410">
        <f>IFERROR(__xludf.DUMMYFUNCTION("""COMPUTED_VALUE"""),439.03)</f>
        <v>439.03</v>
      </c>
      <c r="D168" s="410" t="str">
        <f>IFERROR(__xludf.DUMMYFUNCTION("""COMPUTED_VALUE"""),"T1")</f>
        <v>T1</v>
      </c>
      <c r="E168" s="410" t="str">
        <f>IFERROR(__xludf.DUMMYFUNCTION("""COMPUTED_VALUE"""),"TNI0326")</f>
        <v>TNI0326</v>
      </c>
      <c r="F168" s="410" t="str">
        <f>IFERROR(__xludf.DUMMYFUNCTION("""COMPUTED_VALUE"""),"myt_bonemyat.naing1")</f>
        <v>myt_bonemyat.naing1</v>
      </c>
      <c r="H168" s="269"/>
      <c r="I168" s="269"/>
      <c r="J168" s="269"/>
      <c r="K168" s="269"/>
      <c r="L168" s="269"/>
      <c r="M168" s="269"/>
      <c r="N168" s="269"/>
      <c r="O168" s="269"/>
      <c r="P168" s="269"/>
      <c r="Q168" s="269"/>
      <c r="R168" s="269"/>
      <c r="S168" s="269"/>
      <c r="T168" s="269"/>
      <c r="U168" s="269"/>
      <c r="V168" s="269"/>
      <c r="W168" s="269"/>
      <c r="X168" s="269"/>
      <c r="Y168" s="269"/>
      <c r="Z168" s="269"/>
      <c r="AA168" s="269"/>
      <c r="AB168" s="269"/>
      <c r="AC168" s="269"/>
      <c r="AD168" s="269"/>
      <c r="AE168" s="269"/>
      <c r="AF168" s="269"/>
      <c r="AG168" s="269"/>
      <c r="AH168" s="269"/>
      <c r="AI168" s="269"/>
      <c r="AJ168" s="269"/>
      <c r="AK168" s="269"/>
      <c r="AL168" s="269"/>
      <c r="AM168" s="269"/>
      <c r="AN168" s="269"/>
      <c r="AO168" s="269"/>
      <c r="AP168" s="269"/>
      <c r="AQ168" s="269"/>
      <c r="AR168" s="269"/>
    </row>
    <row r="169">
      <c r="A169" s="410" t="str">
        <f>IFERROR(__xludf.DUMMYFUNCTION("""COMPUTED_VALUE"""),"WO_WFM-OTHERS_20260623_123616224")</f>
        <v>WO_WFM-OTHERS_20260623_123616224</v>
      </c>
      <c r="B169" s="410" t="str">
        <f>IFERROR(__xludf.DUMMYFUNCTION("""COMPUTED_VALUE"""),"Cable Patrol for (AC)-TNI0312-JB(TNI0006-TNI0013)")</f>
        <v>Cable Patrol for (AC)-TNI0312-JB(TNI0006-TNI0013)</v>
      </c>
      <c r="C169" s="410">
        <f>IFERROR(__xludf.DUMMYFUNCTION("""COMPUTED_VALUE"""),439.03)</f>
        <v>439.03</v>
      </c>
      <c r="D169" s="410" t="str">
        <f>IFERROR(__xludf.DUMMYFUNCTION("""COMPUTED_VALUE"""),"T1")</f>
        <v>T1</v>
      </c>
      <c r="E169" s="410" t="str">
        <f>IFERROR(__xludf.DUMMYFUNCTION("""COMPUTED_VALUE"""),"TNI0312")</f>
        <v>TNI0312</v>
      </c>
      <c r="F169" s="410" t="str">
        <f>IFERROR(__xludf.DUMMYFUNCTION("""COMPUTED_VALUE"""),"myt_bonemyat.naing1")</f>
        <v>myt_bonemyat.naing1</v>
      </c>
      <c r="H169" s="269"/>
      <c r="I169" s="269"/>
      <c r="J169" s="269"/>
      <c r="K169" s="269"/>
      <c r="L169" s="269"/>
      <c r="M169" s="269"/>
      <c r="N169" s="269"/>
      <c r="O169" s="269"/>
      <c r="P169" s="269"/>
      <c r="Q169" s="269"/>
      <c r="R169" s="269"/>
      <c r="S169" s="269"/>
      <c r="T169" s="269"/>
      <c r="U169" s="269"/>
      <c r="V169" s="269"/>
      <c r="W169" s="269"/>
      <c r="X169" s="269"/>
      <c r="Y169" s="269"/>
      <c r="Z169" s="269"/>
      <c r="AA169" s="269"/>
      <c r="AB169" s="269"/>
      <c r="AC169" s="269"/>
      <c r="AD169" s="269"/>
      <c r="AE169" s="269"/>
      <c r="AF169" s="269"/>
      <c r="AG169" s="269"/>
      <c r="AH169" s="269"/>
      <c r="AI169" s="269"/>
      <c r="AJ169" s="269"/>
      <c r="AK169" s="269"/>
      <c r="AL169" s="269"/>
      <c r="AM169" s="269"/>
      <c r="AN169" s="269"/>
      <c r="AO169" s="269"/>
      <c r="AP169" s="269"/>
      <c r="AQ169" s="269"/>
      <c r="AR169" s="269"/>
    </row>
    <row r="170">
      <c r="A170" s="410" t="str">
        <f>IFERROR(__xludf.DUMMYFUNCTION("""COMPUTED_VALUE"""),"WO_WFM-OTHERS_20260623_123616213")</f>
        <v>WO_WFM-OTHERS_20260623_123616213</v>
      </c>
      <c r="B170" s="410" t="str">
        <f>IFERROR(__xludf.DUMMYFUNCTION("""COMPUTED_VALUE"""),"Cable Patrol for (AC)-TNI0273-TNIM063")</f>
        <v>Cable Patrol for (AC)-TNI0273-TNIM063</v>
      </c>
      <c r="C170" s="410">
        <f>IFERROR(__xludf.DUMMYFUNCTION("""COMPUTED_VALUE"""),439.03)</f>
        <v>439.03</v>
      </c>
      <c r="D170" s="410" t="str">
        <f>IFERROR(__xludf.DUMMYFUNCTION("""COMPUTED_VALUE"""),"T1")</f>
        <v>T1</v>
      </c>
      <c r="E170" s="410" t="str">
        <f>IFERROR(__xludf.DUMMYFUNCTION("""COMPUTED_VALUE"""),"TNI0273")</f>
        <v>TNI0273</v>
      </c>
      <c r="F170" s="410" t="str">
        <f>IFERROR(__xludf.DUMMYFUNCTION("""COMPUTED_VALUE"""),"myt_bonemyat.naing1")</f>
        <v>myt_bonemyat.naing1</v>
      </c>
      <c r="H170" s="269"/>
      <c r="I170" s="269"/>
      <c r="J170" s="269"/>
      <c r="K170" s="269"/>
      <c r="L170" s="269"/>
      <c r="M170" s="269"/>
      <c r="N170" s="269"/>
      <c r="O170" s="269"/>
      <c r="P170" s="269"/>
      <c r="Q170" s="269"/>
      <c r="R170" s="269"/>
      <c r="S170" s="269"/>
      <c r="T170" s="269"/>
      <c r="U170" s="269"/>
      <c r="V170" s="269"/>
      <c r="W170" s="269"/>
      <c r="X170" s="269"/>
      <c r="Y170" s="269"/>
      <c r="Z170" s="269"/>
      <c r="AA170" s="269"/>
      <c r="AB170" s="269"/>
      <c r="AC170" s="269"/>
      <c r="AD170" s="269"/>
      <c r="AE170" s="269"/>
      <c r="AF170" s="269"/>
      <c r="AG170" s="269"/>
      <c r="AH170" s="269"/>
      <c r="AI170" s="269"/>
      <c r="AJ170" s="269"/>
      <c r="AK170" s="269"/>
      <c r="AL170" s="269"/>
      <c r="AM170" s="269"/>
      <c r="AN170" s="269"/>
      <c r="AO170" s="269"/>
      <c r="AP170" s="269"/>
      <c r="AQ170" s="269"/>
      <c r="AR170" s="269"/>
    </row>
    <row r="171">
      <c r="A171" s="410" t="str">
        <f>IFERROR(__xludf.DUMMYFUNCTION("""COMPUTED_VALUE"""),"WO_WFM-OTHERS_20260623_123616218")</f>
        <v>WO_WFM-OTHERS_20260623_123616218</v>
      </c>
      <c r="B171" s="410" t="str">
        <f>IFERROR(__xludf.DUMMYFUNCTION("""COMPUTED_VALUE"""),"Cable Patrol for (AC)-TNI0194-TNIM053")</f>
        <v>Cable Patrol for (AC)-TNI0194-TNIM053</v>
      </c>
      <c r="C171" s="410">
        <f>IFERROR(__xludf.DUMMYFUNCTION("""COMPUTED_VALUE"""),439.03)</f>
        <v>439.03</v>
      </c>
      <c r="D171" s="410" t="str">
        <f>IFERROR(__xludf.DUMMYFUNCTION("""COMPUTED_VALUE"""),"T1")</f>
        <v>T1</v>
      </c>
      <c r="E171" s="410" t="str">
        <f>IFERROR(__xludf.DUMMYFUNCTION("""COMPUTED_VALUE"""),"TNI0194")</f>
        <v>TNI0194</v>
      </c>
      <c r="F171" s="410" t="str">
        <f>IFERROR(__xludf.DUMMYFUNCTION("""COMPUTED_VALUE"""),"myt_bonemyat.naing1")</f>
        <v>myt_bonemyat.naing1</v>
      </c>
      <c r="H171" s="269"/>
      <c r="I171" s="269"/>
      <c r="J171" s="269"/>
      <c r="K171" s="269"/>
      <c r="L171" s="269"/>
      <c r="M171" s="269"/>
      <c r="N171" s="269"/>
      <c r="O171" s="269"/>
      <c r="P171" s="269"/>
      <c r="Q171" s="269"/>
      <c r="R171" s="269"/>
      <c r="S171" s="269"/>
      <c r="T171" s="269"/>
      <c r="U171" s="269"/>
      <c r="V171" s="269"/>
      <c r="W171" s="269"/>
      <c r="X171" s="269"/>
      <c r="Y171" s="269"/>
      <c r="Z171" s="269"/>
      <c r="AA171" s="269"/>
      <c r="AB171" s="269"/>
      <c r="AC171" s="269"/>
      <c r="AD171" s="269"/>
      <c r="AE171" s="269"/>
      <c r="AF171" s="269"/>
      <c r="AG171" s="269"/>
      <c r="AH171" s="269"/>
      <c r="AI171" s="269"/>
      <c r="AJ171" s="269"/>
      <c r="AK171" s="269"/>
      <c r="AL171" s="269"/>
      <c r="AM171" s="269"/>
      <c r="AN171" s="269"/>
      <c r="AO171" s="269"/>
      <c r="AP171" s="269"/>
      <c r="AQ171" s="269"/>
      <c r="AR171" s="269"/>
    </row>
    <row r="172">
      <c r="A172" s="410" t="str">
        <f>IFERROR(__xludf.DUMMYFUNCTION("""COMPUTED_VALUE"""),"WO_WFM-OTHERS_20260623_123616212")</f>
        <v>WO_WFM-OTHERS_20260623_123616212</v>
      </c>
      <c r="B172" s="410" t="str">
        <f>IFERROR(__xludf.DUMMYFUNCTION("""COMPUTED_VALUE"""),"Cable Patrol for (AC)-TNI0019-TNIM024")</f>
        <v>Cable Patrol for (AC)-TNI0019-TNIM024</v>
      </c>
      <c r="C172" s="410">
        <f>IFERROR(__xludf.DUMMYFUNCTION("""COMPUTED_VALUE"""),439.03)</f>
        <v>439.03</v>
      </c>
      <c r="D172" s="410" t="str">
        <f>IFERROR(__xludf.DUMMYFUNCTION("""COMPUTED_VALUE"""),"T1")</f>
        <v>T1</v>
      </c>
      <c r="E172" s="410" t="str">
        <f>IFERROR(__xludf.DUMMYFUNCTION("""COMPUTED_VALUE"""),"TNI0019")</f>
        <v>TNI0019</v>
      </c>
      <c r="F172" s="410" t="str">
        <f>IFERROR(__xludf.DUMMYFUNCTION("""COMPUTED_VALUE"""),"myt_bonemyat.naing1")</f>
        <v>myt_bonemyat.naing1</v>
      </c>
      <c r="H172" s="269"/>
      <c r="I172" s="269"/>
      <c r="J172" s="269"/>
      <c r="K172" s="269"/>
      <c r="L172" s="269"/>
      <c r="M172" s="269"/>
      <c r="N172" s="269"/>
      <c r="O172" s="269"/>
      <c r="P172" s="269"/>
      <c r="Q172" s="269"/>
      <c r="R172" s="269"/>
      <c r="S172" s="269"/>
      <c r="T172" s="269"/>
      <c r="U172" s="269"/>
      <c r="V172" s="269"/>
      <c r="W172" s="269"/>
      <c r="X172" s="269"/>
      <c r="Y172" s="269"/>
      <c r="Z172" s="269"/>
      <c r="AA172" s="269"/>
      <c r="AB172" s="269"/>
      <c r="AC172" s="269"/>
      <c r="AD172" s="269"/>
      <c r="AE172" s="269"/>
      <c r="AF172" s="269"/>
      <c r="AG172" s="269"/>
      <c r="AH172" s="269"/>
      <c r="AI172" s="269"/>
      <c r="AJ172" s="269"/>
      <c r="AK172" s="269"/>
      <c r="AL172" s="269"/>
      <c r="AM172" s="269"/>
      <c r="AN172" s="269"/>
      <c r="AO172" s="269"/>
      <c r="AP172" s="269"/>
      <c r="AQ172" s="269"/>
      <c r="AR172" s="269"/>
    </row>
    <row r="173">
      <c r="A173" s="410" t="str">
        <f>IFERROR(__xludf.DUMMYFUNCTION("""COMPUTED_VALUE"""),"WO_WFM-OTHERS_20260623_123616219")</f>
        <v>WO_WFM-OTHERS_20260623_123616219</v>
      </c>
      <c r="B173" s="410" t="str">
        <f>IFERROR(__xludf.DUMMYFUNCTION("""COMPUTED_VALUE"""),"Cable Patrol for (AC)-TNI0331-JB(MON0002-TNI0006)")</f>
        <v>Cable Patrol for (AC)-TNI0331-JB(MON0002-TNI0006)</v>
      </c>
      <c r="C173" s="410">
        <f>IFERROR(__xludf.DUMMYFUNCTION("""COMPUTED_VALUE"""),439.03)</f>
        <v>439.03</v>
      </c>
      <c r="D173" s="410" t="str">
        <f>IFERROR(__xludf.DUMMYFUNCTION("""COMPUTED_VALUE"""),"T1")</f>
        <v>T1</v>
      </c>
      <c r="E173" s="410" t="str">
        <f>IFERROR(__xludf.DUMMYFUNCTION("""COMPUTED_VALUE"""),"TNI0331")</f>
        <v>TNI0331</v>
      </c>
      <c r="F173" s="410" t="str">
        <f>IFERROR(__xludf.DUMMYFUNCTION("""COMPUTED_VALUE"""),"myt_bonemyat.naing1")</f>
        <v>myt_bonemyat.naing1</v>
      </c>
      <c r="H173" s="269"/>
      <c r="I173" s="269"/>
      <c r="J173" s="269"/>
      <c r="K173" s="269"/>
      <c r="L173" s="269"/>
      <c r="M173" s="269"/>
      <c r="N173" s="269"/>
      <c r="O173" s="269"/>
      <c r="P173" s="269"/>
      <c r="Q173" s="269"/>
      <c r="R173" s="269"/>
      <c r="S173" s="269"/>
      <c r="T173" s="269"/>
      <c r="U173" s="269"/>
      <c r="V173" s="269"/>
      <c r="W173" s="269"/>
      <c r="X173" s="269"/>
      <c r="Y173" s="269"/>
      <c r="Z173" s="269"/>
      <c r="AA173" s="269"/>
      <c r="AB173" s="269"/>
      <c r="AC173" s="269"/>
      <c r="AD173" s="269"/>
      <c r="AE173" s="269"/>
      <c r="AF173" s="269"/>
      <c r="AG173" s="269"/>
      <c r="AH173" s="269"/>
      <c r="AI173" s="269"/>
      <c r="AJ173" s="269"/>
      <c r="AK173" s="269"/>
      <c r="AL173" s="269"/>
      <c r="AM173" s="269"/>
      <c r="AN173" s="269"/>
      <c r="AO173" s="269"/>
      <c r="AP173" s="269"/>
      <c r="AQ173" s="269"/>
      <c r="AR173" s="269"/>
    </row>
    <row r="174">
      <c r="A174" s="410" t="str">
        <f>IFERROR(__xludf.DUMMYFUNCTION("""COMPUTED_VALUE"""),"WO_WFM-OTHERS_20260623_123616215")</f>
        <v>WO_WFM-OTHERS_20260623_123616215</v>
      </c>
      <c r="B174" s="410" t="str">
        <f>IFERROR(__xludf.DUMMYFUNCTION("""COMPUTED_VALUE"""),"Cable Patrol for (AC)-TNI0424-TNIM034")</f>
        <v>Cable Patrol for (AC)-TNI0424-TNIM034</v>
      </c>
      <c r="C174" s="410">
        <f>IFERROR(__xludf.DUMMYFUNCTION("""COMPUTED_VALUE"""),439.03)</f>
        <v>439.03</v>
      </c>
      <c r="D174" s="410" t="str">
        <f>IFERROR(__xludf.DUMMYFUNCTION("""COMPUTED_VALUE"""),"T1")</f>
        <v>T1</v>
      </c>
      <c r="E174" s="410" t="str">
        <f>IFERROR(__xludf.DUMMYFUNCTION("""COMPUTED_VALUE"""),"TNI0424")</f>
        <v>TNI0424</v>
      </c>
      <c r="F174" s="410" t="str">
        <f>IFERROR(__xludf.DUMMYFUNCTION("""COMPUTED_VALUE"""),"myt_bonemyat.naing1")</f>
        <v>myt_bonemyat.naing1</v>
      </c>
      <c r="H174" s="269"/>
      <c r="I174" s="269"/>
      <c r="J174" s="269"/>
      <c r="K174" s="269"/>
      <c r="L174" s="269"/>
      <c r="M174" s="269"/>
      <c r="N174" s="269"/>
      <c r="O174" s="269"/>
      <c r="P174" s="269"/>
      <c r="Q174" s="269"/>
      <c r="R174" s="269"/>
      <c r="S174" s="269"/>
      <c r="T174" s="269"/>
      <c r="U174" s="269"/>
      <c r="V174" s="269"/>
      <c r="W174" s="269"/>
      <c r="X174" s="269"/>
      <c r="Y174" s="269"/>
      <c r="Z174" s="269"/>
      <c r="AA174" s="269"/>
      <c r="AB174" s="269"/>
      <c r="AC174" s="269"/>
      <c r="AD174" s="269"/>
      <c r="AE174" s="269"/>
      <c r="AF174" s="269"/>
      <c r="AG174" s="269"/>
      <c r="AH174" s="269"/>
      <c r="AI174" s="269"/>
      <c r="AJ174" s="269"/>
      <c r="AK174" s="269"/>
      <c r="AL174" s="269"/>
      <c r="AM174" s="269"/>
      <c r="AN174" s="269"/>
      <c r="AO174" s="269"/>
      <c r="AP174" s="269"/>
      <c r="AQ174" s="269"/>
      <c r="AR174" s="269"/>
    </row>
    <row r="175">
      <c r="A175" s="410" t="str">
        <f>IFERROR(__xludf.DUMMYFUNCTION("""COMPUTED_VALUE"""),"WO_WFM-OTHERS_20260623_123616223")</f>
        <v>WO_WFM-OTHERS_20260623_123616223</v>
      </c>
      <c r="B175" s="410" t="str">
        <f>IFERROR(__xludf.DUMMYFUNCTION("""COMPUTED_VALUE"""),"Cable Patrol for (AC)-TNI0078-TNIM032")</f>
        <v>Cable Patrol for (AC)-TNI0078-TNIM032</v>
      </c>
      <c r="C175" s="410">
        <f>IFERROR(__xludf.DUMMYFUNCTION("""COMPUTED_VALUE"""),439.03)</f>
        <v>439.03</v>
      </c>
      <c r="D175" s="410" t="str">
        <f>IFERROR(__xludf.DUMMYFUNCTION("""COMPUTED_VALUE"""),"T1")</f>
        <v>T1</v>
      </c>
      <c r="E175" s="410" t="str">
        <f>IFERROR(__xludf.DUMMYFUNCTION("""COMPUTED_VALUE"""),"TNI0078")</f>
        <v>TNI0078</v>
      </c>
      <c r="F175" s="410" t="str">
        <f>IFERROR(__xludf.DUMMYFUNCTION("""COMPUTED_VALUE"""),"myt_bonemyat.naing1")</f>
        <v>myt_bonemyat.naing1</v>
      </c>
      <c r="H175" s="269"/>
      <c r="I175" s="269"/>
      <c r="J175" s="269"/>
      <c r="K175" s="269"/>
      <c r="L175" s="269"/>
      <c r="M175" s="269"/>
      <c r="N175" s="269"/>
      <c r="O175" s="269"/>
      <c r="P175" s="269"/>
      <c r="Q175" s="269"/>
      <c r="R175" s="269"/>
      <c r="S175" s="269"/>
      <c r="T175" s="269"/>
      <c r="U175" s="269"/>
      <c r="V175" s="269"/>
      <c r="W175" s="269"/>
      <c r="X175" s="269"/>
      <c r="Y175" s="269"/>
      <c r="Z175" s="269"/>
      <c r="AA175" s="269"/>
      <c r="AB175" s="269"/>
      <c r="AC175" s="269"/>
      <c r="AD175" s="269"/>
      <c r="AE175" s="269"/>
      <c r="AF175" s="269"/>
      <c r="AG175" s="269"/>
      <c r="AH175" s="269"/>
      <c r="AI175" s="269"/>
      <c r="AJ175" s="269"/>
      <c r="AK175" s="269"/>
      <c r="AL175" s="269"/>
      <c r="AM175" s="269"/>
      <c r="AN175" s="269"/>
      <c r="AO175" s="269"/>
      <c r="AP175" s="269"/>
      <c r="AQ175" s="269"/>
      <c r="AR175" s="269"/>
    </row>
    <row r="176">
      <c r="A176" s="410" t="str">
        <f>IFERROR(__xludf.DUMMYFUNCTION("""COMPUTED_VALUE"""),"WO_WFM-OTHERS_20260623_123616217")</f>
        <v>WO_WFM-OTHERS_20260623_123616217</v>
      </c>
      <c r="B176" s="410" t="str">
        <f>IFERROR(__xludf.DUMMYFUNCTION("""COMPUTED_VALUE"""),"Cable Patrol for (AC)-TNI0129-TNIM043")</f>
        <v>Cable Patrol for (AC)-TNI0129-TNIM043</v>
      </c>
      <c r="C176" s="410">
        <f>IFERROR(__xludf.DUMMYFUNCTION("""COMPUTED_VALUE"""),439.03)</f>
        <v>439.03</v>
      </c>
      <c r="D176" s="410" t="str">
        <f>IFERROR(__xludf.DUMMYFUNCTION("""COMPUTED_VALUE"""),"T1")</f>
        <v>T1</v>
      </c>
      <c r="E176" s="410" t="str">
        <f>IFERROR(__xludf.DUMMYFUNCTION("""COMPUTED_VALUE"""),"TNI0129")</f>
        <v>TNI0129</v>
      </c>
      <c r="F176" s="410" t="str">
        <f>IFERROR(__xludf.DUMMYFUNCTION("""COMPUTED_VALUE"""),"myt_bonemyat.naing1")</f>
        <v>myt_bonemyat.naing1</v>
      </c>
      <c r="H176" s="269"/>
      <c r="I176" s="269"/>
      <c r="J176" s="269"/>
      <c r="K176" s="269"/>
      <c r="L176" s="269"/>
      <c r="M176" s="269"/>
      <c r="N176" s="269"/>
      <c r="O176" s="269"/>
      <c r="P176" s="269"/>
      <c r="Q176" s="269"/>
      <c r="R176" s="269"/>
      <c r="S176" s="269"/>
      <c r="T176" s="269"/>
      <c r="U176" s="269"/>
      <c r="V176" s="269"/>
      <c r="W176" s="269"/>
      <c r="X176" s="269"/>
      <c r="Y176" s="269"/>
      <c r="Z176" s="269"/>
      <c r="AA176" s="269"/>
      <c r="AB176" s="269"/>
      <c r="AC176" s="269"/>
      <c r="AD176" s="269"/>
      <c r="AE176" s="269"/>
      <c r="AF176" s="269"/>
      <c r="AG176" s="269"/>
      <c r="AH176" s="269"/>
      <c r="AI176" s="269"/>
      <c r="AJ176" s="269"/>
      <c r="AK176" s="269"/>
      <c r="AL176" s="269"/>
      <c r="AM176" s="269"/>
      <c r="AN176" s="269"/>
      <c r="AO176" s="269"/>
      <c r="AP176" s="269"/>
      <c r="AQ176" s="269"/>
      <c r="AR176" s="269"/>
    </row>
    <row r="177">
      <c r="A177" s="410" t="str">
        <f>IFERROR(__xludf.DUMMYFUNCTION("""COMPUTED_VALUE"""),"WO_WFM-OTHERS_20260623_123616201")</f>
        <v>WO_WFM-OTHERS_20260623_123616201</v>
      </c>
      <c r="B177" s="410" t="str">
        <f>IFERROR(__xludf.DUMMYFUNCTION("""COMPUTED_VALUE"""),"Cable Patrol for (BB)-TNI0006-TNI0013")</f>
        <v>Cable Patrol for (BB)-TNI0006-TNI0013</v>
      </c>
      <c r="C177" s="410">
        <f>IFERROR(__xludf.DUMMYFUNCTION("""COMPUTED_VALUE"""),439.03)</f>
        <v>439.03</v>
      </c>
      <c r="D177" s="410" t="str">
        <f>IFERROR(__xludf.DUMMYFUNCTION("""COMPUTED_VALUE"""),"T1")</f>
        <v>T1</v>
      </c>
      <c r="E177" s="410" t="str">
        <f>IFERROR(__xludf.DUMMYFUNCTION("""COMPUTED_VALUE"""),"TNI0006")</f>
        <v>TNI0006</v>
      </c>
      <c r="F177" s="410" t="str">
        <f>IFERROR(__xludf.DUMMYFUNCTION("""COMPUTED_VALUE"""),"myt_bonemyat.naing1")</f>
        <v>myt_bonemyat.naing1</v>
      </c>
      <c r="H177" s="269"/>
      <c r="I177" s="269"/>
      <c r="J177" s="269"/>
      <c r="K177" s="269"/>
      <c r="L177" s="269"/>
      <c r="M177" s="269"/>
      <c r="N177" s="269"/>
      <c r="O177" s="269"/>
      <c r="P177" s="269"/>
      <c r="Q177" s="269"/>
      <c r="R177" s="269"/>
      <c r="S177" s="269"/>
      <c r="T177" s="269"/>
      <c r="U177" s="269"/>
      <c r="V177" s="269"/>
      <c r="W177" s="269"/>
      <c r="X177" s="269"/>
      <c r="Y177" s="269"/>
      <c r="Z177" s="269"/>
      <c r="AA177" s="269"/>
      <c r="AB177" s="269"/>
      <c r="AC177" s="269"/>
      <c r="AD177" s="269"/>
      <c r="AE177" s="269"/>
      <c r="AF177" s="269"/>
      <c r="AG177" s="269"/>
      <c r="AH177" s="269"/>
      <c r="AI177" s="269"/>
      <c r="AJ177" s="269"/>
      <c r="AK177" s="269"/>
      <c r="AL177" s="269"/>
      <c r="AM177" s="269"/>
      <c r="AN177" s="269"/>
      <c r="AO177" s="269"/>
      <c r="AP177" s="269"/>
      <c r="AQ177" s="269"/>
      <c r="AR177" s="269"/>
    </row>
    <row r="178">
      <c r="A178" s="410" t="str">
        <f>IFERROR(__xludf.DUMMYFUNCTION("""COMPUTED_VALUE"""),"WO_WFM-OTHERS_20260623_123616203")</f>
        <v>WO_WFM-OTHERS_20260623_123616203</v>
      </c>
      <c r="B178" s="410" t="str">
        <f>IFERROR(__xludf.DUMMYFUNCTION("""COMPUTED_VALUE"""),"Cable Patrol for (BB)-TNI0013-TNIM021")</f>
        <v>Cable Patrol for (BB)-TNI0013-TNIM021</v>
      </c>
      <c r="C178" s="410">
        <f>IFERROR(__xludf.DUMMYFUNCTION("""COMPUTED_VALUE"""),439.03)</f>
        <v>439.03</v>
      </c>
      <c r="D178" s="410" t="str">
        <f>IFERROR(__xludf.DUMMYFUNCTION("""COMPUTED_VALUE"""),"T1")</f>
        <v>T1</v>
      </c>
      <c r="E178" s="410" t="str">
        <f>IFERROR(__xludf.DUMMYFUNCTION("""COMPUTED_VALUE"""),"TNI0013")</f>
        <v>TNI0013</v>
      </c>
      <c r="F178" s="410" t="str">
        <f>IFERROR(__xludf.DUMMYFUNCTION("""COMPUTED_VALUE"""),"myt_bonemyat.naing1")</f>
        <v>myt_bonemyat.naing1</v>
      </c>
      <c r="H178" s="269"/>
      <c r="I178" s="269"/>
      <c r="J178" s="269"/>
      <c r="K178" s="269"/>
      <c r="L178" s="269"/>
      <c r="M178" s="269"/>
      <c r="N178" s="269"/>
      <c r="O178" s="269"/>
      <c r="P178" s="269"/>
      <c r="Q178" s="269"/>
      <c r="R178" s="269"/>
      <c r="S178" s="269"/>
      <c r="T178" s="269"/>
      <c r="U178" s="269"/>
      <c r="V178" s="269"/>
      <c r="W178" s="269"/>
      <c r="X178" s="269"/>
      <c r="Y178" s="269"/>
      <c r="Z178" s="269"/>
      <c r="AA178" s="269"/>
      <c r="AB178" s="269"/>
      <c r="AC178" s="269"/>
      <c r="AD178" s="269"/>
      <c r="AE178" s="269"/>
      <c r="AF178" s="269"/>
      <c r="AG178" s="269"/>
      <c r="AH178" s="269"/>
      <c r="AI178" s="269"/>
      <c r="AJ178" s="269"/>
      <c r="AK178" s="269"/>
      <c r="AL178" s="269"/>
      <c r="AM178" s="269"/>
      <c r="AN178" s="269"/>
      <c r="AO178" s="269"/>
      <c r="AP178" s="269"/>
      <c r="AQ178" s="269"/>
      <c r="AR178" s="269"/>
    </row>
    <row r="179">
      <c r="A179" s="410" t="str">
        <f>IFERROR(__xludf.DUMMYFUNCTION("""COMPUTED_VALUE"""),"WO_WFM-OTHERS_20260623_123616210")</f>
        <v>WO_WFM-OTHERS_20260623_123616210</v>
      </c>
      <c r="B179" s="410" t="str">
        <f>IFERROR(__xludf.DUMMYFUNCTION("""COMPUTED_VALUE"""),"Cable Patrol for (AC)-TNI0322-JB(TNI0013-TNI0005)")</f>
        <v>Cable Patrol for (AC)-TNI0322-JB(TNI0013-TNI0005)</v>
      </c>
      <c r="C179" s="410">
        <f>IFERROR(__xludf.DUMMYFUNCTION("""COMPUTED_VALUE"""),439.03)</f>
        <v>439.03</v>
      </c>
      <c r="D179" s="410" t="str">
        <f>IFERROR(__xludf.DUMMYFUNCTION("""COMPUTED_VALUE"""),"T1")</f>
        <v>T1</v>
      </c>
      <c r="E179" s="410" t="str">
        <f>IFERROR(__xludf.DUMMYFUNCTION("""COMPUTED_VALUE"""),"TNI0322")</f>
        <v>TNI0322</v>
      </c>
      <c r="F179" s="410" t="str">
        <f>IFERROR(__xludf.DUMMYFUNCTION("""COMPUTED_VALUE"""),"myt_bonemyat.naing1")</f>
        <v>myt_bonemyat.naing1</v>
      </c>
      <c r="H179" s="269"/>
      <c r="I179" s="269"/>
      <c r="J179" s="269"/>
      <c r="K179" s="269"/>
      <c r="L179" s="269"/>
      <c r="M179" s="269"/>
      <c r="N179" s="269"/>
      <c r="O179" s="269"/>
      <c r="P179" s="269"/>
      <c r="Q179" s="269"/>
      <c r="R179" s="269"/>
      <c r="S179" s="269"/>
      <c r="T179" s="269"/>
      <c r="U179" s="269"/>
      <c r="V179" s="269"/>
      <c r="W179" s="269"/>
      <c r="X179" s="269"/>
      <c r="Y179" s="269"/>
      <c r="Z179" s="269"/>
      <c r="AA179" s="269"/>
      <c r="AB179" s="269"/>
      <c r="AC179" s="269"/>
      <c r="AD179" s="269"/>
      <c r="AE179" s="269"/>
      <c r="AF179" s="269"/>
      <c r="AG179" s="269"/>
      <c r="AH179" s="269"/>
      <c r="AI179" s="269"/>
      <c r="AJ179" s="269"/>
      <c r="AK179" s="269"/>
      <c r="AL179" s="269"/>
      <c r="AM179" s="269"/>
      <c r="AN179" s="269"/>
      <c r="AO179" s="269"/>
      <c r="AP179" s="269"/>
      <c r="AQ179" s="269"/>
      <c r="AR179" s="269"/>
    </row>
    <row r="180">
      <c r="A180" s="410" t="str">
        <f>IFERROR(__xludf.DUMMYFUNCTION("""COMPUTED_VALUE"""),"WO_WFM-OTHERS_20260623_123616205")</f>
        <v>WO_WFM-OTHERS_20260623_123616205</v>
      </c>
      <c r="B180" s="410" t="str">
        <f>IFERROR(__xludf.DUMMYFUNCTION("""COMPUTED_VALUE"""),"Cable Patrol for (AC)-TNI0213-TNIM059")</f>
        <v>Cable Patrol for (AC)-TNI0213-TNIM059</v>
      </c>
      <c r="C180" s="410">
        <f>IFERROR(__xludf.DUMMYFUNCTION("""COMPUTED_VALUE"""),439.03)</f>
        <v>439.03</v>
      </c>
      <c r="D180" s="410" t="str">
        <f>IFERROR(__xludf.DUMMYFUNCTION("""COMPUTED_VALUE"""),"T1")</f>
        <v>T1</v>
      </c>
      <c r="E180" s="410" t="str">
        <f>IFERROR(__xludf.DUMMYFUNCTION("""COMPUTED_VALUE"""),"TNI0213")</f>
        <v>TNI0213</v>
      </c>
      <c r="F180" s="410" t="str">
        <f>IFERROR(__xludf.DUMMYFUNCTION("""COMPUTED_VALUE"""),"myt_bonemyat.naing1")</f>
        <v>myt_bonemyat.naing1</v>
      </c>
      <c r="H180" s="269"/>
      <c r="I180" s="269"/>
      <c r="J180" s="269"/>
      <c r="K180" s="269"/>
      <c r="L180" s="269"/>
      <c r="M180" s="269"/>
      <c r="N180" s="269"/>
      <c r="O180" s="269"/>
      <c r="P180" s="269"/>
      <c r="Q180" s="269"/>
      <c r="R180" s="269"/>
      <c r="S180" s="269"/>
      <c r="T180" s="269"/>
      <c r="U180" s="269"/>
      <c r="V180" s="269"/>
      <c r="W180" s="269"/>
      <c r="X180" s="269"/>
      <c r="Y180" s="269"/>
      <c r="Z180" s="269"/>
      <c r="AA180" s="269"/>
      <c r="AB180" s="269"/>
      <c r="AC180" s="269"/>
      <c r="AD180" s="269"/>
      <c r="AE180" s="269"/>
      <c r="AF180" s="269"/>
      <c r="AG180" s="269"/>
      <c r="AH180" s="269"/>
      <c r="AI180" s="269"/>
      <c r="AJ180" s="269"/>
      <c r="AK180" s="269"/>
      <c r="AL180" s="269"/>
      <c r="AM180" s="269"/>
      <c r="AN180" s="269"/>
      <c r="AO180" s="269"/>
      <c r="AP180" s="269"/>
      <c r="AQ180" s="269"/>
      <c r="AR180" s="269"/>
    </row>
    <row r="181">
      <c r="A181" s="410" t="str">
        <f>IFERROR(__xludf.DUMMYFUNCTION("""COMPUTED_VALUE"""),"WO_WFM-OTHERS_20260623_123616206")</f>
        <v>WO_WFM-OTHERS_20260623_123616206</v>
      </c>
      <c r="B181" s="410" t="str">
        <f>IFERROR(__xludf.DUMMYFUNCTION("""COMPUTED_VALUE"""),"Cable Patrol for (AC)-TNI0357-TNI0170")</f>
        <v>Cable Patrol for (AC)-TNI0357-TNI0170</v>
      </c>
      <c r="C181" s="410">
        <f>IFERROR(__xludf.DUMMYFUNCTION("""COMPUTED_VALUE"""),439.03)</f>
        <v>439.03</v>
      </c>
      <c r="D181" s="410" t="str">
        <f>IFERROR(__xludf.DUMMYFUNCTION("""COMPUTED_VALUE"""),"T1")</f>
        <v>T1</v>
      </c>
      <c r="E181" s="410" t="str">
        <f>IFERROR(__xludf.DUMMYFUNCTION("""COMPUTED_VALUE"""),"TNI0357")</f>
        <v>TNI0357</v>
      </c>
      <c r="F181" s="410" t="str">
        <f>IFERROR(__xludf.DUMMYFUNCTION("""COMPUTED_VALUE"""),"myt_bonemyat.naing1")</f>
        <v>myt_bonemyat.naing1</v>
      </c>
      <c r="H181" s="269"/>
      <c r="I181" s="269"/>
      <c r="J181" s="269"/>
      <c r="K181" s="269"/>
      <c r="L181" s="269"/>
      <c r="M181" s="269"/>
      <c r="N181" s="269"/>
      <c r="O181" s="269"/>
      <c r="P181" s="269"/>
      <c r="Q181" s="269"/>
      <c r="R181" s="269"/>
      <c r="S181" s="269"/>
      <c r="T181" s="269"/>
      <c r="U181" s="269"/>
      <c r="V181" s="269"/>
      <c r="W181" s="269"/>
      <c r="X181" s="269"/>
      <c r="Y181" s="269"/>
      <c r="Z181" s="269"/>
      <c r="AA181" s="269"/>
      <c r="AB181" s="269"/>
      <c r="AC181" s="269"/>
      <c r="AD181" s="269"/>
      <c r="AE181" s="269"/>
      <c r="AF181" s="269"/>
      <c r="AG181" s="269"/>
      <c r="AH181" s="269"/>
      <c r="AI181" s="269"/>
      <c r="AJ181" s="269"/>
      <c r="AK181" s="269"/>
      <c r="AL181" s="269"/>
      <c r="AM181" s="269"/>
      <c r="AN181" s="269"/>
      <c r="AO181" s="269"/>
      <c r="AP181" s="269"/>
      <c r="AQ181" s="269"/>
      <c r="AR181" s="269"/>
    </row>
    <row r="182">
      <c r="A182" s="410" t="str">
        <f>IFERROR(__xludf.DUMMYFUNCTION("""COMPUTED_VALUE"""),"WO_WFM-OTHERS_20260623_123616211")</f>
        <v>WO_WFM-OTHERS_20260623_123616211</v>
      </c>
      <c r="B182" s="410" t="str">
        <f>IFERROR(__xludf.DUMMYFUNCTION("""COMPUTED_VALUE"""),"Cable Patrol for (AC)-TNI0319-JB(TNI0005-TNI0013)")</f>
        <v>Cable Patrol for (AC)-TNI0319-JB(TNI0005-TNI0013)</v>
      </c>
      <c r="C182" s="410">
        <f>IFERROR(__xludf.DUMMYFUNCTION("""COMPUTED_VALUE"""),439.03)</f>
        <v>439.03</v>
      </c>
      <c r="D182" s="410" t="str">
        <f>IFERROR(__xludf.DUMMYFUNCTION("""COMPUTED_VALUE"""),"T1")</f>
        <v>T1</v>
      </c>
      <c r="E182" s="410" t="str">
        <f>IFERROR(__xludf.DUMMYFUNCTION("""COMPUTED_VALUE"""),"TNI0319")</f>
        <v>TNI0319</v>
      </c>
      <c r="F182" s="410" t="str">
        <f>IFERROR(__xludf.DUMMYFUNCTION("""COMPUTED_VALUE"""),"myt_bonemyat.naing1")</f>
        <v>myt_bonemyat.naing1</v>
      </c>
      <c r="H182" s="269"/>
      <c r="I182" s="269"/>
      <c r="J182" s="269"/>
      <c r="K182" s="269"/>
      <c r="L182" s="269"/>
      <c r="M182" s="269"/>
      <c r="N182" s="269"/>
      <c r="O182" s="269"/>
      <c r="P182" s="269"/>
      <c r="Q182" s="269"/>
      <c r="R182" s="269"/>
      <c r="S182" s="269"/>
      <c r="T182" s="269"/>
      <c r="U182" s="269"/>
      <c r="V182" s="269"/>
      <c r="W182" s="269"/>
      <c r="X182" s="269"/>
      <c r="Y182" s="269"/>
      <c r="Z182" s="269"/>
      <c r="AA182" s="269"/>
      <c r="AB182" s="269"/>
      <c r="AC182" s="269"/>
      <c r="AD182" s="269"/>
      <c r="AE182" s="269"/>
      <c r="AF182" s="269"/>
      <c r="AG182" s="269"/>
      <c r="AH182" s="269"/>
      <c r="AI182" s="269"/>
      <c r="AJ182" s="269"/>
      <c r="AK182" s="269"/>
      <c r="AL182" s="269"/>
      <c r="AM182" s="269"/>
      <c r="AN182" s="269"/>
      <c r="AO182" s="269"/>
      <c r="AP182" s="269"/>
      <c r="AQ182" s="269"/>
      <c r="AR182" s="269"/>
    </row>
    <row r="183">
      <c r="A183" s="410" t="str">
        <f>IFERROR(__xludf.DUMMYFUNCTION("""COMPUTED_VALUE"""),"WO_WFM-OTHERS_20260623_123616204")</f>
        <v>WO_WFM-OTHERS_20260623_123616204</v>
      </c>
      <c r="B183" s="410" t="str">
        <f>IFERROR(__xludf.DUMMYFUNCTION("""COMPUTED_VALUE"""),"Cable Patrol for (AC)-TNI0185-JB(MON0002-TNI0006)")</f>
        <v>Cable Patrol for (AC)-TNI0185-JB(MON0002-TNI0006)</v>
      </c>
      <c r="C183" s="410">
        <f>IFERROR(__xludf.DUMMYFUNCTION("""COMPUTED_VALUE"""),439.03)</f>
        <v>439.03</v>
      </c>
      <c r="D183" s="410" t="str">
        <f>IFERROR(__xludf.DUMMYFUNCTION("""COMPUTED_VALUE"""),"T1")</f>
        <v>T1</v>
      </c>
      <c r="E183" s="410" t="str">
        <f>IFERROR(__xludf.DUMMYFUNCTION("""COMPUTED_VALUE"""),"TNI0185")</f>
        <v>TNI0185</v>
      </c>
      <c r="F183" s="410" t="str">
        <f>IFERROR(__xludf.DUMMYFUNCTION("""COMPUTED_VALUE"""),"myt_bonemyat.naing1")</f>
        <v>myt_bonemyat.naing1</v>
      </c>
      <c r="H183" s="269"/>
      <c r="I183" s="269"/>
      <c r="J183" s="269"/>
      <c r="K183" s="269"/>
      <c r="L183" s="269"/>
      <c r="M183" s="269"/>
      <c r="N183" s="269"/>
      <c r="O183" s="269"/>
      <c r="P183" s="269"/>
      <c r="Q183" s="269"/>
      <c r="R183" s="269"/>
      <c r="S183" s="269"/>
      <c r="T183" s="269"/>
      <c r="U183" s="269"/>
      <c r="V183" s="269"/>
      <c r="W183" s="269"/>
      <c r="X183" s="269"/>
      <c r="Y183" s="269"/>
      <c r="Z183" s="269"/>
      <c r="AA183" s="269"/>
      <c r="AB183" s="269"/>
      <c r="AC183" s="269"/>
      <c r="AD183" s="269"/>
      <c r="AE183" s="269"/>
      <c r="AF183" s="269"/>
      <c r="AG183" s="269"/>
      <c r="AH183" s="269"/>
      <c r="AI183" s="269"/>
      <c r="AJ183" s="269"/>
      <c r="AK183" s="269"/>
      <c r="AL183" s="269"/>
      <c r="AM183" s="269"/>
      <c r="AN183" s="269"/>
      <c r="AO183" s="269"/>
      <c r="AP183" s="269"/>
      <c r="AQ183" s="269"/>
      <c r="AR183" s="269"/>
    </row>
    <row r="184">
      <c r="A184" s="410" t="str">
        <f>IFERROR(__xludf.DUMMYFUNCTION("""COMPUTED_VALUE"""),"WO_WFM-OTHERS_20260623_123616208")</f>
        <v>WO_WFM-OTHERS_20260623_123616208</v>
      </c>
      <c r="B184" s="410" t="str">
        <f>IFERROR(__xludf.DUMMYFUNCTION("""COMPUTED_VALUE"""),"Cable Patrol for (AC)-TNI0147-TNI0357")</f>
        <v>Cable Patrol for (AC)-TNI0147-TNI0357</v>
      </c>
      <c r="C184" s="410">
        <f>IFERROR(__xludf.DUMMYFUNCTION("""COMPUTED_VALUE"""),439.03)</f>
        <v>439.03</v>
      </c>
      <c r="D184" s="410" t="str">
        <f>IFERROR(__xludf.DUMMYFUNCTION("""COMPUTED_VALUE"""),"T1")</f>
        <v>T1</v>
      </c>
      <c r="E184" s="410" t="str">
        <f>IFERROR(__xludf.DUMMYFUNCTION("""COMPUTED_VALUE"""),"TNI0147")</f>
        <v>TNI0147</v>
      </c>
      <c r="F184" s="410" t="str">
        <f>IFERROR(__xludf.DUMMYFUNCTION("""COMPUTED_VALUE"""),"myt_bonemyat.naing1")</f>
        <v>myt_bonemyat.naing1</v>
      </c>
      <c r="H184" s="269"/>
      <c r="I184" s="269"/>
      <c r="J184" s="269"/>
      <c r="K184" s="269"/>
      <c r="L184" s="269"/>
      <c r="M184" s="269"/>
      <c r="N184" s="269"/>
      <c r="O184" s="269"/>
      <c r="P184" s="269"/>
      <c r="Q184" s="269"/>
      <c r="R184" s="269"/>
      <c r="S184" s="269"/>
      <c r="T184" s="269"/>
      <c r="U184" s="269"/>
      <c r="V184" s="269"/>
      <c r="W184" s="269"/>
      <c r="X184" s="269"/>
      <c r="Y184" s="269"/>
      <c r="Z184" s="269"/>
      <c r="AA184" s="269"/>
      <c r="AB184" s="269"/>
      <c r="AC184" s="269"/>
      <c r="AD184" s="269"/>
      <c r="AE184" s="269"/>
      <c r="AF184" s="269"/>
      <c r="AG184" s="269"/>
      <c r="AH184" s="269"/>
      <c r="AI184" s="269"/>
      <c r="AJ184" s="269"/>
      <c r="AK184" s="269"/>
      <c r="AL184" s="269"/>
      <c r="AM184" s="269"/>
      <c r="AN184" s="269"/>
      <c r="AO184" s="269"/>
      <c r="AP184" s="269"/>
      <c r="AQ184" s="269"/>
      <c r="AR184" s="269"/>
    </row>
    <row r="185">
      <c r="A185" s="410" t="str">
        <f>IFERROR(__xludf.DUMMYFUNCTION("""COMPUTED_VALUE"""),"WO_ICMS_20260623_123615070")</f>
        <v>WO_ICMS_20260623_123615070</v>
      </c>
      <c r="B185" s="410" t="str">
        <f>IFERROR(__xludf.DUMMYFUNCTION("""COMPUTED_VALUE"""),"TNI0272 MYT_Routine_Maintenance_Mytel_Station MYT_RTE_MTE_SB_STN")</f>
        <v>TNI0272 MYT_Routine_Maintenance_Mytel_Station MYT_RTE_MTE_SB_STN</v>
      </c>
      <c r="C185" s="410">
        <f>IFERROR(__xludf.DUMMYFUNCTION("""COMPUTED_VALUE"""),886.64)</f>
        <v>886.64</v>
      </c>
      <c r="D185" s="410" t="str">
        <f>IFERROR(__xludf.DUMMYFUNCTION("""COMPUTED_VALUE"""),"T1")</f>
        <v>T1</v>
      </c>
      <c r="E185" s="410" t="str">
        <f>IFERROR(__xludf.DUMMYFUNCTION("""COMPUTED_VALUE"""),"TNI0272")</f>
        <v>TNI0272</v>
      </c>
      <c r="F185" s="410" t="str">
        <f>IFERROR(__xludf.DUMMYFUNCTION("""COMPUTED_VALUE"""),"myt_bonemyat.naing1")</f>
        <v>myt_bonemyat.naing1</v>
      </c>
      <c r="H185" s="269"/>
      <c r="I185" s="269"/>
      <c r="J185" s="269"/>
      <c r="K185" s="269"/>
      <c r="L185" s="269"/>
      <c r="M185" s="269"/>
      <c r="N185" s="269"/>
      <c r="O185" s="269"/>
      <c r="P185" s="269"/>
      <c r="Q185" s="269"/>
      <c r="R185" s="269"/>
      <c r="S185" s="269"/>
      <c r="T185" s="269"/>
      <c r="U185" s="269"/>
      <c r="V185" s="269"/>
      <c r="W185" s="269"/>
      <c r="X185" s="269"/>
      <c r="Y185" s="269"/>
      <c r="Z185" s="269"/>
      <c r="AA185" s="269"/>
      <c r="AB185" s="269"/>
      <c r="AC185" s="269"/>
      <c r="AD185" s="269"/>
      <c r="AE185" s="269"/>
      <c r="AF185" s="269"/>
      <c r="AG185" s="269"/>
      <c r="AH185" s="269"/>
      <c r="AI185" s="269"/>
      <c r="AJ185" s="269"/>
      <c r="AK185" s="269"/>
      <c r="AL185" s="269"/>
      <c r="AM185" s="269"/>
      <c r="AN185" s="269"/>
      <c r="AO185" s="269"/>
      <c r="AP185" s="269"/>
      <c r="AQ185" s="269"/>
      <c r="AR185" s="269"/>
    </row>
    <row r="186">
      <c r="A186" s="410" t="str">
        <f>IFERROR(__xludf.DUMMYFUNCTION("""COMPUTED_VALUE"""),"WO_WFM-OTHERS_20260623_123613115")</f>
        <v>WO_WFM-OTHERS_20260623_123613115</v>
      </c>
      <c r="B186" s="410" t="str">
        <f>IFERROR(__xludf.DUMMYFUNCTION("""COMPUTED_VALUE"""),"Cable routes measure-AC-TNI0273-TNIM063")</f>
        <v>Cable routes measure-AC-TNI0273-TNIM063</v>
      </c>
      <c r="C186" s="410">
        <f>IFERROR(__xludf.DUMMYFUNCTION("""COMPUTED_VALUE"""),439.03)</f>
        <v>439.03</v>
      </c>
      <c r="D186" s="410" t="str">
        <f>IFERROR(__xludf.DUMMYFUNCTION("""COMPUTED_VALUE"""),"T1")</f>
        <v>T1</v>
      </c>
      <c r="E186" s="410" t="str">
        <f>IFERROR(__xludf.DUMMYFUNCTION("""COMPUTED_VALUE"""),"TNI0273")</f>
        <v>TNI0273</v>
      </c>
      <c r="F186" s="410" t="str">
        <f>IFERROR(__xludf.DUMMYFUNCTION("""COMPUTED_VALUE"""),"myt_bonemyat.naing1")</f>
        <v>myt_bonemyat.naing1</v>
      </c>
      <c r="H186" s="269"/>
      <c r="I186" s="269"/>
      <c r="J186" s="269"/>
      <c r="K186" s="269"/>
      <c r="L186" s="269"/>
      <c r="M186" s="269"/>
      <c r="N186" s="269"/>
      <c r="O186" s="269"/>
      <c r="P186" s="269"/>
      <c r="Q186" s="269"/>
      <c r="R186" s="269"/>
      <c r="S186" s="269"/>
      <c r="T186" s="269"/>
      <c r="U186" s="269"/>
      <c r="V186" s="269"/>
      <c r="W186" s="269"/>
      <c r="X186" s="269"/>
      <c r="Y186" s="269"/>
      <c r="Z186" s="269"/>
      <c r="AA186" s="269"/>
      <c r="AB186" s="269"/>
      <c r="AC186" s="269"/>
      <c r="AD186" s="269"/>
      <c r="AE186" s="269"/>
      <c r="AF186" s="269"/>
      <c r="AG186" s="269"/>
      <c r="AH186" s="269"/>
      <c r="AI186" s="269"/>
      <c r="AJ186" s="269"/>
      <c r="AK186" s="269"/>
      <c r="AL186" s="269"/>
      <c r="AM186" s="269"/>
      <c r="AN186" s="269"/>
      <c r="AO186" s="269"/>
      <c r="AP186" s="269"/>
      <c r="AQ186" s="269"/>
      <c r="AR186" s="269"/>
    </row>
    <row r="187">
      <c r="A187" s="410" t="str">
        <f>IFERROR(__xludf.DUMMYFUNCTION("""COMPUTED_VALUE"""),"WO_WFM-OTHERS_20260623_123613116")</f>
        <v>WO_WFM-OTHERS_20260623_123613116</v>
      </c>
      <c r="B187" s="410" t="str">
        <f>IFERROR(__xludf.DUMMYFUNCTION("""COMPUTED_VALUE"""),"Cable routes measure-AC-TNI0046-JB(TNI0005-TNI0013)")</f>
        <v>Cable routes measure-AC-TNI0046-JB(TNI0005-TNI0013)</v>
      </c>
      <c r="C187" s="410">
        <f>IFERROR(__xludf.DUMMYFUNCTION("""COMPUTED_VALUE"""),439.03)</f>
        <v>439.03</v>
      </c>
      <c r="D187" s="410" t="str">
        <f>IFERROR(__xludf.DUMMYFUNCTION("""COMPUTED_VALUE"""),"T1")</f>
        <v>T1</v>
      </c>
      <c r="E187" s="410" t="str">
        <f>IFERROR(__xludf.DUMMYFUNCTION("""COMPUTED_VALUE"""),"TNI0046")</f>
        <v>TNI0046</v>
      </c>
      <c r="F187" s="410" t="str">
        <f>IFERROR(__xludf.DUMMYFUNCTION("""COMPUTED_VALUE"""),"myt_bonemyat.naing1")</f>
        <v>myt_bonemyat.naing1</v>
      </c>
      <c r="H187" s="269"/>
      <c r="I187" s="269"/>
      <c r="J187" s="269"/>
      <c r="K187" s="269"/>
      <c r="L187" s="269"/>
      <c r="M187" s="269"/>
      <c r="N187" s="269"/>
      <c r="O187" s="269"/>
      <c r="P187" s="269"/>
      <c r="Q187" s="269"/>
      <c r="R187" s="269"/>
      <c r="S187" s="269"/>
      <c r="T187" s="269"/>
      <c r="U187" s="269"/>
      <c r="V187" s="269"/>
      <c r="W187" s="269"/>
      <c r="X187" s="269"/>
      <c r="Y187" s="269"/>
      <c r="Z187" s="269"/>
      <c r="AA187" s="269"/>
      <c r="AB187" s="269"/>
      <c r="AC187" s="269"/>
      <c r="AD187" s="269"/>
      <c r="AE187" s="269"/>
      <c r="AF187" s="269"/>
      <c r="AG187" s="269"/>
      <c r="AH187" s="269"/>
      <c r="AI187" s="269"/>
      <c r="AJ187" s="269"/>
      <c r="AK187" s="269"/>
      <c r="AL187" s="269"/>
      <c r="AM187" s="269"/>
      <c r="AN187" s="269"/>
      <c r="AO187" s="269"/>
      <c r="AP187" s="269"/>
      <c r="AQ187" s="269"/>
      <c r="AR187" s="269"/>
    </row>
    <row r="188">
      <c r="A188" s="410" t="str">
        <f>IFERROR(__xludf.DUMMYFUNCTION("""COMPUTED_VALUE"""),"WO_WFM-OTHERS_20260623_123613118")</f>
        <v>WO_WFM-OTHERS_20260623_123613118</v>
      </c>
      <c r="B188" s="410" t="str">
        <f>IFERROR(__xludf.DUMMYFUNCTION("""COMPUTED_VALUE"""),"Cable routes measure-AC-TNI0198-TNIM055")</f>
        <v>Cable routes measure-AC-TNI0198-TNIM055</v>
      </c>
      <c r="C188" s="410">
        <f>IFERROR(__xludf.DUMMYFUNCTION("""COMPUTED_VALUE"""),439.03)</f>
        <v>439.03</v>
      </c>
      <c r="D188" s="410" t="str">
        <f>IFERROR(__xludf.DUMMYFUNCTION("""COMPUTED_VALUE"""),"T1")</f>
        <v>T1</v>
      </c>
      <c r="E188" s="410" t="str">
        <f>IFERROR(__xludf.DUMMYFUNCTION("""COMPUTED_VALUE"""),"TNI0198")</f>
        <v>TNI0198</v>
      </c>
      <c r="F188" s="410" t="str">
        <f>IFERROR(__xludf.DUMMYFUNCTION("""COMPUTED_VALUE"""),"myt_bonemyat.naing1")</f>
        <v>myt_bonemyat.naing1</v>
      </c>
      <c r="H188" s="269"/>
      <c r="I188" s="269"/>
      <c r="J188" s="269"/>
      <c r="K188" s="269"/>
      <c r="L188" s="269"/>
      <c r="M188" s="269"/>
      <c r="N188" s="269"/>
      <c r="O188" s="269"/>
      <c r="P188" s="269"/>
      <c r="Q188" s="269"/>
      <c r="R188" s="269"/>
      <c r="S188" s="269"/>
      <c r="T188" s="269"/>
      <c r="U188" s="269"/>
      <c r="V188" s="269"/>
      <c r="W188" s="269"/>
      <c r="X188" s="269"/>
      <c r="Y188" s="269"/>
      <c r="Z188" s="269"/>
      <c r="AA188" s="269"/>
      <c r="AB188" s="269"/>
      <c r="AC188" s="269"/>
      <c r="AD188" s="269"/>
      <c r="AE188" s="269"/>
      <c r="AF188" s="269"/>
      <c r="AG188" s="269"/>
      <c r="AH188" s="269"/>
      <c r="AI188" s="269"/>
      <c r="AJ188" s="269"/>
      <c r="AK188" s="269"/>
      <c r="AL188" s="269"/>
      <c r="AM188" s="269"/>
      <c r="AN188" s="269"/>
      <c r="AO188" s="269"/>
      <c r="AP188" s="269"/>
      <c r="AQ188" s="269"/>
      <c r="AR188" s="269"/>
    </row>
    <row r="189">
      <c r="A189" s="410" t="str">
        <f>IFERROR(__xludf.DUMMYFUNCTION("""COMPUTED_VALUE"""),"WO_WFM-OTHERS_20260623_123613117")</f>
        <v>WO_WFM-OTHERS_20260623_123613117</v>
      </c>
      <c r="B189" s="410" t="str">
        <f>IFERROR(__xludf.DUMMYFUNCTION("""COMPUTED_VALUE"""),"Cable routes measure-AC-TNI0424-TNIM034")</f>
        <v>Cable routes measure-AC-TNI0424-TNIM034</v>
      </c>
      <c r="C189" s="410">
        <f>IFERROR(__xludf.DUMMYFUNCTION("""COMPUTED_VALUE"""),439.03)</f>
        <v>439.03</v>
      </c>
      <c r="D189" s="410" t="str">
        <f>IFERROR(__xludf.DUMMYFUNCTION("""COMPUTED_VALUE"""),"T1")</f>
        <v>T1</v>
      </c>
      <c r="E189" s="410" t="str">
        <f>IFERROR(__xludf.DUMMYFUNCTION("""COMPUTED_VALUE"""),"TNI0424")</f>
        <v>TNI0424</v>
      </c>
      <c r="F189" s="410" t="str">
        <f>IFERROR(__xludf.DUMMYFUNCTION("""COMPUTED_VALUE"""),"myt_bonemyat.naing1")</f>
        <v>myt_bonemyat.naing1</v>
      </c>
      <c r="H189" s="269"/>
      <c r="I189" s="269"/>
      <c r="J189" s="269"/>
      <c r="K189" s="269"/>
      <c r="L189" s="269"/>
      <c r="M189" s="269"/>
      <c r="N189" s="269"/>
      <c r="O189" s="269"/>
      <c r="P189" s="269"/>
      <c r="Q189" s="269"/>
      <c r="R189" s="269"/>
      <c r="S189" s="269"/>
      <c r="T189" s="269"/>
      <c r="U189" s="269"/>
      <c r="V189" s="269"/>
      <c r="W189" s="269"/>
      <c r="X189" s="269"/>
      <c r="Y189" s="269"/>
      <c r="Z189" s="269"/>
      <c r="AA189" s="269"/>
      <c r="AB189" s="269"/>
      <c r="AC189" s="269"/>
      <c r="AD189" s="269"/>
      <c r="AE189" s="269"/>
      <c r="AF189" s="269"/>
      <c r="AG189" s="269"/>
      <c r="AH189" s="269"/>
      <c r="AI189" s="269"/>
      <c r="AJ189" s="269"/>
      <c r="AK189" s="269"/>
      <c r="AL189" s="269"/>
      <c r="AM189" s="269"/>
      <c r="AN189" s="269"/>
      <c r="AO189" s="269"/>
      <c r="AP189" s="269"/>
      <c r="AQ189" s="269"/>
      <c r="AR189" s="269"/>
    </row>
    <row r="190">
      <c r="A190" s="410" t="str">
        <f>IFERROR(__xludf.DUMMYFUNCTION("""COMPUTED_VALUE"""),"WO_WFM-OTHERS_20260623_123613104")</f>
        <v>WO_WFM-OTHERS_20260623_123613104</v>
      </c>
      <c r="B190" s="410" t="str">
        <f>IFERROR(__xludf.DUMMYFUNCTION("""COMPUTED_VALUE"""),"Cable routes measure-AC-TNI0357-TNI0170")</f>
        <v>Cable routes measure-AC-TNI0357-TNI0170</v>
      </c>
      <c r="C190" s="410">
        <f>IFERROR(__xludf.DUMMYFUNCTION("""COMPUTED_VALUE"""),439.03)</f>
        <v>439.03</v>
      </c>
      <c r="D190" s="410" t="str">
        <f>IFERROR(__xludf.DUMMYFUNCTION("""COMPUTED_VALUE"""),"T1")</f>
        <v>T1</v>
      </c>
      <c r="E190" s="410" t="str">
        <f>IFERROR(__xludf.DUMMYFUNCTION("""COMPUTED_VALUE"""),"TNI0357")</f>
        <v>TNI0357</v>
      </c>
      <c r="F190" s="410" t="str">
        <f>IFERROR(__xludf.DUMMYFUNCTION("""COMPUTED_VALUE"""),"myt_bonemyat.naing1")</f>
        <v>myt_bonemyat.naing1</v>
      </c>
      <c r="H190" s="269"/>
      <c r="I190" s="269"/>
      <c r="J190" s="269"/>
      <c r="K190" s="269"/>
      <c r="L190" s="269"/>
      <c r="M190" s="269"/>
      <c r="N190" s="269"/>
      <c r="O190" s="269"/>
      <c r="P190" s="269"/>
      <c r="Q190" s="269"/>
      <c r="R190" s="269"/>
      <c r="S190" s="269"/>
      <c r="T190" s="269"/>
      <c r="U190" s="269"/>
      <c r="V190" s="269"/>
      <c r="W190" s="269"/>
      <c r="X190" s="269"/>
      <c r="Y190" s="269"/>
      <c r="Z190" s="269"/>
      <c r="AA190" s="269"/>
      <c r="AB190" s="269"/>
      <c r="AC190" s="269"/>
      <c r="AD190" s="269"/>
      <c r="AE190" s="269"/>
      <c r="AF190" s="269"/>
      <c r="AG190" s="269"/>
      <c r="AH190" s="269"/>
      <c r="AI190" s="269"/>
      <c r="AJ190" s="269"/>
      <c r="AK190" s="269"/>
      <c r="AL190" s="269"/>
      <c r="AM190" s="269"/>
      <c r="AN190" s="269"/>
      <c r="AO190" s="269"/>
      <c r="AP190" s="269"/>
      <c r="AQ190" s="269"/>
      <c r="AR190" s="269"/>
    </row>
    <row r="191">
      <c r="A191" s="410" t="str">
        <f>IFERROR(__xludf.DUMMYFUNCTION("""COMPUTED_VALUE"""),"WO_WFM-OTHERS_20260623_123613105")</f>
        <v>WO_WFM-OTHERS_20260623_123613105</v>
      </c>
      <c r="B191" s="410" t="str">
        <f>IFERROR(__xludf.DUMMYFUNCTION("""COMPUTED_VALUE"""),"Cable routes measure-AC-TNI0150-TNI0206")</f>
        <v>Cable routes measure-AC-TNI0150-TNI0206</v>
      </c>
      <c r="C191" s="410">
        <f>IFERROR(__xludf.DUMMYFUNCTION("""COMPUTED_VALUE"""),439.03)</f>
        <v>439.03</v>
      </c>
      <c r="D191" s="410" t="str">
        <f>IFERROR(__xludf.DUMMYFUNCTION("""COMPUTED_VALUE"""),"T1")</f>
        <v>T1</v>
      </c>
      <c r="E191" s="410" t="str">
        <f>IFERROR(__xludf.DUMMYFUNCTION("""COMPUTED_VALUE"""),"TNI0150")</f>
        <v>TNI0150</v>
      </c>
      <c r="F191" s="410" t="str">
        <f>IFERROR(__xludf.DUMMYFUNCTION("""COMPUTED_VALUE"""),"myt_bonemyat.naing1")</f>
        <v>myt_bonemyat.naing1</v>
      </c>
      <c r="H191" s="269"/>
      <c r="I191" s="269"/>
      <c r="J191" s="269"/>
      <c r="K191" s="269"/>
      <c r="L191" s="269"/>
      <c r="M191" s="269"/>
      <c r="N191" s="269"/>
      <c r="O191" s="269"/>
      <c r="P191" s="269"/>
      <c r="Q191" s="269"/>
      <c r="R191" s="269"/>
      <c r="S191" s="269"/>
      <c r="T191" s="269"/>
      <c r="U191" s="269"/>
      <c r="V191" s="269"/>
      <c r="W191" s="269"/>
      <c r="X191" s="269"/>
      <c r="Y191" s="269"/>
      <c r="Z191" s="269"/>
      <c r="AA191" s="269"/>
      <c r="AB191" s="269"/>
      <c r="AC191" s="269"/>
      <c r="AD191" s="269"/>
      <c r="AE191" s="269"/>
      <c r="AF191" s="269"/>
      <c r="AG191" s="269"/>
      <c r="AH191" s="269"/>
      <c r="AI191" s="269"/>
      <c r="AJ191" s="269"/>
      <c r="AK191" s="269"/>
      <c r="AL191" s="269"/>
      <c r="AM191" s="269"/>
      <c r="AN191" s="269"/>
      <c r="AO191" s="269"/>
      <c r="AP191" s="269"/>
      <c r="AQ191" s="269"/>
      <c r="AR191" s="269"/>
    </row>
    <row r="192">
      <c r="A192" s="410" t="str">
        <f>IFERROR(__xludf.DUMMYFUNCTION("""COMPUTED_VALUE"""),"WO_WFM-OTHERS_20260623_123613109")</f>
        <v>WO_WFM-OTHERS_20260623_123613109</v>
      </c>
      <c r="B192" s="410" t="str">
        <f>IFERROR(__xludf.DUMMYFUNCTION("""COMPUTED_VALUE"""),"Cable routes measure-AC-TNI0206-TNI0213")</f>
        <v>Cable routes measure-AC-TNI0206-TNI0213</v>
      </c>
      <c r="C192" s="410">
        <f>IFERROR(__xludf.DUMMYFUNCTION("""COMPUTED_VALUE"""),439.03)</f>
        <v>439.03</v>
      </c>
      <c r="D192" s="410" t="str">
        <f>IFERROR(__xludf.DUMMYFUNCTION("""COMPUTED_VALUE"""),"T1")</f>
        <v>T1</v>
      </c>
      <c r="E192" s="410" t="str">
        <f>IFERROR(__xludf.DUMMYFUNCTION("""COMPUTED_VALUE"""),"TNI0206")</f>
        <v>TNI0206</v>
      </c>
      <c r="F192" s="410" t="str">
        <f>IFERROR(__xludf.DUMMYFUNCTION("""COMPUTED_VALUE"""),"myt_bonemyat.naing1")</f>
        <v>myt_bonemyat.naing1</v>
      </c>
      <c r="H192" s="269"/>
      <c r="I192" s="269"/>
      <c r="J192" s="269"/>
      <c r="K192" s="269"/>
      <c r="L192" s="269"/>
      <c r="M192" s="269"/>
      <c r="N192" s="269"/>
      <c r="O192" s="269"/>
      <c r="P192" s="269"/>
      <c r="Q192" s="269"/>
      <c r="R192" s="269"/>
      <c r="S192" s="269"/>
      <c r="T192" s="269"/>
      <c r="U192" s="269"/>
      <c r="V192" s="269"/>
      <c r="W192" s="269"/>
      <c r="X192" s="269"/>
      <c r="Y192" s="269"/>
      <c r="Z192" s="269"/>
      <c r="AA192" s="269"/>
      <c r="AB192" s="269"/>
      <c r="AC192" s="269"/>
      <c r="AD192" s="269"/>
      <c r="AE192" s="269"/>
      <c r="AF192" s="269"/>
      <c r="AG192" s="269"/>
      <c r="AH192" s="269"/>
      <c r="AI192" s="269"/>
      <c r="AJ192" s="269"/>
      <c r="AK192" s="269"/>
      <c r="AL192" s="269"/>
      <c r="AM192" s="269"/>
      <c r="AN192" s="269"/>
      <c r="AO192" s="269"/>
      <c r="AP192" s="269"/>
      <c r="AQ192" s="269"/>
      <c r="AR192" s="269"/>
    </row>
    <row r="193">
      <c r="A193" s="410" t="str">
        <f>IFERROR(__xludf.DUMMYFUNCTION("""COMPUTED_VALUE"""),"WO_WFM-OTHERS_20260623_123613112")</f>
        <v>WO_WFM-OTHERS_20260623_123613112</v>
      </c>
      <c r="B193" s="410" t="str">
        <f>IFERROR(__xludf.DUMMYFUNCTION("""COMPUTED_VALUE"""),"Cable routes measure-AC-TNI0322-JB(TNI0013-TNI0005)")</f>
        <v>Cable routes measure-AC-TNI0322-JB(TNI0013-TNI0005)</v>
      </c>
      <c r="C193" s="410">
        <f>IFERROR(__xludf.DUMMYFUNCTION("""COMPUTED_VALUE"""),439.03)</f>
        <v>439.03</v>
      </c>
      <c r="D193" s="410" t="str">
        <f>IFERROR(__xludf.DUMMYFUNCTION("""COMPUTED_VALUE"""),"T1")</f>
        <v>T1</v>
      </c>
      <c r="E193" s="410" t="str">
        <f>IFERROR(__xludf.DUMMYFUNCTION("""COMPUTED_VALUE"""),"TNI0322")</f>
        <v>TNI0322</v>
      </c>
      <c r="F193" s="410" t="str">
        <f>IFERROR(__xludf.DUMMYFUNCTION("""COMPUTED_VALUE"""),"myt_bonemyat.naing1")</f>
        <v>myt_bonemyat.naing1</v>
      </c>
      <c r="H193" s="269"/>
      <c r="I193" s="269"/>
      <c r="J193" s="269"/>
      <c r="K193" s="269"/>
      <c r="L193" s="269"/>
      <c r="M193" s="269"/>
      <c r="N193" s="269"/>
      <c r="O193" s="269"/>
      <c r="P193" s="269"/>
      <c r="Q193" s="269"/>
      <c r="R193" s="269"/>
      <c r="S193" s="269"/>
      <c r="T193" s="269"/>
      <c r="U193" s="269"/>
      <c r="V193" s="269"/>
      <c r="W193" s="269"/>
      <c r="X193" s="269"/>
      <c r="Y193" s="269"/>
      <c r="Z193" s="269"/>
      <c r="AA193" s="269"/>
      <c r="AB193" s="269"/>
      <c r="AC193" s="269"/>
      <c r="AD193" s="269"/>
      <c r="AE193" s="269"/>
      <c r="AF193" s="269"/>
      <c r="AG193" s="269"/>
      <c r="AH193" s="269"/>
      <c r="AI193" s="269"/>
      <c r="AJ193" s="269"/>
      <c r="AK193" s="269"/>
      <c r="AL193" s="269"/>
      <c r="AM193" s="269"/>
      <c r="AN193" s="269"/>
      <c r="AO193" s="269"/>
      <c r="AP193" s="269"/>
      <c r="AQ193" s="269"/>
      <c r="AR193" s="269"/>
    </row>
    <row r="194">
      <c r="A194" s="410" t="str">
        <f>IFERROR(__xludf.DUMMYFUNCTION("""COMPUTED_VALUE"""),"WO_WFM-OTHERS_20260623_123613106")</f>
        <v>WO_WFM-OTHERS_20260623_123613106</v>
      </c>
      <c r="B194" s="410" t="str">
        <f>IFERROR(__xludf.DUMMYFUNCTION("""COMPUTED_VALUE"""),"Cable routes measure-AC-TNI0146-TNI0357")</f>
        <v>Cable routes measure-AC-TNI0146-TNI0357</v>
      </c>
      <c r="C194" s="410">
        <f>IFERROR(__xludf.DUMMYFUNCTION("""COMPUTED_VALUE"""),439.03)</f>
        <v>439.03</v>
      </c>
      <c r="D194" s="410" t="str">
        <f>IFERROR(__xludf.DUMMYFUNCTION("""COMPUTED_VALUE"""),"T1")</f>
        <v>T1</v>
      </c>
      <c r="E194" s="410" t="str">
        <f>IFERROR(__xludf.DUMMYFUNCTION("""COMPUTED_VALUE"""),"TNI0146")</f>
        <v>TNI0146</v>
      </c>
      <c r="F194" s="410" t="str">
        <f>IFERROR(__xludf.DUMMYFUNCTION("""COMPUTED_VALUE"""),"myt_bonemyat.naing1")</f>
        <v>myt_bonemyat.naing1</v>
      </c>
      <c r="H194" s="269"/>
      <c r="I194" s="269"/>
      <c r="J194" s="269"/>
      <c r="K194" s="269"/>
      <c r="L194" s="269"/>
      <c r="M194" s="269"/>
      <c r="N194" s="269"/>
      <c r="O194" s="269"/>
      <c r="P194" s="269"/>
      <c r="Q194" s="269"/>
      <c r="R194" s="269"/>
      <c r="S194" s="269"/>
      <c r="T194" s="269"/>
      <c r="U194" s="269"/>
      <c r="V194" s="269"/>
      <c r="W194" s="269"/>
      <c r="X194" s="269"/>
      <c r="Y194" s="269"/>
      <c r="Z194" s="269"/>
      <c r="AA194" s="269"/>
      <c r="AB194" s="269"/>
      <c r="AC194" s="269"/>
      <c r="AD194" s="269"/>
      <c r="AE194" s="269"/>
      <c r="AF194" s="269"/>
      <c r="AG194" s="269"/>
      <c r="AH194" s="269"/>
      <c r="AI194" s="269"/>
      <c r="AJ194" s="269"/>
      <c r="AK194" s="269"/>
      <c r="AL194" s="269"/>
      <c r="AM194" s="269"/>
      <c r="AN194" s="269"/>
      <c r="AO194" s="269"/>
      <c r="AP194" s="269"/>
      <c r="AQ194" s="269"/>
      <c r="AR194" s="269"/>
    </row>
    <row r="195">
      <c r="A195" s="410" t="str">
        <f>IFERROR(__xludf.DUMMYFUNCTION("""COMPUTED_VALUE"""),"WO_WFM-OTHERS_20260623_123613107")</f>
        <v>WO_WFM-OTHERS_20260623_123613107</v>
      </c>
      <c r="B195" s="410" t="str">
        <f>IFERROR(__xludf.DUMMYFUNCTION("""COMPUTED_VALUE"""),"Cable routes measure-AC-TNI0206-TNI0220")</f>
        <v>Cable routes measure-AC-TNI0206-TNI0220</v>
      </c>
      <c r="C195" s="410">
        <f>IFERROR(__xludf.DUMMYFUNCTION("""COMPUTED_VALUE"""),439.03)</f>
        <v>439.03</v>
      </c>
      <c r="D195" s="410" t="str">
        <f>IFERROR(__xludf.DUMMYFUNCTION("""COMPUTED_VALUE"""),"T1")</f>
        <v>T1</v>
      </c>
      <c r="E195" s="410" t="str">
        <f>IFERROR(__xludf.DUMMYFUNCTION("""COMPUTED_VALUE"""),"TNI0206")</f>
        <v>TNI0206</v>
      </c>
      <c r="F195" s="410" t="str">
        <f>IFERROR(__xludf.DUMMYFUNCTION("""COMPUTED_VALUE"""),"myt_bonemyat.naing1")</f>
        <v>myt_bonemyat.naing1</v>
      </c>
      <c r="H195" s="269"/>
      <c r="I195" s="269"/>
      <c r="J195" s="269"/>
      <c r="K195" s="269"/>
      <c r="L195" s="269"/>
      <c r="M195" s="269"/>
      <c r="N195" s="269"/>
      <c r="O195" s="269"/>
      <c r="P195" s="269"/>
      <c r="Q195" s="269"/>
      <c r="R195" s="269"/>
      <c r="S195" s="269"/>
      <c r="T195" s="269"/>
      <c r="U195" s="269"/>
      <c r="V195" s="269"/>
      <c r="W195" s="269"/>
      <c r="X195" s="269"/>
      <c r="Y195" s="269"/>
      <c r="Z195" s="269"/>
      <c r="AA195" s="269"/>
      <c r="AB195" s="269"/>
      <c r="AC195" s="269"/>
      <c r="AD195" s="269"/>
      <c r="AE195" s="269"/>
      <c r="AF195" s="269"/>
      <c r="AG195" s="269"/>
      <c r="AH195" s="269"/>
      <c r="AI195" s="269"/>
      <c r="AJ195" s="269"/>
      <c r="AK195" s="269"/>
      <c r="AL195" s="269"/>
      <c r="AM195" s="269"/>
      <c r="AN195" s="269"/>
      <c r="AO195" s="269"/>
      <c r="AP195" s="269"/>
      <c r="AQ195" s="269"/>
      <c r="AR195" s="269"/>
    </row>
    <row r="196">
      <c r="A196" s="410" t="str">
        <f>IFERROR(__xludf.DUMMYFUNCTION("""COMPUTED_VALUE"""),"WO_WFM-OTHERS_20260623_123613103")</f>
        <v>WO_WFM-OTHERS_20260623_123613103</v>
      </c>
      <c r="B196" s="410" t="str">
        <f>IFERROR(__xludf.DUMMYFUNCTION("""COMPUTED_VALUE"""),"Cable routes measure-AC-TNI0148-TNI0150")</f>
        <v>Cable routes measure-AC-TNI0148-TNI0150</v>
      </c>
      <c r="C196" s="410">
        <f>IFERROR(__xludf.DUMMYFUNCTION("""COMPUTED_VALUE"""),439.03)</f>
        <v>439.03</v>
      </c>
      <c r="D196" s="410" t="str">
        <f>IFERROR(__xludf.DUMMYFUNCTION("""COMPUTED_VALUE"""),"T1")</f>
        <v>T1</v>
      </c>
      <c r="E196" s="410" t="str">
        <f>IFERROR(__xludf.DUMMYFUNCTION("""COMPUTED_VALUE"""),"TNI0148")</f>
        <v>TNI0148</v>
      </c>
      <c r="F196" s="410" t="str">
        <f>IFERROR(__xludf.DUMMYFUNCTION("""COMPUTED_VALUE"""),"myt_bonemyat.naing1")</f>
        <v>myt_bonemyat.naing1</v>
      </c>
      <c r="H196" s="269"/>
      <c r="I196" s="269"/>
      <c r="J196" s="269"/>
      <c r="K196" s="269"/>
      <c r="L196" s="269"/>
      <c r="M196" s="269"/>
      <c r="N196" s="269"/>
      <c r="O196" s="269"/>
      <c r="P196" s="269"/>
      <c r="Q196" s="269"/>
      <c r="R196" s="269"/>
      <c r="S196" s="269"/>
      <c r="T196" s="269"/>
      <c r="U196" s="269"/>
      <c r="V196" s="269"/>
      <c r="W196" s="269"/>
      <c r="X196" s="269"/>
      <c r="Y196" s="269"/>
      <c r="Z196" s="269"/>
      <c r="AA196" s="269"/>
      <c r="AB196" s="269"/>
      <c r="AC196" s="269"/>
      <c r="AD196" s="269"/>
      <c r="AE196" s="269"/>
      <c r="AF196" s="269"/>
      <c r="AG196" s="269"/>
      <c r="AH196" s="269"/>
      <c r="AI196" s="269"/>
      <c r="AJ196" s="269"/>
      <c r="AK196" s="269"/>
      <c r="AL196" s="269"/>
      <c r="AM196" s="269"/>
      <c r="AN196" s="269"/>
      <c r="AO196" s="269"/>
      <c r="AP196" s="269"/>
      <c r="AQ196" s="269"/>
      <c r="AR196" s="269"/>
    </row>
    <row r="197">
      <c r="A197" s="410" t="str">
        <f>IFERROR(__xludf.DUMMYFUNCTION("""COMPUTED_VALUE"""),"WO_WFM-OTHERS_20260623_123613111")</f>
        <v>WO_WFM-OTHERS_20260623_123613111</v>
      </c>
      <c r="B197" s="410" t="str">
        <f>IFERROR(__xludf.DUMMYFUNCTION("""COMPUTED_VALUE"""),"Cable routes measure-AC-TNI0115-TNI0275")</f>
        <v>Cable routes measure-AC-TNI0115-TNI0275</v>
      </c>
      <c r="C197" s="410">
        <f>IFERROR(__xludf.DUMMYFUNCTION("""COMPUTED_VALUE"""),439.03)</f>
        <v>439.03</v>
      </c>
      <c r="D197" s="410" t="str">
        <f>IFERROR(__xludf.DUMMYFUNCTION("""COMPUTED_VALUE"""),"T1")</f>
        <v>T1</v>
      </c>
      <c r="E197" s="410" t="str">
        <f>IFERROR(__xludf.DUMMYFUNCTION("""COMPUTED_VALUE"""),"TNI0115")</f>
        <v>TNI0115</v>
      </c>
      <c r="F197" s="410" t="str">
        <f>IFERROR(__xludf.DUMMYFUNCTION("""COMPUTED_VALUE"""),"myt_bonemyat.naing1")</f>
        <v>myt_bonemyat.naing1</v>
      </c>
      <c r="H197" s="269"/>
      <c r="I197" s="269"/>
      <c r="J197" s="269"/>
      <c r="K197" s="269"/>
      <c r="L197" s="269"/>
      <c r="M197" s="269"/>
      <c r="N197" s="269"/>
      <c r="O197" s="269"/>
      <c r="P197" s="269"/>
      <c r="Q197" s="269"/>
      <c r="R197" s="269"/>
      <c r="S197" s="269"/>
      <c r="T197" s="269"/>
      <c r="U197" s="269"/>
      <c r="V197" s="269"/>
      <c r="W197" s="269"/>
      <c r="X197" s="269"/>
      <c r="Y197" s="269"/>
      <c r="Z197" s="269"/>
      <c r="AA197" s="269"/>
      <c r="AB197" s="269"/>
      <c r="AC197" s="269"/>
      <c r="AD197" s="269"/>
      <c r="AE197" s="269"/>
      <c r="AF197" s="269"/>
      <c r="AG197" s="269"/>
      <c r="AH197" s="269"/>
      <c r="AI197" s="269"/>
      <c r="AJ197" s="269"/>
      <c r="AK197" s="269"/>
      <c r="AL197" s="269"/>
      <c r="AM197" s="269"/>
      <c r="AN197" s="269"/>
      <c r="AO197" s="269"/>
      <c r="AP197" s="269"/>
      <c r="AQ197" s="269"/>
      <c r="AR197" s="269"/>
    </row>
    <row r="198">
      <c r="A198" s="410" t="str">
        <f>IFERROR(__xludf.DUMMYFUNCTION("""COMPUTED_VALUE"""),"WO_WFM-OTHERS_20260623_123613097")</f>
        <v>WO_WFM-OTHERS_20260623_123613097</v>
      </c>
      <c r="B198" s="410" t="str">
        <f>IFERROR(__xludf.DUMMYFUNCTION("""COMPUTED_VALUE"""),"Cable routes measure-BB-TNI0006-TNI0013")</f>
        <v>Cable routes measure-BB-TNI0006-TNI0013</v>
      </c>
      <c r="C198" s="410">
        <f>IFERROR(__xludf.DUMMYFUNCTION("""COMPUTED_VALUE"""),439.03)</f>
        <v>439.03</v>
      </c>
      <c r="D198" s="410" t="str">
        <f>IFERROR(__xludf.DUMMYFUNCTION("""COMPUTED_VALUE"""),"T1")</f>
        <v>T1</v>
      </c>
      <c r="E198" s="410" t="str">
        <f>IFERROR(__xludf.DUMMYFUNCTION("""COMPUTED_VALUE"""),"TNI0006")</f>
        <v>TNI0006</v>
      </c>
      <c r="F198" s="410" t="str">
        <f>IFERROR(__xludf.DUMMYFUNCTION("""COMPUTED_VALUE"""),"myt_bonemyat.naing1")</f>
        <v>myt_bonemyat.naing1</v>
      </c>
      <c r="H198" s="269"/>
      <c r="I198" s="269"/>
      <c r="J198" s="269"/>
      <c r="K198" s="269"/>
      <c r="L198" s="269"/>
      <c r="M198" s="269"/>
      <c r="N198" s="269"/>
      <c r="O198" s="269"/>
      <c r="P198" s="269"/>
      <c r="Q198" s="269"/>
      <c r="R198" s="269"/>
      <c r="S198" s="269"/>
      <c r="T198" s="269"/>
      <c r="U198" s="269"/>
      <c r="V198" s="269"/>
      <c r="W198" s="269"/>
      <c r="X198" s="269"/>
      <c r="Y198" s="269"/>
      <c r="Z198" s="269"/>
      <c r="AA198" s="269"/>
      <c r="AB198" s="269"/>
      <c r="AC198" s="269"/>
      <c r="AD198" s="269"/>
      <c r="AE198" s="269"/>
      <c r="AF198" s="269"/>
      <c r="AG198" s="269"/>
      <c r="AH198" s="269"/>
      <c r="AI198" s="269"/>
      <c r="AJ198" s="269"/>
      <c r="AK198" s="269"/>
      <c r="AL198" s="269"/>
      <c r="AM198" s="269"/>
      <c r="AN198" s="269"/>
      <c r="AO198" s="269"/>
      <c r="AP198" s="269"/>
      <c r="AQ198" s="269"/>
      <c r="AR198" s="269"/>
    </row>
    <row r="199">
      <c r="A199" s="410" t="str">
        <f>IFERROR(__xludf.DUMMYFUNCTION("""COMPUTED_VALUE"""),"WO_WFM-OTHERS_20260623_123613096")</f>
        <v>WO_WFM-OTHERS_20260623_123613096</v>
      </c>
      <c r="B199" s="410" t="str">
        <f>IFERROR(__xludf.DUMMYFUNCTION("""COMPUTED_VALUE"""),"Cable routes measure-BB-TNI0013-TNI0005")</f>
        <v>Cable routes measure-BB-TNI0013-TNI0005</v>
      </c>
      <c r="C199" s="410">
        <f>IFERROR(__xludf.DUMMYFUNCTION("""COMPUTED_VALUE"""),439.03)</f>
        <v>439.03</v>
      </c>
      <c r="D199" s="410" t="str">
        <f>IFERROR(__xludf.DUMMYFUNCTION("""COMPUTED_VALUE"""),"T1")</f>
        <v>T1</v>
      </c>
      <c r="E199" s="410" t="str">
        <f>IFERROR(__xludf.DUMMYFUNCTION("""COMPUTED_VALUE"""),"TNI0013")</f>
        <v>TNI0013</v>
      </c>
      <c r="F199" s="410" t="str">
        <f>IFERROR(__xludf.DUMMYFUNCTION("""COMPUTED_VALUE"""),"myt_bonemyat.naing1")</f>
        <v>myt_bonemyat.naing1</v>
      </c>
      <c r="H199" s="269"/>
      <c r="I199" s="269"/>
      <c r="J199" s="269"/>
      <c r="K199" s="269"/>
      <c r="L199" s="269"/>
      <c r="M199" s="269"/>
      <c r="N199" s="269"/>
      <c r="O199" s="269"/>
      <c r="P199" s="269"/>
      <c r="Q199" s="269"/>
      <c r="R199" s="269"/>
      <c r="S199" s="269"/>
      <c r="T199" s="269"/>
      <c r="U199" s="269"/>
      <c r="V199" s="269"/>
      <c r="W199" s="269"/>
      <c r="X199" s="269"/>
      <c r="Y199" s="269"/>
      <c r="Z199" s="269"/>
      <c r="AA199" s="269"/>
      <c r="AB199" s="269"/>
      <c r="AC199" s="269"/>
      <c r="AD199" s="269"/>
      <c r="AE199" s="269"/>
      <c r="AF199" s="269"/>
      <c r="AG199" s="269"/>
      <c r="AH199" s="269"/>
      <c r="AI199" s="269"/>
      <c r="AJ199" s="269"/>
      <c r="AK199" s="269"/>
      <c r="AL199" s="269"/>
      <c r="AM199" s="269"/>
      <c r="AN199" s="269"/>
      <c r="AO199" s="269"/>
      <c r="AP199" s="269"/>
      <c r="AQ199" s="269"/>
      <c r="AR199" s="269"/>
    </row>
    <row r="200">
      <c r="A200" s="410" t="str">
        <f>IFERROR(__xludf.DUMMYFUNCTION("""COMPUTED_VALUE"""),"WO_WFM-OTHERS_20260623_123613102")</f>
        <v>WO_WFM-OTHERS_20260623_123613102</v>
      </c>
      <c r="B200" s="410" t="str">
        <f>IFERROR(__xludf.DUMMYFUNCTION("""COMPUTED_VALUE"""),"Cable routes measure-AC-TNI0213-TNIM059")</f>
        <v>Cable routes measure-AC-TNI0213-TNIM059</v>
      </c>
      <c r="C200" s="410">
        <f>IFERROR(__xludf.DUMMYFUNCTION("""COMPUTED_VALUE"""),439.03)</f>
        <v>439.03</v>
      </c>
      <c r="D200" s="410" t="str">
        <f>IFERROR(__xludf.DUMMYFUNCTION("""COMPUTED_VALUE"""),"T1")</f>
        <v>T1</v>
      </c>
      <c r="E200" s="410" t="str">
        <f>IFERROR(__xludf.DUMMYFUNCTION("""COMPUTED_VALUE"""),"TNI0213")</f>
        <v>TNI0213</v>
      </c>
      <c r="F200" s="410" t="str">
        <f>IFERROR(__xludf.DUMMYFUNCTION("""COMPUTED_VALUE"""),"myt_bonemyat.naing1")</f>
        <v>myt_bonemyat.naing1</v>
      </c>
      <c r="H200" s="269"/>
      <c r="I200" s="269"/>
      <c r="J200" s="269"/>
      <c r="K200" s="269"/>
      <c r="L200" s="269"/>
      <c r="M200" s="269"/>
      <c r="N200" s="269"/>
      <c r="O200" s="269"/>
      <c r="P200" s="269"/>
      <c r="Q200" s="269"/>
      <c r="R200" s="269"/>
      <c r="S200" s="269"/>
      <c r="T200" s="269"/>
      <c r="U200" s="269"/>
      <c r="V200" s="269"/>
      <c r="W200" s="269"/>
      <c r="X200" s="269"/>
      <c r="Y200" s="269"/>
      <c r="Z200" s="269"/>
      <c r="AA200" s="269"/>
      <c r="AB200" s="269"/>
      <c r="AC200" s="269"/>
      <c r="AD200" s="269"/>
      <c r="AE200" s="269"/>
      <c r="AF200" s="269"/>
      <c r="AG200" s="269"/>
      <c r="AH200" s="269"/>
      <c r="AI200" s="269"/>
      <c r="AJ200" s="269"/>
      <c r="AK200" s="269"/>
      <c r="AL200" s="269"/>
      <c r="AM200" s="269"/>
      <c r="AN200" s="269"/>
      <c r="AO200" s="269"/>
      <c r="AP200" s="269"/>
      <c r="AQ200" s="269"/>
      <c r="AR200" s="269"/>
    </row>
    <row r="201">
      <c r="A201" s="410" t="str">
        <f>IFERROR(__xludf.DUMMYFUNCTION("""COMPUTED_VALUE"""),"WO_WFM-OTHERS_20260623_123613100")</f>
        <v>WO_WFM-OTHERS_20260623_123613100</v>
      </c>
      <c r="B201" s="410" t="str">
        <f>IFERROR(__xludf.DUMMYFUNCTION("""COMPUTED_VALUE"""),"Cable routes measure-AC-TNI0147-TNI0148")</f>
        <v>Cable routes measure-AC-TNI0147-TNI0148</v>
      </c>
      <c r="C201" s="410">
        <f>IFERROR(__xludf.DUMMYFUNCTION("""COMPUTED_VALUE"""),439.03)</f>
        <v>439.03</v>
      </c>
      <c r="D201" s="410" t="str">
        <f>IFERROR(__xludf.DUMMYFUNCTION("""COMPUTED_VALUE"""),"T1")</f>
        <v>T1</v>
      </c>
      <c r="E201" s="410" t="str">
        <f>IFERROR(__xludf.DUMMYFUNCTION("""COMPUTED_VALUE"""),"TNI0147")</f>
        <v>TNI0147</v>
      </c>
      <c r="F201" s="410" t="str">
        <f>IFERROR(__xludf.DUMMYFUNCTION("""COMPUTED_VALUE"""),"myt_bonemyat.naing1")</f>
        <v>myt_bonemyat.naing1</v>
      </c>
      <c r="H201" s="269"/>
      <c r="I201" s="269"/>
      <c r="J201" s="269"/>
      <c r="K201" s="269"/>
      <c r="L201" s="269"/>
      <c r="M201" s="269"/>
      <c r="N201" s="269"/>
      <c r="O201" s="269"/>
      <c r="P201" s="269"/>
      <c r="Q201" s="269"/>
      <c r="R201" s="269"/>
      <c r="S201" s="269"/>
      <c r="T201" s="269"/>
      <c r="U201" s="269"/>
      <c r="V201" s="269"/>
      <c r="W201" s="269"/>
      <c r="X201" s="269"/>
      <c r="Y201" s="269"/>
      <c r="Z201" s="269"/>
      <c r="AA201" s="269"/>
      <c r="AB201" s="269"/>
      <c r="AC201" s="269"/>
      <c r="AD201" s="269"/>
      <c r="AE201" s="269"/>
      <c r="AF201" s="269"/>
      <c r="AG201" s="269"/>
      <c r="AH201" s="269"/>
      <c r="AI201" s="269"/>
      <c r="AJ201" s="269"/>
      <c r="AK201" s="269"/>
      <c r="AL201" s="269"/>
      <c r="AM201" s="269"/>
      <c r="AN201" s="269"/>
      <c r="AO201" s="269"/>
      <c r="AP201" s="269"/>
      <c r="AQ201" s="269"/>
      <c r="AR201" s="269"/>
    </row>
    <row r="202">
      <c r="A202" s="410" t="str">
        <f>IFERROR(__xludf.DUMMYFUNCTION("""COMPUTED_VALUE"""),"WO_WFM-OTHERS_20260623_123613098")</f>
        <v>WO_WFM-OTHERS_20260623_123613098</v>
      </c>
      <c r="B202" s="410" t="str">
        <f>IFERROR(__xludf.DUMMYFUNCTION("""COMPUTED_VALUE"""),"Cable routes measure-BB-TNI0013-TNI0250_2")</f>
        <v>Cable routes measure-BB-TNI0013-TNI0250_2</v>
      </c>
      <c r="C202" s="410">
        <f>IFERROR(__xludf.DUMMYFUNCTION("""COMPUTED_VALUE"""),439.03)</f>
        <v>439.03</v>
      </c>
      <c r="D202" s="410" t="str">
        <f>IFERROR(__xludf.DUMMYFUNCTION("""COMPUTED_VALUE"""),"T1")</f>
        <v>T1</v>
      </c>
      <c r="E202" s="410" t="str">
        <f>IFERROR(__xludf.DUMMYFUNCTION("""COMPUTED_VALUE"""),"TNI0013")</f>
        <v>TNI0013</v>
      </c>
      <c r="F202" s="410" t="str">
        <f>IFERROR(__xludf.DUMMYFUNCTION("""COMPUTED_VALUE"""),"myt_bonemyat.naing1")</f>
        <v>myt_bonemyat.naing1</v>
      </c>
      <c r="H202" s="269"/>
      <c r="I202" s="269"/>
      <c r="J202" s="269"/>
      <c r="K202" s="269"/>
      <c r="L202" s="269"/>
      <c r="M202" s="269"/>
      <c r="N202" s="269"/>
      <c r="O202" s="269"/>
      <c r="P202" s="269"/>
      <c r="Q202" s="269"/>
      <c r="R202" s="269"/>
      <c r="S202" s="269"/>
      <c r="T202" s="269"/>
      <c r="U202" s="269"/>
      <c r="V202" s="269"/>
      <c r="W202" s="269"/>
      <c r="X202" s="269"/>
      <c r="Y202" s="269"/>
      <c r="Z202" s="269"/>
      <c r="AA202" s="269"/>
      <c r="AB202" s="269"/>
      <c r="AC202" s="269"/>
      <c r="AD202" s="269"/>
      <c r="AE202" s="269"/>
      <c r="AF202" s="269"/>
      <c r="AG202" s="269"/>
      <c r="AH202" s="269"/>
      <c r="AI202" s="269"/>
      <c r="AJ202" s="269"/>
      <c r="AK202" s="269"/>
      <c r="AL202" s="269"/>
      <c r="AM202" s="269"/>
      <c r="AN202" s="269"/>
      <c r="AO202" s="269"/>
      <c r="AP202" s="269"/>
      <c r="AQ202" s="269"/>
      <c r="AR202" s="269"/>
    </row>
    <row r="203">
      <c r="A203" s="410" t="str">
        <f>IFERROR(__xludf.DUMMYFUNCTION("""COMPUTED_VALUE"""),"WO_WFM-OTHERS_20260623_123613101")</f>
        <v>WO_WFM-OTHERS_20260623_123613101</v>
      </c>
      <c r="B203" s="410" t="str">
        <f>IFERROR(__xludf.DUMMYFUNCTION("""COMPUTED_VALUE"""),"Cable routes measure-AC-TNI0185-JB(MON0002-TNI0006)")</f>
        <v>Cable routes measure-AC-TNI0185-JB(MON0002-TNI0006)</v>
      </c>
      <c r="C203" s="410">
        <f>IFERROR(__xludf.DUMMYFUNCTION("""COMPUTED_VALUE"""),439.03)</f>
        <v>439.03</v>
      </c>
      <c r="D203" s="410" t="str">
        <f>IFERROR(__xludf.DUMMYFUNCTION("""COMPUTED_VALUE"""),"T1")</f>
        <v>T1</v>
      </c>
      <c r="E203" s="410" t="str">
        <f>IFERROR(__xludf.DUMMYFUNCTION("""COMPUTED_VALUE"""),"TNI0185")</f>
        <v>TNI0185</v>
      </c>
      <c r="F203" s="410" t="str">
        <f>IFERROR(__xludf.DUMMYFUNCTION("""COMPUTED_VALUE"""),"myt_bonemyat.naing1")</f>
        <v>myt_bonemyat.naing1</v>
      </c>
      <c r="H203" s="269"/>
      <c r="I203" s="269"/>
      <c r="J203" s="269"/>
      <c r="K203" s="269"/>
      <c r="L203" s="269"/>
      <c r="M203" s="269"/>
      <c r="N203" s="269"/>
      <c r="O203" s="269"/>
      <c r="P203" s="269"/>
      <c r="Q203" s="269"/>
      <c r="R203" s="269"/>
      <c r="S203" s="269"/>
      <c r="T203" s="269"/>
      <c r="U203" s="269"/>
      <c r="V203" s="269"/>
      <c r="W203" s="269"/>
      <c r="X203" s="269"/>
      <c r="Y203" s="269"/>
      <c r="Z203" s="269"/>
      <c r="AA203" s="269"/>
      <c r="AB203" s="269"/>
      <c r="AC203" s="269"/>
      <c r="AD203" s="269"/>
      <c r="AE203" s="269"/>
      <c r="AF203" s="269"/>
      <c r="AG203" s="269"/>
      <c r="AH203" s="269"/>
      <c r="AI203" s="269"/>
      <c r="AJ203" s="269"/>
      <c r="AK203" s="269"/>
      <c r="AL203" s="269"/>
      <c r="AM203" s="269"/>
      <c r="AN203" s="269"/>
      <c r="AO203" s="269"/>
      <c r="AP203" s="269"/>
      <c r="AQ203" s="269"/>
      <c r="AR203" s="269"/>
    </row>
    <row r="204">
      <c r="A204" s="410" t="str">
        <f>IFERROR(__xludf.DUMMYFUNCTION("""COMPUTED_VALUE"""),"WO_WFM-OTHERS_20260623_123612898")</f>
        <v>WO_WFM-OTHERS_20260623_123612898</v>
      </c>
      <c r="B204" s="410" t="str">
        <f>IFERROR(__xludf.DUMMYFUNCTION("""COMPUTED_VALUE"""),"Cable routes measure-AC-TNI0319-JB(TNI0005-TNI0013)")</f>
        <v>Cable routes measure-AC-TNI0319-JB(TNI0005-TNI0013)</v>
      </c>
      <c r="C204" s="410">
        <f>IFERROR(__xludf.DUMMYFUNCTION("""COMPUTED_VALUE"""),439.03)</f>
        <v>439.03</v>
      </c>
      <c r="D204" s="410" t="str">
        <f>IFERROR(__xludf.DUMMYFUNCTION("""COMPUTED_VALUE"""),"T1")</f>
        <v>T1</v>
      </c>
      <c r="E204" s="410" t="str">
        <f>IFERROR(__xludf.DUMMYFUNCTION("""COMPUTED_VALUE"""),"TNI0319")</f>
        <v>TNI0319</v>
      </c>
      <c r="F204" s="410" t="str">
        <f>IFERROR(__xludf.DUMMYFUNCTION("""COMPUTED_VALUE"""),"myt_bonemyat.naing1")</f>
        <v>myt_bonemyat.naing1</v>
      </c>
      <c r="H204" s="269"/>
      <c r="I204" s="269"/>
      <c r="J204" s="269"/>
      <c r="K204" s="269"/>
      <c r="L204" s="269"/>
      <c r="M204" s="269"/>
      <c r="N204" s="269"/>
      <c r="O204" s="269"/>
      <c r="P204" s="269"/>
      <c r="Q204" s="269"/>
      <c r="R204" s="269"/>
      <c r="S204" s="269"/>
      <c r="T204" s="269"/>
      <c r="U204" s="269"/>
      <c r="V204" s="269"/>
      <c r="W204" s="269"/>
      <c r="X204" s="269"/>
      <c r="Y204" s="269"/>
      <c r="Z204" s="269"/>
      <c r="AA204" s="269"/>
      <c r="AB204" s="269"/>
      <c r="AC204" s="269"/>
      <c r="AD204" s="269"/>
      <c r="AE204" s="269"/>
      <c r="AF204" s="269"/>
      <c r="AG204" s="269"/>
      <c r="AH204" s="269"/>
      <c r="AI204" s="269"/>
      <c r="AJ204" s="269"/>
      <c r="AK204" s="269"/>
      <c r="AL204" s="269"/>
      <c r="AM204" s="269"/>
      <c r="AN204" s="269"/>
      <c r="AO204" s="269"/>
      <c r="AP204" s="269"/>
      <c r="AQ204" s="269"/>
      <c r="AR204" s="269"/>
    </row>
    <row r="205">
      <c r="A205" s="410" t="str">
        <f>IFERROR(__xludf.DUMMYFUNCTION("""COMPUTED_VALUE"""),"WO_WFM-OTHERS_20260623_123612899")</f>
        <v>WO_WFM-OTHERS_20260623_123612899</v>
      </c>
      <c r="B205" s="410" t="str">
        <f>IFERROR(__xludf.DUMMYFUNCTION("""COMPUTED_VALUE"""),"Cable routes measure-AC-TNI0019-TNIM024")</f>
        <v>Cable routes measure-AC-TNI0019-TNIM024</v>
      </c>
      <c r="C205" s="410">
        <f>IFERROR(__xludf.DUMMYFUNCTION("""COMPUTED_VALUE"""),439.03)</f>
        <v>439.03</v>
      </c>
      <c r="D205" s="410" t="str">
        <f>IFERROR(__xludf.DUMMYFUNCTION("""COMPUTED_VALUE"""),"T1")</f>
        <v>T1</v>
      </c>
      <c r="E205" s="410" t="str">
        <f>IFERROR(__xludf.DUMMYFUNCTION("""COMPUTED_VALUE"""),"TNI0019")</f>
        <v>TNI0019</v>
      </c>
      <c r="F205" s="410" t="str">
        <f>IFERROR(__xludf.DUMMYFUNCTION("""COMPUTED_VALUE"""),"myt_bonemyat.naing1")</f>
        <v>myt_bonemyat.naing1</v>
      </c>
      <c r="H205" s="269"/>
      <c r="I205" s="269"/>
      <c r="J205" s="269"/>
      <c r="K205" s="269"/>
      <c r="L205" s="269"/>
      <c r="M205" s="269"/>
      <c r="N205" s="269"/>
      <c r="O205" s="269"/>
      <c r="P205" s="269"/>
      <c r="Q205" s="269"/>
      <c r="R205" s="269"/>
      <c r="S205" s="269"/>
      <c r="T205" s="269"/>
      <c r="U205" s="269"/>
      <c r="V205" s="269"/>
      <c r="W205" s="269"/>
      <c r="X205" s="269"/>
      <c r="Y205" s="269"/>
      <c r="Z205" s="269"/>
      <c r="AA205" s="269"/>
      <c r="AB205" s="269"/>
      <c r="AC205" s="269"/>
      <c r="AD205" s="269"/>
      <c r="AE205" s="269"/>
      <c r="AF205" s="269"/>
      <c r="AG205" s="269"/>
      <c r="AH205" s="269"/>
      <c r="AI205" s="269"/>
      <c r="AJ205" s="269"/>
      <c r="AK205" s="269"/>
      <c r="AL205" s="269"/>
      <c r="AM205" s="269"/>
      <c r="AN205" s="269"/>
      <c r="AO205" s="269"/>
      <c r="AP205" s="269"/>
      <c r="AQ205" s="269"/>
      <c r="AR205" s="269"/>
    </row>
    <row r="206">
      <c r="A206" s="410" t="str">
        <f>IFERROR(__xludf.DUMMYFUNCTION("""COMPUTED_VALUE"""),"WO_WFM-OTHERS_20260623_123612900")</f>
        <v>WO_WFM-OTHERS_20260623_123612900</v>
      </c>
      <c r="B206" s="410" t="str">
        <f>IFERROR(__xludf.DUMMYFUNCTION("""COMPUTED_VALUE"""),"Cable routes measure-AC-TNI0273-TNIM063")</f>
        <v>Cable routes measure-AC-TNI0273-TNIM063</v>
      </c>
      <c r="C206" s="410">
        <f>IFERROR(__xludf.DUMMYFUNCTION("""COMPUTED_VALUE"""),439.03)</f>
        <v>439.03</v>
      </c>
      <c r="D206" s="410" t="str">
        <f>IFERROR(__xludf.DUMMYFUNCTION("""COMPUTED_VALUE"""),"T1")</f>
        <v>T1</v>
      </c>
      <c r="E206" s="410" t="str">
        <f>IFERROR(__xludf.DUMMYFUNCTION("""COMPUTED_VALUE"""),"TNI0273")</f>
        <v>TNI0273</v>
      </c>
      <c r="F206" s="410" t="str">
        <f>IFERROR(__xludf.DUMMYFUNCTION("""COMPUTED_VALUE"""),"myt_bonemyat.naing1")</f>
        <v>myt_bonemyat.naing1</v>
      </c>
      <c r="H206" s="269"/>
      <c r="I206" s="269"/>
      <c r="J206" s="269"/>
      <c r="K206" s="269"/>
      <c r="L206" s="269"/>
      <c r="M206" s="269"/>
      <c r="N206" s="269"/>
      <c r="O206" s="269"/>
      <c r="P206" s="269"/>
      <c r="Q206" s="269"/>
      <c r="R206" s="269"/>
      <c r="S206" s="269"/>
      <c r="T206" s="269"/>
      <c r="U206" s="269"/>
      <c r="V206" s="269"/>
      <c r="W206" s="269"/>
      <c r="X206" s="269"/>
      <c r="Y206" s="269"/>
      <c r="Z206" s="269"/>
      <c r="AA206" s="269"/>
      <c r="AB206" s="269"/>
      <c r="AC206" s="269"/>
      <c r="AD206" s="269"/>
      <c r="AE206" s="269"/>
      <c r="AF206" s="269"/>
      <c r="AG206" s="269"/>
      <c r="AH206" s="269"/>
      <c r="AI206" s="269"/>
      <c r="AJ206" s="269"/>
      <c r="AK206" s="269"/>
      <c r="AL206" s="269"/>
      <c r="AM206" s="269"/>
      <c r="AN206" s="269"/>
      <c r="AO206" s="269"/>
      <c r="AP206" s="269"/>
      <c r="AQ206" s="269"/>
      <c r="AR206" s="269"/>
    </row>
    <row r="207">
      <c r="A207" s="410" t="str">
        <f>IFERROR(__xludf.DUMMYFUNCTION("""COMPUTED_VALUE"""),"WO_WFM-OTHERS_20260623_123612894")</f>
        <v>WO_WFM-OTHERS_20260623_123612894</v>
      </c>
      <c r="B207" s="410" t="str">
        <f>IFERROR(__xludf.DUMMYFUNCTION("""COMPUTED_VALUE"""),"Cable routes measure-AC-TNI0206-TNI0213")</f>
        <v>Cable routes measure-AC-TNI0206-TNI0213</v>
      </c>
      <c r="C207" s="410">
        <f>IFERROR(__xludf.DUMMYFUNCTION("""COMPUTED_VALUE"""),439.03)</f>
        <v>439.03</v>
      </c>
      <c r="D207" s="410" t="str">
        <f>IFERROR(__xludf.DUMMYFUNCTION("""COMPUTED_VALUE"""),"T1")</f>
        <v>T1</v>
      </c>
      <c r="E207" s="410" t="str">
        <f>IFERROR(__xludf.DUMMYFUNCTION("""COMPUTED_VALUE"""),"TNI0206")</f>
        <v>TNI0206</v>
      </c>
      <c r="F207" s="410" t="str">
        <f>IFERROR(__xludf.DUMMYFUNCTION("""COMPUTED_VALUE"""),"myt_bonemyat.naing1")</f>
        <v>myt_bonemyat.naing1</v>
      </c>
      <c r="H207" s="269"/>
      <c r="I207" s="269"/>
      <c r="J207" s="269"/>
      <c r="K207" s="269"/>
      <c r="L207" s="269"/>
      <c r="M207" s="269"/>
      <c r="N207" s="269"/>
      <c r="O207" s="269"/>
      <c r="P207" s="269"/>
      <c r="Q207" s="269"/>
      <c r="R207" s="269"/>
      <c r="S207" s="269"/>
      <c r="T207" s="269"/>
      <c r="U207" s="269"/>
      <c r="V207" s="269"/>
      <c r="W207" s="269"/>
      <c r="X207" s="269"/>
      <c r="Y207" s="269"/>
      <c r="Z207" s="269"/>
      <c r="AA207" s="269"/>
      <c r="AB207" s="269"/>
      <c r="AC207" s="269"/>
      <c r="AD207" s="269"/>
      <c r="AE207" s="269"/>
      <c r="AF207" s="269"/>
      <c r="AG207" s="269"/>
      <c r="AH207" s="269"/>
      <c r="AI207" s="269"/>
      <c r="AJ207" s="269"/>
      <c r="AK207" s="269"/>
      <c r="AL207" s="269"/>
      <c r="AM207" s="269"/>
      <c r="AN207" s="269"/>
      <c r="AO207" s="269"/>
      <c r="AP207" s="269"/>
      <c r="AQ207" s="269"/>
      <c r="AR207" s="269"/>
    </row>
    <row r="208">
      <c r="A208" s="410" t="str">
        <f>IFERROR(__xludf.DUMMYFUNCTION("""COMPUTED_VALUE"""),"WO_WFM-OTHERS_20260623_123612897")</f>
        <v>WO_WFM-OTHERS_20260623_123612897</v>
      </c>
      <c r="B208" s="410" t="str">
        <f>IFERROR(__xludf.DUMMYFUNCTION("""COMPUTED_VALUE"""),"Cable routes measure-AC-TNI0322-JB(TNI0013-TNI0005)")</f>
        <v>Cable routes measure-AC-TNI0322-JB(TNI0013-TNI0005)</v>
      </c>
      <c r="C208" s="410">
        <f>IFERROR(__xludf.DUMMYFUNCTION("""COMPUTED_VALUE"""),439.03)</f>
        <v>439.03</v>
      </c>
      <c r="D208" s="410" t="str">
        <f>IFERROR(__xludf.DUMMYFUNCTION("""COMPUTED_VALUE"""),"T1")</f>
        <v>T1</v>
      </c>
      <c r="E208" s="410" t="str">
        <f>IFERROR(__xludf.DUMMYFUNCTION("""COMPUTED_VALUE"""),"TNI0322")</f>
        <v>TNI0322</v>
      </c>
      <c r="F208" s="410" t="str">
        <f>IFERROR(__xludf.DUMMYFUNCTION("""COMPUTED_VALUE"""),"myt_bonemyat.naing1")</f>
        <v>myt_bonemyat.naing1</v>
      </c>
      <c r="H208" s="269"/>
      <c r="I208" s="269"/>
      <c r="J208" s="269"/>
      <c r="K208" s="269"/>
      <c r="L208" s="269"/>
      <c r="M208" s="269"/>
      <c r="N208" s="269"/>
      <c r="O208" s="269"/>
      <c r="P208" s="269"/>
      <c r="Q208" s="269"/>
      <c r="R208" s="269"/>
      <c r="S208" s="269"/>
      <c r="T208" s="269"/>
      <c r="U208" s="269"/>
      <c r="V208" s="269"/>
      <c r="W208" s="269"/>
      <c r="X208" s="269"/>
      <c r="Y208" s="269"/>
      <c r="Z208" s="269"/>
      <c r="AA208" s="269"/>
      <c r="AB208" s="269"/>
      <c r="AC208" s="269"/>
      <c r="AD208" s="269"/>
      <c r="AE208" s="269"/>
      <c r="AF208" s="269"/>
      <c r="AG208" s="269"/>
      <c r="AH208" s="269"/>
      <c r="AI208" s="269"/>
      <c r="AJ208" s="269"/>
      <c r="AK208" s="269"/>
      <c r="AL208" s="269"/>
      <c r="AM208" s="269"/>
      <c r="AN208" s="269"/>
      <c r="AO208" s="269"/>
      <c r="AP208" s="269"/>
      <c r="AQ208" s="269"/>
      <c r="AR208" s="269"/>
    </row>
    <row r="209">
      <c r="A209" s="410" t="str">
        <f>IFERROR(__xludf.DUMMYFUNCTION("""COMPUTED_VALUE"""),"WO_WFM-OTHERS_20260623_123612901")</f>
        <v>WO_WFM-OTHERS_20260623_123612901</v>
      </c>
      <c r="B209" s="410" t="str">
        <f>IFERROR(__xludf.DUMMYFUNCTION("""COMPUTED_VALUE"""),"Cable routes measure-AC-TNI0046-JB(TNI0005-TNI0013)")</f>
        <v>Cable routes measure-AC-TNI0046-JB(TNI0005-TNI0013)</v>
      </c>
      <c r="C209" s="410">
        <f>IFERROR(__xludf.DUMMYFUNCTION("""COMPUTED_VALUE"""),439.03)</f>
        <v>439.03</v>
      </c>
      <c r="D209" s="410" t="str">
        <f>IFERROR(__xludf.DUMMYFUNCTION("""COMPUTED_VALUE"""),"T1")</f>
        <v>T1</v>
      </c>
      <c r="E209" s="410" t="str">
        <f>IFERROR(__xludf.DUMMYFUNCTION("""COMPUTED_VALUE"""),"TNI0046")</f>
        <v>TNI0046</v>
      </c>
      <c r="F209" s="410" t="str">
        <f>IFERROR(__xludf.DUMMYFUNCTION("""COMPUTED_VALUE"""),"myt_bonemyat.naing1")</f>
        <v>myt_bonemyat.naing1</v>
      </c>
      <c r="H209" s="269"/>
      <c r="I209" s="269"/>
      <c r="J209" s="269"/>
      <c r="K209" s="269"/>
      <c r="L209" s="269"/>
      <c r="M209" s="269"/>
      <c r="N209" s="269"/>
      <c r="O209" s="269"/>
      <c r="P209" s="269"/>
      <c r="Q209" s="269"/>
      <c r="R209" s="269"/>
      <c r="S209" s="269"/>
      <c r="T209" s="269"/>
      <c r="U209" s="269"/>
      <c r="V209" s="269"/>
      <c r="W209" s="269"/>
      <c r="X209" s="269"/>
      <c r="Y209" s="269"/>
      <c r="Z209" s="269"/>
      <c r="AA209" s="269"/>
      <c r="AB209" s="269"/>
      <c r="AC209" s="269"/>
      <c r="AD209" s="269"/>
      <c r="AE209" s="269"/>
      <c r="AF209" s="269"/>
      <c r="AG209" s="269"/>
      <c r="AH209" s="269"/>
      <c r="AI209" s="269"/>
      <c r="AJ209" s="269"/>
      <c r="AK209" s="269"/>
      <c r="AL209" s="269"/>
      <c r="AM209" s="269"/>
      <c r="AN209" s="269"/>
      <c r="AO209" s="269"/>
      <c r="AP209" s="269"/>
      <c r="AQ209" s="269"/>
      <c r="AR209" s="269"/>
    </row>
    <row r="210">
      <c r="A210" s="410" t="str">
        <f>IFERROR(__xludf.DUMMYFUNCTION("""COMPUTED_VALUE"""),"WO_WFM-OTHERS_20260623_123612896")</f>
        <v>WO_WFM-OTHERS_20260623_123612896</v>
      </c>
      <c r="B210" s="410" t="str">
        <f>IFERROR(__xludf.DUMMYFUNCTION("""COMPUTED_VALUE"""),"Cable routes measure-AC-TNI0115-TNI0275")</f>
        <v>Cable routes measure-AC-TNI0115-TNI0275</v>
      </c>
      <c r="C210" s="410">
        <f>IFERROR(__xludf.DUMMYFUNCTION("""COMPUTED_VALUE"""),439.03)</f>
        <v>439.03</v>
      </c>
      <c r="D210" s="410" t="str">
        <f>IFERROR(__xludf.DUMMYFUNCTION("""COMPUTED_VALUE"""),"T1")</f>
        <v>T1</v>
      </c>
      <c r="E210" s="410" t="str">
        <f>IFERROR(__xludf.DUMMYFUNCTION("""COMPUTED_VALUE"""),"TNI0115")</f>
        <v>TNI0115</v>
      </c>
      <c r="F210" s="410" t="str">
        <f>IFERROR(__xludf.DUMMYFUNCTION("""COMPUTED_VALUE"""),"myt_bonemyat.naing1")</f>
        <v>myt_bonemyat.naing1</v>
      </c>
      <c r="H210" s="269"/>
      <c r="I210" s="269"/>
      <c r="J210" s="269"/>
      <c r="K210" s="269"/>
      <c r="L210" s="269"/>
      <c r="M210" s="269"/>
      <c r="N210" s="269"/>
      <c r="O210" s="269"/>
      <c r="P210" s="269"/>
      <c r="Q210" s="269"/>
      <c r="R210" s="269"/>
      <c r="S210" s="269"/>
      <c r="T210" s="269"/>
      <c r="U210" s="269"/>
      <c r="V210" s="269"/>
      <c r="W210" s="269"/>
      <c r="X210" s="269"/>
      <c r="Y210" s="269"/>
      <c r="Z210" s="269"/>
      <c r="AA210" s="269"/>
      <c r="AB210" s="269"/>
      <c r="AC210" s="269"/>
      <c r="AD210" s="269"/>
      <c r="AE210" s="269"/>
      <c r="AF210" s="269"/>
      <c r="AG210" s="269"/>
      <c r="AH210" s="269"/>
      <c r="AI210" s="269"/>
      <c r="AJ210" s="269"/>
      <c r="AK210" s="269"/>
      <c r="AL210" s="269"/>
      <c r="AM210" s="269"/>
      <c r="AN210" s="269"/>
      <c r="AO210" s="269"/>
      <c r="AP210" s="269"/>
      <c r="AQ210" s="269"/>
      <c r="AR210" s="269"/>
    </row>
    <row r="211">
      <c r="A211" s="410" t="str">
        <f>IFERROR(__xludf.DUMMYFUNCTION("""COMPUTED_VALUE"""),"WO_WFM-OTHERS_20260623_123612902")</f>
        <v>WO_WFM-OTHERS_20260623_123612902</v>
      </c>
      <c r="B211" s="410" t="str">
        <f>IFERROR(__xludf.DUMMYFUNCTION("""COMPUTED_VALUE"""),"Cable routes measure-AC-TNI0424-TNIM034")</f>
        <v>Cable routes measure-AC-TNI0424-TNIM034</v>
      </c>
      <c r="C211" s="410">
        <f>IFERROR(__xludf.DUMMYFUNCTION("""COMPUTED_VALUE"""),439.03)</f>
        <v>439.03</v>
      </c>
      <c r="D211" s="410" t="str">
        <f>IFERROR(__xludf.DUMMYFUNCTION("""COMPUTED_VALUE"""),"T1")</f>
        <v>T1</v>
      </c>
      <c r="E211" s="410" t="str">
        <f>IFERROR(__xludf.DUMMYFUNCTION("""COMPUTED_VALUE"""),"TNI0424")</f>
        <v>TNI0424</v>
      </c>
      <c r="F211" s="410" t="str">
        <f>IFERROR(__xludf.DUMMYFUNCTION("""COMPUTED_VALUE"""),"myt_bonemyat.naing1")</f>
        <v>myt_bonemyat.naing1</v>
      </c>
      <c r="H211" s="269"/>
      <c r="I211" s="269"/>
      <c r="J211" s="269"/>
      <c r="K211" s="269"/>
      <c r="L211" s="269"/>
      <c r="M211" s="269"/>
      <c r="N211" s="269"/>
      <c r="O211" s="269"/>
      <c r="P211" s="269"/>
      <c r="Q211" s="269"/>
      <c r="R211" s="269"/>
      <c r="S211" s="269"/>
      <c r="T211" s="269"/>
      <c r="U211" s="269"/>
      <c r="V211" s="269"/>
      <c r="W211" s="269"/>
      <c r="X211" s="269"/>
      <c r="Y211" s="269"/>
      <c r="Z211" s="269"/>
      <c r="AA211" s="269"/>
      <c r="AB211" s="269"/>
      <c r="AC211" s="269"/>
      <c r="AD211" s="269"/>
      <c r="AE211" s="269"/>
      <c r="AF211" s="269"/>
      <c r="AG211" s="269"/>
      <c r="AH211" s="269"/>
      <c r="AI211" s="269"/>
      <c r="AJ211" s="269"/>
      <c r="AK211" s="269"/>
      <c r="AL211" s="269"/>
      <c r="AM211" s="269"/>
      <c r="AN211" s="269"/>
      <c r="AO211" s="269"/>
      <c r="AP211" s="269"/>
      <c r="AQ211" s="269"/>
      <c r="AR211" s="269"/>
    </row>
    <row r="212">
      <c r="A212" s="410" t="str">
        <f>IFERROR(__xludf.DUMMYFUNCTION("""COMPUTED_VALUE"""),"WO_WFM-OTHERS_20260623_123612895")</f>
        <v>WO_WFM-OTHERS_20260623_123612895</v>
      </c>
      <c r="B212" s="410" t="str">
        <f>IFERROR(__xludf.DUMMYFUNCTION("""COMPUTED_VALUE"""),"Cable routes measure-AC-TNI0210-TNI0322")</f>
        <v>Cable routes measure-AC-TNI0210-TNI0322</v>
      </c>
      <c r="C212" s="410">
        <f>IFERROR(__xludf.DUMMYFUNCTION("""COMPUTED_VALUE"""),439.03)</f>
        <v>439.03</v>
      </c>
      <c r="D212" s="410" t="str">
        <f>IFERROR(__xludf.DUMMYFUNCTION("""COMPUTED_VALUE"""),"T1")</f>
        <v>T1</v>
      </c>
      <c r="E212" s="410" t="str">
        <f>IFERROR(__xludf.DUMMYFUNCTION("""COMPUTED_VALUE"""),"TNI0210")</f>
        <v>TNI0210</v>
      </c>
      <c r="F212" s="410" t="str">
        <f>IFERROR(__xludf.DUMMYFUNCTION("""COMPUTED_VALUE"""),"myt_bonemyat.naing1")</f>
        <v>myt_bonemyat.naing1</v>
      </c>
      <c r="H212" s="269"/>
      <c r="I212" s="269"/>
      <c r="J212" s="269"/>
      <c r="K212" s="269"/>
      <c r="L212" s="269"/>
      <c r="M212" s="269"/>
      <c r="N212" s="269"/>
      <c r="O212" s="269"/>
      <c r="P212" s="269"/>
      <c r="Q212" s="269"/>
      <c r="R212" s="269"/>
      <c r="S212" s="269"/>
      <c r="T212" s="269"/>
      <c r="U212" s="269"/>
      <c r="V212" s="269"/>
      <c r="W212" s="269"/>
      <c r="X212" s="269"/>
      <c r="Y212" s="269"/>
      <c r="Z212" s="269"/>
      <c r="AA212" s="269"/>
      <c r="AB212" s="269"/>
      <c r="AC212" s="269"/>
      <c r="AD212" s="269"/>
      <c r="AE212" s="269"/>
      <c r="AF212" s="269"/>
      <c r="AG212" s="269"/>
      <c r="AH212" s="269"/>
      <c r="AI212" s="269"/>
      <c r="AJ212" s="269"/>
      <c r="AK212" s="269"/>
      <c r="AL212" s="269"/>
      <c r="AM212" s="269"/>
      <c r="AN212" s="269"/>
      <c r="AO212" s="269"/>
      <c r="AP212" s="269"/>
      <c r="AQ212" s="269"/>
      <c r="AR212" s="269"/>
    </row>
    <row r="213">
      <c r="A213" s="410" t="str">
        <f>IFERROR(__xludf.DUMMYFUNCTION("""COMPUTED_VALUE"""),"WO_WFM-OTHERS_20260623_123612903")</f>
        <v>WO_WFM-OTHERS_20260623_123612903</v>
      </c>
      <c r="B213" s="410" t="str">
        <f>IFERROR(__xludf.DUMMYFUNCTION("""COMPUTED_VALUE"""),"Cable routes measure-AC-TNI0198-TNIM055")</f>
        <v>Cable routes measure-AC-TNI0198-TNIM055</v>
      </c>
      <c r="C213" s="410">
        <f>IFERROR(__xludf.DUMMYFUNCTION("""COMPUTED_VALUE"""),439.03)</f>
        <v>439.03</v>
      </c>
      <c r="D213" s="410" t="str">
        <f>IFERROR(__xludf.DUMMYFUNCTION("""COMPUTED_VALUE"""),"T1")</f>
        <v>T1</v>
      </c>
      <c r="E213" s="410" t="str">
        <f>IFERROR(__xludf.DUMMYFUNCTION("""COMPUTED_VALUE"""),"TNI0198")</f>
        <v>TNI0198</v>
      </c>
      <c r="F213" s="410" t="str">
        <f>IFERROR(__xludf.DUMMYFUNCTION("""COMPUTED_VALUE"""),"myt_bonemyat.naing1")</f>
        <v>myt_bonemyat.naing1</v>
      </c>
      <c r="H213" s="269"/>
      <c r="I213" s="269"/>
      <c r="J213" s="269"/>
      <c r="K213" s="269"/>
      <c r="L213" s="269"/>
      <c r="M213" s="269"/>
      <c r="N213" s="269"/>
      <c r="O213" s="269"/>
      <c r="P213" s="269"/>
      <c r="Q213" s="269"/>
      <c r="R213" s="269"/>
      <c r="S213" s="269"/>
      <c r="T213" s="269"/>
      <c r="U213" s="269"/>
      <c r="V213" s="269"/>
      <c r="W213" s="269"/>
      <c r="X213" s="269"/>
      <c r="Y213" s="269"/>
      <c r="Z213" s="269"/>
      <c r="AA213" s="269"/>
      <c r="AB213" s="269"/>
      <c r="AC213" s="269"/>
      <c r="AD213" s="269"/>
      <c r="AE213" s="269"/>
      <c r="AF213" s="269"/>
      <c r="AG213" s="269"/>
      <c r="AH213" s="269"/>
      <c r="AI213" s="269"/>
      <c r="AJ213" s="269"/>
      <c r="AK213" s="269"/>
      <c r="AL213" s="269"/>
      <c r="AM213" s="269"/>
      <c r="AN213" s="269"/>
      <c r="AO213" s="269"/>
      <c r="AP213" s="269"/>
      <c r="AQ213" s="269"/>
      <c r="AR213" s="269"/>
    </row>
    <row r="214">
      <c r="A214" s="410" t="str">
        <f>IFERROR(__xludf.DUMMYFUNCTION("""COMPUTED_VALUE"""),"WO_WFM-OTHERS_20260623_123612887")</f>
        <v>WO_WFM-OTHERS_20260623_123612887</v>
      </c>
      <c r="B214" s="410" t="str">
        <f>IFERROR(__xludf.DUMMYFUNCTION("""COMPUTED_VALUE"""),"Cable routes measure-AC-TNI0213-TNIM059")</f>
        <v>Cable routes measure-AC-TNI0213-TNIM059</v>
      </c>
      <c r="C214" s="410">
        <f>IFERROR(__xludf.DUMMYFUNCTION("""COMPUTED_VALUE"""),439.03)</f>
        <v>439.03</v>
      </c>
      <c r="D214" s="410" t="str">
        <f>IFERROR(__xludf.DUMMYFUNCTION("""COMPUTED_VALUE"""),"T1")</f>
        <v>T1</v>
      </c>
      <c r="E214" s="410" t="str">
        <f>IFERROR(__xludf.DUMMYFUNCTION("""COMPUTED_VALUE"""),"TNI0213")</f>
        <v>TNI0213</v>
      </c>
      <c r="F214" s="410" t="str">
        <f>IFERROR(__xludf.DUMMYFUNCTION("""COMPUTED_VALUE"""),"myt_bonemyat.naing1")</f>
        <v>myt_bonemyat.naing1</v>
      </c>
      <c r="H214" s="269"/>
      <c r="I214" s="269"/>
      <c r="J214" s="269"/>
      <c r="K214" s="269"/>
      <c r="L214" s="269"/>
      <c r="M214" s="269"/>
      <c r="N214" s="269"/>
      <c r="O214" s="269"/>
      <c r="P214" s="269"/>
      <c r="Q214" s="269"/>
      <c r="R214" s="269"/>
      <c r="S214" s="269"/>
      <c r="T214" s="269"/>
      <c r="U214" s="269"/>
      <c r="V214" s="269"/>
      <c r="W214" s="269"/>
      <c r="X214" s="269"/>
      <c r="Y214" s="269"/>
      <c r="Z214" s="269"/>
      <c r="AA214" s="269"/>
      <c r="AB214" s="269"/>
      <c r="AC214" s="269"/>
      <c r="AD214" s="269"/>
      <c r="AE214" s="269"/>
      <c r="AF214" s="269"/>
      <c r="AG214" s="269"/>
      <c r="AH214" s="269"/>
      <c r="AI214" s="269"/>
      <c r="AJ214" s="269"/>
      <c r="AK214" s="269"/>
      <c r="AL214" s="269"/>
      <c r="AM214" s="269"/>
      <c r="AN214" s="269"/>
      <c r="AO214" s="269"/>
      <c r="AP214" s="269"/>
      <c r="AQ214" s="269"/>
      <c r="AR214" s="269"/>
    </row>
    <row r="215">
      <c r="A215" s="410" t="str">
        <f>IFERROR(__xludf.DUMMYFUNCTION("""COMPUTED_VALUE"""),"WO_WFM-OTHERS_20260623_123612886")</f>
        <v>WO_WFM-OTHERS_20260623_123612886</v>
      </c>
      <c r="B215" s="410" t="str">
        <f>IFERROR(__xludf.DUMMYFUNCTION("""COMPUTED_VALUE"""),"Cable routes measure-AC-TNI0185-JB(MON0002-TNI0006)")</f>
        <v>Cable routes measure-AC-TNI0185-JB(MON0002-TNI0006)</v>
      </c>
      <c r="C215" s="410">
        <f>IFERROR(__xludf.DUMMYFUNCTION("""COMPUTED_VALUE"""),439.03)</f>
        <v>439.03</v>
      </c>
      <c r="D215" s="410" t="str">
        <f>IFERROR(__xludf.DUMMYFUNCTION("""COMPUTED_VALUE"""),"T1")</f>
        <v>T1</v>
      </c>
      <c r="E215" s="410" t="str">
        <f>IFERROR(__xludf.DUMMYFUNCTION("""COMPUTED_VALUE"""),"TNI0185")</f>
        <v>TNI0185</v>
      </c>
      <c r="F215" s="410" t="str">
        <f>IFERROR(__xludf.DUMMYFUNCTION("""COMPUTED_VALUE"""),"myt_bonemyat.naing1")</f>
        <v>myt_bonemyat.naing1</v>
      </c>
      <c r="H215" s="269"/>
      <c r="I215" s="269"/>
      <c r="J215" s="269"/>
      <c r="K215" s="269"/>
      <c r="L215" s="269"/>
      <c r="M215" s="269"/>
      <c r="N215" s="269"/>
      <c r="O215" s="269"/>
      <c r="P215" s="269"/>
      <c r="Q215" s="269"/>
      <c r="R215" s="269"/>
      <c r="S215" s="269"/>
      <c r="T215" s="269"/>
      <c r="U215" s="269"/>
      <c r="V215" s="269"/>
      <c r="W215" s="269"/>
      <c r="X215" s="269"/>
      <c r="Y215" s="269"/>
      <c r="Z215" s="269"/>
      <c r="AA215" s="269"/>
      <c r="AB215" s="269"/>
      <c r="AC215" s="269"/>
      <c r="AD215" s="269"/>
      <c r="AE215" s="269"/>
      <c r="AF215" s="269"/>
      <c r="AG215" s="269"/>
      <c r="AH215" s="269"/>
      <c r="AI215" s="269"/>
      <c r="AJ215" s="269"/>
      <c r="AK215" s="269"/>
      <c r="AL215" s="269"/>
      <c r="AM215" s="269"/>
      <c r="AN215" s="269"/>
      <c r="AO215" s="269"/>
      <c r="AP215" s="269"/>
      <c r="AQ215" s="269"/>
      <c r="AR215" s="269"/>
    </row>
    <row r="216">
      <c r="A216" s="410" t="str">
        <f>IFERROR(__xludf.DUMMYFUNCTION("""COMPUTED_VALUE"""),"WO_WFM-OTHERS_20260623_123612891")</f>
        <v>WO_WFM-OTHERS_20260623_123612891</v>
      </c>
      <c r="B216" s="410" t="str">
        <f>IFERROR(__xludf.DUMMYFUNCTION("""COMPUTED_VALUE"""),"Cable routes measure-AC-TNI0146-TNI0357")</f>
        <v>Cable routes measure-AC-TNI0146-TNI0357</v>
      </c>
      <c r="C216" s="410">
        <f>IFERROR(__xludf.DUMMYFUNCTION("""COMPUTED_VALUE"""),439.03)</f>
        <v>439.03</v>
      </c>
      <c r="D216" s="410" t="str">
        <f>IFERROR(__xludf.DUMMYFUNCTION("""COMPUTED_VALUE"""),"T1")</f>
        <v>T1</v>
      </c>
      <c r="E216" s="410" t="str">
        <f>IFERROR(__xludf.DUMMYFUNCTION("""COMPUTED_VALUE"""),"TNI0146")</f>
        <v>TNI0146</v>
      </c>
      <c r="F216" s="410" t="str">
        <f>IFERROR(__xludf.DUMMYFUNCTION("""COMPUTED_VALUE"""),"myt_bonemyat.naing1")</f>
        <v>myt_bonemyat.naing1</v>
      </c>
      <c r="H216" s="269"/>
      <c r="I216" s="269"/>
      <c r="J216" s="269"/>
      <c r="K216" s="269"/>
      <c r="L216" s="269"/>
      <c r="M216" s="269"/>
      <c r="N216" s="269"/>
      <c r="O216" s="269"/>
      <c r="P216" s="269"/>
      <c r="Q216" s="269"/>
      <c r="R216" s="269"/>
      <c r="S216" s="269"/>
      <c r="T216" s="269"/>
      <c r="U216" s="269"/>
      <c r="V216" s="269"/>
      <c r="W216" s="269"/>
      <c r="X216" s="269"/>
      <c r="Y216" s="269"/>
      <c r="Z216" s="269"/>
      <c r="AA216" s="269"/>
      <c r="AB216" s="269"/>
      <c r="AC216" s="269"/>
      <c r="AD216" s="269"/>
      <c r="AE216" s="269"/>
      <c r="AF216" s="269"/>
      <c r="AG216" s="269"/>
      <c r="AH216" s="269"/>
      <c r="AI216" s="269"/>
      <c r="AJ216" s="269"/>
      <c r="AK216" s="269"/>
      <c r="AL216" s="269"/>
      <c r="AM216" s="269"/>
      <c r="AN216" s="269"/>
      <c r="AO216" s="269"/>
      <c r="AP216" s="269"/>
      <c r="AQ216" s="269"/>
      <c r="AR216" s="269"/>
    </row>
    <row r="217">
      <c r="A217" s="410" t="str">
        <f>IFERROR(__xludf.DUMMYFUNCTION("""COMPUTED_VALUE"""),"WO_WFM-OTHERS_20260623_123612893")</f>
        <v>WO_WFM-OTHERS_20260623_123612893</v>
      </c>
      <c r="B217" s="410" t="str">
        <f>IFERROR(__xludf.DUMMYFUNCTION("""COMPUTED_VALUE"""),"Cable routes measure-AC-TNI0147-TNI0357")</f>
        <v>Cable routes measure-AC-TNI0147-TNI0357</v>
      </c>
      <c r="C217" s="410">
        <f>IFERROR(__xludf.DUMMYFUNCTION("""COMPUTED_VALUE"""),439.03)</f>
        <v>439.03</v>
      </c>
      <c r="D217" s="410" t="str">
        <f>IFERROR(__xludf.DUMMYFUNCTION("""COMPUTED_VALUE"""),"T1")</f>
        <v>T1</v>
      </c>
      <c r="E217" s="410" t="str">
        <f>IFERROR(__xludf.DUMMYFUNCTION("""COMPUTED_VALUE"""),"TNI0147")</f>
        <v>TNI0147</v>
      </c>
      <c r="F217" s="410" t="str">
        <f>IFERROR(__xludf.DUMMYFUNCTION("""COMPUTED_VALUE"""),"myt_bonemyat.naing1")</f>
        <v>myt_bonemyat.naing1</v>
      </c>
      <c r="H217" s="269"/>
      <c r="I217" s="269"/>
      <c r="J217" s="269"/>
      <c r="K217" s="269"/>
      <c r="L217" s="269"/>
      <c r="M217" s="269"/>
      <c r="N217" s="269"/>
      <c r="O217" s="269"/>
      <c r="P217" s="269"/>
      <c r="Q217" s="269"/>
      <c r="R217" s="269"/>
      <c r="S217" s="269"/>
      <c r="T217" s="269"/>
      <c r="U217" s="269"/>
      <c r="V217" s="269"/>
      <c r="W217" s="269"/>
      <c r="X217" s="269"/>
      <c r="Y217" s="269"/>
      <c r="Z217" s="269"/>
      <c r="AA217" s="269"/>
      <c r="AB217" s="269"/>
      <c r="AC217" s="269"/>
      <c r="AD217" s="269"/>
      <c r="AE217" s="269"/>
      <c r="AF217" s="269"/>
      <c r="AG217" s="269"/>
      <c r="AH217" s="269"/>
      <c r="AI217" s="269"/>
      <c r="AJ217" s="269"/>
      <c r="AK217" s="269"/>
      <c r="AL217" s="269"/>
      <c r="AM217" s="269"/>
      <c r="AN217" s="269"/>
      <c r="AO217" s="269"/>
      <c r="AP217" s="269"/>
      <c r="AQ217" s="269"/>
      <c r="AR217" s="269"/>
    </row>
    <row r="218">
      <c r="A218" s="410" t="str">
        <f>IFERROR(__xludf.DUMMYFUNCTION("""COMPUTED_VALUE"""),"WO_WFM-OTHERS_20260623_123612883")</f>
        <v>WO_WFM-OTHERS_20260623_123612883</v>
      </c>
      <c r="B218" s="410" t="str">
        <f>IFERROR(__xludf.DUMMYFUNCTION("""COMPUTED_VALUE"""),"Cable routes measure-BB-TNI0006-TNI0013")</f>
        <v>Cable routes measure-BB-TNI0006-TNI0013</v>
      </c>
      <c r="C218" s="410">
        <f>IFERROR(__xludf.DUMMYFUNCTION("""COMPUTED_VALUE"""),439.03)</f>
        <v>439.03</v>
      </c>
      <c r="D218" s="410" t="str">
        <f>IFERROR(__xludf.DUMMYFUNCTION("""COMPUTED_VALUE"""),"T1")</f>
        <v>T1</v>
      </c>
      <c r="E218" s="410" t="str">
        <f>IFERROR(__xludf.DUMMYFUNCTION("""COMPUTED_VALUE"""),"TNI0006")</f>
        <v>TNI0006</v>
      </c>
      <c r="F218" s="410" t="str">
        <f>IFERROR(__xludf.DUMMYFUNCTION("""COMPUTED_VALUE"""),"myt_bonemyat.naing1")</f>
        <v>myt_bonemyat.naing1</v>
      </c>
      <c r="H218" s="269"/>
      <c r="I218" s="269"/>
      <c r="J218" s="269"/>
      <c r="K218" s="269"/>
      <c r="L218" s="269"/>
      <c r="M218" s="269"/>
      <c r="N218" s="269"/>
      <c r="O218" s="269"/>
      <c r="P218" s="269"/>
      <c r="Q218" s="269"/>
      <c r="R218" s="269"/>
      <c r="S218" s="269"/>
      <c r="T218" s="269"/>
      <c r="U218" s="269"/>
      <c r="V218" s="269"/>
      <c r="W218" s="269"/>
      <c r="X218" s="269"/>
      <c r="Y218" s="269"/>
      <c r="Z218" s="269"/>
      <c r="AA218" s="269"/>
      <c r="AB218" s="269"/>
      <c r="AC218" s="269"/>
      <c r="AD218" s="269"/>
      <c r="AE218" s="269"/>
      <c r="AF218" s="269"/>
      <c r="AG218" s="269"/>
      <c r="AH218" s="269"/>
      <c r="AI218" s="269"/>
      <c r="AJ218" s="269"/>
      <c r="AK218" s="269"/>
      <c r="AL218" s="269"/>
      <c r="AM218" s="269"/>
      <c r="AN218" s="269"/>
      <c r="AO218" s="269"/>
      <c r="AP218" s="269"/>
      <c r="AQ218" s="269"/>
      <c r="AR218" s="269"/>
    </row>
    <row r="219">
      <c r="A219" s="410" t="str">
        <f>IFERROR(__xludf.DUMMYFUNCTION("""COMPUTED_VALUE"""),"WO_WFM-OTHERS_20260623_123612889")</f>
        <v>WO_WFM-OTHERS_20260623_123612889</v>
      </c>
      <c r="B219" s="410" t="str">
        <f>IFERROR(__xludf.DUMMYFUNCTION("""COMPUTED_VALUE"""),"Cable routes measure-AC-TNI0357-TNI0170")</f>
        <v>Cable routes measure-AC-TNI0357-TNI0170</v>
      </c>
      <c r="C219" s="410">
        <f>IFERROR(__xludf.DUMMYFUNCTION("""COMPUTED_VALUE"""),439.03)</f>
        <v>439.03</v>
      </c>
      <c r="D219" s="410" t="str">
        <f>IFERROR(__xludf.DUMMYFUNCTION("""COMPUTED_VALUE"""),"T1")</f>
        <v>T1</v>
      </c>
      <c r="E219" s="410" t="str">
        <f>IFERROR(__xludf.DUMMYFUNCTION("""COMPUTED_VALUE"""),"TNI0357")</f>
        <v>TNI0357</v>
      </c>
      <c r="F219" s="410" t="str">
        <f>IFERROR(__xludf.DUMMYFUNCTION("""COMPUTED_VALUE"""),"myt_bonemyat.naing1")</f>
        <v>myt_bonemyat.naing1</v>
      </c>
      <c r="H219" s="269"/>
      <c r="I219" s="269"/>
      <c r="J219" s="269"/>
      <c r="K219" s="269"/>
      <c r="L219" s="269"/>
      <c r="M219" s="269"/>
      <c r="N219" s="269"/>
      <c r="O219" s="269"/>
      <c r="P219" s="269"/>
      <c r="Q219" s="269"/>
      <c r="R219" s="269"/>
      <c r="S219" s="269"/>
      <c r="T219" s="269"/>
      <c r="U219" s="269"/>
      <c r="V219" s="269"/>
      <c r="W219" s="269"/>
      <c r="X219" s="269"/>
      <c r="Y219" s="269"/>
      <c r="Z219" s="269"/>
      <c r="AA219" s="269"/>
      <c r="AB219" s="269"/>
      <c r="AC219" s="269"/>
      <c r="AD219" s="269"/>
      <c r="AE219" s="269"/>
      <c r="AF219" s="269"/>
      <c r="AG219" s="269"/>
      <c r="AH219" s="269"/>
      <c r="AI219" s="269"/>
      <c r="AJ219" s="269"/>
      <c r="AK219" s="269"/>
      <c r="AL219" s="269"/>
      <c r="AM219" s="269"/>
      <c r="AN219" s="269"/>
      <c r="AO219" s="269"/>
      <c r="AP219" s="269"/>
      <c r="AQ219" s="269"/>
      <c r="AR219" s="269"/>
    </row>
    <row r="220">
      <c r="A220" s="410" t="str">
        <f>IFERROR(__xludf.DUMMYFUNCTION("""COMPUTED_VALUE"""),"WO_WFM-OTHERS_20260623_123612885")</f>
        <v>WO_WFM-OTHERS_20260623_123612885</v>
      </c>
      <c r="B220" s="410" t="str">
        <f>IFERROR(__xludf.DUMMYFUNCTION("""COMPUTED_VALUE"""),"Cable routes measure-AC-TNI0147-TNI0148")</f>
        <v>Cable routes measure-AC-TNI0147-TNI0148</v>
      </c>
      <c r="C220" s="410">
        <f>IFERROR(__xludf.DUMMYFUNCTION("""COMPUTED_VALUE"""),439.03)</f>
        <v>439.03</v>
      </c>
      <c r="D220" s="410" t="str">
        <f>IFERROR(__xludf.DUMMYFUNCTION("""COMPUTED_VALUE"""),"T1")</f>
        <v>T1</v>
      </c>
      <c r="E220" s="410" t="str">
        <f>IFERROR(__xludf.DUMMYFUNCTION("""COMPUTED_VALUE"""),"TNI0147")</f>
        <v>TNI0147</v>
      </c>
      <c r="F220" s="410" t="str">
        <f>IFERROR(__xludf.DUMMYFUNCTION("""COMPUTED_VALUE"""),"myt_bonemyat.naing1")</f>
        <v>myt_bonemyat.naing1</v>
      </c>
      <c r="H220" s="269"/>
      <c r="I220" s="269"/>
      <c r="J220" s="269"/>
      <c r="K220" s="269"/>
      <c r="L220" s="269"/>
      <c r="M220" s="269"/>
      <c r="N220" s="269"/>
      <c r="O220" s="269"/>
      <c r="P220" s="269"/>
      <c r="Q220" s="269"/>
      <c r="R220" s="269"/>
      <c r="S220" s="269"/>
      <c r="T220" s="269"/>
      <c r="U220" s="269"/>
      <c r="V220" s="269"/>
      <c r="W220" s="269"/>
      <c r="X220" s="269"/>
      <c r="Y220" s="269"/>
      <c r="Z220" s="269"/>
      <c r="AA220" s="269"/>
      <c r="AB220" s="269"/>
      <c r="AC220" s="269"/>
      <c r="AD220" s="269"/>
      <c r="AE220" s="269"/>
      <c r="AF220" s="269"/>
      <c r="AG220" s="269"/>
      <c r="AH220" s="269"/>
      <c r="AI220" s="269"/>
      <c r="AJ220" s="269"/>
      <c r="AK220" s="269"/>
      <c r="AL220" s="269"/>
      <c r="AM220" s="269"/>
      <c r="AN220" s="269"/>
      <c r="AO220" s="269"/>
      <c r="AP220" s="269"/>
      <c r="AQ220" s="269"/>
      <c r="AR220" s="269"/>
    </row>
    <row r="221">
      <c r="A221" s="410" t="str">
        <f>IFERROR(__xludf.DUMMYFUNCTION("""COMPUTED_VALUE"""),"WO_WFM-OTHERS_20260623_123612892")</f>
        <v>WO_WFM-OTHERS_20260623_123612892</v>
      </c>
      <c r="B221" s="410" t="str">
        <f>IFERROR(__xludf.DUMMYFUNCTION("""COMPUTED_VALUE"""),"Cable routes measure-AC-TNI0206-TNI0220")</f>
        <v>Cable routes measure-AC-TNI0206-TNI0220</v>
      </c>
      <c r="C221" s="410">
        <f>IFERROR(__xludf.DUMMYFUNCTION("""COMPUTED_VALUE"""),439.03)</f>
        <v>439.03</v>
      </c>
      <c r="D221" s="410" t="str">
        <f>IFERROR(__xludf.DUMMYFUNCTION("""COMPUTED_VALUE"""),"T1")</f>
        <v>T1</v>
      </c>
      <c r="E221" s="410" t="str">
        <f>IFERROR(__xludf.DUMMYFUNCTION("""COMPUTED_VALUE"""),"TNI0206")</f>
        <v>TNI0206</v>
      </c>
      <c r="F221" s="410" t="str">
        <f>IFERROR(__xludf.DUMMYFUNCTION("""COMPUTED_VALUE"""),"myt_bonemyat.naing1")</f>
        <v>myt_bonemyat.naing1</v>
      </c>
      <c r="H221" s="269"/>
      <c r="I221" s="269"/>
      <c r="J221" s="269"/>
      <c r="K221" s="269"/>
      <c r="L221" s="269"/>
      <c r="M221" s="269"/>
      <c r="N221" s="269"/>
      <c r="O221" s="269"/>
      <c r="P221" s="269"/>
      <c r="Q221" s="269"/>
      <c r="R221" s="269"/>
      <c r="S221" s="269"/>
      <c r="T221" s="269"/>
      <c r="U221" s="269"/>
      <c r="V221" s="269"/>
      <c r="W221" s="269"/>
      <c r="X221" s="269"/>
      <c r="Y221" s="269"/>
      <c r="Z221" s="269"/>
      <c r="AA221" s="269"/>
      <c r="AB221" s="269"/>
      <c r="AC221" s="269"/>
      <c r="AD221" s="269"/>
      <c r="AE221" s="269"/>
      <c r="AF221" s="269"/>
      <c r="AG221" s="269"/>
      <c r="AH221" s="269"/>
      <c r="AI221" s="269"/>
      <c r="AJ221" s="269"/>
      <c r="AK221" s="269"/>
      <c r="AL221" s="269"/>
      <c r="AM221" s="269"/>
      <c r="AN221" s="269"/>
      <c r="AO221" s="269"/>
      <c r="AP221" s="269"/>
      <c r="AQ221" s="269"/>
      <c r="AR221" s="269"/>
    </row>
    <row r="222">
      <c r="A222" s="410" t="str">
        <f>IFERROR(__xludf.DUMMYFUNCTION("""COMPUTED_VALUE"""),"WO_WFM-OTHERS_20260623_123612884")</f>
        <v>WO_WFM-OTHERS_20260623_123612884</v>
      </c>
      <c r="B222" s="410" t="str">
        <f>IFERROR(__xludf.DUMMYFUNCTION("""COMPUTED_VALUE"""),"Cable routes measure-BB-TNI0013-TNI0250_2")</f>
        <v>Cable routes measure-BB-TNI0013-TNI0250_2</v>
      </c>
      <c r="C222" s="410">
        <f>IFERROR(__xludf.DUMMYFUNCTION("""COMPUTED_VALUE"""),439.03)</f>
        <v>439.03</v>
      </c>
      <c r="D222" s="410" t="str">
        <f>IFERROR(__xludf.DUMMYFUNCTION("""COMPUTED_VALUE"""),"T1")</f>
        <v>T1</v>
      </c>
      <c r="E222" s="410" t="str">
        <f>IFERROR(__xludf.DUMMYFUNCTION("""COMPUTED_VALUE"""),"TNI0013")</f>
        <v>TNI0013</v>
      </c>
      <c r="F222" s="410" t="str">
        <f>IFERROR(__xludf.DUMMYFUNCTION("""COMPUTED_VALUE"""),"myt_bonemyat.naing1")</f>
        <v>myt_bonemyat.naing1</v>
      </c>
      <c r="H222" s="269"/>
      <c r="I222" s="269"/>
      <c r="J222" s="269"/>
      <c r="K222" s="269"/>
      <c r="L222" s="269"/>
      <c r="M222" s="269"/>
      <c r="N222" s="269"/>
      <c r="O222" s="269"/>
      <c r="P222" s="269"/>
      <c r="Q222" s="269"/>
      <c r="R222" s="269"/>
      <c r="S222" s="269"/>
      <c r="T222" s="269"/>
      <c r="U222" s="269"/>
      <c r="V222" s="269"/>
      <c r="W222" s="269"/>
      <c r="X222" s="269"/>
      <c r="Y222" s="269"/>
      <c r="Z222" s="269"/>
      <c r="AA222" s="269"/>
      <c r="AB222" s="269"/>
      <c r="AC222" s="269"/>
      <c r="AD222" s="269"/>
      <c r="AE222" s="269"/>
      <c r="AF222" s="269"/>
      <c r="AG222" s="269"/>
      <c r="AH222" s="269"/>
      <c r="AI222" s="269"/>
      <c r="AJ222" s="269"/>
      <c r="AK222" s="269"/>
      <c r="AL222" s="269"/>
      <c r="AM222" s="269"/>
      <c r="AN222" s="269"/>
      <c r="AO222" s="269"/>
      <c r="AP222" s="269"/>
      <c r="AQ222" s="269"/>
      <c r="AR222" s="269"/>
    </row>
    <row r="223">
      <c r="A223" s="410" t="str">
        <f>IFERROR(__xludf.DUMMYFUNCTION("""COMPUTED_VALUE"""),"WO_WFM-OTHERS_20260623_123612888")</f>
        <v>WO_WFM-OTHERS_20260623_123612888</v>
      </c>
      <c r="B223" s="410" t="str">
        <f>IFERROR(__xludf.DUMMYFUNCTION("""COMPUTED_VALUE"""),"Cable routes measure-AC-TNI0148-TNI0150")</f>
        <v>Cable routes measure-AC-TNI0148-TNI0150</v>
      </c>
      <c r="C223" s="410">
        <f>IFERROR(__xludf.DUMMYFUNCTION("""COMPUTED_VALUE"""),439.03)</f>
        <v>439.03</v>
      </c>
      <c r="D223" s="410" t="str">
        <f>IFERROR(__xludf.DUMMYFUNCTION("""COMPUTED_VALUE"""),"T1")</f>
        <v>T1</v>
      </c>
      <c r="E223" s="410" t="str">
        <f>IFERROR(__xludf.DUMMYFUNCTION("""COMPUTED_VALUE"""),"TNI0148")</f>
        <v>TNI0148</v>
      </c>
      <c r="F223" s="410" t="str">
        <f>IFERROR(__xludf.DUMMYFUNCTION("""COMPUTED_VALUE"""),"myt_bonemyat.naing1")</f>
        <v>myt_bonemyat.naing1</v>
      </c>
      <c r="H223" s="269"/>
      <c r="I223" s="269"/>
      <c r="J223" s="269"/>
      <c r="K223" s="269"/>
      <c r="L223" s="269"/>
      <c r="M223" s="269"/>
      <c r="N223" s="269"/>
      <c r="O223" s="269"/>
      <c r="P223" s="269"/>
      <c r="Q223" s="269"/>
      <c r="R223" s="269"/>
      <c r="S223" s="269"/>
      <c r="T223" s="269"/>
      <c r="U223" s="269"/>
      <c r="V223" s="269"/>
      <c r="W223" s="269"/>
      <c r="X223" s="269"/>
      <c r="Y223" s="269"/>
      <c r="Z223" s="269"/>
      <c r="AA223" s="269"/>
      <c r="AB223" s="269"/>
      <c r="AC223" s="269"/>
      <c r="AD223" s="269"/>
      <c r="AE223" s="269"/>
      <c r="AF223" s="269"/>
      <c r="AG223" s="269"/>
      <c r="AH223" s="269"/>
      <c r="AI223" s="269"/>
      <c r="AJ223" s="269"/>
      <c r="AK223" s="269"/>
      <c r="AL223" s="269"/>
      <c r="AM223" s="269"/>
      <c r="AN223" s="269"/>
      <c r="AO223" s="269"/>
      <c r="AP223" s="269"/>
      <c r="AQ223" s="269"/>
      <c r="AR223" s="269"/>
    </row>
    <row r="224">
      <c r="A224" s="410" t="str">
        <f>IFERROR(__xludf.DUMMYFUNCTION("""COMPUTED_VALUE"""),"WO_WFM-OTHERS_20260623_123612890")</f>
        <v>WO_WFM-OTHERS_20260623_123612890</v>
      </c>
      <c r="B224" s="410" t="str">
        <f>IFERROR(__xludf.DUMMYFUNCTION("""COMPUTED_VALUE"""),"Cable routes measure-AC-TNI0150-TNI0206")</f>
        <v>Cable routes measure-AC-TNI0150-TNI0206</v>
      </c>
      <c r="C224" s="410">
        <f>IFERROR(__xludf.DUMMYFUNCTION("""COMPUTED_VALUE"""),439.03)</f>
        <v>439.03</v>
      </c>
      <c r="D224" s="410" t="str">
        <f>IFERROR(__xludf.DUMMYFUNCTION("""COMPUTED_VALUE"""),"T1")</f>
        <v>T1</v>
      </c>
      <c r="E224" s="410" t="str">
        <f>IFERROR(__xludf.DUMMYFUNCTION("""COMPUTED_VALUE"""),"TNI0150")</f>
        <v>TNI0150</v>
      </c>
      <c r="F224" s="410" t="str">
        <f>IFERROR(__xludf.DUMMYFUNCTION("""COMPUTED_VALUE"""),"myt_bonemyat.naing1")</f>
        <v>myt_bonemyat.naing1</v>
      </c>
      <c r="H224" s="269"/>
      <c r="I224" s="269"/>
      <c r="J224" s="269"/>
      <c r="K224" s="269"/>
      <c r="L224" s="269"/>
      <c r="M224" s="269"/>
      <c r="N224" s="269"/>
      <c r="O224" s="269"/>
      <c r="P224" s="269"/>
      <c r="Q224" s="269"/>
      <c r="R224" s="269"/>
      <c r="S224" s="269"/>
      <c r="T224" s="269"/>
      <c r="U224" s="269"/>
      <c r="V224" s="269"/>
      <c r="W224" s="269"/>
      <c r="X224" s="269"/>
      <c r="Y224" s="269"/>
      <c r="Z224" s="269"/>
      <c r="AA224" s="269"/>
      <c r="AB224" s="269"/>
      <c r="AC224" s="269"/>
      <c r="AD224" s="269"/>
      <c r="AE224" s="269"/>
      <c r="AF224" s="269"/>
      <c r="AG224" s="269"/>
      <c r="AH224" s="269"/>
      <c r="AI224" s="269"/>
      <c r="AJ224" s="269"/>
      <c r="AK224" s="269"/>
      <c r="AL224" s="269"/>
      <c r="AM224" s="269"/>
      <c r="AN224" s="269"/>
      <c r="AO224" s="269"/>
      <c r="AP224" s="269"/>
      <c r="AQ224" s="269"/>
      <c r="AR224" s="269"/>
    </row>
    <row r="225">
      <c r="A225" s="410" t="str">
        <f>IFERROR(__xludf.DUMMYFUNCTION("""COMPUTED_VALUE"""),"WO_ICMS_20260623_123610998")</f>
        <v>WO_ICMS_20260623_123610998</v>
      </c>
      <c r="B225" s="410" t="str">
        <f>IFERROR(__xludf.DUMMYFUNCTION("""COMPUTED_VALUE"""),"TNI0207 MYT_Routine_Maintenance_Towerco_Station MYT_RTE_MTE_TCO_STN")</f>
        <v>TNI0207 MYT_Routine_Maintenance_Towerco_Station MYT_RTE_MTE_TCO_STN</v>
      </c>
      <c r="C225" s="410">
        <f>IFERROR(__xludf.DUMMYFUNCTION("""COMPUTED_VALUE"""),882.55)</f>
        <v>882.55</v>
      </c>
      <c r="D225" s="410" t="str">
        <f>IFERROR(__xludf.DUMMYFUNCTION("""COMPUTED_VALUE"""),"T1")</f>
        <v>T1</v>
      </c>
      <c r="E225" s="410" t="str">
        <f>IFERROR(__xludf.DUMMYFUNCTION("""COMPUTED_VALUE"""),"TNI0207")</f>
        <v>TNI0207</v>
      </c>
      <c r="F225" s="410" t="str">
        <f>IFERROR(__xludf.DUMMYFUNCTION("""COMPUTED_VALUE"""),"myt_bonemyat.naing1")</f>
        <v>myt_bonemyat.naing1</v>
      </c>
      <c r="H225" s="269"/>
      <c r="I225" s="269"/>
      <c r="J225" s="269"/>
      <c r="K225" s="269"/>
      <c r="L225" s="269"/>
      <c r="M225" s="269"/>
      <c r="N225" s="269"/>
      <c r="O225" s="269"/>
      <c r="P225" s="269"/>
      <c r="Q225" s="269"/>
      <c r="R225" s="269"/>
      <c r="S225" s="269"/>
      <c r="T225" s="269"/>
      <c r="U225" s="269"/>
      <c r="V225" s="269"/>
      <c r="W225" s="269"/>
      <c r="X225" s="269"/>
      <c r="Y225" s="269"/>
      <c r="Z225" s="269"/>
      <c r="AA225" s="269"/>
      <c r="AB225" s="269"/>
      <c r="AC225" s="269"/>
      <c r="AD225" s="269"/>
      <c r="AE225" s="269"/>
      <c r="AF225" s="269"/>
      <c r="AG225" s="269"/>
      <c r="AH225" s="269"/>
      <c r="AI225" s="269"/>
      <c r="AJ225" s="269"/>
      <c r="AK225" s="269"/>
      <c r="AL225" s="269"/>
      <c r="AM225" s="269"/>
      <c r="AN225" s="269"/>
      <c r="AO225" s="269"/>
      <c r="AP225" s="269"/>
      <c r="AQ225" s="269"/>
      <c r="AR225" s="269"/>
    </row>
    <row r="226">
      <c r="A226" s="410" t="str">
        <f>IFERROR(__xludf.DUMMYFUNCTION("""COMPUTED_VALUE"""),"WO_WFM-OTHERS_20260622_123603184")</f>
        <v>WO_WFM-OTHERS_20260622_123603184</v>
      </c>
      <c r="B226" s="410" t="str">
        <f>IFERROR(__xludf.DUMMYFUNCTION("""COMPUTED_VALUE"""),"TNI0211_Cleaning Radiator and change engine oil")</f>
        <v>TNI0211_Cleaning Radiator and change engine oil</v>
      </c>
      <c r="C226" s="410">
        <f>IFERROR(__xludf.DUMMYFUNCTION("""COMPUTED_VALUE"""),-41.95)</f>
        <v>-41.95</v>
      </c>
      <c r="D226" s="410" t="str">
        <f>IFERROR(__xludf.DUMMYFUNCTION("""COMPUTED_VALUE"""),"T1")</f>
        <v>T1</v>
      </c>
      <c r="E226" s="410" t="str">
        <f>IFERROR(__xludf.DUMMYFUNCTION("""COMPUTED_VALUE"""),"TNI0211")</f>
        <v>TNI0211</v>
      </c>
      <c r="F226" s="410" t="str">
        <f>IFERROR(__xludf.DUMMYFUNCTION("""COMPUTED_VALUE"""),"myt_bonemyat.naing1")</f>
        <v>myt_bonemyat.naing1</v>
      </c>
      <c r="H226" s="269"/>
      <c r="I226" s="269"/>
      <c r="J226" s="269"/>
      <c r="K226" s="269"/>
      <c r="L226" s="269"/>
      <c r="M226" s="269"/>
      <c r="N226" s="269"/>
      <c r="O226" s="269"/>
      <c r="P226" s="269"/>
      <c r="Q226" s="269"/>
      <c r="R226" s="269"/>
      <c r="S226" s="269"/>
      <c r="T226" s="269"/>
      <c r="U226" s="269"/>
      <c r="V226" s="269"/>
      <c r="W226" s="269"/>
      <c r="X226" s="269"/>
      <c r="Y226" s="269"/>
      <c r="Z226" s="269"/>
      <c r="AA226" s="269"/>
      <c r="AB226" s="269"/>
      <c r="AC226" s="269"/>
      <c r="AD226" s="269"/>
      <c r="AE226" s="269"/>
      <c r="AF226" s="269"/>
      <c r="AG226" s="269"/>
      <c r="AH226" s="269"/>
      <c r="AI226" s="269"/>
      <c r="AJ226" s="269"/>
      <c r="AK226" s="269"/>
      <c r="AL226" s="269"/>
      <c r="AM226" s="269"/>
      <c r="AN226" s="269"/>
      <c r="AO226" s="269"/>
      <c r="AP226" s="269"/>
      <c r="AQ226" s="269"/>
      <c r="AR226" s="269"/>
    </row>
    <row r="227">
      <c r="A227" s="410" t="str">
        <f>IFERROR(__xludf.DUMMYFUNCTION("""COMPUTED_VALUE"""),"WO_WFM-OTHERS_20260622_123603181")</f>
        <v>WO_WFM-OTHERS_20260622_123603181</v>
      </c>
      <c r="B227" s="410" t="str">
        <f>IFERROR(__xludf.DUMMYFUNCTION("""COMPUTED_VALUE"""),"TNI0207_Cleaning Radiator and change engine oil")</f>
        <v>TNI0207_Cleaning Radiator and change engine oil</v>
      </c>
      <c r="C227" s="410">
        <f>IFERROR(__xludf.DUMMYFUNCTION("""COMPUTED_VALUE"""),-41.95)</f>
        <v>-41.95</v>
      </c>
      <c r="D227" s="410" t="str">
        <f>IFERROR(__xludf.DUMMYFUNCTION("""COMPUTED_VALUE"""),"T1")</f>
        <v>T1</v>
      </c>
      <c r="E227" s="410" t="str">
        <f>IFERROR(__xludf.DUMMYFUNCTION("""COMPUTED_VALUE"""),"TNI0207")</f>
        <v>TNI0207</v>
      </c>
      <c r="F227" s="410" t="str">
        <f>IFERROR(__xludf.DUMMYFUNCTION("""COMPUTED_VALUE"""),"myt_bonemyat.naing1")</f>
        <v>myt_bonemyat.naing1</v>
      </c>
      <c r="H227" s="269"/>
      <c r="I227" s="269"/>
      <c r="J227" s="269"/>
      <c r="K227" s="269"/>
      <c r="L227" s="269"/>
      <c r="M227" s="269"/>
      <c r="N227" s="269"/>
      <c r="O227" s="269"/>
      <c r="P227" s="269"/>
      <c r="Q227" s="269"/>
      <c r="R227" s="269"/>
      <c r="S227" s="269"/>
      <c r="T227" s="269"/>
      <c r="U227" s="269"/>
      <c r="V227" s="269"/>
      <c r="W227" s="269"/>
      <c r="X227" s="269"/>
      <c r="Y227" s="269"/>
      <c r="Z227" s="269"/>
      <c r="AA227" s="269"/>
      <c r="AB227" s="269"/>
      <c r="AC227" s="269"/>
      <c r="AD227" s="269"/>
      <c r="AE227" s="269"/>
      <c r="AF227" s="269"/>
      <c r="AG227" s="269"/>
      <c r="AH227" s="269"/>
      <c r="AI227" s="269"/>
      <c r="AJ227" s="269"/>
      <c r="AK227" s="269"/>
      <c r="AL227" s="269"/>
      <c r="AM227" s="269"/>
      <c r="AN227" s="269"/>
      <c r="AO227" s="269"/>
      <c r="AP227" s="269"/>
      <c r="AQ227" s="269"/>
      <c r="AR227" s="269"/>
    </row>
    <row r="228">
      <c r="A228" s="410" t="str">
        <f>IFERROR(__xludf.DUMMYFUNCTION("""COMPUTED_VALUE"""),"WO_WFM-OTHERS_20260622_123603015")</f>
        <v>WO_WFM-OTHERS_20260622_123603015</v>
      </c>
      <c r="B228" s="410" t="str">
        <f>IFERROR(__xludf.DUMMYFUNCTION("""COMPUTED_VALUE"""),"TNI0170_Cleaning Radiator and change engine oil")</f>
        <v>TNI0170_Cleaning Radiator and change engine oil</v>
      </c>
      <c r="C228" s="410">
        <f>IFERROR(__xludf.DUMMYFUNCTION("""COMPUTED_VALUE"""),-41.95)</f>
        <v>-41.95</v>
      </c>
      <c r="D228" s="410" t="str">
        <f>IFERROR(__xludf.DUMMYFUNCTION("""COMPUTED_VALUE"""),"T1")</f>
        <v>T1</v>
      </c>
      <c r="E228" s="410" t="str">
        <f>IFERROR(__xludf.DUMMYFUNCTION("""COMPUTED_VALUE"""),"TNI0170")</f>
        <v>TNI0170</v>
      </c>
      <c r="F228" s="410" t="str">
        <f>IFERROR(__xludf.DUMMYFUNCTION("""COMPUTED_VALUE"""),"myt_bonemyat.naing1")</f>
        <v>myt_bonemyat.naing1</v>
      </c>
      <c r="H228" s="269"/>
      <c r="I228" s="269"/>
      <c r="J228" s="269"/>
      <c r="K228" s="269"/>
      <c r="L228" s="269"/>
      <c r="M228" s="269"/>
      <c r="N228" s="269"/>
      <c r="O228" s="269"/>
      <c r="P228" s="269"/>
      <c r="Q228" s="269"/>
      <c r="R228" s="269"/>
      <c r="S228" s="269"/>
      <c r="T228" s="269"/>
      <c r="U228" s="269"/>
      <c r="V228" s="269"/>
      <c r="W228" s="269"/>
      <c r="X228" s="269"/>
      <c r="Y228" s="269"/>
      <c r="Z228" s="269"/>
      <c r="AA228" s="269"/>
      <c r="AB228" s="269"/>
      <c r="AC228" s="269"/>
      <c r="AD228" s="269"/>
      <c r="AE228" s="269"/>
      <c r="AF228" s="269"/>
      <c r="AG228" s="269"/>
      <c r="AH228" s="269"/>
      <c r="AI228" s="269"/>
      <c r="AJ228" s="269"/>
      <c r="AK228" s="269"/>
      <c r="AL228" s="269"/>
      <c r="AM228" s="269"/>
      <c r="AN228" s="269"/>
      <c r="AO228" s="269"/>
      <c r="AP228" s="269"/>
      <c r="AQ228" s="269"/>
      <c r="AR228" s="269"/>
    </row>
    <row r="229">
      <c r="A229" s="410" t="str">
        <f>IFERROR(__xludf.DUMMYFUNCTION("""COMPUTED_VALUE"""),"WO_WFM-OTHERS_20260622_123602890")</f>
        <v>WO_WFM-OTHERS_20260622_123602890</v>
      </c>
      <c r="B229" s="410" t="str">
        <f>IFERROR(__xludf.DUMMYFUNCTION("""COMPUTED_VALUE"""),"TNI0066_Cleaning Radiator and change engine oil")</f>
        <v>TNI0066_Cleaning Radiator and change engine oil</v>
      </c>
      <c r="C229" s="410">
        <f>IFERROR(__xludf.DUMMYFUNCTION("""COMPUTED_VALUE"""),-41.95)</f>
        <v>-41.95</v>
      </c>
      <c r="D229" s="410" t="str">
        <f>IFERROR(__xludf.DUMMYFUNCTION("""COMPUTED_VALUE"""),"T1")</f>
        <v>T1</v>
      </c>
      <c r="E229" s="410" t="str">
        <f>IFERROR(__xludf.DUMMYFUNCTION("""COMPUTED_VALUE"""),"TNI0066")</f>
        <v>TNI0066</v>
      </c>
      <c r="F229" s="410" t="str">
        <f>IFERROR(__xludf.DUMMYFUNCTION("""COMPUTED_VALUE"""),"myt_bonemyat.naing1")</f>
        <v>myt_bonemyat.naing1</v>
      </c>
      <c r="H229" s="269"/>
      <c r="I229" s="269"/>
      <c r="J229" s="269"/>
      <c r="K229" s="269"/>
      <c r="L229" s="269"/>
      <c r="M229" s="269"/>
      <c r="N229" s="269"/>
      <c r="O229" s="269"/>
      <c r="P229" s="269"/>
      <c r="Q229" s="269"/>
      <c r="R229" s="269"/>
      <c r="S229" s="269"/>
      <c r="T229" s="269"/>
      <c r="U229" s="269"/>
      <c r="V229" s="269"/>
      <c r="W229" s="269"/>
      <c r="X229" s="269"/>
      <c r="Y229" s="269"/>
      <c r="Z229" s="269"/>
      <c r="AA229" s="269"/>
      <c r="AB229" s="269"/>
      <c r="AC229" s="269"/>
      <c r="AD229" s="269"/>
      <c r="AE229" s="269"/>
      <c r="AF229" s="269"/>
      <c r="AG229" s="269"/>
      <c r="AH229" s="269"/>
      <c r="AI229" s="269"/>
      <c r="AJ229" s="269"/>
      <c r="AK229" s="269"/>
      <c r="AL229" s="269"/>
      <c r="AM229" s="269"/>
      <c r="AN229" s="269"/>
      <c r="AO229" s="269"/>
      <c r="AP229" s="269"/>
      <c r="AQ229" s="269"/>
      <c r="AR229" s="269"/>
    </row>
    <row r="230">
      <c r="A230" s="410" t="str">
        <f>IFERROR(__xludf.DUMMYFUNCTION("""COMPUTED_VALUE"""),"WO_QLCTKT_20260619_123565997")</f>
        <v>WO_QLCTKT_20260619_123565997</v>
      </c>
      <c r="B230" s="410" t="str">
        <f>IFERROR(__xludf.DUMMYFUNCTION("""COMPUTED_VALUE"""),"TNI0013 MYT_Routine_Maintenance_Main_Station_VCM")</f>
        <v>TNI0013 MYT_Routine_Maintenance_Main_Station_VCM</v>
      </c>
      <c r="C230" s="410">
        <f>IFERROR(__xludf.DUMMYFUNCTION("""COMPUTED_VALUE"""),247.05)</f>
        <v>247.05</v>
      </c>
      <c r="D230" s="410" t="str">
        <f>IFERROR(__xludf.DUMMYFUNCTION("""COMPUTED_VALUE"""),"T1")</f>
        <v>T1</v>
      </c>
      <c r="E230" s="410" t="str">
        <f>IFERROR(__xludf.DUMMYFUNCTION("""COMPUTED_VALUE"""),"TNI0013")</f>
        <v>TNI0013</v>
      </c>
      <c r="F230" s="410" t="str">
        <f>IFERROR(__xludf.DUMMYFUNCTION("""COMPUTED_VALUE"""),"myt_bonemyat.naing1")</f>
        <v>myt_bonemyat.naing1</v>
      </c>
      <c r="H230" s="269"/>
      <c r="I230" s="269"/>
      <c r="J230" s="269"/>
      <c r="K230" s="269"/>
      <c r="L230" s="269"/>
      <c r="M230" s="269"/>
      <c r="N230" s="269"/>
      <c r="O230" s="269"/>
      <c r="P230" s="269"/>
      <c r="Q230" s="269"/>
      <c r="R230" s="269"/>
      <c r="S230" s="269"/>
      <c r="T230" s="269"/>
      <c r="U230" s="269"/>
      <c r="V230" s="269"/>
      <c r="W230" s="269"/>
      <c r="X230" s="269"/>
      <c r="Y230" s="269"/>
      <c r="Z230" s="269"/>
      <c r="AA230" s="269"/>
      <c r="AB230" s="269"/>
      <c r="AC230" s="269"/>
      <c r="AD230" s="269"/>
      <c r="AE230" s="269"/>
      <c r="AF230" s="269"/>
      <c r="AG230" s="269"/>
      <c r="AH230" s="269"/>
      <c r="AI230" s="269"/>
      <c r="AJ230" s="269"/>
      <c r="AK230" s="269"/>
      <c r="AL230" s="269"/>
      <c r="AM230" s="269"/>
      <c r="AN230" s="269"/>
      <c r="AO230" s="269"/>
      <c r="AP230" s="269"/>
      <c r="AQ230" s="269"/>
      <c r="AR230" s="269"/>
    </row>
    <row r="231">
      <c r="A231" s="410" t="str">
        <f>IFERROR(__xludf.DUMMYFUNCTION("""COMPUTED_VALUE"""),"WO_QLCTKT_20260615_123533525")</f>
        <v>WO_QLCTKT_20260615_123533525</v>
      </c>
      <c r="B231" s="410" t="str">
        <f>IFERROR(__xludf.DUMMYFUNCTION("""COMPUTED_VALUE"""),"TNI0013 Bảo dưỡng hạ tầng nhà trạm")</f>
        <v>TNI0013 Bảo dưỡng hạ tầng nhà trạm</v>
      </c>
      <c r="C231" s="410">
        <f>IFERROR(__xludf.DUMMYFUNCTION("""COMPUTED_VALUE"""),-263.98)</f>
        <v>-263.98</v>
      </c>
      <c r="D231" s="410" t="str">
        <f>IFERROR(__xludf.DUMMYFUNCTION("""COMPUTED_VALUE"""),"T1")</f>
        <v>T1</v>
      </c>
      <c r="E231" s="410" t="str">
        <f>IFERROR(__xludf.DUMMYFUNCTION("""COMPUTED_VALUE"""),"TNI0013")</f>
        <v>TNI0013</v>
      </c>
      <c r="F231" s="410" t="str">
        <f>IFERROR(__xludf.DUMMYFUNCTION("""COMPUTED_VALUE"""),"myt_bonemyat.naing1")</f>
        <v>myt_bonemyat.naing1</v>
      </c>
      <c r="H231" s="269"/>
      <c r="I231" s="269"/>
      <c r="J231" s="269"/>
      <c r="K231" s="269"/>
      <c r="L231" s="269"/>
      <c r="M231" s="269"/>
      <c r="N231" s="269"/>
      <c r="O231" s="269"/>
      <c r="P231" s="269"/>
      <c r="Q231" s="269"/>
      <c r="R231" s="269"/>
      <c r="S231" s="269"/>
      <c r="T231" s="269"/>
      <c r="U231" s="269"/>
      <c r="V231" s="269"/>
      <c r="W231" s="269"/>
      <c r="X231" s="269"/>
      <c r="Y231" s="269"/>
      <c r="Z231" s="269"/>
      <c r="AA231" s="269"/>
      <c r="AB231" s="269"/>
      <c r="AC231" s="269"/>
      <c r="AD231" s="269"/>
      <c r="AE231" s="269"/>
      <c r="AF231" s="269"/>
      <c r="AG231" s="269"/>
      <c r="AH231" s="269"/>
      <c r="AI231" s="269"/>
      <c r="AJ231" s="269"/>
      <c r="AK231" s="269"/>
      <c r="AL231" s="269"/>
      <c r="AM231" s="269"/>
      <c r="AN231" s="269"/>
      <c r="AO231" s="269"/>
      <c r="AP231" s="269"/>
      <c r="AQ231" s="269"/>
      <c r="AR231" s="269"/>
    </row>
    <row r="232">
      <c r="A232" s="410" t="str">
        <f>IFERROR(__xludf.DUMMYFUNCTION("""COMPUTED_VALUE"""),"WO_WFM-OTHERS_20260605_123451861")</f>
        <v>WO_WFM-OTHERS_20260605_123451861</v>
      </c>
      <c r="B232" s="410" t="str">
        <f>IFERROR(__xludf.DUMMYFUNCTION("""COMPUTED_VALUE"""),"TNI0231 MYT_Maintenance_Generator_Cleaning Rediator - MYT_Maintenance_Generator_Checking Coolant Level - MYT_Maintenance_Generator_Change Engine Oil")</f>
        <v>TNI0231 MYT_Maintenance_Generator_Cleaning Rediator - MYT_Maintenance_Generator_Checking Coolant Level - MYT_Maintenance_Generator_Change Engine Oil</v>
      </c>
      <c r="C232" s="410">
        <f>IFERROR(__xludf.DUMMYFUNCTION("""COMPUTED_VALUE"""),-280.95)</f>
        <v>-280.95</v>
      </c>
      <c r="D232" s="410" t="str">
        <f>IFERROR(__xludf.DUMMYFUNCTION("""COMPUTED_VALUE"""),"T1")</f>
        <v>T1</v>
      </c>
      <c r="E232" s="410" t="str">
        <f>IFERROR(__xludf.DUMMYFUNCTION("""COMPUTED_VALUE"""),"TNI0381: 8KVA")</f>
        <v>TNI0381: 8KVA</v>
      </c>
      <c r="F232" s="410" t="str">
        <f>IFERROR(__xludf.DUMMYFUNCTION("""COMPUTED_VALUE"""),"myt_bonemyat.naing1")</f>
        <v>myt_bonemyat.naing1</v>
      </c>
      <c r="H232" s="269"/>
      <c r="I232" s="269"/>
      <c r="J232" s="269"/>
      <c r="K232" s="269"/>
      <c r="L232" s="269"/>
      <c r="M232" s="269"/>
      <c r="N232" s="269"/>
      <c r="O232" s="269"/>
      <c r="P232" s="269"/>
      <c r="Q232" s="269"/>
      <c r="R232" s="269"/>
      <c r="S232" s="269"/>
      <c r="T232" s="269"/>
      <c r="U232" s="269"/>
      <c r="V232" s="269"/>
      <c r="W232" s="269"/>
      <c r="X232" s="269"/>
      <c r="Y232" s="269"/>
      <c r="Z232" s="269"/>
      <c r="AA232" s="269"/>
      <c r="AB232" s="269"/>
      <c r="AC232" s="269"/>
      <c r="AD232" s="269"/>
      <c r="AE232" s="269"/>
      <c r="AF232" s="269"/>
      <c r="AG232" s="269"/>
      <c r="AH232" s="269"/>
      <c r="AI232" s="269"/>
      <c r="AJ232" s="269"/>
      <c r="AK232" s="269"/>
      <c r="AL232" s="269"/>
      <c r="AM232" s="269"/>
      <c r="AN232" s="269"/>
      <c r="AO232" s="269"/>
      <c r="AP232" s="269"/>
      <c r="AQ232" s="269"/>
      <c r="AR232" s="269"/>
    </row>
    <row r="233">
      <c r="A233" s="410" t="str">
        <f>IFERROR(__xludf.DUMMYFUNCTION("""COMPUTED_VALUE"""),"WO_WFM-OTHERS_20260605_123451841")</f>
        <v>WO_WFM-OTHERS_20260605_123451841</v>
      </c>
      <c r="B233" s="410" t="str">
        <f>IFERROR(__xludf.DUMMYFUNCTION("""COMPUTED_VALUE"""),"TNI0211 MYT_Maintenance_Generator_Cleaning Rediator - MYT_Maintenance_Generator_Checking Coolant Level - MYT_Maintenance_Generator_Change Engine Oil")</f>
        <v>TNI0211 MYT_Maintenance_Generator_Cleaning Rediator - MYT_Maintenance_Generator_Checking Coolant Level - MYT_Maintenance_Generator_Change Engine Oil</v>
      </c>
      <c r="C233" s="410">
        <f>IFERROR(__xludf.DUMMYFUNCTION("""COMPUTED_VALUE"""),-280.95)</f>
        <v>-280.95</v>
      </c>
      <c r="D233" s="410" t="str">
        <f>IFERROR(__xludf.DUMMYFUNCTION("""COMPUTED_VALUE"""),"T1")</f>
        <v>T1</v>
      </c>
      <c r="E233" s="410" t="str">
        <f>IFERROR(__xludf.DUMMYFUNCTION("""COMPUTED_VALUE"""),"TNI0381: 8KVA")</f>
        <v>TNI0381: 8KVA</v>
      </c>
      <c r="F233" s="410" t="str">
        <f>IFERROR(__xludf.DUMMYFUNCTION("""COMPUTED_VALUE"""),"myt_bonemyat.naing1")</f>
        <v>myt_bonemyat.naing1</v>
      </c>
      <c r="H233" s="269"/>
      <c r="I233" s="269"/>
      <c r="J233" s="269"/>
      <c r="K233" s="269"/>
      <c r="L233" s="269"/>
      <c r="M233" s="269"/>
      <c r="N233" s="269"/>
      <c r="O233" s="269"/>
      <c r="P233" s="269"/>
      <c r="Q233" s="269"/>
      <c r="R233" s="269"/>
      <c r="S233" s="269"/>
      <c r="T233" s="269"/>
      <c r="U233" s="269"/>
      <c r="V233" s="269"/>
      <c r="W233" s="269"/>
      <c r="X233" s="269"/>
      <c r="Y233" s="269"/>
      <c r="Z233" s="269"/>
      <c r="AA233" s="269"/>
      <c r="AB233" s="269"/>
      <c r="AC233" s="269"/>
      <c r="AD233" s="269"/>
      <c r="AE233" s="269"/>
      <c r="AF233" s="269"/>
      <c r="AG233" s="269"/>
      <c r="AH233" s="269"/>
      <c r="AI233" s="269"/>
      <c r="AJ233" s="269"/>
      <c r="AK233" s="269"/>
      <c r="AL233" s="269"/>
      <c r="AM233" s="269"/>
      <c r="AN233" s="269"/>
      <c r="AO233" s="269"/>
      <c r="AP233" s="269"/>
      <c r="AQ233" s="269"/>
      <c r="AR233" s="269"/>
    </row>
    <row r="234">
      <c r="A234" s="410" t="str">
        <f>IFERROR(__xludf.DUMMYFUNCTION("""COMPUTED_VALUE"""),"WO_WFM-OTHERS_20260605_123451657")</f>
        <v>WO_WFM-OTHERS_20260605_123451657</v>
      </c>
      <c r="B234" s="410" t="str">
        <f>IFERROR(__xludf.DUMMYFUNCTION("""COMPUTED_VALUE"""),"TNI0170 MYT_Maintenance_Generator_Cleaning Rediator - MYT_Maintenance_Generator_Checking Coolant Level - MYT_Maintenance_Generator_Change Engine Oil")</f>
        <v>TNI0170 MYT_Maintenance_Generator_Cleaning Rediator - MYT_Maintenance_Generator_Checking Coolant Level - MYT_Maintenance_Generator_Change Engine Oil</v>
      </c>
      <c r="C234" s="410">
        <f>IFERROR(__xludf.DUMMYFUNCTION("""COMPUTED_VALUE"""),-280.95)</f>
        <v>-280.95</v>
      </c>
      <c r="D234" s="410" t="str">
        <f>IFERROR(__xludf.DUMMYFUNCTION("""COMPUTED_VALUE"""),"T1")</f>
        <v>T1</v>
      </c>
      <c r="E234" s="410" t="str">
        <f>IFERROR(__xludf.DUMMYFUNCTION("""COMPUTED_VALUE"""),"TNI0381: 8KVA")</f>
        <v>TNI0381: 8KVA</v>
      </c>
      <c r="F234" s="410" t="str">
        <f>IFERROR(__xludf.DUMMYFUNCTION("""COMPUTED_VALUE"""),"myt_bonemyat.naing1")</f>
        <v>myt_bonemyat.naing1</v>
      </c>
      <c r="H234" s="269"/>
      <c r="I234" s="269"/>
      <c r="J234" s="269"/>
      <c r="K234" s="269"/>
      <c r="L234" s="269"/>
      <c r="M234" s="269"/>
      <c r="N234" s="269"/>
      <c r="O234" s="269"/>
      <c r="P234" s="269"/>
      <c r="Q234" s="269"/>
      <c r="R234" s="269"/>
      <c r="S234" s="269"/>
      <c r="T234" s="269"/>
      <c r="U234" s="269"/>
      <c r="V234" s="269"/>
      <c r="W234" s="269"/>
      <c r="X234" s="269"/>
      <c r="Y234" s="269"/>
      <c r="Z234" s="269"/>
      <c r="AA234" s="269"/>
      <c r="AB234" s="269"/>
      <c r="AC234" s="269"/>
      <c r="AD234" s="269"/>
      <c r="AE234" s="269"/>
      <c r="AF234" s="269"/>
      <c r="AG234" s="269"/>
      <c r="AH234" s="269"/>
      <c r="AI234" s="269"/>
      <c r="AJ234" s="269"/>
      <c r="AK234" s="269"/>
      <c r="AL234" s="269"/>
      <c r="AM234" s="269"/>
      <c r="AN234" s="269"/>
      <c r="AO234" s="269"/>
      <c r="AP234" s="269"/>
      <c r="AQ234" s="269"/>
      <c r="AR234" s="269"/>
    </row>
    <row r="235">
      <c r="A235" s="410" t="str">
        <f>IFERROR(__xludf.DUMMYFUNCTION("""COMPUTED_VALUE"""),"WO_QLCTKT_20260604_123438218")</f>
        <v>WO_QLCTKT_20260604_123438218</v>
      </c>
      <c r="B235" s="410" t="str">
        <f>IFERROR(__xludf.DUMMYFUNCTION("""COMPUTED_VALUE"""),"TNI0069 MYT_Troubleshooting Solar Power System")</f>
        <v>TNI0069 MYT_Troubleshooting Solar Power System</v>
      </c>
      <c r="C235" s="410">
        <f>IFERROR(__xludf.DUMMYFUNCTION("""COMPUTED_VALUE"""),-520.95)</f>
        <v>-520.95</v>
      </c>
      <c r="D235" s="410" t="str">
        <f>IFERROR(__xludf.DUMMYFUNCTION("""COMPUTED_VALUE"""),"T1")</f>
        <v>T1</v>
      </c>
      <c r="E235" s="410" t="str">
        <f>IFERROR(__xludf.DUMMYFUNCTION("""COMPUTED_VALUE"""),"TNI0069")</f>
        <v>TNI0069</v>
      </c>
      <c r="F235" s="410" t="str">
        <f>IFERROR(__xludf.DUMMYFUNCTION("""COMPUTED_VALUE"""),"myt_bonemyat.naing1")</f>
        <v>myt_bonemyat.naing1</v>
      </c>
      <c r="H235" s="269"/>
      <c r="I235" s="269"/>
      <c r="J235" s="269"/>
      <c r="K235" s="269"/>
      <c r="L235" s="269"/>
      <c r="M235" s="269"/>
      <c r="N235" s="269"/>
      <c r="O235" s="269"/>
      <c r="P235" s="269"/>
      <c r="Q235" s="269"/>
      <c r="R235" s="269"/>
      <c r="S235" s="269"/>
      <c r="T235" s="269"/>
      <c r="U235" s="269"/>
      <c r="V235" s="269"/>
      <c r="W235" s="269"/>
      <c r="X235" s="269"/>
      <c r="Y235" s="269"/>
      <c r="Z235" s="269"/>
      <c r="AA235" s="269"/>
      <c r="AB235" s="269"/>
      <c r="AC235" s="269"/>
      <c r="AD235" s="269"/>
      <c r="AE235" s="269"/>
      <c r="AF235" s="269"/>
      <c r="AG235" s="269"/>
      <c r="AH235" s="269"/>
      <c r="AI235" s="269"/>
      <c r="AJ235" s="269"/>
      <c r="AK235" s="269"/>
      <c r="AL235" s="269"/>
      <c r="AM235" s="269"/>
      <c r="AN235" s="269"/>
      <c r="AO235" s="269"/>
      <c r="AP235" s="269"/>
      <c r="AQ235" s="269"/>
      <c r="AR235" s="269"/>
    </row>
    <row r="236">
      <c r="A236" s="410" t="str">
        <f>IFERROR(__xludf.DUMMYFUNCTION("""COMPUTED_VALUE"""),"WO_QLCTKT_20260531_123407528")</f>
        <v>WO_QLCTKT_20260531_123407528</v>
      </c>
      <c r="B236" s="410" t="str">
        <f>IFERROR(__xludf.DUMMYFUNCTION("""COMPUTED_VALUE"""),"TNI0052 MYT_Maintenance_Generator_Change_Oil - MYT_Checking quality for DG Fuel")</f>
        <v>TNI0052 MYT_Maintenance_Generator_Change_Oil - MYT_Checking quality for DG Fuel</v>
      </c>
      <c r="C236" s="410">
        <f>IFERROR(__xludf.DUMMYFUNCTION("""COMPUTED_VALUE"""),-640.95)</f>
        <v>-640.95</v>
      </c>
      <c r="D236" s="410" t="str">
        <f>IFERROR(__xludf.DUMMYFUNCTION("""COMPUTED_VALUE"""),"T1")</f>
        <v>T1</v>
      </c>
      <c r="E236" s="410" t="str">
        <f>IFERROR(__xludf.DUMMYFUNCTION("""COMPUTED_VALUE"""),"TNI0052: 8KVA")</f>
        <v>TNI0052: 8KVA</v>
      </c>
      <c r="F236" s="410" t="str">
        <f>IFERROR(__xludf.DUMMYFUNCTION("""COMPUTED_VALUE"""),"myt_bonemyat.naing1")</f>
        <v>myt_bonemyat.naing1</v>
      </c>
      <c r="H236" s="269"/>
      <c r="I236" s="269"/>
      <c r="J236" s="269"/>
      <c r="K236" s="269"/>
      <c r="L236" s="269"/>
      <c r="M236" s="269"/>
      <c r="N236" s="269"/>
      <c r="O236" s="269"/>
      <c r="P236" s="269"/>
      <c r="Q236" s="269"/>
      <c r="R236" s="269"/>
      <c r="S236" s="269"/>
      <c r="T236" s="269"/>
      <c r="U236" s="269"/>
      <c r="V236" s="269"/>
      <c r="W236" s="269"/>
      <c r="X236" s="269"/>
      <c r="Y236" s="269"/>
      <c r="Z236" s="269"/>
      <c r="AA236" s="269"/>
      <c r="AB236" s="269"/>
      <c r="AC236" s="269"/>
      <c r="AD236" s="269"/>
      <c r="AE236" s="269"/>
      <c r="AF236" s="269"/>
      <c r="AG236" s="269"/>
      <c r="AH236" s="269"/>
      <c r="AI236" s="269"/>
      <c r="AJ236" s="269"/>
      <c r="AK236" s="269"/>
      <c r="AL236" s="269"/>
      <c r="AM236" s="269"/>
      <c r="AN236" s="269"/>
      <c r="AO236" s="269"/>
      <c r="AP236" s="269"/>
      <c r="AQ236" s="269"/>
      <c r="AR236" s="269"/>
    </row>
    <row r="237">
      <c r="A237" s="410" t="str">
        <f>IFERROR(__xludf.DUMMYFUNCTION("""COMPUTED_VALUE"""),"WO_QLCTKT_20260531_123407494")</f>
        <v>WO_QLCTKT_20260531_123407494</v>
      </c>
      <c r="B237" s="410" t="str">
        <f>IFERROR(__xludf.DUMMYFUNCTION("""COMPUTED_VALUE"""),"TNI0013 MYT_Maintenance_Generator_Change_Oil - MYT_Maintenance_Generator_Change_Oil_Filter - MYT_Maintenance_Generator_Change_Fuel_Filter - MYT_Maintenance_Generator_Change_Air_Filter, Clean Radiator and Clean Engine Room - MYT_Checking quality for DG Fue"&amp;"l")</f>
        <v>TNI0013 MYT_Maintenance_Generator_Change_Oil - MYT_Maintenance_Generator_Change_Oil_Filter - MYT_Maintenance_Generator_Change_Fuel_Filter - MYT_Maintenance_Generator_Change_Air_Filter, Clean Radiator and Clean Engine Room - MYT_Checking quality for DG Fuel</v>
      </c>
      <c r="C237" s="410">
        <f>IFERROR(__xludf.DUMMYFUNCTION("""COMPUTED_VALUE"""),-640.95)</f>
        <v>-640.95</v>
      </c>
      <c r="D237" s="410" t="str">
        <f>IFERROR(__xludf.DUMMYFUNCTION("""COMPUTED_VALUE"""),"T1")</f>
        <v>T1</v>
      </c>
      <c r="E237" s="410" t="str">
        <f>IFERROR(__xludf.DUMMYFUNCTION("""COMPUTED_VALUE"""),"TNI0013: 30KVA")</f>
        <v>TNI0013: 30KVA</v>
      </c>
      <c r="F237" s="410" t="str">
        <f>IFERROR(__xludf.DUMMYFUNCTION("""COMPUTED_VALUE"""),"myt_bonemyat.naing1")</f>
        <v>myt_bonemyat.naing1</v>
      </c>
      <c r="H237" s="269"/>
      <c r="I237" s="269"/>
      <c r="J237" s="269"/>
      <c r="K237" s="269"/>
      <c r="L237" s="269"/>
      <c r="M237" s="269"/>
      <c r="N237" s="269"/>
      <c r="O237" s="269"/>
      <c r="P237" s="269"/>
      <c r="Q237" s="269"/>
      <c r="R237" s="269"/>
      <c r="S237" s="269"/>
      <c r="T237" s="269"/>
      <c r="U237" s="269"/>
      <c r="V237" s="269"/>
      <c r="W237" s="269"/>
      <c r="X237" s="269"/>
      <c r="Y237" s="269"/>
      <c r="Z237" s="269"/>
      <c r="AA237" s="269"/>
      <c r="AB237" s="269"/>
      <c r="AC237" s="269"/>
      <c r="AD237" s="269"/>
      <c r="AE237" s="269"/>
      <c r="AF237" s="269"/>
      <c r="AG237" s="269"/>
      <c r="AH237" s="269"/>
      <c r="AI237" s="269"/>
      <c r="AJ237" s="269"/>
      <c r="AK237" s="269"/>
      <c r="AL237" s="269"/>
      <c r="AM237" s="269"/>
      <c r="AN237" s="269"/>
      <c r="AO237" s="269"/>
      <c r="AP237" s="269"/>
      <c r="AQ237" s="269"/>
      <c r="AR237" s="269"/>
    </row>
    <row r="238">
      <c r="A238" s="410" t="str">
        <f>IFERROR(__xludf.DUMMYFUNCTION("""COMPUTED_VALUE"""),"WO_QLCTKT_20260529_123389605")</f>
        <v>WO_QLCTKT_20260529_123389605</v>
      </c>
      <c r="B238" s="410" t="str">
        <f>IFERROR(__xludf.DUMMYFUNCTION("""COMPUTED_VALUE"""),"TNI0071 MYT_Routine_Maintenance_Mytel_Station_VCM")</f>
        <v>TNI0071 MYT_Routine_Maintenance_Mytel_Station_VCM</v>
      </c>
      <c r="C238" s="410">
        <f>IFERROR(__xludf.DUMMYFUNCTION("""COMPUTED_VALUE"""),223.05)</f>
        <v>223.05</v>
      </c>
      <c r="D238" s="410" t="str">
        <f>IFERROR(__xludf.DUMMYFUNCTION("""COMPUTED_VALUE"""),"T1")</f>
        <v>T1</v>
      </c>
      <c r="E238" s="410" t="str">
        <f>IFERROR(__xludf.DUMMYFUNCTION("""COMPUTED_VALUE"""),"TNI0071")</f>
        <v>TNI0071</v>
      </c>
      <c r="F238" s="410" t="str">
        <f>IFERROR(__xludf.DUMMYFUNCTION("""COMPUTED_VALUE"""),"myt_bonemyat.naing1")</f>
        <v>myt_bonemyat.naing1</v>
      </c>
      <c r="H238" s="269"/>
      <c r="I238" s="269"/>
      <c r="J238" s="269"/>
      <c r="K238" s="269"/>
      <c r="L238" s="269"/>
      <c r="M238" s="269"/>
      <c r="N238" s="269"/>
      <c r="O238" s="269"/>
      <c r="P238" s="269"/>
      <c r="Q238" s="269"/>
      <c r="R238" s="269"/>
      <c r="S238" s="269"/>
      <c r="T238" s="269"/>
      <c r="U238" s="269"/>
      <c r="V238" s="269"/>
      <c r="W238" s="269"/>
      <c r="X238" s="269"/>
      <c r="Y238" s="269"/>
      <c r="Z238" s="269"/>
      <c r="AA238" s="269"/>
      <c r="AB238" s="269"/>
      <c r="AC238" s="269"/>
      <c r="AD238" s="269"/>
      <c r="AE238" s="269"/>
      <c r="AF238" s="269"/>
      <c r="AG238" s="269"/>
      <c r="AH238" s="269"/>
      <c r="AI238" s="269"/>
      <c r="AJ238" s="269"/>
      <c r="AK238" s="269"/>
      <c r="AL238" s="269"/>
      <c r="AM238" s="269"/>
      <c r="AN238" s="269"/>
      <c r="AO238" s="269"/>
      <c r="AP238" s="269"/>
      <c r="AQ238" s="269"/>
      <c r="AR238" s="269"/>
    </row>
    <row r="239">
      <c r="A239" s="410" t="str">
        <f>IFERROR(__xludf.DUMMYFUNCTION("""COMPUTED_VALUE"""),"WO_QLCTKT_20260522_123332498")</f>
        <v>WO_QLCTKT_20260522_123332498</v>
      </c>
      <c r="B239" s="410" t="str">
        <f>IFERROR(__xludf.DUMMYFUNCTION("""COMPUTED_VALUE"""),"TNI0049 MYT_Routine_Maintenance_Mytel_Station_VCM")</f>
        <v>TNI0049 MYT_Routine_Maintenance_Mytel_Station_VCM</v>
      </c>
      <c r="C239" s="410">
        <f>IFERROR(__xludf.DUMMYFUNCTION("""COMPUTED_VALUE"""),55.05)</f>
        <v>55.05</v>
      </c>
      <c r="D239" s="410" t="str">
        <f>IFERROR(__xludf.DUMMYFUNCTION("""COMPUTED_VALUE"""),"T1")</f>
        <v>T1</v>
      </c>
      <c r="E239" s="410" t="str">
        <f>IFERROR(__xludf.DUMMYFUNCTION("""COMPUTED_VALUE"""),"TNI0049")</f>
        <v>TNI0049</v>
      </c>
      <c r="F239" s="410" t="str">
        <f>IFERROR(__xludf.DUMMYFUNCTION("""COMPUTED_VALUE"""),"myt_bonemyat.naing1")</f>
        <v>myt_bonemyat.naing1</v>
      </c>
      <c r="H239" s="269"/>
      <c r="I239" s="269"/>
      <c r="J239" s="269"/>
      <c r="K239" s="269"/>
      <c r="L239" s="269"/>
      <c r="M239" s="269"/>
      <c r="N239" s="269"/>
      <c r="O239" s="269"/>
      <c r="P239" s="269"/>
      <c r="Q239" s="269"/>
      <c r="R239" s="269"/>
      <c r="S239" s="269"/>
      <c r="T239" s="269"/>
      <c r="U239" s="269"/>
      <c r="V239" s="269"/>
      <c r="W239" s="269"/>
      <c r="X239" s="269"/>
      <c r="Y239" s="269"/>
      <c r="Z239" s="269"/>
      <c r="AA239" s="269"/>
      <c r="AB239" s="269"/>
      <c r="AC239" s="269"/>
      <c r="AD239" s="269"/>
      <c r="AE239" s="269"/>
      <c r="AF239" s="269"/>
      <c r="AG239" s="269"/>
      <c r="AH239" s="269"/>
      <c r="AI239" s="269"/>
      <c r="AJ239" s="269"/>
      <c r="AK239" s="269"/>
      <c r="AL239" s="269"/>
      <c r="AM239" s="269"/>
      <c r="AN239" s="269"/>
      <c r="AO239" s="269"/>
      <c r="AP239" s="269"/>
      <c r="AQ239" s="269"/>
      <c r="AR239" s="269"/>
    </row>
    <row r="240">
      <c r="A240" s="410" t="str">
        <f>IFERROR(__xludf.DUMMYFUNCTION("""COMPUTED_VALUE"""),"WO_QLCTKT_20260503_123170503")</f>
        <v>WO_QLCTKT_20260503_123170503</v>
      </c>
      <c r="B240" s="410" t="str">
        <f>IFERROR(__xludf.DUMMYFUNCTION("""COMPUTED_VALUE"""),"TNI0061 MYT_Maintenance_Generator_Change_Oil - MYT_Checking quality for DG Fuel")</f>
        <v>TNI0061 MYT_Maintenance_Generator_Change_Oil - MYT_Checking quality for DG Fuel</v>
      </c>
      <c r="C240" s="410">
        <f>IFERROR(__xludf.DUMMYFUNCTION("""COMPUTED_VALUE"""),-1312.95)</f>
        <v>-1312.95</v>
      </c>
      <c r="D240" s="410" t="str">
        <f>IFERROR(__xludf.DUMMYFUNCTION("""COMPUTED_VALUE"""),"T1")</f>
        <v>T1</v>
      </c>
      <c r="E240" s="410" t="str">
        <f>IFERROR(__xludf.DUMMYFUNCTION("""COMPUTED_VALUE"""),"TNI0061: 8KVA")</f>
        <v>TNI0061: 8KVA</v>
      </c>
      <c r="F240" s="410" t="str">
        <f>IFERROR(__xludf.DUMMYFUNCTION("""COMPUTED_VALUE"""),"myt_bonemyat.naing1")</f>
        <v>myt_bonemyat.naing1</v>
      </c>
      <c r="H240" s="269"/>
      <c r="I240" s="269"/>
      <c r="J240" s="269"/>
      <c r="K240" s="269"/>
      <c r="L240" s="269"/>
      <c r="M240" s="269"/>
      <c r="N240" s="269"/>
      <c r="O240" s="269"/>
      <c r="P240" s="269"/>
      <c r="Q240" s="269"/>
      <c r="R240" s="269"/>
      <c r="S240" s="269"/>
      <c r="T240" s="269"/>
      <c r="U240" s="269"/>
      <c r="V240" s="269"/>
      <c r="W240" s="269"/>
      <c r="X240" s="269"/>
      <c r="Y240" s="269"/>
      <c r="Z240" s="269"/>
      <c r="AA240" s="269"/>
      <c r="AB240" s="269"/>
      <c r="AC240" s="269"/>
      <c r="AD240" s="269"/>
      <c r="AE240" s="269"/>
      <c r="AF240" s="269"/>
      <c r="AG240" s="269"/>
      <c r="AH240" s="269"/>
      <c r="AI240" s="269"/>
      <c r="AJ240" s="269"/>
      <c r="AK240" s="269"/>
      <c r="AL240" s="269"/>
      <c r="AM240" s="269"/>
      <c r="AN240" s="269"/>
      <c r="AO240" s="269"/>
      <c r="AP240" s="269"/>
      <c r="AQ240" s="269"/>
      <c r="AR240" s="269"/>
    </row>
    <row r="241">
      <c r="A241" s="410" t="str">
        <f>IFERROR(__xludf.DUMMYFUNCTION("""COMPUTED_VALUE"""),"WO_QLCTKT_20260430_123146548")</f>
        <v>WO_QLCTKT_20260430_123146548</v>
      </c>
      <c r="B241" s="410" t="str">
        <f>IFERROR(__xludf.DUMMYFUNCTION("""COMPUTED_VALUE"""),"TNI0038 MYT_Routine_Maintenance_Mytel_Station_VCM")</f>
        <v>TNI0038 MYT_Routine_Maintenance_Mytel_Station_VCM</v>
      </c>
      <c r="C241" s="410">
        <f>IFERROR(__xludf.DUMMYFUNCTION("""COMPUTED_VALUE"""),-472.95)</f>
        <v>-472.95</v>
      </c>
      <c r="D241" s="410" t="str">
        <f>IFERROR(__xludf.DUMMYFUNCTION("""COMPUTED_VALUE"""),"T1")</f>
        <v>T1</v>
      </c>
      <c r="E241" s="410" t="str">
        <f>IFERROR(__xludf.DUMMYFUNCTION("""COMPUTED_VALUE"""),"TNI0038")</f>
        <v>TNI0038</v>
      </c>
      <c r="F241" s="410" t="str">
        <f>IFERROR(__xludf.DUMMYFUNCTION("""COMPUTED_VALUE"""),"myt_bonemyat.naing1")</f>
        <v>myt_bonemyat.naing1</v>
      </c>
      <c r="H241" s="269"/>
      <c r="I241" s="269"/>
      <c r="J241" s="269"/>
      <c r="K241" s="269"/>
      <c r="L241" s="269"/>
      <c r="M241" s="269"/>
      <c r="N241" s="269"/>
      <c r="O241" s="269"/>
      <c r="P241" s="269"/>
      <c r="Q241" s="269"/>
      <c r="R241" s="269"/>
      <c r="S241" s="269"/>
      <c r="T241" s="269"/>
      <c r="U241" s="269"/>
      <c r="V241" s="269"/>
      <c r="W241" s="269"/>
      <c r="X241" s="269"/>
      <c r="Y241" s="269"/>
      <c r="Z241" s="269"/>
      <c r="AA241" s="269"/>
      <c r="AB241" s="269"/>
      <c r="AC241" s="269"/>
      <c r="AD241" s="269"/>
      <c r="AE241" s="269"/>
      <c r="AF241" s="269"/>
      <c r="AG241" s="269"/>
      <c r="AH241" s="269"/>
      <c r="AI241" s="269"/>
      <c r="AJ241" s="269"/>
      <c r="AK241" s="269"/>
      <c r="AL241" s="269"/>
      <c r="AM241" s="269"/>
      <c r="AN241" s="269"/>
      <c r="AO241" s="269"/>
      <c r="AP241" s="269"/>
      <c r="AQ241" s="269"/>
      <c r="AR241" s="269"/>
    </row>
    <row r="242">
      <c r="A242" s="410" t="str">
        <f>IFERROR(__xludf.DUMMYFUNCTION("""COMPUTED_VALUE"""),"WO_QLCTKT_20260409_122953368")</f>
        <v>WO_QLCTKT_20260409_122953368</v>
      </c>
      <c r="B242" s="410" t="str">
        <f>IFERROR(__xludf.DUMMYFUNCTION("""COMPUTED_VALUE"""),"TNI0049 - Repair infrastructure - MYT_Operation Management: Maintenance the equipments: Maintenance Battery &amp; Battery cabinet")</f>
        <v>TNI0049 - Repair infrastructure - MYT_Operation Management: Maintenance the equipments: Maintenance Battery &amp; Battery cabinet</v>
      </c>
      <c r="C242" s="410">
        <f>IFERROR(__xludf.DUMMYFUNCTION("""COMPUTED_VALUE"""),-1855.68)</f>
        <v>-1855.68</v>
      </c>
      <c r="D242" s="410" t="str">
        <f>IFERROR(__xludf.DUMMYFUNCTION("""COMPUTED_VALUE"""),"T1")</f>
        <v>T1</v>
      </c>
      <c r="E242" s="410" t="str">
        <f>IFERROR(__xludf.DUMMYFUNCTION("""COMPUTED_VALUE"""),"TNI0049")</f>
        <v>TNI0049</v>
      </c>
      <c r="F242" s="410" t="str">
        <f>IFERROR(__xludf.DUMMYFUNCTION("""COMPUTED_VALUE"""),"myt_bonemyat.naing1")</f>
        <v>myt_bonemyat.naing1</v>
      </c>
      <c r="H242" s="269"/>
      <c r="I242" s="269"/>
      <c r="J242" s="269"/>
      <c r="K242" s="269"/>
      <c r="L242" s="269"/>
      <c r="M242" s="269"/>
      <c r="N242" s="269"/>
      <c r="O242" s="269"/>
      <c r="P242" s="269"/>
      <c r="Q242" s="269"/>
      <c r="R242" s="269"/>
      <c r="S242" s="269"/>
      <c r="T242" s="269"/>
      <c r="U242" s="269"/>
      <c r="V242" s="269"/>
      <c r="W242" s="269"/>
      <c r="X242" s="269"/>
      <c r="Y242" s="269"/>
      <c r="Z242" s="269"/>
      <c r="AA242" s="269"/>
      <c r="AB242" s="269"/>
      <c r="AC242" s="269"/>
      <c r="AD242" s="269"/>
      <c r="AE242" s="269"/>
      <c r="AF242" s="269"/>
      <c r="AG242" s="269"/>
      <c r="AH242" s="269"/>
      <c r="AI242" s="269"/>
      <c r="AJ242" s="269"/>
      <c r="AK242" s="269"/>
      <c r="AL242" s="269"/>
      <c r="AM242" s="269"/>
      <c r="AN242" s="269"/>
      <c r="AO242" s="269"/>
      <c r="AP242" s="269"/>
      <c r="AQ242" s="269"/>
      <c r="AR242" s="269"/>
    </row>
    <row r="243">
      <c r="A243" s="410" t="str">
        <f>IFERROR(__xludf.DUMMYFUNCTION("""COMPUTED_VALUE"""),"WO_QLCTKT_20260402_122825630")</f>
        <v>WO_QLCTKT_20260402_122825630</v>
      </c>
      <c r="B243" s="410" t="str">
        <f>IFERROR(__xludf.DUMMYFUNCTION("""COMPUTED_VALUE"""),"TNI0061 MYT_Maintenance_Generator_Change_Oil - MYT_Maintenance_Generator_Change_Oil_Filter - MYT_Maintenance_Generator_Change_Fuel_Filter - MYT_Maintenance_Generator_Coolant_Water - MYT_Maintenance_Generator_Change_Air_Filter and Clean_Radiator - MYT_Chec"&amp;"king quality for DG Fuel")</f>
        <v>TNI0061 MYT_Maintenance_Generator_Change_Oil - MYT_Maintenance_Generator_Change_Oil_Filter - MYT_Maintenance_Generator_Change_Fuel_Filter - MYT_Maintenance_Generator_Coolant_Water - MYT_Maintenance_Generator_Change_Air_Filter and Clean_Radiator - MYT_Checking quality for DG Fuel</v>
      </c>
      <c r="C243" s="410">
        <f>IFERROR(__xludf.DUMMYFUNCTION("""COMPUTED_VALUE"""),-1995.95)</f>
        <v>-1995.95</v>
      </c>
      <c r="D243" s="410" t="str">
        <f>IFERROR(__xludf.DUMMYFUNCTION("""COMPUTED_VALUE"""),"T1")</f>
        <v>T1</v>
      </c>
      <c r="E243" s="410" t="str">
        <f>IFERROR(__xludf.DUMMYFUNCTION("""COMPUTED_VALUE"""),"TNI0061: 8KVA")</f>
        <v>TNI0061: 8KVA</v>
      </c>
      <c r="F243" s="410" t="str">
        <f>IFERROR(__xludf.DUMMYFUNCTION("""COMPUTED_VALUE"""),"myt_bonemyat.naing1")</f>
        <v>myt_bonemyat.naing1</v>
      </c>
      <c r="H243" s="269"/>
      <c r="I243" s="269"/>
      <c r="J243" s="269"/>
      <c r="K243" s="269"/>
      <c r="L243" s="269"/>
      <c r="M243" s="269"/>
      <c r="N243" s="269"/>
      <c r="O243" s="269"/>
      <c r="P243" s="269"/>
      <c r="Q243" s="269"/>
      <c r="R243" s="269"/>
      <c r="S243" s="269"/>
      <c r="T243" s="269"/>
      <c r="U243" s="269"/>
      <c r="V243" s="269"/>
      <c r="W243" s="269"/>
      <c r="X243" s="269"/>
      <c r="Y243" s="269"/>
      <c r="Z243" s="269"/>
      <c r="AA243" s="269"/>
      <c r="AB243" s="269"/>
      <c r="AC243" s="269"/>
      <c r="AD243" s="269"/>
      <c r="AE243" s="269"/>
      <c r="AF243" s="269"/>
      <c r="AG243" s="269"/>
      <c r="AH243" s="269"/>
      <c r="AI243" s="269"/>
      <c r="AJ243" s="269"/>
      <c r="AK243" s="269"/>
      <c r="AL243" s="269"/>
      <c r="AM243" s="269"/>
      <c r="AN243" s="269"/>
      <c r="AO243" s="269"/>
      <c r="AP243" s="269"/>
      <c r="AQ243" s="269"/>
      <c r="AR243" s="269"/>
    </row>
    <row r="244">
      <c r="A244" s="410" t="str">
        <f>IFERROR(__xludf.DUMMYFUNCTION("""COMPUTED_VALUE"""),"WO_QLCTKT_20260402_122825621")</f>
        <v>WO_QLCTKT_20260402_122825621</v>
      </c>
      <c r="B244" s="410" t="str">
        <f>IFERROR(__xludf.DUMMYFUNCTION("""COMPUTED_VALUE"""),"TNI0049 MYT_Maintenance_Generator_Change_Oil - MYT_Checking quality for DG Fuel")</f>
        <v>TNI0049 MYT_Maintenance_Generator_Change_Oil - MYT_Checking quality for DG Fuel</v>
      </c>
      <c r="C244" s="410">
        <f>IFERROR(__xludf.DUMMYFUNCTION("""COMPUTED_VALUE"""),-1995.95)</f>
        <v>-1995.95</v>
      </c>
      <c r="D244" s="410" t="str">
        <f>IFERROR(__xludf.DUMMYFUNCTION("""COMPUTED_VALUE"""),"T1")</f>
        <v>T1</v>
      </c>
      <c r="E244" s="410" t="str">
        <f>IFERROR(__xludf.DUMMYFUNCTION("""COMPUTED_VALUE"""),"TNI0049: 8KVA")</f>
        <v>TNI0049: 8KVA</v>
      </c>
      <c r="F244" s="410" t="str">
        <f>IFERROR(__xludf.DUMMYFUNCTION("""COMPUTED_VALUE"""),"myt_bonemyat.naing1")</f>
        <v>myt_bonemyat.naing1</v>
      </c>
      <c r="H244" s="269"/>
      <c r="I244" s="269"/>
      <c r="J244" s="269"/>
      <c r="K244" s="269"/>
      <c r="L244" s="269"/>
      <c r="M244" s="269"/>
      <c r="N244" s="269"/>
      <c r="O244" s="269"/>
      <c r="P244" s="269"/>
      <c r="Q244" s="269"/>
      <c r="R244" s="269"/>
      <c r="S244" s="269"/>
      <c r="T244" s="269"/>
      <c r="U244" s="269"/>
      <c r="V244" s="269"/>
      <c r="W244" s="269"/>
      <c r="X244" s="269"/>
      <c r="Y244" s="269"/>
      <c r="Z244" s="269"/>
      <c r="AA244" s="269"/>
      <c r="AB244" s="269"/>
      <c r="AC244" s="269"/>
      <c r="AD244" s="269"/>
      <c r="AE244" s="269"/>
      <c r="AF244" s="269"/>
      <c r="AG244" s="269"/>
      <c r="AH244" s="269"/>
      <c r="AI244" s="269"/>
      <c r="AJ244" s="269"/>
      <c r="AK244" s="269"/>
      <c r="AL244" s="269"/>
      <c r="AM244" s="269"/>
      <c r="AN244" s="269"/>
      <c r="AO244" s="269"/>
      <c r="AP244" s="269"/>
      <c r="AQ244" s="269"/>
      <c r="AR244" s="269"/>
    </row>
    <row r="245">
      <c r="A245" s="410" t="str">
        <f>IFERROR(__xludf.DUMMYFUNCTION("""COMPUTED_VALUE"""),"WO_ICMS_20260701_123690031")</f>
        <v>WO_ICMS_20260701_123690031</v>
      </c>
      <c r="B245" s="410" t="str">
        <f>IFERROR(__xludf.DUMMYFUNCTION("""COMPUTED_VALUE"""),"TNI0227 MYT_Checking quality for DG Fuel MYT_ME_DG_CHECK_FUEL; MYT_Maintenance_Generator_Change_Air_Filter, Clean Radiator and Clean Engine Room MYT_ME_DG_CHG_AIR_FIL_CLN_RAD_ENG; MYT_Maintenance_Generator_Change_Fuel_Filter MYT_ME_DG_CHG_FUEL_FIL; MYT_Ma"&amp;"intenance_Generator_Change_Oil MYT_ME_DG_CHG_OIL; MYT_Maintenance_Generator_Change_Oil_Filter MYT_ME_DG_CHG_OIL_FIL")</f>
        <v>TNI0227 MYT_Checking quality for DG Fuel MYT_ME_DG_CHECK_FUEL; MYT_Maintenance_Generator_Change_Air_Filter, Clean Radiator and Clean Engine Room MYT_ME_DG_CHG_AIR_FIL_CLN_RAD_ENG; MYT_Maintenance_Generator_Change_Fuel_Filter MYT_ME_DG_CHG_FUEL_FIL; MYT_Maintenance_Generator_Change_Oil MYT_ME_DG_CHG_OIL; MYT_Maintenance_Generator_Change_Oil_Filter MYT_ME_DG_CHG_OIL_FIL</v>
      </c>
      <c r="C245" s="410">
        <f>IFERROR(__xludf.DUMMYFUNCTION("""COMPUTED_VALUE"""),234.08)</f>
        <v>234.08</v>
      </c>
      <c r="D245" s="410" t="str">
        <f>IFERROR(__xludf.DUMMYFUNCTION("""COMPUTED_VALUE"""),"T4")</f>
        <v>T4</v>
      </c>
      <c r="E245" s="410" t="str">
        <f>IFERROR(__xludf.DUMMYFUNCTION("""COMPUTED_VALUE"""),"TNI0227: 12KVA")</f>
        <v>TNI0227: 12KVA</v>
      </c>
      <c r="F245" s="410" t="str">
        <f>IFERROR(__xludf.DUMMYFUNCTION("""COMPUTED_VALUE"""),"myt_khantchaw.nyo")</f>
        <v>myt_khantchaw.nyo</v>
      </c>
      <c r="H245" s="269"/>
      <c r="I245" s="269"/>
      <c r="J245" s="269"/>
      <c r="K245" s="269"/>
      <c r="L245" s="269"/>
      <c r="M245" s="269"/>
      <c r="N245" s="269"/>
      <c r="O245" s="269"/>
      <c r="P245" s="269"/>
      <c r="Q245" s="269"/>
      <c r="R245" s="269"/>
      <c r="S245" s="269"/>
      <c r="T245" s="269"/>
      <c r="U245" s="269"/>
      <c r="V245" s="269"/>
      <c r="W245" s="269"/>
      <c r="X245" s="269"/>
      <c r="Y245" s="269"/>
      <c r="Z245" s="269"/>
      <c r="AA245" s="269"/>
      <c r="AB245" s="269"/>
      <c r="AC245" s="269"/>
      <c r="AD245" s="269"/>
      <c r="AE245" s="269"/>
      <c r="AF245" s="269"/>
      <c r="AG245" s="269"/>
      <c r="AH245" s="269"/>
      <c r="AI245" s="269"/>
      <c r="AJ245" s="269"/>
      <c r="AK245" s="269"/>
      <c r="AL245" s="269"/>
      <c r="AM245" s="269"/>
      <c r="AN245" s="269"/>
      <c r="AO245" s="269"/>
      <c r="AP245" s="269"/>
      <c r="AQ245" s="269"/>
      <c r="AR245" s="269"/>
    </row>
    <row r="246">
      <c r="A246" s="410" t="str">
        <f>IFERROR(__xludf.DUMMYFUNCTION("""COMPUTED_VALUE"""),"WO_WFM-OTHERS_20260623_123616292")</f>
        <v>WO_WFM-OTHERS_20260623_123616292</v>
      </c>
      <c r="B246" s="410" t="str">
        <f>IFERROR(__xludf.DUMMYFUNCTION("""COMPUTED_VALUE"""),"Cable Patrol for (BB)-TNI0015-TNI0012")</f>
        <v>Cable Patrol for (BB)-TNI0015-TNI0012</v>
      </c>
      <c r="C246" s="410">
        <f>IFERROR(__xludf.DUMMYFUNCTION("""COMPUTED_VALUE"""),439.03)</f>
        <v>439.03</v>
      </c>
      <c r="D246" s="410" t="str">
        <f>IFERROR(__xludf.DUMMYFUNCTION("""COMPUTED_VALUE"""),"T4")</f>
        <v>T4</v>
      </c>
      <c r="E246" s="410" t="str">
        <f>IFERROR(__xludf.DUMMYFUNCTION("""COMPUTED_VALUE"""),"TNI0015")</f>
        <v>TNI0015</v>
      </c>
      <c r="F246" s="410" t="str">
        <f>IFERROR(__xludf.DUMMYFUNCTION("""COMPUTED_VALUE"""),"myt_khantchaw.nyo")</f>
        <v>myt_khantchaw.nyo</v>
      </c>
      <c r="H246" s="269"/>
      <c r="I246" s="269"/>
      <c r="J246" s="269"/>
      <c r="K246" s="269"/>
      <c r="L246" s="269"/>
      <c r="M246" s="269"/>
      <c r="N246" s="269"/>
      <c r="O246" s="269"/>
      <c r="P246" s="269"/>
      <c r="Q246" s="269"/>
      <c r="R246" s="269"/>
      <c r="S246" s="269"/>
      <c r="T246" s="269"/>
      <c r="U246" s="269"/>
      <c r="V246" s="269"/>
      <c r="W246" s="269"/>
      <c r="X246" s="269"/>
      <c r="Y246" s="269"/>
      <c r="Z246" s="269"/>
      <c r="AA246" s="269"/>
      <c r="AB246" s="269"/>
      <c r="AC246" s="269"/>
      <c r="AD246" s="269"/>
      <c r="AE246" s="269"/>
      <c r="AF246" s="269"/>
      <c r="AG246" s="269"/>
      <c r="AH246" s="269"/>
      <c r="AI246" s="269"/>
      <c r="AJ246" s="269"/>
      <c r="AK246" s="269"/>
      <c r="AL246" s="269"/>
      <c r="AM246" s="269"/>
      <c r="AN246" s="269"/>
      <c r="AO246" s="269"/>
      <c r="AP246" s="269"/>
      <c r="AQ246" s="269"/>
      <c r="AR246" s="269"/>
    </row>
    <row r="247">
      <c r="A247" s="410" t="str">
        <f>IFERROR(__xludf.DUMMYFUNCTION("""COMPUTED_VALUE"""),"WO_WFM-OTHERS_20260623_123616287")</f>
        <v>WO_WFM-OTHERS_20260623_123616287</v>
      </c>
      <c r="B247" s="410" t="str">
        <f>IFERROR(__xludf.DUMMYFUNCTION("""COMPUTED_VALUE"""),"Cable Patrol for (BB)-TNI0012-THAILAND")</f>
        <v>Cable Patrol for (BB)-TNI0012-THAILAND</v>
      </c>
      <c r="C247" s="410">
        <f>IFERROR(__xludf.DUMMYFUNCTION("""COMPUTED_VALUE"""),439.03)</f>
        <v>439.03</v>
      </c>
      <c r="D247" s="410" t="str">
        <f>IFERROR(__xludf.DUMMYFUNCTION("""COMPUTED_VALUE"""),"T4")</f>
        <v>T4</v>
      </c>
      <c r="E247" s="410" t="str">
        <f>IFERROR(__xludf.DUMMYFUNCTION("""COMPUTED_VALUE"""),"TNI0012")</f>
        <v>TNI0012</v>
      </c>
      <c r="F247" s="410" t="str">
        <f>IFERROR(__xludf.DUMMYFUNCTION("""COMPUTED_VALUE"""),"myt_khantchaw.nyo")</f>
        <v>myt_khantchaw.nyo</v>
      </c>
      <c r="H247" s="269"/>
      <c r="I247" s="269"/>
      <c r="J247" s="269"/>
      <c r="K247" s="269"/>
      <c r="L247" s="269"/>
      <c r="M247" s="269"/>
      <c r="N247" s="269"/>
      <c r="O247" s="269"/>
      <c r="P247" s="269"/>
      <c r="Q247" s="269"/>
      <c r="R247" s="269"/>
      <c r="S247" s="269"/>
      <c r="T247" s="269"/>
      <c r="U247" s="269"/>
      <c r="V247" s="269"/>
      <c r="W247" s="269"/>
      <c r="X247" s="269"/>
      <c r="Y247" s="269"/>
      <c r="Z247" s="269"/>
      <c r="AA247" s="269"/>
      <c r="AB247" s="269"/>
      <c r="AC247" s="269"/>
      <c r="AD247" s="269"/>
      <c r="AE247" s="269"/>
      <c r="AF247" s="269"/>
      <c r="AG247" s="269"/>
      <c r="AH247" s="269"/>
      <c r="AI247" s="269"/>
      <c r="AJ247" s="269"/>
      <c r="AK247" s="269"/>
      <c r="AL247" s="269"/>
      <c r="AM247" s="269"/>
      <c r="AN247" s="269"/>
      <c r="AO247" s="269"/>
      <c r="AP247" s="269"/>
      <c r="AQ247" s="269"/>
      <c r="AR247" s="269"/>
    </row>
    <row r="248">
      <c r="A248" s="410" t="str">
        <f>IFERROR(__xludf.DUMMYFUNCTION("""COMPUTED_VALUE"""),"WO_WFM-OTHERS_20260623_123616288")</f>
        <v>WO_WFM-OTHERS_20260623_123616288</v>
      </c>
      <c r="B248" s="410" t="str">
        <f>IFERROR(__xludf.DUMMYFUNCTION("""COMPUTED_VALUE"""),"Cable Patrol for (BB)-TNI0012-TNI0011")</f>
        <v>Cable Patrol for (BB)-TNI0012-TNI0011</v>
      </c>
      <c r="C248" s="410">
        <f>IFERROR(__xludf.DUMMYFUNCTION("""COMPUTED_VALUE"""),439.03)</f>
        <v>439.03</v>
      </c>
      <c r="D248" s="410" t="str">
        <f>IFERROR(__xludf.DUMMYFUNCTION("""COMPUTED_VALUE"""),"T4")</f>
        <v>T4</v>
      </c>
      <c r="E248" s="410" t="str">
        <f>IFERROR(__xludf.DUMMYFUNCTION("""COMPUTED_VALUE"""),"TNI0012")</f>
        <v>TNI0012</v>
      </c>
      <c r="F248" s="410" t="str">
        <f>IFERROR(__xludf.DUMMYFUNCTION("""COMPUTED_VALUE"""),"myt_khantchaw.nyo")</f>
        <v>myt_khantchaw.nyo</v>
      </c>
      <c r="H248" s="269"/>
      <c r="I248" s="269"/>
      <c r="J248" s="269"/>
      <c r="K248" s="269"/>
      <c r="L248" s="269"/>
      <c r="M248" s="269"/>
      <c r="N248" s="269"/>
      <c r="O248" s="269"/>
      <c r="P248" s="269"/>
      <c r="Q248" s="269"/>
      <c r="R248" s="269"/>
      <c r="S248" s="269"/>
      <c r="T248" s="269"/>
      <c r="U248" s="269"/>
      <c r="V248" s="269"/>
      <c r="W248" s="269"/>
      <c r="X248" s="269"/>
      <c r="Y248" s="269"/>
      <c r="Z248" s="269"/>
      <c r="AA248" s="269"/>
      <c r="AB248" s="269"/>
      <c r="AC248" s="269"/>
      <c r="AD248" s="269"/>
      <c r="AE248" s="269"/>
      <c r="AF248" s="269"/>
      <c r="AG248" s="269"/>
      <c r="AH248" s="269"/>
      <c r="AI248" s="269"/>
      <c r="AJ248" s="269"/>
      <c r="AK248" s="269"/>
      <c r="AL248" s="269"/>
      <c r="AM248" s="269"/>
      <c r="AN248" s="269"/>
      <c r="AO248" s="269"/>
      <c r="AP248" s="269"/>
      <c r="AQ248" s="269"/>
      <c r="AR248" s="269"/>
    </row>
    <row r="249">
      <c r="A249" s="410" t="str">
        <f>IFERROR(__xludf.DUMMYFUNCTION("""COMPUTED_VALUE"""),"WO_WFM-OTHERS_20260623_123613151")</f>
        <v>WO_WFM-OTHERS_20260623_123613151</v>
      </c>
      <c r="B249" s="410" t="str">
        <f>IFERROR(__xludf.DUMMYFUNCTION("""COMPUTED_VALUE"""),"Cable routes measure-AC-TNI0120-TNI0202")</f>
        <v>Cable routes measure-AC-TNI0120-TNI0202</v>
      </c>
      <c r="C249" s="410">
        <f>IFERROR(__xludf.DUMMYFUNCTION("""COMPUTED_VALUE"""),439.03)</f>
        <v>439.03</v>
      </c>
      <c r="D249" s="410" t="str">
        <f>IFERROR(__xludf.DUMMYFUNCTION("""COMPUTED_VALUE"""),"T4")</f>
        <v>T4</v>
      </c>
      <c r="E249" s="410" t="str">
        <f>IFERROR(__xludf.DUMMYFUNCTION("""COMPUTED_VALUE"""),"TNI0120")</f>
        <v>TNI0120</v>
      </c>
      <c r="F249" s="410" t="str">
        <f>IFERROR(__xludf.DUMMYFUNCTION("""COMPUTED_VALUE"""),"myt_khantchaw.nyo")</f>
        <v>myt_khantchaw.nyo</v>
      </c>
      <c r="H249" s="269"/>
      <c r="I249" s="269"/>
      <c r="J249" s="269"/>
      <c r="K249" s="269"/>
      <c r="L249" s="269"/>
      <c r="M249" s="269"/>
      <c r="N249" s="269"/>
      <c r="O249" s="269"/>
      <c r="P249" s="269"/>
      <c r="Q249" s="269"/>
      <c r="R249" s="269"/>
      <c r="S249" s="269"/>
      <c r="T249" s="269"/>
      <c r="U249" s="269"/>
      <c r="V249" s="269"/>
      <c r="W249" s="269"/>
      <c r="X249" s="269"/>
      <c r="Y249" s="269"/>
      <c r="Z249" s="269"/>
      <c r="AA249" s="269"/>
      <c r="AB249" s="269"/>
      <c r="AC249" s="269"/>
      <c r="AD249" s="269"/>
      <c r="AE249" s="269"/>
      <c r="AF249" s="269"/>
      <c r="AG249" s="269"/>
      <c r="AH249" s="269"/>
      <c r="AI249" s="269"/>
      <c r="AJ249" s="269"/>
      <c r="AK249" s="269"/>
      <c r="AL249" s="269"/>
      <c r="AM249" s="269"/>
      <c r="AN249" s="269"/>
      <c r="AO249" s="269"/>
      <c r="AP249" s="269"/>
      <c r="AQ249" s="269"/>
      <c r="AR249" s="269"/>
    </row>
    <row r="250">
      <c r="A250" s="410" t="str">
        <f>IFERROR(__xludf.DUMMYFUNCTION("""COMPUTED_VALUE"""),"WO_WFM-OTHERS_20260623_123613152")</f>
        <v>WO_WFM-OTHERS_20260623_123613152</v>
      </c>
      <c r="B250" s="410" t="str">
        <f>IFERROR(__xludf.DUMMYFUNCTION("""COMPUTED_VALUE"""),"Cable routes measure-AC-TNI0123-TNI0227")</f>
        <v>Cable routes measure-AC-TNI0123-TNI0227</v>
      </c>
      <c r="C250" s="410">
        <f>IFERROR(__xludf.DUMMYFUNCTION("""COMPUTED_VALUE"""),439.03)</f>
        <v>439.03</v>
      </c>
      <c r="D250" s="410" t="str">
        <f>IFERROR(__xludf.DUMMYFUNCTION("""COMPUTED_VALUE"""),"T4")</f>
        <v>T4</v>
      </c>
      <c r="E250" s="410" t="str">
        <f>IFERROR(__xludf.DUMMYFUNCTION("""COMPUTED_VALUE"""),"TNI0123")</f>
        <v>TNI0123</v>
      </c>
      <c r="F250" s="410" t="str">
        <f>IFERROR(__xludf.DUMMYFUNCTION("""COMPUTED_VALUE"""),"myt_khantchaw.nyo")</f>
        <v>myt_khantchaw.nyo</v>
      </c>
      <c r="H250" s="269"/>
      <c r="I250" s="269"/>
      <c r="J250" s="269"/>
      <c r="K250" s="269"/>
      <c r="L250" s="269"/>
      <c r="M250" s="269"/>
      <c r="N250" s="269"/>
      <c r="O250" s="269"/>
      <c r="P250" s="269"/>
      <c r="Q250" s="269"/>
      <c r="R250" s="269"/>
      <c r="S250" s="269"/>
      <c r="T250" s="269"/>
      <c r="U250" s="269"/>
      <c r="V250" s="269"/>
      <c r="W250" s="269"/>
      <c r="X250" s="269"/>
      <c r="Y250" s="269"/>
      <c r="Z250" s="269"/>
      <c r="AA250" s="269"/>
      <c r="AB250" s="269"/>
      <c r="AC250" s="269"/>
      <c r="AD250" s="269"/>
      <c r="AE250" s="269"/>
      <c r="AF250" s="269"/>
      <c r="AG250" s="269"/>
      <c r="AH250" s="269"/>
      <c r="AI250" s="269"/>
      <c r="AJ250" s="269"/>
      <c r="AK250" s="269"/>
      <c r="AL250" s="269"/>
      <c r="AM250" s="269"/>
      <c r="AN250" s="269"/>
      <c r="AO250" s="269"/>
      <c r="AP250" s="269"/>
      <c r="AQ250" s="269"/>
      <c r="AR250" s="269"/>
    </row>
    <row r="251">
      <c r="A251" s="410" t="str">
        <f>IFERROR(__xludf.DUMMYFUNCTION("""COMPUTED_VALUE"""),"WO_WFM-OTHERS_20260623_123613154")</f>
        <v>WO_WFM-OTHERS_20260623_123613154</v>
      </c>
      <c r="B251" s="410" t="str">
        <f>IFERROR(__xludf.DUMMYFUNCTION("""COMPUTED_VALUE"""),"Cable routes measure-AC-TNI0057-TNIM029")</f>
        <v>Cable routes measure-AC-TNI0057-TNIM029</v>
      </c>
      <c r="C251" s="410">
        <f>IFERROR(__xludf.DUMMYFUNCTION("""COMPUTED_VALUE"""),439.03)</f>
        <v>439.03</v>
      </c>
      <c r="D251" s="410" t="str">
        <f>IFERROR(__xludf.DUMMYFUNCTION("""COMPUTED_VALUE"""),"T4")</f>
        <v>T4</v>
      </c>
      <c r="E251" s="410" t="str">
        <f>IFERROR(__xludf.DUMMYFUNCTION("""COMPUTED_VALUE"""),"TNI0057")</f>
        <v>TNI0057</v>
      </c>
      <c r="F251" s="410" t="str">
        <f>IFERROR(__xludf.DUMMYFUNCTION("""COMPUTED_VALUE"""),"myt_khantchaw.nyo")</f>
        <v>myt_khantchaw.nyo</v>
      </c>
      <c r="H251" s="269"/>
      <c r="I251" s="269"/>
      <c r="J251" s="269"/>
      <c r="K251" s="269"/>
      <c r="L251" s="269"/>
      <c r="M251" s="269"/>
      <c r="N251" s="269"/>
      <c r="O251" s="269"/>
      <c r="P251" s="269"/>
      <c r="Q251" s="269"/>
      <c r="R251" s="269"/>
      <c r="S251" s="269"/>
      <c r="T251" s="269"/>
      <c r="U251" s="269"/>
      <c r="V251" s="269"/>
      <c r="W251" s="269"/>
      <c r="X251" s="269"/>
      <c r="Y251" s="269"/>
      <c r="Z251" s="269"/>
      <c r="AA251" s="269"/>
      <c r="AB251" s="269"/>
      <c r="AC251" s="269"/>
      <c r="AD251" s="269"/>
      <c r="AE251" s="269"/>
      <c r="AF251" s="269"/>
      <c r="AG251" s="269"/>
      <c r="AH251" s="269"/>
      <c r="AI251" s="269"/>
      <c r="AJ251" s="269"/>
      <c r="AK251" s="269"/>
      <c r="AL251" s="269"/>
      <c r="AM251" s="269"/>
      <c r="AN251" s="269"/>
      <c r="AO251" s="269"/>
      <c r="AP251" s="269"/>
      <c r="AQ251" s="269"/>
      <c r="AR251" s="269"/>
    </row>
    <row r="252">
      <c r="A252" s="410" t="str">
        <f>IFERROR(__xludf.DUMMYFUNCTION("""COMPUTED_VALUE"""),"WO_WFM-OTHERS_20260623_123613155")</f>
        <v>WO_WFM-OTHERS_20260623_123613155</v>
      </c>
      <c r="B252" s="410" t="str">
        <f>IFERROR(__xludf.DUMMYFUNCTION("""COMPUTED_VALUE"""),"Cable routes measure-AC-TNI0295-JB(TNI0012-TNI0015)")</f>
        <v>Cable routes measure-AC-TNI0295-JB(TNI0012-TNI0015)</v>
      </c>
      <c r="C252" s="410">
        <f>IFERROR(__xludf.DUMMYFUNCTION("""COMPUTED_VALUE"""),439.03)</f>
        <v>439.03</v>
      </c>
      <c r="D252" s="410" t="str">
        <f>IFERROR(__xludf.DUMMYFUNCTION("""COMPUTED_VALUE"""),"T4")</f>
        <v>T4</v>
      </c>
      <c r="E252" s="410" t="str">
        <f>IFERROR(__xludf.DUMMYFUNCTION("""COMPUTED_VALUE"""),"TNI0295")</f>
        <v>TNI0295</v>
      </c>
      <c r="F252" s="410" t="str">
        <f>IFERROR(__xludf.DUMMYFUNCTION("""COMPUTED_VALUE"""),"myt_khantchaw.nyo")</f>
        <v>myt_khantchaw.nyo</v>
      </c>
      <c r="H252" s="269"/>
      <c r="I252" s="269"/>
      <c r="J252" s="269"/>
      <c r="K252" s="269"/>
      <c r="L252" s="269"/>
      <c r="M252" s="269"/>
      <c r="N252" s="269"/>
      <c r="O252" s="269"/>
      <c r="P252" s="269"/>
      <c r="Q252" s="269"/>
      <c r="R252" s="269"/>
      <c r="S252" s="269"/>
      <c r="T252" s="269"/>
      <c r="U252" s="269"/>
      <c r="V252" s="269"/>
      <c r="W252" s="269"/>
      <c r="X252" s="269"/>
      <c r="Y252" s="269"/>
      <c r="Z252" s="269"/>
      <c r="AA252" s="269"/>
      <c r="AB252" s="269"/>
      <c r="AC252" s="269"/>
      <c r="AD252" s="269"/>
      <c r="AE252" s="269"/>
      <c r="AF252" s="269"/>
      <c r="AG252" s="269"/>
      <c r="AH252" s="269"/>
      <c r="AI252" s="269"/>
      <c r="AJ252" s="269"/>
      <c r="AK252" s="269"/>
      <c r="AL252" s="269"/>
      <c r="AM252" s="269"/>
      <c r="AN252" s="269"/>
      <c r="AO252" s="269"/>
      <c r="AP252" s="269"/>
      <c r="AQ252" s="269"/>
      <c r="AR252" s="269"/>
    </row>
    <row r="253">
      <c r="A253" s="410" t="str">
        <f>IFERROR(__xludf.DUMMYFUNCTION("""COMPUTED_VALUE"""),"WO_WFM-OTHERS_20260623_123613156")</f>
        <v>WO_WFM-OTHERS_20260623_123613156</v>
      </c>
      <c r="B253" s="410" t="str">
        <f>IFERROR(__xludf.DUMMYFUNCTION("""COMPUTED_VALUE"""),"Cable routes measure-AC-TNI0202-TNIM090")</f>
        <v>Cable routes measure-AC-TNI0202-TNIM090</v>
      </c>
      <c r="C253" s="410">
        <f>IFERROR(__xludf.DUMMYFUNCTION("""COMPUTED_VALUE"""),439.03)</f>
        <v>439.03</v>
      </c>
      <c r="D253" s="410" t="str">
        <f>IFERROR(__xludf.DUMMYFUNCTION("""COMPUTED_VALUE"""),"T4")</f>
        <v>T4</v>
      </c>
      <c r="E253" s="410" t="str">
        <f>IFERROR(__xludf.DUMMYFUNCTION("""COMPUTED_VALUE"""),"TNI0202")</f>
        <v>TNI0202</v>
      </c>
      <c r="F253" s="410" t="str">
        <f>IFERROR(__xludf.DUMMYFUNCTION("""COMPUTED_VALUE"""),"myt_khantchaw.nyo")</f>
        <v>myt_khantchaw.nyo</v>
      </c>
      <c r="H253" s="269"/>
      <c r="I253" s="269"/>
      <c r="J253" s="269"/>
      <c r="K253" s="269"/>
      <c r="L253" s="269"/>
      <c r="M253" s="269"/>
      <c r="N253" s="269"/>
      <c r="O253" s="269"/>
      <c r="P253" s="269"/>
      <c r="Q253" s="269"/>
      <c r="R253" s="269"/>
      <c r="S253" s="269"/>
      <c r="T253" s="269"/>
      <c r="U253" s="269"/>
      <c r="V253" s="269"/>
      <c r="W253" s="269"/>
      <c r="X253" s="269"/>
      <c r="Y253" s="269"/>
      <c r="Z253" s="269"/>
      <c r="AA253" s="269"/>
      <c r="AB253" s="269"/>
      <c r="AC253" s="269"/>
      <c r="AD253" s="269"/>
      <c r="AE253" s="269"/>
      <c r="AF253" s="269"/>
      <c r="AG253" s="269"/>
      <c r="AH253" s="269"/>
      <c r="AI253" s="269"/>
      <c r="AJ253" s="269"/>
      <c r="AK253" s="269"/>
      <c r="AL253" s="269"/>
      <c r="AM253" s="269"/>
      <c r="AN253" s="269"/>
      <c r="AO253" s="269"/>
      <c r="AP253" s="269"/>
      <c r="AQ253" s="269"/>
      <c r="AR253" s="269"/>
    </row>
    <row r="254">
      <c r="A254" s="410" t="str">
        <f>IFERROR(__xludf.DUMMYFUNCTION("""COMPUTED_VALUE"""),"WO_WFM-OTHERS_20260623_123613153")</f>
        <v>WO_WFM-OTHERS_20260623_123613153</v>
      </c>
      <c r="B254" s="410" t="str">
        <f>IFERROR(__xludf.DUMMYFUNCTION("""COMPUTED_VALUE"""),"Cable routes measure-AC-TNI0011-TNIDOS54")</f>
        <v>Cable routes measure-AC-TNI0011-TNIDOS54</v>
      </c>
      <c r="C254" s="410">
        <f>IFERROR(__xludf.DUMMYFUNCTION("""COMPUTED_VALUE"""),439.03)</f>
        <v>439.03</v>
      </c>
      <c r="D254" s="410" t="str">
        <f>IFERROR(__xludf.DUMMYFUNCTION("""COMPUTED_VALUE"""),"T4")</f>
        <v>T4</v>
      </c>
      <c r="E254" s="410" t="str">
        <f>IFERROR(__xludf.DUMMYFUNCTION("""COMPUTED_VALUE"""),"TNI0011")</f>
        <v>TNI0011</v>
      </c>
      <c r="F254" s="410" t="str">
        <f>IFERROR(__xludf.DUMMYFUNCTION("""COMPUTED_VALUE"""),"myt_khantchaw.nyo")</f>
        <v>myt_khantchaw.nyo</v>
      </c>
      <c r="H254" s="269"/>
      <c r="I254" s="269"/>
      <c r="J254" s="269"/>
      <c r="K254" s="269"/>
      <c r="L254" s="269"/>
      <c r="M254" s="269"/>
      <c r="N254" s="269"/>
      <c r="O254" s="269"/>
      <c r="P254" s="269"/>
      <c r="Q254" s="269"/>
      <c r="R254" s="269"/>
      <c r="S254" s="269"/>
      <c r="T254" s="269"/>
      <c r="U254" s="269"/>
      <c r="V254" s="269"/>
      <c r="W254" s="269"/>
      <c r="X254" s="269"/>
      <c r="Y254" s="269"/>
      <c r="Z254" s="269"/>
      <c r="AA254" s="269"/>
      <c r="AB254" s="269"/>
      <c r="AC254" s="269"/>
      <c r="AD254" s="269"/>
      <c r="AE254" s="269"/>
      <c r="AF254" s="269"/>
      <c r="AG254" s="269"/>
      <c r="AH254" s="269"/>
      <c r="AI254" s="269"/>
      <c r="AJ254" s="269"/>
      <c r="AK254" s="269"/>
      <c r="AL254" s="269"/>
      <c r="AM254" s="269"/>
      <c r="AN254" s="269"/>
      <c r="AO254" s="269"/>
      <c r="AP254" s="269"/>
      <c r="AQ254" s="269"/>
      <c r="AR254" s="269"/>
    </row>
    <row r="255">
      <c r="A255" s="410" t="str">
        <f>IFERROR(__xludf.DUMMYFUNCTION("""COMPUTED_VALUE"""),"WO_WFM-OTHERS_20260623_123613150")</f>
        <v>WO_WFM-OTHERS_20260623_123613150</v>
      </c>
      <c r="B255" s="410" t="str">
        <f>IFERROR(__xludf.DUMMYFUNCTION("""COMPUTED_VALUE"""),"Cable routes measure-BB-TNI0012-TNI0011")</f>
        <v>Cable routes measure-BB-TNI0012-TNI0011</v>
      </c>
      <c r="C255" s="410">
        <f>IFERROR(__xludf.DUMMYFUNCTION("""COMPUTED_VALUE"""),439.03)</f>
        <v>439.03</v>
      </c>
      <c r="D255" s="410" t="str">
        <f>IFERROR(__xludf.DUMMYFUNCTION("""COMPUTED_VALUE"""),"T4")</f>
        <v>T4</v>
      </c>
      <c r="E255" s="410" t="str">
        <f>IFERROR(__xludf.DUMMYFUNCTION("""COMPUTED_VALUE"""),"TNI0012")</f>
        <v>TNI0012</v>
      </c>
      <c r="F255" s="410" t="str">
        <f>IFERROR(__xludf.DUMMYFUNCTION("""COMPUTED_VALUE"""),"myt_khantchaw.nyo")</f>
        <v>myt_khantchaw.nyo</v>
      </c>
      <c r="H255" s="269"/>
      <c r="I255" s="269"/>
      <c r="J255" s="269"/>
      <c r="K255" s="269"/>
      <c r="L255" s="269"/>
      <c r="M255" s="269"/>
      <c r="N255" s="269"/>
      <c r="O255" s="269"/>
      <c r="P255" s="269"/>
      <c r="Q255" s="269"/>
      <c r="R255" s="269"/>
      <c r="S255" s="269"/>
      <c r="T255" s="269"/>
      <c r="U255" s="269"/>
      <c r="V255" s="269"/>
      <c r="W255" s="269"/>
      <c r="X255" s="269"/>
      <c r="Y255" s="269"/>
      <c r="Z255" s="269"/>
      <c r="AA255" s="269"/>
      <c r="AB255" s="269"/>
      <c r="AC255" s="269"/>
      <c r="AD255" s="269"/>
      <c r="AE255" s="269"/>
      <c r="AF255" s="269"/>
      <c r="AG255" s="269"/>
      <c r="AH255" s="269"/>
      <c r="AI255" s="269"/>
      <c r="AJ255" s="269"/>
      <c r="AK255" s="269"/>
      <c r="AL255" s="269"/>
      <c r="AM255" s="269"/>
      <c r="AN255" s="269"/>
      <c r="AO255" s="269"/>
      <c r="AP255" s="269"/>
      <c r="AQ255" s="269"/>
      <c r="AR255" s="269"/>
    </row>
    <row r="256">
      <c r="A256" s="410" t="str">
        <f>IFERROR(__xludf.DUMMYFUNCTION("""COMPUTED_VALUE"""),"WO_WFM-OTHERS_20260623_123613149")</f>
        <v>WO_WFM-OTHERS_20260623_123613149</v>
      </c>
      <c r="B256" s="410" t="str">
        <f>IFERROR(__xludf.DUMMYFUNCTION("""COMPUTED_VALUE"""),"Cable routes measure-BB-TNI0015-TNI0012")</f>
        <v>Cable routes measure-BB-TNI0015-TNI0012</v>
      </c>
      <c r="C256" s="410">
        <f>IFERROR(__xludf.DUMMYFUNCTION("""COMPUTED_VALUE"""),439.03)</f>
        <v>439.03</v>
      </c>
      <c r="D256" s="410" t="str">
        <f>IFERROR(__xludf.DUMMYFUNCTION("""COMPUTED_VALUE"""),"T4")</f>
        <v>T4</v>
      </c>
      <c r="E256" s="410" t="str">
        <f>IFERROR(__xludf.DUMMYFUNCTION("""COMPUTED_VALUE"""),"TNI0015")</f>
        <v>TNI0015</v>
      </c>
      <c r="F256" s="410" t="str">
        <f>IFERROR(__xludf.DUMMYFUNCTION("""COMPUTED_VALUE"""),"myt_khantchaw.nyo")</f>
        <v>myt_khantchaw.nyo</v>
      </c>
      <c r="H256" s="269"/>
      <c r="I256" s="269"/>
      <c r="J256" s="269"/>
      <c r="K256" s="269"/>
      <c r="L256" s="269"/>
      <c r="M256" s="269"/>
      <c r="N256" s="269"/>
      <c r="O256" s="269"/>
      <c r="P256" s="269"/>
      <c r="Q256" s="269"/>
      <c r="R256" s="269"/>
      <c r="S256" s="269"/>
      <c r="T256" s="269"/>
      <c r="U256" s="269"/>
      <c r="V256" s="269"/>
      <c r="W256" s="269"/>
      <c r="X256" s="269"/>
      <c r="Y256" s="269"/>
      <c r="Z256" s="269"/>
      <c r="AA256" s="269"/>
      <c r="AB256" s="269"/>
      <c r="AC256" s="269"/>
      <c r="AD256" s="269"/>
      <c r="AE256" s="269"/>
      <c r="AF256" s="269"/>
      <c r="AG256" s="269"/>
      <c r="AH256" s="269"/>
      <c r="AI256" s="269"/>
      <c r="AJ256" s="269"/>
      <c r="AK256" s="269"/>
      <c r="AL256" s="269"/>
      <c r="AM256" s="269"/>
      <c r="AN256" s="269"/>
      <c r="AO256" s="269"/>
      <c r="AP256" s="269"/>
      <c r="AQ256" s="269"/>
      <c r="AR256" s="269"/>
    </row>
    <row r="257">
      <c r="A257" s="410" t="str">
        <f>IFERROR(__xludf.DUMMYFUNCTION("""COMPUTED_VALUE"""),"WO_WFM-OTHERS_20260623_123612939")</f>
        <v>WO_WFM-OTHERS_20260623_123612939</v>
      </c>
      <c r="B257" s="410" t="str">
        <f>IFERROR(__xludf.DUMMYFUNCTION("""COMPUTED_VALUE"""),"Cable routes measure-AC-TNI0355-JB(TNI0012-TNI0015)")</f>
        <v>Cable routes measure-AC-TNI0355-JB(TNI0012-TNI0015)</v>
      </c>
      <c r="C257" s="410">
        <f>IFERROR(__xludf.DUMMYFUNCTION("""COMPUTED_VALUE"""),439.03)</f>
        <v>439.03</v>
      </c>
      <c r="D257" s="410" t="str">
        <f>IFERROR(__xludf.DUMMYFUNCTION("""COMPUTED_VALUE"""),"T4")</f>
        <v>T4</v>
      </c>
      <c r="E257" s="410" t="str">
        <f>IFERROR(__xludf.DUMMYFUNCTION("""COMPUTED_VALUE"""),"TNI0355")</f>
        <v>TNI0355</v>
      </c>
      <c r="F257" s="410" t="str">
        <f>IFERROR(__xludf.DUMMYFUNCTION("""COMPUTED_VALUE"""),"myt_khantchaw.nyo")</f>
        <v>myt_khantchaw.nyo</v>
      </c>
      <c r="H257" s="269"/>
      <c r="I257" s="269"/>
      <c r="J257" s="269"/>
      <c r="K257" s="269"/>
      <c r="L257" s="269"/>
      <c r="M257" s="269"/>
      <c r="N257" s="269"/>
      <c r="O257" s="269"/>
      <c r="P257" s="269"/>
      <c r="Q257" s="269"/>
      <c r="R257" s="269"/>
      <c r="S257" s="269"/>
      <c r="T257" s="269"/>
      <c r="U257" s="269"/>
      <c r="V257" s="269"/>
      <c r="W257" s="269"/>
      <c r="X257" s="269"/>
      <c r="Y257" s="269"/>
      <c r="Z257" s="269"/>
      <c r="AA257" s="269"/>
      <c r="AB257" s="269"/>
      <c r="AC257" s="269"/>
      <c r="AD257" s="269"/>
      <c r="AE257" s="269"/>
      <c r="AF257" s="269"/>
      <c r="AG257" s="269"/>
      <c r="AH257" s="269"/>
      <c r="AI257" s="269"/>
      <c r="AJ257" s="269"/>
      <c r="AK257" s="269"/>
      <c r="AL257" s="269"/>
      <c r="AM257" s="269"/>
      <c r="AN257" s="269"/>
      <c r="AO257" s="269"/>
      <c r="AP257" s="269"/>
      <c r="AQ257" s="269"/>
      <c r="AR257" s="269"/>
    </row>
    <row r="258">
      <c r="A258" s="410" t="str">
        <f>IFERROR(__xludf.DUMMYFUNCTION("""COMPUTED_VALUE"""),"WO_WFM-OTHERS_20260623_123612941")</f>
        <v>WO_WFM-OTHERS_20260623_123612941</v>
      </c>
      <c r="B258" s="410" t="str">
        <f>IFERROR(__xludf.DUMMYFUNCTION("""COMPUTED_VALUE"""),"Cable routes measure-AC-TNI0350-JB(TNI0011-TNI0012)")</f>
        <v>Cable routes measure-AC-TNI0350-JB(TNI0011-TNI0012)</v>
      </c>
      <c r="C258" s="410">
        <f>IFERROR(__xludf.DUMMYFUNCTION("""COMPUTED_VALUE"""),439.03)</f>
        <v>439.03</v>
      </c>
      <c r="D258" s="410" t="str">
        <f>IFERROR(__xludf.DUMMYFUNCTION("""COMPUTED_VALUE"""),"T4")</f>
        <v>T4</v>
      </c>
      <c r="E258" s="410" t="str">
        <f>IFERROR(__xludf.DUMMYFUNCTION("""COMPUTED_VALUE"""),"TNI0350")</f>
        <v>TNI0350</v>
      </c>
      <c r="F258" s="410" t="str">
        <f>IFERROR(__xludf.DUMMYFUNCTION("""COMPUTED_VALUE"""),"myt_khantchaw.nyo")</f>
        <v>myt_khantchaw.nyo</v>
      </c>
      <c r="H258" s="269"/>
      <c r="I258" s="269"/>
      <c r="J258" s="269"/>
      <c r="K258" s="269"/>
      <c r="L258" s="269"/>
      <c r="M258" s="269"/>
      <c r="N258" s="269"/>
      <c r="O258" s="269"/>
      <c r="P258" s="269"/>
      <c r="Q258" s="269"/>
      <c r="R258" s="269"/>
      <c r="S258" s="269"/>
      <c r="T258" s="269"/>
      <c r="U258" s="269"/>
      <c r="V258" s="269"/>
      <c r="W258" s="269"/>
      <c r="X258" s="269"/>
      <c r="Y258" s="269"/>
      <c r="Z258" s="269"/>
      <c r="AA258" s="269"/>
      <c r="AB258" s="269"/>
      <c r="AC258" s="269"/>
      <c r="AD258" s="269"/>
      <c r="AE258" s="269"/>
      <c r="AF258" s="269"/>
      <c r="AG258" s="269"/>
      <c r="AH258" s="269"/>
      <c r="AI258" s="269"/>
      <c r="AJ258" s="269"/>
      <c r="AK258" s="269"/>
      <c r="AL258" s="269"/>
      <c r="AM258" s="269"/>
      <c r="AN258" s="269"/>
      <c r="AO258" s="269"/>
      <c r="AP258" s="269"/>
      <c r="AQ258" s="269"/>
      <c r="AR258" s="269"/>
    </row>
    <row r="259">
      <c r="A259" s="410" t="str">
        <f>IFERROR(__xludf.DUMMYFUNCTION("""COMPUTED_VALUE"""),"WO_WFM-OTHERS_20260623_123612940")</f>
        <v>WO_WFM-OTHERS_20260623_123612940</v>
      </c>
      <c r="B259" s="410" t="str">
        <f>IFERROR(__xludf.DUMMYFUNCTION("""COMPUTED_VALUE"""),"Cable routes measure-AC-TNI0037-TNI0254")</f>
        <v>Cable routes measure-AC-TNI0037-TNI0254</v>
      </c>
      <c r="C259" s="410">
        <f>IFERROR(__xludf.DUMMYFUNCTION("""COMPUTED_VALUE"""),439.03)</f>
        <v>439.03</v>
      </c>
      <c r="D259" s="410" t="str">
        <f>IFERROR(__xludf.DUMMYFUNCTION("""COMPUTED_VALUE"""),"T4")</f>
        <v>T4</v>
      </c>
      <c r="E259" s="410" t="str">
        <f>IFERROR(__xludf.DUMMYFUNCTION("""COMPUTED_VALUE"""),"TNI0037")</f>
        <v>TNI0037</v>
      </c>
      <c r="F259" s="410" t="str">
        <f>IFERROR(__xludf.DUMMYFUNCTION("""COMPUTED_VALUE"""),"myt_khantchaw.nyo")</f>
        <v>myt_khantchaw.nyo</v>
      </c>
      <c r="H259" s="269"/>
      <c r="I259" s="269"/>
      <c r="J259" s="269"/>
      <c r="K259" s="269"/>
      <c r="L259" s="269"/>
      <c r="M259" s="269"/>
      <c r="N259" s="269"/>
      <c r="O259" s="269"/>
      <c r="P259" s="269"/>
      <c r="Q259" s="269"/>
      <c r="R259" s="269"/>
      <c r="S259" s="269"/>
      <c r="T259" s="269"/>
      <c r="U259" s="269"/>
      <c r="V259" s="269"/>
      <c r="W259" s="269"/>
      <c r="X259" s="269"/>
      <c r="Y259" s="269"/>
      <c r="Z259" s="269"/>
      <c r="AA259" s="269"/>
      <c r="AB259" s="269"/>
      <c r="AC259" s="269"/>
      <c r="AD259" s="269"/>
      <c r="AE259" s="269"/>
      <c r="AF259" s="269"/>
      <c r="AG259" s="269"/>
      <c r="AH259" s="269"/>
      <c r="AI259" s="269"/>
      <c r="AJ259" s="269"/>
      <c r="AK259" s="269"/>
      <c r="AL259" s="269"/>
      <c r="AM259" s="269"/>
      <c r="AN259" s="269"/>
      <c r="AO259" s="269"/>
      <c r="AP259" s="269"/>
      <c r="AQ259" s="269"/>
      <c r="AR259" s="269"/>
    </row>
    <row r="260">
      <c r="A260" s="410" t="str">
        <f>IFERROR(__xludf.DUMMYFUNCTION("""COMPUTED_VALUE"""),"WO_ICMS_20260623_123611288")</f>
        <v>WO_ICMS_20260623_123611288</v>
      </c>
      <c r="B260" s="410" t="str">
        <f>IFERROR(__xludf.DUMMYFUNCTION("""COMPUTED_VALUE"""),"TNI0063 MYT_Routine_Maintenance_Towerco_Station MYT_RTE_MTE_TCO_STN")</f>
        <v>TNI0063 MYT_Routine_Maintenance_Towerco_Station MYT_RTE_MTE_TCO_STN</v>
      </c>
      <c r="C260" s="410">
        <f>IFERROR(__xludf.DUMMYFUNCTION("""COMPUTED_VALUE"""),882.55)</f>
        <v>882.55</v>
      </c>
      <c r="D260" s="410" t="str">
        <f>IFERROR(__xludf.DUMMYFUNCTION("""COMPUTED_VALUE"""),"T4")</f>
        <v>T4</v>
      </c>
      <c r="E260" s="410" t="str">
        <f>IFERROR(__xludf.DUMMYFUNCTION("""COMPUTED_VALUE"""),"TNI0063")</f>
        <v>TNI0063</v>
      </c>
      <c r="F260" s="410" t="str">
        <f>IFERROR(__xludf.DUMMYFUNCTION("""COMPUTED_VALUE"""),"myt_khantchaw.nyo")</f>
        <v>myt_khantchaw.nyo</v>
      </c>
      <c r="H260" s="269"/>
      <c r="I260" s="269"/>
      <c r="J260" s="269"/>
      <c r="K260" s="269"/>
      <c r="L260" s="269"/>
      <c r="M260" s="269"/>
      <c r="N260" s="269"/>
      <c r="O260" s="269"/>
      <c r="P260" s="269"/>
      <c r="Q260" s="269"/>
      <c r="R260" s="269"/>
      <c r="S260" s="269"/>
      <c r="T260" s="269"/>
      <c r="U260" s="269"/>
      <c r="V260" s="269"/>
      <c r="W260" s="269"/>
      <c r="X260" s="269"/>
      <c r="Y260" s="269"/>
      <c r="Z260" s="269"/>
      <c r="AA260" s="269"/>
      <c r="AB260" s="269"/>
      <c r="AC260" s="269"/>
      <c r="AD260" s="269"/>
      <c r="AE260" s="269"/>
      <c r="AF260" s="269"/>
      <c r="AG260" s="269"/>
      <c r="AH260" s="269"/>
      <c r="AI260" s="269"/>
      <c r="AJ260" s="269"/>
      <c r="AK260" s="269"/>
      <c r="AL260" s="269"/>
      <c r="AM260" s="269"/>
      <c r="AN260" s="269"/>
      <c r="AO260" s="269"/>
      <c r="AP260" s="269"/>
      <c r="AQ260" s="269"/>
      <c r="AR260" s="269"/>
    </row>
    <row r="261">
      <c r="A261" s="410" t="str">
        <f>IFERROR(__xludf.DUMMYFUNCTION("""COMPUTED_VALUE"""),"WO_WFM-OTHERS_20260622_123603232")</f>
        <v>WO_WFM-OTHERS_20260622_123603232</v>
      </c>
      <c r="B261" s="410" t="str">
        <f>IFERROR(__xludf.DUMMYFUNCTION("""COMPUTED_VALUE"""),"TNI0295_Cleaning Radiator and change engine oil")</f>
        <v>TNI0295_Cleaning Radiator and change engine oil</v>
      </c>
      <c r="C261" s="410">
        <f>IFERROR(__xludf.DUMMYFUNCTION("""COMPUTED_VALUE"""),-41.95)</f>
        <v>-41.95</v>
      </c>
      <c r="D261" s="410" t="str">
        <f>IFERROR(__xludf.DUMMYFUNCTION("""COMPUTED_VALUE"""),"T4")</f>
        <v>T4</v>
      </c>
      <c r="E261" s="410" t="str">
        <f>IFERROR(__xludf.DUMMYFUNCTION("""COMPUTED_VALUE"""),"TNI0295")</f>
        <v>TNI0295</v>
      </c>
      <c r="F261" s="410" t="str">
        <f>IFERROR(__xludf.DUMMYFUNCTION("""COMPUTED_VALUE"""),"myt_khantchaw.nyo")</f>
        <v>myt_khantchaw.nyo</v>
      </c>
      <c r="H261" s="269"/>
      <c r="I261" s="269"/>
      <c r="J261" s="269"/>
      <c r="K261" s="269"/>
      <c r="L261" s="269"/>
      <c r="M261" s="269"/>
      <c r="N261" s="269"/>
      <c r="O261" s="269"/>
      <c r="P261" s="269"/>
      <c r="Q261" s="269"/>
      <c r="R261" s="269"/>
      <c r="S261" s="269"/>
      <c r="T261" s="269"/>
      <c r="U261" s="269"/>
      <c r="V261" s="269"/>
      <c r="W261" s="269"/>
      <c r="X261" s="269"/>
      <c r="Y261" s="269"/>
      <c r="Z261" s="269"/>
      <c r="AA261" s="269"/>
      <c r="AB261" s="269"/>
      <c r="AC261" s="269"/>
      <c r="AD261" s="269"/>
      <c r="AE261" s="269"/>
      <c r="AF261" s="269"/>
      <c r="AG261" s="269"/>
      <c r="AH261" s="269"/>
      <c r="AI261" s="269"/>
      <c r="AJ261" s="269"/>
      <c r="AK261" s="269"/>
      <c r="AL261" s="269"/>
      <c r="AM261" s="269"/>
      <c r="AN261" s="269"/>
      <c r="AO261" s="269"/>
      <c r="AP261" s="269"/>
      <c r="AQ261" s="269"/>
      <c r="AR261" s="269"/>
    </row>
    <row r="262">
      <c r="A262" s="410" t="str">
        <f>IFERROR(__xludf.DUMMYFUNCTION("""COMPUTED_VALUE"""),"WO_ICMS_20260701_123690044")</f>
        <v>WO_ICMS_20260701_123690044</v>
      </c>
      <c r="B262" s="410" t="str">
        <f>IFERROR(__xludf.DUMMYFUNCTION("""COMPUTED_VALUE"""),"TNI0003 MYT_Checking quality for DG Fuel MYT_ME_DG_CHECK_FUEL; MYT_Maintenance_Generator_Change_Air_Filter, Clean Radiator and Clean Engine Room MYT_ME_DG_CHG_AIR_FIL_CLN_RAD_ENG; MYT_Maintenance_Generator_Change_Fuel_Filter MYT_ME_DG_CHG_FUEL_FIL; MYT_Ma"&amp;"intenance_Generator_Change_Oil MYT_ME_DG_CHG_OIL; MYT_Maintenance_Generator_Change_Oil_Filter MYT_ME_DG_CHG_OIL_FIL")</f>
        <v>TNI0003 MYT_Checking quality for DG Fuel MYT_ME_DG_CHECK_FUEL; MYT_Maintenance_Generator_Change_Air_Filter, Clean Radiator and Clean Engine Room MYT_ME_DG_CHG_AIR_FIL_CLN_RAD_ENG; MYT_Maintenance_Generator_Change_Fuel_Filter MYT_ME_DG_CHG_FUEL_FIL; MYT_Maintenance_Generator_Change_Oil MYT_ME_DG_CHG_OIL; MYT_Maintenance_Generator_Change_Oil_Filter MYT_ME_DG_CHG_OIL_FIL</v>
      </c>
      <c r="C262" s="410">
        <f>IFERROR(__xludf.DUMMYFUNCTION("""COMPUTED_VALUE"""),234.08)</f>
        <v>234.08</v>
      </c>
      <c r="D262" s="410" t="str">
        <f>IFERROR(__xludf.DUMMYFUNCTION("""COMPUTED_VALUE"""),"T2")</f>
        <v>T2</v>
      </c>
      <c r="E262" s="410" t="str">
        <f>IFERROR(__xludf.DUMMYFUNCTION("""COMPUTED_VALUE"""),"TNI0003: 30KVA")</f>
        <v>TNI0003: 30KVA</v>
      </c>
      <c r="F262" s="410" t="str">
        <f>IFERROR(__xludf.DUMMYFUNCTION("""COMPUTED_VALUE"""),"myt_maung.maung11")</f>
        <v>myt_maung.maung11</v>
      </c>
      <c r="H262" s="269"/>
      <c r="I262" s="269"/>
      <c r="J262" s="269"/>
      <c r="K262" s="269"/>
      <c r="L262" s="269"/>
      <c r="M262" s="269"/>
      <c r="N262" s="269"/>
      <c r="O262" s="269"/>
      <c r="P262" s="269"/>
      <c r="Q262" s="269"/>
      <c r="R262" s="269"/>
      <c r="S262" s="269"/>
      <c r="T262" s="269"/>
      <c r="U262" s="269"/>
      <c r="V262" s="269"/>
      <c r="W262" s="269"/>
      <c r="X262" s="269"/>
      <c r="Y262" s="269"/>
      <c r="Z262" s="269"/>
      <c r="AA262" s="269"/>
      <c r="AB262" s="269"/>
      <c r="AC262" s="269"/>
      <c r="AD262" s="269"/>
      <c r="AE262" s="269"/>
      <c r="AF262" s="269"/>
      <c r="AG262" s="269"/>
      <c r="AH262" s="269"/>
      <c r="AI262" s="269"/>
      <c r="AJ262" s="269"/>
      <c r="AK262" s="269"/>
      <c r="AL262" s="269"/>
      <c r="AM262" s="269"/>
      <c r="AN262" s="269"/>
      <c r="AO262" s="269"/>
      <c r="AP262" s="269"/>
      <c r="AQ262" s="269"/>
      <c r="AR262" s="269"/>
    </row>
    <row r="263">
      <c r="A263" s="410" t="str">
        <f>IFERROR(__xludf.DUMMYFUNCTION("""COMPUTED_VALUE"""),"WO_ICMS_20260701_123689786")</f>
        <v>WO_ICMS_20260701_123689786</v>
      </c>
      <c r="B263" s="410" t="str">
        <f>IFERROR(__xludf.DUMMYFUNCTION("""COMPUTED_VALUE"""),"TNI0137 MYT_Checking quality for DG Fuel MYT_ME_DG_CHECK_FUEL; MYT_Maintenance_Generator_Change_Fuel_Filter MYT_ME_DG_CHG_FUEL_FIL; MYT_Maintenance_Generator_Change_Oil MYT_ME_DG_CHG_OIL; MYT_Maintenance_Generator_Change_Oil_Filter MYT_ME_DG_CHG_OIL_FIL")</f>
        <v>TNI0137 MYT_Checking quality for DG Fuel MYT_ME_DG_CHECK_FUEL; MYT_Maintenance_Generator_Change_Fuel_Filter MYT_ME_DG_CHG_FUEL_FIL; MYT_Maintenance_Generator_Change_Oil MYT_ME_DG_CHG_OIL; MYT_Maintenance_Generator_Change_Oil_Filter MYT_ME_DG_CHG_OIL_FIL</v>
      </c>
      <c r="C263" s="410">
        <f>IFERROR(__xludf.DUMMYFUNCTION("""COMPUTED_VALUE"""),234.08)</f>
        <v>234.08</v>
      </c>
      <c r="D263" s="410" t="str">
        <f>IFERROR(__xludf.DUMMYFUNCTION("""COMPUTED_VALUE"""),"T2")</f>
        <v>T2</v>
      </c>
      <c r="E263" s="410" t="str">
        <f>IFERROR(__xludf.DUMMYFUNCTION("""COMPUTED_VALUE"""),"TNI0137: 12DKVA")</f>
        <v>TNI0137: 12DKVA</v>
      </c>
      <c r="F263" s="410" t="str">
        <f>IFERROR(__xludf.DUMMYFUNCTION("""COMPUTED_VALUE"""),"myt_maung.maung11")</f>
        <v>myt_maung.maung11</v>
      </c>
      <c r="H263" s="269"/>
      <c r="I263" s="269"/>
      <c r="J263" s="269"/>
      <c r="K263" s="269"/>
      <c r="L263" s="269"/>
      <c r="M263" s="269"/>
      <c r="N263" s="269"/>
      <c r="O263" s="269"/>
      <c r="P263" s="269"/>
      <c r="Q263" s="269"/>
      <c r="R263" s="269"/>
      <c r="S263" s="269"/>
      <c r="T263" s="269"/>
      <c r="U263" s="269"/>
      <c r="V263" s="269"/>
      <c r="W263" s="269"/>
      <c r="X263" s="269"/>
      <c r="Y263" s="269"/>
      <c r="Z263" s="269"/>
      <c r="AA263" s="269"/>
      <c r="AB263" s="269"/>
      <c r="AC263" s="269"/>
      <c r="AD263" s="269"/>
      <c r="AE263" s="269"/>
      <c r="AF263" s="269"/>
      <c r="AG263" s="269"/>
      <c r="AH263" s="269"/>
      <c r="AI263" s="269"/>
      <c r="AJ263" s="269"/>
      <c r="AK263" s="269"/>
      <c r="AL263" s="269"/>
      <c r="AM263" s="269"/>
      <c r="AN263" s="269"/>
      <c r="AO263" s="269"/>
      <c r="AP263" s="269"/>
      <c r="AQ263" s="269"/>
      <c r="AR263" s="269"/>
    </row>
    <row r="264">
      <c r="A264" s="410" t="str">
        <f>IFERROR(__xludf.DUMMYFUNCTION("""COMPUTED_VALUE"""),"WO_ICMS_20260625_123632720")</f>
        <v>WO_ICMS_20260625_123632720</v>
      </c>
      <c r="B264" s="410" t="str">
        <f>IFERROR(__xludf.DUMMYFUNCTION("""COMPUTED_VALUE"""),"Patrolling cable routes TNI0001-TNI0269_00, TNI0001 + null – TNI0269 + null")</f>
        <v>Patrolling cable routes TNI0001-TNI0269_00, TNI0001 + null – TNI0269 + null</v>
      </c>
      <c r="C264" s="410">
        <f>IFERROR(__xludf.DUMMYFUNCTION("""COMPUTED_VALUE"""),545.66)</f>
        <v>545.66</v>
      </c>
      <c r="D264" s="410" t="str">
        <f>IFERROR(__xludf.DUMMYFUNCTION("""COMPUTED_VALUE"""),"T2")</f>
        <v>T2</v>
      </c>
      <c r="E264" s="410" t="str">
        <f>IFERROR(__xludf.DUMMYFUNCTION("""COMPUTED_VALUE"""),"TNI0001")</f>
        <v>TNI0001</v>
      </c>
      <c r="F264" s="410" t="str">
        <f>IFERROR(__xludf.DUMMYFUNCTION("""COMPUTED_VALUE"""),"myt_maung.maung11")</f>
        <v>myt_maung.maung11</v>
      </c>
      <c r="H264" s="269"/>
      <c r="I264" s="269"/>
      <c r="J264" s="269"/>
      <c r="K264" s="269"/>
      <c r="L264" s="269"/>
      <c r="M264" s="269"/>
      <c r="N264" s="269"/>
      <c r="O264" s="269"/>
      <c r="P264" s="269"/>
      <c r="Q264" s="269"/>
      <c r="R264" s="269"/>
      <c r="S264" s="269"/>
      <c r="T264" s="269"/>
      <c r="U264" s="269"/>
      <c r="V264" s="269"/>
      <c r="W264" s="269"/>
      <c r="X264" s="269"/>
      <c r="Y264" s="269"/>
      <c r="Z264" s="269"/>
      <c r="AA264" s="269"/>
      <c r="AB264" s="269"/>
      <c r="AC264" s="269"/>
      <c r="AD264" s="269"/>
      <c r="AE264" s="269"/>
      <c r="AF264" s="269"/>
      <c r="AG264" s="269"/>
      <c r="AH264" s="269"/>
      <c r="AI264" s="269"/>
      <c r="AJ264" s="269"/>
      <c r="AK264" s="269"/>
      <c r="AL264" s="269"/>
      <c r="AM264" s="269"/>
      <c r="AN264" s="269"/>
      <c r="AO264" s="269"/>
      <c r="AP264" s="269"/>
      <c r="AQ264" s="269"/>
      <c r="AR264" s="269"/>
    </row>
    <row r="265">
      <c r="A265" s="410" t="str">
        <f>IFERROR(__xludf.DUMMYFUNCTION("""COMPUTED_VALUE"""),"WO_ICMS_20260625_123632719")</f>
        <v>WO_ICMS_20260625_123632719</v>
      </c>
      <c r="B265" s="410" t="str">
        <f>IFERROR(__xludf.DUMMYFUNCTION("""COMPUTED_VALUE"""),"Patrolling cable routes TNI0081-TNI0268_00, TNI0081 + null – TNI0268 + null")</f>
        <v>Patrolling cable routes TNI0081-TNI0268_00, TNI0081 + null – TNI0268 + null</v>
      </c>
      <c r="C265" s="410">
        <f>IFERROR(__xludf.DUMMYFUNCTION("""COMPUTED_VALUE"""),545.66)</f>
        <v>545.66</v>
      </c>
      <c r="D265" s="410" t="str">
        <f>IFERROR(__xludf.DUMMYFUNCTION("""COMPUTED_VALUE"""),"T2")</f>
        <v>T2</v>
      </c>
      <c r="E265" s="410" t="str">
        <f>IFERROR(__xludf.DUMMYFUNCTION("""COMPUTED_VALUE"""),"TNI0081")</f>
        <v>TNI0081</v>
      </c>
      <c r="F265" s="410" t="str">
        <f>IFERROR(__xludf.DUMMYFUNCTION("""COMPUTED_VALUE"""),"myt_maung.maung11")</f>
        <v>myt_maung.maung11</v>
      </c>
      <c r="H265" s="269"/>
      <c r="I265" s="269"/>
      <c r="J265" s="269"/>
      <c r="K265" s="269"/>
      <c r="L265" s="269"/>
      <c r="M265" s="269"/>
      <c r="N265" s="269"/>
      <c r="O265" s="269"/>
      <c r="P265" s="269"/>
      <c r="Q265" s="269"/>
      <c r="R265" s="269"/>
      <c r="S265" s="269"/>
      <c r="T265" s="269"/>
      <c r="U265" s="269"/>
      <c r="V265" s="269"/>
      <c r="W265" s="269"/>
      <c r="X265" s="269"/>
      <c r="Y265" s="269"/>
      <c r="Z265" s="269"/>
      <c r="AA265" s="269"/>
      <c r="AB265" s="269"/>
      <c r="AC265" s="269"/>
      <c r="AD265" s="269"/>
      <c r="AE265" s="269"/>
      <c r="AF265" s="269"/>
      <c r="AG265" s="269"/>
      <c r="AH265" s="269"/>
      <c r="AI265" s="269"/>
      <c r="AJ265" s="269"/>
      <c r="AK265" s="269"/>
      <c r="AL265" s="269"/>
      <c r="AM265" s="269"/>
      <c r="AN265" s="269"/>
      <c r="AO265" s="269"/>
      <c r="AP265" s="269"/>
      <c r="AQ265" s="269"/>
      <c r="AR265" s="269"/>
    </row>
    <row r="266">
      <c r="A266" s="410" t="str">
        <f>IFERROR(__xludf.DUMMYFUNCTION("""COMPUTED_VALUE"""),"WO_ICMS_20260625_123632717")</f>
        <v>WO_ICMS_20260625_123632717</v>
      </c>
      <c r="B266" s="410" t="str">
        <f>IFERROR(__xludf.DUMMYFUNCTION("""COMPUTED_VALUE"""),"Patrolling cable routes TNI0236-TNI0262_00, TNI0236 + null – TNI0262 + null")</f>
        <v>Patrolling cable routes TNI0236-TNI0262_00, TNI0236 + null – TNI0262 + null</v>
      </c>
      <c r="C266" s="410">
        <f>IFERROR(__xludf.DUMMYFUNCTION("""COMPUTED_VALUE"""),545.66)</f>
        <v>545.66</v>
      </c>
      <c r="D266" s="410" t="str">
        <f>IFERROR(__xludf.DUMMYFUNCTION("""COMPUTED_VALUE"""),"T2")</f>
        <v>T2</v>
      </c>
      <c r="E266" s="410" t="str">
        <f>IFERROR(__xludf.DUMMYFUNCTION("""COMPUTED_VALUE"""),"TNI0236")</f>
        <v>TNI0236</v>
      </c>
      <c r="F266" s="410" t="str">
        <f>IFERROR(__xludf.DUMMYFUNCTION("""COMPUTED_VALUE"""),"myt_maung.maung11")</f>
        <v>myt_maung.maung11</v>
      </c>
      <c r="H266" s="269"/>
      <c r="I266" s="269"/>
      <c r="J266" s="269"/>
      <c r="K266" s="269"/>
      <c r="L266" s="269"/>
      <c r="M266" s="269"/>
      <c r="N266" s="269"/>
      <c r="O266" s="269"/>
      <c r="P266" s="269"/>
      <c r="Q266" s="269"/>
      <c r="R266" s="269"/>
      <c r="S266" s="269"/>
      <c r="T266" s="269"/>
      <c r="U266" s="269"/>
      <c r="V266" s="269"/>
      <c r="W266" s="269"/>
      <c r="X266" s="269"/>
      <c r="Y266" s="269"/>
      <c r="Z266" s="269"/>
      <c r="AA266" s="269"/>
      <c r="AB266" s="269"/>
      <c r="AC266" s="269"/>
      <c r="AD266" s="269"/>
      <c r="AE266" s="269"/>
      <c r="AF266" s="269"/>
      <c r="AG266" s="269"/>
      <c r="AH266" s="269"/>
      <c r="AI266" s="269"/>
      <c r="AJ266" s="269"/>
      <c r="AK266" s="269"/>
      <c r="AL266" s="269"/>
      <c r="AM266" s="269"/>
      <c r="AN266" s="269"/>
      <c r="AO266" s="269"/>
      <c r="AP266" s="269"/>
      <c r="AQ266" s="269"/>
      <c r="AR266" s="269"/>
    </row>
    <row r="267">
      <c r="A267" s="410" t="str">
        <f>IFERROR(__xludf.DUMMYFUNCTION("""COMPUTED_VALUE"""),"WO_ICMS_20260625_123632716")</f>
        <v>WO_ICMS_20260625_123632716</v>
      </c>
      <c r="B267" s="410" t="str">
        <f>IFERROR(__xludf.DUMMYFUNCTION("""COMPUTED_VALUE"""),"Patrolling cable routes TNI0266-TNI0270_00, TNI0266 + null – TNI0270 + null")</f>
        <v>Patrolling cable routes TNI0266-TNI0270_00, TNI0266 + null – TNI0270 + null</v>
      </c>
      <c r="C267" s="410">
        <f>IFERROR(__xludf.DUMMYFUNCTION("""COMPUTED_VALUE"""),545.66)</f>
        <v>545.66</v>
      </c>
      <c r="D267" s="410" t="str">
        <f>IFERROR(__xludf.DUMMYFUNCTION("""COMPUTED_VALUE"""),"T2")</f>
        <v>T2</v>
      </c>
      <c r="E267" s="410" t="str">
        <f>IFERROR(__xludf.DUMMYFUNCTION("""COMPUTED_VALUE"""),"TNI0266")</f>
        <v>TNI0266</v>
      </c>
      <c r="F267" s="410" t="str">
        <f>IFERROR(__xludf.DUMMYFUNCTION("""COMPUTED_VALUE"""),"myt_maung.maung11")</f>
        <v>myt_maung.maung11</v>
      </c>
      <c r="H267" s="269"/>
      <c r="I267" s="269"/>
      <c r="J267" s="269"/>
      <c r="K267" s="269"/>
      <c r="L267" s="269"/>
      <c r="M267" s="269"/>
      <c r="N267" s="269"/>
      <c r="O267" s="269"/>
      <c r="P267" s="269"/>
      <c r="Q267" s="269"/>
      <c r="R267" s="269"/>
      <c r="S267" s="269"/>
      <c r="T267" s="269"/>
      <c r="U267" s="269"/>
      <c r="V267" s="269"/>
      <c r="W267" s="269"/>
      <c r="X267" s="269"/>
      <c r="Y267" s="269"/>
      <c r="Z267" s="269"/>
      <c r="AA267" s="269"/>
      <c r="AB267" s="269"/>
      <c r="AC267" s="269"/>
      <c r="AD267" s="269"/>
      <c r="AE267" s="269"/>
      <c r="AF267" s="269"/>
      <c r="AG267" s="269"/>
      <c r="AH267" s="269"/>
      <c r="AI267" s="269"/>
      <c r="AJ267" s="269"/>
      <c r="AK267" s="269"/>
      <c r="AL267" s="269"/>
      <c r="AM267" s="269"/>
      <c r="AN267" s="269"/>
      <c r="AO267" s="269"/>
      <c r="AP267" s="269"/>
      <c r="AQ267" s="269"/>
      <c r="AR267" s="269"/>
    </row>
    <row r="268">
      <c r="A268" s="410" t="str">
        <f>IFERROR(__xludf.DUMMYFUNCTION("""COMPUTED_VALUE"""),"WO_ICMS_20260625_123632718")</f>
        <v>WO_ICMS_20260625_123632718</v>
      </c>
      <c r="B268" s="410" t="str">
        <f>IFERROR(__xludf.DUMMYFUNCTION("""COMPUTED_VALUE"""),"Patrolling cable routes TNI0025-TNI0269_00, TNI0025 + null – TNI0269 + null")</f>
        <v>Patrolling cable routes TNI0025-TNI0269_00, TNI0025 + null – TNI0269 + null</v>
      </c>
      <c r="C268" s="410">
        <f>IFERROR(__xludf.DUMMYFUNCTION("""COMPUTED_VALUE"""),545.66)</f>
        <v>545.66</v>
      </c>
      <c r="D268" s="410" t="str">
        <f>IFERROR(__xludf.DUMMYFUNCTION("""COMPUTED_VALUE"""),"T2")</f>
        <v>T2</v>
      </c>
      <c r="E268" s="410" t="str">
        <f>IFERROR(__xludf.DUMMYFUNCTION("""COMPUTED_VALUE"""),"TNI0025")</f>
        <v>TNI0025</v>
      </c>
      <c r="F268" s="410" t="str">
        <f>IFERROR(__xludf.DUMMYFUNCTION("""COMPUTED_VALUE"""),"myt_maung.maung11")</f>
        <v>myt_maung.maung11</v>
      </c>
      <c r="H268" s="269"/>
      <c r="I268" s="269"/>
      <c r="J268" s="269"/>
      <c r="K268" s="269"/>
      <c r="L268" s="269"/>
      <c r="M268" s="269"/>
      <c r="N268" s="269"/>
      <c r="O268" s="269"/>
      <c r="P268" s="269"/>
      <c r="Q268" s="269"/>
      <c r="R268" s="269"/>
      <c r="S268" s="269"/>
      <c r="T268" s="269"/>
      <c r="U268" s="269"/>
      <c r="V268" s="269"/>
      <c r="W268" s="269"/>
      <c r="X268" s="269"/>
      <c r="Y268" s="269"/>
      <c r="Z268" s="269"/>
      <c r="AA268" s="269"/>
      <c r="AB268" s="269"/>
      <c r="AC268" s="269"/>
      <c r="AD268" s="269"/>
      <c r="AE268" s="269"/>
      <c r="AF268" s="269"/>
      <c r="AG268" s="269"/>
      <c r="AH268" s="269"/>
      <c r="AI268" s="269"/>
      <c r="AJ268" s="269"/>
      <c r="AK268" s="269"/>
      <c r="AL268" s="269"/>
      <c r="AM268" s="269"/>
      <c r="AN268" s="269"/>
      <c r="AO268" s="269"/>
      <c r="AP268" s="269"/>
      <c r="AQ268" s="269"/>
      <c r="AR268" s="269"/>
    </row>
    <row r="269">
      <c r="A269" s="410" t="str">
        <f>IFERROR(__xludf.DUMMYFUNCTION("""COMPUTED_VALUE"""),"WO_ICMS_20260625_123632259")</f>
        <v>WO_ICMS_20260625_123632259</v>
      </c>
      <c r="B269" s="410" t="str">
        <f>IFERROR(__xludf.DUMMYFUNCTION("""COMPUTED_VALUE"""),"Patrolling cable routes TNI0003-TNI0007_00, TNI0003 + null – TNI0007 + null")</f>
        <v>Patrolling cable routes TNI0003-TNI0007_00, TNI0003 + null – TNI0007 + null</v>
      </c>
      <c r="C269" s="410">
        <f>IFERROR(__xludf.DUMMYFUNCTION("""COMPUTED_VALUE"""),545.65)</f>
        <v>545.65</v>
      </c>
      <c r="D269" s="410" t="str">
        <f>IFERROR(__xludf.DUMMYFUNCTION("""COMPUTED_VALUE"""),"T2")</f>
        <v>T2</v>
      </c>
      <c r="E269" s="410" t="str">
        <f>IFERROR(__xludf.DUMMYFUNCTION("""COMPUTED_VALUE"""),"TNI0003")</f>
        <v>TNI0003</v>
      </c>
      <c r="F269" s="410" t="str">
        <f>IFERROR(__xludf.DUMMYFUNCTION("""COMPUTED_VALUE"""),"myt_maung.maung11")</f>
        <v>myt_maung.maung11</v>
      </c>
      <c r="H269" s="269"/>
      <c r="I269" s="269"/>
      <c r="J269" s="269"/>
      <c r="K269" s="269"/>
      <c r="L269" s="269"/>
      <c r="M269" s="269"/>
      <c r="N269" s="269"/>
      <c r="O269" s="269"/>
      <c r="P269" s="269"/>
      <c r="Q269" s="269"/>
      <c r="R269" s="269"/>
      <c r="S269" s="269"/>
      <c r="T269" s="269"/>
      <c r="U269" s="269"/>
      <c r="V269" s="269"/>
      <c r="W269" s="269"/>
      <c r="X269" s="269"/>
      <c r="Y269" s="269"/>
      <c r="Z269" s="269"/>
      <c r="AA269" s="269"/>
      <c r="AB269" s="269"/>
      <c r="AC269" s="269"/>
      <c r="AD269" s="269"/>
      <c r="AE269" s="269"/>
      <c r="AF269" s="269"/>
      <c r="AG269" s="269"/>
      <c r="AH269" s="269"/>
      <c r="AI269" s="269"/>
      <c r="AJ269" s="269"/>
      <c r="AK269" s="269"/>
      <c r="AL269" s="269"/>
      <c r="AM269" s="269"/>
      <c r="AN269" s="269"/>
      <c r="AO269" s="269"/>
      <c r="AP269" s="269"/>
      <c r="AQ269" s="269"/>
      <c r="AR269" s="269"/>
    </row>
    <row r="270">
      <c r="A270" s="410" t="str">
        <f>IFERROR(__xludf.DUMMYFUNCTION("""COMPUTED_VALUE"""),"WO_WFM-OTHERS_20260623_123616261")</f>
        <v>WO_WFM-OTHERS_20260623_123616261</v>
      </c>
      <c r="B270" s="410" t="str">
        <f>IFERROR(__xludf.DUMMYFUNCTION("""COMPUTED_VALUE"""),"Cable Patrol for (AC)-TNI0280-TNIM068")</f>
        <v>Cable Patrol for (AC)-TNI0280-TNIM068</v>
      </c>
      <c r="C270" s="410">
        <f>IFERROR(__xludf.DUMMYFUNCTION("""COMPUTED_VALUE"""),439.03)</f>
        <v>439.03</v>
      </c>
      <c r="D270" s="410" t="str">
        <f>IFERROR(__xludf.DUMMYFUNCTION("""COMPUTED_VALUE"""),"T2")</f>
        <v>T2</v>
      </c>
      <c r="E270" s="410" t="str">
        <f>IFERROR(__xludf.DUMMYFUNCTION("""COMPUTED_VALUE"""),"TNI0280")</f>
        <v>TNI0280</v>
      </c>
      <c r="F270" s="410" t="str">
        <f>IFERROR(__xludf.DUMMYFUNCTION("""COMPUTED_VALUE"""),"myt_maung.maung11")</f>
        <v>myt_maung.maung11</v>
      </c>
      <c r="H270" s="269"/>
      <c r="I270" s="269"/>
      <c r="J270" s="269"/>
      <c r="K270" s="269"/>
      <c r="L270" s="269"/>
      <c r="M270" s="269"/>
      <c r="N270" s="269"/>
      <c r="O270" s="269"/>
      <c r="P270" s="269"/>
      <c r="Q270" s="269"/>
      <c r="R270" s="269"/>
      <c r="S270" s="269"/>
      <c r="T270" s="269"/>
      <c r="U270" s="269"/>
      <c r="V270" s="269"/>
      <c r="W270" s="269"/>
      <c r="X270" s="269"/>
      <c r="Y270" s="269"/>
      <c r="Z270" s="269"/>
      <c r="AA270" s="269"/>
      <c r="AB270" s="269"/>
      <c r="AC270" s="269"/>
      <c r="AD270" s="269"/>
      <c r="AE270" s="269"/>
      <c r="AF270" s="269"/>
      <c r="AG270" s="269"/>
      <c r="AH270" s="269"/>
      <c r="AI270" s="269"/>
      <c r="AJ270" s="269"/>
      <c r="AK270" s="269"/>
      <c r="AL270" s="269"/>
      <c r="AM270" s="269"/>
      <c r="AN270" s="269"/>
      <c r="AO270" s="269"/>
      <c r="AP270" s="269"/>
      <c r="AQ270" s="269"/>
      <c r="AR270" s="269"/>
    </row>
    <row r="271">
      <c r="A271" s="410" t="str">
        <f>IFERROR(__xludf.DUMMYFUNCTION("""COMPUTED_VALUE"""),"WO_WFM-OTHERS_20260623_123616262")</f>
        <v>WO_WFM-OTHERS_20260623_123616262</v>
      </c>
      <c r="B271" s="410" t="str">
        <f>IFERROR(__xludf.DUMMYFUNCTION("""COMPUTED_VALUE"""),"Cable Patrol for (AC)-TNI0349-JB(TNI0003-TNI0007)")</f>
        <v>Cable Patrol for (AC)-TNI0349-JB(TNI0003-TNI0007)</v>
      </c>
      <c r="C271" s="410">
        <f>IFERROR(__xludf.DUMMYFUNCTION("""COMPUTED_VALUE"""),439.03)</f>
        <v>439.03</v>
      </c>
      <c r="D271" s="410" t="str">
        <f>IFERROR(__xludf.DUMMYFUNCTION("""COMPUTED_VALUE"""),"T2")</f>
        <v>T2</v>
      </c>
      <c r="E271" s="410" t="str">
        <f>IFERROR(__xludf.DUMMYFUNCTION("""COMPUTED_VALUE"""),"TNI0349")</f>
        <v>TNI0349</v>
      </c>
      <c r="F271" s="410" t="str">
        <f>IFERROR(__xludf.DUMMYFUNCTION("""COMPUTED_VALUE"""),"myt_maung.maung11")</f>
        <v>myt_maung.maung11</v>
      </c>
      <c r="H271" s="269"/>
      <c r="I271" s="269"/>
      <c r="J271" s="269"/>
      <c r="K271" s="269"/>
      <c r="L271" s="269"/>
      <c r="M271" s="269"/>
      <c r="N271" s="269"/>
      <c r="O271" s="269"/>
      <c r="P271" s="269"/>
      <c r="Q271" s="269"/>
      <c r="R271" s="269"/>
      <c r="S271" s="269"/>
      <c r="T271" s="269"/>
      <c r="U271" s="269"/>
      <c r="V271" s="269"/>
      <c r="W271" s="269"/>
      <c r="X271" s="269"/>
      <c r="Y271" s="269"/>
      <c r="Z271" s="269"/>
      <c r="AA271" s="269"/>
      <c r="AB271" s="269"/>
      <c r="AC271" s="269"/>
      <c r="AD271" s="269"/>
      <c r="AE271" s="269"/>
      <c r="AF271" s="269"/>
      <c r="AG271" s="269"/>
      <c r="AH271" s="269"/>
      <c r="AI271" s="269"/>
      <c r="AJ271" s="269"/>
      <c r="AK271" s="269"/>
      <c r="AL271" s="269"/>
      <c r="AM271" s="269"/>
      <c r="AN271" s="269"/>
      <c r="AO271" s="269"/>
      <c r="AP271" s="269"/>
      <c r="AQ271" s="269"/>
      <c r="AR271" s="269"/>
    </row>
    <row r="272">
      <c r="A272" s="410" t="str">
        <f>IFERROR(__xludf.DUMMYFUNCTION("""COMPUTED_VALUE"""),"WO_WFM-OTHERS_20260623_123616260")</f>
        <v>WO_WFM-OTHERS_20260623_123616260</v>
      </c>
      <c r="B272" s="410" t="str">
        <f>IFERROR(__xludf.DUMMYFUNCTION("""COMPUTED_VALUE"""),"Cable Patrol for (AC)-TNI0339-JB(TNI0005-TNI0007)")</f>
        <v>Cable Patrol for (AC)-TNI0339-JB(TNI0005-TNI0007)</v>
      </c>
      <c r="C272" s="410">
        <f>IFERROR(__xludf.DUMMYFUNCTION("""COMPUTED_VALUE"""),439.03)</f>
        <v>439.03</v>
      </c>
      <c r="D272" s="410" t="str">
        <f>IFERROR(__xludf.DUMMYFUNCTION("""COMPUTED_VALUE"""),"T2")</f>
        <v>T2</v>
      </c>
      <c r="E272" s="410" t="str">
        <f>IFERROR(__xludf.DUMMYFUNCTION("""COMPUTED_VALUE"""),"TNI0339")</f>
        <v>TNI0339</v>
      </c>
      <c r="F272" s="410" t="str">
        <f>IFERROR(__xludf.DUMMYFUNCTION("""COMPUTED_VALUE"""),"myt_maung.maung11")</f>
        <v>myt_maung.maung11</v>
      </c>
      <c r="H272" s="269"/>
      <c r="I272" s="269"/>
      <c r="J272" s="269"/>
      <c r="K272" s="269"/>
      <c r="L272" s="269"/>
      <c r="M272" s="269"/>
      <c r="N272" s="269"/>
      <c r="O272" s="269"/>
      <c r="P272" s="269"/>
      <c r="Q272" s="269"/>
      <c r="R272" s="269"/>
      <c r="S272" s="269"/>
      <c r="T272" s="269"/>
      <c r="U272" s="269"/>
      <c r="V272" s="269"/>
      <c r="W272" s="269"/>
      <c r="X272" s="269"/>
      <c r="Y272" s="269"/>
      <c r="Z272" s="269"/>
      <c r="AA272" s="269"/>
      <c r="AB272" s="269"/>
      <c r="AC272" s="269"/>
      <c r="AD272" s="269"/>
      <c r="AE272" s="269"/>
      <c r="AF272" s="269"/>
      <c r="AG272" s="269"/>
      <c r="AH272" s="269"/>
      <c r="AI272" s="269"/>
      <c r="AJ272" s="269"/>
      <c r="AK272" s="269"/>
      <c r="AL272" s="269"/>
      <c r="AM272" s="269"/>
      <c r="AN272" s="269"/>
      <c r="AO272" s="269"/>
      <c r="AP272" s="269"/>
      <c r="AQ272" s="269"/>
      <c r="AR272" s="269"/>
    </row>
    <row r="273">
      <c r="A273" s="410" t="str">
        <f>IFERROR(__xludf.DUMMYFUNCTION("""COMPUTED_VALUE"""),"WO_WFM-OTHERS_20260623_123616250")</f>
        <v>WO_WFM-OTHERS_20260623_123616250</v>
      </c>
      <c r="B273" s="410" t="str">
        <f>IFERROR(__xludf.DUMMYFUNCTION("""COMPUTED_VALUE"""),"Cable Patrol for (AC)-TNI0291-TNIM076")</f>
        <v>Cable Patrol for (AC)-TNI0291-TNIM076</v>
      </c>
      <c r="C273" s="410">
        <f>IFERROR(__xludf.DUMMYFUNCTION("""COMPUTED_VALUE"""),439.03)</f>
        <v>439.03</v>
      </c>
      <c r="D273" s="410" t="str">
        <f>IFERROR(__xludf.DUMMYFUNCTION("""COMPUTED_VALUE"""),"T2")</f>
        <v>T2</v>
      </c>
      <c r="E273" s="410" t="str">
        <f>IFERROR(__xludf.DUMMYFUNCTION("""COMPUTED_VALUE"""),"TNI0291")</f>
        <v>TNI0291</v>
      </c>
      <c r="F273" s="410" t="str">
        <f>IFERROR(__xludf.DUMMYFUNCTION("""COMPUTED_VALUE"""),"myt_maung.maung11")</f>
        <v>myt_maung.maung11</v>
      </c>
      <c r="H273" s="269"/>
      <c r="I273" s="269"/>
      <c r="J273" s="269"/>
      <c r="K273" s="269"/>
      <c r="L273" s="269"/>
      <c r="M273" s="269"/>
      <c r="N273" s="269"/>
      <c r="O273" s="269"/>
      <c r="P273" s="269"/>
      <c r="Q273" s="269"/>
      <c r="R273" s="269"/>
      <c r="S273" s="269"/>
      <c r="T273" s="269"/>
      <c r="U273" s="269"/>
      <c r="V273" s="269"/>
      <c r="W273" s="269"/>
      <c r="X273" s="269"/>
      <c r="Y273" s="269"/>
      <c r="Z273" s="269"/>
      <c r="AA273" s="269"/>
      <c r="AB273" s="269"/>
      <c r="AC273" s="269"/>
      <c r="AD273" s="269"/>
      <c r="AE273" s="269"/>
      <c r="AF273" s="269"/>
      <c r="AG273" s="269"/>
      <c r="AH273" s="269"/>
      <c r="AI273" s="269"/>
      <c r="AJ273" s="269"/>
      <c r="AK273" s="269"/>
      <c r="AL273" s="269"/>
      <c r="AM273" s="269"/>
      <c r="AN273" s="269"/>
      <c r="AO273" s="269"/>
      <c r="AP273" s="269"/>
      <c r="AQ273" s="269"/>
      <c r="AR273" s="269"/>
    </row>
    <row r="274">
      <c r="A274" s="410" t="str">
        <f>IFERROR(__xludf.DUMMYFUNCTION("""COMPUTED_VALUE"""),"WO_WFM-OTHERS_20260623_123616251")</f>
        <v>WO_WFM-OTHERS_20260623_123616251</v>
      </c>
      <c r="B274" s="410" t="str">
        <f>IFERROR(__xludf.DUMMYFUNCTION("""COMPUTED_VALUE"""),"Cable Patrol for (AC)-TNI0122-TNIM040")</f>
        <v>Cable Patrol for (AC)-TNI0122-TNIM040</v>
      </c>
      <c r="C274" s="410">
        <f>IFERROR(__xludf.DUMMYFUNCTION("""COMPUTED_VALUE"""),439.03)</f>
        <v>439.03</v>
      </c>
      <c r="D274" s="410" t="str">
        <f>IFERROR(__xludf.DUMMYFUNCTION("""COMPUTED_VALUE"""),"T2")</f>
        <v>T2</v>
      </c>
      <c r="E274" s="410" t="str">
        <f>IFERROR(__xludf.DUMMYFUNCTION("""COMPUTED_VALUE"""),"TNI0122")</f>
        <v>TNI0122</v>
      </c>
      <c r="F274" s="410" t="str">
        <f>IFERROR(__xludf.DUMMYFUNCTION("""COMPUTED_VALUE"""),"myt_maung.maung11")</f>
        <v>myt_maung.maung11</v>
      </c>
      <c r="H274" s="269"/>
      <c r="I274" s="269"/>
      <c r="J274" s="269"/>
      <c r="K274" s="269"/>
      <c r="L274" s="269"/>
      <c r="M274" s="269"/>
      <c r="N274" s="269"/>
      <c r="O274" s="269"/>
      <c r="P274" s="269"/>
      <c r="Q274" s="269"/>
      <c r="R274" s="269"/>
      <c r="S274" s="269"/>
      <c r="T274" s="269"/>
      <c r="U274" s="269"/>
      <c r="V274" s="269"/>
      <c r="W274" s="269"/>
      <c r="X274" s="269"/>
      <c r="Y274" s="269"/>
      <c r="Z274" s="269"/>
      <c r="AA274" s="269"/>
      <c r="AB274" s="269"/>
      <c r="AC274" s="269"/>
      <c r="AD274" s="269"/>
      <c r="AE274" s="269"/>
      <c r="AF274" s="269"/>
      <c r="AG274" s="269"/>
      <c r="AH274" s="269"/>
      <c r="AI274" s="269"/>
      <c r="AJ274" s="269"/>
      <c r="AK274" s="269"/>
      <c r="AL274" s="269"/>
      <c r="AM274" s="269"/>
      <c r="AN274" s="269"/>
      <c r="AO274" s="269"/>
      <c r="AP274" s="269"/>
      <c r="AQ274" s="269"/>
      <c r="AR274" s="269"/>
    </row>
    <row r="275">
      <c r="A275" s="410" t="str">
        <f>IFERROR(__xludf.DUMMYFUNCTION("""COMPUTED_VALUE"""),"WO_WFM-OTHERS_20260623_123616254")</f>
        <v>WO_WFM-OTHERS_20260623_123616254</v>
      </c>
      <c r="B275" s="410" t="str">
        <f>IFERROR(__xludf.DUMMYFUNCTION("""COMPUTED_VALUE"""),"Cable Patrol for (AC)-TNI0127-TNIM042")</f>
        <v>Cable Patrol for (AC)-TNI0127-TNIM042</v>
      </c>
      <c r="C275" s="410">
        <f>IFERROR(__xludf.DUMMYFUNCTION("""COMPUTED_VALUE"""),439.03)</f>
        <v>439.03</v>
      </c>
      <c r="D275" s="410" t="str">
        <f>IFERROR(__xludf.DUMMYFUNCTION("""COMPUTED_VALUE"""),"T2")</f>
        <v>T2</v>
      </c>
      <c r="E275" s="410" t="str">
        <f>IFERROR(__xludf.DUMMYFUNCTION("""COMPUTED_VALUE"""),"TNI0127")</f>
        <v>TNI0127</v>
      </c>
      <c r="F275" s="410" t="str">
        <f>IFERROR(__xludf.DUMMYFUNCTION("""COMPUTED_VALUE"""),"myt_maung.maung11")</f>
        <v>myt_maung.maung11</v>
      </c>
      <c r="H275" s="269"/>
      <c r="I275" s="269"/>
      <c r="J275" s="269"/>
      <c r="K275" s="269"/>
      <c r="L275" s="269"/>
      <c r="M275" s="269"/>
      <c r="N275" s="269"/>
      <c r="O275" s="269"/>
      <c r="P275" s="269"/>
      <c r="Q275" s="269"/>
      <c r="R275" s="269"/>
      <c r="S275" s="269"/>
      <c r="T275" s="269"/>
      <c r="U275" s="269"/>
      <c r="V275" s="269"/>
      <c r="W275" s="269"/>
      <c r="X275" s="269"/>
      <c r="Y275" s="269"/>
      <c r="Z275" s="269"/>
      <c r="AA275" s="269"/>
      <c r="AB275" s="269"/>
      <c r="AC275" s="269"/>
      <c r="AD275" s="269"/>
      <c r="AE275" s="269"/>
      <c r="AF275" s="269"/>
      <c r="AG275" s="269"/>
      <c r="AH275" s="269"/>
      <c r="AI275" s="269"/>
      <c r="AJ275" s="269"/>
      <c r="AK275" s="269"/>
      <c r="AL275" s="269"/>
      <c r="AM275" s="269"/>
      <c r="AN275" s="269"/>
      <c r="AO275" s="269"/>
      <c r="AP275" s="269"/>
      <c r="AQ275" s="269"/>
      <c r="AR275" s="269"/>
    </row>
    <row r="276">
      <c r="A276" s="410" t="str">
        <f>IFERROR(__xludf.DUMMYFUNCTION("""COMPUTED_VALUE"""),"WO_WFM-OTHERS_20260623_123616256")</f>
        <v>WO_WFM-OTHERS_20260623_123616256</v>
      </c>
      <c r="B276" s="410" t="str">
        <f>IFERROR(__xludf.DUMMYFUNCTION("""COMPUTED_VALUE"""),"Cable Patrol for (AC)-TNI0336-JB(TNI0005-TNI0007)")</f>
        <v>Cable Patrol for (AC)-TNI0336-JB(TNI0005-TNI0007)</v>
      </c>
      <c r="C276" s="410">
        <f>IFERROR(__xludf.DUMMYFUNCTION("""COMPUTED_VALUE"""),439.03)</f>
        <v>439.03</v>
      </c>
      <c r="D276" s="410" t="str">
        <f>IFERROR(__xludf.DUMMYFUNCTION("""COMPUTED_VALUE"""),"T2")</f>
        <v>T2</v>
      </c>
      <c r="E276" s="410" t="str">
        <f>IFERROR(__xludf.DUMMYFUNCTION("""COMPUTED_VALUE"""),"TNI0336")</f>
        <v>TNI0336</v>
      </c>
      <c r="F276" s="410" t="str">
        <f>IFERROR(__xludf.DUMMYFUNCTION("""COMPUTED_VALUE"""),"myt_maung.maung11")</f>
        <v>myt_maung.maung11</v>
      </c>
      <c r="H276" s="269"/>
      <c r="I276" s="269"/>
      <c r="J276" s="269"/>
      <c r="K276" s="269"/>
      <c r="L276" s="269"/>
      <c r="M276" s="269"/>
      <c r="N276" s="269"/>
      <c r="O276" s="269"/>
      <c r="P276" s="269"/>
      <c r="Q276" s="269"/>
      <c r="R276" s="269"/>
      <c r="S276" s="269"/>
      <c r="T276" s="269"/>
      <c r="U276" s="269"/>
      <c r="V276" s="269"/>
      <c r="W276" s="269"/>
      <c r="X276" s="269"/>
      <c r="Y276" s="269"/>
      <c r="Z276" s="269"/>
      <c r="AA276" s="269"/>
      <c r="AB276" s="269"/>
      <c r="AC276" s="269"/>
      <c r="AD276" s="269"/>
      <c r="AE276" s="269"/>
      <c r="AF276" s="269"/>
      <c r="AG276" s="269"/>
      <c r="AH276" s="269"/>
      <c r="AI276" s="269"/>
      <c r="AJ276" s="269"/>
      <c r="AK276" s="269"/>
      <c r="AL276" s="269"/>
      <c r="AM276" s="269"/>
      <c r="AN276" s="269"/>
      <c r="AO276" s="269"/>
      <c r="AP276" s="269"/>
      <c r="AQ276" s="269"/>
      <c r="AR276" s="269"/>
    </row>
    <row r="277">
      <c r="A277" s="410" t="str">
        <f>IFERROR(__xludf.DUMMYFUNCTION("""COMPUTED_VALUE"""),"WO_ICMS_20260623_123615114")</f>
        <v>WO_ICMS_20260623_123615114</v>
      </c>
      <c r="B277" s="410" t="str">
        <f>IFERROR(__xludf.DUMMYFUNCTION("""COMPUTED_VALUE"""),"TNI0252 MYT_Routine_Maintenance_Mytel_Station MYT_RTE_MTE_SB_STN")</f>
        <v>TNI0252 MYT_Routine_Maintenance_Mytel_Station MYT_RTE_MTE_SB_STN</v>
      </c>
      <c r="C277" s="410">
        <f>IFERROR(__xludf.DUMMYFUNCTION("""COMPUTED_VALUE"""),886.64)</f>
        <v>886.64</v>
      </c>
      <c r="D277" s="410" t="str">
        <f>IFERROR(__xludf.DUMMYFUNCTION("""COMPUTED_VALUE"""),"T2")</f>
        <v>T2</v>
      </c>
      <c r="E277" s="410" t="str">
        <f>IFERROR(__xludf.DUMMYFUNCTION("""COMPUTED_VALUE"""),"TNI0252")</f>
        <v>TNI0252</v>
      </c>
      <c r="F277" s="410" t="str">
        <f>IFERROR(__xludf.DUMMYFUNCTION("""COMPUTED_VALUE"""),"myt_maung.maung11")</f>
        <v>myt_maung.maung11</v>
      </c>
      <c r="H277" s="269"/>
      <c r="I277" s="269"/>
      <c r="J277" s="269"/>
      <c r="K277" s="269"/>
      <c r="L277" s="269"/>
      <c r="M277" s="269"/>
      <c r="N277" s="269"/>
      <c r="O277" s="269"/>
      <c r="P277" s="269"/>
      <c r="Q277" s="269"/>
      <c r="R277" s="269"/>
      <c r="S277" s="269"/>
      <c r="T277" s="269"/>
      <c r="U277" s="269"/>
      <c r="V277" s="269"/>
      <c r="W277" s="269"/>
      <c r="X277" s="269"/>
      <c r="Y277" s="269"/>
      <c r="Z277" s="269"/>
      <c r="AA277" s="269"/>
      <c r="AB277" s="269"/>
      <c r="AC277" s="269"/>
      <c r="AD277" s="269"/>
      <c r="AE277" s="269"/>
      <c r="AF277" s="269"/>
      <c r="AG277" s="269"/>
      <c r="AH277" s="269"/>
      <c r="AI277" s="269"/>
      <c r="AJ277" s="269"/>
      <c r="AK277" s="269"/>
      <c r="AL277" s="269"/>
      <c r="AM277" s="269"/>
      <c r="AN277" s="269"/>
      <c r="AO277" s="269"/>
      <c r="AP277" s="269"/>
      <c r="AQ277" s="269"/>
      <c r="AR277" s="269"/>
    </row>
    <row r="278">
      <c r="A278" s="410" t="str">
        <f>IFERROR(__xludf.DUMMYFUNCTION("""COMPUTED_VALUE"""),"WO_ICMS_20260623_123615115")</f>
        <v>WO_ICMS_20260623_123615115</v>
      </c>
      <c r="B278" s="410" t="str">
        <f>IFERROR(__xludf.DUMMYFUNCTION("""COMPUTED_VALUE"""),"TNI0248 MYT_Routine_Maintenance_Mytel_Station MYT_RTE_MTE_SB_STN")</f>
        <v>TNI0248 MYT_Routine_Maintenance_Mytel_Station MYT_RTE_MTE_SB_STN</v>
      </c>
      <c r="C278" s="410">
        <f>IFERROR(__xludf.DUMMYFUNCTION("""COMPUTED_VALUE"""),886.64)</f>
        <v>886.64</v>
      </c>
      <c r="D278" s="410" t="str">
        <f>IFERROR(__xludf.DUMMYFUNCTION("""COMPUTED_VALUE"""),"T2")</f>
        <v>T2</v>
      </c>
      <c r="E278" s="410" t="str">
        <f>IFERROR(__xludf.DUMMYFUNCTION("""COMPUTED_VALUE"""),"TNI0248")</f>
        <v>TNI0248</v>
      </c>
      <c r="F278" s="410" t="str">
        <f>IFERROR(__xludf.DUMMYFUNCTION("""COMPUTED_VALUE"""),"myt_maung.maung11")</f>
        <v>myt_maung.maung11</v>
      </c>
      <c r="H278" s="269"/>
      <c r="I278" s="269"/>
      <c r="J278" s="269"/>
      <c r="K278" s="269"/>
      <c r="L278" s="269"/>
      <c r="M278" s="269"/>
      <c r="N278" s="269"/>
      <c r="O278" s="269"/>
      <c r="P278" s="269"/>
      <c r="Q278" s="269"/>
      <c r="R278" s="269"/>
      <c r="S278" s="269"/>
      <c r="T278" s="269"/>
      <c r="U278" s="269"/>
      <c r="V278" s="269"/>
      <c r="W278" s="269"/>
      <c r="X278" s="269"/>
      <c r="Y278" s="269"/>
      <c r="Z278" s="269"/>
      <c r="AA278" s="269"/>
      <c r="AB278" s="269"/>
      <c r="AC278" s="269"/>
      <c r="AD278" s="269"/>
      <c r="AE278" s="269"/>
      <c r="AF278" s="269"/>
      <c r="AG278" s="269"/>
      <c r="AH278" s="269"/>
      <c r="AI278" s="269"/>
      <c r="AJ278" s="269"/>
      <c r="AK278" s="269"/>
      <c r="AL278" s="269"/>
      <c r="AM278" s="269"/>
      <c r="AN278" s="269"/>
      <c r="AO278" s="269"/>
      <c r="AP278" s="269"/>
      <c r="AQ278" s="269"/>
      <c r="AR278" s="269"/>
    </row>
    <row r="279">
      <c r="A279" s="410" t="str">
        <f>IFERROR(__xludf.DUMMYFUNCTION("""COMPUTED_VALUE"""),"WO_ICMS_20260623_123615078")</f>
        <v>WO_ICMS_20260623_123615078</v>
      </c>
      <c r="B279" s="410" t="str">
        <f>IFERROR(__xludf.DUMMYFUNCTION("""COMPUTED_VALUE"""),"TNI0258 MYT_Routine_Maintenance_Mytel_Station MYT_RTE_MTE_SB_STN")</f>
        <v>TNI0258 MYT_Routine_Maintenance_Mytel_Station MYT_RTE_MTE_SB_STN</v>
      </c>
      <c r="C279" s="410">
        <f>IFERROR(__xludf.DUMMYFUNCTION("""COMPUTED_VALUE"""),886.64)</f>
        <v>886.64</v>
      </c>
      <c r="D279" s="410" t="str">
        <f>IFERROR(__xludf.DUMMYFUNCTION("""COMPUTED_VALUE"""),"T2")</f>
        <v>T2</v>
      </c>
      <c r="E279" s="410" t="str">
        <f>IFERROR(__xludf.DUMMYFUNCTION("""COMPUTED_VALUE"""),"TNI0258")</f>
        <v>TNI0258</v>
      </c>
      <c r="F279" s="410" t="str">
        <f>IFERROR(__xludf.DUMMYFUNCTION("""COMPUTED_VALUE"""),"myt_maung.maung11")</f>
        <v>myt_maung.maung11</v>
      </c>
      <c r="H279" s="269"/>
      <c r="I279" s="269"/>
      <c r="J279" s="269"/>
      <c r="K279" s="269"/>
      <c r="L279" s="269"/>
      <c r="M279" s="269"/>
      <c r="N279" s="269"/>
      <c r="O279" s="269"/>
      <c r="P279" s="269"/>
      <c r="Q279" s="269"/>
      <c r="R279" s="269"/>
      <c r="S279" s="269"/>
      <c r="T279" s="269"/>
      <c r="U279" s="269"/>
      <c r="V279" s="269"/>
      <c r="W279" s="269"/>
      <c r="X279" s="269"/>
      <c r="Y279" s="269"/>
      <c r="Z279" s="269"/>
      <c r="AA279" s="269"/>
      <c r="AB279" s="269"/>
      <c r="AC279" s="269"/>
      <c r="AD279" s="269"/>
      <c r="AE279" s="269"/>
      <c r="AF279" s="269"/>
      <c r="AG279" s="269"/>
      <c r="AH279" s="269"/>
      <c r="AI279" s="269"/>
      <c r="AJ279" s="269"/>
      <c r="AK279" s="269"/>
      <c r="AL279" s="269"/>
      <c r="AM279" s="269"/>
      <c r="AN279" s="269"/>
      <c r="AO279" s="269"/>
      <c r="AP279" s="269"/>
      <c r="AQ279" s="269"/>
      <c r="AR279" s="269"/>
    </row>
    <row r="280">
      <c r="A280" s="410" t="str">
        <f>IFERROR(__xludf.DUMMYFUNCTION("""COMPUTED_VALUE"""),"WO_ICMS_20260623_123614452")</f>
        <v>WO_ICMS_20260623_123614452</v>
      </c>
      <c r="B280" s="410" t="str">
        <f>IFERROR(__xludf.DUMMYFUNCTION("""COMPUTED_VALUE"""),"TNI0294 MYT_Routine_Maintenance_Mytel_Station MYT_RTE_MTE_SB_STN")</f>
        <v>TNI0294 MYT_Routine_Maintenance_Mytel_Station MYT_RTE_MTE_SB_STN</v>
      </c>
      <c r="C280" s="410">
        <f>IFERROR(__xludf.DUMMYFUNCTION("""COMPUTED_VALUE"""),886.64)</f>
        <v>886.64</v>
      </c>
      <c r="D280" s="410" t="str">
        <f>IFERROR(__xludf.DUMMYFUNCTION("""COMPUTED_VALUE"""),"T2")</f>
        <v>T2</v>
      </c>
      <c r="E280" s="410" t="str">
        <f>IFERROR(__xludf.DUMMYFUNCTION("""COMPUTED_VALUE"""),"TNI0294")</f>
        <v>TNI0294</v>
      </c>
      <c r="F280" s="410" t="str">
        <f>IFERROR(__xludf.DUMMYFUNCTION("""COMPUTED_VALUE"""),"myt_maung.maung11")</f>
        <v>myt_maung.maung11</v>
      </c>
      <c r="H280" s="269"/>
      <c r="I280" s="269"/>
      <c r="J280" s="269"/>
      <c r="K280" s="269"/>
      <c r="L280" s="269"/>
      <c r="M280" s="269"/>
      <c r="N280" s="269"/>
      <c r="O280" s="269"/>
      <c r="P280" s="269"/>
      <c r="Q280" s="269"/>
      <c r="R280" s="269"/>
      <c r="S280" s="269"/>
      <c r="T280" s="269"/>
      <c r="U280" s="269"/>
      <c r="V280" s="269"/>
      <c r="W280" s="269"/>
      <c r="X280" s="269"/>
      <c r="Y280" s="269"/>
      <c r="Z280" s="269"/>
      <c r="AA280" s="269"/>
      <c r="AB280" s="269"/>
      <c r="AC280" s="269"/>
      <c r="AD280" s="269"/>
      <c r="AE280" s="269"/>
      <c r="AF280" s="269"/>
      <c r="AG280" s="269"/>
      <c r="AH280" s="269"/>
      <c r="AI280" s="269"/>
      <c r="AJ280" s="269"/>
      <c r="AK280" s="269"/>
      <c r="AL280" s="269"/>
      <c r="AM280" s="269"/>
      <c r="AN280" s="269"/>
      <c r="AO280" s="269"/>
      <c r="AP280" s="269"/>
      <c r="AQ280" s="269"/>
      <c r="AR280" s="269"/>
    </row>
    <row r="281">
      <c r="A281" s="410" t="str">
        <f>IFERROR(__xludf.DUMMYFUNCTION("""COMPUTED_VALUE"""),"WO_ICMS_20260623_123613516")</f>
        <v>WO_ICMS_20260623_123613516</v>
      </c>
      <c r="B281" s="410" t="str">
        <f>IFERROR(__xludf.DUMMYFUNCTION("""COMPUTED_VALUE"""),"TNI0003 MYT_Routine_Maintenance_Main_Station MYT_RTE_MTE_MAIN_STN")</f>
        <v>TNI0003 MYT_Routine_Maintenance_Main_Station MYT_RTE_MTE_MAIN_STN</v>
      </c>
      <c r="C281" s="410">
        <f>IFERROR(__xludf.DUMMYFUNCTION("""COMPUTED_VALUE"""),502.17)</f>
        <v>502.17</v>
      </c>
      <c r="D281" s="410" t="str">
        <f>IFERROR(__xludf.DUMMYFUNCTION("""COMPUTED_VALUE"""),"T2")</f>
        <v>T2</v>
      </c>
      <c r="E281" s="410" t="str">
        <f>IFERROR(__xludf.DUMMYFUNCTION("""COMPUTED_VALUE"""),"TNI0003")</f>
        <v>TNI0003</v>
      </c>
      <c r="F281" s="410" t="str">
        <f>IFERROR(__xludf.DUMMYFUNCTION("""COMPUTED_VALUE"""),"myt_maung.maung11")</f>
        <v>myt_maung.maung11</v>
      </c>
      <c r="H281" s="269"/>
      <c r="I281" s="269"/>
      <c r="J281" s="269"/>
      <c r="K281" s="269"/>
      <c r="L281" s="269"/>
      <c r="M281" s="269"/>
      <c r="N281" s="269"/>
      <c r="O281" s="269"/>
      <c r="P281" s="269"/>
      <c r="Q281" s="269"/>
      <c r="R281" s="269"/>
      <c r="S281" s="269"/>
      <c r="T281" s="269"/>
      <c r="U281" s="269"/>
      <c r="V281" s="269"/>
      <c r="W281" s="269"/>
      <c r="X281" s="269"/>
      <c r="Y281" s="269"/>
      <c r="Z281" s="269"/>
      <c r="AA281" s="269"/>
      <c r="AB281" s="269"/>
      <c r="AC281" s="269"/>
      <c r="AD281" s="269"/>
      <c r="AE281" s="269"/>
      <c r="AF281" s="269"/>
      <c r="AG281" s="269"/>
      <c r="AH281" s="269"/>
      <c r="AI281" s="269"/>
      <c r="AJ281" s="269"/>
      <c r="AK281" s="269"/>
      <c r="AL281" s="269"/>
      <c r="AM281" s="269"/>
      <c r="AN281" s="269"/>
      <c r="AO281" s="269"/>
      <c r="AP281" s="269"/>
      <c r="AQ281" s="269"/>
      <c r="AR281" s="269"/>
    </row>
    <row r="282">
      <c r="A282" s="410" t="str">
        <f>IFERROR(__xludf.DUMMYFUNCTION("""COMPUTED_VALUE"""),"WO_QLCTKT_20260604_123441793")</f>
        <v>WO_QLCTKT_20260604_123441793</v>
      </c>
      <c r="B282" s="410" t="str">
        <f>IFERROR(__xludf.DUMMYFUNCTION("""COMPUTED_VALUE"""),"TNI0261 - Repair infrastructure - bla: Cleaning the station, remove grass, vines, tree, rubbish, recall unused equipment, material: Ensure: Cleaning tool, slipper")</f>
        <v>TNI0261 - Repair infrastructure - bla: Cleaning the station, remove grass, vines, tree, rubbish, recall unused equipment, material: Ensure: Cleaning tool, slipper</v>
      </c>
      <c r="C282" s="410">
        <f>IFERROR(__xludf.DUMMYFUNCTION("""COMPUTED_VALUE"""),42.47)</f>
        <v>42.47</v>
      </c>
      <c r="D282" s="410" t="str">
        <f>IFERROR(__xludf.DUMMYFUNCTION("""COMPUTED_VALUE"""),"T2")</f>
        <v>T2</v>
      </c>
      <c r="E282" s="410" t="str">
        <f>IFERROR(__xludf.DUMMYFUNCTION("""COMPUTED_VALUE"""),"TNI0261")</f>
        <v>TNI0261</v>
      </c>
      <c r="F282" s="410" t="str">
        <f>IFERROR(__xludf.DUMMYFUNCTION("""COMPUTED_VALUE"""),"myt_maung.maung11")</f>
        <v>myt_maung.maung11</v>
      </c>
      <c r="H282" s="269"/>
      <c r="I282" s="269"/>
      <c r="J282" s="269"/>
      <c r="K282" s="269"/>
      <c r="L282" s="269"/>
      <c r="M282" s="269"/>
      <c r="N282" s="269"/>
      <c r="O282" s="269"/>
      <c r="P282" s="269"/>
      <c r="Q282" s="269"/>
      <c r="R282" s="269"/>
      <c r="S282" s="269"/>
      <c r="T282" s="269"/>
      <c r="U282" s="269"/>
      <c r="V282" s="269"/>
      <c r="W282" s="269"/>
      <c r="X282" s="269"/>
      <c r="Y282" s="269"/>
      <c r="Z282" s="269"/>
      <c r="AA282" s="269"/>
      <c r="AB282" s="269"/>
      <c r="AC282" s="269"/>
      <c r="AD282" s="269"/>
      <c r="AE282" s="269"/>
      <c r="AF282" s="269"/>
      <c r="AG282" s="269"/>
      <c r="AH282" s="269"/>
      <c r="AI282" s="269"/>
      <c r="AJ282" s="269"/>
      <c r="AK282" s="269"/>
      <c r="AL282" s="269"/>
      <c r="AM282" s="269"/>
      <c r="AN282" s="269"/>
      <c r="AO282" s="269"/>
      <c r="AP282" s="269"/>
      <c r="AQ282" s="269"/>
      <c r="AR282" s="269"/>
    </row>
    <row r="283">
      <c r="A283" s="410" t="str">
        <f>IFERROR(__xludf.DUMMYFUNCTION("""COMPUTED_VALUE"""),"WO_QLCTKT_20260506_123198422")</f>
        <v>WO_QLCTKT_20260506_123198422</v>
      </c>
      <c r="B283" s="410" t="str">
        <f>IFERROR(__xludf.DUMMYFUNCTION("""COMPUTED_VALUE"""),"TNI0258 - Repair infrastructure - bla: Cleaning the station, remove grass, vines, tree, rubbish, recall unused equipment, material: Clean the station")</f>
        <v>TNI0258 - Repair infrastructure - bla: Cleaning the station, remove grass, vines, tree, rubbish, recall unused equipment, material: Clean the station</v>
      </c>
      <c r="C283" s="410">
        <f>IFERROR(__xludf.DUMMYFUNCTION("""COMPUTED_VALUE"""),-1208.01)</f>
        <v>-1208.01</v>
      </c>
      <c r="D283" s="410" t="str">
        <f>IFERROR(__xludf.DUMMYFUNCTION("""COMPUTED_VALUE"""),"T2")</f>
        <v>T2</v>
      </c>
      <c r="E283" s="410" t="str">
        <f>IFERROR(__xludf.DUMMYFUNCTION("""COMPUTED_VALUE"""),"TNI0258")</f>
        <v>TNI0258</v>
      </c>
      <c r="F283" s="410" t="str">
        <f>IFERROR(__xludf.DUMMYFUNCTION("""COMPUTED_VALUE"""),"myt_maung.maung11")</f>
        <v>myt_maung.maung11</v>
      </c>
      <c r="H283" s="269"/>
      <c r="I283" s="269"/>
      <c r="J283" s="269"/>
      <c r="K283" s="269"/>
      <c r="L283" s="269"/>
      <c r="M283" s="269"/>
      <c r="N283" s="269"/>
      <c r="O283" s="269"/>
      <c r="P283" s="269"/>
      <c r="Q283" s="269"/>
      <c r="R283" s="269"/>
      <c r="S283" s="269"/>
      <c r="T283" s="269"/>
      <c r="U283" s="269"/>
      <c r="V283" s="269"/>
      <c r="W283" s="269"/>
      <c r="X283" s="269"/>
      <c r="Y283" s="269"/>
      <c r="Z283" s="269"/>
      <c r="AA283" s="269"/>
      <c r="AB283" s="269"/>
      <c r="AC283" s="269"/>
      <c r="AD283" s="269"/>
      <c r="AE283" s="269"/>
      <c r="AF283" s="269"/>
      <c r="AG283" s="269"/>
      <c r="AH283" s="269"/>
      <c r="AI283" s="269"/>
      <c r="AJ283" s="269"/>
      <c r="AK283" s="269"/>
      <c r="AL283" s="269"/>
      <c r="AM283" s="269"/>
      <c r="AN283" s="269"/>
      <c r="AO283" s="269"/>
      <c r="AP283" s="269"/>
      <c r="AQ283" s="269"/>
      <c r="AR283" s="269"/>
    </row>
    <row r="284">
      <c r="A284" s="410" t="str">
        <f>IFERROR(__xludf.DUMMYFUNCTION("""COMPUTED_VALUE"""),"WO_ICMS_20260626_123646327")</f>
        <v>WO_ICMS_20260626_123646327</v>
      </c>
      <c r="B284" s="410" t="str">
        <f>IFERROR(__xludf.DUMMYFUNCTION("""COMPUTED_VALUE"""),"TNI0521 MYT_Routine_Maintenance_Mytel_Station MYT_RTE_MTE_SB_STN")</f>
        <v>TNI0521 MYT_Routine_Maintenance_Mytel_Station MYT_RTE_MTE_SB_STN</v>
      </c>
      <c r="C284" s="410">
        <f>IFERROR(__xludf.DUMMYFUNCTION("""COMPUTED_VALUE"""),960.45)</f>
        <v>960.45</v>
      </c>
      <c r="D284" s="410" t="str">
        <f>IFERROR(__xludf.DUMMYFUNCTION("""COMPUTED_VALUE"""),"T5")</f>
        <v>T5</v>
      </c>
      <c r="E284" s="410" t="str">
        <f>IFERROR(__xludf.DUMMYFUNCTION("""COMPUTED_VALUE"""),"TNI0521")</f>
        <v>TNI0521</v>
      </c>
      <c r="F284" s="410" t="str">
        <f>IFERROR(__xludf.DUMMYFUNCTION("""COMPUTED_VALUE"""),"myt_minpaing.oo")</f>
        <v>myt_minpaing.oo</v>
      </c>
      <c r="H284" s="269"/>
      <c r="I284" s="269"/>
      <c r="J284" s="269"/>
      <c r="K284" s="269"/>
      <c r="L284" s="269"/>
      <c r="M284" s="269"/>
      <c r="N284" s="269"/>
      <c r="O284" s="269"/>
      <c r="P284" s="269"/>
      <c r="Q284" s="269"/>
      <c r="R284" s="269"/>
      <c r="S284" s="269"/>
      <c r="T284" s="269"/>
      <c r="U284" s="269"/>
      <c r="V284" s="269"/>
      <c r="W284" s="269"/>
      <c r="X284" s="269"/>
      <c r="Y284" s="269"/>
      <c r="Z284" s="269"/>
      <c r="AA284" s="269"/>
      <c r="AB284" s="269"/>
      <c r="AC284" s="269"/>
      <c r="AD284" s="269"/>
      <c r="AE284" s="269"/>
      <c r="AF284" s="269"/>
      <c r="AG284" s="269"/>
      <c r="AH284" s="269"/>
      <c r="AI284" s="269"/>
      <c r="AJ284" s="269"/>
      <c r="AK284" s="269"/>
      <c r="AL284" s="269"/>
      <c r="AM284" s="269"/>
      <c r="AN284" s="269"/>
      <c r="AO284" s="269"/>
      <c r="AP284" s="269"/>
      <c r="AQ284" s="269"/>
      <c r="AR284" s="269"/>
    </row>
    <row r="285">
      <c r="A285" s="410" t="str">
        <f>IFERROR(__xludf.DUMMYFUNCTION("""COMPUTED_VALUE"""),"WO_ICMS_20260623_123615122")</f>
        <v>WO_ICMS_20260623_123615122</v>
      </c>
      <c r="B285" s="410" t="str">
        <f>IFERROR(__xludf.DUMMYFUNCTION("""COMPUTED_VALUE"""),"TNI0122 MYT_Routine_Maintenance_Mytel_Station MYT_RTE_MTE_SB_STN")</f>
        <v>TNI0122 MYT_Routine_Maintenance_Mytel_Station MYT_RTE_MTE_SB_STN</v>
      </c>
      <c r="C285" s="410">
        <f>IFERROR(__xludf.DUMMYFUNCTION("""COMPUTED_VALUE"""),886.64)</f>
        <v>886.64</v>
      </c>
      <c r="D285" s="410" t="str">
        <f>IFERROR(__xludf.DUMMYFUNCTION("""COMPUTED_VALUE"""),"T5")</f>
        <v>T5</v>
      </c>
      <c r="E285" s="410" t="str">
        <f>IFERROR(__xludf.DUMMYFUNCTION("""COMPUTED_VALUE"""),"TNI0122")</f>
        <v>TNI0122</v>
      </c>
      <c r="F285" s="410" t="str">
        <f>IFERROR(__xludf.DUMMYFUNCTION("""COMPUTED_VALUE"""),"myt_minpaing.oo")</f>
        <v>myt_minpaing.oo</v>
      </c>
      <c r="H285" s="269"/>
      <c r="I285" s="269"/>
      <c r="J285" s="269"/>
      <c r="K285" s="269"/>
      <c r="L285" s="269"/>
      <c r="M285" s="269"/>
      <c r="N285" s="269"/>
      <c r="O285" s="269"/>
      <c r="P285" s="269"/>
      <c r="Q285" s="269"/>
      <c r="R285" s="269"/>
      <c r="S285" s="269"/>
      <c r="T285" s="269"/>
      <c r="U285" s="269"/>
      <c r="V285" s="269"/>
      <c r="W285" s="269"/>
      <c r="X285" s="269"/>
      <c r="Y285" s="269"/>
      <c r="Z285" s="269"/>
      <c r="AA285" s="269"/>
      <c r="AB285" s="269"/>
      <c r="AC285" s="269"/>
      <c r="AD285" s="269"/>
      <c r="AE285" s="269"/>
      <c r="AF285" s="269"/>
      <c r="AG285" s="269"/>
      <c r="AH285" s="269"/>
      <c r="AI285" s="269"/>
      <c r="AJ285" s="269"/>
      <c r="AK285" s="269"/>
      <c r="AL285" s="269"/>
      <c r="AM285" s="269"/>
      <c r="AN285" s="269"/>
      <c r="AO285" s="269"/>
      <c r="AP285" s="269"/>
      <c r="AQ285" s="269"/>
      <c r="AR285" s="269"/>
    </row>
    <row r="286">
      <c r="A286" s="410" t="str">
        <f>IFERROR(__xludf.DUMMYFUNCTION("""COMPUTED_VALUE"""),"WO_ICMS_20260623_123613513")</f>
        <v>WO_ICMS_20260623_123613513</v>
      </c>
      <c r="B286" s="410" t="str">
        <f>IFERROR(__xludf.DUMMYFUNCTION("""COMPUTED_VALUE"""),"TNI0007 MYT_Routine_Maintenance_Main_Station MYT_RTE_MTE_MAIN_STN")</f>
        <v>TNI0007 MYT_Routine_Maintenance_Main_Station MYT_RTE_MTE_MAIN_STN</v>
      </c>
      <c r="C286" s="410">
        <f>IFERROR(__xludf.DUMMYFUNCTION("""COMPUTED_VALUE"""),502.17)</f>
        <v>502.17</v>
      </c>
      <c r="D286" s="410" t="str">
        <f>IFERROR(__xludf.DUMMYFUNCTION("""COMPUTED_VALUE"""),"T5")</f>
        <v>T5</v>
      </c>
      <c r="E286" s="410" t="str">
        <f>IFERROR(__xludf.DUMMYFUNCTION("""COMPUTED_VALUE"""),"TNI0007")</f>
        <v>TNI0007</v>
      </c>
      <c r="F286" s="410" t="str">
        <f>IFERROR(__xludf.DUMMYFUNCTION("""COMPUTED_VALUE"""),"myt_minpaing.oo")</f>
        <v>myt_minpaing.oo</v>
      </c>
      <c r="H286" s="269"/>
      <c r="I286" s="269"/>
      <c r="J286" s="269"/>
      <c r="K286" s="269"/>
      <c r="L286" s="269"/>
      <c r="M286" s="269"/>
      <c r="N286" s="269"/>
      <c r="O286" s="269"/>
      <c r="P286" s="269"/>
      <c r="Q286" s="269"/>
      <c r="R286" s="269"/>
      <c r="S286" s="269"/>
      <c r="T286" s="269"/>
      <c r="U286" s="269"/>
      <c r="V286" s="269"/>
      <c r="W286" s="269"/>
      <c r="X286" s="269"/>
      <c r="Y286" s="269"/>
      <c r="Z286" s="269"/>
      <c r="AA286" s="269"/>
      <c r="AB286" s="269"/>
      <c r="AC286" s="269"/>
      <c r="AD286" s="269"/>
      <c r="AE286" s="269"/>
      <c r="AF286" s="269"/>
      <c r="AG286" s="269"/>
      <c r="AH286" s="269"/>
      <c r="AI286" s="269"/>
      <c r="AJ286" s="269"/>
      <c r="AK286" s="269"/>
      <c r="AL286" s="269"/>
      <c r="AM286" s="269"/>
      <c r="AN286" s="269"/>
      <c r="AO286" s="269"/>
      <c r="AP286" s="269"/>
      <c r="AQ286" s="269"/>
      <c r="AR286" s="269"/>
    </row>
    <row r="287">
      <c r="A287" s="410" t="str">
        <f>IFERROR(__xludf.DUMMYFUNCTION("""COMPUTED_VALUE"""),"WO_ICMS_20260623_123613514")</f>
        <v>WO_ICMS_20260623_123613514</v>
      </c>
      <c r="B287" s="410" t="str">
        <f>IFERROR(__xludf.DUMMYFUNCTION("""COMPUTED_VALUE"""),"TNI0005 MYT_Routine_Maintenance_Main_Station MYT_RTE_MTE_MAIN_STN")</f>
        <v>TNI0005 MYT_Routine_Maintenance_Main_Station MYT_RTE_MTE_MAIN_STN</v>
      </c>
      <c r="C287" s="410">
        <f>IFERROR(__xludf.DUMMYFUNCTION("""COMPUTED_VALUE"""),502.17)</f>
        <v>502.17</v>
      </c>
      <c r="D287" s="410" t="str">
        <f>IFERROR(__xludf.DUMMYFUNCTION("""COMPUTED_VALUE"""),"T5")</f>
        <v>T5</v>
      </c>
      <c r="E287" s="410" t="str">
        <f>IFERROR(__xludf.DUMMYFUNCTION("""COMPUTED_VALUE"""),"TNI0005")</f>
        <v>TNI0005</v>
      </c>
      <c r="F287" s="410" t="str">
        <f>IFERROR(__xludf.DUMMYFUNCTION("""COMPUTED_VALUE"""),"myt_minpaing.oo")</f>
        <v>myt_minpaing.oo</v>
      </c>
      <c r="H287" s="269"/>
      <c r="I287" s="269"/>
      <c r="J287" s="269"/>
      <c r="K287" s="269"/>
      <c r="L287" s="269"/>
      <c r="M287" s="269"/>
      <c r="N287" s="269"/>
      <c r="O287" s="269"/>
      <c r="P287" s="269"/>
      <c r="Q287" s="269"/>
      <c r="R287" s="269"/>
      <c r="S287" s="269"/>
      <c r="T287" s="269"/>
      <c r="U287" s="269"/>
      <c r="V287" s="269"/>
      <c r="W287" s="269"/>
      <c r="X287" s="269"/>
      <c r="Y287" s="269"/>
      <c r="Z287" s="269"/>
      <c r="AA287" s="269"/>
      <c r="AB287" s="269"/>
      <c r="AC287" s="269"/>
      <c r="AD287" s="269"/>
      <c r="AE287" s="269"/>
      <c r="AF287" s="269"/>
      <c r="AG287" s="269"/>
      <c r="AH287" s="269"/>
      <c r="AI287" s="269"/>
      <c r="AJ287" s="269"/>
      <c r="AK287" s="269"/>
      <c r="AL287" s="269"/>
      <c r="AM287" s="269"/>
      <c r="AN287" s="269"/>
      <c r="AO287" s="269"/>
      <c r="AP287" s="269"/>
      <c r="AQ287" s="269"/>
      <c r="AR287" s="269"/>
    </row>
    <row r="288">
      <c r="A288" s="410" t="str">
        <f>IFERROR(__xludf.DUMMYFUNCTION("""COMPUTED_VALUE"""),"WO_QLCTKT_20260604_123438208")</f>
        <v>WO_QLCTKT_20260604_123438208</v>
      </c>
      <c r="B288" s="410" t="str">
        <f>IFERROR(__xludf.DUMMYFUNCTION("""COMPUTED_VALUE"""),"TNI0039 MYT_Troubleshooting Solar Power System")</f>
        <v>TNI0039 MYT_Troubleshooting Solar Power System</v>
      </c>
      <c r="C288" s="410">
        <f>IFERROR(__xludf.DUMMYFUNCTION("""COMPUTED_VALUE"""),-520.95)</f>
        <v>-520.95</v>
      </c>
      <c r="D288" s="410" t="str">
        <f>IFERROR(__xludf.DUMMYFUNCTION("""COMPUTED_VALUE"""),"T5")</f>
        <v>T5</v>
      </c>
      <c r="E288" s="410" t="str">
        <f>IFERROR(__xludf.DUMMYFUNCTION("""COMPUTED_VALUE"""),"TNI0039")</f>
        <v>TNI0039</v>
      </c>
      <c r="F288" s="410" t="str">
        <f>IFERROR(__xludf.DUMMYFUNCTION("""COMPUTED_VALUE"""),"myt_minpaing.oo")</f>
        <v>myt_minpaing.oo</v>
      </c>
      <c r="H288" s="269"/>
      <c r="I288" s="269"/>
      <c r="J288" s="269"/>
      <c r="K288" s="269"/>
      <c r="L288" s="269"/>
      <c r="M288" s="269"/>
      <c r="N288" s="269"/>
      <c r="O288" s="269"/>
      <c r="P288" s="269"/>
      <c r="Q288" s="269"/>
      <c r="R288" s="269"/>
      <c r="S288" s="269"/>
      <c r="T288" s="269"/>
      <c r="U288" s="269"/>
      <c r="V288" s="269"/>
      <c r="W288" s="269"/>
      <c r="X288" s="269"/>
      <c r="Y288" s="269"/>
      <c r="Z288" s="269"/>
      <c r="AA288" s="269"/>
      <c r="AB288" s="269"/>
      <c r="AC288" s="269"/>
      <c r="AD288" s="269"/>
      <c r="AE288" s="269"/>
      <c r="AF288" s="269"/>
      <c r="AG288" s="269"/>
      <c r="AH288" s="269"/>
      <c r="AI288" s="269"/>
      <c r="AJ288" s="269"/>
      <c r="AK288" s="269"/>
      <c r="AL288" s="269"/>
      <c r="AM288" s="269"/>
      <c r="AN288" s="269"/>
      <c r="AO288" s="269"/>
      <c r="AP288" s="269"/>
      <c r="AQ288" s="269"/>
      <c r="AR288" s="269"/>
    </row>
    <row r="289">
      <c r="A289" s="410" t="str">
        <f>IFERROR(__xludf.DUMMYFUNCTION("""COMPUTED_VALUE"""),"WO_QLCTKT_20260522_123334804")</f>
        <v>WO_QLCTKT_20260522_123334804</v>
      </c>
      <c r="B289" s="410" t="str">
        <f>IFERROR(__xludf.DUMMYFUNCTION("""COMPUTED_VALUE"""),"TNI0007 - Repair infrastructure - bla: Cleaning the station, remove grass, vines, tree, rubbish, recall unused equipment, material: Clean the station")</f>
        <v>TNI0007 - Repair infrastructure - bla: Cleaning the station, remove grass, vines, tree, rubbish, recall unused equipment, material: Clean the station</v>
      </c>
      <c r="C289" s="410">
        <f>IFERROR(__xludf.DUMMYFUNCTION("""COMPUTED_VALUE"""),-823.75)</f>
        <v>-823.75</v>
      </c>
      <c r="D289" s="410" t="str">
        <f>IFERROR(__xludf.DUMMYFUNCTION("""COMPUTED_VALUE"""),"T5")</f>
        <v>T5</v>
      </c>
      <c r="E289" s="410" t="str">
        <f>IFERROR(__xludf.DUMMYFUNCTION("""COMPUTED_VALUE"""),"TNI0007")</f>
        <v>TNI0007</v>
      </c>
      <c r="F289" s="410" t="str">
        <f>IFERROR(__xludf.DUMMYFUNCTION("""COMPUTED_VALUE"""),"myt_minpaing.oo")</f>
        <v>myt_minpaing.oo</v>
      </c>
      <c r="H289" s="269"/>
      <c r="I289" s="269"/>
      <c r="J289" s="269"/>
      <c r="K289" s="269"/>
      <c r="L289" s="269"/>
      <c r="M289" s="269"/>
      <c r="N289" s="269"/>
      <c r="O289" s="269"/>
      <c r="P289" s="269"/>
      <c r="Q289" s="269"/>
      <c r="R289" s="269"/>
      <c r="S289" s="269"/>
      <c r="T289" s="269"/>
      <c r="U289" s="269"/>
      <c r="V289" s="269"/>
      <c r="W289" s="269"/>
      <c r="X289" s="269"/>
      <c r="Y289" s="269"/>
      <c r="Z289" s="269"/>
      <c r="AA289" s="269"/>
      <c r="AB289" s="269"/>
      <c r="AC289" s="269"/>
      <c r="AD289" s="269"/>
      <c r="AE289" s="269"/>
      <c r="AF289" s="269"/>
      <c r="AG289" s="269"/>
      <c r="AH289" s="269"/>
      <c r="AI289" s="269"/>
      <c r="AJ289" s="269"/>
      <c r="AK289" s="269"/>
      <c r="AL289" s="269"/>
      <c r="AM289" s="269"/>
      <c r="AN289" s="269"/>
      <c r="AO289" s="269"/>
      <c r="AP289" s="269"/>
      <c r="AQ289" s="269"/>
      <c r="AR289" s="269"/>
    </row>
    <row r="290">
      <c r="A290" s="410" t="str">
        <f>IFERROR(__xludf.DUMMYFUNCTION("""COMPUTED_VALUE"""),"WO_QLCTKT_20260509_123226303")</f>
        <v>WO_QLCTKT_20260509_123226303</v>
      </c>
      <c r="B290" s="410" t="str">
        <f>IFERROR(__xludf.DUMMYFUNCTION("""COMPUTED_VALUE"""),"TNI0159 MYT_Routine_Maintenance_Towerco_Station_VCM")</f>
        <v>TNI0159 MYT_Routine_Maintenance_Towerco_Station_VCM</v>
      </c>
      <c r="C290" s="410">
        <f>IFERROR(__xludf.DUMMYFUNCTION("""COMPUTED_VALUE"""),-256.95)</f>
        <v>-256.95</v>
      </c>
      <c r="D290" s="410" t="str">
        <f>IFERROR(__xludf.DUMMYFUNCTION("""COMPUTED_VALUE"""),"T5")</f>
        <v>T5</v>
      </c>
      <c r="E290" s="410" t="str">
        <f>IFERROR(__xludf.DUMMYFUNCTION("""COMPUTED_VALUE"""),"TNI0159")</f>
        <v>TNI0159</v>
      </c>
      <c r="F290" s="410" t="str">
        <f>IFERROR(__xludf.DUMMYFUNCTION("""COMPUTED_VALUE"""),"myt_minpaing.oo")</f>
        <v>myt_minpaing.oo</v>
      </c>
      <c r="H290" s="269"/>
      <c r="I290" s="269"/>
      <c r="J290" s="269"/>
      <c r="K290" s="269"/>
      <c r="L290" s="269"/>
      <c r="M290" s="269"/>
      <c r="N290" s="269"/>
      <c r="O290" s="269"/>
      <c r="P290" s="269"/>
      <c r="Q290" s="269"/>
      <c r="R290" s="269"/>
      <c r="S290" s="269"/>
      <c r="T290" s="269"/>
      <c r="U290" s="269"/>
      <c r="V290" s="269"/>
      <c r="W290" s="269"/>
      <c r="X290" s="269"/>
      <c r="Y290" s="269"/>
      <c r="Z290" s="269"/>
      <c r="AA290" s="269"/>
      <c r="AB290" s="269"/>
      <c r="AC290" s="269"/>
      <c r="AD290" s="269"/>
      <c r="AE290" s="269"/>
      <c r="AF290" s="269"/>
      <c r="AG290" s="269"/>
      <c r="AH290" s="269"/>
      <c r="AI290" s="269"/>
      <c r="AJ290" s="269"/>
      <c r="AK290" s="269"/>
      <c r="AL290" s="269"/>
      <c r="AM290" s="269"/>
      <c r="AN290" s="269"/>
      <c r="AO290" s="269"/>
      <c r="AP290" s="269"/>
      <c r="AQ290" s="269"/>
      <c r="AR290" s="269"/>
    </row>
    <row r="291">
      <c r="A291" s="410" t="str">
        <f>IFERROR(__xludf.DUMMYFUNCTION("""COMPUTED_VALUE"""),"WO_WFM-OTHERS_20260630_123682251")</f>
        <v>WO_WFM-OTHERS_20260630_123682251</v>
      </c>
      <c r="B291" s="410" t="str">
        <f>IFERROR(__xludf.DUMMYFUNCTION("""COMPUTED_VALUE"""),"IP : TNI0116SRT001-TNI0212SRT001 link down at 28/06/2026 16:37:00")</f>
        <v>IP : TNI0116SRT001-TNI0212SRT001 link down at 28/06/2026 16:37:00</v>
      </c>
      <c r="C291" s="410">
        <f>IFERROR(__xludf.DUMMYFUNCTION("""COMPUTED_VALUE"""),-17.45)</f>
        <v>-17.45</v>
      </c>
      <c r="D291" s="410" t="str">
        <f>IFERROR(__xludf.DUMMYFUNCTION("""COMPUTED_VALUE"""),"T3")</f>
        <v>T3</v>
      </c>
      <c r="E291" s="410" t="str">
        <f>IFERROR(__xludf.DUMMYFUNCTION("""COMPUTED_VALUE"""),"TNI0116")</f>
        <v>TNI0116</v>
      </c>
      <c r="F291" s="410" t="str">
        <f>IFERROR(__xludf.DUMMYFUNCTION("""COMPUTED_VALUE"""),"myt_myintkoko.aung")</f>
        <v>myt_myintkoko.aung</v>
      </c>
      <c r="H291" s="269"/>
      <c r="I291" s="269"/>
      <c r="J291" s="269"/>
      <c r="K291" s="269"/>
      <c r="L291" s="269"/>
      <c r="M291" s="269"/>
      <c r="N291" s="269"/>
      <c r="O291" s="269"/>
      <c r="P291" s="269"/>
      <c r="Q291" s="269"/>
      <c r="R291" s="269"/>
      <c r="S291" s="269"/>
      <c r="T291" s="269"/>
      <c r="U291" s="269"/>
      <c r="V291" s="269"/>
      <c r="W291" s="269"/>
      <c r="X291" s="269"/>
      <c r="Y291" s="269"/>
      <c r="Z291" s="269"/>
      <c r="AA291" s="269"/>
      <c r="AB291" s="269"/>
      <c r="AC291" s="269"/>
      <c r="AD291" s="269"/>
      <c r="AE291" s="269"/>
      <c r="AF291" s="269"/>
      <c r="AG291" s="269"/>
      <c r="AH291" s="269"/>
      <c r="AI291" s="269"/>
      <c r="AJ291" s="269"/>
      <c r="AK291" s="269"/>
      <c r="AL291" s="269"/>
      <c r="AM291" s="269"/>
      <c r="AN291" s="269"/>
      <c r="AO291" s="269"/>
      <c r="AP291" s="269"/>
      <c r="AQ291" s="269"/>
      <c r="AR291" s="269"/>
    </row>
    <row r="292">
      <c r="A292" s="410" t="str">
        <f>IFERROR(__xludf.DUMMYFUNCTION("""COMPUTED_VALUE"""),"WO_QLCTKT_20260624_123619140")</f>
        <v>WO_QLCTKT_20260624_123619140</v>
      </c>
      <c r="B292" s="410" t="str">
        <f>IFERROR(__xludf.DUMMYFUNCTION("""COMPUTED_VALUE"""),"TNI0212 MYT_Maintenance_Generator_Change_Oil - MYT_Maintenance_Generator_Change_Oil_Filter - MYT_Maintenance_Generator_Change_Fuel_Filter - MYT_Checking quality for DG Fuel")</f>
        <v>TNI0212 MYT_Maintenance_Generator_Change_Oil - MYT_Maintenance_Generator_Change_Oil_Filter - MYT_Maintenance_Generator_Change_Fuel_Filter - MYT_Checking quality for DG Fuel</v>
      </c>
      <c r="C292" s="410">
        <f>IFERROR(__xludf.DUMMYFUNCTION("""COMPUTED_VALUE"""),-64.95)</f>
        <v>-64.95</v>
      </c>
      <c r="D292" s="410" t="str">
        <f>IFERROR(__xludf.DUMMYFUNCTION("""COMPUTED_VALUE"""),"T3")</f>
        <v>T3</v>
      </c>
      <c r="E292" s="410" t="str">
        <f>IFERROR(__xludf.DUMMYFUNCTION("""COMPUTED_VALUE"""),"TNI0212: 12KVA")</f>
        <v>TNI0212: 12KVA</v>
      </c>
      <c r="F292" s="410" t="str">
        <f>IFERROR(__xludf.DUMMYFUNCTION("""COMPUTED_VALUE"""),"myt_myintkoko.aung")</f>
        <v>myt_myintkoko.aung</v>
      </c>
      <c r="H292" s="269"/>
      <c r="I292" s="269"/>
      <c r="J292" s="269"/>
      <c r="K292" s="269"/>
      <c r="L292" s="269"/>
      <c r="M292" s="269"/>
      <c r="N292" s="269"/>
      <c r="O292" s="269"/>
      <c r="P292" s="269"/>
      <c r="Q292" s="269"/>
      <c r="R292" s="269"/>
      <c r="S292" s="269"/>
      <c r="T292" s="269"/>
      <c r="U292" s="269"/>
      <c r="V292" s="269"/>
      <c r="W292" s="269"/>
      <c r="X292" s="269"/>
      <c r="Y292" s="269"/>
      <c r="Z292" s="269"/>
      <c r="AA292" s="269"/>
      <c r="AB292" s="269"/>
      <c r="AC292" s="269"/>
      <c r="AD292" s="269"/>
      <c r="AE292" s="269"/>
      <c r="AF292" s="269"/>
      <c r="AG292" s="269"/>
      <c r="AH292" s="269"/>
      <c r="AI292" s="269"/>
      <c r="AJ292" s="269"/>
      <c r="AK292" s="269"/>
      <c r="AL292" s="269"/>
      <c r="AM292" s="269"/>
      <c r="AN292" s="269"/>
      <c r="AO292" s="269"/>
      <c r="AP292" s="269"/>
      <c r="AQ292" s="269"/>
      <c r="AR292" s="269"/>
    </row>
    <row r="293">
      <c r="A293" s="410" t="str">
        <f>IFERROR(__xludf.DUMMYFUNCTION("""COMPUTED_VALUE"""),"WO_ICMS_20260623_123613515")</f>
        <v>WO_ICMS_20260623_123613515</v>
      </c>
      <c r="B293" s="410" t="str">
        <f>IFERROR(__xludf.DUMMYFUNCTION("""COMPUTED_VALUE"""),"TNI0004 MYT_Routine_Maintenance_Main_Station MYT_RTE_MTE_MAIN_STN")</f>
        <v>TNI0004 MYT_Routine_Maintenance_Main_Station MYT_RTE_MTE_MAIN_STN</v>
      </c>
      <c r="C293" s="410">
        <f>IFERROR(__xludf.DUMMYFUNCTION("""COMPUTED_VALUE"""),502.17)</f>
        <v>502.17</v>
      </c>
      <c r="D293" s="410" t="str">
        <f>IFERROR(__xludf.DUMMYFUNCTION("""COMPUTED_VALUE"""),"T3")</f>
        <v>T3</v>
      </c>
      <c r="E293" s="410" t="str">
        <f>IFERROR(__xludf.DUMMYFUNCTION("""COMPUTED_VALUE"""),"TNI0004")</f>
        <v>TNI0004</v>
      </c>
      <c r="F293" s="410" t="str">
        <f>IFERROR(__xludf.DUMMYFUNCTION("""COMPUTED_VALUE"""),"myt_myintkoko.aung")</f>
        <v>myt_myintkoko.aung</v>
      </c>
      <c r="H293" s="269"/>
      <c r="I293" s="269"/>
      <c r="J293" s="269"/>
      <c r="K293" s="269"/>
      <c r="L293" s="269"/>
      <c r="M293" s="269"/>
      <c r="N293" s="269"/>
      <c r="O293" s="269"/>
      <c r="P293" s="269"/>
      <c r="Q293" s="269"/>
      <c r="R293" s="269"/>
      <c r="S293" s="269"/>
      <c r="T293" s="269"/>
      <c r="U293" s="269"/>
      <c r="V293" s="269"/>
      <c r="W293" s="269"/>
      <c r="X293" s="269"/>
      <c r="Y293" s="269"/>
      <c r="Z293" s="269"/>
      <c r="AA293" s="269"/>
      <c r="AB293" s="269"/>
      <c r="AC293" s="269"/>
      <c r="AD293" s="269"/>
      <c r="AE293" s="269"/>
      <c r="AF293" s="269"/>
      <c r="AG293" s="269"/>
      <c r="AH293" s="269"/>
      <c r="AI293" s="269"/>
      <c r="AJ293" s="269"/>
      <c r="AK293" s="269"/>
      <c r="AL293" s="269"/>
      <c r="AM293" s="269"/>
      <c r="AN293" s="269"/>
      <c r="AO293" s="269"/>
      <c r="AP293" s="269"/>
      <c r="AQ293" s="269"/>
      <c r="AR293" s="269"/>
    </row>
    <row r="294">
      <c r="A294" s="410" t="str">
        <f>IFERROR(__xludf.DUMMYFUNCTION("""COMPUTED_VALUE"""),"WO_WFM-OTHERS_20260623_123613142")</f>
        <v>WO_WFM-OTHERS_20260623_123613142</v>
      </c>
      <c r="B294" s="410" t="str">
        <f>IFERROR(__xludf.DUMMYFUNCTION("""COMPUTED_VALUE"""),"Cable routes measure-AC-TNI0179-JB(TNI0004-TNI0010)")</f>
        <v>Cable routes measure-AC-TNI0179-JB(TNI0004-TNI0010)</v>
      </c>
      <c r="C294" s="410">
        <f>IFERROR(__xludf.DUMMYFUNCTION("""COMPUTED_VALUE"""),439.03)</f>
        <v>439.03</v>
      </c>
      <c r="D294" s="410" t="str">
        <f>IFERROR(__xludf.DUMMYFUNCTION("""COMPUTED_VALUE"""),"T3")</f>
        <v>T3</v>
      </c>
      <c r="E294" s="410" t="str">
        <f>IFERROR(__xludf.DUMMYFUNCTION("""COMPUTED_VALUE"""),"TNI0179")</f>
        <v>TNI0179</v>
      </c>
      <c r="F294" s="410" t="str">
        <f>IFERROR(__xludf.DUMMYFUNCTION("""COMPUTED_VALUE"""),"myt_myintkoko.aung")</f>
        <v>myt_myintkoko.aung</v>
      </c>
      <c r="H294" s="269"/>
      <c r="I294" s="269"/>
      <c r="J294" s="269"/>
      <c r="K294" s="269"/>
      <c r="L294" s="269"/>
      <c r="M294" s="269"/>
      <c r="N294" s="269"/>
      <c r="O294" s="269"/>
      <c r="P294" s="269"/>
      <c r="Q294" s="269"/>
      <c r="R294" s="269"/>
      <c r="S294" s="269"/>
      <c r="T294" s="269"/>
      <c r="U294" s="269"/>
      <c r="V294" s="269"/>
      <c r="W294" s="269"/>
      <c r="X294" s="269"/>
      <c r="Y294" s="269"/>
      <c r="Z294" s="269"/>
      <c r="AA294" s="269"/>
      <c r="AB294" s="269"/>
      <c r="AC294" s="269"/>
      <c r="AD294" s="269"/>
      <c r="AE294" s="269"/>
      <c r="AF294" s="269"/>
      <c r="AG294" s="269"/>
      <c r="AH294" s="269"/>
      <c r="AI294" s="269"/>
      <c r="AJ294" s="269"/>
      <c r="AK294" s="269"/>
      <c r="AL294" s="269"/>
      <c r="AM294" s="269"/>
      <c r="AN294" s="269"/>
      <c r="AO294" s="269"/>
      <c r="AP294" s="269"/>
      <c r="AQ294" s="269"/>
      <c r="AR294" s="269"/>
    </row>
    <row r="295">
      <c r="A295" s="410" t="str">
        <f>IFERROR(__xludf.DUMMYFUNCTION("""COMPUTED_VALUE"""),"WO_WFM-OTHERS_20260623_123613148")</f>
        <v>WO_WFM-OTHERS_20260623_123613148</v>
      </c>
      <c r="B295" s="410" t="str">
        <f>IFERROR(__xludf.DUMMYFUNCTION("""COMPUTED_VALUE"""),"Cable routes measure-AC-TNI0079-TNIM033")</f>
        <v>Cable routes measure-AC-TNI0079-TNIM033</v>
      </c>
      <c r="C295" s="410">
        <f>IFERROR(__xludf.DUMMYFUNCTION("""COMPUTED_VALUE"""),439.03)</f>
        <v>439.03</v>
      </c>
      <c r="D295" s="410" t="str">
        <f>IFERROR(__xludf.DUMMYFUNCTION("""COMPUTED_VALUE"""),"T3")</f>
        <v>T3</v>
      </c>
      <c r="E295" s="410" t="str">
        <f>IFERROR(__xludf.DUMMYFUNCTION("""COMPUTED_VALUE"""),"TNI0079")</f>
        <v>TNI0079</v>
      </c>
      <c r="F295" s="410" t="str">
        <f>IFERROR(__xludf.DUMMYFUNCTION("""COMPUTED_VALUE"""),"myt_myintkoko.aung")</f>
        <v>myt_myintkoko.aung</v>
      </c>
      <c r="H295" s="269"/>
      <c r="I295" s="269"/>
      <c r="J295" s="269"/>
      <c r="K295" s="269"/>
      <c r="L295" s="269"/>
      <c r="M295" s="269"/>
      <c r="N295" s="269"/>
      <c r="O295" s="269"/>
      <c r="P295" s="269"/>
      <c r="Q295" s="269"/>
      <c r="R295" s="269"/>
      <c r="S295" s="269"/>
      <c r="T295" s="269"/>
      <c r="U295" s="269"/>
      <c r="V295" s="269"/>
      <c r="W295" s="269"/>
      <c r="X295" s="269"/>
      <c r="Y295" s="269"/>
      <c r="Z295" s="269"/>
      <c r="AA295" s="269"/>
      <c r="AB295" s="269"/>
      <c r="AC295" s="269"/>
      <c r="AD295" s="269"/>
      <c r="AE295" s="269"/>
      <c r="AF295" s="269"/>
      <c r="AG295" s="269"/>
      <c r="AH295" s="269"/>
      <c r="AI295" s="269"/>
      <c r="AJ295" s="269"/>
      <c r="AK295" s="269"/>
      <c r="AL295" s="269"/>
      <c r="AM295" s="269"/>
      <c r="AN295" s="269"/>
      <c r="AO295" s="269"/>
      <c r="AP295" s="269"/>
      <c r="AQ295" s="269"/>
      <c r="AR295" s="269"/>
    </row>
    <row r="296">
      <c r="A296" s="410" t="str">
        <f>IFERROR(__xludf.DUMMYFUNCTION("""COMPUTED_VALUE"""),"WO_WFM-OTHERS_20260623_123612930")</f>
        <v>WO_WFM-OTHERS_20260623_123612930</v>
      </c>
      <c r="B296" s="410" t="str">
        <f>IFERROR(__xludf.DUMMYFUNCTION("""COMPUTED_VALUE"""),"Cable routes measure-AC-TNI0079-TNIM033")</f>
        <v>Cable routes measure-AC-TNI0079-TNIM033</v>
      </c>
      <c r="C296" s="410">
        <f>IFERROR(__xludf.DUMMYFUNCTION("""COMPUTED_VALUE"""),439.03)</f>
        <v>439.03</v>
      </c>
      <c r="D296" s="410" t="str">
        <f>IFERROR(__xludf.DUMMYFUNCTION("""COMPUTED_VALUE"""),"T3")</f>
        <v>T3</v>
      </c>
      <c r="E296" s="410" t="str">
        <f>IFERROR(__xludf.DUMMYFUNCTION("""COMPUTED_VALUE"""),"TNI0079")</f>
        <v>TNI0079</v>
      </c>
      <c r="F296" s="410" t="str">
        <f>IFERROR(__xludf.DUMMYFUNCTION("""COMPUTED_VALUE"""),"myt_myintkoko.aung")</f>
        <v>myt_myintkoko.aung</v>
      </c>
      <c r="H296" s="269"/>
      <c r="I296" s="269"/>
      <c r="J296" s="269"/>
      <c r="K296" s="269"/>
      <c r="L296" s="269"/>
      <c r="M296" s="269"/>
      <c r="N296" s="269"/>
      <c r="O296" s="269"/>
      <c r="P296" s="269"/>
      <c r="Q296" s="269"/>
      <c r="R296" s="269"/>
      <c r="S296" s="269"/>
      <c r="T296" s="269"/>
      <c r="U296" s="269"/>
      <c r="V296" s="269"/>
      <c r="W296" s="269"/>
      <c r="X296" s="269"/>
      <c r="Y296" s="269"/>
      <c r="Z296" s="269"/>
      <c r="AA296" s="269"/>
      <c r="AB296" s="269"/>
      <c r="AC296" s="269"/>
      <c r="AD296" s="269"/>
      <c r="AE296" s="269"/>
      <c r="AF296" s="269"/>
      <c r="AG296" s="269"/>
      <c r="AH296" s="269"/>
      <c r="AI296" s="269"/>
      <c r="AJ296" s="269"/>
      <c r="AK296" s="269"/>
      <c r="AL296" s="269"/>
      <c r="AM296" s="269"/>
      <c r="AN296" s="269"/>
      <c r="AO296" s="269"/>
      <c r="AP296" s="269"/>
      <c r="AQ296" s="269"/>
      <c r="AR296" s="269"/>
    </row>
    <row r="297">
      <c r="A297" s="410" t="str">
        <f>IFERROR(__xludf.DUMMYFUNCTION("""COMPUTED_VALUE"""),"WO_ICMS_20260623_123611286")</f>
        <v>WO_ICMS_20260623_123611286</v>
      </c>
      <c r="B297" s="410" t="str">
        <f>IFERROR(__xludf.DUMMYFUNCTION("""COMPUTED_VALUE"""),"TNI0103 MYT_Routine_Maintenance_Towerco_Station MYT_RTE_MTE_TCO_STN")</f>
        <v>TNI0103 MYT_Routine_Maintenance_Towerco_Station MYT_RTE_MTE_TCO_STN</v>
      </c>
      <c r="C297" s="410">
        <f>IFERROR(__xludf.DUMMYFUNCTION("""COMPUTED_VALUE"""),882.55)</f>
        <v>882.55</v>
      </c>
      <c r="D297" s="410" t="str">
        <f>IFERROR(__xludf.DUMMYFUNCTION("""COMPUTED_VALUE"""),"T3")</f>
        <v>T3</v>
      </c>
      <c r="E297" s="410" t="str">
        <f>IFERROR(__xludf.DUMMYFUNCTION("""COMPUTED_VALUE"""),"TNI0103")</f>
        <v>TNI0103</v>
      </c>
      <c r="F297" s="410" t="str">
        <f>IFERROR(__xludf.DUMMYFUNCTION("""COMPUTED_VALUE"""),"myt_myintkoko.aung")</f>
        <v>myt_myintkoko.aung</v>
      </c>
      <c r="H297" s="269"/>
      <c r="I297" s="269"/>
      <c r="J297" s="269"/>
      <c r="K297" s="269"/>
      <c r="L297" s="269"/>
      <c r="M297" s="269"/>
      <c r="N297" s="269"/>
      <c r="O297" s="269"/>
      <c r="P297" s="269"/>
      <c r="Q297" s="269"/>
      <c r="R297" s="269"/>
      <c r="S297" s="269"/>
      <c r="T297" s="269"/>
      <c r="U297" s="269"/>
      <c r="V297" s="269"/>
      <c r="W297" s="269"/>
      <c r="X297" s="269"/>
      <c r="Y297" s="269"/>
      <c r="Z297" s="269"/>
      <c r="AA297" s="269"/>
      <c r="AB297" s="269"/>
      <c r="AC297" s="269"/>
      <c r="AD297" s="269"/>
      <c r="AE297" s="269"/>
      <c r="AF297" s="269"/>
      <c r="AG297" s="269"/>
      <c r="AH297" s="269"/>
      <c r="AI297" s="269"/>
      <c r="AJ297" s="269"/>
      <c r="AK297" s="269"/>
      <c r="AL297" s="269"/>
      <c r="AM297" s="269"/>
      <c r="AN297" s="269"/>
      <c r="AO297" s="269"/>
      <c r="AP297" s="269"/>
      <c r="AQ297" s="269"/>
      <c r="AR297" s="269"/>
    </row>
    <row r="298">
      <c r="A298" s="410" t="str">
        <f>IFERROR(__xludf.DUMMYFUNCTION("""COMPUTED_VALUE"""),"WO_ICMS_20260623_123611285")</f>
        <v>WO_ICMS_20260623_123611285</v>
      </c>
      <c r="B298" s="410" t="str">
        <f>IFERROR(__xludf.DUMMYFUNCTION("""COMPUTED_VALUE"""),"TNI0105 MYT_Routine_Maintenance_Towerco_Station MYT_RTE_MTE_TCO_STN")</f>
        <v>TNI0105 MYT_Routine_Maintenance_Towerco_Station MYT_RTE_MTE_TCO_STN</v>
      </c>
      <c r="C298" s="410">
        <f>IFERROR(__xludf.DUMMYFUNCTION("""COMPUTED_VALUE"""),882.55)</f>
        <v>882.55</v>
      </c>
      <c r="D298" s="410" t="str">
        <f>IFERROR(__xludf.DUMMYFUNCTION("""COMPUTED_VALUE"""),"T3")</f>
        <v>T3</v>
      </c>
      <c r="E298" s="410" t="str">
        <f>IFERROR(__xludf.DUMMYFUNCTION("""COMPUTED_VALUE"""),"TNI0105")</f>
        <v>TNI0105</v>
      </c>
      <c r="F298" s="410" t="str">
        <f>IFERROR(__xludf.DUMMYFUNCTION("""COMPUTED_VALUE"""),"myt_myintkoko.aung")</f>
        <v>myt_myintkoko.aung</v>
      </c>
      <c r="H298" s="269"/>
      <c r="I298" s="269"/>
      <c r="J298" s="269"/>
      <c r="K298" s="269"/>
      <c r="L298" s="269"/>
      <c r="M298" s="269"/>
      <c r="N298" s="269"/>
      <c r="O298" s="269"/>
      <c r="P298" s="269"/>
      <c r="Q298" s="269"/>
      <c r="R298" s="269"/>
      <c r="S298" s="269"/>
      <c r="T298" s="269"/>
      <c r="U298" s="269"/>
      <c r="V298" s="269"/>
      <c r="W298" s="269"/>
      <c r="X298" s="269"/>
      <c r="Y298" s="269"/>
      <c r="Z298" s="269"/>
      <c r="AA298" s="269"/>
      <c r="AB298" s="269"/>
      <c r="AC298" s="269"/>
      <c r="AD298" s="269"/>
      <c r="AE298" s="269"/>
      <c r="AF298" s="269"/>
      <c r="AG298" s="269"/>
      <c r="AH298" s="269"/>
      <c r="AI298" s="269"/>
      <c r="AJ298" s="269"/>
      <c r="AK298" s="269"/>
      <c r="AL298" s="269"/>
      <c r="AM298" s="269"/>
      <c r="AN298" s="269"/>
      <c r="AO298" s="269"/>
      <c r="AP298" s="269"/>
      <c r="AQ298" s="269"/>
      <c r="AR298" s="269"/>
    </row>
    <row r="299">
      <c r="A299" s="410" t="str">
        <f>IFERROR(__xludf.DUMMYFUNCTION("""COMPUTED_VALUE"""),"WO_QLCTKT_20260619_123565988")</f>
        <v>WO_QLCTKT_20260619_123565988</v>
      </c>
      <c r="B299" s="410" t="str">
        <f>IFERROR(__xludf.DUMMYFUNCTION("""COMPUTED_VALUE"""),"TNI0004 MYT_Routine_Maintenance_Main_Station_VCM")</f>
        <v>TNI0004 MYT_Routine_Maintenance_Main_Station_VCM</v>
      </c>
      <c r="C299" s="410">
        <f>IFERROR(__xludf.DUMMYFUNCTION("""COMPUTED_VALUE"""),247.05)</f>
        <v>247.05</v>
      </c>
      <c r="D299" s="410" t="str">
        <f>IFERROR(__xludf.DUMMYFUNCTION("""COMPUTED_VALUE"""),"T3")</f>
        <v>T3</v>
      </c>
      <c r="E299" s="410" t="str">
        <f>IFERROR(__xludf.DUMMYFUNCTION("""COMPUTED_VALUE"""),"TNI0004")</f>
        <v>TNI0004</v>
      </c>
      <c r="F299" s="410" t="str">
        <f>IFERROR(__xludf.DUMMYFUNCTION("""COMPUTED_VALUE"""),"myt_myintkoko.aung")</f>
        <v>myt_myintkoko.aung</v>
      </c>
      <c r="H299" s="269"/>
      <c r="I299" s="269"/>
      <c r="J299" s="269"/>
      <c r="K299" s="269"/>
      <c r="L299" s="269"/>
      <c r="M299" s="269"/>
      <c r="N299" s="269"/>
      <c r="O299" s="269"/>
      <c r="P299" s="269"/>
      <c r="Q299" s="269"/>
      <c r="R299" s="269"/>
      <c r="S299" s="269"/>
      <c r="T299" s="269"/>
      <c r="U299" s="269"/>
      <c r="V299" s="269"/>
      <c r="W299" s="269"/>
      <c r="X299" s="269"/>
      <c r="Y299" s="269"/>
      <c r="Z299" s="269"/>
      <c r="AA299" s="269"/>
      <c r="AB299" s="269"/>
      <c r="AC299" s="269"/>
      <c r="AD299" s="269"/>
      <c r="AE299" s="269"/>
      <c r="AF299" s="269"/>
      <c r="AG299" s="269"/>
      <c r="AH299" s="269"/>
      <c r="AI299" s="269"/>
      <c r="AJ299" s="269"/>
      <c r="AK299" s="269"/>
      <c r="AL299" s="269"/>
      <c r="AM299" s="269"/>
      <c r="AN299" s="269"/>
      <c r="AO299" s="269"/>
      <c r="AP299" s="269"/>
      <c r="AQ299" s="269"/>
      <c r="AR299" s="269"/>
    </row>
    <row r="300">
      <c r="A300" s="410" t="str">
        <f>IFERROR(__xludf.DUMMYFUNCTION("""COMPUTED_VALUE"""),"WO_QLCTKT_20260529_123389868")</f>
        <v>WO_QLCTKT_20260529_123389868</v>
      </c>
      <c r="B300" s="410" t="str">
        <f>IFERROR(__xludf.DUMMYFUNCTION("""COMPUTED_VALUE"""),"TNI0257 MYT_Routine_Maintenance_Mytel_Station_VCM")</f>
        <v>TNI0257 MYT_Routine_Maintenance_Mytel_Station_VCM</v>
      </c>
      <c r="C300" s="410">
        <f>IFERROR(__xludf.DUMMYFUNCTION("""COMPUTED_VALUE"""),223.05)</f>
        <v>223.05</v>
      </c>
      <c r="D300" s="410" t="str">
        <f>IFERROR(__xludf.DUMMYFUNCTION("""COMPUTED_VALUE"""),"T1")</f>
        <v>T1</v>
      </c>
      <c r="E300" s="410" t="str">
        <f>IFERROR(__xludf.DUMMYFUNCTION("""COMPUTED_VALUE"""),"TNI0257")</f>
        <v>TNI0257</v>
      </c>
      <c r="F300" s="410" t="str">
        <f>IFERROR(__xludf.DUMMYFUNCTION("""COMPUTED_VALUE"""),"myt_myothant.htoo")</f>
        <v>myt_myothant.htoo</v>
      </c>
      <c r="H300" s="269"/>
      <c r="I300" s="269"/>
      <c r="J300" s="269"/>
      <c r="K300" s="269"/>
      <c r="L300" s="269"/>
      <c r="M300" s="269"/>
      <c r="N300" s="269"/>
      <c r="O300" s="269"/>
      <c r="P300" s="269"/>
      <c r="Q300" s="269"/>
      <c r="R300" s="269"/>
      <c r="S300" s="269"/>
      <c r="T300" s="269"/>
      <c r="U300" s="269"/>
      <c r="V300" s="269"/>
      <c r="W300" s="269"/>
      <c r="X300" s="269"/>
      <c r="Y300" s="269"/>
      <c r="Z300" s="269"/>
      <c r="AA300" s="269"/>
      <c r="AB300" s="269"/>
      <c r="AC300" s="269"/>
      <c r="AD300" s="269"/>
      <c r="AE300" s="269"/>
      <c r="AF300" s="269"/>
      <c r="AG300" s="269"/>
      <c r="AH300" s="269"/>
      <c r="AI300" s="269"/>
      <c r="AJ300" s="269"/>
      <c r="AK300" s="269"/>
      <c r="AL300" s="269"/>
      <c r="AM300" s="269"/>
      <c r="AN300" s="269"/>
      <c r="AO300" s="269"/>
      <c r="AP300" s="269"/>
      <c r="AQ300" s="269"/>
      <c r="AR300" s="269"/>
    </row>
    <row r="301">
      <c r="A301" s="410" t="str">
        <f>IFERROR(__xludf.DUMMYFUNCTION("""COMPUTED_VALUE"""),"WO_QLCTKT_20260521_123326056")</f>
        <v>WO_QLCTKT_20260521_123326056</v>
      </c>
      <c r="B301" s="410" t="str">
        <f>IFERROR(__xludf.DUMMYFUNCTION("""COMPUTED_VALUE"""),"TNI0247 - Repair infrastructure - bla: Cleaning the station, remove grass, vines, tree, rubbish, recall unused equipment, material: Clean the station")</f>
        <v>TNI0247 - Repair infrastructure - bla: Cleaning the station, remove grass, vines, tree, rubbish, recall unused equipment, material: Clean the station</v>
      </c>
      <c r="C301" s="410">
        <f>IFERROR(__xludf.DUMMYFUNCTION("""COMPUTED_VALUE"""),-848.21)</f>
        <v>-848.21</v>
      </c>
      <c r="D301" s="410" t="str">
        <f>IFERROR(__xludf.DUMMYFUNCTION("""COMPUTED_VALUE"""),"T1")</f>
        <v>T1</v>
      </c>
      <c r="E301" s="410" t="str">
        <f>IFERROR(__xludf.DUMMYFUNCTION("""COMPUTED_VALUE"""),"TNI0247")</f>
        <v>TNI0247</v>
      </c>
      <c r="F301" s="410" t="str">
        <f>IFERROR(__xludf.DUMMYFUNCTION("""COMPUTED_VALUE"""),"myt_myothant.htoo")</f>
        <v>myt_myothant.htoo</v>
      </c>
      <c r="H301" s="269"/>
      <c r="I301" s="269"/>
      <c r="J301" s="269"/>
      <c r="K301" s="269"/>
      <c r="L301" s="269"/>
      <c r="M301" s="269"/>
      <c r="N301" s="269"/>
      <c r="O301" s="269"/>
      <c r="P301" s="269"/>
      <c r="Q301" s="269"/>
      <c r="R301" s="269"/>
      <c r="S301" s="269"/>
      <c r="T301" s="269"/>
      <c r="U301" s="269"/>
      <c r="V301" s="269"/>
      <c r="W301" s="269"/>
      <c r="X301" s="269"/>
      <c r="Y301" s="269"/>
      <c r="Z301" s="269"/>
      <c r="AA301" s="269"/>
      <c r="AB301" s="269"/>
      <c r="AC301" s="269"/>
      <c r="AD301" s="269"/>
      <c r="AE301" s="269"/>
      <c r="AF301" s="269"/>
      <c r="AG301" s="269"/>
      <c r="AH301" s="269"/>
      <c r="AI301" s="269"/>
      <c r="AJ301" s="269"/>
      <c r="AK301" s="269"/>
      <c r="AL301" s="269"/>
      <c r="AM301" s="269"/>
      <c r="AN301" s="269"/>
      <c r="AO301" s="269"/>
      <c r="AP301" s="269"/>
      <c r="AQ301" s="269"/>
      <c r="AR301" s="269"/>
    </row>
    <row r="302">
      <c r="A302" s="410" t="str">
        <f>IFERROR(__xludf.DUMMYFUNCTION("""COMPUTED_VALUE"""),"WO_QLCTKT_20260509_123226338")</f>
        <v>WO_QLCTKT_20260509_123226338</v>
      </c>
      <c r="B302" s="410" t="str">
        <f>IFERROR(__xludf.DUMMYFUNCTION("""COMPUTED_VALUE"""),"TNI0197 MYT_Routine_Maintenance_Towerco_Station_VCM")</f>
        <v>TNI0197 MYT_Routine_Maintenance_Towerco_Station_VCM</v>
      </c>
      <c r="C302" s="410">
        <f>IFERROR(__xludf.DUMMYFUNCTION("""COMPUTED_VALUE"""),-256.95)</f>
        <v>-256.95</v>
      </c>
      <c r="D302" s="410" t="str">
        <f>IFERROR(__xludf.DUMMYFUNCTION("""COMPUTED_VALUE"""),"T1")</f>
        <v>T1</v>
      </c>
      <c r="E302" s="410" t="str">
        <f>IFERROR(__xludf.DUMMYFUNCTION("""COMPUTED_VALUE"""),"TNI0197")</f>
        <v>TNI0197</v>
      </c>
      <c r="F302" s="410" t="str">
        <f>IFERROR(__xludf.DUMMYFUNCTION("""COMPUTED_VALUE"""),"myt_myothant.htoo")</f>
        <v>myt_myothant.htoo</v>
      </c>
      <c r="H302" s="269"/>
      <c r="I302" s="269"/>
      <c r="J302" s="269"/>
      <c r="K302" s="269"/>
      <c r="L302" s="269"/>
      <c r="M302" s="269"/>
      <c r="N302" s="269"/>
      <c r="O302" s="269"/>
      <c r="P302" s="269"/>
      <c r="Q302" s="269"/>
      <c r="R302" s="269"/>
      <c r="S302" s="269"/>
      <c r="T302" s="269"/>
      <c r="U302" s="269"/>
      <c r="V302" s="269"/>
      <c r="W302" s="269"/>
      <c r="X302" s="269"/>
      <c r="Y302" s="269"/>
      <c r="Z302" s="269"/>
      <c r="AA302" s="269"/>
      <c r="AB302" s="269"/>
      <c r="AC302" s="269"/>
      <c r="AD302" s="269"/>
      <c r="AE302" s="269"/>
      <c r="AF302" s="269"/>
      <c r="AG302" s="269"/>
      <c r="AH302" s="269"/>
      <c r="AI302" s="269"/>
      <c r="AJ302" s="269"/>
      <c r="AK302" s="269"/>
      <c r="AL302" s="269"/>
      <c r="AM302" s="269"/>
      <c r="AN302" s="269"/>
      <c r="AO302" s="269"/>
      <c r="AP302" s="269"/>
      <c r="AQ302" s="269"/>
      <c r="AR302" s="269"/>
    </row>
    <row r="303">
      <c r="A303" s="410" t="str">
        <f>IFERROR(__xludf.DUMMYFUNCTION("""COMPUTED_VALUE"""),"WO_QLCTKT_20260408_122933272")</f>
        <v>WO_QLCTKT_20260408_122933272</v>
      </c>
      <c r="B303" s="410" t="str">
        <f>IFERROR(__xludf.DUMMYFUNCTION("""COMPUTED_VALUE"""),"TNI0208 MYT_Routine_Maintenance_Towerco_Station_VCM")</f>
        <v>TNI0208 MYT_Routine_Maintenance_Towerco_Station_VCM</v>
      </c>
      <c r="C303" s="410">
        <f>IFERROR(__xludf.DUMMYFUNCTION("""COMPUTED_VALUE"""),-1000.95)</f>
        <v>-1000.95</v>
      </c>
      <c r="D303" s="410" t="str">
        <f>IFERROR(__xludf.DUMMYFUNCTION("""COMPUTED_VALUE"""),"T1")</f>
        <v>T1</v>
      </c>
      <c r="E303" s="410" t="str">
        <f>IFERROR(__xludf.DUMMYFUNCTION("""COMPUTED_VALUE"""),"TNI0208")</f>
        <v>TNI0208</v>
      </c>
      <c r="F303" s="410" t="str">
        <f>IFERROR(__xludf.DUMMYFUNCTION("""COMPUTED_VALUE"""),"myt_myothant.htoo")</f>
        <v>myt_myothant.htoo</v>
      </c>
      <c r="H303" s="269"/>
      <c r="I303" s="269"/>
      <c r="J303" s="269"/>
      <c r="K303" s="269"/>
      <c r="L303" s="269"/>
      <c r="M303" s="269"/>
      <c r="N303" s="269"/>
      <c r="O303" s="269"/>
      <c r="P303" s="269"/>
      <c r="Q303" s="269"/>
      <c r="R303" s="269"/>
      <c r="S303" s="269"/>
      <c r="T303" s="269"/>
      <c r="U303" s="269"/>
      <c r="V303" s="269"/>
      <c r="W303" s="269"/>
      <c r="X303" s="269"/>
      <c r="Y303" s="269"/>
      <c r="Z303" s="269"/>
      <c r="AA303" s="269"/>
      <c r="AB303" s="269"/>
      <c r="AC303" s="269"/>
      <c r="AD303" s="269"/>
      <c r="AE303" s="269"/>
      <c r="AF303" s="269"/>
      <c r="AG303" s="269"/>
      <c r="AH303" s="269"/>
      <c r="AI303" s="269"/>
      <c r="AJ303" s="269"/>
      <c r="AK303" s="269"/>
      <c r="AL303" s="269"/>
      <c r="AM303" s="269"/>
      <c r="AN303" s="269"/>
      <c r="AO303" s="269"/>
      <c r="AP303" s="269"/>
      <c r="AQ303" s="269"/>
      <c r="AR303" s="269"/>
    </row>
    <row r="304">
      <c r="A304" s="410" t="str">
        <f>IFERROR(__xludf.DUMMYFUNCTION("""COMPUTED_VALUE"""),"WO_QLCTKT_20260408_122931892")</f>
        <v>WO_QLCTKT_20260408_122931892</v>
      </c>
      <c r="B304" s="410" t="str">
        <f>IFERROR(__xludf.DUMMYFUNCTION("""COMPUTED_VALUE"""),"TNI0264_01 MYT_Routine_Maintenance_Towerco_Station_VCM")</f>
        <v>TNI0264_01 MYT_Routine_Maintenance_Towerco_Station_VCM</v>
      </c>
      <c r="C304" s="410">
        <f>IFERROR(__xludf.DUMMYFUNCTION("""COMPUTED_VALUE"""),-1000.95)</f>
        <v>-1000.95</v>
      </c>
      <c r="D304" s="410" t="str">
        <f>IFERROR(__xludf.DUMMYFUNCTION("""COMPUTED_VALUE"""),"T1")</f>
        <v>T1</v>
      </c>
      <c r="E304" s="410" t="str">
        <f>IFERROR(__xludf.DUMMYFUNCTION("""COMPUTED_VALUE"""),"TNI0264")</f>
        <v>TNI0264</v>
      </c>
      <c r="F304" s="410" t="str">
        <f>IFERROR(__xludf.DUMMYFUNCTION("""COMPUTED_VALUE"""),"myt_myothant.htoo")</f>
        <v>myt_myothant.htoo</v>
      </c>
      <c r="H304" s="269"/>
      <c r="I304" s="269"/>
      <c r="J304" s="269"/>
      <c r="K304" s="269"/>
      <c r="L304" s="269"/>
      <c r="M304" s="269"/>
      <c r="N304" s="269"/>
      <c r="O304" s="269"/>
      <c r="P304" s="269"/>
      <c r="Q304" s="269"/>
      <c r="R304" s="269"/>
      <c r="S304" s="269"/>
      <c r="T304" s="269"/>
      <c r="U304" s="269"/>
      <c r="V304" s="269"/>
      <c r="W304" s="269"/>
      <c r="X304" s="269"/>
      <c r="Y304" s="269"/>
      <c r="Z304" s="269"/>
      <c r="AA304" s="269"/>
      <c r="AB304" s="269"/>
      <c r="AC304" s="269"/>
      <c r="AD304" s="269"/>
      <c r="AE304" s="269"/>
      <c r="AF304" s="269"/>
      <c r="AG304" s="269"/>
      <c r="AH304" s="269"/>
      <c r="AI304" s="269"/>
      <c r="AJ304" s="269"/>
      <c r="AK304" s="269"/>
      <c r="AL304" s="269"/>
      <c r="AM304" s="269"/>
      <c r="AN304" s="269"/>
      <c r="AO304" s="269"/>
      <c r="AP304" s="269"/>
      <c r="AQ304" s="269"/>
      <c r="AR304" s="269"/>
    </row>
    <row r="305">
      <c r="A305" s="410" t="str">
        <f>IFERROR(__xludf.DUMMYFUNCTION("""COMPUTED_VALUE"""),"WO_QLCTKT_20260330_122772199")</f>
        <v>WO_QLCTKT_20260330_122772199</v>
      </c>
      <c r="B305" s="410" t="str">
        <f>IFERROR(__xludf.DUMMYFUNCTION("""COMPUTED_VALUE"""),"TNI0257 MYT_Routine_Maintenance_Mytel_Station_VCM")</f>
        <v>TNI0257 MYT_Routine_Maintenance_Mytel_Station_VCM</v>
      </c>
      <c r="C305" s="410">
        <f>IFERROR(__xludf.DUMMYFUNCTION("""COMPUTED_VALUE"""),-1100.45)</f>
        <v>-1100.45</v>
      </c>
      <c r="D305" s="410" t="str">
        <f>IFERROR(__xludf.DUMMYFUNCTION("""COMPUTED_VALUE"""),"T1")</f>
        <v>T1</v>
      </c>
      <c r="E305" s="410" t="str">
        <f>IFERROR(__xludf.DUMMYFUNCTION("""COMPUTED_VALUE"""),"TNI0257")</f>
        <v>TNI0257</v>
      </c>
      <c r="F305" s="410" t="str">
        <f>IFERROR(__xludf.DUMMYFUNCTION("""COMPUTED_VALUE"""),"myt_myothant.htoo")</f>
        <v>myt_myothant.htoo</v>
      </c>
      <c r="H305" s="269"/>
      <c r="I305" s="269"/>
      <c r="J305" s="269"/>
      <c r="K305" s="269"/>
      <c r="L305" s="269"/>
      <c r="M305" s="269"/>
      <c r="N305" s="269"/>
      <c r="O305" s="269"/>
      <c r="P305" s="269"/>
      <c r="Q305" s="269"/>
      <c r="R305" s="269"/>
      <c r="S305" s="269"/>
      <c r="T305" s="269"/>
      <c r="U305" s="269"/>
      <c r="V305" s="269"/>
      <c r="W305" s="269"/>
      <c r="X305" s="269"/>
      <c r="Y305" s="269"/>
      <c r="Z305" s="269"/>
      <c r="AA305" s="269"/>
      <c r="AB305" s="269"/>
      <c r="AC305" s="269"/>
      <c r="AD305" s="269"/>
      <c r="AE305" s="269"/>
      <c r="AF305" s="269"/>
      <c r="AG305" s="269"/>
      <c r="AH305" s="269"/>
      <c r="AI305" s="269"/>
      <c r="AJ305" s="269"/>
      <c r="AK305" s="269"/>
      <c r="AL305" s="269"/>
      <c r="AM305" s="269"/>
      <c r="AN305" s="269"/>
      <c r="AO305" s="269"/>
      <c r="AP305" s="269"/>
      <c r="AQ305" s="269"/>
      <c r="AR305" s="269"/>
    </row>
    <row r="306">
      <c r="A306" s="410" t="str">
        <f>IFERROR(__xludf.DUMMYFUNCTION("""COMPUTED_VALUE"""),"WO_QLCTKT_20260408_122933921")</f>
        <v>WO_QLCTKT_20260408_122933921</v>
      </c>
      <c r="B306" s="410" t="str">
        <f>IFERROR(__xludf.DUMMYFUNCTION("""COMPUTED_VALUE"""),"TNI0320 MYT_Routine_Maintenance_Towerco_Station_VCM")</f>
        <v>TNI0320 MYT_Routine_Maintenance_Towerco_Station_VCM</v>
      </c>
      <c r="C306" s="410">
        <f>IFERROR(__xludf.DUMMYFUNCTION("""COMPUTED_VALUE"""),-1000.95)</f>
        <v>-1000.95</v>
      </c>
      <c r="D306" s="410" t="str">
        <f>IFERROR(__xludf.DUMMYFUNCTION("""COMPUTED_VALUE"""),"T4")</f>
        <v>T4</v>
      </c>
      <c r="E306" s="410" t="str">
        <f>IFERROR(__xludf.DUMMYFUNCTION("""COMPUTED_VALUE"""),"TNI0320")</f>
        <v>TNI0320</v>
      </c>
      <c r="F306" s="410" t="str">
        <f>IFERROR(__xludf.DUMMYFUNCTION("""COMPUTED_VALUE"""),"myt_naingmyo.htun")</f>
        <v>myt_naingmyo.htun</v>
      </c>
      <c r="H306" s="269"/>
      <c r="I306" s="269"/>
      <c r="J306" s="269"/>
      <c r="K306" s="269"/>
      <c r="L306" s="269"/>
      <c r="M306" s="269"/>
      <c r="N306" s="269"/>
      <c r="O306" s="269"/>
      <c r="P306" s="269"/>
      <c r="Q306" s="269"/>
      <c r="R306" s="269"/>
      <c r="S306" s="269"/>
      <c r="T306" s="269"/>
      <c r="U306" s="269"/>
      <c r="V306" s="269"/>
      <c r="W306" s="269"/>
      <c r="X306" s="269"/>
      <c r="Y306" s="269"/>
      <c r="Z306" s="269"/>
      <c r="AA306" s="269"/>
      <c r="AB306" s="269"/>
      <c r="AC306" s="269"/>
      <c r="AD306" s="269"/>
      <c r="AE306" s="269"/>
      <c r="AF306" s="269"/>
      <c r="AG306" s="269"/>
      <c r="AH306" s="269"/>
      <c r="AI306" s="269"/>
      <c r="AJ306" s="269"/>
      <c r="AK306" s="269"/>
      <c r="AL306" s="269"/>
      <c r="AM306" s="269"/>
      <c r="AN306" s="269"/>
      <c r="AO306" s="269"/>
      <c r="AP306" s="269"/>
      <c r="AQ306" s="269"/>
      <c r="AR306" s="269"/>
    </row>
    <row r="307">
      <c r="A307" s="410" t="str">
        <f>IFERROR(__xludf.DUMMYFUNCTION("""COMPUTED_VALUE"""),"WO_WFM-OTHERS_20260606_123460685")</f>
        <v>WO_WFM-OTHERS_20260606_123460685</v>
      </c>
      <c r="B307" s="410" t="str">
        <f>IFERROR(__xludf.DUMMYFUNCTION("""COMPUTED_VALUE"""),"IP : TNI0003SRT001-TNI0029SRT001 link down at 06/06/2026 11:40:00")</f>
        <v>IP : TNI0003SRT001-TNI0029SRT001 link down at 06/06/2026 11:40:00</v>
      </c>
      <c r="C307" s="410">
        <f>IFERROR(__xludf.DUMMYFUNCTION("""COMPUTED_VALUE"""),-594.45)</f>
        <v>-594.45</v>
      </c>
      <c r="D307" s="410" t="str">
        <f>IFERROR(__xludf.DUMMYFUNCTION("""COMPUTED_VALUE"""),"T2")</f>
        <v>T2</v>
      </c>
      <c r="E307" s="410" t="str">
        <f>IFERROR(__xludf.DUMMYFUNCTION("""COMPUTED_VALUE"""),"TNI0003")</f>
        <v>TNI0003</v>
      </c>
      <c r="F307" s="410" t="str">
        <f>IFERROR(__xludf.DUMMYFUNCTION("""COMPUTED_VALUE"""),"myt_naymyo.thu")</f>
        <v>myt_naymyo.thu</v>
      </c>
      <c r="H307" s="269"/>
      <c r="I307" s="269"/>
      <c r="J307" s="269"/>
      <c r="K307" s="269"/>
      <c r="L307" s="269"/>
      <c r="M307" s="269"/>
      <c r="N307" s="269"/>
      <c r="O307" s="269"/>
      <c r="P307" s="269"/>
      <c r="Q307" s="269"/>
      <c r="R307" s="269"/>
      <c r="S307" s="269"/>
      <c r="T307" s="269"/>
      <c r="U307" s="269"/>
      <c r="V307" s="269"/>
      <c r="W307" s="269"/>
      <c r="X307" s="269"/>
      <c r="Y307" s="269"/>
      <c r="Z307" s="269"/>
      <c r="AA307" s="269"/>
      <c r="AB307" s="269"/>
      <c r="AC307" s="269"/>
      <c r="AD307" s="269"/>
      <c r="AE307" s="269"/>
      <c r="AF307" s="269"/>
      <c r="AG307" s="269"/>
      <c r="AH307" s="269"/>
      <c r="AI307" s="269"/>
      <c r="AJ307" s="269"/>
      <c r="AK307" s="269"/>
      <c r="AL307" s="269"/>
      <c r="AM307" s="269"/>
      <c r="AN307" s="269"/>
      <c r="AO307" s="269"/>
      <c r="AP307" s="269"/>
      <c r="AQ307" s="269"/>
      <c r="AR307" s="269"/>
    </row>
    <row r="308">
      <c r="A308" s="410" t="str">
        <f>IFERROR(__xludf.DUMMYFUNCTION("""COMPUTED_VALUE"""),"WO_WFM-OTHERS_20260523_123346425")</f>
        <v>WO_WFM-OTHERS_20260523_123346425</v>
      </c>
      <c r="B308" s="410" t="str">
        <f>IFERROR(__xludf.DUMMYFUNCTION("""COMPUTED_VALUE"""),"IP : TNI0001AGG001-TNI0258SRT001 link down at 22/05/2026 18:58:00")</f>
        <v>IP : TNI0001AGG001-TNI0258SRT001 link down at 22/05/2026 18:58:00</v>
      </c>
      <c r="C308" s="410">
        <f>IFERROR(__xludf.DUMMYFUNCTION("""COMPUTED_VALUE"""),-930.45)</f>
        <v>-930.45</v>
      </c>
      <c r="D308" s="410" t="str">
        <f>IFERROR(__xludf.DUMMYFUNCTION("""COMPUTED_VALUE"""),"T2")</f>
        <v>T2</v>
      </c>
      <c r="E308" s="410" t="str">
        <f>IFERROR(__xludf.DUMMYFUNCTION("""COMPUTED_VALUE"""),"TNI0001")</f>
        <v>TNI0001</v>
      </c>
      <c r="F308" s="410" t="str">
        <f>IFERROR(__xludf.DUMMYFUNCTION("""COMPUTED_VALUE"""),"myt_naymyo.thu")</f>
        <v>myt_naymyo.thu</v>
      </c>
      <c r="H308" s="269"/>
      <c r="I308" s="269"/>
      <c r="J308" s="269"/>
      <c r="K308" s="269"/>
      <c r="L308" s="269"/>
      <c r="M308" s="269"/>
      <c r="N308" s="269"/>
      <c r="O308" s="269"/>
      <c r="P308" s="269"/>
      <c r="Q308" s="269"/>
      <c r="R308" s="269"/>
      <c r="S308" s="269"/>
      <c r="T308" s="269"/>
      <c r="U308" s="269"/>
      <c r="V308" s="269"/>
      <c r="W308" s="269"/>
      <c r="X308" s="269"/>
      <c r="Y308" s="269"/>
      <c r="Z308" s="269"/>
      <c r="AA308" s="269"/>
      <c r="AB308" s="269"/>
      <c r="AC308" s="269"/>
      <c r="AD308" s="269"/>
      <c r="AE308" s="269"/>
      <c r="AF308" s="269"/>
      <c r="AG308" s="269"/>
      <c r="AH308" s="269"/>
      <c r="AI308" s="269"/>
      <c r="AJ308" s="269"/>
      <c r="AK308" s="269"/>
      <c r="AL308" s="269"/>
      <c r="AM308" s="269"/>
      <c r="AN308" s="269"/>
      <c r="AO308" s="269"/>
      <c r="AP308" s="269"/>
      <c r="AQ308" s="269"/>
      <c r="AR308" s="269"/>
    </row>
    <row r="309">
      <c r="A309" s="410" t="str">
        <f>IFERROR(__xludf.DUMMYFUNCTION("""COMPUTED_VALUE"""),"WO_WFM-OTHERS_20260504_123184919")</f>
        <v>WO_WFM-OTHERS_20260504_123184919</v>
      </c>
      <c r="B309" s="410" t="str">
        <f>IFERROR(__xludf.DUMMYFUNCTION("""COMPUTED_VALUE"""),"IP : TNI0277SRT001-TNI0281SRT001 link down at 01/05/2026 10:34:00")</f>
        <v>IP : TNI0277SRT001-TNI0281SRT001 link down at 01/05/2026 10:34:00</v>
      </c>
      <c r="C309" s="410">
        <f>IFERROR(__xludf.DUMMYFUNCTION("""COMPUTED_VALUE"""),-1241.45)</f>
        <v>-1241.45</v>
      </c>
      <c r="D309" s="410" t="str">
        <f>IFERROR(__xludf.DUMMYFUNCTION("""COMPUTED_VALUE"""),"T2")</f>
        <v>T2</v>
      </c>
      <c r="E309" s="410" t="str">
        <f>IFERROR(__xludf.DUMMYFUNCTION("""COMPUTED_VALUE"""),"TNI0277")</f>
        <v>TNI0277</v>
      </c>
      <c r="F309" s="410" t="str">
        <f>IFERROR(__xludf.DUMMYFUNCTION("""COMPUTED_VALUE"""),"myt_naymyo.thu")</f>
        <v>myt_naymyo.thu</v>
      </c>
      <c r="H309" s="269"/>
      <c r="I309" s="269"/>
      <c r="J309" s="269"/>
      <c r="K309" s="269"/>
      <c r="L309" s="269"/>
      <c r="M309" s="269"/>
      <c r="N309" s="269"/>
      <c r="O309" s="269"/>
      <c r="P309" s="269"/>
      <c r="Q309" s="269"/>
      <c r="R309" s="269"/>
      <c r="S309" s="269"/>
      <c r="T309" s="269"/>
      <c r="U309" s="269"/>
      <c r="V309" s="269"/>
      <c r="W309" s="269"/>
      <c r="X309" s="269"/>
      <c r="Y309" s="269"/>
      <c r="Z309" s="269"/>
      <c r="AA309" s="269"/>
      <c r="AB309" s="269"/>
      <c r="AC309" s="269"/>
      <c r="AD309" s="269"/>
      <c r="AE309" s="269"/>
      <c r="AF309" s="269"/>
      <c r="AG309" s="269"/>
      <c r="AH309" s="269"/>
      <c r="AI309" s="269"/>
      <c r="AJ309" s="269"/>
      <c r="AK309" s="269"/>
      <c r="AL309" s="269"/>
      <c r="AM309" s="269"/>
      <c r="AN309" s="269"/>
      <c r="AO309" s="269"/>
      <c r="AP309" s="269"/>
      <c r="AQ309" s="269"/>
      <c r="AR309" s="269"/>
    </row>
    <row r="310">
      <c r="A310" s="410" t="str">
        <f>IFERROR(__xludf.DUMMYFUNCTION("""COMPUTED_VALUE"""),"WO_WFM-OTHERS_20260412_122987962")</f>
        <v>WO_WFM-OTHERS_20260412_122987962</v>
      </c>
      <c r="B310" s="410" t="str">
        <f>IFERROR(__xludf.DUMMYFUNCTION("""COMPUTED_VALUE"""),"IP : TNI0003AGG001 - TNI0346SRT001 link down at 12/04/2026 14:45:00")</f>
        <v>IP : TNI0003AGG001 - TNI0346SRT001 link down at 12/04/2026 14:45:00</v>
      </c>
      <c r="C310" s="410">
        <f>IFERROR(__xludf.DUMMYFUNCTION("""COMPUTED_VALUE"""),-1913.45)</f>
        <v>-1913.45</v>
      </c>
      <c r="D310" s="410" t="str">
        <f>IFERROR(__xludf.DUMMYFUNCTION("""COMPUTED_VALUE"""),"T2")</f>
        <v>T2</v>
      </c>
      <c r="E310" s="410" t="str">
        <f>IFERROR(__xludf.DUMMYFUNCTION("""COMPUTED_VALUE"""),"TNI0003")</f>
        <v>TNI0003</v>
      </c>
      <c r="F310" s="410" t="str">
        <f>IFERROR(__xludf.DUMMYFUNCTION("""COMPUTED_VALUE"""),"myt_naymyo.thu")</f>
        <v>myt_naymyo.thu</v>
      </c>
      <c r="H310" s="269"/>
      <c r="I310" s="269"/>
      <c r="J310" s="269"/>
      <c r="K310" s="269"/>
      <c r="L310" s="269"/>
      <c r="M310" s="269"/>
      <c r="N310" s="269"/>
      <c r="O310" s="269"/>
      <c r="P310" s="269"/>
      <c r="Q310" s="269"/>
      <c r="R310" s="269"/>
      <c r="S310" s="269"/>
      <c r="T310" s="269"/>
      <c r="U310" s="269"/>
      <c r="V310" s="269"/>
      <c r="W310" s="269"/>
      <c r="X310" s="269"/>
      <c r="Y310" s="269"/>
      <c r="Z310" s="269"/>
      <c r="AA310" s="269"/>
      <c r="AB310" s="269"/>
      <c r="AC310" s="269"/>
      <c r="AD310" s="269"/>
      <c r="AE310" s="269"/>
      <c r="AF310" s="269"/>
      <c r="AG310" s="269"/>
      <c r="AH310" s="269"/>
      <c r="AI310" s="269"/>
      <c r="AJ310" s="269"/>
      <c r="AK310" s="269"/>
      <c r="AL310" s="269"/>
      <c r="AM310" s="269"/>
      <c r="AN310" s="269"/>
      <c r="AO310" s="269"/>
      <c r="AP310" s="269"/>
      <c r="AQ310" s="269"/>
      <c r="AR310" s="269"/>
    </row>
    <row r="311">
      <c r="A311" s="410" t="str">
        <f>IFERROR(__xludf.DUMMYFUNCTION("""COMPUTED_VALUE"""),"WO_ICMS_20260623_123615076")</f>
        <v>WO_ICMS_20260623_123615076</v>
      </c>
      <c r="B311" s="410" t="str">
        <f>IFERROR(__xludf.DUMMYFUNCTION("""COMPUTED_VALUE"""),"TNI0261 MYT_Routine_Maintenance_Mytel_Station MYT_RTE_MTE_SB_STN")</f>
        <v>TNI0261 MYT_Routine_Maintenance_Mytel_Station MYT_RTE_MTE_SB_STN</v>
      </c>
      <c r="C311" s="410">
        <f>IFERROR(__xludf.DUMMYFUNCTION("""COMPUTED_VALUE"""),886.64)</f>
        <v>886.64</v>
      </c>
      <c r="D311" s="410" t="str">
        <f>IFERROR(__xludf.DUMMYFUNCTION("""COMPUTED_VALUE"""),"T2")</f>
        <v>T2</v>
      </c>
      <c r="E311" s="410" t="str">
        <f>IFERROR(__xludf.DUMMYFUNCTION("""COMPUTED_VALUE"""),"TNI0261")</f>
        <v>TNI0261</v>
      </c>
      <c r="F311" s="410" t="str">
        <f>IFERROR(__xludf.DUMMYFUNCTION("""COMPUTED_VALUE"""),"myt_naythurain.oo")</f>
        <v>myt_naythurain.oo</v>
      </c>
      <c r="H311" s="269"/>
      <c r="I311" s="269"/>
      <c r="J311" s="269"/>
      <c r="K311" s="269"/>
      <c r="L311" s="269"/>
      <c r="M311" s="269"/>
      <c r="N311" s="269"/>
      <c r="O311" s="269"/>
      <c r="P311" s="269"/>
      <c r="Q311" s="269"/>
      <c r="R311" s="269"/>
      <c r="S311" s="269"/>
      <c r="T311" s="269"/>
      <c r="U311" s="269"/>
      <c r="V311" s="269"/>
      <c r="W311" s="269"/>
      <c r="X311" s="269"/>
      <c r="Y311" s="269"/>
      <c r="Z311" s="269"/>
      <c r="AA311" s="269"/>
      <c r="AB311" s="269"/>
      <c r="AC311" s="269"/>
      <c r="AD311" s="269"/>
      <c r="AE311" s="269"/>
      <c r="AF311" s="269"/>
      <c r="AG311" s="269"/>
      <c r="AH311" s="269"/>
      <c r="AI311" s="269"/>
      <c r="AJ311" s="269"/>
      <c r="AK311" s="269"/>
      <c r="AL311" s="269"/>
      <c r="AM311" s="269"/>
      <c r="AN311" s="269"/>
      <c r="AO311" s="269"/>
      <c r="AP311" s="269"/>
      <c r="AQ311" s="269"/>
      <c r="AR311" s="269"/>
    </row>
    <row r="312">
      <c r="A312" s="410" t="str">
        <f>IFERROR(__xludf.DUMMYFUNCTION("""COMPUTED_VALUE"""),"WO_QLCTKT_20260607_123463009")</f>
        <v>WO_QLCTKT_20260607_123463009</v>
      </c>
      <c r="B312" s="410" t="str">
        <f>IFERROR(__xludf.DUMMYFUNCTION("""COMPUTED_VALUE"""),"TNI0519 MYT_Maintenance_Generator_Change_Oil - MYT_Checking quality for DG Fuel")</f>
        <v>TNI0519 MYT_Maintenance_Generator_Change_Oil - MYT_Checking quality for DG Fuel</v>
      </c>
      <c r="C312" s="410">
        <f>IFERROR(__xludf.DUMMYFUNCTION("""COMPUTED_VALUE"""),-472.95)</f>
        <v>-472.95</v>
      </c>
      <c r="D312" s="410" t="str">
        <f>IFERROR(__xludf.DUMMYFUNCTION("""COMPUTED_VALUE"""),"T2")</f>
        <v>T2</v>
      </c>
      <c r="E312" s="410" t="str">
        <f>IFERROR(__xludf.DUMMYFUNCTION("""COMPUTED_VALUE"""),"TNI0519: 12DKVA")</f>
        <v>TNI0519: 12DKVA</v>
      </c>
      <c r="F312" s="410" t="str">
        <f>IFERROR(__xludf.DUMMYFUNCTION("""COMPUTED_VALUE"""),"myt_naythurain.oo")</f>
        <v>myt_naythurain.oo</v>
      </c>
      <c r="H312" s="269"/>
      <c r="I312" s="269"/>
      <c r="J312" s="269"/>
      <c r="K312" s="269"/>
      <c r="L312" s="269"/>
      <c r="M312" s="269"/>
      <c r="N312" s="269"/>
      <c r="O312" s="269"/>
      <c r="P312" s="269"/>
      <c r="Q312" s="269"/>
      <c r="R312" s="269"/>
      <c r="S312" s="269"/>
      <c r="T312" s="269"/>
      <c r="U312" s="269"/>
      <c r="V312" s="269"/>
      <c r="W312" s="269"/>
      <c r="X312" s="269"/>
      <c r="Y312" s="269"/>
      <c r="Z312" s="269"/>
      <c r="AA312" s="269"/>
      <c r="AB312" s="269"/>
      <c r="AC312" s="269"/>
      <c r="AD312" s="269"/>
      <c r="AE312" s="269"/>
      <c r="AF312" s="269"/>
      <c r="AG312" s="269"/>
      <c r="AH312" s="269"/>
      <c r="AI312" s="269"/>
      <c r="AJ312" s="269"/>
      <c r="AK312" s="269"/>
      <c r="AL312" s="269"/>
      <c r="AM312" s="269"/>
      <c r="AN312" s="269"/>
      <c r="AO312" s="269"/>
      <c r="AP312" s="269"/>
      <c r="AQ312" s="269"/>
      <c r="AR312" s="269"/>
    </row>
    <row r="313">
      <c r="A313" s="410" t="str">
        <f>IFERROR(__xludf.DUMMYFUNCTION("""COMPUTED_VALUE"""),"WO_QLCTKT_20260410_122967696")</f>
        <v>WO_QLCTKT_20260410_122967696</v>
      </c>
      <c r="B313" s="410" t="str">
        <f>IFERROR(__xludf.DUMMYFUNCTION("""COMPUTED_VALUE"""),"TNI0077 - Repair infrastructure - bla: Cleaning the station, remove grass, vines, tree, rubbish, recall unused equipment, material: Clean the all equipments, room, slabs, install the patchcod neatly, tidy")</f>
        <v>TNI0077 - Repair infrastructure - bla: Cleaning the station, remove grass, vines, tree, rubbish, recall unused equipment, material: Clean the all equipments, room, slabs, install the patchcod neatly, tidy</v>
      </c>
      <c r="C313" s="410">
        <f>IFERROR(__xludf.DUMMYFUNCTION("""COMPUTED_VALUE"""),-1827.35)</f>
        <v>-1827.35</v>
      </c>
      <c r="D313" s="410" t="str">
        <f>IFERROR(__xludf.DUMMYFUNCTION("""COMPUTED_VALUE"""),"T2")</f>
        <v>T2</v>
      </c>
      <c r="E313" s="410" t="str">
        <f>IFERROR(__xludf.DUMMYFUNCTION("""COMPUTED_VALUE"""),"TNI0077")</f>
        <v>TNI0077</v>
      </c>
      <c r="F313" s="410" t="str">
        <f>IFERROR(__xludf.DUMMYFUNCTION("""COMPUTED_VALUE"""),"myt_naythurain.oo")</f>
        <v>myt_naythurain.oo</v>
      </c>
      <c r="H313" s="269"/>
      <c r="I313" s="269"/>
      <c r="J313" s="269"/>
      <c r="K313" s="269"/>
      <c r="L313" s="269"/>
      <c r="M313" s="269"/>
      <c r="N313" s="269"/>
      <c r="O313" s="269"/>
      <c r="P313" s="269"/>
      <c r="Q313" s="269"/>
      <c r="R313" s="269"/>
      <c r="S313" s="269"/>
      <c r="T313" s="269"/>
      <c r="U313" s="269"/>
      <c r="V313" s="269"/>
      <c r="W313" s="269"/>
      <c r="X313" s="269"/>
      <c r="Y313" s="269"/>
      <c r="Z313" s="269"/>
      <c r="AA313" s="269"/>
      <c r="AB313" s="269"/>
      <c r="AC313" s="269"/>
      <c r="AD313" s="269"/>
      <c r="AE313" s="269"/>
      <c r="AF313" s="269"/>
      <c r="AG313" s="269"/>
      <c r="AH313" s="269"/>
      <c r="AI313" s="269"/>
      <c r="AJ313" s="269"/>
      <c r="AK313" s="269"/>
      <c r="AL313" s="269"/>
      <c r="AM313" s="269"/>
      <c r="AN313" s="269"/>
      <c r="AO313" s="269"/>
      <c r="AP313" s="269"/>
      <c r="AQ313" s="269"/>
      <c r="AR313" s="269"/>
    </row>
    <row r="314">
      <c r="A314" s="410" t="str">
        <f>IFERROR(__xludf.DUMMYFUNCTION("""COMPUTED_VALUE"""),"WO_ICMS_20260623_123614460")</f>
        <v>WO_ICMS_20260623_123614460</v>
      </c>
      <c r="B314" s="410" t="str">
        <f>IFERROR(__xludf.DUMMYFUNCTION("""COMPUTED_VALUE"""),"TNI0115 MYT_Routine_Maintenance_Mytel_Station MYT_RTE_MTE_SB_STN")</f>
        <v>TNI0115 MYT_Routine_Maintenance_Mytel_Station MYT_RTE_MTE_SB_STN</v>
      </c>
      <c r="C314" s="410">
        <f>IFERROR(__xludf.DUMMYFUNCTION("""COMPUTED_VALUE"""),886.64)</f>
        <v>886.64</v>
      </c>
      <c r="D314" s="410" t="str">
        <f>IFERROR(__xludf.DUMMYFUNCTION("""COMPUTED_VALUE"""),"T1")</f>
        <v>T1</v>
      </c>
      <c r="E314" s="410" t="str">
        <f>IFERROR(__xludf.DUMMYFUNCTION("""COMPUTED_VALUE"""),"TNI0115")</f>
        <v>TNI0115</v>
      </c>
      <c r="F314" s="410" t="str">
        <f>IFERROR(__xludf.DUMMYFUNCTION("""COMPUTED_VALUE"""),"myt_paingaung.soe")</f>
        <v>myt_paingaung.soe</v>
      </c>
      <c r="H314" s="269"/>
      <c r="I314" s="269"/>
      <c r="J314" s="269"/>
      <c r="K314" s="269"/>
      <c r="L314" s="269"/>
      <c r="M314" s="269"/>
      <c r="N314" s="269"/>
      <c r="O314" s="269"/>
      <c r="P314" s="269"/>
      <c r="Q314" s="269"/>
      <c r="R314" s="269"/>
      <c r="S314" s="269"/>
      <c r="T314" s="269"/>
      <c r="U314" s="269"/>
      <c r="V314" s="269"/>
      <c r="W314" s="269"/>
      <c r="X314" s="269"/>
      <c r="Y314" s="269"/>
      <c r="Z314" s="269"/>
      <c r="AA314" s="269"/>
      <c r="AB314" s="269"/>
      <c r="AC314" s="269"/>
      <c r="AD314" s="269"/>
      <c r="AE314" s="269"/>
      <c r="AF314" s="269"/>
      <c r="AG314" s="269"/>
      <c r="AH314" s="269"/>
      <c r="AI314" s="269"/>
      <c r="AJ314" s="269"/>
      <c r="AK314" s="269"/>
      <c r="AL314" s="269"/>
      <c r="AM314" s="269"/>
      <c r="AN314" s="269"/>
      <c r="AO314" s="269"/>
      <c r="AP314" s="269"/>
      <c r="AQ314" s="269"/>
      <c r="AR314" s="269"/>
    </row>
    <row r="315">
      <c r="A315" s="410" t="str">
        <f>IFERROR(__xludf.DUMMYFUNCTION("""COMPUTED_VALUE"""),"WO_ICMS_20260623_123615036")</f>
        <v>WO_ICMS_20260623_123615036</v>
      </c>
      <c r="B315" s="410" t="str">
        <f>IFERROR(__xludf.DUMMYFUNCTION("""COMPUTED_VALUE"""),"TNI0394 MYT_Routine_Maintenance_Mytel_Station MYT_RTE_MTE_SB_STN")</f>
        <v>TNI0394 MYT_Routine_Maintenance_Mytel_Station MYT_RTE_MTE_SB_STN</v>
      </c>
      <c r="C315" s="410">
        <f>IFERROR(__xludf.DUMMYFUNCTION("""COMPUTED_VALUE"""),886.64)</f>
        <v>886.64</v>
      </c>
      <c r="D315" s="410" t="str">
        <f>IFERROR(__xludf.DUMMYFUNCTION("""COMPUTED_VALUE"""),"T1")</f>
        <v>T1</v>
      </c>
      <c r="E315" s="410" t="str">
        <f>IFERROR(__xludf.DUMMYFUNCTION("""COMPUTED_VALUE"""),"TNI0394")</f>
        <v>TNI0394</v>
      </c>
      <c r="F315" s="410" t="str">
        <f>IFERROR(__xludf.DUMMYFUNCTION("""COMPUTED_VALUE"""),"myt_paingaung.soe")</f>
        <v>myt_paingaung.soe</v>
      </c>
      <c r="H315" s="269"/>
      <c r="I315" s="269"/>
      <c r="J315" s="269"/>
      <c r="K315" s="269"/>
      <c r="L315" s="269"/>
      <c r="M315" s="269"/>
      <c r="N315" s="269"/>
      <c r="O315" s="269"/>
      <c r="P315" s="269"/>
      <c r="Q315" s="269"/>
      <c r="R315" s="269"/>
      <c r="S315" s="269"/>
      <c r="T315" s="269"/>
      <c r="U315" s="269"/>
      <c r="V315" s="269"/>
      <c r="W315" s="269"/>
      <c r="X315" s="269"/>
      <c r="Y315" s="269"/>
      <c r="Z315" s="269"/>
      <c r="AA315" s="269"/>
      <c r="AB315" s="269"/>
      <c r="AC315" s="269"/>
      <c r="AD315" s="269"/>
      <c r="AE315" s="269"/>
      <c r="AF315" s="269"/>
      <c r="AG315" s="269"/>
      <c r="AH315" s="269"/>
      <c r="AI315" s="269"/>
      <c r="AJ315" s="269"/>
      <c r="AK315" s="269"/>
      <c r="AL315" s="269"/>
      <c r="AM315" s="269"/>
      <c r="AN315" s="269"/>
      <c r="AO315" s="269"/>
      <c r="AP315" s="269"/>
      <c r="AQ315" s="269"/>
      <c r="AR315" s="269"/>
    </row>
    <row r="316">
      <c r="A316" s="410" t="str">
        <f>IFERROR(__xludf.DUMMYFUNCTION("""COMPUTED_VALUE"""),"WO_WFM-OTHERS_20260623_123616216")</f>
        <v>WO_WFM-OTHERS_20260623_123616216</v>
      </c>
      <c r="B316" s="410" t="str">
        <f>IFERROR(__xludf.DUMMYFUNCTION("""COMPUTED_VALUE"""),"Cable Patrol for (AC)-TNI0198-TNIM055")</f>
        <v>Cable Patrol for (AC)-TNI0198-TNIM055</v>
      </c>
      <c r="C316" s="410">
        <f>IFERROR(__xludf.DUMMYFUNCTION("""COMPUTED_VALUE"""),439.03)</f>
        <v>439.03</v>
      </c>
      <c r="D316" s="410" t="str">
        <f>IFERROR(__xludf.DUMMYFUNCTION("""COMPUTED_VALUE"""),"T1")</f>
        <v>T1</v>
      </c>
      <c r="E316" s="410" t="str">
        <f>IFERROR(__xludf.DUMMYFUNCTION("""COMPUTED_VALUE"""),"TNI0198")</f>
        <v>TNI0198</v>
      </c>
      <c r="F316" s="410" t="str">
        <f>IFERROR(__xludf.DUMMYFUNCTION("""COMPUTED_VALUE"""),"myt_phyoko.ko44")</f>
        <v>myt_phyoko.ko44</v>
      </c>
      <c r="H316" s="269"/>
      <c r="I316" s="269"/>
      <c r="J316" s="269"/>
      <c r="K316" s="269"/>
      <c r="L316" s="269"/>
      <c r="M316" s="269"/>
      <c r="N316" s="269"/>
      <c r="O316" s="269"/>
      <c r="P316" s="269"/>
      <c r="Q316" s="269"/>
      <c r="R316" s="269"/>
      <c r="S316" s="269"/>
      <c r="T316" s="269"/>
      <c r="U316" s="269"/>
      <c r="V316" s="269"/>
      <c r="W316" s="269"/>
      <c r="X316" s="269"/>
      <c r="Y316" s="269"/>
      <c r="Z316" s="269"/>
      <c r="AA316" s="269"/>
      <c r="AB316" s="269"/>
      <c r="AC316" s="269"/>
      <c r="AD316" s="269"/>
      <c r="AE316" s="269"/>
      <c r="AF316" s="269"/>
      <c r="AG316" s="269"/>
      <c r="AH316" s="269"/>
      <c r="AI316" s="269"/>
      <c r="AJ316" s="269"/>
      <c r="AK316" s="269"/>
      <c r="AL316" s="269"/>
      <c r="AM316" s="269"/>
      <c r="AN316" s="269"/>
      <c r="AO316" s="269"/>
      <c r="AP316" s="269"/>
      <c r="AQ316" s="269"/>
      <c r="AR316" s="269"/>
    </row>
    <row r="317">
      <c r="A317" s="410" t="str">
        <f>IFERROR(__xludf.DUMMYFUNCTION("""COMPUTED_VALUE"""),"WO_WFM-OTHERS_20260623_123616222")</f>
        <v>WO_WFM-OTHERS_20260623_123616222</v>
      </c>
      <c r="B317" s="410" t="str">
        <f>IFERROR(__xludf.DUMMYFUNCTION("""COMPUTED_VALUE"""),"Cable Patrol for (AC)-TNI0288-TNIM073")</f>
        <v>Cable Patrol for (AC)-TNI0288-TNIM073</v>
      </c>
      <c r="C317" s="410">
        <f>IFERROR(__xludf.DUMMYFUNCTION("""COMPUTED_VALUE"""),439.03)</f>
        <v>439.03</v>
      </c>
      <c r="D317" s="410" t="str">
        <f>IFERROR(__xludf.DUMMYFUNCTION("""COMPUTED_VALUE"""),"T1")</f>
        <v>T1</v>
      </c>
      <c r="E317" s="410" t="str">
        <f>IFERROR(__xludf.DUMMYFUNCTION("""COMPUTED_VALUE"""),"TNI0288")</f>
        <v>TNI0288</v>
      </c>
      <c r="F317" s="410" t="str">
        <f>IFERROR(__xludf.DUMMYFUNCTION("""COMPUTED_VALUE"""),"myt_phyoko.ko44")</f>
        <v>myt_phyoko.ko44</v>
      </c>
      <c r="H317" s="269"/>
      <c r="I317" s="269"/>
      <c r="J317" s="269"/>
      <c r="K317" s="269"/>
      <c r="L317" s="269"/>
      <c r="M317" s="269"/>
      <c r="N317" s="269"/>
      <c r="O317" s="269"/>
      <c r="P317" s="269"/>
      <c r="Q317" s="269"/>
      <c r="R317" s="269"/>
      <c r="S317" s="269"/>
      <c r="T317" s="269"/>
      <c r="U317" s="269"/>
      <c r="V317" s="269"/>
      <c r="W317" s="269"/>
      <c r="X317" s="269"/>
      <c r="Y317" s="269"/>
      <c r="Z317" s="269"/>
      <c r="AA317" s="269"/>
      <c r="AB317" s="269"/>
      <c r="AC317" s="269"/>
      <c r="AD317" s="269"/>
      <c r="AE317" s="269"/>
      <c r="AF317" s="269"/>
      <c r="AG317" s="269"/>
      <c r="AH317" s="269"/>
      <c r="AI317" s="269"/>
      <c r="AJ317" s="269"/>
      <c r="AK317" s="269"/>
      <c r="AL317" s="269"/>
      <c r="AM317" s="269"/>
      <c r="AN317" s="269"/>
      <c r="AO317" s="269"/>
      <c r="AP317" s="269"/>
      <c r="AQ317" s="269"/>
      <c r="AR317" s="269"/>
    </row>
    <row r="318">
      <c r="A318" s="410" t="str">
        <f>IFERROR(__xludf.DUMMYFUNCTION("""COMPUTED_VALUE"""),"WO_WFM-OTHERS_20260623_123616214")</f>
        <v>WO_WFM-OTHERS_20260623_123616214</v>
      </c>
      <c r="B318" s="410" t="str">
        <f>IFERROR(__xludf.DUMMYFUNCTION("""COMPUTED_VALUE"""),"Cable Patrol for (AC)-TNI0046-JB(TNI0005-TNI0013)")</f>
        <v>Cable Patrol for (AC)-TNI0046-JB(TNI0005-TNI0013)</v>
      </c>
      <c r="C318" s="410">
        <f>IFERROR(__xludf.DUMMYFUNCTION("""COMPUTED_VALUE"""),439.03)</f>
        <v>439.03</v>
      </c>
      <c r="D318" s="410" t="str">
        <f>IFERROR(__xludf.DUMMYFUNCTION("""COMPUTED_VALUE"""),"T1")</f>
        <v>T1</v>
      </c>
      <c r="E318" s="410" t="str">
        <f>IFERROR(__xludf.DUMMYFUNCTION("""COMPUTED_VALUE"""),"TNI0046")</f>
        <v>TNI0046</v>
      </c>
      <c r="F318" s="410" t="str">
        <f>IFERROR(__xludf.DUMMYFUNCTION("""COMPUTED_VALUE"""),"myt_phyoko.ko44")</f>
        <v>myt_phyoko.ko44</v>
      </c>
      <c r="H318" s="269"/>
      <c r="I318" s="269"/>
      <c r="J318" s="269"/>
      <c r="K318" s="269"/>
      <c r="L318" s="269"/>
      <c r="M318" s="269"/>
      <c r="N318" s="269"/>
      <c r="O318" s="269"/>
      <c r="P318" s="269"/>
      <c r="Q318" s="269"/>
      <c r="R318" s="269"/>
      <c r="S318" s="269"/>
      <c r="T318" s="269"/>
      <c r="U318" s="269"/>
      <c r="V318" s="269"/>
      <c r="W318" s="269"/>
      <c r="X318" s="269"/>
      <c r="Y318" s="269"/>
      <c r="Z318" s="269"/>
      <c r="AA318" s="269"/>
      <c r="AB318" s="269"/>
      <c r="AC318" s="269"/>
      <c r="AD318" s="269"/>
      <c r="AE318" s="269"/>
      <c r="AF318" s="269"/>
      <c r="AG318" s="269"/>
      <c r="AH318" s="269"/>
      <c r="AI318" s="269"/>
      <c r="AJ318" s="269"/>
      <c r="AK318" s="269"/>
      <c r="AL318" s="269"/>
      <c r="AM318" s="269"/>
      <c r="AN318" s="269"/>
      <c r="AO318" s="269"/>
      <c r="AP318" s="269"/>
      <c r="AQ318" s="269"/>
      <c r="AR318" s="269"/>
    </row>
    <row r="319">
      <c r="A319" s="410" t="str">
        <f>IFERROR(__xludf.DUMMYFUNCTION("""COMPUTED_VALUE"""),"WO_WFM-OTHERS_20260623_123616209")</f>
        <v>WO_WFM-OTHERS_20260623_123616209</v>
      </c>
      <c r="B319" s="410" t="str">
        <f>IFERROR(__xludf.DUMMYFUNCTION("""COMPUTED_VALUE"""),"Cable Patrol for (AC)-TNI0210-TNI0322")</f>
        <v>Cable Patrol for (AC)-TNI0210-TNI0322</v>
      </c>
      <c r="C319" s="410">
        <f>IFERROR(__xludf.DUMMYFUNCTION("""COMPUTED_VALUE"""),439.03)</f>
        <v>439.03</v>
      </c>
      <c r="D319" s="410" t="str">
        <f>IFERROR(__xludf.DUMMYFUNCTION("""COMPUTED_VALUE"""),"T1")</f>
        <v>T1</v>
      </c>
      <c r="E319" s="410" t="str">
        <f>IFERROR(__xludf.DUMMYFUNCTION("""COMPUTED_VALUE"""),"TNI0210")</f>
        <v>TNI0210</v>
      </c>
      <c r="F319" s="410" t="str">
        <f>IFERROR(__xludf.DUMMYFUNCTION("""COMPUTED_VALUE"""),"myt_phyoko.ko44")</f>
        <v>myt_phyoko.ko44</v>
      </c>
      <c r="H319" s="269"/>
      <c r="I319" s="269"/>
      <c r="J319" s="269"/>
      <c r="K319" s="269"/>
      <c r="L319" s="269"/>
      <c r="M319" s="269"/>
      <c r="N319" s="269"/>
      <c r="O319" s="269"/>
      <c r="P319" s="269"/>
      <c r="Q319" s="269"/>
      <c r="R319" s="269"/>
      <c r="S319" s="269"/>
      <c r="T319" s="269"/>
      <c r="U319" s="269"/>
      <c r="V319" s="269"/>
      <c r="W319" s="269"/>
      <c r="X319" s="269"/>
      <c r="Y319" s="269"/>
      <c r="Z319" s="269"/>
      <c r="AA319" s="269"/>
      <c r="AB319" s="269"/>
      <c r="AC319" s="269"/>
      <c r="AD319" s="269"/>
      <c r="AE319" s="269"/>
      <c r="AF319" s="269"/>
      <c r="AG319" s="269"/>
      <c r="AH319" s="269"/>
      <c r="AI319" s="269"/>
      <c r="AJ319" s="269"/>
      <c r="AK319" s="269"/>
      <c r="AL319" s="269"/>
      <c r="AM319" s="269"/>
      <c r="AN319" s="269"/>
      <c r="AO319" s="269"/>
      <c r="AP319" s="269"/>
      <c r="AQ319" s="269"/>
      <c r="AR319" s="269"/>
    </row>
    <row r="320">
      <c r="A320" s="410" t="str">
        <f>IFERROR(__xludf.DUMMYFUNCTION("""COMPUTED_VALUE"""),"WO_WFM-OTHERS_20260623_123616202")</f>
        <v>WO_WFM-OTHERS_20260623_123616202</v>
      </c>
      <c r="B320" s="410" t="str">
        <f>IFERROR(__xludf.DUMMYFUNCTION("""COMPUTED_VALUE"""),"Cable Patrol for (BB)-TNI0013-TNIM020")</f>
        <v>Cable Patrol for (BB)-TNI0013-TNIM020</v>
      </c>
      <c r="C320" s="410">
        <f>IFERROR(__xludf.DUMMYFUNCTION("""COMPUTED_VALUE"""),439.03)</f>
        <v>439.03</v>
      </c>
      <c r="D320" s="410" t="str">
        <f>IFERROR(__xludf.DUMMYFUNCTION("""COMPUTED_VALUE"""),"T1")</f>
        <v>T1</v>
      </c>
      <c r="E320" s="410" t="str">
        <f>IFERROR(__xludf.DUMMYFUNCTION("""COMPUTED_VALUE"""),"TNI0013")</f>
        <v>TNI0013</v>
      </c>
      <c r="F320" s="410" t="str">
        <f>IFERROR(__xludf.DUMMYFUNCTION("""COMPUTED_VALUE"""),"myt_phyoko.ko44")</f>
        <v>myt_phyoko.ko44</v>
      </c>
      <c r="H320" s="269"/>
      <c r="I320" s="269"/>
      <c r="J320" s="269"/>
      <c r="K320" s="269"/>
      <c r="L320" s="269"/>
      <c r="M320" s="269"/>
      <c r="N320" s="269"/>
      <c r="O320" s="269"/>
      <c r="P320" s="269"/>
      <c r="Q320" s="269"/>
      <c r="R320" s="269"/>
      <c r="S320" s="269"/>
      <c r="T320" s="269"/>
      <c r="U320" s="269"/>
      <c r="V320" s="269"/>
      <c r="W320" s="269"/>
      <c r="X320" s="269"/>
      <c r="Y320" s="269"/>
      <c r="Z320" s="269"/>
      <c r="AA320" s="269"/>
      <c r="AB320" s="269"/>
      <c r="AC320" s="269"/>
      <c r="AD320" s="269"/>
      <c r="AE320" s="269"/>
      <c r="AF320" s="269"/>
      <c r="AG320" s="269"/>
      <c r="AH320" s="269"/>
      <c r="AI320" s="269"/>
      <c r="AJ320" s="269"/>
      <c r="AK320" s="269"/>
      <c r="AL320" s="269"/>
      <c r="AM320" s="269"/>
      <c r="AN320" s="269"/>
      <c r="AO320" s="269"/>
      <c r="AP320" s="269"/>
      <c r="AQ320" s="269"/>
      <c r="AR320" s="269"/>
    </row>
    <row r="321">
      <c r="A321" s="410" t="str">
        <f>IFERROR(__xludf.DUMMYFUNCTION("""COMPUTED_VALUE"""),"WO_WFM-OTHERS_20260623_123616200")</f>
        <v>WO_WFM-OTHERS_20260623_123616200</v>
      </c>
      <c r="B321" s="410" t="str">
        <f>IFERROR(__xludf.DUMMYFUNCTION("""COMPUTED_VALUE"""),"Cable Patrol for (BB)-TNI0006-TNIM010")</f>
        <v>Cable Patrol for (BB)-TNI0006-TNIM010</v>
      </c>
      <c r="C321" s="410">
        <f>IFERROR(__xludf.DUMMYFUNCTION("""COMPUTED_VALUE"""),439.03)</f>
        <v>439.03</v>
      </c>
      <c r="D321" s="410" t="str">
        <f>IFERROR(__xludf.DUMMYFUNCTION("""COMPUTED_VALUE"""),"T1")</f>
        <v>T1</v>
      </c>
      <c r="E321" s="410" t="str">
        <f>IFERROR(__xludf.DUMMYFUNCTION("""COMPUTED_VALUE"""),"TNI0006")</f>
        <v>TNI0006</v>
      </c>
      <c r="F321" s="410" t="str">
        <f>IFERROR(__xludf.DUMMYFUNCTION("""COMPUTED_VALUE"""),"myt_phyoko.ko44")</f>
        <v>myt_phyoko.ko44</v>
      </c>
      <c r="H321" s="269"/>
      <c r="I321" s="269"/>
      <c r="J321" s="269"/>
      <c r="K321" s="269"/>
      <c r="L321" s="269"/>
      <c r="M321" s="269"/>
      <c r="N321" s="269"/>
      <c r="O321" s="269"/>
      <c r="P321" s="269"/>
      <c r="Q321" s="269"/>
      <c r="R321" s="269"/>
      <c r="S321" s="269"/>
      <c r="T321" s="269"/>
      <c r="U321" s="269"/>
      <c r="V321" s="269"/>
      <c r="W321" s="269"/>
      <c r="X321" s="269"/>
      <c r="Y321" s="269"/>
      <c r="Z321" s="269"/>
      <c r="AA321" s="269"/>
      <c r="AB321" s="269"/>
      <c r="AC321" s="269"/>
      <c r="AD321" s="269"/>
      <c r="AE321" s="269"/>
      <c r="AF321" s="269"/>
      <c r="AG321" s="269"/>
      <c r="AH321" s="269"/>
      <c r="AI321" s="269"/>
      <c r="AJ321" s="269"/>
      <c r="AK321" s="269"/>
      <c r="AL321" s="269"/>
      <c r="AM321" s="269"/>
      <c r="AN321" s="269"/>
      <c r="AO321" s="269"/>
      <c r="AP321" s="269"/>
      <c r="AQ321" s="269"/>
      <c r="AR321" s="269"/>
    </row>
    <row r="322">
      <c r="A322" s="410" t="str">
        <f>IFERROR(__xludf.DUMMYFUNCTION("""COMPUTED_VALUE"""),"WO_WFM-OTHERS_20260623_123616199")</f>
        <v>WO_WFM-OTHERS_20260623_123616199</v>
      </c>
      <c r="B322" s="410" t="str">
        <f>IFERROR(__xludf.DUMMYFUNCTION("""COMPUTED_VALUE"""),"Cable Patrol for (BB)-TNI0006-TNIM009")</f>
        <v>Cable Patrol for (BB)-TNI0006-TNIM009</v>
      </c>
      <c r="C322" s="410">
        <f>IFERROR(__xludf.DUMMYFUNCTION("""COMPUTED_VALUE"""),439.03)</f>
        <v>439.03</v>
      </c>
      <c r="D322" s="410" t="str">
        <f>IFERROR(__xludf.DUMMYFUNCTION("""COMPUTED_VALUE"""),"T1")</f>
        <v>T1</v>
      </c>
      <c r="E322" s="410" t="str">
        <f>IFERROR(__xludf.DUMMYFUNCTION("""COMPUTED_VALUE"""),"TNI0006")</f>
        <v>TNI0006</v>
      </c>
      <c r="F322" s="410" t="str">
        <f>IFERROR(__xludf.DUMMYFUNCTION("""COMPUTED_VALUE"""),"myt_phyoko.ko44")</f>
        <v>myt_phyoko.ko44</v>
      </c>
      <c r="H322" s="269"/>
      <c r="I322" s="269"/>
      <c r="J322" s="269"/>
      <c r="K322" s="269"/>
      <c r="L322" s="269"/>
      <c r="M322" s="269"/>
      <c r="N322" s="269"/>
      <c r="O322" s="269"/>
      <c r="P322" s="269"/>
      <c r="Q322" s="269"/>
      <c r="R322" s="269"/>
      <c r="S322" s="269"/>
      <c r="T322" s="269"/>
      <c r="U322" s="269"/>
      <c r="V322" s="269"/>
      <c r="W322" s="269"/>
      <c r="X322" s="269"/>
      <c r="Y322" s="269"/>
      <c r="Z322" s="269"/>
      <c r="AA322" s="269"/>
      <c r="AB322" s="269"/>
      <c r="AC322" s="269"/>
      <c r="AD322" s="269"/>
      <c r="AE322" s="269"/>
      <c r="AF322" s="269"/>
      <c r="AG322" s="269"/>
      <c r="AH322" s="269"/>
      <c r="AI322" s="269"/>
      <c r="AJ322" s="269"/>
      <c r="AK322" s="269"/>
      <c r="AL322" s="269"/>
      <c r="AM322" s="269"/>
      <c r="AN322" s="269"/>
      <c r="AO322" s="269"/>
      <c r="AP322" s="269"/>
      <c r="AQ322" s="269"/>
      <c r="AR322" s="269"/>
    </row>
    <row r="323">
      <c r="A323" s="410" t="str">
        <f>IFERROR(__xludf.DUMMYFUNCTION("""COMPUTED_VALUE"""),"WO_ICMS_20260623_123615127")</f>
        <v>WO_ICMS_20260623_123615127</v>
      </c>
      <c r="B323" s="410" t="str">
        <f>IFERROR(__xludf.DUMMYFUNCTION("""COMPUTED_VALUE"""),"TNI0069 MYT_Routine_Maintenance_Mytel_Station MYT_RTE_MTE_SB_STN")</f>
        <v>TNI0069 MYT_Routine_Maintenance_Mytel_Station MYT_RTE_MTE_SB_STN</v>
      </c>
      <c r="C323" s="410">
        <f>IFERROR(__xludf.DUMMYFUNCTION("""COMPUTED_VALUE"""),886.64)</f>
        <v>886.64</v>
      </c>
      <c r="D323" s="410" t="str">
        <f>IFERROR(__xludf.DUMMYFUNCTION("""COMPUTED_VALUE"""),"T1")</f>
        <v>T1</v>
      </c>
      <c r="E323" s="410" t="str">
        <f>IFERROR(__xludf.DUMMYFUNCTION("""COMPUTED_VALUE"""),"TNI0069")</f>
        <v>TNI0069</v>
      </c>
      <c r="F323" s="410" t="str">
        <f>IFERROR(__xludf.DUMMYFUNCTION("""COMPUTED_VALUE"""),"myt_phyoko.ko44")</f>
        <v>myt_phyoko.ko44</v>
      </c>
      <c r="H323" s="269"/>
      <c r="I323" s="269"/>
      <c r="J323" s="269"/>
      <c r="K323" s="269"/>
      <c r="L323" s="269"/>
      <c r="M323" s="269"/>
      <c r="N323" s="269"/>
      <c r="O323" s="269"/>
      <c r="P323" s="269"/>
      <c r="Q323" s="269"/>
      <c r="R323" s="269"/>
      <c r="S323" s="269"/>
      <c r="T323" s="269"/>
      <c r="U323" s="269"/>
      <c r="V323" s="269"/>
      <c r="W323" s="269"/>
      <c r="X323" s="269"/>
      <c r="Y323" s="269"/>
      <c r="Z323" s="269"/>
      <c r="AA323" s="269"/>
      <c r="AB323" s="269"/>
      <c r="AC323" s="269"/>
      <c r="AD323" s="269"/>
      <c r="AE323" s="269"/>
      <c r="AF323" s="269"/>
      <c r="AG323" s="269"/>
      <c r="AH323" s="269"/>
      <c r="AI323" s="269"/>
      <c r="AJ323" s="269"/>
      <c r="AK323" s="269"/>
      <c r="AL323" s="269"/>
      <c r="AM323" s="269"/>
      <c r="AN323" s="269"/>
      <c r="AO323" s="269"/>
      <c r="AP323" s="269"/>
      <c r="AQ323" s="269"/>
      <c r="AR323" s="269"/>
    </row>
    <row r="324">
      <c r="A324" s="410" t="str">
        <f>IFERROR(__xludf.DUMMYFUNCTION("""COMPUTED_VALUE"""),"WO_ICMS_20260623_123615128")</f>
        <v>WO_ICMS_20260623_123615128</v>
      </c>
      <c r="B324" s="410" t="str">
        <f>IFERROR(__xludf.DUMMYFUNCTION("""COMPUTED_VALUE"""),"TNI0066 MYT_Routine_Maintenance_Mytel_Station MYT_RTE_MTE_SB_STN")</f>
        <v>TNI0066 MYT_Routine_Maintenance_Mytel_Station MYT_RTE_MTE_SB_STN</v>
      </c>
      <c r="C324" s="410">
        <f>IFERROR(__xludf.DUMMYFUNCTION("""COMPUTED_VALUE"""),886.64)</f>
        <v>886.64</v>
      </c>
      <c r="D324" s="410" t="str">
        <f>IFERROR(__xludf.DUMMYFUNCTION("""COMPUTED_VALUE"""),"T1")</f>
        <v>T1</v>
      </c>
      <c r="E324" s="410" t="str">
        <f>IFERROR(__xludf.DUMMYFUNCTION("""COMPUTED_VALUE"""),"TNI0066")</f>
        <v>TNI0066</v>
      </c>
      <c r="F324" s="410" t="str">
        <f>IFERROR(__xludf.DUMMYFUNCTION("""COMPUTED_VALUE"""),"myt_phyoko.ko44")</f>
        <v>myt_phyoko.ko44</v>
      </c>
      <c r="H324" s="269"/>
      <c r="I324" s="269"/>
      <c r="J324" s="269"/>
      <c r="K324" s="269"/>
      <c r="L324" s="269"/>
      <c r="M324" s="269"/>
      <c r="N324" s="269"/>
      <c r="O324" s="269"/>
      <c r="P324" s="269"/>
      <c r="Q324" s="269"/>
      <c r="R324" s="269"/>
      <c r="S324" s="269"/>
      <c r="T324" s="269"/>
      <c r="U324" s="269"/>
      <c r="V324" s="269"/>
      <c r="W324" s="269"/>
      <c r="X324" s="269"/>
      <c r="Y324" s="269"/>
      <c r="Z324" s="269"/>
      <c r="AA324" s="269"/>
      <c r="AB324" s="269"/>
      <c r="AC324" s="269"/>
      <c r="AD324" s="269"/>
      <c r="AE324" s="269"/>
      <c r="AF324" s="269"/>
      <c r="AG324" s="269"/>
      <c r="AH324" s="269"/>
      <c r="AI324" s="269"/>
      <c r="AJ324" s="269"/>
      <c r="AK324" s="269"/>
      <c r="AL324" s="269"/>
      <c r="AM324" s="269"/>
      <c r="AN324" s="269"/>
      <c r="AO324" s="269"/>
      <c r="AP324" s="269"/>
      <c r="AQ324" s="269"/>
      <c r="AR324" s="269"/>
    </row>
    <row r="325">
      <c r="A325" s="410" t="str">
        <f>IFERROR(__xludf.DUMMYFUNCTION("""COMPUTED_VALUE"""),"WO_ICMS_20260623_123615126")</f>
        <v>WO_ICMS_20260623_123615126</v>
      </c>
      <c r="B325" s="410" t="str">
        <f>IFERROR(__xludf.DUMMYFUNCTION("""COMPUTED_VALUE"""),"TNI0072 MYT_Routine_Maintenance_Mytel_Station MYT_RTE_MTE_SB_STN")</f>
        <v>TNI0072 MYT_Routine_Maintenance_Mytel_Station MYT_RTE_MTE_SB_STN</v>
      </c>
      <c r="C325" s="410">
        <f>IFERROR(__xludf.DUMMYFUNCTION("""COMPUTED_VALUE"""),886.64)</f>
        <v>886.64</v>
      </c>
      <c r="D325" s="410" t="str">
        <f>IFERROR(__xludf.DUMMYFUNCTION("""COMPUTED_VALUE"""),"T1")</f>
        <v>T1</v>
      </c>
      <c r="E325" s="410" t="str">
        <f>IFERROR(__xludf.DUMMYFUNCTION("""COMPUTED_VALUE"""),"TNI0072")</f>
        <v>TNI0072</v>
      </c>
      <c r="F325" s="410" t="str">
        <f>IFERROR(__xludf.DUMMYFUNCTION("""COMPUTED_VALUE"""),"myt_phyoko.ko44")</f>
        <v>myt_phyoko.ko44</v>
      </c>
      <c r="H325" s="269"/>
      <c r="I325" s="269"/>
      <c r="J325" s="269"/>
      <c r="K325" s="269"/>
      <c r="L325" s="269"/>
      <c r="M325" s="269"/>
      <c r="N325" s="269"/>
      <c r="O325" s="269"/>
      <c r="P325" s="269"/>
      <c r="Q325" s="269"/>
      <c r="R325" s="269"/>
      <c r="S325" s="269"/>
      <c r="T325" s="269"/>
      <c r="U325" s="269"/>
      <c r="V325" s="269"/>
      <c r="W325" s="269"/>
      <c r="X325" s="269"/>
      <c r="Y325" s="269"/>
      <c r="Z325" s="269"/>
      <c r="AA325" s="269"/>
      <c r="AB325" s="269"/>
      <c r="AC325" s="269"/>
      <c r="AD325" s="269"/>
      <c r="AE325" s="269"/>
      <c r="AF325" s="269"/>
      <c r="AG325" s="269"/>
      <c r="AH325" s="269"/>
      <c r="AI325" s="269"/>
      <c r="AJ325" s="269"/>
      <c r="AK325" s="269"/>
      <c r="AL325" s="269"/>
      <c r="AM325" s="269"/>
      <c r="AN325" s="269"/>
      <c r="AO325" s="269"/>
      <c r="AP325" s="269"/>
      <c r="AQ325" s="269"/>
      <c r="AR325" s="269"/>
    </row>
    <row r="326">
      <c r="A326" s="410" t="str">
        <f>IFERROR(__xludf.DUMMYFUNCTION("""COMPUTED_VALUE"""),"WO_ICMS_20260623_123615079")</f>
        <v>WO_ICMS_20260623_123615079</v>
      </c>
      <c r="B326" s="410" t="str">
        <f>IFERROR(__xludf.DUMMYFUNCTION("""COMPUTED_VALUE"""),"TNI0256 MYT_Routine_Maintenance_Mytel_Station MYT_RTE_MTE_SB_STN")</f>
        <v>TNI0256 MYT_Routine_Maintenance_Mytel_Station MYT_RTE_MTE_SB_STN</v>
      </c>
      <c r="C326" s="410">
        <f>IFERROR(__xludf.DUMMYFUNCTION("""COMPUTED_VALUE"""),886.64)</f>
        <v>886.64</v>
      </c>
      <c r="D326" s="410" t="str">
        <f>IFERROR(__xludf.DUMMYFUNCTION("""COMPUTED_VALUE"""),"T1")</f>
        <v>T1</v>
      </c>
      <c r="E326" s="410" t="str">
        <f>IFERROR(__xludf.DUMMYFUNCTION("""COMPUTED_VALUE"""),"TNI0256")</f>
        <v>TNI0256</v>
      </c>
      <c r="F326" s="410" t="str">
        <f>IFERROR(__xludf.DUMMYFUNCTION("""COMPUTED_VALUE"""),"myt_phyoko.ko44")</f>
        <v>myt_phyoko.ko44</v>
      </c>
      <c r="H326" s="269"/>
      <c r="I326" s="269"/>
      <c r="J326" s="269"/>
      <c r="K326" s="269"/>
      <c r="L326" s="269"/>
      <c r="M326" s="269"/>
      <c r="N326" s="269"/>
      <c r="O326" s="269"/>
      <c r="P326" s="269"/>
      <c r="Q326" s="269"/>
      <c r="R326" s="269"/>
      <c r="S326" s="269"/>
      <c r="T326" s="269"/>
      <c r="U326" s="269"/>
      <c r="V326" s="269"/>
      <c r="W326" s="269"/>
      <c r="X326" s="269"/>
      <c r="Y326" s="269"/>
      <c r="Z326" s="269"/>
      <c r="AA326" s="269"/>
      <c r="AB326" s="269"/>
      <c r="AC326" s="269"/>
      <c r="AD326" s="269"/>
      <c r="AE326" s="269"/>
      <c r="AF326" s="269"/>
      <c r="AG326" s="269"/>
      <c r="AH326" s="269"/>
      <c r="AI326" s="269"/>
      <c r="AJ326" s="269"/>
      <c r="AK326" s="269"/>
      <c r="AL326" s="269"/>
      <c r="AM326" s="269"/>
      <c r="AN326" s="269"/>
      <c r="AO326" s="269"/>
      <c r="AP326" s="269"/>
      <c r="AQ326" s="269"/>
      <c r="AR326" s="269"/>
    </row>
    <row r="327">
      <c r="A327" s="410" t="str">
        <f>IFERROR(__xludf.DUMMYFUNCTION("""COMPUTED_VALUE"""),"WO_ICMS_20260623_123615074")</f>
        <v>WO_ICMS_20260623_123615074</v>
      </c>
      <c r="B327" s="410" t="str">
        <f>IFERROR(__xludf.DUMMYFUNCTION("""COMPUTED_VALUE"""),"TNI0264 MYT_Routine_Maintenance_Mytel_Station MYT_RTE_MTE_SB_STN")</f>
        <v>TNI0264 MYT_Routine_Maintenance_Mytel_Station MYT_RTE_MTE_SB_STN</v>
      </c>
      <c r="C327" s="410">
        <f>IFERROR(__xludf.DUMMYFUNCTION("""COMPUTED_VALUE"""),886.64)</f>
        <v>886.64</v>
      </c>
      <c r="D327" s="410" t="str">
        <f>IFERROR(__xludf.DUMMYFUNCTION("""COMPUTED_VALUE"""),"T1")</f>
        <v>T1</v>
      </c>
      <c r="E327" s="410" t="str">
        <f>IFERROR(__xludf.DUMMYFUNCTION("""COMPUTED_VALUE"""),"TNI0264")</f>
        <v>TNI0264</v>
      </c>
      <c r="F327" s="410" t="str">
        <f>IFERROR(__xludf.DUMMYFUNCTION("""COMPUTED_VALUE"""),"myt_phyoko.ko44")</f>
        <v>myt_phyoko.ko44</v>
      </c>
      <c r="H327" s="269"/>
      <c r="I327" s="269"/>
      <c r="J327" s="269"/>
      <c r="K327" s="269"/>
      <c r="L327" s="269"/>
      <c r="M327" s="269"/>
      <c r="N327" s="269"/>
      <c r="O327" s="269"/>
      <c r="P327" s="269"/>
      <c r="Q327" s="269"/>
      <c r="R327" s="269"/>
      <c r="S327" s="269"/>
      <c r="T327" s="269"/>
      <c r="U327" s="269"/>
      <c r="V327" s="269"/>
      <c r="W327" s="269"/>
      <c r="X327" s="269"/>
      <c r="Y327" s="269"/>
      <c r="Z327" s="269"/>
      <c r="AA327" s="269"/>
      <c r="AB327" s="269"/>
      <c r="AC327" s="269"/>
      <c r="AD327" s="269"/>
      <c r="AE327" s="269"/>
      <c r="AF327" s="269"/>
      <c r="AG327" s="269"/>
      <c r="AH327" s="269"/>
      <c r="AI327" s="269"/>
      <c r="AJ327" s="269"/>
      <c r="AK327" s="269"/>
      <c r="AL327" s="269"/>
      <c r="AM327" s="269"/>
      <c r="AN327" s="269"/>
      <c r="AO327" s="269"/>
      <c r="AP327" s="269"/>
      <c r="AQ327" s="269"/>
      <c r="AR327" s="269"/>
    </row>
    <row r="328">
      <c r="A328" s="410" t="str">
        <f>IFERROR(__xludf.DUMMYFUNCTION("""COMPUTED_VALUE"""),"WO_ICMS_20260623_123615073")</f>
        <v>WO_ICMS_20260623_123615073</v>
      </c>
      <c r="B328" s="410" t="str">
        <f>IFERROR(__xludf.DUMMYFUNCTION("""COMPUTED_VALUE"""),"TNI0265 MYT_Routine_Maintenance_Mytel_Station MYT_RTE_MTE_SB_STN")</f>
        <v>TNI0265 MYT_Routine_Maintenance_Mytel_Station MYT_RTE_MTE_SB_STN</v>
      </c>
      <c r="C328" s="410">
        <f>IFERROR(__xludf.DUMMYFUNCTION("""COMPUTED_VALUE"""),886.64)</f>
        <v>886.64</v>
      </c>
      <c r="D328" s="410" t="str">
        <f>IFERROR(__xludf.DUMMYFUNCTION("""COMPUTED_VALUE"""),"T1")</f>
        <v>T1</v>
      </c>
      <c r="E328" s="410" t="str">
        <f>IFERROR(__xludf.DUMMYFUNCTION("""COMPUTED_VALUE"""),"TNI0265")</f>
        <v>TNI0265</v>
      </c>
      <c r="F328" s="410" t="str">
        <f>IFERROR(__xludf.DUMMYFUNCTION("""COMPUTED_VALUE"""),"myt_phyoko.ko44")</f>
        <v>myt_phyoko.ko44</v>
      </c>
      <c r="H328" s="269"/>
      <c r="I328" s="269"/>
      <c r="J328" s="269"/>
      <c r="K328" s="269"/>
      <c r="L328" s="269"/>
      <c r="M328" s="269"/>
      <c r="N328" s="269"/>
      <c r="O328" s="269"/>
      <c r="P328" s="269"/>
      <c r="Q328" s="269"/>
      <c r="R328" s="269"/>
      <c r="S328" s="269"/>
      <c r="T328" s="269"/>
      <c r="U328" s="269"/>
      <c r="V328" s="269"/>
      <c r="W328" s="269"/>
      <c r="X328" s="269"/>
      <c r="Y328" s="269"/>
      <c r="Z328" s="269"/>
      <c r="AA328" s="269"/>
      <c r="AB328" s="269"/>
      <c r="AC328" s="269"/>
      <c r="AD328" s="269"/>
      <c r="AE328" s="269"/>
      <c r="AF328" s="269"/>
      <c r="AG328" s="269"/>
      <c r="AH328" s="269"/>
      <c r="AI328" s="269"/>
      <c r="AJ328" s="269"/>
      <c r="AK328" s="269"/>
      <c r="AL328" s="269"/>
      <c r="AM328" s="269"/>
      <c r="AN328" s="269"/>
      <c r="AO328" s="269"/>
      <c r="AP328" s="269"/>
      <c r="AQ328" s="269"/>
      <c r="AR328" s="269"/>
    </row>
    <row r="329">
      <c r="A329" s="410" t="str">
        <f>IFERROR(__xludf.DUMMYFUNCTION("""COMPUTED_VALUE"""),"WO_ICMS_20260623_123615067")</f>
        <v>WO_ICMS_20260623_123615067</v>
      </c>
      <c r="B329" s="410" t="str">
        <f>IFERROR(__xludf.DUMMYFUNCTION("""COMPUTED_VALUE"""),"TNI0321 MYT_Routine_Maintenance_Mytel_Station MYT_RTE_MTE_SB_STN")</f>
        <v>TNI0321 MYT_Routine_Maintenance_Mytel_Station MYT_RTE_MTE_SB_STN</v>
      </c>
      <c r="C329" s="410">
        <f>IFERROR(__xludf.DUMMYFUNCTION("""COMPUTED_VALUE"""),886.64)</f>
        <v>886.64</v>
      </c>
      <c r="D329" s="410" t="str">
        <f>IFERROR(__xludf.DUMMYFUNCTION("""COMPUTED_VALUE"""),"T1")</f>
        <v>T1</v>
      </c>
      <c r="E329" s="410" t="str">
        <f>IFERROR(__xludf.DUMMYFUNCTION("""COMPUTED_VALUE"""),"TNI0321")</f>
        <v>TNI0321</v>
      </c>
      <c r="F329" s="410" t="str">
        <f>IFERROR(__xludf.DUMMYFUNCTION("""COMPUTED_VALUE"""),"myt_phyoko.ko44")</f>
        <v>myt_phyoko.ko44</v>
      </c>
      <c r="H329" s="269"/>
      <c r="I329" s="269"/>
      <c r="J329" s="269"/>
      <c r="K329" s="269"/>
      <c r="L329" s="269"/>
      <c r="M329" s="269"/>
      <c r="N329" s="269"/>
      <c r="O329" s="269"/>
      <c r="P329" s="269"/>
      <c r="Q329" s="269"/>
      <c r="R329" s="269"/>
      <c r="S329" s="269"/>
      <c r="T329" s="269"/>
      <c r="U329" s="269"/>
      <c r="V329" s="269"/>
      <c r="W329" s="269"/>
      <c r="X329" s="269"/>
      <c r="Y329" s="269"/>
      <c r="Z329" s="269"/>
      <c r="AA329" s="269"/>
      <c r="AB329" s="269"/>
      <c r="AC329" s="269"/>
      <c r="AD329" s="269"/>
      <c r="AE329" s="269"/>
      <c r="AF329" s="269"/>
      <c r="AG329" s="269"/>
      <c r="AH329" s="269"/>
      <c r="AI329" s="269"/>
      <c r="AJ329" s="269"/>
      <c r="AK329" s="269"/>
      <c r="AL329" s="269"/>
      <c r="AM329" s="269"/>
      <c r="AN329" s="269"/>
      <c r="AO329" s="269"/>
      <c r="AP329" s="269"/>
      <c r="AQ329" s="269"/>
      <c r="AR329" s="269"/>
    </row>
    <row r="330">
      <c r="A330" s="410" t="str">
        <f>IFERROR(__xludf.DUMMYFUNCTION("""COMPUTED_VALUE"""),"WO_ICMS_20260623_123611327")</f>
        <v>WO_ICMS_20260623_123611327</v>
      </c>
      <c r="B330" s="410" t="str">
        <f>IFERROR(__xludf.DUMMYFUNCTION("""COMPUTED_VALUE"""),"TNI0018 MYT_Routine_Maintenance_Towerco_Station MYT_RTE_MTE_TCO_STN")</f>
        <v>TNI0018 MYT_Routine_Maintenance_Towerco_Station MYT_RTE_MTE_TCO_STN</v>
      </c>
      <c r="C330" s="410">
        <f>IFERROR(__xludf.DUMMYFUNCTION("""COMPUTED_VALUE"""),882.55)</f>
        <v>882.55</v>
      </c>
      <c r="D330" s="410" t="str">
        <f>IFERROR(__xludf.DUMMYFUNCTION("""COMPUTED_VALUE"""),"T1")</f>
        <v>T1</v>
      </c>
      <c r="E330" s="410" t="str">
        <f>IFERROR(__xludf.DUMMYFUNCTION("""COMPUTED_VALUE"""),"TNI0018")</f>
        <v>TNI0018</v>
      </c>
      <c r="F330" s="410" t="str">
        <f>IFERROR(__xludf.DUMMYFUNCTION("""COMPUTED_VALUE"""),"myt_phyoko.ko44")</f>
        <v>myt_phyoko.ko44</v>
      </c>
      <c r="H330" s="269"/>
      <c r="I330" s="269"/>
      <c r="J330" s="269"/>
      <c r="K330" s="269"/>
      <c r="L330" s="269"/>
      <c r="M330" s="269"/>
      <c r="N330" s="269"/>
      <c r="O330" s="269"/>
      <c r="P330" s="269"/>
      <c r="Q330" s="269"/>
      <c r="R330" s="269"/>
      <c r="S330" s="269"/>
      <c r="T330" s="269"/>
      <c r="U330" s="269"/>
      <c r="V330" s="269"/>
      <c r="W330" s="269"/>
      <c r="X330" s="269"/>
      <c r="Y330" s="269"/>
      <c r="Z330" s="269"/>
      <c r="AA330" s="269"/>
      <c r="AB330" s="269"/>
      <c r="AC330" s="269"/>
      <c r="AD330" s="269"/>
      <c r="AE330" s="269"/>
      <c r="AF330" s="269"/>
      <c r="AG330" s="269"/>
      <c r="AH330" s="269"/>
      <c r="AI330" s="269"/>
      <c r="AJ330" s="269"/>
      <c r="AK330" s="269"/>
      <c r="AL330" s="269"/>
      <c r="AM330" s="269"/>
      <c r="AN330" s="269"/>
      <c r="AO330" s="269"/>
      <c r="AP330" s="269"/>
      <c r="AQ330" s="269"/>
      <c r="AR330" s="269"/>
    </row>
    <row r="331">
      <c r="A331" s="410" t="str">
        <f>IFERROR(__xludf.DUMMYFUNCTION("""COMPUTED_VALUE"""),"WO_ICMS_20260623_123611326")</f>
        <v>WO_ICMS_20260623_123611326</v>
      </c>
      <c r="B331" s="410" t="str">
        <f>IFERROR(__xludf.DUMMYFUNCTION("""COMPUTED_VALUE"""),"TNI0019 MYT_Routine_Maintenance_Towerco_Station MYT_RTE_MTE_TCO_STN")</f>
        <v>TNI0019 MYT_Routine_Maintenance_Towerco_Station MYT_RTE_MTE_TCO_STN</v>
      </c>
      <c r="C331" s="410">
        <f>IFERROR(__xludf.DUMMYFUNCTION("""COMPUTED_VALUE"""),882.55)</f>
        <v>882.55</v>
      </c>
      <c r="D331" s="410" t="str">
        <f>IFERROR(__xludf.DUMMYFUNCTION("""COMPUTED_VALUE"""),"T1")</f>
        <v>T1</v>
      </c>
      <c r="E331" s="410" t="str">
        <f>IFERROR(__xludf.DUMMYFUNCTION("""COMPUTED_VALUE"""),"TNI0019")</f>
        <v>TNI0019</v>
      </c>
      <c r="F331" s="410" t="str">
        <f>IFERROR(__xludf.DUMMYFUNCTION("""COMPUTED_VALUE"""),"myt_phyoko.ko44")</f>
        <v>myt_phyoko.ko44</v>
      </c>
      <c r="H331" s="269"/>
      <c r="I331" s="269"/>
      <c r="J331" s="269"/>
      <c r="K331" s="269"/>
      <c r="L331" s="269"/>
      <c r="M331" s="269"/>
      <c r="N331" s="269"/>
      <c r="O331" s="269"/>
      <c r="P331" s="269"/>
      <c r="Q331" s="269"/>
      <c r="R331" s="269"/>
      <c r="S331" s="269"/>
      <c r="T331" s="269"/>
      <c r="U331" s="269"/>
      <c r="V331" s="269"/>
      <c r="W331" s="269"/>
      <c r="X331" s="269"/>
      <c r="Y331" s="269"/>
      <c r="Z331" s="269"/>
      <c r="AA331" s="269"/>
      <c r="AB331" s="269"/>
      <c r="AC331" s="269"/>
      <c r="AD331" s="269"/>
      <c r="AE331" s="269"/>
      <c r="AF331" s="269"/>
      <c r="AG331" s="269"/>
      <c r="AH331" s="269"/>
      <c r="AI331" s="269"/>
      <c r="AJ331" s="269"/>
      <c r="AK331" s="269"/>
      <c r="AL331" s="269"/>
      <c r="AM331" s="269"/>
      <c r="AN331" s="269"/>
      <c r="AO331" s="269"/>
      <c r="AP331" s="269"/>
      <c r="AQ331" s="269"/>
      <c r="AR331" s="269"/>
    </row>
    <row r="332">
      <c r="A332" s="410" t="str">
        <f>IFERROR(__xludf.DUMMYFUNCTION("""COMPUTED_VALUE"""),"WO_WFM-OTHERS_20260622_123603056")</f>
        <v>WO_WFM-OTHERS_20260622_123603056</v>
      </c>
      <c r="B332" s="410" t="str">
        <f>IFERROR(__xludf.DUMMYFUNCTION("""COMPUTED_VALUE"""),"TNI0247_Cleaning Radiator and change engine oil")</f>
        <v>TNI0247_Cleaning Radiator and change engine oil</v>
      </c>
      <c r="C332" s="410">
        <f>IFERROR(__xludf.DUMMYFUNCTION("""COMPUTED_VALUE"""),-41.95)</f>
        <v>-41.95</v>
      </c>
      <c r="D332" s="410" t="str">
        <f>IFERROR(__xludf.DUMMYFUNCTION("""COMPUTED_VALUE"""),"T1")</f>
        <v>T1</v>
      </c>
      <c r="E332" s="410" t="str">
        <f>IFERROR(__xludf.DUMMYFUNCTION("""COMPUTED_VALUE"""),"TNI0247")</f>
        <v>TNI0247</v>
      </c>
      <c r="F332" s="410" t="str">
        <f>IFERROR(__xludf.DUMMYFUNCTION("""COMPUTED_VALUE"""),"myt_phyoko.ko44")</f>
        <v>myt_phyoko.ko44</v>
      </c>
      <c r="H332" s="269"/>
      <c r="I332" s="269"/>
      <c r="J332" s="269"/>
      <c r="K332" s="269"/>
      <c r="L332" s="269"/>
      <c r="M332" s="269"/>
      <c r="N332" s="269"/>
      <c r="O332" s="269"/>
      <c r="P332" s="269"/>
      <c r="Q332" s="269"/>
      <c r="R332" s="269"/>
      <c r="S332" s="269"/>
      <c r="T332" s="269"/>
      <c r="U332" s="269"/>
      <c r="V332" s="269"/>
      <c r="W332" s="269"/>
      <c r="X332" s="269"/>
      <c r="Y332" s="269"/>
      <c r="Z332" s="269"/>
      <c r="AA332" s="269"/>
      <c r="AB332" s="269"/>
      <c r="AC332" s="269"/>
      <c r="AD332" s="269"/>
      <c r="AE332" s="269"/>
      <c r="AF332" s="269"/>
      <c r="AG332" s="269"/>
      <c r="AH332" s="269"/>
      <c r="AI332" s="269"/>
      <c r="AJ332" s="269"/>
      <c r="AK332" s="269"/>
      <c r="AL332" s="269"/>
      <c r="AM332" s="269"/>
      <c r="AN332" s="269"/>
      <c r="AO332" s="269"/>
      <c r="AP332" s="269"/>
      <c r="AQ332" s="269"/>
      <c r="AR332" s="269"/>
    </row>
    <row r="333">
      <c r="A333" s="410" t="str">
        <f>IFERROR(__xludf.DUMMYFUNCTION("""COMPUTED_VALUE"""),"WO_WFM-OTHERS_20260622_123603209")</f>
        <v>WO_WFM-OTHERS_20260622_123603209</v>
      </c>
      <c r="B333" s="410" t="str">
        <f>IFERROR(__xludf.DUMMYFUNCTION("""COMPUTED_VALUE"""),"TNI0245_Cleaning Radiator and change engine oil")</f>
        <v>TNI0245_Cleaning Radiator and change engine oil</v>
      </c>
      <c r="C333" s="410">
        <f>IFERROR(__xludf.DUMMYFUNCTION("""COMPUTED_VALUE"""),-41.95)</f>
        <v>-41.95</v>
      </c>
      <c r="D333" s="410" t="str">
        <f>IFERROR(__xludf.DUMMYFUNCTION("""COMPUTED_VALUE"""),"T1")</f>
        <v>T1</v>
      </c>
      <c r="E333" s="410" t="str">
        <f>IFERROR(__xludf.DUMMYFUNCTION("""COMPUTED_VALUE"""),"TNI0245")</f>
        <v>TNI0245</v>
      </c>
      <c r="F333" s="410" t="str">
        <f>IFERROR(__xludf.DUMMYFUNCTION("""COMPUTED_VALUE"""),"myt_phyoko.ko44")</f>
        <v>myt_phyoko.ko44</v>
      </c>
      <c r="H333" s="269"/>
      <c r="I333" s="269"/>
      <c r="J333" s="269"/>
      <c r="K333" s="269"/>
      <c r="L333" s="269"/>
      <c r="M333" s="269"/>
      <c r="N333" s="269"/>
      <c r="O333" s="269"/>
      <c r="P333" s="269"/>
      <c r="Q333" s="269"/>
      <c r="R333" s="269"/>
      <c r="S333" s="269"/>
      <c r="T333" s="269"/>
      <c r="U333" s="269"/>
      <c r="V333" s="269"/>
      <c r="W333" s="269"/>
      <c r="X333" s="269"/>
      <c r="Y333" s="269"/>
      <c r="Z333" s="269"/>
      <c r="AA333" s="269"/>
      <c r="AB333" s="269"/>
      <c r="AC333" s="269"/>
      <c r="AD333" s="269"/>
      <c r="AE333" s="269"/>
      <c r="AF333" s="269"/>
      <c r="AG333" s="269"/>
      <c r="AH333" s="269"/>
      <c r="AI333" s="269"/>
      <c r="AJ333" s="269"/>
      <c r="AK333" s="269"/>
      <c r="AL333" s="269"/>
      <c r="AM333" s="269"/>
      <c r="AN333" s="269"/>
      <c r="AO333" s="269"/>
      <c r="AP333" s="269"/>
      <c r="AQ333" s="269"/>
      <c r="AR333" s="269"/>
    </row>
    <row r="334">
      <c r="A334" s="410" t="str">
        <f>IFERROR(__xludf.DUMMYFUNCTION("""COMPUTED_VALUE"""),"WO_WFM-OTHERS_20260622_123603198")</f>
        <v>WO_WFM-OTHERS_20260622_123603198</v>
      </c>
      <c r="B334" s="410" t="str">
        <f>IFERROR(__xludf.DUMMYFUNCTION("""COMPUTED_VALUE"""),"TNI0231_Cleaning Radiator and change engine oil")</f>
        <v>TNI0231_Cleaning Radiator and change engine oil</v>
      </c>
      <c r="C334" s="410">
        <f>IFERROR(__xludf.DUMMYFUNCTION("""COMPUTED_VALUE"""),-41.95)</f>
        <v>-41.95</v>
      </c>
      <c r="D334" s="410" t="str">
        <f>IFERROR(__xludf.DUMMYFUNCTION("""COMPUTED_VALUE"""),"T1")</f>
        <v>T1</v>
      </c>
      <c r="E334" s="410" t="str">
        <f>IFERROR(__xludf.DUMMYFUNCTION("""COMPUTED_VALUE"""),"TNI0231")</f>
        <v>TNI0231</v>
      </c>
      <c r="F334" s="410" t="str">
        <f>IFERROR(__xludf.DUMMYFUNCTION("""COMPUTED_VALUE"""),"myt_phyoko.ko44")</f>
        <v>myt_phyoko.ko44</v>
      </c>
      <c r="H334" s="269"/>
      <c r="I334" s="269"/>
      <c r="J334" s="269"/>
      <c r="K334" s="269"/>
      <c r="L334" s="269"/>
      <c r="M334" s="269"/>
      <c r="N334" s="269"/>
      <c r="O334" s="269"/>
      <c r="P334" s="269"/>
      <c r="Q334" s="269"/>
      <c r="R334" s="269"/>
      <c r="S334" s="269"/>
      <c r="T334" s="269"/>
      <c r="U334" s="269"/>
      <c r="V334" s="269"/>
      <c r="W334" s="269"/>
      <c r="X334" s="269"/>
      <c r="Y334" s="269"/>
      <c r="Z334" s="269"/>
      <c r="AA334" s="269"/>
      <c r="AB334" s="269"/>
      <c r="AC334" s="269"/>
      <c r="AD334" s="269"/>
      <c r="AE334" s="269"/>
      <c r="AF334" s="269"/>
      <c r="AG334" s="269"/>
      <c r="AH334" s="269"/>
      <c r="AI334" s="269"/>
      <c r="AJ334" s="269"/>
      <c r="AK334" s="269"/>
      <c r="AL334" s="269"/>
      <c r="AM334" s="269"/>
      <c r="AN334" s="269"/>
      <c r="AO334" s="269"/>
      <c r="AP334" s="269"/>
      <c r="AQ334" s="269"/>
      <c r="AR334" s="269"/>
    </row>
    <row r="335">
      <c r="A335" s="410" t="str">
        <f>IFERROR(__xludf.DUMMYFUNCTION("""COMPUTED_VALUE"""),"WO_WFM-OTHERS_20260622_123602698")</f>
        <v>WO_WFM-OTHERS_20260622_123602698</v>
      </c>
      <c r="B335" s="410" t="str">
        <f>IFERROR(__xludf.DUMMYFUNCTION("""COMPUTED_VALUE"""),"TNI0013_Cleaning Radiator and change engine oil")</f>
        <v>TNI0013_Cleaning Radiator and change engine oil</v>
      </c>
      <c r="C335" s="410">
        <f>IFERROR(__xludf.DUMMYFUNCTION("""COMPUTED_VALUE"""),-41.95)</f>
        <v>-41.95</v>
      </c>
      <c r="D335" s="410" t="str">
        <f>IFERROR(__xludf.DUMMYFUNCTION("""COMPUTED_VALUE"""),"T1")</f>
        <v>T1</v>
      </c>
      <c r="E335" s="410" t="str">
        <f>IFERROR(__xludf.DUMMYFUNCTION("""COMPUTED_VALUE"""),"TNI0013")</f>
        <v>TNI0013</v>
      </c>
      <c r="F335" s="410" t="str">
        <f>IFERROR(__xludf.DUMMYFUNCTION("""COMPUTED_VALUE"""),"myt_phyoko.ko44")</f>
        <v>myt_phyoko.ko44</v>
      </c>
      <c r="H335" s="269"/>
      <c r="I335" s="269"/>
      <c r="J335" s="269"/>
      <c r="K335" s="269"/>
      <c r="L335" s="269"/>
      <c r="M335" s="269"/>
      <c r="N335" s="269"/>
      <c r="O335" s="269"/>
      <c r="P335" s="269"/>
      <c r="Q335" s="269"/>
      <c r="R335" s="269"/>
      <c r="S335" s="269"/>
      <c r="T335" s="269"/>
      <c r="U335" s="269"/>
      <c r="V335" s="269"/>
      <c r="W335" s="269"/>
      <c r="X335" s="269"/>
      <c r="Y335" s="269"/>
      <c r="Z335" s="269"/>
      <c r="AA335" s="269"/>
      <c r="AB335" s="269"/>
      <c r="AC335" s="269"/>
      <c r="AD335" s="269"/>
      <c r="AE335" s="269"/>
      <c r="AF335" s="269"/>
      <c r="AG335" s="269"/>
      <c r="AH335" s="269"/>
      <c r="AI335" s="269"/>
      <c r="AJ335" s="269"/>
      <c r="AK335" s="269"/>
      <c r="AL335" s="269"/>
      <c r="AM335" s="269"/>
      <c r="AN335" s="269"/>
      <c r="AO335" s="269"/>
      <c r="AP335" s="269"/>
      <c r="AQ335" s="269"/>
      <c r="AR335" s="269"/>
    </row>
    <row r="336">
      <c r="A336" s="410" t="str">
        <f>IFERROR(__xludf.DUMMYFUNCTION("""COMPUTED_VALUE"""),"WO_QLCTKT_20260614_123519638")</f>
        <v>WO_QLCTKT_20260614_123519638</v>
      </c>
      <c r="B336" s="410" t="str">
        <f>IFERROR(__xludf.DUMMYFUNCTION("""COMPUTED_VALUE"""),"TNI0198 MYT_Maintenance_Generator_Change_Oil - MYT_Maintenance_Generator_Change_Oil_Filter - MYT_Maintenance_Generator_Change_Fuel_Filter - MYT_Maintenance_Generator_Change_Air_Filter, Clean Radiator and Clean Engine Room - MYT_Checking quality for DG Fue"&amp;"l")</f>
        <v>TNI0198 MYT_Maintenance_Generator_Change_Oil - MYT_Maintenance_Generator_Change_Oil_Filter - MYT_Maintenance_Generator_Change_Fuel_Filter - MYT_Maintenance_Generator_Change_Air_Filter, Clean Radiator and Clean Engine Room - MYT_Checking quality for DG Fuel</v>
      </c>
      <c r="C336" s="410">
        <f>IFERROR(__xludf.DUMMYFUNCTION("""COMPUTED_VALUE"""),-304.95)</f>
        <v>-304.95</v>
      </c>
      <c r="D336" s="410" t="str">
        <f>IFERROR(__xludf.DUMMYFUNCTION("""COMPUTED_VALUE"""),"T1")</f>
        <v>T1</v>
      </c>
      <c r="E336" s="410" t="str">
        <f>IFERROR(__xludf.DUMMYFUNCTION("""COMPUTED_VALUE"""),"TNI0198: 8KVA")</f>
        <v>TNI0198: 8KVA</v>
      </c>
      <c r="F336" s="410" t="str">
        <f>IFERROR(__xludf.DUMMYFUNCTION("""COMPUTED_VALUE"""),"myt_phyoko.ko44")</f>
        <v>myt_phyoko.ko44</v>
      </c>
      <c r="H336" s="269"/>
      <c r="I336" s="269"/>
      <c r="J336" s="269"/>
      <c r="K336" s="269"/>
      <c r="L336" s="269"/>
      <c r="M336" s="269"/>
      <c r="N336" s="269"/>
      <c r="O336" s="269"/>
      <c r="P336" s="269"/>
      <c r="Q336" s="269"/>
      <c r="R336" s="269"/>
      <c r="S336" s="269"/>
      <c r="T336" s="269"/>
      <c r="U336" s="269"/>
      <c r="V336" s="269"/>
      <c r="W336" s="269"/>
      <c r="X336" s="269"/>
      <c r="Y336" s="269"/>
      <c r="Z336" s="269"/>
      <c r="AA336" s="269"/>
      <c r="AB336" s="269"/>
      <c r="AC336" s="269"/>
      <c r="AD336" s="269"/>
      <c r="AE336" s="269"/>
      <c r="AF336" s="269"/>
      <c r="AG336" s="269"/>
      <c r="AH336" s="269"/>
      <c r="AI336" s="269"/>
      <c r="AJ336" s="269"/>
      <c r="AK336" s="269"/>
      <c r="AL336" s="269"/>
      <c r="AM336" s="269"/>
      <c r="AN336" s="269"/>
      <c r="AO336" s="269"/>
      <c r="AP336" s="269"/>
      <c r="AQ336" s="269"/>
      <c r="AR336" s="269"/>
    </row>
    <row r="337">
      <c r="A337" s="410" t="str">
        <f>IFERROR(__xludf.DUMMYFUNCTION("""COMPUTED_VALUE"""),"WO_WFM-OTHERS_20260605_123451652")</f>
        <v>WO_WFM-OTHERS_20260605_123451652</v>
      </c>
      <c r="B337" s="410" t="str">
        <f>IFERROR(__xludf.DUMMYFUNCTION("""COMPUTED_VALUE"""),"TNI0046 MYT_Maintenance_Generator_Cleaning Rediator - MYT_Maintenance_Generator_Checking Coolant Level - MYT_Maintenance_Generator_Change Engine Oil")</f>
        <v>TNI0046 MYT_Maintenance_Generator_Cleaning Rediator - MYT_Maintenance_Generator_Checking Coolant Level - MYT_Maintenance_Generator_Change Engine Oil</v>
      </c>
      <c r="C337" s="410">
        <f>IFERROR(__xludf.DUMMYFUNCTION("""COMPUTED_VALUE"""),-280.95)</f>
        <v>-280.95</v>
      </c>
      <c r="D337" s="410" t="str">
        <f>IFERROR(__xludf.DUMMYFUNCTION("""COMPUTED_VALUE"""),"T1")</f>
        <v>T1</v>
      </c>
      <c r="E337" s="410" t="str">
        <f>IFERROR(__xludf.DUMMYFUNCTION("""COMPUTED_VALUE"""),"TNI0381: 8KVA")</f>
        <v>TNI0381: 8KVA</v>
      </c>
      <c r="F337" s="410" t="str">
        <f>IFERROR(__xludf.DUMMYFUNCTION("""COMPUTED_VALUE"""),"myt_phyoko.ko44")</f>
        <v>myt_phyoko.ko44</v>
      </c>
      <c r="H337" s="269"/>
      <c r="I337" s="269"/>
      <c r="J337" s="269"/>
      <c r="K337" s="269"/>
      <c r="L337" s="269"/>
      <c r="M337" s="269"/>
      <c r="N337" s="269"/>
      <c r="O337" s="269"/>
      <c r="P337" s="269"/>
      <c r="Q337" s="269"/>
      <c r="R337" s="269"/>
      <c r="S337" s="269"/>
      <c r="T337" s="269"/>
      <c r="U337" s="269"/>
      <c r="V337" s="269"/>
      <c r="W337" s="269"/>
      <c r="X337" s="269"/>
      <c r="Y337" s="269"/>
      <c r="Z337" s="269"/>
      <c r="AA337" s="269"/>
      <c r="AB337" s="269"/>
      <c r="AC337" s="269"/>
      <c r="AD337" s="269"/>
      <c r="AE337" s="269"/>
      <c r="AF337" s="269"/>
      <c r="AG337" s="269"/>
      <c r="AH337" s="269"/>
      <c r="AI337" s="269"/>
      <c r="AJ337" s="269"/>
      <c r="AK337" s="269"/>
      <c r="AL337" s="269"/>
      <c r="AM337" s="269"/>
      <c r="AN337" s="269"/>
      <c r="AO337" s="269"/>
      <c r="AP337" s="269"/>
      <c r="AQ337" s="269"/>
      <c r="AR337" s="269"/>
    </row>
    <row r="338">
      <c r="A338" s="410" t="str">
        <f>IFERROR(__xludf.DUMMYFUNCTION("""COMPUTED_VALUE"""),"WO_WFM-OTHERS_20260605_123451647")</f>
        <v>WO_WFM-OTHERS_20260605_123451647</v>
      </c>
      <c r="B338" s="410" t="str">
        <f>IFERROR(__xludf.DUMMYFUNCTION("""COMPUTED_VALUE"""),"TNI0040 MYT_Maintenance_Generator_Cleaning Rediator - MYT_Maintenance_Generator_Checking Coolant Level - MYT_Maintenance_Generator_Change Engine Oil")</f>
        <v>TNI0040 MYT_Maintenance_Generator_Cleaning Rediator - MYT_Maintenance_Generator_Checking Coolant Level - MYT_Maintenance_Generator_Change Engine Oil</v>
      </c>
      <c r="C338" s="410">
        <f>IFERROR(__xludf.DUMMYFUNCTION("""COMPUTED_VALUE"""),-280.95)</f>
        <v>-280.95</v>
      </c>
      <c r="D338" s="410" t="str">
        <f>IFERROR(__xludf.DUMMYFUNCTION("""COMPUTED_VALUE"""),"T1")</f>
        <v>T1</v>
      </c>
      <c r="E338" s="410" t="str">
        <f>IFERROR(__xludf.DUMMYFUNCTION("""COMPUTED_VALUE"""),"TNI0381: 8KVA")</f>
        <v>TNI0381: 8KVA</v>
      </c>
      <c r="F338" s="410" t="str">
        <f>IFERROR(__xludf.DUMMYFUNCTION("""COMPUTED_VALUE"""),"myt_phyoko.ko44")</f>
        <v>myt_phyoko.ko44</v>
      </c>
      <c r="H338" s="269"/>
      <c r="I338" s="269"/>
      <c r="J338" s="269"/>
      <c r="K338" s="269"/>
      <c r="L338" s="269"/>
      <c r="M338" s="269"/>
      <c r="N338" s="269"/>
      <c r="O338" s="269"/>
      <c r="P338" s="269"/>
      <c r="Q338" s="269"/>
      <c r="R338" s="269"/>
      <c r="S338" s="269"/>
      <c r="T338" s="269"/>
      <c r="U338" s="269"/>
      <c r="V338" s="269"/>
      <c r="W338" s="269"/>
      <c r="X338" s="269"/>
      <c r="Y338" s="269"/>
      <c r="Z338" s="269"/>
      <c r="AA338" s="269"/>
      <c r="AB338" s="269"/>
      <c r="AC338" s="269"/>
      <c r="AD338" s="269"/>
      <c r="AE338" s="269"/>
      <c r="AF338" s="269"/>
      <c r="AG338" s="269"/>
      <c r="AH338" s="269"/>
      <c r="AI338" s="269"/>
      <c r="AJ338" s="269"/>
      <c r="AK338" s="269"/>
      <c r="AL338" s="269"/>
      <c r="AM338" s="269"/>
      <c r="AN338" s="269"/>
      <c r="AO338" s="269"/>
      <c r="AP338" s="269"/>
      <c r="AQ338" s="269"/>
      <c r="AR338" s="269"/>
    </row>
    <row r="339">
      <c r="A339" s="410" t="str">
        <f>IFERROR(__xludf.DUMMYFUNCTION("""COMPUTED_VALUE"""),"WO_WFM-OTHERS_20260605_123451574")</f>
        <v>WO_WFM-OTHERS_20260605_123451574</v>
      </c>
      <c r="B339" s="410" t="str">
        <f>IFERROR(__xludf.DUMMYFUNCTION("""COMPUTED_VALUE"""),"TNI0257 MYT_Maintenance_Generator_Cleaning Rediator - MYT_Maintenance_Generator_Checking Coolant Level")</f>
        <v>TNI0257 MYT_Maintenance_Generator_Cleaning Rediator - MYT_Maintenance_Generator_Checking Coolant Level</v>
      </c>
      <c r="C339" s="410">
        <f>IFERROR(__xludf.DUMMYFUNCTION("""COMPUTED_VALUE"""),-280.95)</f>
        <v>-280.95</v>
      </c>
      <c r="D339" s="410" t="str">
        <f>IFERROR(__xludf.DUMMYFUNCTION("""COMPUTED_VALUE"""),"T1")</f>
        <v>T1</v>
      </c>
      <c r="E339" s="410" t="str">
        <f>IFERROR(__xludf.DUMMYFUNCTION("""COMPUTED_VALUE"""),"TNI0381: 8KVA")</f>
        <v>TNI0381: 8KVA</v>
      </c>
      <c r="F339" s="410" t="str">
        <f>IFERROR(__xludf.DUMMYFUNCTION("""COMPUTED_VALUE"""),"myt_phyoko.ko44")</f>
        <v>myt_phyoko.ko44</v>
      </c>
      <c r="H339" s="269"/>
      <c r="I339" s="269"/>
      <c r="J339" s="269"/>
      <c r="K339" s="269"/>
      <c r="L339" s="269"/>
      <c r="M339" s="269"/>
      <c r="N339" s="269"/>
      <c r="O339" s="269"/>
      <c r="P339" s="269"/>
      <c r="Q339" s="269"/>
      <c r="R339" s="269"/>
      <c r="S339" s="269"/>
      <c r="T339" s="269"/>
      <c r="U339" s="269"/>
      <c r="V339" s="269"/>
      <c r="W339" s="269"/>
      <c r="X339" s="269"/>
      <c r="Y339" s="269"/>
      <c r="Z339" s="269"/>
      <c r="AA339" s="269"/>
      <c r="AB339" s="269"/>
      <c r="AC339" s="269"/>
      <c r="AD339" s="269"/>
      <c r="AE339" s="269"/>
      <c r="AF339" s="269"/>
      <c r="AG339" s="269"/>
      <c r="AH339" s="269"/>
      <c r="AI339" s="269"/>
      <c r="AJ339" s="269"/>
      <c r="AK339" s="269"/>
      <c r="AL339" s="269"/>
      <c r="AM339" s="269"/>
      <c r="AN339" s="269"/>
      <c r="AO339" s="269"/>
      <c r="AP339" s="269"/>
      <c r="AQ339" s="269"/>
      <c r="AR339" s="269"/>
    </row>
    <row r="340">
      <c r="A340" s="410" t="str">
        <f>IFERROR(__xludf.DUMMYFUNCTION("""COMPUTED_VALUE"""),"WO_WFM-OTHERS_20260605_123451350")</f>
        <v>WO_WFM-OTHERS_20260605_123451350</v>
      </c>
      <c r="B340" s="410" t="str">
        <f>IFERROR(__xludf.DUMMYFUNCTION("""COMPUTED_VALUE"""),"TNI0050 MYT_Maintenance_Generator_Cleaning Rediator - MYT_Maintenance_Generator_Checking Coolant Level")</f>
        <v>TNI0050 MYT_Maintenance_Generator_Cleaning Rediator - MYT_Maintenance_Generator_Checking Coolant Level</v>
      </c>
      <c r="C340" s="410">
        <f>IFERROR(__xludf.DUMMYFUNCTION("""COMPUTED_VALUE"""),-280.95)</f>
        <v>-280.95</v>
      </c>
      <c r="D340" s="410" t="str">
        <f>IFERROR(__xludf.DUMMYFUNCTION("""COMPUTED_VALUE"""),"T1")</f>
        <v>T1</v>
      </c>
      <c r="E340" s="410" t="str">
        <f>IFERROR(__xludf.DUMMYFUNCTION("""COMPUTED_VALUE"""),"TNI0381: 8KVA")</f>
        <v>TNI0381: 8KVA</v>
      </c>
      <c r="F340" s="410" t="str">
        <f>IFERROR(__xludf.DUMMYFUNCTION("""COMPUTED_VALUE"""),"myt_phyoko.ko44")</f>
        <v>myt_phyoko.ko44</v>
      </c>
      <c r="H340" s="269"/>
      <c r="I340" s="269"/>
      <c r="J340" s="269"/>
      <c r="K340" s="269"/>
      <c r="L340" s="269"/>
      <c r="M340" s="269"/>
      <c r="N340" s="269"/>
      <c r="O340" s="269"/>
      <c r="P340" s="269"/>
      <c r="Q340" s="269"/>
      <c r="R340" s="269"/>
      <c r="S340" s="269"/>
      <c r="T340" s="269"/>
      <c r="U340" s="269"/>
      <c r="V340" s="269"/>
      <c r="W340" s="269"/>
      <c r="X340" s="269"/>
      <c r="Y340" s="269"/>
      <c r="Z340" s="269"/>
      <c r="AA340" s="269"/>
      <c r="AB340" s="269"/>
      <c r="AC340" s="269"/>
      <c r="AD340" s="269"/>
      <c r="AE340" s="269"/>
      <c r="AF340" s="269"/>
      <c r="AG340" s="269"/>
      <c r="AH340" s="269"/>
      <c r="AI340" s="269"/>
      <c r="AJ340" s="269"/>
      <c r="AK340" s="269"/>
      <c r="AL340" s="269"/>
      <c r="AM340" s="269"/>
      <c r="AN340" s="269"/>
      <c r="AO340" s="269"/>
      <c r="AP340" s="269"/>
      <c r="AQ340" s="269"/>
      <c r="AR340" s="269"/>
    </row>
    <row r="341">
      <c r="A341" s="410" t="str">
        <f>IFERROR(__xludf.DUMMYFUNCTION("""COMPUTED_VALUE"""),"WO_QLCTKT_20260531_123407700")</f>
        <v>WO_QLCTKT_20260531_123407700</v>
      </c>
      <c r="B341" s="410" t="str">
        <f>IFERROR(__xludf.DUMMYFUNCTION("""COMPUTED_VALUE"""),"TNI0312 MYT_Maintenance_Generator_Change_Oil - MYT_Checking quality for DG Fuel")</f>
        <v>TNI0312 MYT_Maintenance_Generator_Change_Oil - MYT_Checking quality for DG Fuel</v>
      </c>
      <c r="C341" s="410">
        <f>IFERROR(__xludf.DUMMYFUNCTION("""COMPUTED_VALUE"""),-640.95)</f>
        <v>-640.95</v>
      </c>
      <c r="D341" s="410" t="str">
        <f>IFERROR(__xludf.DUMMYFUNCTION("""COMPUTED_VALUE"""),"T1")</f>
        <v>T1</v>
      </c>
      <c r="E341" s="410" t="str">
        <f>IFERROR(__xludf.DUMMYFUNCTION("""COMPUTED_VALUE"""),"TNI0312: 12KVA")</f>
        <v>TNI0312: 12KVA</v>
      </c>
      <c r="F341" s="410" t="str">
        <f>IFERROR(__xludf.DUMMYFUNCTION("""COMPUTED_VALUE"""),"myt_phyoko.ko44")</f>
        <v>myt_phyoko.ko44</v>
      </c>
      <c r="H341" s="269"/>
      <c r="I341" s="269"/>
      <c r="J341" s="269"/>
      <c r="K341" s="269"/>
      <c r="L341" s="269"/>
      <c r="M341" s="269"/>
      <c r="N341" s="269"/>
      <c r="O341" s="269"/>
      <c r="P341" s="269"/>
      <c r="Q341" s="269"/>
      <c r="R341" s="269"/>
      <c r="S341" s="269"/>
      <c r="T341" s="269"/>
      <c r="U341" s="269"/>
      <c r="V341" s="269"/>
      <c r="W341" s="269"/>
      <c r="X341" s="269"/>
      <c r="Y341" s="269"/>
      <c r="Z341" s="269"/>
      <c r="AA341" s="269"/>
      <c r="AB341" s="269"/>
      <c r="AC341" s="269"/>
      <c r="AD341" s="269"/>
      <c r="AE341" s="269"/>
      <c r="AF341" s="269"/>
      <c r="AG341" s="269"/>
      <c r="AH341" s="269"/>
      <c r="AI341" s="269"/>
      <c r="AJ341" s="269"/>
      <c r="AK341" s="269"/>
      <c r="AL341" s="269"/>
      <c r="AM341" s="269"/>
      <c r="AN341" s="269"/>
      <c r="AO341" s="269"/>
      <c r="AP341" s="269"/>
      <c r="AQ341" s="269"/>
      <c r="AR341" s="269"/>
    </row>
    <row r="342">
      <c r="A342" s="410" t="str">
        <f>IFERROR(__xludf.DUMMYFUNCTION("""COMPUTED_VALUE"""),"WO_QLCTKT_20260529_123389672")</f>
        <v>WO_QLCTKT_20260529_123389672</v>
      </c>
      <c r="B342" s="410" t="str">
        <f>IFERROR(__xludf.DUMMYFUNCTION("""COMPUTED_VALUE"""),"TNI0089 MYT_Routine_Maintenance_Mytel_Station_VCM")</f>
        <v>TNI0089 MYT_Routine_Maintenance_Mytel_Station_VCM</v>
      </c>
      <c r="C342" s="410">
        <f>IFERROR(__xludf.DUMMYFUNCTION("""COMPUTED_VALUE"""),223.05)</f>
        <v>223.05</v>
      </c>
      <c r="D342" s="410" t="str">
        <f>IFERROR(__xludf.DUMMYFUNCTION("""COMPUTED_VALUE"""),"T1")</f>
        <v>T1</v>
      </c>
      <c r="E342" s="410" t="str">
        <f>IFERROR(__xludf.DUMMYFUNCTION("""COMPUTED_VALUE"""),"TNI0089")</f>
        <v>TNI0089</v>
      </c>
      <c r="F342" s="410" t="str">
        <f>IFERROR(__xludf.DUMMYFUNCTION("""COMPUTED_VALUE"""),"myt_phyoko.ko44")</f>
        <v>myt_phyoko.ko44</v>
      </c>
      <c r="H342" s="269"/>
      <c r="I342" s="269"/>
      <c r="J342" s="269"/>
      <c r="K342" s="269"/>
      <c r="L342" s="269"/>
      <c r="M342" s="269"/>
      <c r="N342" s="269"/>
      <c r="O342" s="269"/>
      <c r="P342" s="269"/>
      <c r="Q342" s="269"/>
      <c r="R342" s="269"/>
      <c r="S342" s="269"/>
      <c r="T342" s="269"/>
      <c r="U342" s="269"/>
      <c r="V342" s="269"/>
      <c r="W342" s="269"/>
      <c r="X342" s="269"/>
      <c r="Y342" s="269"/>
      <c r="Z342" s="269"/>
      <c r="AA342" s="269"/>
      <c r="AB342" s="269"/>
      <c r="AC342" s="269"/>
      <c r="AD342" s="269"/>
      <c r="AE342" s="269"/>
      <c r="AF342" s="269"/>
      <c r="AG342" s="269"/>
      <c r="AH342" s="269"/>
      <c r="AI342" s="269"/>
      <c r="AJ342" s="269"/>
      <c r="AK342" s="269"/>
      <c r="AL342" s="269"/>
      <c r="AM342" s="269"/>
      <c r="AN342" s="269"/>
      <c r="AO342" s="269"/>
      <c r="AP342" s="269"/>
      <c r="AQ342" s="269"/>
      <c r="AR342" s="269"/>
    </row>
    <row r="343">
      <c r="A343" s="410" t="str">
        <f>IFERROR(__xludf.DUMMYFUNCTION("""COMPUTED_VALUE"""),"WO_QLCTKT_20260529_123389377")</f>
        <v>WO_QLCTKT_20260529_123389377</v>
      </c>
      <c r="B343" s="410" t="str">
        <f>IFERROR(__xludf.DUMMYFUNCTION("""COMPUTED_VALUE"""),"TNI0019 MYT_Routine_Maintenance_Mytel_Station_VCM")</f>
        <v>TNI0019 MYT_Routine_Maintenance_Mytel_Station_VCM</v>
      </c>
      <c r="C343" s="410">
        <f>IFERROR(__xludf.DUMMYFUNCTION("""COMPUTED_VALUE"""),223.05)</f>
        <v>223.05</v>
      </c>
      <c r="D343" s="410" t="str">
        <f>IFERROR(__xludf.DUMMYFUNCTION("""COMPUTED_VALUE"""),"T1")</f>
        <v>T1</v>
      </c>
      <c r="E343" s="410" t="str">
        <f>IFERROR(__xludf.DUMMYFUNCTION("""COMPUTED_VALUE"""),"TNI0019")</f>
        <v>TNI0019</v>
      </c>
      <c r="F343" s="410" t="str">
        <f>IFERROR(__xludf.DUMMYFUNCTION("""COMPUTED_VALUE"""),"myt_phyoko.ko44")</f>
        <v>myt_phyoko.ko44</v>
      </c>
      <c r="H343" s="269"/>
      <c r="I343" s="269"/>
      <c r="J343" s="269"/>
      <c r="K343" s="269"/>
      <c r="L343" s="269"/>
      <c r="M343" s="269"/>
      <c r="N343" s="269"/>
      <c r="O343" s="269"/>
      <c r="P343" s="269"/>
      <c r="Q343" s="269"/>
      <c r="R343" s="269"/>
      <c r="S343" s="269"/>
      <c r="T343" s="269"/>
      <c r="U343" s="269"/>
      <c r="V343" s="269"/>
      <c r="W343" s="269"/>
      <c r="X343" s="269"/>
      <c r="Y343" s="269"/>
      <c r="Z343" s="269"/>
      <c r="AA343" s="269"/>
      <c r="AB343" s="269"/>
      <c r="AC343" s="269"/>
      <c r="AD343" s="269"/>
      <c r="AE343" s="269"/>
      <c r="AF343" s="269"/>
      <c r="AG343" s="269"/>
      <c r="AH343" s="269"/>
      <c r="AI343" s="269"/>
      <c r="AJ343" s="269"/>
      <c r="AK343" s="269"/>
      <c r="AL343" s="269"/>
      <c r="AM343" s="269"/>
      <c r="AN343" s="269"/>
      <c r="AO343" s="269"/>
      <c r="AP343" s="269"/>
      <c r="AQ343" s="269"/>
      <c r="AR343" s="269"/>
    </row>
    <row r="344">
      <c r="A344" s="410" t="str">
        <f>IFERROR(__xludf.DUMMYFUNCTION("""COMPUTED_VALUE"""),"WO_QLCTKT_20260516_123282934")</f>
        <v>WO_QLCTKT_20260516_123282934</v>
      </c>
      <c r="B344" s="410" t="str">
        <f>IFERROR(__xludf.DUMMYFUNCTION("""COMPUTED_VALUE"""),"TNI0319 MYT_Maintenance_Generator_Change_Oil - MYT_Checking quality for DG Fuel")</f>
        <v>TNI0319 MYT_Maintenance_Generator_Change_Oil - MYT_Checking quality for DG Fuel</v>
      </c>
      <c r="C344" s="410">
        <f>IFERROR(__xludf.DUMMYFUNCTION("""COMPUTED_VALUE"""),-1000.95)</f>
        <v>-1000.95</v>
      </c>
      <c r="D344" s="410" t="str">
        <f>IFERROR(__xludf.DUMMYFUNCTION("""COMPUTED_VALUE"""),"T1")</f>
        <v>T1</v>
      </c>
      <c r="E344" s="410" t="str">
        <f>IFERROR(__xludf.DUMMYFUNCTION("""COMPUTED_VALUE"""),"TNI0319: 12KVA")</f>
        <v>TNI0319: 12KVA</v>
      </c>
      <c r="F344" s="410" t="str">
        <f>IFERROR(__xludf.DUMMYFUNCTION("""COMPUTED_VALUE"""),"myt_phyoko.ko44")</f>
        <v>myt_phyoko.ko44</v>
      </c>
      <c r="H344" s="269"/>
      <c r="I344" s="269"/>
      <c r="J344" s="269"/>
      <c r="K344" s="269"/>
      <c r="L344" s="269"/>
      <c r="M344" s="269"/>
      <c r="N344" s="269"/>
      <c r="O344" s="269"/>
      <c r="P344" s="269"/>
      <c r="Q344" s="269"/>
      <c r="R344" s="269"/>
      <c r="S344" s="269"/>
      <c r="T344" s="269"/>
      <c r="U344" s="269"/>
      <c r="V344" s="269"/>
      <c r="W344" s="269"/>
      <c r="X344" s="269"/>
      <c r="Y344" s="269"/>
      <c r="Z344" s="269"/>
      <c r="AA344" s="269"/>
      <c r="AB344" s="269"/>
      <c r="AC344" s="269"/>
      <c r="AD344" s="269"/>
      <c r="AE344" s="269"/>
      <c r="AF344" s="269"/>
      <c r="AG344" s="269"/>
      <c r="AH344" s="269"/>
      <c r="AI344" s="269"/>
      <c r="AJ344" s="269"/>
      <c r="AK344" s="269"/>
      <c r="AL344" s="269"/>
      <c r="AM344" s="269"/>
      <c r="AN344" s="269"/>
      <c r="AO344" s="269"/>
      <c r="AP344" s="269"/>
      <c r="AQ344" s="269"/>
      <c r="AR344" s="269"/>
    </row>
    <row r="345">
      <c r="A345" s="410" t="str">
        <f>IFERROR(__xludf.DUMMYFUNCTION("""COMPUTED_VALUE"""),"WO_QLCTKT_20260509_123226864")</f>
        <v>WO_QLCTKT_20260509_123226864</v>
      </c>
      <c r="B345" s="410" t="str">
        <f>IFERROR(__xludf.DUMMYFUNCTION("""COMPUTED_VALUE"""),"TNI0312 MYT_Routine_Maintenance_Towerco_Station_VCM")</f>
        <v>TNI0312 MYT_Routine_Maintenance_Towerco_Station_VCM</v>
      </c>
      <c r="C345" s="410">
        <f>IFERROR(__xludf.DUMMYFUNCTION("""COMPUTED_VALUE"""),-256.95)</f>
        <v>-256.95</v>
      </c>
      <c r="D345" s="410" t="str">
        <f>IFERROR(__xludf.DUMMYFUNCTION("""COMPUTED_VALUE"""),"T1")</f>
        <v>T1</v>
      </c>
      <c r="E345" s="410" t="str">
        <f>IFERROR(__xludf.DUMMYFUNCTION("""COMPUTED_VALUE"""),"TNI0312")</f>
        <v>TNI0312</v>
      </c>
      <c r="F345" s="410" t="str">
        <f>IFERROR(__xludf.DUMMYFUNCTION("""COMPUTED_VALUE"""),"myt_phyoko.ko44")</f>
        <v>myt_phyoko.ko44</v>
      </c>
      <c r="H345" s="269"/>
      <c r="I345" s="269"/>
      <c r="J345" s="269"/>
      <c r="K345" s="269"/>
      <c r="L345" s="269"/>
      <c r="M345" s="269"/>
      <c r="N345" s="269"/>
      <c r="O345" s="269"/>
      <c r="P345" s="269"/>
      <c r="Q345" s="269"/>
      <c r="R345" s="269"/>
      <c r="S345" s="269"/>
      <c r="T345" s="269"/>
      <c r="U345" s="269"/>
      <c r="V345" s="269"/>
      <c r="W345" s="269"/>
      <c r="X345" s="269"/>
      <c r="Y345" s="269"/>
      <c r="Z345" s="269"/>
      <c r="AA345" s="269"/>
      <c r="AB345" s="269"/>
      <c r="AC345" s="269"/>
      <c r="AD345" s="269"/>
      <c r="AE345" s="269"/>
      <c r="AF345" s="269"/>
      <c r="AG345" s="269"/>
      <c r="AH345" s="269"/>
      <c r="AI345" s="269"/>
      <c r="AJ345" s="269"/>
      <c r="AK345" s="269"/>
      <c r="AL345" s="269"/>
      <c r="AM345" s="269"/>
      <c r="AN345" s="269"/>
      <c r="AO345" s="269"/>
      <c r="AP345" s="269"/>
      <c r="AQ345" s="269"/>
      <c r="AR345" s="269"/>
    </row>
    <row r="346">
      <c r="A346" s="410" t="str">
        <f>IFERROR(__xludf.DUMMYFUNCTION("""COMPUTED_VALUE"""),"WO_QLCTKT_20260509_123226339")</f>
        <v>WO_QLCTKT_20260509_123226339</v>
      </c>
      <c r="B346" s="410" t="str">
        <f>IFERROR(__xludf.DUMMYFUNCTION("""COMPUTED_VALUE"""),"TNI0198 MYT_Maintenance_Generator_Change_Oil - MYT_Maintenance_Generator_Change_Oil_Filter - MYT_Maintenance_Generator_Change_Fuel_Filter - MYT_Checking quality for DG Fuel")</f>
        <v>TNI0198 MYT_Maintenance_Generator_Change_Oil - MYT_Maintenance_Generator_Change_Oil_Filter - MYT_Maintenance_Generator_Change_Fuel_Filter - MYT_Checking quality for DG Fuel</v>
      </c>
      <c r="C346" s="410">
        <f>IFERROR(__xludf.DUMMYFUNCTION("""COMPUTED_VALUE"""),-1168.95)</f>
        <v>-1168.95</v>
      </c>
      <c r="D346" s="410" t="str">
        <f>IFERROR(__xludf.DUMMYFUNCTION("""COMPUTED_VALUE"""),"T1")</f>
        <v>T1</v>
      </c>
      <c r="E346" s="410" t="str">
        <f>IFERROR(__xludf.DUMMYFUNCTION("""COMPUTED_VALUE"""),"TNI0198: 8KVA")</f>
        <v>TNI0198: 8KVA</v>
      </c>
      <c r="F346" s="410" t="str">
        <f>IFERROR(__xludf.DUMMYFUNCTION("""COMPUTED_VALUE"""),"myt_phyoko.ko44")</f>
        <v>myt_phyoko.ko44</v>
      </c>
      <c r="H346" s="269"/>
      <c r="I346" s="269"/>
      <c r="J346" s="269"/>
      <c r="K346" s="269"/>
      <c r="L346" s="269"/>
      <c r="M346" s="269"/>
      <c r="N346" s="269"/>
      <c r="O346" s="269"/>
      <c r="P346" s="269"/>
      <c r="Q346" s="269"/>
      <c r="R346" s="269"/>
      <c r="S346" s="269"/>
      <c r="T346" s="269"/>
      <c r="U346" s="269"/>
      <c r="V346" s="269"/>
      <c r="W346" s="269"/>
      <c r="X346" s="269"/>
      <c r="Y346" s="269"/>
      <c r="Z346" s="269"/>
      <c r="AA346" s="269"/>
      <c r="AB346" s="269"/>
      <c r="AC346" s="269"/>
      <c r="AD346" s="269"/>
      <c r="AE346" s="269"/>
      <c r="AF346" s="269"/>
      <c r="AG346" s="269"/>
      <c r="AH346" s="269"/>
      <c r="AI346" s="269"/>
      <c r="AJ346" s="269"/>
      <c r="AK346" s="269"/>
      <c r="AL346" s="269"/>
      <c r="AM346" s="269"/>
      <c r="AN346" s="269"/>
      <c r="AO346" s="269"/>
      <c r="AP346" s="269"/>
      <c r="AQ346" s="269"/>
      <c r="AR346" s="269"/>
    </row>
    <row r="347">
      <c r="A347" s="410" t="str">
        <f>IFERROR(__xludf.DUMMYFUNCTION("""COMPUTED_VALUE"""),"WO_QLCTKT_20260426_123105173")</f>
        <v>WO_QLCTKT_20260426_123105173</v>
      </c>
      <c r="B347" s="410" t="str">
        <f>IFERROR(__xludf.DUMMYFUNCTION("""COMPUTED_VALUE"""),"TNI0019 MYT_Maintenance_Generator_Change_Oil - MYT_Checking quality for DG Fuel")</f>
        <v>TNI0019 MYT_Maintenance_Generator_Change_Oil - MYT_Checking quality for DG Fuel</v>
      </c>
      <c r="C347" s="410">
        <f>IFERROR(__xludf.DUMMYFUNCTION("""COMPUTED_VALUE"""),-1480.95)</f>
        <v>-1480.95</v>
      </c>
      <c r="D347" s="410" t="str">
        <f>IFERROR(__xludf.DUMMYFUNCTION("""COMPUTED_VALUE"""),"T1")</f>
        <v>T1</v>
      </c>
      <c r="E347" s="410" t="str">
        <f>IFERROR(__xludf.DUMMYFUNCTION("""COMPUTED_VALUE"""),"TNI0019: 8KVA")</f>
        <v>TNI0019: 8KVA</v>
      </c>
      <c r="F347" s="410" t="str">
        <f>IFERROR(__xludf.DUMMYFUNCTION("""COMPUTED_VALUE"""),"myt_phyoko.ko44")</f>
        <v>myt_phyoko.ko44</v>
      </c>
      <c r="H347" s="269"/>
      <c r="I347" s="269"/>
      <c r="J347" s="269"/>
      <c r="K347" s="269"/>
      <c r="L347" s="269"/>
      <c r="M347" s="269"/>
      <c r="N347" s="269"/>
      <c r="O347" s="269"/>
      <c r="P347" s="269"/>
      <c r="Q347" s="269"/>
      <c r="R347" s="269"/>
      <c r="S347" s="269"/>
      <c r="T347" s="269"/>
      <c r="U347" s="269"/>
      <c r="V347" s="269"/>
      <c r="W347" s="269"/>
      <c r="X347" s="269"/>
      <c r="Y347" s="269"/>
      <c r="Z347" s="269"/>
      <c r="AA347" s="269"/>
      <c r="AB347" s="269"/>
      <c r="AC347" s="269"/>
      <c r="AD347" s="269"/>
      <c r="AE347" s="269"/>
      <c r="AF347" s="269"/>
      <c r="AG347" s="269"/>
      <c r="AH347" s="269"/>
      <c r="AI347" s="269"/>
      <c r="AJ347" s="269"/>
      <c r="AK347" s="269"/>
      <c r="AL347" s="269"/>
      <c r="AM347" s="269"/>
      <c r="AN347" s="269"/>
      <c r="AO347" s="269"/>
      <c r="AP347" s="269"/>
      <c r="AQ347" s="269"/>
      <c r="AR347" s="269"/>
    </row>
    <row r="348">
      <c r="A348" s="410" t="str">
        <f>IFERROR(__xludf.DUMMYFUNCTION("""COMPUTED_VALUE"""),"WO_QLCTKT_20260421_123050623")</f>
        <v>WO_QLCTKT_20260421_123050623</v>
      </c>
      <c r="B348" s="410" t="str">
        <f>IFERROR(__xludf.DUMMYFUNCTION("""COMPUTED_VALUE"""),"TNI0089 MYT_Maintenacne_Solar")</f>
        <v>TNI0089 MYT_Maintenacne_Solar</v>
      </c>
      <c r="C348" s="410">
        <f>IFERROR(__xludf.DUMMYFUNCTION("""COMPUTED_VALUE"""),-1048.95)</f>
        <v>-1048.95</v>
      </c>
      <c r="D348" s="410" t="str">
        <f>IFERROR(__xludf.DUMMYFUNCTION("""COMPUTED_VALUE"""),"T1")</f>
        <v>T1</v>
      </c>
      <c r="E348" s="410" t="str">
        <f>IFERROR(__xludf.DUMMYFUNCTION("""COMPUTED_VALUE"""),"TNI0089")</f>
        <v>TNI0089</v>
      </c>
      <c r="F348" s="410" t="str">
        <f>IFERROR(__xludf.DUMMYFUNCTION("""COMPUTED_VALUE"""),"myt_phyoko.ko44")</f>
        <v>myt_phyoko.ko44</v>
      </c>
      <c r="H348" s="269"/>
      <c r="I348" s="269"/>
      <c r="J348" s="269"/>
      <c r="K348" s="269"/>
      <c r="L348" s="269"/>
      <c r="M348" s="269"/>
      <c r="N348" s="269"/>
      <c r="O348" s="269"/>
      <c r="P348" s="269"/>
      <c r="Q348" s="269"/>
      <c r="R348" s="269"/>
      <c r="S348" s="269"/>
      <c r="T348" s="269"/>
      <c r="U348" s="269"/>
      <c r="V348" s="269"/>
      <c r="W348" s="269"/>
      <c r="X348" s="269"/>
      <c r="Y348" s="269"/>
      <c r="Z348" s="269"/>
      <c r="AA348" s="269"/>
      <c r="AB348" s="269"/>
      <c r="AC348" s="269"/>
      <c r="AD348" s="269"/>
      <c r="AE348" s="269"/>
      <c r="AF348" s="269"/>
      <c r="AG348" s="269"/>
      <c r="AH348" s="269"/>
      <c r="AI348" s="269"/>
      <c r="AJ348" s="269"/>
      <c r="AK348" s="269"/>
      <c r="AL348" s="269"/>
      <c r="AM348" s="269"/>
      <c r="AN348" s="269"/>
      <c r="AO348" s="269"/>
      <c r="AP348" s="269"/>
      <c r="AQ348" s="269"/>
      <c r="AR348" s="269"/>
    </row>
    <row r="349">
      <c r="A349" s="410" t="str">
        <f>IFERROR(__xludf.DUMMYFUNCTION("""COMPUTED_VALUE"""),"WO_QLCTKT_20260411_122972481")</f>
        <v>WO_QLCTKT_20260411_122972481</v>
      </c>
      <c r="B349" s="410" t="str">
        <f>IFERROR(__xludf.DUMMYFUNCTION("""COMPUTED_VALUE"""),"TNI0198 MYT_Maintenance_Generator_Change_Oil - MYT_Maintenance_Generator_Change_Oil_Filter - MYT_Maintenance_Generator_Change_Fuel_Filter - MYT_Maintenance_Generator_Change_Air_Filter and Clean_Radiator - MYT_Checking quality for DG Fuel")</f>
        <v>TNI0198 MYT_Maintenance_Generator_Change_Oil - MYT_Maintenance_Generator_Change_Oil_Filter - MYT_Maintenance_Generator_Change_Fuel_Filter - MYT_Maintenance_Generator_Change_Air_Filter and Clean_Radiator - MYT_Checking quality for DG Fuel</v>
      </c>
      <c r="C349" s="410">
        <f>IFERROR(__xludf.DUMMYFUNCTION("""COMPUTED_VALUE"""),-1840.95)</f>
        <v>-1840.95</v>
      </c>
      <c r="D349" s="410" t="str">
        <f>IFERROR(__xludf.DUMMYFUNCTION("""COMPUTED_VALUE"""),"T1")</f>
        <v>T1</v>
      </c>
      <c r="E349" s="410" t="str">
        <f>IFERROR(__xludf.DUMMYFUNCTION("""COMPUTED_VALUE"""),"TNI0198: 8KVA")</f>
        <v>TNI0198: 8KVA</v>
      </c>
      <c r="F349" s="410" t="str">
        <f>IFERROR(__xludf.DUMMYFUNCTION("""COMPUTED_VALUE"""),"myt_phyoko.ko44")</f>
        <v>myt_phyoko.ko44</v>
      </c>
      <c r="H349" s="269"/>
      <c r="I349" s="269"/>
      <c r="J349" s="269"/>
      <c r="K349" s="269"/>
      <c r="L349" s="269"/>
      <c r="M349" s="269"/>
      <c r="N349" s="269"/>
      <c r="O349" s="269"/>
      <c r="P349" s="269"/>
      <c r="Q349" s="269"/>
      <c r="R349" s="269"/>
      <c r="S349" s="269"/>
      <c r="T349" s="269"/>
      <c r="U349" s="269"/>
      <c r="V349" s="269"/>
      <c r="W349" s="269"/>
      <c r="X349" s="269"/>
      <c r="Y349" s="269"/>
      <c r="Z349" s="269"/>
      <c r="AA349" s="269"/>
      <c r="AB349" s="269"/>
      <c r="AC349" s="269"/>
      <c r="AD349" s="269"/>
      <c r="AE349" s="269"/>
      <c r="AF349" s="269"/>
      <c r="AG349" s="269"/>
      <c r="AH349" s="269"/>
      <c r="AI349" s="269"/>
      <c r="AJ349" s="269"/>
      <c r="AK349" s="269"/>
      <c r="AL349" s="269"/>
      <c r="AM349" s="269"/>
      <c r="AN349" s="269"/>
      <c r="AO349" s="269"/>
      <c r="AP349" s="269"/>
      <c r="AQ349" s="269"/>
      <c r="AR349" s="269"/>
    </row>
    <row r="350">
      <c r="A350" s="410" t="str">
        <f>IFERROR(__xludf.DUMMYFUNCTION("""COMPUTED_VALUE"""),"WO_QLCTKT_20260408_122933219")</f>
        <v>WO_QLCTKT_20260408_122933219</v>
      </c>
      <c r="B350" s="410" t="str">
        <f>IFERROR(__xludf.DUMMYFUNCTION("""COMPUTED_VALUE"""),"TNI0278 MYT_Routine_Maintenance_Towerco_Station_VCM")</f>
        <v>TNI0278 MYT_Routine_Maintenance_Towerco_Station_VCM</v>
      </c>
      <c r="C350" s="410">
        <f>IFERROR(__xludf.DUMMYFUNCTION("""COMPUTED_VALUE"""),-1000.95)</f>
        <v>-1000.95</v>
      </c>
      <c r="D350" s="410" t="str">
        <f>IFERROR(__xludf.DUMMYFUNCTION("""COMPUTED_VALUE"""),"T1")</f>
        <v>T1</v>
      </c>
      <c r="E350" s="410" t="str">
        <f>IFERROR(__xludf.DUMMYFUNCTION("""COMPUTED_VALUE"""),"TNI0278")</f>
        <v>TNI0278</v>
      </c>
      <c r="F350" s="410" t="str">
        <f>IFERROR(__xludf.DUMMYFUNCTION("""COMPUTED_VALUE"""),"myt_phyoko.ko44")</f>
        <v>myt_phyoko.ko44</v>
      </c>
      <c r="H350" s="269"/>
      <c r="I350" s="269"/>
      <c r="J350" s="269"/>
      <c r="K350" s="269"/>
      <c r="L350" s="269"/>
      <c r="M350" s="269"/>
      <c r="N350" s="269"/>
      <c r="O350" s="269"/>
      <c r="P350" s="269"/>
      <c r="Q350" s="269"/>
      <c r="R350" s="269"/>
      <c r="S350" s="269"/>
      <c r="T350" s="269"/>
      <c r="U350" s="269"/>
      <c r="V350" s="269"/>
      <c r="W350" s="269"/>
      <c r="X350" s="269"/>
      <c r="Y350" s="269"/>
      <c r="Z350" s="269"/>
      <c r="AA350" s="269"/>
      <c r="AB350" s="269"/>
      <c r="AC350" s="269"/>
      <c r="AD350" s="269"/>
      <c r="AE350" s="269"/>
      <c r="AF350" s="269"/>
      <c r="AG350" s="269"/>
      <c r="AH350" s="269"/>
      <c r="AI350" s="269"/>
      <c r="AJ350" s="269"/>
      <c r="AK350" s="269"/>
      <c r="AL350" s="269"/>
      <c r="AM350" s="269"/>
      <c r="AN350" s="269"/>
      <c r="AO350" s="269"/>
      <c r="AP350" s="269"/>
      <c r="AQ350" s="269"/>
      <c r="AR350" s="269"/>
    </row>
    <row r="351">
      <c r="A351" s="410" t="str">
        <f>IFERROR(__xludf.DUMMYFUNCTION("""COMPUTED_VALUE"""),"WO_QLCTKT_20260330_122772021")</f>
        <v>WO_QLCTKT_20260330_122772021</v>
      </c>
      <c r="B351" s="410" t="str">
        <f>IFERROR(__xludf.DUMMYFUNCTION("""COMPUTED_VALUE"""),"TNI0089 MYT_Routine_Maintenance_Mytel_Station_VCM")</f>
        <v>TNI0089 MYT_Routine_Maintenance_Mytel_Station_VCM</v>
      </c>
      <c r="C351" s="410">
        <f>IFERROR(__xludf.DUMMYFUNCTION("""COMPUTED_VALUE"""),-1100.45)</f>
        <v>-1100.45</v>
      </c>
      <c r="D351" s="410" t="str">
        <f>IFERROR(__xludf.DUMMYFUNCTION("""COMPUTED_VALUE"""),"T1")</f>
        <v>T1</v>
      </c>
      <c r="E351" s="410" t="str">
        <f>IFERROR(__xludf.DUMMYFUNCTION("""COMPUTED_VALUE"""),"TNI0089")</f>
        <v>TNI0089</v>
      </c>
      <c r="F351" s="410" t="str">
        <f>IFERROR(__xludf.DUMMYFUNCTION("""COMPUTED_VALUE"""),"myt_phyoko.ko44")</f>
        <v>myt_phyoko.ko44</v>
      </c>
      <c r="H351" s="269"/>
      <c r="I351" s="269"/>
      <c r="J351" s="269"/>
      <c r="K351" s="269"/>
      <c r="L351" s="269"/>
      <c r="M351" s="269"/>
      <c r="N351" s="269"/>
      <c r="O351" s="269"/>
      <c r="P351" s="269"/>
      <c r="Q351" s="269"/>
      <c r="R351" s="269"/>
      <c r="S351" s="269"/>
      <c r="T351" s="269"/>
      <c r="U351" s="269"/>
      <c r="V351" s="269"/>
      <c r="W351" s="269"/>
      <c r="X351" s="269"/>
      <c r="Y351" s="269"/>
      <c r="Z351" s="269"/>
      <c r="AA351" s="269"/>
      <c r="AB351" s="269"/>
      <c r="AC351" s="269"/>
      <c r="AD351" s="269"/>
      <c r="AE351" s="269"/>
      <c r="AF351" s="269"/>
      <c r="AG351" s="269"/>
      <c r="AH351" s="269"/>
      <c r="AI351" s="269"/>
      <c r="AJ351" s="269"/>
      <c r="AK351" s="269"/>
      <c r="AL351" s="269"/>
      <c r="AM351" s="269"/>
      <c r="AN351" s="269"/>
      <c r="AO351" s="269"/>
      <c r="AP351" s="269"/>
      <c r="AQ351" s="269"/>
      <c r="AR351" s="269"/>
    </row>
    <row r="352">
      <c r="A352" s="410" t="str">
        <f>IFERROR(__xludf.DUMMYFUNCTION("""COMPUTED_VALUE"""),"WO_ICMS_20260623_123613617")</f>
        <v>WO_ICMS_20260623_123613617</v>
      </c>
      <c r="B352" s="410" t="str">
        <f>IFERROR(__xludf.DUMMYFUNCTION("""COMPUTED_VALUE"""),"TNI0009 MYT_Routine_Maintenance_Main_Station MYT_RTE_MTE_MAIN_STN")</f>
        <v>TNI0009 MYT_Routine_Maintenance_Main_Station MYT_RTE_MTE_MAIN_STN</v>
      </c>
      <c r="C352" s="410">
        <f>IFERROR(__xludf.DUMMYFUNCTION("""COMPUTED_VALUE"""),502.17)</f>
        <v>502.17</v>
      </c>
      <c r="D352" s="410" t="str">
        <f>IFERROR(__xludf.DUMMYFUNCTION("""COMPUTED_VALUE"""),"T3")</f>
        <v>T3</v>
      </c>
      <c r="E352" s="410" t="str">
        <f>IFERROR(__xludf.DUMMYFUNCTION("""COMPUTED_VALUE"""),"TNI0009")</f>
        <v>TNI0009</v>
      </c>
      <c r="F352" s="410" t="str">
        <f>IFERROR(__xludf.DUMMYFUNCTION("""COMPUTED_VALUE"""),"myt_pyaephyo.zaw")</f>
        <v>myt_pyaephyo.zaw</v>
      </c>
      <c r="H352" s="269"/>
      <c r="I352" s="269"/>
      <c r="J352" s="269"/>
      <c r="K352" s="269"/>
      <c r="L352" s="269"/>
      <c r="M352" s="269"/>
      <c r="N352" s="269"/>
      <c r="O352" s="269"/>
      <c r="P352" s="269"/>
      <c r="Q352" s="269"/>
      <c r="R352" s="269"/>
      <c r="S352" s="269"/>
      <c r="T352" s="269"/>
      <c r="U352" s="269"/>
      <c r="V352" s="269"/>
      <c r="W352" s="269"/>
      <c r="X352" s="269"/>
      <c r="Y352" s="269"/>
      <c r="Z352" s="269"/>
      <c r="AA352" s="269"/>
      <c r="AB352" s="269"/>
      <c r="AC352" s="269"/>
      <c r="AD352" s="269"/>
      <c r="AE352" s="269"/>
      <c r="AF352" s="269"/>
      <c r="AG352" s="269"/>
      <c r="AH352" s="269"/>
      <c r="AI352" s="269"/>
      <c r="AJ352" s="269"/>
      <c r="AK352" s="269"/>
      <c r="AL352" s="269"/>
      <c r="AM352" s="269"/>
      <c r="AN352" s="269"/>
      <c r="AO352" s="269"/>
      <c r="AP352" s="269"/>
      <c r="AQ352" s="269"/>
      <c r="AR352" s="269"/>
    </row>
    <row r="353">
      <c r="A353" s="410" t="str">
        <f>IFERROR(__xludf.DUMMYFUNCTION("""COMPUTED_VALUE"""),"WO_WFM-FT_20260615_123532051")</f>
        <v>WO_WFM-FT_20260615_123532051</v>
      </c>
      <c r="B353" s="410" t="str">
        <f>IFERROR(__xludf.DUMMYFUNCTION("""COMPUTED_VALUE"""),"5s &amp; WH inventory file for TNI_ team 03")</f>
        <v>5s &amp; WH inventory file for TNI_ team 03</v>
      </c>
      <c r="C353" s="410">
        <f>IFERROR(__xludf.DUMMYFUNCTION("""COMPUTED_VALUE"""),-233.45)</f>
        <v>-233.45</v>
      </c>
      <c r="D353" s="410" t="str">
        <f>IFERROR(__xludf.DUMMYFUNCTION("""COMPUTED_VALUE"""),"T3")</f>
        <v>T3</v>
      </c>
      <c r="E353" s="410" t="str">
        <f>IFERROR(__xludf.DUMMYFUNCTION("""COMPUTED_VALUE"""),"TNI_ te")</f>
        <v>TNI_ te</v>
      </c>
      <c r="F353" s="410" t="str">
        <f>IFERROR(__xludf.DUMMYFUNCTION("""COMPUTED_VALUE"""),"myt_pyaephyo.zaw")</f>
        <v>myt_pyaephyo.zaw</v>
      </c>
      <c r="H353" s="269"/>
      <c r="I353" s="269"/>
      <c r="J353" s="269"/>
      <c r="K353" s="269"/>
      <c r="L353" s="269"/>
      <c r="M353" s="269"/>
      <c r="N353" s="269"/>
      <c r="O353" s="269"/>
      <c r="P353" s="269"/>
      <c r="Q353" s="269"/>
      <c r="R353" s="269"/>
      <c r="S353" s="269"/>
      <c r="T353" s="269"/>
      <c r="U353" s="269"/>
      <c r="V353" s="269"/>
      <c r="W353" s="269"/>
      <c r="X353" s="269"/>
      <c r="Y353" s="269"/>
      <c r="Z353" s="269"/>
      <c r="AA353" s="269"/>
      <c r="AB353" s="269"/>
      <c r="AC353" s="269"/>
      <c r="AD353" s="269"/>
      <c r="AE353" s="269"/>
      <c r="AF353" s="269"/>
      <c r="AG353" s="269"/>
      <c r="AH353" s="269"/>
      <c r="AI353" s="269"/>
      <c r="AJ353" s="269"/>
      <c r="AK353" s="269"/>
      <c r="AL353" s="269"/>
      <c r="AM353" s="269"/>
      <c r="AN353" s="269"/>
      <c r="AO353" s="269"/>
      <c r="AP353" s="269"/>
      <c r="AQ353" s="269"/>
      <c r="AR353" s="269"/>
    </row>
    <row r="354">
      <c r="A354" s="410" t="str">
        <f>IFERROR(__xludf.DUMMYFUNCTION("""COMPUTED_VALUE"""),"WO_ICMS_20260701_123690030")</f>
        <v>WO_ICMS_20260701_123690030</v>
      </c>
      <c r="B354" s="410" t="str">
        <f>IFERROR(__xludf.DUMMYFUNCTION("""COMPUTED_VALUE"""),"TNI0228 MYT_Checking quality for DG Fuel MYT_ME_DG_CHECK_FUEL; MYT_Maintenance_Generator_Change_Oil MYT_ME_DG_CHG_OIL")</f>
        <v>TNI0228 MYT_Checking quality for DG Fuel MYT_ME_DG_CHECK_FUEL; MYT_Maintenance_Generator_Change_Oil MYT_ME_DG_CHG_OIL</v>
      </c>
      <c r="C354" s="410">
        <f>IFERROR(__xludf.DUMMYFUNCTION("""COMPUTED_VALUE"""),234.08)</f>
        <v>234.08</v>
      </c>
      <c r="D354" s="410" t="str">
        <f>IFERROR(__xludf.DUMMYFUNCTION("""COMPUTED_VALUE"""),"T2")</f>
        <v>T2</v>
      </c>
      <c r="E354" s="410" t="str">
        <f>IFERROR(__xludf.DUMMYFUNCTION("""COMPUTED_VALUE"""),"TNI0228: 8KVA")</f>
        <v>TNI0228: 8KVA</v>
      </c>
      <c r="F354" s="410" t="str">
        <f>IFERROR(__xludf.DUMMYFUNCTION("""COMPUTED_VALUE"""),"myt_pyikyaw.aung")</f>
        <v>myt_pyikyaw.aung</v>
      </c>
      <c r="H354" s="269"/>
      <c r="I354" s="269"/>
      <c r="J354" s="269"/>
      <c r="K354" s="269"/>
      <c r="L354" s="269"/>
      <c r="M354" s="269"/>
      <c r="N354" s="269"/>
      <c r="O354" s="269"/>
      <c r="P354" s="269"/>
      <c r="Q354" s="269"/>
      <c r="R354" s="269"/>
      <c r="S354" s="269"/>
      <c r="T354" s="269"/>
      <c r="U354" s="269"/>
      <c r="V354" s="269"/>
      <c r="W354" s="269"/>
      <c r="X354" s="269"/>
      <c r="Y354" s="269"/>
      <c r="Z354" s="269"/>
      <c r="AA354" s="269"/>
      <c r="AB354" s="269"/>
      <c r="AC354" s="269"/>
      <c r="AD354" s="269"/>
      <c r="AE354" s="269"/>
      <c r="AF354" s="269"/>
      <c r="AG354" s="269"/>
      <c r="AH354" s="269"/>
      <c r="AI354" s="269"/>
      <c r="AJ354" s="269"/>
      <c r="AK354" s="269"/>
      <c r="AL354" s="269"/>
      <c r="AM354" s="269"/>
      <c r="AN354" s="269"/>
      <c r="AO354" s="269"/>
      <c r="AP354" s="269"/>
      <c r="AQ354" s="269"/>
      <c r="AR354" s="269"/>
    </row>
    <row r="355">
      <c r="A355" s="410" t="str">
        <f>IFERROR(__xludf.DUMMYFUNCTION("""COMPUTED_VALUE"""),"WO_QLCTKT_20260629_123670443")</f>
        <v>WO_QLCTKT_20260629_123670443</v>
      </c>
      <c r="B355" s="410" t="str">
        <f>IFERROR(__xludf.DUMMYFUNCTION("""COMPUTED_VALUE"""),"TNI0381 - Repair infrastructure - bla: Maintenance the equipments: Small Maintenance for Generator")</f>
        <v>TNI0381 - Repair infrastructure - bla: Maintenance the equipments: Small Maintenance for Generator</v>
      </c>
      <c r="C355" s="410">
        <f>IFERROR(__xludf.DUMMYFUNCTION("""COMPUTED_VALUE"""),90.96)</f>
        <v>90.96</v>
      </c>
      <c r="D355" s="410" t="str">
        <f>IFERROR(__xludf.DUMMYFUNCTION("""COMPUTED_VALUE"""),"T2")</f>
        <v>T2</v>
      </c>
      <c r="E355" s="410" t="str">
        <f>IFERROR(__xludf.DUMMYFUNCTION("""COMPUTED_VALUE"""),"TNI0381")</f>
        <v>TNI0381</v>
      </c>
      <c r="F355" s="410" t="str">
        <f>IFERROR(__xludf.DUMMYFUNCTION("""COMPUTED_VALUE"""),"myt_pyikyaw.aung")</f>
        <v>myt_pyikyaw.aung</v>
      </c>
      <c r="H355" s="269"/>
      <c r="I355" s="269"/>
      <c r="J355" s="269"/>
      <c r="K355" s="269"/>
      <c r="L355" s="269"/>
      <c r="M355" s="269"/>
      <c r="N355" s="269"/>
      <c r="O355" s="269"/>
      <c r="P355" s="269"/>
      <c r="Q355" s="269"/>
      <c r="R355" s="269"/>
      <c r="S355" s="269"/>
      <c r="T355" s="269"/>
      <c r="U355" s="269"/>
      <c r="V355" s="269"/>
      <c r="W355" s="269"/>
      <c r="X355" s="269"/>
      <c r="Y355" s="269"/>
      <c r="Z355" s="269"/>
      <c r="AA355" s="269"/>
      <c r="AB355" s="269"/>
      <c r="AC355" s="269"/>
      <c r="AD355" s="269"/>
      <c r="AE355" s="269"/>
      <c r="AF355" s="269"/>
      <c r="AG355" s="269"/>
      <c r="AH355" s="269"/>
      <c r="AI355" s="269"/>
      <c r="AJ355" s="269"/>
      <c r="AK355" s="269"/>
      <c r="AL355" s="269"/>
      <c r="AM355" s="269"/>
      <c r="AN355" s="269"/>
      <c r="AO355" s="269"/>
      <c r="AP355" s="269"/>
      <c r="AQ355" s="269"/>
      <c r="AR355" s="269"/>
    </row>
    <row r="356">
      <c r="A356" s="410" t="str">
        <f>IFERROR(__xludf.DUMMYFUNCTION("""COMPUTED_VALUE"""),"WO_ICMS_20260625_123632738")</f>
        <v>WO_ICMS_20260625_123632738</v>
      </c>
      <c r="B356" s="410" t="str">
        <f>IFERROR(__xludf.DUMMYFUNCTION("""COMPUTED_VALUE"""),"Patrolling cable routes TNI0025-TNI0258_00, TNI0025 + null – TNI0258 + null")</f>
        <v>Patrolling cable routes TNI0025-TNI0258_00, TNI0025 + null – TNI0258 + null</v>
      </c>
      <c r="C356" s="410">
        <f>IFERROR(__xludf.DUMMYFUNCTION("""COMPUTED_VALUE"""),545.66)</f>
        <v>545.66</v>
      </c>
      <c r="D356" s="410" t="str">
        <f>IFERROR(__xludf.DUMMYFUNCTION("""COMPUTED_VALUE"""),"T2")</f>
        <v>T2</v>
      </c>
      <c r="E356" s="410" t="str">
        <f>IFERROR(__xludf.DUMMYFUNCTION("""COMPUTED_VALUE"""),"TNI0025")</f>
        <v>TNI0025</v>
      </c>
      <c r="F356" s="410" t="str">
        <f>IFERROR(__xludf.DUMMYFUNCTION("""COMPUTED_VALUE"""),"myt_pyikyaw.aung")</f>
        <v>myt_pyikyaw.aung</v>
      </c>
      <c r="H356" s="269"/>
      <c r="I356" s="269"/>
      <c r="J356" s="269"/>
      <c r="K356" s="269"/>
      <c r="L356" s="269"/>
      <c r="M356" s="269"/>
      <c r="N356" s="269"/>
      <c r="O356" s="269"/>
      <c r="P356" s="269"/>
      <c r="Q356" s="269"/>
      <c r="R356" s="269"/>
      <c r="S356" s="269"/>
      <c r="T356" s="269"/>
      <c r="U356" s="269"/>
      <c r="V356" s="269"/>
      <c r="W356" s="269"/>
      <c r="X356" s="269"/>
      <c r="Y356" s="269"/>
      <c r="Z356" s="269"/>
      <c r="AA356" s="269"/>
      <c r="AB356" s="269"/>
      <c r="AC356" s="269"/>
      <c r="AD356" s="269"/>
      <c r="AE356" s="269"/>
      <c r="AF356" s="269"/>
      <c r="AG356" s="269"/>
      <c r="AH356" s="269"/>
      <c r="AI356" s="269"/>
      <c r="AJ356" s="269"/>
      <c r="AK356" s="269"/>
      <c r="AL356" s="269"/>
      <c r="AM356" s="269"/>
      <c r="AN356" s="269"/>
      <c r="AO356" s="269"/>
      <c r="AP356" s="269"/>
      <c r="AQ356" s="269"/>
      <c r="AR356" s="269"/>
    </row>
    <row r="357">
      <c r="A357" s="410" t="str">
        <f>IFERROR(__xludf.DUMMYFUNCTION("""COMPUTED_VALUE"""),"WO_ICMS_20260625_123632736")</f>
        <v>WO_ICMS_20260625_123632736</v>
      </c>
      <c r="B357" s="410" t="str">
        <f>IFERROR(__xludf.DUMMYFUNCTION("""COMPUTED_VALUE"""),"Patrolling cable routes TNI0001-TNI0236_00, TNI0001 + null – TNI0236 + null")</f>
        <v>Patrolling cable routes TNI0001-TNI0236_00, TNI0001 + null – TNI0236 + null</v>
      </c>
      <c r="C357" s="410">
        <f>IFERROR(__xludf.DUMMYFUNCTION("""COMPUTED_VALUE"""),545.66)</f>
        <v>545.66</v>
      </c>
      <c r="D357" s="410" t="str">
        <f>IFERROR(__xludf.DUMMYFUNCTION("""COMPUTED_VALUE"""),"T2")</f>
        <v>T2</v>
      </c>
      <c r="E357" s="410" t="str">
        <f>IFERROR(__xludf.DUMMYFUNCTION("""COMPUTED_VALUE"""),"TNI0001")</f>
        <v>TNI0001</v>
      </c>
      <c r="F357" s="410" t="str">
        <f>IFERROR(__xludf.DUMMYFUNCTION("""COMPUTED_VALUE"""),"myt_pyikyaw.aung")</f>
        <v>myt_pyikyaw.aung</v>
      </c>
      <c r="H357" s="269"/>
      <c r="I357" s="269"/>
      <c r="J357" s="269"/>
      <c r="K357" s="269"/>
      <c r="L357" s="269"/>
      <c r="M357" s="269"/>
      <c r="N357" s="269"/>
      <c r="O357" s="269"/>
      <c r="P357" s="269"/>
      <c r="Q357" s="269"/>
      <c r="R357" s="269"/>
      <c r="S357" s="269"/>
      <c r="T357" s="269"/>
      <c r="U357" s="269"/>
      <c r="V357" s="269"/>
      <c r="W357" s="269"/>
      <c r="X357" s="269"/>
      <c r="Y357" s="269"/>
      <c r="Z357" s="269"/>
      <c r="AA357" s="269"/>
      <c r="AB357" s="269"/>
      <c r="AC357" s="269"/>
      <c r="AD357" s="269"/>
      <c r="AE357" s="269"/>
      <c r="AF357" s="269"/>
      <c r="AG357" s="269"/>
      <c r="AH357" s="269"/>
      <c r="AI357" s="269"/>
      <c r="AJ357" s="269"/>
      <c r="AK357" s="269"/>
      <c r="AL357" s="269"/>
      <c r="AM357" s="269"/>
      <c r="AN357" s="269"/>
      <c r="AO357" s="269"/>
      <c r="AP357" s="269"/>
      <c r="AQ357" s="269"/>
      <c r="AR357" s="269"/>
    </row>
    <row r="358">
      <c r="A358" s="410" t="str">
        <f>IFERROR(__xludf.DUMMYFUNCTION("""COMPUTED_VALUE"""),"WO_ICMS_20260625_123632814")</f>
        <v>WO_ICMS_20260625_123632814</v>
      </c>
      <c r="B358" s="410" t="str">
        <f>IFERROR(__xludf.DUMMYFUNCTION("""COMPUTED_VALUE"""),"Patrolling cable routes TNI0036-TNI0270_00, TNI0036 + null – TNI0270 + null")</f>
        <v>Patrolling cable routes TNI0036-TNI0270_00, TNI0036 + null – TNI0270 + null</v>
      </c>
      <c r="C358" s="410">
        <f>IFERROR(__xludf.DUMMYFUNCTION("""COMPUTED_VALUE"""),545.66)</f>
        <v>545.66</v>
      </c>
      <c r="D358" s="410" t="str">
        <f>IFERROR(__xludf.DUMMYFUNCTION("""COMPUTED_VALUE"""),"T2")</f>
        <v>T2</v>
      </c>
      <c r="E358" s="410" t="str">
        <f>IFERROR(__xludf.DUMMYFUNCTION("""COMPUTED_VALUE"""),"TNI0036")</f>
        <v>TNI0036</v>
      </c>
      <c r="F358" s="410" t="str">
        <f>IFERROR(__xludf.DUMMYFUNCTION("""COMPUTED_VALUE"""),"myt_pyikyaw.aung")</f>
        <v>myt_pyikyaw.aung</v>
      </c>
      <c r="H358" s="269"/>
      <c r="I358" s="269"/>
      <c r="J358" s="269"/>
      <c r="K358" s="269"/>
      <c r="L358" s="269"/>
      <c r="M358" s="269"/>
      <c r="N358" s="269"/>
      <c r="O358" s="269"/>
      <c r="P358" s="269"/>
      <c r="Q358" s="269"/>
      <c r="R358" s="269"/>
      <c r="S358" s="269"/>
      <c r="T358" s="269"/>
      <c r="U358" s="269"/>
      <c r="V358" s="269"/>
      <c r="W358" s="269"/>
      <c r="X358" s="269"/>
      <c r="Y358" s="269"/>
      <c r="Z358" s="269"/>
      <c r="AA358" s="269"/>
      <c r="AB358" s="269"/>
      <c r="AC358" s="269"/>
      <c r="AD358" s="269"/>
      <c r="AE358" s="269"/>
      <c r="AF358" s="269"/>
      <c r="AG358" s="269"/>
      <c r="AH358" s="269"/>
      <c r="AI358" s="269"/>
      <c r="AJ358" s="269"/>
      <c r="AK358" s="269"/>
      <c r="AL358" s="269"/>
      <c r="AM358" s="269"/>
      <c r="AN358" s="269"/>
      <c r="AO358" s="269"/>
      <c r="AP358" s="269"/>
      <c r="AQ358" s="269"/>
      <c r="AR358" s="269"/>
    </row>
    <row r="359">
      <c r="A359" s="410" t="str">
        <f>IFERROR(__xludf.DUMMYFUNCTION("""COMPUTED_VALUE"""),"WO_ICMS_20260625_123632737")</f>
        <v>WO_ICMS_20260625_123632737</v>
      </c>
      <c r="B359" s="410" t="str">
        <f>IFERROR(__xludf.DUMMYFUNCTION("""COMPUTED_VALUE"""),"Patrolling cable routes TNI0240-TNI0266_00, TNI0240 + null – TNI0266 + null")</f>
        <v>Patrolling cable routes TNI0240-TNI0266_00, TNI0240 + null – TNI0266 + null</v>
      </c>
      <c r="C359" s="410">
        <f>IFERROR(__xludf.DUMMYFUNCTION("""COMPUTED_VALUE"""),545.66)</f>
        <v>545.66</v>
      </c>
      <c r="D359" s="410" t="str">
        <f>IFERROR(__xludf.DUMMYFUNCTION("""COMPUTED_VALUE"""),"T2")</f>
        <v>T2</v>
      </c>
      <c r="E359" s="410" t="str">
        <f>IFERROR(__xludf.DUMMYFUNCTION("""COMPUTED_VALUE"""),"TNI0240")</f>
        <v>TNI0240</v>
      </c>
      <c r="F359" s="410" t="str">
        <f>IFERROR(__xludf.DUMMYFUNCTION("""COMPUTED_VALUE"""),"myt_pyikyaw.aung")</f>
        <v>myt_pyikyaw.aung</v>
      </c>
      <c r="H359" s="269"/>
      <c r="I359" s="269"/>
      <c r="J359" s="269"/>
      <c r="K359" s="269"/>
      <c r="L359" s="269"/>
      <c r="M359" s="269"/>
      <c r="N359" s="269"/>
      <c r="O359" s="269"/>
      <c r="P359" s="269"/>
      <c r="Q359" s="269"/>
      <c r="R359" s="269"/>
      <c r="S359" s="269"/>
      <c r="T359" s="269"/>
      <c r="U359" s="269"/>
      <c r="V359" s="269"/>
      <c r="W359" s="269"/>
      <c r="X359" s="269"/>
      <c r="Y359" s="269"/>
      <c r="Z359" s="269"/>
      <c r="AA359" s="269"/>
      <c r="AB359" s="269"/>
      <c r="AC359" s="269"/>
      <c r="AD359" s="269"/>
      <c r="AE359" s="269"/>
      <c r="AF359" s="269"/>
      <c r="AG359" s="269"/>
      <c r="AH359" s="269"/>
      <c r="AI359" s="269"/>
      <c r="AJ359" s="269"/>
      <c r="AK359" s="269"/>
      <c r="AL359" s="269"/>
      <c r="AM359" s="269"/>
      <c r="AN359" s="269"/>
      <c r="AO359" s="269"/>
      <c r="AP359" s="269"/>
      <c r="AQ359" s="269"/>
      <c r="AR359" s="269"/>
    </row>
    <row r="360">
      <c r="A360" s="410" t="str">
        <f>IFERROR(__xludf.DUMMYFUNCTION("""COMPUTED_VALUE"""),"WO_ICMS_20260625_123632734")</f>
        <v>WO_ICMS_20260625_123632734</v>
      </c>
      <c r="B360" s="410" t="str">
        <f>IFERROR(__xludf.DUMMYFUNCTION("""COMPUTED_VALUE"""),"Patrolling cable routes TNI0024-TNI0258_00, TNI0024 + null – TNI0258 + null")</f>
        <v>Patrolling cable routes TNI0024-TNI0258_00, TNI0024 + null – TNI0258 + null</v>
      </c>
      <c r="C360" s="410">
        <f>IFERROR(__xludf.DUMMYFUNCTION("""COMPUTED_VALUE"""),545.66)</f>
        <v>545.66</v>
      </c>
      <c r="D360" s="410" t="str">
        <f>IFERROR(__xludf.DUMMYFUNCTION("""COMPUTED_VALUE"""),"T2")</f>
        <v>T2</v>
      </c>
      <c r="E360" s="410" t="str">
        <f>IFERROR(__xludf.DUMMYFUNCTION("""COMPUTED_VALUE"""),"TNI0024")</f>
        <v>TNI0024</v>
      </c>
      <c r="F360" s="410" t="str">
        <f>IFERROR(__xludf.DUMMYFUNCTION("""COMPUTED_VALUE"""),"myt_pyikyaw.aung")</f>
        <v>myt_pyikyaw.aung</v>
      </c>
      <c r="H360" s="269"/>
      <c r="I360" s="269"/>
      <c r="J360" s="269"/>
      <c r="K360" s="269"/>
      <c r="L360" s="269"/>
      <c r="M360" s="269"/>
      <c r="N360" s="269"/>
      <c r="O360" s="269"/>
      <c r="P360" s="269"/>
      <c r="Q360" s="269"/>
      <c r="R360" s="269"/>
      <c r="S360" s="269"/>
      <c r="T360" s="269"/>
      <c r="U360" s="269"/>
      <c r="V360" s="269"/>
      <c r="W360" s="269"/>
      <c r="X360" s="269"/>
      <c r="Y360" s="269"/>
      <c r="Z360" s="269"/>
      <c r="AA360" s="269"/>
      <c r="AB360" s="269"/>
      <c r="AC360" s="269"/>
      <c r="AD360" s="269"/>
      <c r="AE360" s="269"/>
      <c r="AF360" s="269"/>
      <c r="AG360" s="269"/>
      <c r="AH360" s="269"/>
      <c r="AI360" s="269"/>
      <c r="AJ360" s="269"/>
      <c r="AK360" s="269"/>
      <c r="AL360" s="269"/>
      <c r="AM360" s="269"/>
      <c r="AN360" s="269"/>
      <c r="AO360" s="269"/>
      <c r="AP360" s="269"/>
      <c r="AQ360" s="269"/>
      <c r="AR360" s="269"/>
    </row>
    <row r="361">
      <c r="A361" s="410" t="str">
        <f>IFERROR(__xludf.DUMMYFUNCTION("""COMPUTED_VALUE"""),"WO_ICMS_20260625_123632735")</f>
        <v>WO_ICMS_20260625_123632735</v>
      </c>
      <c r="B361" s="410" t="str">
        <f>IFERROR(__xludf.DUMMYFUNCTION("""COMPUTED_VALUE"""),"Patrolling cable routes TNI0232-TNI0263_00, TNI0232 + null – TNI0263 + null")</f>
        <v>Patrolling cable routes TNI0232-TNI0263_00, TNI0232 + null – TNI0263 + null</v>
      </c>
      <c r="C361" s="410">
        <f>IFERROR(__xludf.DUMMYFUNCTION("""COMPUTED_VALUE"""),545.66)</f>
        <v>545.66</v>
      </c>
      <c r="D361" s="410" t="str">
        <f>IFERROR(__xludf.DUMMYFUNCTION("""COMPUTED_VALUE"""),"T2")</f>
        <v>T2</v>
      </c>
      <c r="E361" s="410" t="str">
        <f>IFERROR(__xludf.DUMMYFUNCTION("""COMPUTED_VALUE"""),"TNI0232")</f>
        <v>TNI0232</v>
      </c>
      <c r="F361" s="410" t="str">
        <f>IFERROR(__xludf.DUMMYFUNCTION("""COMPUTED_VALUE"""),"myt_pyikyaw.aung")</f>
        <v>myt_pyikyaw.aung</v>
      </c>
      <c r="H361" s="269"/>
      <c r="I361" s="269"/>
      <c r="J361" s="269"/>
      <c r="K361" s="269"/>
      <c r="L361" s="269"/>
      <c r="M361" s="269"/>
      <c r="N361" s="269"/>
      <c r="O361" s="269"/>
      <c r="P361" s="269"/>
      <c r="Q361" s="269"/>
      <c r="R361" s="269"/>
      <c r="S361" s="269"/>
      <c r="T361" s="269"/>
      <c r="U361" s="269"/>
      <c r="V361" s="269"/>
      <c r="W361" s="269"/>
      <c r="X361" s="269"/>
      <c r="Y361" s="269"/>
      <c r="Z361" s="269"/>
      <c r="AA361" s="269"/>
      <c r="AB361" s="269"/>
      <c r="AC361" s="269"/>
      <c r="AD361" s="269"/>
      <c r="AE361" s="269"/>
      <c r="AF361" s="269"/>
      <c r="AG361" s="269"/>
      <c r="AH361" s="269"/>
      <c r="AI361" s="269"/>
      <c r="AJ361" s="269"/>
      <c r="AK361" s="269"/>
      <c r="AL361" s="269"/>
      <c r="AM361" s="269"/>
      <c r="AN361" s="269"/>
      <c r="AO361" s="269"/>
      <c r="AP361" s="269"/>
      <c r="AQ361" s="269"/>
      <c r="AR361" s="269"/>
    </row>
    <row r="362">
      <c r="A362" s="410" t="str">
        <f>IFERROR(__xludf.DUMMYFUNCTION("""COMPUTED_VALUE"""),"WO_ICMS_20260625_123632815")</f>
        <v>WO_ICMS_20260625_123632815</v>
      </c>
      <c r="B362" s="410" t="str">
        <f>IFERROR(__xludf.DUMMYFUNCTION("""COMPUTED_VALUE"""),"Patrolling cable routes TNI0048-TNI0241_00, TNI0048 + null – TNI0241 + null")</f>
        <v>Patrolling cable routes TNI0048-TNI0241_00, TNI0048 + null – TNI0241 + null</v>
      </c>
      <c r="C362" s="410">
        <f>IFERROR(__xludf.DUMMYFUNCTION("""COMPUTED_VALUE"""),545.66)</f>
        <v>545.66</v>
      </c>
      <c r="D362" s="410" t="str">
        <f>IFERROR(__xludf.DUMMYFUNCTION("""COMPUTED_VALUE"""),"T2")</f>
        <v>T2</v>
      </c>
      <c r="E362" s="410" t="str">
        <f>IFERROR(__xludf.DUMMYFUNCTION("""COMPUTED_VALUE"""),"TNI0048")</f>
        <v>TNI0048</v>
      </c>
      <c r="F362" s="410" t="str">
        <f>IFERROR(__xludf.DUMMYFUNCTION("""COMPUTED_VALUE"""),"myt_pyikyaw.aung")</f>
        <v>myt_pyikyaw.aung</v>
      </c>
      <c r="H362" s="269"/>
      <c r="I362" s="269"/>
      <c r="J362" s="269"/>
      <c r="K362" s="269"/>
      <c r="L362" s="269"/>
      <c r="M362" s="269"/>
      <c r="N362" s="269"/>
      <c r="O362" s="269"/>
      <c r="P362" s="269"/>
      <c r="Q362" s="269"/>
      <c r="R362" s="269"/>
      <c r="S362" s="269"/>
      <c r="T362" s="269"/>
      <c r="U362" s="269"/>
      <c r="V362" s="269"/>
      <c r="W362" s="269"/>
      <c r="X362" s="269"/>
      <c r="Y362" s="269"/>
      <c r="Z362" s="269"/>
      <c r="AA362" s="269"/>
      <c r="AB362" s="269"/>
      <c r="AC362" s="269"/>
      <c r="AD362" s="269"/>
      <c r="AE362" s="269"/>
      <c r="AF362" s="269"/>
      <c r="AG362" s="269"/>
      <c r="AH362" s="269"/>
      <c r="AI362" s="269"/>
      <c r="AJ362" s="269"/>
      <c r="AK362" s="269"/>
      <c r="AL362" s="269"/>
      <c r="AM362" s="269"/>
      <c r="AN362" s="269"/>
      <c r="AO362" s="269"/>
      <c r="AP362" s="269"/>
      <c r="AQ362" s="269"/>
      <c r="AR362" s="269"/>
    </row>
    <row r="363">
      <c r="A363" s="410" t="str">
        <f>IFERROR(__xludf.DUMMYFUNCTION("""COMPUTED_VALUE"""),"WO_QLCTKT_20260624_123619038")</f>
        <v>WO_QLCTKT_20260624_123619038</v>
      </c>
      <c r="B363" s="410" t="str">
        <f>IFERROR(__xludf.DUMMYFUNCTION("""COMPUTED_VALUE"""),"TNI0413 MYT_Maintenance_Generator_Change_Oil - MYT_Checking quality for DG Fuel")</f>
        <v>TNI0413 MYT_Maintenance_Generator_Change_Oil - MYT_Checking quality for DG Fuel</v>
      </c>
      <c r="C363" s="410">
        <f>IFERROR(__xludf.DUMMYFUNCTION("""COMPUTED_VALUE"""),-64.95)</f>
        <v>-64.95</v>
      </c>
      <c r="D363" s="410" t="str">
        <f>IFERROR(__xludf.DUMMYFUNCTION("""COMPUTED_VALUE"""),"T2")</f>
        <v>T2</v>
      </c>
      <c r="E363" s="410" t="str">
        <f>IFERROR(__xludf.DUMMYFUNCTION("""COMPUTED_VALUE"""),"TNI0413: 12DKVA")</f>
        <v>TNI0413: 12DKVA</v>
      </c>
      <c r="F363" s="410" t="str">
        <f>IFERROR(__xludf.DUMMYFUNCTION("""COMPUTED_VALUE"""),"myt_pyikyaw.aung")</f>
        <v>myt_pyikyaw.aung</v>
      </c>
      <c r="H363" s="269"/>
      <c r="I363" s="269"/>
      <c r="J363" s="269"/>
      <c r="K363" s="269"/>
      <c r="L363" s="269"/>
      <c r="M363" s="269"/>
      <c r="N363" s="269"/>
      <c r="O363" s="269"/>
      <c r="P363" s="269"/>
      <c r="Q363" s="269"/>
      <c r="R363" s="269"/>
      <c r="S363" s="269"/>
      <c r="T363" s="269"/>
      <c r="U363" s="269"/>
      <c r="V363" s="269"/>
      <c r="W363" s="269"/>
      <c r="X363" s="269"/>
      <c r="Y363" s="269"/>
      <c r="Z363" s="269"/>
      <c r="AA363" s="269"/>
      <c r="AB363" s="269"/>
      <c r="AC363" s="269"/>
      <c r="AD363" s="269"/>
      <c r="AE363" s="269"/>
      <c r="AF363" s="269"/>
      <c r="AG363" s="269"/>
      <c r="AH363" s="269"/>
      <c r="AI363" s="269"/>
      <c r="AJ363" s="269"/>
      <c r="AK363" s="269"/>
      <c r="AL363" s="269"/>
      <c r="AM363" s="269"/>
      <c r="AN363" s="269"/>
      <c r="AO363" s="269"/>
      <c r="AP363" s="269"/>
      <c r="AQ363" s="269"/>
      <c r="AR363" s="269"/>
    </row>
    <row r="364">
      <c r="A364" s="410" t="str">
        <f>IFERROR(__xludf.DUMMYFUNCTION("""COMPUTED_VALUE"""),"WO_ICMS_20260623_123615116")</f>
        <v>WO_ICMS_20260623_123615116</v>
      </c>
      <c r="B364" s="410" t="str">
        <f>IFERROR(__xludf.DUMMYFUNCTION("""COMPUTED_VALUE"""),"TNI0241 MYT_Routine_Maintenance_Mytel_Station MYT_RTE_MTE_SB_STN")</f>
        <v>TNI0241 MYT_Routine_Maintenance_Mytel_Station MYT_RTE_MTE_SB_STN</v>
      </c>
      <c r="C364" s="410">
        <f>IFERROR(__xludf.DUMMYFUNCTION("""COMPUTED_VALUE"""),886.64)</f>
        <v>886.64</v>
      </c>
      <c r="D364" s="410" t="str">
        <f>IFERROR(__xludf.DUMMYFUNCTION("""COMPUTED_VALUE"""),"T2")</f>
        <v>T2</v>
      </c>
      <c r="E364" s="410" t="str">
        <f>IFERROR(__xludf.DUMMYFUNCTION("""COMPUTED_VALUE"""),"TNI0241")</f>
        <v>TNI0241</v>
      </c>
      <c r="F364" s="410" t="str">
        <f>IFERROR(__xludf.DUMMYFUNCTION("""COMPUTED_VALUE"""),"myt_pyikyaw.aung")</f>
        <v>myt_pyikyaw.aung</v>
      </c>
      <c r="H364" s="269"/>
      <c r="I364" s="269"/>
      <c r="J364" s="269"/>
      <c r="K364" s="269"/>
      <c r="L364" s="269"/>
      <c r="M364" s="269"/>
      <c r="N364" s="269"/>
      <c r="O364" s="269"/>
      <c r="P364" s="269"/>
      <c r="Q364" s="269"/>
      <c r="R364" s="269"/>
      <c r="S364" s="269"/>
      <c r="T364" s="269"/>
      <c r="U364" s="269"/>
      <c r="V364" s="269"/>
      <c r="W364" s="269"/>
      <c r="X364" s="269"/>
      <c r="Y364" s="269"/>
      <c r="Z364" s="269"/>
      <c r="AA364" s="269"/>
      <c r="AB364" s="269"/>
      <c r="AC364" s="269"/>
      <c r="AD364" s="269"/>
      <c r="AE364" s="269"/>
      <c r="AF364" s="269"/>
      <c r="AG364" s="269"/>
      <c r="AH364" s="269"/>
      <c r="AI364" s="269"/>
      <c r="AJ364" s="269"/>
      <c r="AK364" s="269"/>
      <c r="AL364" s="269"/>
      <c r="AM364" s="269"/>
      <c r="AN364" s="269"/>
      <c r="AO364" s="269"/>
      <c r="AP364" s="269"/>
      <c r="AQ364" s="269"/>
      <c r="AR364" s="269"/>
    </row>
    <row r="365">
      <c r="A365" s="410" t="str">
        <f>IFERROR(__xludf.DUMMYFUNCTION("""COMPUTED_VALUE"""),"WO_WFM-OTHERS_20260623_123613127")</f>
        <v>WO_WFM-OTHERS_20260623_123613127</v>
      </c>
      <c r="B365" s="410" t="str">
        <f>IFERROR(__xludf.DUMMYFUNCTION("""COMPUTED_VALUE"""),"Cable routes measure-AC-TNI0002-TNI0048")</f>
        <v>Cable routes measure-AC-TNI0002-TNI0048</v>
      </c>
      <c r="C365" s="410">
        <f>IFERROR(__xludf.DUMMYFUNCTION("""COMPUTED_VALUE"""),439.03)</f>
        <v>439.03</v>
      </c>
      <c r="D365" s="410" t="str">
        <f>IFERROR(__xludf.DUMMYFUNCTION("""COMPUTED_VALUE"""),"T2")</f>
        <v>T2</v>
      </c>
      <c r="E365" s="410" t="str">
        <f>IFERROR(__xludf.DUMMYFUNCTION("""COMPUTED_VALUE"""),"TNI0002")</f>
        <v>TNI0002</v>
      </c>
      <c r="F365" s="410" t="str">
        <f>IFERROR(__xludf.DUMMYFUNCTION("""COMPUTED_VALUE"""),"myt_pyikyaw.aung")</f>
        <v>myt_pyikyaw.aung</v>
      </c>
      <c r="H365" s="269"/>
      <c r="I365" s="269"/>
      <c r="J365" s="269"/>
      <c r="K365" s="269"/>
      <c r="L365" s="269"/>
      <c r="M365" s="269"/>
      <c r="N365" s="269"/>
      <c r="O365" s="269"/>
      <c r="P365" s="269"/>
      <c r="Q365" s="269"/>
      <c r="R365" s="269"/>
      <c r="S365" s="269"/>
      <c r="T365" s="269"/>
      <c r="U365" s="269"/>
      <c r="V365" s="269"/>
      <c r="W365" s="269"/>
      <c r="X365" s="269"/>
      <c r="Y365" s="269"/>
      <c r="Z365" s="269"/>
      <c r="AA365" s="269"/>
      <c r="AB365" s="269"/>
      <c r="AC365" s="269"/>
      <c r="AD365" s="269"/>
      <c r="AE365" s="269"/>
      <c r="AF365" s="269"/>
      <c r="AG365" s="269"/>
      <c r="AH365" s="269"/>
      <c r="AI365" s="269"/>
      <c r="AJ365" s="269"/>
      <c r="AK365" s="269"/>
      <c r="AL365" s="269"/>
      <c r="AM365" s="269"/>
      <c r="AN365" s="269"/>
      <c r="AO365" s="269"/>
      <c r="AP365" s="269"/>
      <c r="AQ365" s="269"/>
      <c r="AR365" s="269"/>
    </row>
    <row r="366">
      <c r="A366" s="410" t="str">
        <f>IFERROR(__xludf.DUMMYFUNCTION("""COMPUTED_VALUE"""),"WO_WFM-OTHERS_20260623_123613135")</f>
        <v>WO_WFM-OTHERS_20260623_123613135</v>
      </c>
      <c r="B366" s="410" t="str">
        <f>IFERROR(__xludf.DUMMYFUNCTION("""COMPUTED_VALUE"""),"Cable routes measure-AC-TNI0279-TNIM067")</f>
        <v>Cable routes measure-AC-TNI0279-TNIM067</v>
      </c>
      <c r="C366" s="410">
        <f>IFERROR(__xludf.DUMMYFUNCTION("""COMPUTED_VALUE"""),439.03)</f>
        <v>439.03</v>
      </c>
      <c r="D366" s="410" t="str">
        <f>IFERROR(__xludf.DUMMYFUNCTION("""COMPUTED_VALUE"""),"T2")</f>
        <v>T2</v>
      </c>
      <c r="E366" s="410" t="str">
        <f>IFERROR(__xludf.DUMMYFUNCTION("""COMPUTED_VALUE"""),"TNI0279")</f>
        <v>TNI0279</v>
      </c>
      <c r="F366" s="410" t="str">
        <f>IFERROR(__xludf.DUMMYFUNCTION("""COMPUTED_VALUE"""),"myt_pyikyaw.aung")</f>
        <v>myt_pyikyaw.aung</v>
      </c>
      <c r="H366" s="269"/>
      <c r="I366" s="269"/>
      <c r="J366" s="269"/>
      <c r="K366" s="269"/>
      <c r="L366" s="269"/>
      <c r="M366" s="269"/>
      <c r="N366" s="269"/>
      <c r="O366" s="269"/>
      <c r="P366" s="269"/>
      <c r="Q366" s="269"/>
      <c r="R366" s="269"/>
      <c r="S366" s="269"/>
      <c r="T366" s="269"/>
      <c r="U366" s="269"/>
      <c r="V366" s="269"/>
      <c r="W366" s="269"/>
      <c r="X366" s="269"/>
      <c r="Y366" s="269"/>
      <c r="Z366" s="269"/>
      <c r="AA366" s="269"/>
      <c r="AB366" s="269"/>
      <c r="AC366" s="269"/>
      <c r="AD366" s="269"/>
      <c r="AE366" s="269"/>
      <c r="AF366" s="269"/>
      <c r="AG366" s="269"/>
      <c r="AH366" s="269"/>
      <c r="AI366" s="269"/>
      <c r="AJ366" s="269"/>
      <c r="AK366" s="269"/>
      <c r="AL366" s="269"/>
      <c r="AM366" s="269"/>
      <c r="AN366" s="269"/>
      <c r="AO366" s="269"/>
      <c r="AP366" s="269"/>
      <c r="AQ366" s="269"/>
      <c r="AR366" s="269"/>
    </row>
    <row r="367">
      <c r="A367" s="410" t="str">
        <f>IFERROR(__xludf.DUMMYFUNCTION("""COMPUTED_VALUE"""),"WO_WFM-OTHERS_20260623_123612918")</f>
        <v>WO_WFM-OTHERS_20260623_123612918</v>
      </c>
      <c r="B367" s="410" t="str">
        <f>IFERROR(__xludf.DUMMYFUNCTION("""COMPUTED_VALUE"""),"Cable routes measure-AC-TNI0003-TNI0029")</f>
        <v>Cable routes measure-AC-TNI0003-TNI0029</v>
      </c>
      <c r="C367" s="410">
        <f>IFERROR(__xludf.DUMMYFUNCTION("""COMPUTED_VALUE"""),439.03)</f>
        <v>439.03</v>
      </c>
      <c r="D367" s="410" t="str">
        <f>IFERROR(__xludf.DUMMYFUNCTION("""COMPUTED_VALUE"""),"T2")</f>
        <v>T2</v>
      </c>
      <c r="E367" s="410" t="str">
        <f>IFERROR(__xludf.DUMMYFUNCTION("""COMPUTED_VALUE"""),"TNI0003")</f>
        <v>TNI0003</v>
      </c>
      <c r="F367" s="410" t="str">
        <f>IFERROR(__xludf.DUMMYFUNCTION("""COMPUTED_VALUE"""),"myt_pyikyaw.aung")</f>
        <v>myt_pyikyaw.aung</v>
      </c>
      <c r="H367" s="269"/>
      <c r="I367" s="269"/>
      <c r="J367" s="269"/>
      <c r="K367" s="269"/>
      <c r="L367" s="269"/>
      <c r="M367" s="269"/>
      <c r="N367" s="269"/>
      <c r="O367" s="269"/>
      <c r="P367" s="269"/>
      <c r="Q367" s="269"/>
      <c r="R367" s="269"/>
      <c r="S367" s="269"/>
      <c r="T367" s="269"/>
      <c r="U367" s="269"/>
      <c r="V367" s="269"/>
      <c r="W367" s="269"/>
      <c r="X367" s="269"/>
      <c r="Y367" s="269"/>
      <c r="Z367" s="269"/>
      <c r="AA367" s="269"/>
      <c r="AB367" s="269"/>
      <c r="AC367" s="269"/>
      <c r="AD367" s="269"/>
      <c r="AE367" s="269"/>
      <c r="AF367" s="269"/>
      <c r="AG367" s="269"/>
      <c r="AH367" s="269"/>
      <c r="AI367" s="269"/>
      <c r="AJ367" s="269"/>
      <c r="AK367" s="269"/>
      <c r="AL367" s="269"/>
      <c r="AM367" s="269"/>
      <c r="AN367" s="269"/>
      <c r="AO367" s="269"/>
      <c r="AP367" s="269"/>
      <c r="AQ367" s="269"/>
      <c r="AR367" s="269"/>
    </row>
    <row r="368">
      <c r="A368" s="410" t="str">
        <f>IFERROR(__xludf.DUMMYFUNCTION("""COMPUTED_VALUE"""),"WO_WFM-OTHERS_20260623_123612919")</f>
        <v>WO_WFM-OTHERS_20260623_123612919</v>
      </c>
      <c r="B368" s="410" t="str">
        <f>IFERROR(__xludf.DUMMYFUNCTION("""COMPUTED_VALUE"""),"Cable routes measure-AC-TNI0279-TNIM067")</f>
        <v>Cable routes measure-AC-TNI0279-TNIM067</v>
      </c>
      <c r="C368" s="410">
        <f>IFERROR(__xludf.DUMMYFUNCTION("""COMPUTED_VALUE"""),439.03)</f>
        <v>439.03</v>
      </c>
      <c r="D368" s="410" t="str">
        <f>IFERROR(__xludf.DUMMYFUNCTION("""COMPUTED_VALUE"""),"T2")</f>
        <v>T2</v>
      </c>
      <c r="E368" s="410" t="str">
        <f>IFERROR(__xludf.DUMMYFUNCTION("""COMPUTED_VALUE"""),"TNI0279")</f>
        <v>TNI0279</v>
      </c>
      <c r="F368" s="410" t="str">
        <f>IFERROR(__xludf.DUMMYFUNCTION("""COMPUTED_VALUE"""),"myt_pyikyaw.aung")</f>
        <v>myt_pyikyaw.aung</v>
      </c>
      <c r="H368" s="269"/>
      <c r="I368" s="269"/>
      <c r="J368" s="269"/>
      <c r="K368" s="269"/>
      <c r="L368" s="269"/>
      <c r="M368" s="269"/>
      <c r="N368" s="269"/>
      <c r="O368" s="269"/>
      <c r="P368" s="269"/>
      <c r="Q368" s="269"/>
      <c r="R368" s="269"/>
      <c r="S368" s="269"/>
      <c r="T368" s="269"/>
      <c r="U368" s="269"/>
      <c r="V368" s="269"/>
      <c r="W368" s="269"/>
      <c r="X368" s="269"/>
      <c r="Y368" s="269"/>
      <c r="Z368" s="269"/>
      <c r="AA368" s="269"/>
      <c r="AB368" s="269"/>
      <c r="AC368" s="269"/>
      <c r="AD368" s="269"/>
      <c r="AE368" s="269"/>
      <c r="AF368" s="269"/>
      <c r="AG368" s="269"/>
      <c r="AH368" s="269"/>
      <c r="AI368" s="269"/>
      <c r="AJ368" s="269"/>
      <c r="AK368" s="269"/>
      <c r="AL368" s="269"/>
      <c r="AM368" s="269"/>
      <c r="AN368" s="269"/>
      <c r="AO368" s="269"/>
      <c r="AP368" s="269"/>
      <c r="AQ368" s="269"/>
      <c r="AR368" s="269"/>
    </row>
    <row r="369">
      <c r="A369" s="410" t="str">
        <f>IFERROR(__xludf.DUMMYFUNCTION("""COMPUTED_VALUE"""),"WO_WFM-OTHERS_20260623_123612913")</f>
        <v>WO_WFM-OTHERS_20260623_123612913</v>
      </c>
      <c r="B369" s="410" t="str">
        <f>IFERROR(__xludf.DUMMYFUNCTION("""COMPUTED_VALUE"""),"Cable routes measure-AC-TNI0028-TNI0044")</f>
        <v>Cable routes measure-AC-TNI0028-TNI0044</v>
      </c>
      <c r="C369" s="410">
        <f>IFERROR(__xludf.DUMMYFUNCTION("""COMPUTED_VALUE"""),439.03)</f>
        <v>439.03</v>
      </c>
      <c r="D369" s="410" t="str">
        <f>IFERROR(__xludf.DUMMYFUNCTION("""COMPUTED_VALUE"""),"T2")</f>
        <v>T2</v>
      </c>
      <c r="E369" s="410" t="str">
        <f>IFERROR(__xludf.DUMMYFUNCTION("""COMPUTED_VALUE"""),"TNI0028")</f>
        <v>TNI0028</v>
      </c>
      <c r="F369" s="410" t="str">
        <f>IFERROR(__xludf.DUMMYFUNCTION("""COMPUTED_VALUE"""),"myt_pyikyaw.aung")</f>
        <v>myt_pyikyaw.aung</v>
      </c>
      <c r="H369" s="269"/>
      <c r="I369" s="269"/>
      <c r="J369" s="269"/>
      <c r="K369" s="269"/>
      <c r="L369" s="269"/>
      <c r="M369" s="269"/>
      <c r="N369" s="269"/>
      <c r="O369" s="269"/>
      <c r="P369" s="269"/>
      <c r="Q369" s="269"/>
      <c r="R369" s="269"/>
      <c r="S369" s="269"/>
      <c r="T369" s="269"/>
      <c r="U369" s="269"/>
      <c r="V369" s="269"/>
      <c r="W369" s="269"/>
      <c r="X369" s="269"/>
      <c r="Y369" s="269"/>
      <c r="Z369" s="269"/>
      <c r="AA369" s="269"/>
      <c r="AB369" s="269"/>
      <c r="AC369" s="269"/>
      <c r="AD369" s="269"/>
      <c r="AE369" s="269"/>
      <c r="AF369" s="269"/>
      <c r="AG369" s="269"/>
      <c r="AH369" s="269"/>
      <c r="AI369" s="269"/>
      <c r="AJ369" s="269"/>
      <c r="AK369" s="269"/>
      <c r="AL369" s="269"/>
      <c r="AM369" s="269"/>
      <c r="AN369" s="269"/>
      <c r="AO369" s="269"/>
      <c r="AP369" s="269"/>
      <c r="AQ369" s="269"/>
      <c r="AR369" s="269"/>
    </row>
    <row r="370">
      <c r="A370" s="410" t="str">
        <f>IFERROR(__xludf.DUMMYFUNCTION("""COMPUTED_VALUE"""),"WO_WFM-OTHERS_20260623_123612910")</f>
        <v>WO_WFM-OTHERS_20260623_123612910</v>
      </c>
      <c r="B370" s="410" t="str">
        <f>IFERROR(__xludf.DUMMYFUNCTION("""COMPUTED_VALUE"""),"Cable routes measure-AC-TNI0091-TNI0159")</f>
        <v>Cable routes measure-AC-TNI0091-TNI0159</v>
      </c>
      <c r="C370" s="410">
        <f>IFERROR(__xludf.DUMMYFUNCTION("""COMPUTED_VALUE"""),439.03)</f>
        <v>439.03</v>
      </c>
      <c r="D370" s="410" t="str">
        <f>IFERROR(__xludf.DUMMYFUNCTION("""COMPUTED_VALUE"""),"T2")</f>
        <v>T2</v>
      </c>
      <c r="E370" s="410" t="str">
        <f>IFERROR(__xludf.DUMMYFUNCTION("""COMPUTED_VALUE"""),"TNI0091")</f>
        <v>TNI0091</v>
      </c>
      <c r="F370" s="410" t="str">
        <f>IFERROR(__xludf.DUMMYFUNCTION("""COMPUTED_VALUE"""),"myt_pyikyaw.aung")</f>
        <v>myt_pyikyaw.aung</v>
      </c>
      <c r="H370" s="269"/>
      <c r="I370" s="269"/>
      <c r="J370" s="269"/>
      <c r="K370" s="269"/>
      <c r="L370" s="269"/>
      <c r="M370" s="269"/>
      <c r="N370" s="269"/>
      <c r="O370" s="269"/>
      <c r="P370" s="269"/>
      <c r="Q370" s="269"/>
      <c r="R370" s="269"/>
      <c r="S370" s="269"/>
      <c r="T370" s="269"/>
      <c r="U370" s="269"/>
      <c r="V370" s="269"/>
      <c r="W370" s="269"/>
      <c r="X370" s="269"/>
      <c r="Y370" s="269"/>
      <c r="Z370" s="269"/>
      <c r="AA370" s="269"/>
      <c r="AB370" s="269"/>
      <c r="AC370" s="269"/>
      <c r="AD370" s="269"/>
      <c r="AE370" s="269"/>
      <c r="AF370" s="269"/>
      <c r="AG370" s="269"/>
      <c r="AH370" s="269"/>
      <c r="AI370" s="269"/>
      <c r="AJ370" s="269"/>
      <c r="AK370" s="269"/>
      <c r="AL370" s="269"/>
      <c r="AM370" s="269"/>
      <c r="AN370" s="269"/>
      <c r="AO370" s="269"/>
      <c r="AP370" s="269"/>
      <c r="AQ370" s="269"/>
      <c r="AR370" s="269"/>
    </row>
    <row r="371">
      <c r="A371" s="410" t="str">
        <f>IFERROR(__xludf.DUMMYFUNCTION("""COMPUTED_VALUE"""),"WO_WFM-OTHERS_20260623_123612914")</f>
        <v>WO_WFM-OTHERS_20260623_123612914</v>
      </c>
      <c r="B371" s="410" t="str">
        <f>IFERROR(__xludf.DUMMYFUNCTION("""COMPUTED_VALUE"""),"Cable routes measure-AC-TNI0290-TNIM075")</f>
        <v>Cable routes measure-AC-TNI0290-TNIM075</v>
      </c>
      <c r="C371" s="410">
        <f>IFERROR(__xludf.DUMMYFUNCTION("""COMPUTED_VALUE"""),439.03)</f>
        <v>439.03</v>
      </c>
      <c r="D371" s="410" t="str">
        <f>IFERROR(__xludf.DUMMYFUNCTION("""COMPUTED_VALUE"""),"T2")</f>
        <v>T2</v>
      </c>
      <c r="E371" s="410" t="str">
        <f>IFERROR(__xludf.DUMMYFUNCTION("""COMPUTED_VALUE"""),"TNI0290")</f>
        <v>TNI0290</v>
      </c>
      <c r="F371" s="410" t="str">
        <f>IFERROR(__xludf.DUMMYFUNCTION("""COMPUTED_VALUE"""),"myt_pyikyaw.aung")</f>
        <v>myt_pyikyaw.aung</v>
      </c>
      <c r="H371" s="269"/>
      <c r="I371" s="269"/>
      <c r="J371" s="269"/>
      <c r="K371" s="269"/>
      <c r="L371" s="269"/>
      <c r="M371" s="269"/>
      <c r="N371" s="269"/>
      <c r="O371" s="269"/>
      <c r="P371" s="269"/>
      <c r="Q371" s="269"/>
      <c r="R371" s="269"/>
      <c r="S371" s="269"/>
      <c r="T371" s="269"/>
      <c r="U371" s="269"/>
      <c r="V371" s="269"/>
      <c r="W371" s="269"/>
      <c r="X371" s="269"/>
      <c r="Y371" s="269"/>
      <c r="Z371" s="269"/>
      <c r="AA371" s="269"/>
      <c r="AB371" s="269"/>
      <c r="AC371" s="269"/>
      <c r="AD371" s="269"/>
      <c r="AE371" s="269"/>
      <c r="AF371" s="269"/>
      <c r="AG371" s="269"/>
      <c r="AH371" s="269"/>
      <c r="AI371" s="269"/>
      <c r="AJ371" s="269"/>
      <c r="AK371" s="269"/>
      <c r="AL371" s="269"/>
      <c r="AM371" s="269"/>
      <c r="AN371" s="269"/>
      <c r="AO371" s="269"/>
      <c r="AP371" s="269"/>
      <c r="AQ371" s="269"/>
      <c r="AR371" s="269"/>
    </row>
    <row r="372">
      <c r="A372" s="410" t="str">
        <f>IFERROR(__xludf.DUMMYFUNCTION("""COMPUTED_VALUE"""),"WO_WFM-OTHERS_20260623_123612907")</f>
        <v>WO_WFM-OTHERS_20260623_123612907</v>
      </c>
      <c r="B372" s="410" t="str">
        <f>IFERROR(__xludf.DUMMYFUNCTION("""COMPUTED_VALUE"""),"Cable routes measure-BB-TNI0003-TNIM003")</f>
        <v>Cable routes measure-BB-TNI0003-TNIM003</v>
      </c>
      <c r="C372" s="410">
        <f>IFERROR(__xludf.DUMMYFUNCTION("""COMPUTED_VALUE"""),439.03)</f>
        <v>439.03</v>
      </c>
      <c r="D372" s="410" t="str">
        <f>IFERROR(__xludf.DUMMYFUNCTION("""COMPUTED_VALUE"""),"T2")</f>
        <v>T2</v>
      </c>
      <c r="E372" s="410" t="str">
        <f>IFERROR(__xludf.DUMMYFUNCTION("""COMPUTED_VALUE"""),"TNI0003")</f>
        <v>TNI0003</v>
      </c>
      <c r="F372" s="410" t="str">
        <f>IFERROR(__xludf.DUMMYFUNCTION("""COMPUTED_VALUE"""),"myt_pyikyaw.aung")</f>
        <v>myt_pyikyaw.aung</v>
      </c>
      <c r="H372" s="269"/>
      <c r="I372" s="269"/>
      <c r="J372" s="269"/>
      <c r="K372" s="269"/>
      <c r="L372" s="269"/>
      <c r="M372" s="269"/>
      <c r="N372" s="269"/>
      <c r="O372" s="269"/>
      <c r="P372" s="269"/>
      <c r="Q372" s="269"/>
      <c r="R372" s="269"/>
      <c r="S372" s="269"/>
      <c r="T372" s="269"/>
      <c r="U372" s="269"/>
      <c r="V372" s="269"/>
      <c r="W372" s="269"/>
      <c r="X372" s="269"/>
      <c r="Y372" s="269"/>
      <c r="Z372" s="269"/>
      <c r="AA372" s="269"/>
      <c r="AB372" s="269"/>
      <c r="AC372" s="269"/>
      <c r="AD372" s="269"/>
      <c r="AE372" s="269"/>
      <c r="AF372" s="269"/>
      <c r="AG372" s="269"/>
      <c r="AH372" s="269"/>
      <c r="AI372" s="269"/>
      <c r="AJ372" s="269"/>
      <c r="AK372" s="269"/>
      <c r="AL372" s="269"/>
      <c r="AM372" s="269"/>
      <c r="AN372" s="269"/>
      <c r="AO372" s="269"/>
      <c r="AP372" s="269"/>
      <c r="AQ372" s="269"/>
      <c r="AR372" s="269"/>
    </row>
    <row r="373">
      <c r="A373" s="410" t="str">
        <f>IFERROR(__xludf.DUMMYFUNCTION("""COMPUTED_VALUE"""),"WO_WFM-OTHERS_20260623_123612906")</f>
        <v>WO_WFM-OTHERS_20260623_123612906</v>
      </c>
      <c r="B373" s="410" t="str">
        <f>IFERROR(__xludf.DUMMYFUNCTION("""COMPUTED_VALUE"""),"Cable routes measure-BB-TNI0001-TNIM001")</f>
        <v>Cable routes measure-BB-TNI0001-TNIM001</v>
      </c>
      <c r="C373" s="410">
        <f>IFERROR(__xludf.DUMMYFUNCTION("""COMPUTED_VALUE"""),439.03)</f>
        <v>439.03</v>
      </c>
      <c r="D373" s="410" t="str">
        <f>IFERROR(__xludf.DUMMYFUNCTION("""COMPUTED_VALUE"""),"T2")</f>
        <v>T2</v>
      </c>
      <c r="E373" s="410" t="str">
        <f>IFERROR(__xludf.DUMMYFUNCTION("""COMPUTED_VALUE"""),"TNI0001")</f>
        <v>TNI0001</v>
      </c>
      <c r="F373" s="410" t="str">
        <f>IFERROR(__xludf.DUMMYFUNCTION("""COMPUTED_VALUE"""),"myt_pyikyaw.aung")</f>
        <v>myt_pyikyaw.aung</v>
      </c>
      <c r="H373" s="269"/>
      <c r="I373" s="269"/>
      <c r="J373" s="269"/>
      <c r="K373" s="269"/>
      <c r="L373" s="269"/>
      <c r="M373" s="269"/>
      <c r="N373" s="269"/>
      <c r="O373" s="269"/>
      <c r="P373" s="269"/>
      <c r="Q373" s="269"/>
      <c r="R373" s="269"/>
      <c r="S373" s="269"/>
      <c r="T373" s="269"/>
      <c r="U373" s="269"/>
      <c r="V373" s="269"/>
      <c r="W373" s="269"/>
      <c r="X373" s="269"/>
      <c r="Y373" s="269"/>
      <c r="Z373" s="269"/>
      <c r="AA373" s="269"/>
      <c r="AB373" s="269"/>
      <c r="AC373" s="269"/>
      <c r="AD373" s="269"/>
      <c r="AE373" s="269"/>
      <c r="AF373" s="269"/>
      <c r="AG373" s="269"/>
      <c r="AH373" s="269"/>
      <c r="AI373" s="269"/>
      <c r="AJ373" s="269"/>
      <c r="AK373" s="269"/>
      <c r="AL373" s="269"/>
      <c r="AM373" s="269"/>
      <c r="AN373" s="269"/>
      <c r="AO373" s="269"/>
      <c r="AP373" s="269"/>
      <c r="AQ373" s="269"/>
      <c r="AR373" s="269"/>
    </row>
    <row r="374">
      <c r="A374" s="410" t="str">
        <f>IFERROR(__xludf.DUMMYFUNCTION("""COMPUTED_VALUE"""),"WO_WFM-OTHERS_20260623_123612908")</f>
        <v>WO_WFM-OTHERS_20260623_123612908</v>
      </c>
      <c r="B374" s="410" t="str">
        <f>IFERROR(__xludf.DUMMYFUNCTION("""COMPUTED_VALUE"""),"Cable routes measure-AC-TNI0280-TNI0352")</f>
        <v>Cable routes measure-AC-TNI0280-TNI0352</v>
      </c>
      <c r="C374" s="410">
        <f>IFERROR(__xludf.DUMMYFUNCTION("""COMPUTED_VALUE"""),439.03)</f>
        <v>439.03</v>
      </c>
      <c r="D374" s="410" t="str">
        <f>IFERROR(__xludf.DUMMYFUNCTION("""COMPUTED_VALUE"""),"T2")</f>
        <v>T2</v>
      </c>
      <c r="E374" s="410" t="str">
        <f>IFERROR(__xludf.DUMMYFUNCTION("""COMPUTED_VALUE"""),"TNI0280")</f>
        <v>TNI0280</v>
      </c>
      <c r="F374" s="410" t="str">
        <f>IFERROR(__xludf.DUMMYFUNCTION("""COMPUTED_VALUE"""),"myt_pyikyaw.aung")</f>
        <v>myt_pyikyaw.aung</v>
      </c>
      <c r="H374" s="269"/>
      <c r="I374" s="269"/>
      <c r="J374" s="269"/>
      <c r="K374" s="269"/>
      <c r="L374" s="269"/>
      <c r="M374" s="269"/>
      <c r="N374" s="269"/>
      <c r="O374" s="269"/>
      <c r="P374" s="269"/>
      <c r="Q374" s="269"/>
      <c r="R374" s="269"/>
      <c r="S374" s="269"/>
      <c r="T374" s="269"/>
      <c r="U374" s="269"/>
      <c r="V374" s="269"/>
      <c r="W374" s="269"/>
      <c r="X374" s="269"/>
      <c r="Y374" s="269"/>
      <c r="Z374" s="269"/>
      <c r="AA374" s="269"/>
      <c r="AB374" s="269"/>
      <c r="AC374" s="269"/>
      <c r="AD374" s="269"/>
      <c r="AE374" s="269"/>
      <c r="AF374" s="269"/>
      <c r="AG374" s="269"/>
      <c r="AH374" s="269"/>
      <c r="AI374" s="269"/>
      <c r="AJ374" s="269"/>
      <c r="AK374" s="269"/>
      <c r="AL374" s="269"/>
      <c r="AM374" s="269"/>
      <c r="AN374" s="269"/>
      <c r="AO374" s="269"/>
      <c r="AP374" s="269"/>
      <c r="AQ374" s="269"/>
      <c r="AR374" s="269"/>
    </row>
    <row r="375">
      <c r="A375" s="410" t="str">
        <f>IFERROR(__xludf.DUMMYFUNCTION("""COMPUTED_VALUE"""),"WO_WFM-OTHERS_20260623_123612916")</f>
        <v>WO_WFM-OTHERS_20260623_123612916</v>
      </c>
      <c r="B375" s="410" t="str">
        <f>IFERROR(__xludf.DUMMYFUNCTION("""COMPUTED_VALUE"""),"Cable routes measure-AC-TNI0001-TNI0036")</f>
        <v>Cable routes measure-AC-TNI0001-TNI0036</v>
      </c>
      <c r="C375" s="410">
        <f>IFERROR(__xludf.DUMMYFUNCTION("""COMPUTED_VALUE"""),439.03)</f>
        <v>439.03</v>
      </c>
      <c r="D375" s="410" t="str">
        <f>IFERROR(__xludf.DUMMYFUNCTION("""COMPUTED_VALUE"""),"T2")</f>
        <v>T2</v>
      </c>
      <c r="E375" s="410" t="str">
        <f>IFERROR(__xludf.DUMMYFUNCTION("""COMPUTED_VALUE"""),"TNI0001")</f>
        <v>TNI0001</v>
      </c>
      <c r="F375" s="410" t="str">
        <f>IFERROR(__xludf.DUMMYFUNCTION("""COMPUTED_VALUE"""),"myt_pyikyaw.aung")</f>
        <v>myt_pyikyaw.aung</v>
      </c>
      <c r="H375" s="269"/>
      <c r="I375" s="269"/>
      <c r="J375" s="269"/>
      <c r="K375" s="269"/>
      <c r="L375" s="269"/>
      <c r="M375" s="269"/>
      <c r="N375" s="269"/>
      <c r="O375" s="269"/>
      <c r="P375" s="269"/>
      <c r="Q375" s="269"/>
      <c r="R375" s="269"/>
      <c r="S375" s="269"/>
      <c r="T375" s="269"/>
      <c r="U375" s="269"/>
      <c r="V375" s="269"/>
      <c r="W375" s="269"/>
      <c r="X375" s="269"/>
      <c r="Y375" s="269"/>
      <c r="Z375" s="269"/>
      <c r="AA375" s="269"/>
      <c r="AB375" s="269"/>
      <c r="AC375" s="269"/>
      <c r="AD375" s="269"/>
      <c r="AE375" s="269"/>
      <c r="AF375" s="269"/>
      <c r="AG375" s="269"/>
      <c r="AH375" s="269"/>
      <c r="AI375" s="269"/>
      <c r="AJ375" s="269"/>
      <c r="AK375" s="269"/>
      <c r="AL375" s="269"/>
      <c r="AM375" s="269"/>
      <c r="AN375" s="269"/>
      <c r="AO375" s="269"/>
      <c r="AP375" s="269"/>
      <c r="AQ375" s="269"/>
      <c r="AR375" s="269"/>
    </row>
    <row r="376">
      <c r="A376" s="410" t="str">
        <f>IFERROR(__xludf.DUMMYFUNCTION("""COMPUTED_VALUE"""),"WO_WFM-OTHERS_20260623_123612911")</f>
        <v>WO_WFM-OTHERS_20260623_123612911</v>
      </c>
      <c r="B376" s="410" t="str">
        <f>IFERROR(__xludf.DUMMYFUNCTION("""COMPUTED_VALUE"""),"Cable routes measure-AC-TNI0002-TNI0048")</f>
        <v>Cable routes measure-AC-TNI0002-TNI0048</v>
      </c>
      <c r="C376" s="410">
        <f>IFERROR(__xludf.DUMMYFUNCTION("""COMPUTED_VALUE"""),439.03)</f>
        <v>439.03</v>
      </c>
      <c r="D376" s="410" t="str">
        <f>IFERROR(__xludf.DUMMYFUNCTION("""COMPUTED_VALUE"""),"T2")</f>
        <v>T2</v>
      </c>
      <c r="E376" s="410" t="str">
        <f>IFERROR(__xludf.DUMMYFUNCTION("""COMPUTED_VALUE"""),"TNI0002")</f>
        <v>TNI0002</v>
      </c>
      <c r="F376" s="410" t="str">
        <f>IFERROR(__xludf.DUMMYFUNCTION("""COMPUTED_VALUE"""),"myt_pyikyaw.aung")</f>
        <v>myt_pyikyaw.aung</v>
      </c>
      <c r="H376" s="269"/>
      <c r="I376" s="269"/>
      <c r="J376" s="269"/>
      <c r="K376" s="269"/>
      <c r="L376" s="269"/>
      <c r="M376" s="269"/>
      <c r="N376" s="269"/>
      <c r="O376" s="269"/>
      <c r="P376" s="269"/>
      <c r="Q376" s="269"/>
      <c r="R376" s="269"/>
      <c r="S376" s="269"/>
      <c r="T376" s="269"/>
      <c r="U376" s="269"/>
      <c r="V376" s="269"/>
      <c r="W376" s="269"/>
      <c r="X376" s="269"/>
      <c r="Y376" s="269"/>
      <c r="Z376" s="269"/>
      <c r="AA376" s="269"/>
      <c r="AB376" s="269"/>
      <c r="AC376" s="269"/>
      <c r="AD376" s="269"/>
      <c r="AE376" s="269"/>
      <c r="AF376" s="269"/>
      <c r="AG376" s="269"/>
      <c r="AH376" s="269"/>
      <c r="AI376" s="269"/>
      <c r="AJ376" s="269"/>
      <c r="AK376" s="269"/>
      <c r="AL376" s="269"/>
      <c r="AM376" s="269"/>
      <c r="AN376" s="269"/>
      <c r="AO376" s="269"/>
      <c r="AP376" s="269"/>
      <c r="AQ376" s="269"/>
      <c r="AR376" s="269"/>
    </row>
    <row r="377">
      <c r="A377" s="410" t="str">
        <f>IFERROR(__xludf.DUMMYFUNCTION("""COMPUTED_VALUE"""),"WO_WFM-OTHERS_20260623_123612912")</f>
        <v>WO_WFM-OTHERS_20260623_123612912</v>
      </c>
      <c r="B377" s="410" t="str">
        <f>IFERROR(__xludf.DUMMYFUNCTION("""COMPUTED_VALUE"""),"Cable routes measure-AC-TNI0044-TNIM027")</f>
        <v>Cable routes measure-AC-TNI0044-TNIM027</v>
      </c>
      <c r="C377" s="410">
        <f>IFERROR(__xludf.DUMMYFUNCTION("""COMPUTED_VALUE"""),439.03)</f>
        <v>439.03</v>
      </c>
      <c r="D377" s="410" t="str">
        <f>IFERROR(__xludf.DUMMYFUNCTION("""COMPUTED_VALUE"""),"T2")</f>
        <v>T2</v>
      </c>
      <c r="E377" s="410" t="str">
        <f>IFERROR(__xludf.DUMMYFUNCTION("""COMPUTED_VALUE"""),"TNI0044")</f>
        <v>TNI0044</v>
      </c>
      <c r="F377" s="410" t="str">
        <f>IFERROR(__xludf.DUMMYFUNCTION("""COMPUTED_VALUE"""),"myt_pyikyaw.aung")</f>
        <v>myt_pyikyaw.aung</v>
      </c>
      <c r="H377" s="269"/>
      <c r="I377" s="269"/>
      <c r="J377" s="269"/>
      <c r="K377" s="269"/>
      <c r="L377" s="269"/>
      <c r="M377" s="269"/>
      <c r="N377" s="269"/>
      <c r="O377" s="269"/>
      <c r="P377" s="269"/>
      <c r="Q377" s="269"/>
      <c r="R377" s="269"/>
      <c r="S377" s="269"/>
      <c r="T377" s="269"/>
      <c r="U377" s="269"/>
      <c r="V377" s="269"/>
      <c r="W377" s="269"/>
      <c r="X377" s="269"/>
      <c r="Y377" s="269"/>
      <c r="Z377" s="269"/>
      <c r="AA377" s="269"/>
      <c r="AB377" s="269"/>
      <c r="AC377" s="269"/>
      <c r="AD377" s="269"/>
      <c r="AE377" s="269"/>
      <c r="AF377" s="269"/>
      <c r="AG377" s="269"/>
      <c r="AH377" s="269"/>
      <c r="AI377" s="269"/>
      <c r="AJ377" s="269"/>
      <c r="AK377" s="269"/>
      <c r="AL377" s="269"/>
      <c r="AM377" s="269"/>
      <c r="AN377" s="269"/>
      <c r="AO377" s="269"/>
      <c r="AP377" s="269"/>
      <c r="AQ377" s="269"/>
      <c r="AR377" s="269"/>
    </row>
    <row r="378">
      <c r="A378" s="410" t="str">
        <f>IFERROR(__xludf.DUMMYFUNCTION("""COMPUTED_VALUE"""),"WO_WFM-OTHERS_20260623_123612915")</f>
        <v>WO_WFM-OTHERS_20260623_123612915</v>
      </c>
      <c r="B378" s="410" t="str">
        <f>IFERROR(__xludf.DUMMYFUNCTION("""COMPUTED_VALUE"""),"Cable routes measure-AC-TNI0239-TNI0242")</f>
        <v>Cable routes measure-AC-TNI0239-TNI0242</v>
      </c>
      <c r="C378" s="410">
        <f>IFERROR(__xludf.DUMMYFUNCTION("""COMPUTED_VALUE"""),439.03)</f>
        <v>439.03</v>
      </c>
      <c r="D378" s="410" t="str">
        <f>IFERROR(__xludf.DUMMYFUNCTION("""COMPUTED_VALUE"""),"T2")</f>
        <v>T2</v>
      </c>
      <c r="E378" s="410" t="str">
        <f>IFERROR(__xludf.DUMMYFUNCTION("""COMPUTED_VALUE"""),"TNI0239")</f>
        <v>TNI0239</v>
      </c>
      <c r="F378" s="410" t="str">
        <f>IFERROR(__xludf.DUMMYFUNCTION("""COMPUTED_VALUE"""),"myt_pyikyaw.aung")</f>
        <v>myt_pyikyaw.aung</v>
      </c>
      <c r="H378" s="269"/>
      <c r="I378" s="269"/>
      <c r="J378" s="269"/>
      <c r="K378" s="269"/>
      <c r="L378" s="269"/>
      <c r="M378" s="269"/>
      <c r="N378" s="269"/>
      <c r="O378" s="269"/>
      <c r="P378" s="269"/>
      <c r="Q378" s="269"/>
      <c r="R378" s="269"/>
      <c r="S378" s="269"/>
      <c r="T378" s="269"/>
      <c r="U378" s="269"/>
      <c r="V378" s="269"/>
      <c r="W378" s="269"/>
      <c r="X378" s="269"/>
      <c r="Y378" s="269"/>
      <c r="Z378" s="269"/>
      <c r="AA378" s="269"/>
      <c r="AB378" s="269"/>
      <c r="AC378" s="269"/>
      <c r="AD378" s="269"/>
      <c r="AE378" s="269"/>
      <c r="AF378" s="269"/>
      <c r="AG378" s="269"/>
      <c r="AH378" s="269"/>
      <c r="AI378" s="269"/>
      <c r="AJ378" s="269"/>
      <c r="AK378" s="269"/>
      <c r="AL378" s="269"/>
      <c r="AM378" s="269"/>
      <c r="AN378" s="269"/>
      <c r="AO378" s="269"/>
      <c r="AP378" s="269"/>
      <c r="AQ378" s="269"/>
      <c r="AR378" s="269"/>
    </row>
    <row r="379">
      <c r="A379" s="410" t="str">
        <f>IFERROR(__xludf.DUMMYFUNCTION("""COMPUTED_VALUE"""),"WO_WFM-OTHERS_20260623_123612909")</f>
        <v>WO_WFM-OTHERS_20260623_123612909</v>
      </c>
      <c r="B379" s="410" t="str">
        <f>IFERROR(__xludf.DUMMYFUNCTION("""COMPUTED_VALUE"""),"Cable routes measure-AC-TNI0002-TNI0003")</f>
        <v>Cable routes measure-AC-TNI0002-TNI0003</v>
      </c>
      <c r="C379" s="410">
        <f>IFERROR(__xludf.DUMMYFUNCTION("""COMPUTED_VALUE"""),439.03)</f>
        <v>439.03</v>
      </c>
      <c r="D379" s="410" t="str">
        <f>IFERROR(__xludf.DUMMYFUNCTION("""COMPUTED_VALUE"""),"T2")</f>
        <v>T2</v>
      </c>
      <c r="E379" s="410" t="str">
        <f>IFERROR(__xludf.DUMMYFUNCTION("""COMPUTED_VALUE"""),"TNI0002")</f>
        <v>TNI0002</v>
      </c>
      <c r="F379" s="410" t="str">
        <f>IFERROR(__xludf.DUMMYFUNCTION("""COMPUTED_VALUE"""),"myt_pyikyaw.aung")</f>
        <v>myt_pyikyaw.aung</v>
      </c>
      <c r="H379" s="269"/>
      <c r="I379" s="269"/>
      <c r="J379" s="269"/>
      <c r="K379" s="269"/>
      <c r="L379" s="269"/>
      <c r="M379" s="269"/>
      <c r="N379" s="269"/>
      <c r="O379" s="269"/>
      <c r="P379" s="269"/>
      <c r="Q379" s="269"/>
      <c r="R379" s="269"/>
      <c r="S379" s="269"/>
      <c r="T379" s="269"/>
      <c r="U379" s="269"/>
      <c r="V379" s="269"/>
      <c r="W379" s="269"/>
      <c r="X379" s="269"/>
      <c r="Y379" s="269"/>
      <c r="Z379" s="269"/>
      <c r="AA379" s="269"/>
      <c r="AB379" s="269"/>
      <c r="AC379" s="269"/>
      <c r="AD379" s="269"/>
      <c r="AE379" s="269"/>
      <c r="AF379" s="269"/>
      <c r="AG379" s="269"/>
      <c r="AH379" s="269"/>
      <c r="AI379" s="269"/>
      <c r="AJ379" s="269"/>
      <c r="AK379" s="269"/>
      <c r="AL379" s="269"/>
      <c r="AM379" s="269"/>
      <c r="AN379" s="269"/>
      <c r="AO379" s="269"/>
      <c r="AP379" s="269"/>
      <c r="AQ379" s="269"/>
      <c r="AR379" s="269"/>
    </row>
    <row r="380">
      <c r="A380" s="410" t="str">
        <f>IFERROR(__xludf.DUMMYFUNCTION("""COMPUTED_VALUE"""),"WO_WFM-OTHERS_20260623_123612905")</f>
        <v>WO_WFM-OTHERS_20260623_123612905</v>
      </c>
      <c r="B380" s="410" t="str">
        <f>IFERROR(__xludf.DUMMYFUNCTION("""COMPUTED_VALUE"""),"Cable routes measure-BB-TNI0003-TNIM002")</f>
        <v>Cable routes measure-BB-TNI0003-TNIM002</v>
      </c>
      <c r="C380" s="410">
        <f>IFERROR(__xludf.DUMMYFUNCTION("""COMPUTED_VALUE"""),439.03)</f>
        <v>439.03</v>
      </c>
      <c r="D380" s="410" t="str">
        <f>IFERROR(__xludf.DUMMYFUNCTION("""COMPUTED_VALUE"""),"T2")</f>
        <v>T2</v>
      </c>
      <c r="E380" s="410" t="str">
        <f>IFERROR(__xludf.DUMMYFUNCTION("""COMPUTED_VALUE"""),"TNI0003")</f>
        <v>TNI0003</v>
      </c>
      <c r="F380" s="410" t="str">
        <f>IFERROR(__xludf.DUMMYFUNCTION("""COMPUTED_VALUE"""),"myt_pyikyaw.aung")</f>
        <v>myt_pyikyaw.aung</v>
      </c>
      <c r="H380" s="269"/>
      <c r="I380" s="269"/>
      <c r="J380" s="269"/>
      <c r="K380" s="269"/>
      <c r="L380" s="269"/>
      <c r="M380" s="269"/>
      <c r="N380" s="269"/>
      <c r="O380" s="269"/>
      <c r="P380" s="269"/>
      <c r="Q380" s="269"/>
      <c r="R380" s="269"/>
      <c r="S380" s="269"/>
      <c r="T380" s="269"/>
      <c r="U380" s="269"/>
      <c r="V380" s="269"/>
      <c r="W380" s="269"/>
      <c r="X380" s="269"/>
      <c r="Y380" s="269"/>
      <c r="Z380" s="269"/>
      <c r="AA380" s="269"/>
      <c r="AB380" s="269"/>
      <c r="AC380" s="269"/>
      <c r="AD380" s="269"/>
      <c r="AE380" s="269"/>
      <c r="AF380" s="269"/>
      <c r="AG380" s="269"/>
      <c r="AH380" s="269"/>
      <c r="AI380" s="269"/>
      <c r="AJ380" s="269"/>
      <c r="AK380" s="269"/>
      <c r="AL380" s="269"/>
      <c r="AM380" s="269"/>
      <c r="AN380" s="269"/>
      <c r="AO380" s="269"/>
      <c r="AP380" s="269"/>
      <c r="AQ380" s="269"/>
      <c r="AR380" s="269"/>
    </row>
    <row r="381">
      <c r="A381" s="410" t="str">
        <f>IFERROR(__xludf.DUMMYFUNCTION("""COMPUTED_VALUE"""),"WO_WFM-OTHERS_20260623_123612904")</f>
        <v>WO_WFM-OTHERS_20260623_123612904</v>
      </c>
      <c r="B381" s="410" t="str">
        <f>IFERROR(__xludf.DUMMYFUNCTION("""COMPUTED_VALUE"""),"Cable routes measure-BB-TNI0001-TNI0002")</f>
        <v>Cable routes measure-BB-TNI0001-TNI0002</v>
      </c>
      <c r="C381" s="410">
        <f>IFERROR(__xludf.DUMMYFUNCTION("""COMPUTED_VALUE"""),439.03)</f>
        <v>439.03</v>
      </c>
      <c r="D381" s="410" t="str">
        <f>IFERROR(__xludf.DUMMYFUNCTION("""COMPUTED_VALUE"""),"T2")</f>
        <v>T2</v>
      </c>
      <c r="E381" s="410" t="str">
        <f>IFERROR(__xludf.DUMMYFUNCTION("""COMPUTED_VALUE"""),"TNI0001")</f>
        <v>TNI0001</v>
      </c>
      <c r="F381" s="410" t="str">
        <f>IFERROR(__xludf.DUMMYFUNCTION("""COMPUTED_VALUE"""),"myt_pyikyaw.aung")</f>
        <v>myt_pyikyaw.aung</v>
      </c>
      <c r="H381" s="269"/>
      <c r="I381" s="269"/>
      <c r="J381" s="269"/>
      <c r="K381" s="269"/>
      <c r="L381" s="269"/>
      <c r="M381" s="269"/>
      <c r="N381" s="269"/>
      <c r="O381" s="269"/>
      <c r="P381" s="269"/>
      <c r="Q381" s="269"/>
      <c r="R381" s="269"/>
      <c r="S381" s="269"/>
      <c r="T381" s="269"/>
      <c r="U381" s="269"/>
      <c r="V381" s="269"/>
      <c r="W381" s="269"/>
      <c r="X381" s="269"/>
      <c r="Y381" s="269"/>
      <c r="Z381" s="269"/>
      <c r="AA381" s="269"/>
      <c r="AB381" s="269"/>
      <c r="AC381" s="269"/>
      <c r="AD381" s="269"/>
      <c r="AE381" s="269"/>
      <c r="AF381" s="269"/>
      <c r="AG381" s="269"/>
      <c r="AH381" s="269"/>
      <c r="AI381" s="269"/>
      <c r="AJ381" s="269"/>
      <c r="AK381" s="269"/>
      <c r="AL381" s="269"/>
      <c r="AM381" s="269"/>
      <c r="AN381" s="269"/>
      <c r="AO381" s="269"/>
      <c r="AP381" s="269"/>
      <c r="AQ381" s="269"/>
      <c r="AR381" s="269"/>
    </row>
    <row r="382">
      <c r="A382" s="410" t="str">
        <f>IFERROR(__xludf.DUMMYFUNCTION("""COMPUTED_VALUE"""),"WO_WFM-OTHERS_20260622_123603235")</f>
        <v>WO_WFM-OTHERS_20260622_123603235</v>
      </c>
      <c r="B382" s="410" t="str">
        <f>IFERROR(__xludf.DUMMYFUNCTION("""COMPUTED_VALUE"""),"TNI0336_Cleaning Radiator and change engine oil")</f>
        <v>TNI0336_Cleaning Radiator and change engine oil</v>
      </c>
      <c r="C382" s="410">
        <f>IFERROR(__xludf.DUMMYFUNCTION("""COMPUTED_VALUE"""),-41.95)</f>
        <v>-41.95</v>
      </c>
      <c r="D382" s="410" t="str">
        <f>IFERROR(__xludf.DUMMYFUNCTION("""COMPUTED_VALUE"""),"T2")</f>
        <v>T2</v>
      </c>
      <c r="E382" s="410" t="str">
        <f>IFERROR(__xludf.DUMMYFUNCTION("""COMPUTED_VALUE"""),"TNI0336")</f>
        <v>TNI0336</v>
      </c>
      <c r="F382" s="410" t="str">
        <f>IFERROR(__xludf.DUMMYFUNCTION("""COMPUTED_VALUE"""),"myt_pyikyaw.aung")</f>
        <v>myt_pyikyaw.aung</v>
      </c>
      <c r="H382" s="269"/>
      <c r="I382" s="269"/>
      <c r="J382" s="269"/>
      <c r="K382" s="269"/>
      <c r="L382" s="269"/>
      <c r="M382" s="269"/>
      <c r="N382" s="269"/>
      <c r="O382" s="269"/>
      <c r="P382" s="269"/>
      <c r="Q382" s="269"/>
      <c r="R382" s="269"/>
      <c r="S382" s="269"/>
      <c r="T382" s="269"/>
      <c r="U382" s="269"/>
      <c r="V382" s="269"/>
      <c r="W382" s="269"/>
      <c r="X382" s="269"/>
      <c r="Y382" s="269"/>
      <c r="Z382" s="269"/>
      <c r="AA382" s="269"/>
      <c r="AB382" s="269"/>
      <c r="AC382" s="269"/>
      <c r="AD382" s="269"/>
      <c r="AE382" s="269"/>
      <c r="AF382" s="269"/>
      <c r="AG382" s="269"/>
      <c r="AH382" s="269"/>
      <c r="AI382" s="269"/>
      <c r="AJ382" s="269"/>
      <c r="AK382" s="269"/>
      <c r="AL382" s="269"/>
      <c r="AM382" s="269"/>
      <c r="AN382" s="269"/>
      <c r="AO382" s="269"/>
      <c r="AP382" s="269"/>
      <c r="AQ382" s="269"/>
      <c r="AR382" s="269"/>
    </row>
    <row r="383">
      <c r="A383" s="410" t="str">
        <f>IFERROR(__xludf.DUMMYFUNCTION("""COMPUTED_VALUE"""),"WO_QLCTKT_20260615_123526933")</f>
        <v>WO_QLCTKT_20260615_123526933</v>
      </c>
      <c r="B383" s="410" t="str">
        <f>IFERROR(__xludf.DUMMYFUNCTION("""COMPUTED_VALUE"""),"TNI0413 MYT_Generator Fuel Monitoring Abnormal Checking")</f>
        <v>TNI0413 MYT_Generator Fuel Monitoring Abnormal Checking</v>
      </c>
      <c r="C383" s="410">
        <f>IFERROR(__xludf.DUMMYFUNCTION("""COMPUTED_VALUE"""),-280.95)</f>
        <v>-280.95</v>
      </c>
      <c r="D383" s="410" t="str">
        <f>IFERROR(__xludf.DUMMYFUNCTION("""COMPUTED_VALUE"""),"T2")</f>
        <v>T2</v>
      </c>
      <c r="E383" s="410" t="str">
        <f>IFERROR(__xludf.DUMMYFUNCTION("""COMPUTED_VALUE"""),"TNI0413")</f>
        <v>TNI0413</v>
      </c>
      <c r="F383" s="410" t="str">
        <f>IFERROR(__xludf.DUMMYFUNCTION("""COMPUTED_VALUE"""),"myt_pyikyaw.aung")</f>
        <v>myt_pyikyaw.aung</v>
      </c>
      <c r="H383" s="269"/>
      <c r="I383" s="269"/>
      <c r="J383" s="269"/>
      <c r="K383" s="269"/>
      <c r="L383" s="269"/>
      <c r="M383" s="269"/>
      <c r="N383" s="269"/>
      <c r="O383" s="269"/>
      <c r="P383" s="269"/>
      <c r="Q383" s="269"/>
      <c r="R383" s="269"/>
      <c r="S383" s="269"/>
      <c r="T383" s="269"/>
      <c r="U383" s="269"/>
      <c r="V383" s="269"/>
      <c r="W383" s="269"/>
      <c r="X383" s="269"/>
      <c r="Y383" s="269"/>
      <c r="Z383" s="269"/>
      <c r="AA383" s="269"/>
      <c r="AB383" s="269"/>
      <c r="AC383" s="269"/>
      <c r="AD383" s="269"/>
      <c r="AE383" s="269"/>
      <c r="AF383" s="269"/>
      <c r="AG383" s="269"/>
      <c r="AH383" s="269"/>
      <c r="AI383" s="269"/>
      <c r="AJ383" s="269"/>
      <c r="AK383" s="269"/>
      <c r="AL383" s="269"/>
      <c r="AM383" s="269"/>
      <c r="AN383" s="269"/>
      <c r="AO383" s="269"/>
      <c r="AP383" s="269"/>
      <c r="AQ383" s="269"/>
      <c r="AR383" s="269"/>
    </row>
    <row r="384">
      <c r="A384" s="410" t="str">
        <f>IFERROR(__xludf.DUMMYFUNCTION("""COMPUTED_VALUE"""),"WO_QLCTKT_20260625_123634937")</f>
        <v>WO_QLCTKT_20260625_123634937</v>
      </c>
      <c r="B384" s="410" t="str">
        <f>IFERROR(__xludf.DUMMYFUNCTION("""COMPUTED_VALUE"""),"TNI0009 - Repair infrastructure - bla: Cleaning the station, remove grass, vines, tree, rubbish, recall unused equipment, material: Recall unused materials at site (cables, equipment broken...)")</f>
        <v>TNI0009 - Repair infrastructure - bla: Cleaning the station, remove grass, vines, tree, rubbish, recall unused equipment, material: Recall unused materials at site (cables, equipment broken...)</v>
      </c>
      <c r="C384" s="410">
        <f>IFERROR(__xludf.DUMMYFUNCTION("""COMPUTED_VALUE"""),165.29)</f>
        <v>165.29</v>
      </c>
      <c r="D384" s="410" t="str">
        <f>IFERROR(__xludf.DUMMYFUNCTION("""COMPUTED_VALUE"""),"T3")</f>
        <v>T3</v>
      </c>
      <c r="E384" s="410" t="str">
        <f>IFERROR(__xludf.DUMMYFUNCTION("""COMPUTED_VALUE"""),"TNI0009")</f>
        <v>TNI0009</v>
      </c>
      <c r="F384" s="410" t="str">
        <f>IFERROR(__xludf.DUMMYFUNCTION("""COMPUTED_VALUE"""),"myt_sithu.htun")</f>
        <v>myt_sithu.htun</v>
      </c>
      <c r="H384" s="269"/>
      <c r="I384" s="269"/>
      <c r="J384" s="269"/>
      <c r="K384" s="269"/>
      <c r="L384" s="269"/>
      <c r="M384" s="269"/>
      <c r="N384" s="269"/>
      <c r="O384" s="269"/>
      <c r="P384" s="269"/>
      <c r="Q384" s="269"/>
      <c r="R384" s="269"/>
      <c r="S384" s="269"/>
      <c r="T384" s="269"/>
      <c r="U384" s="269"/>
      <c r="V384" s="269"/>
      <c r="W384" s="269"/>
      <c r="X384" s="269"/>
      <c r="Y384" s="269"/>
      <c r="Z384" s="269"/>
      <c r="AA384" s="269"/>
      <c r="AB384" s="269"/>
      <c r="AC384" s="269"/>
      <c r="AD384" s="269"/>
      <c r="AE384" s="269"/>
      <c r="AF384" s="269"/>
      <c r="AG384" s="269"/>
      <c r="AH384" s="269"/>
      <c r="AI384" s="269"/>
      <c r="AJ384" s="269"/>
      <c r="AK384" s="269"/>
      <c r="AL384" s="269"/>
      <c r="AM384" s="269"/>
      <c r="AN384" s="269"/>
      <c r="AO384" s="269"/>
      <c r="AP384" s="269"/>
      <c r="AQ384" s="269"/>
      <c r="AR384" s="269"/>
    </row>
    <row r="385">
      <c r="A385" s="410" t="str">
        <f>IFERROR(__xludf.DUMMYFUNCTION("""COMPUTED_VALUE"""),"WO_ICMS_20260625_123632258")</f>
        <v>WO_ICMS_20260625_123632258</v>
      </c>
      <c r="B385" s="410" t="str">
        <f>IFERROR(__xludf.DUMMYFUNCTION("""COMPUTED_VALUE"""),"Patrolling cable routes TNI0004-TNI0003_00, TNI0004 + null – TNI0003 + null")</f>
        <v>Patrolling cable routes TNI0004-TNI0003_00, TNI0004 + null – TNI0003 + null</v>
      </c>
      <c r="C385" s="410">
        <f>IFERROR(__xludf.DUMMYFUNCTION("""COMPUTED_VALUE"""),545.65)</f>
        <v>545.65</v>
      </c>
      <c r="D385" s="410" t="str">
        <f>IFERROR(__xludf.DUMMYFUNCTION("""COMPUTED_VALUE"""),"T3")</f>
        <v>T3</v>
      </c>
      <c r="E385" s="410" t="str">
        <f>IFERROR(__xludf.DUMMYFUNCTION("""COMPUTED_VALUE"""),"TNI0004")</f>
        <v>TNI0004</v>
      </c>
      <c r="F385" s="410" t="str">
        <f>IFERROR(__xludf.DUMMYFUNCTION("""COMPUTED_VALUE"""),"myt_sithu.htun")</f>
        <v>myt_sithu.htun</v>
      </c>
      <c r="H385" s="269"/>
      <c r="I385" s="269"/>
      <c r="J385" s="269"/>
      <c r="K385" s="269"/>
      <c r="L385" s="269"/>
      <c r="M385" s="269"/>
      <c r="N385" s="269"/>
      <c r="O385" s="269"/>
      <c r="P385" s="269"/>
      <c r="Q385" s="269"/>
      <c r="R385" s="269"/>
      <c r="S385" s="269"/>
      <c r="T385" s="269"/>
      <c r="U385" s="269"/>
      <c r="V385" s="269"/>
      <c r="W385" s="269"/>
      <c r="X385" s="269"/>
      <c r="Y385" s="269"/>
      <c r="Z385" s="269"/>
      <c r="AA385" s="269"/>
      <c r="AB385" s="269"/>
      <c r="AC385" s="269"/>
      <c r="AD385" s="269"/>
      <c r="AE385" s="269"/>
      <c r="AF385" s="269"/>
      <c r="AG385" s="269"/>
      <c r="AH385" s="269"/>
      <c r="AI385" s="269"/>
      <c r="AJ385" s="269"/>
      <c r="AK385" s="269"/>
      <c r="AL385" s="269"/>
      <c r="AM385" s="269"/>
      <c r="AN385" s="269"/>
      <c r="AO385" s="269"/>
      <c r="AP385" s="269"/>
      <c r="AQ385" s="269"/>
      <c r="AR385" s="269"/>
    </row>
    <row r="386">
      <c r="A386" s="410" t="str">
        <f>IFERROR(__xludf.DUMMYFUNCTION("""COMPUTED_VALUE"""),"WO_WFM-OTHERS_20260623_123616273")</f>
        <v>WO_WFM-OTHERS_20260623_123616273</v>
      </c>
      <c r="B386" s="410" t="str">
        <f>IFERROR(__xludf.DUMMYFUNCTION("""COMPUTED_VALUE"""),"Cable Patrol for (BB)-MYT_TNI_TEAM03")</f>
        <v>Cable Patrol for (BB)-MYT_TNI_TEAM03</v>
      </c>
      <c r="C386" s="410">
        <f>IFERROR(__xludf.DUMMYFUNCTION("""COMPUTED_VALUE"""),439.03)</f>
        <v>439.03</v>
      </c>
      <c r="D386" s="410" t="str">
        <f>IFERROR(__xludf.DUMMYFUNCTION("""COMPUTED_VALUE"""),"T3")</f>
        <v>T3</v>
      </c>
      <c r="E386" s="410" t="str">
        <f>IFERROR(__xludf.DUMMYFUNCTION("""COMPUTED_VALUE"""),"TNI_TEA")</f>
        <v>TNI_TEA</v>
      </c>
      <c r="F386" s="410" t="str">
        <f>IFERROR(__xludf.DUMMYFUNCTION("""COMPUTED_VALUE"""),"myt_sithu.htun")</f>
        <v>myt_sithu.htun</v>
      </c>
      <c r="H386" s="269"/>
      <c r="I386" s="269"/>
      <c r="J386" s="269"/>
      <c r="K386" s="269"/>
      <c r="L386" s="269"/>
      <c r="M386" s="269"/>
      <c r="N386" s="269"/>
      <c r="O386" s="269"/>
      <c r="P386" s="269"/>
      <c r="Q386" s="269"/>
      <c r="R386" s="269"/>
      <c r="S386" s="269"/>
      <c r="T386" s="269"/>
      <c r="U386" s="269"/>
      <c r="V386" s="269"/>
      <c r="W386" s="269"/>
      <c r="X386" s="269"/>
      <c r="Y386" s="269"/>
      <c r="Z386" s="269"/>
      <c r="AA386" s="269"/>
      <c r="AB386" s="269"/>
      <c r="AC386" s="269"/>
      <c r="AD386" s="269"/>
      <c r="AE386" s="269"/>
      <c r="AF386" s="269"/>
      <c r="AG386" s="269"/>
      <c r="AH386" s="269"/>
      <c r="AI386" s="269"/>
      <c r="AJ386" s="269"/>
      <c r="AK386" s="269"/>
      <c r="AL386" s="269"/>
      <c r="AM386" s="269"/>
      <c r="AN386" s="269"/>
      <c r="AO386" s="269"/>
      <c r="AP386" s="269"/>
      <c r="AQ386" s="269"/>
      <c r="AR386" s="269"/>
    </row>
    <row r="387">
      <c r="A387" s="410" t="str">
        <f>IFERROR(__xludf.DUMMYFUNCTION("""COMPUTED_VALUE"""),"WO_WFM-OTHERS_20260623_123616271")</f>
        <v>WO_WFM-OTHERS_20260623_123616271</v>
      </c>
      <c r="B387" s="410" t="str">
        <f>IFERROR(__xludf.DUMMYFUNCTION("""COMPUTED_VALUE"""),"Cable Patrol for (BB)-MYT_TNI_TEAM03")</f>
        <v>Cable Patrol for (BB)-MYT_TNI_TEAM03</v>
      </c>
      <c r="C387" s="410">
        <f>IFERROR(__xludf.DUMMYFUNCTION("""COMPUTED_VALUE"""),439.03)</f>
        <v>439.03</v>
      </c>
      <c r="D387" s="410" t="str">
        <f>IFERROR(__xludf.DUMMYFUNCTION("""COMPUTED_VALUE"""),"T3")</f>
        <v>T3</v>
      </c>
      <c r="E387" s="410" t="str">
        <f>IFERROR(__xludf.DUMMYFUNCTION("""COMPUTED_VALUE"""),"TNI_TEA")</f>
        <v>TNI_TEA</v>
      </c>
      <c r="F387" s="410" t="str">
        <f>IFERROR(__xludf.DUMMYFUNCTION("""COMPUTED_VALUE"""),"myt_sithu.htun")</f>
        <v>myt_sithu.htun</v>
      </c>
      <c r="H387" s="269"/>
      <c r="I387" s="269"/>
      <c r="J387" s="269"/>
      <c r="K387" s="269"/>
      <c r="L387" s="269"/>
      <c r="M387" s="269"/>
      <c r="N387" s="269"/>
      <c r="O387" s="269"/>
      <c r="P387" s="269"/>
      <c r="Q387" s="269"/>
      <c r="R387" s="269"/>
      <c r="S387" s="269"/>
      <c r="T387" s="269"/>
      <c r="U387" s="269"/>
      <c r="V387" s="269"/>
      <c r="W387" s="269"/>
      <c r="X387" s="269"/>
      <c r="Y387" s="269"/>
      <c r="Z387" s="269"/>
      <c r="AA387" s="269"/>
      <c r="AB387" s="269"/>
      <c r="AC387" s="269"/>
      <c r="AD387" s="269"/>
      <c r="AE387" s="269"/>
      <c r="AF387" s="269"/>
      <c r="AG387" s="269"/>
      <c r="AH387" s="269"/>
      <c r="AI387" s="269"/>
      <c r="AJ387" s="269"/>
      <c r="AK387" s="269"/>
      <c r="AL387" s="269"/>
      <c r="AM387" s="269"/>
      <c r="AN387" s="269"/>
      <c r="AO387" s="269"/>
      <c r="AP387" s="269"/>
      <c r="AQ387" s="269"/>
      <c r="AR387" s="269"/>
    </row>
    <row r="388">
      <c r="A388" s="410" t="str">
        <f>IFERROR(__xludf.DUMMYFUNCTION("""COMPUTED_VALUE"""),"WO_WFM-OTHERS_20260623_123616275")</f>
        <v>WO_WFM-OTHERS_20260623_123616275</v>
      </c>
      <c r="B388" s="410" t="str">
        <f>IFERROR(__xludf.DUMMYFUNCTION("""COMPUTED_VALUE"""),"Cable Patrol for (AC)-TNI0345-TNI0345_01")</f>
        <v>Cable Patrol for (AC)-TNI0345-TNI0345_01</v>
      </c>
      <c r="C388" s="410">
        <f>IFERROR(__xludf.DUMMYFUNCTION("""COMPUTED_VALUE"""),439.03)</f>
        <v>439.03</v>
      </c>
      <c r="D388" s="410" t="str">
        <f>IFERROR(__xludf.DUMMYFUNCTION("""COMPUTED_VALUE"""),"T3")</f>
        <v>T3</v>
      </c>
      <c r="E388" s="410" t="str">
        <f>IFERROR(__xludf.DUMMYFUNCTION("""COMPUTED_VALUE"""),"TNI0345")</f>
        <v>TNI0345</v>
      </c>
      <c r="F388" s="410" t="str">
        <f>IFERROR(__xludf.DUMMYFUNCTION("""COMPUTED_VALUE"""),"myt_sithu.htun")</f>
        <v>myt_sithu.htun</v>
      </c>
      <c r="H388" s="269"/>
      <c r="I388" s="269"/>
      <c r="J388" s="269"/>
      <c r="K388" s="269"/>
      <c r="L388" s="269"/>
      <c r="M388" s="269"/>
      <c r="N388" s="269"/>
      <c r="O388" s="269"/>
      <c r="P388" s="269"/>
      <c r="Q388" s="269"/>
      <c r="R388" s="269"/>
      <c r="S388" s="269"/>
      <c r="T388" s="269"/>
      <c r="U388" s="269"/>
      <c r="V388" s="269"/>
      <c r="W388" s="269"/>
      <c r="X388" s="269"/>
      <c r="Y388" s="269"/>
      <c r="Z388" s="269"/>
      <c r="AA388" s="269"/>
      <c r="AB388" s="269"/>
      <c r="AC388" s="269"/>
      <c r="AD388" s="269"/>
      <c r="AE388" s="269"/>
      <c r="AF388" s="269"/>
      <c r="AG388" s="269"/>
      <c r="AH388" s="269"/>
      <c r="AI388" s="269"/>
      <c r="AJ388" s="269"/>
      <c r="AK388" s="269"/>
      <c r="AL388" s="269"/>
      <c r="AM388" s="269"/>
      <c r="AN388" s="269"/>
      <c r="AO388" s="269"/>
      <c r="AP388" s="269"/>
      <c r="AQ388" s="269"/>
      <c r="AR388" s="269"/>
    </row>
    <row r="389">
      <c r="A389" s="410" t="str">
        <f>IFERROR(__xludf.DUMMYFUNCTION("""COMPUTED_VALUE"""),"WO_WFM-OTHERS_20260623_123616280")</f>
        <v>WO_WFM-OTHERS_20260623_123616280</v>
      </c>
      <c r="B389" s="410" t="str">
        <f>IFERROR(__xludf.DUMMYFUNCTION("""COMPUTED_VALUE"""),"Cable Patrol for (AC)-TNI0136-TNIM085")</f>
        <v>Cable Patrol for (AC)-TNI0136-TNIM085</v>
      </c>
      <c r="C389" s="410">
        <f>IFERROR(__xludf.DUMMYFUNCTION("""COMPUTED_VALUE"""),439.03)</f>
        <v>439.03</v>
      </c>
      <c r="D389" s="410" t="str">
        <f>IFERROR(__xludf.DUMMYFUNCTION("""COMPUTED_VALUE"""),"T3")</f>
        <v>T3</v>
      </c>
      <c r="E389" s="410" t="str">
        <f>IFERROR(__xludf.DUMMYFUNCTION("""COMPUTED_VALUE"""),"TNI0136")</f>
        <v>TNI0136</v>
      </c>
      <c r="F389" s="410" t="str">
        <f>IFERROR(__xludf.DUMMYFUNCTION("""COMPUTED_VALUE"""),"myt_sithu.htun")</f>
        <v>myt_sithu.htun</v>
      </c>
      <c r="H389" s="269"/>
      <c r="I389" s="269"/>
      <c r="J389" s="269"/>
      <c r="K389" s="269"/>
      <c r="L389" s="269"/>
      <c r="M389" s="269"/>
      <c r="N389" s="269"/>
      <c r="O389" s="269"/>
      <c r="P389" s="269"/>
      <c r="Q389" s="269"/>
      <c r="R389" s="269"/>
      <c r="S389" s="269"/>
      <c r="T389" s="269"/>
      <c r="U389" s="269"/>
      <c r="V389" s="269"/>
      <c r="W389" s="269"/>
      <c r="X389" s="269"/>
      <c r="Y389" s="269"/>
      <c r="Z389" s="269"/>
      <c r="AA389" s="269"/>
      <c r="AB389" s="269"/>
      <c r="AC389" s="269"/>
      <c r="AD389" s="269"/>
      <c r="AE389" s="269"/>
      <c r="AF389" s="269"/>
      <c r="AG389" s="269"/>
      <c r="AH389" s="269"/>
      <c r="AI389" s="269"/>
      <c r="AJ389" s="269"/>
      <c r="AK389" s="269"/>
      <c r="AL389" s="269"/>
      <c r="AM389" s="269"/>
      <c r="AN389" s="269"/>
      <c r="AO389" s="269"/>
      <c r="AP389" s="269"/>
      <c r="AQ389" s="269"/>
      <c r="AR389" s="269"/>
    </row>
    <row r="390">
      <c r="A390" s="410" t="str">
        <f>IFERROR(__xludf.DUMMYFUNCTION("""COMPUTED_VALUE"""),"WO_WFM-OTHERS_20260623_123616274")</f>
        <v>WO_WFM-OTHERS_20260623_123616274</v>
      </c>
      <c r="B390" s="410" t="str">
        <f>IFERROR(__xludf.DUMMYFUNCTION("""COMPUTED_VALUE"""),"Cable Patrol for (BB)-MYT_TNI_TEAM03")</f>
        <v>Cable Patrol for (BB)-MYT_TNI_TEAM03</v>
      </c>
      <c r="C390" s="410">
        <f>IFERROR(__xludf.DUMMYFUNCTION("""COMPUTED_VALUE"""),439.03)</f>
        <v>439.03</v>
      </c>
      <c r="D390" s="410" t="str">
        <f>IFERROR(__xludf.DUMMYFUNCTION("""COMPUTED_VALUE"""),"T3")</f>
        <v>T3</v>
      </c>
      <c r="E390" s="410" t="str">
        <f>IFERROR(__xludf.DUMMYFUNCTION("""COMPUTED_VALUE"""),"TNI_TEA")</f>
        <v>TNI_TEA</v>
      </c>
      <c r="F390" s="410" t="str">
        <f>IFERROR(__xludf.DUMMYFUNCTION("""COMPUTED_VALUE"""),"myt_sithu.htun")</f>
        <v>myt_sithu.htun</v>
      </c>
      <c r="H390" s="269"/>
      <c r="I390" s="269"/>
      <c r="J390" s="269"/>
      <c r="K390" s="269"/>
      <c r="L390" s="269"/>
      <c r="M390" s="269"/>
      <c r="N390" s="269"/>
      <c r="O390" s="269"/>
      <c r="P390" s="269"/>
      <c r="Q390" s="269"/>
      <c r="R390" s="269"/>
      <c r="S390" s="269"/>
      <c r="T390" s="269"/>
      <c r="U390" s="269"/>
      <c r="V390" s="269"/>
      <c r="W390" s="269"/>
      <c r="X390" s="269"/>
      <c r="Y390" s="269"/>
      <c r="Z390" s="269"/>
      <c r="AA390" s="269"/>
      <c r="AB390" s="269"/>
      <c r="AC390" s="269"/>
      <c r="AD390" s="269"/>
      <c r="AE390" s="269"/>
      <c r="AF390" s="269"/>
      <c r="AG390" s="269"/>
      <c r="AH390" s="269"/>
      <c r="AI390" s="269"/>
      <c r="AJ390" s="269"/>
      <c r="AK390" s="269"/>
      <c r="AL390" s="269"/>
      <c r="AM390" s="269"/>
      <c r="AN390" s="269"/>
      <c r="AO390" s="269"/>
      <c r="AP390" s="269"/>
      <c r="AQ390" s="269"/>
      <c r="AR390" s="269"/>
    </row>
    <row r="391">
      <c r="A391" s="410" t="str">
        <f>IFERROR(__xludf.DUMMYFUNCTION("""COMPUTED_VALUE"""),"WO_WFM-OTHERS_20260623_123616276")</f>
        <v>WO_WFM-OTHERS_20260623_123616276</v>
      </c>
      <c r="B391" s="410" t="str">
        <f>IFERROR(__xludf.DUMMYFUNCTION("""COMPUTED_VALUE"""),"Cable Patrol for (AC)-TNI0341-JB(TNI0004-TNI0008)")</f>
        <v>Cable Patrol for (AC)-TNI0341-JB(TNI0004-TNI0008)</v>
      </c>
      <c r="C391" s="410">
        <f>IFERROR(__xludf.DUMMYFUNCTION("""COMPUTED_VALUE"""),439.03)</f>
        <v>439.03</v>
      </c>
      <c r="D391" s="410" t="str">
        <f>IFERROR(__xludf.DUMMYFUNCTION("""COMPUTED_VALUE"""),"T3")</f>
        <v>T3</v>
      </c>
      <c r="E391" s="410" t="str">
        <f>IFERROR(__xludf.DUMMYFUNCTION("""COMPUTED_VALUE"""),"TNI0341")</f>
        <v>TNI0341</v>
      </c>
      <c r="F391" s="410" t="str">
        <f>IFERROR(__xludf.DUMMYFUNCTION("""COMPUTED_VALUE"""),"myt_sithu.htun")</f>
        <v>myt_sithu.htun</v>
      </c>
      <c r="H391" s="269"/>
      <c r="I391" s="269"/>
      <c r="J391" s="269"/>
      <c r="K391" s="269"/>
      <c r="L391" s="269"/>
      <c r="M391" s="269"/>
      <c r="N391" s="269"/>
      <c r="O391" s="269"/>
      <c r="P391" s="269"/>
      <c r="Q391" s="269"/>
      <c r="R391" s="269"/>
      <c r="S391" s="269"/>
      <c r="T391" s="269"/>
      <c r="U391" s="269"/>
      <c r="V391" s="269"/>
      <c r="W391" s="269"/>
      <c r="X391" s="269"/>
      <c r="Y391" s="269"/>
      <c r="Z391" s="269"/>
      <c r="AA391" s="269"/>
      <c r="AB391" s="269"/>
      <c r="AC391" s="269"/>
      <c r="AD391" s="269"/>
      <c r="AE391" s="269"/>
      <c r="AF391" s="269"/>
      <c r="AG391" s="269"/>
      <c r="AH391" s="269"/>
      <c r="AI391" s="269"/>
      <c r="AJ391" s="269"/>
      <c r="AK391" s="269"/>
      <c r="AL391" s="269"/>
      <c r="AM391" s="269"/>
      <c r="AN391" s="269"/>
      <c r="AO391" s="269"/>
      <c r="AP391" s="269"/>
      <c r="AQ391" s="269"/>
      <c r="AR391" s="269"/>
    </row>
    <row r="392">
      <c r="A392" s="410" t="str">
        <f>IFERROR(__xludf.DUMMYFUNCTION("""COMPUTED_VALUE"""),"WO_WFM-OTHERS_20260623_123616278")</f>
        <v>WO_WFM-OTHERS_20260623_123616278</v>
      </c>
      <c r="B392" s="410" t="str">
        <f>IFERROR(__xludf.DUMMYFUNCTION("""COMPUTED_VALUE"""),"Cable Patrol for (AC)-TNI0345-JB(TNI0009-TNI0015)")</f>
        <v>Cable Patrol for (AC)-TNI0345-JB(TNI0009-TNI0015)</v>
      </c>
      <c r="C392" s="410">
        <f>IFERROR(__xludf.DUMMYFUNCTION("""COMPUTED_VALUE"""),439.03)</f>
        <v>439.03</v>
      </c>
      <c r="D392" s="410" t="str">
        <f>IFERROR(__xludf.DUMMYFUNCTION("""COMPUTED_VALUE"""),"T3")</f>
        <v>T3</v>
      </c>
      <c r="E392" s="410" t="str">
        <f>IFERROR(__xludf.DUMMYFUNCTION("""COMPUTED_VALUE"""),"TNI0345")</f>
        <v>TNI0345</v>
      </c>
      <c r="F392" s="410" t="str">
        <f>IFERROR(__xludf.DUMMYFUNCTION("""COMPUTED_VALUE"""),"myt_sithu.htun")</f>
        <v>myt_sithu.htun</v>
      </c>
      <c r="H392" s="269"/>
      <c r="I392" s="269"/>
      <c r="J392" s="269"/>
      <c r="K392" s="269"/>
      <c r="L392" s="269"/>
      <c r="M392" s="269"/>
      <c r="N392" s="269"/>
      <c r="O392" s="269"/>
      <c r="P392" s="269"/>
      <c r="Q392" s="269"/>
      <c r="R392" s="269"/>
      <c r="S392" s="269"/>
      <c r="T392" s="269"/>
      <c r="U392" s="269"/>
      <c r="V392" s="269"/>
      <c r="W392" s="269"/>
      <c r="X392" s="269"/>
      <c r="Y392" s="269"/>
      <c r="Z392" s="269"/>
      <c r="AA392" s="269"/>
      <c r="AB392" s="269"/>
      <c r="AC392" s="269"/>
      <c r="AD392" s="269"/>
      <c r="AE392" s="269"/>
      <c r="AF392" s="269"/>
      <c r="AG392" s="269"/>
      <c r="AH392" s="269"/>
      <c r="AI392" s="269"/>
      <c r="AJ392" s="269"/>
      <c r="AK392" s="269"/>
      <c r="AL392" s="269"/>
      <c r="AM392" s="269"/>
      <c r="AN392" s="269"/>
      <c r="AO392" s="269"/>
      <c r="AP392" s="269"/>
      <c r="AQ392" s="269"/>
      <c r="AR392" s="269"/>
    </row>
    <row r="393">
      <c r="A393" s="410" t="str">
        <f>IFERROR(__xludf.DUMMYFUNCTION("""COMPUTED_VALUE"""),"WO_WFM-OTHERS_20260623_123616272")</f>
        <v>WO_WFM-OTHERS_20260623_123616272</v>
      </c>
      <c r="B393" s="410" t="str">
        <f>IFERROR(__xludf.DUMMYFUNCTION("""COMPUTED_VALUE"""),"Cable Patrol for (BB)-MYT_TNI_TEAM03")</f>
        <v>Cable Patrol for (BB)-MYT_TNI_TEAM03</v>
      </c>
      <c r="C393" s="410">
        <f>IFERROR(__xludf.DUMMYFUNCTION("""COMPUTED_VALUE"""),439.03)</f>
        <v>439.03</v>
      </c>
      <c r="D393" s="410" t="str">
        <f>IFERROR(__xludf.DUMMYFUNCTION("""COMPUTED_VALUE"""),"T3")</f>
        <v>T3</v>
      </c>
      <c r="E393" s="410" t="str">
        <f>IFERROR(__xludf.DUMMYFUNCTION("""COMPUTED_VALUE"""),"TNI_TEA")</f>
        <v>TNI_TEA</v>
      </c>
      <c r="F393" s="410" t="str">
        <f>IFERROR(__xludf.DUMMYFUNCTION("""COMPUTED_VALUE"""),"myt_sithu.htun")</f>
        <v>myt_sithu.htun</v>
      </c>
      <c r="H393" s="269"/>
      <c r="I393" s="269"/>
      <c r="J393" s="269"/>
      <c r="K393" s="269"/>
      <c r="L393" s="269"/>
      <c r="M393" s="269"/>
      <c r="N393" s="269"/>
      <c r="O393" s="269"/>
      <c r="P393" s="269"/>
      <c r="Q393" s="269"/>
      <c r="R393" s="269"/>
      <c r="S393" s="269"/>
      <c r="T393" s="269"/>
      <c r="U393" s="269"/>
      <c r="V393" s="269"/>
      <c r="W393" s="269"/>
      <c r="X393" s="269"/>
      <c r="Y393" s="269"/>
      <c r="Z393" s="269"/>
      <c r="AA393" s="269"/>
      <c r="AB393" s="269"/>
      <c r="AC393" s="269"/>
      <c r="AD393" s="269"/>
      <c r="AE393" s="269"/>
      <c r="AF393" s="269"/>
      <c r="AG393" s="269"/>
      <c r="AH393" s="269"/>
      <c r="AI393" s="269"/>
      <c r="AJ393" s="269"/>
      <c r="AK393" s="269"/>
      <c r="AL393" s="269"/>
      <c r="AM393" s="269"/>
      <c r="AN393" s="269"/>
      <c r="AO393" s="269"/>
      <c r="AP393" s="269"/>
      <c r="AQ393" s="269"/>
      <c r="AR393" s="269"/>
    </row>
    <row r="394">
      <c r="A394" s="410" t="str">
        <f>IFERROR(__xludf.DUMMYFUNCTION("""COMPUTED_VALUE"""),"WO_WFM-OTHERS_20260623_123616266")</f>
        <v>WO_WFM-OTHERS_20260623_123616266</v>
      </c>
      <c r="B394" s="410" t="str">
        <f>IFERROR(__xludf.DUMMYFUNCTION("""COMPUTED_VALUE"""),"Cable Patrol for (BB)-MYT_TNI_TEAM03")</f>
        <v>Cable Patrol for (BB)-MYT_TNI_TEAM03</v>
      </c>
      <c r="C394" s="410">
        <f>IFERROR(__xludf.DUMMYFUNCTION("""COMPUTED_VALUE"""),439.03)</f>
        <v>439.03</v>
      </c>
      <c r="D394" s="410" t="str">
        <f>IFERROR(__xludf.DUMMYFUNCTION("""COMPUTED_VALUE"""),"T3")</f>
        <v>T3</v>
      </c>
      <c r="E394" s="410" t="str">
        <f>IFERROR(__xludf.DUMMYFUNCTION("""COMPUTED_VALUE"""),"TNI_TEA")</f>
        <v>TNI_TEA</v>
      </c>
      <c r="F394" s="410" t="str">
        <f>IFERROR(__xludf.DUMMYFUNCTION("""COMPUTED_VALUE"""),"myt_sithu.htun")</f>
        <v>myt_sithu.htun</v>
      </c>
      <c r="H394" s="269"/>
      <c r="I394" s="269"/>
      <c r="J394" s="269"/>
      <c r="K394" s="269"/>
      <c r="L394" s="269"/>
      <c r="M394" s="269"/>
      <c r="N394" s="269"/>
      <c r="O394" s="269"/>
      <c r="P394" s="269"/>
      <c r="Q394" s="269"/>
      <c r="R394" s="269"/>
      <c r="S394" s="269"/>
      <c r="T394" s="269"/>
      <c r="U394" s="269"/>
      <c r="V394" s="269"/>
      <c r="W394" s="269"/>
      <c r="X394" s="269"/>
      <c r="Y394" s="269"/>
      <c r="Z394" s="269"/>
      <c r="AA394" s="269"/>
      <c r="AB394" s="269"/>
      <c r="AC394" s="269"/>
      <c r="AD394" s="269"/>
      <c r="AE394" s="269"/>
      <c r="AF394" s="269"/>
      <c r="AG394" s="269"/>
      <c r="AH394" s="269"/>
      <c r="AI394" s="269"/>
      <c r="AJ394" s="269"/>
      <c r="AK394" s="269"/>
      <c r="AL394" s="269"/>
      <c r="AM394" s="269"/>
      <c r="AN394" s="269"/>
      <c r="AO394" s="269"/>
      <c r="AP394" s="269"/>
      <c r="AQ394" s="269"/>
      <c r="AR394" s="269"/>
    </row>
    <row r="395">
      <c r="A395" s="410" t="str">
        <f>IFERROR(__xludf.DUMMYFUNCTION("""COMPUTED_VALUE"""),"WO_WFM-OTHERS_20260623_123616268")</f>
        <v>WO_WFM-OTHERS_20260623_123616268</v>
      </c>
      <c r="B395" s="410" t="str">
        <f>IFERROR(__xludf.DUMMYFUNCTION("""COMPUTED_VALUE"""),"Cable Patrol for (BB)-MYT_TNI_TEAM03")</f>
        <v>Cable Patrol for (BB)-MYT_TNI_TEAM03</v>
      </c>
      <c r="C395" s="410">
        <f>IFERROR(__xludf.DUMMYFUNCTION("""COMPUTED_VALUE"""),439.03)</f>
        <v>439.03</v>
      </c>
      <c r="D395" s="410" t="str">
        <f>IFERROR(__xludf.DUMMYFUNCTION("""COMPUTED_VALUE"""),"T3")</f>
        <v>T3</v>
      </c>
      <c r="E395" s="410" t="str">
        <f>IFERROR(__xludf.DUMMYFUNCTION("""COMPUTED_VALUE"""),"TNI_TEA")</f>
        <v>TNI_TEA</v>
      </c>
      <c r="F395" s="410" t="str">
        <f>IFERROR(__xludf.DUMMYFUNCTION("""COMPUTED_VALUE"""),"myt_sithu.htun")</f>
        <v>myt_sithu.htun</v>
      </c>
      <c r="H395" s="269"/>
      <c r="I395" s="269"/>
      <c r="J395" s="269"/>
      <c r="K395" s="269"/>
      <c r="L395" s="269"/>
      <c r="M395" s="269"/>
      <c r="N395" s="269"/>
      <c r="O395" s="269"/>
      <c r="P395" s="269"/>
      <c r="Q395" s="269"/>
      <c r="R395" s="269"/>
      <c r="S395" s="269"/>
      <c r="T395" s="269"/>
      <c r="U395" s="269"/>
      <c r="V395" s="269"/>
      <c r="W395" s="269"/>
      <c r="X395" s="269"/>
      <c r="Y395" s="269"/>
      <c r="Z395" s="269"/>
      <c r="AA395" s="269"/>
      <c r="AB395" s="269"/>
      <c r="AC395" s="269"/>
      <c r="AD395" s="269"/>
      <c r="AE395" s="269"/>
      <c r="AF395" s="269"/>
      <c r="AG395" s="269"/>
      <c r="AH395" s="269"/>
      <c r="AI395" s="269"/>
      <c r="AJ395" s="269"/>
      <c r="AK395" s="269"/>
      <c r="AL395" s="269"/>
      <c r="AM395" s="269"/>
      <c r="AN395" s="269"/>
      <c r="AO395" s="269"/>
      <c r="AP395" s="269"/>
      <c r="AQ395" s="269"/>
      <c r="AR395" s="269"/>
    </row>
    <row r="396">
      <c r="A396" s="410" t="str">
        <f>IFERROR(__xludf.DUMMYFUNCTION("""COMPUTED_VALUE"""),"WO_WFM-OTHERS_20260623_123616264")</f>
        <v>WO_WFM-OTHERS_20260623_123616264</v>
      </c>
      <c r="B396" s="410" t="str">
        <f>IFERROR(__xludf.DUMMYFUNCTION("""COMPUTED_VALUE"""),"Cable Patrol for (BB)-MYT_TNI_TEAM03")</f>
        <v>Cable Patrol for (BB)-MYT_TNI_TEAM03</v>
      </c>
      <c r="C396" s="410">
        <f>IFERROR(__xludf.DUMMYFUNCTION("""COMPUTED_VALUE"""),439.03)</f>
        <v>439.03</v>
      </c>
      <c r="D396" s="410" t="str">
        <f>IFERROR(__xludf.DUMMYFUNCTION("""COMPUTED_VALUE"""),"T3")</f>
        <v>T3</v>
      </c>
      <c r="E396" s="410" t="str">
        <f>IFERROR(__xludf.DUMMYFUNCTION("""COMPUTED_VALUE"""),"TNI_TEA")</f>
        <v>TNI_TEA</v>
      </c>
      <c r="F396" s="410" t="str">
        <f>IFERROR(__xludf.DUMMYFUNCTION("""COMPUTED_VALUE"""),"myt_sithu.htun")</f>
        <v>myt_sithu.htun</v>
      </c>
      <c r="H396" s="269"/>
      <c r="I396" s="269"/>
      <c r="J396" s="269"/>
      <c r="K396" s="269"/>
      <c r="L396" s="269"/>
      <c r="M396" s="269"/>
      <c r="N396" s="269"/>
      <c r="O396" s="269"/>
      <c r="P396" s="269"/>
      <c r="Q396" s="269"/>
      <c r="R396" s="269"/>
      <c r="S396" s="269"/>
      <c r="T396" s="269"/>
      <c r="U396" s="269"/>
      <c r="V396" s="269"/>
      <c r="W396" s="269"/>
      <c r="X396" s="269"/>
      <c r="Y396" s="269"/>
      <c r="Z396" s="269"/>
      <c r="AA396" s="269"/>
      <c r="AB396" s="269"/>
      <c r="AC396" s="269"/>
      <c r="AD396" s="269"/>
      <c r="AE396" s="269"/>
      <c r="AF396" s="269"/>
      <c r="AG396" s="269"/>
      <c r="AH396" s="269"/>
      <c r="AI396" s="269"/>
      <c r="AJ396" s="269"/>
      <c r="AK396" s="269"/>
      <c r="AL396" s="269"/>
      <c r="AM396" s="269"/>
      <c r="AN396" s="269"/>
      <c r="AO396" s="269"/>
      <c r="AP396" s="269"/>
      <c r="AQ396" s="269"/>
      <c r="AR396" s="269"/>
    </row>
    <row r="397">
      <c r="A397" s="410" t="str">
        <f>IFERROR(__xludf.DUMMYFUNCTION("""COMPUTED_VALUE"""),"WO_WFM-OTHERS_20260623_123616267")</f>
        <v>WO_WFM-OTHERS_20260623_123616267</v>
      </c>
      <c r="B397" s="410" t="str">
        <f>IFERROR(__xludf.DUMMYFUNCTION("""COMPUTED_VALUE"""),"Cable Patrol for (BB)-MYT_TNI_TEAM03")</f>
        <v>Cable Patrol for (BB)-MYT_TNI_TEAM03</v>
      </c>
      <c r="C397" s="410">
        <f>IFERROR(__xludf.DUMMYFUNCTION("""COMPUTED_VALUE"""),439.03)</f>
        <v>439.03</v>
      </c>
      <c r="D397" s="410" t="str">
        <f>IFERROR(__xludf.DUMMYFUNCTION("""COMPUTED_VALUE"""),"T3")</f>
        <v>T3</v>
      </c>
      <c r="E397" s="410" t="str">
        <f>IFERROR(__xludf.DUMMYFUNCTION("""COMPUTED_VALUE"""),"TNI_TEA")</f>
        <v>TNI_TEA</v>
      </c>
      <c r="F397" s="410" t="str">
        <f>IFERROR(__xludf.DUMMYFUNCTION("""COMPUTED_VALUE"""),"myt_sithu.htun")</f>
        <v>myt_sithu.htun</v>
      </c>
      <c r="H397" s="269"/>
      <c r="I397" s="269"/>
      <c r="J397" s="269"/>
      <c r="K397" s="269"/>
      <c r="L397" s="269"/>
      <c r="M397" s="269"/>
      <c r="N397" s="269"/>
      <c r="O397" s="269"/>
      <c r="P397" s="269"/>
      <c r="Q397" s="269"/>
      <c r="R397" s="269"/>
      <c r="S397" s="269"/>
      <c r="T397" s="269"/>
      <c r="U397" s="269"/>
      <c r="V397" s="269"/>
      <c r="W397" s="269"/>
      <c r="X397" s="269"/>
      <c r="Y397" s="269"/>
      <c r="Z397" s="269"/>
      <c r="AA397" s="269"/>
      <c r="AB397" s="269"/>
      <c r="AC397" s="269"/>
      <c r="AD397" s="269"/>
      <c r="AE397" s="269"/>
      <c r="AF397" s="269"/>
      <c r="AG397" s="269"/>
      <c r="AH397" s="269"/>
      <c r="AI397" s="269"/>
      <c r="AJ397" s="269"/>
      <c r="AK397" s="269"/>
      <c r="AL397" s="269"/>
      <c r="AM397" s="269"/>
      <c r="AN397" s="269"/>
      <c r="AO397" s="269"/>
      <c r="AP397" s="269"/>
      <c r="AQ397" s="269"/>
      <c r="AR397" s="269"/>
    </row>
    <row r="398">
      <c r="A398" s="410" t="str">
        <f>IFERROR(__xludf.DUMMYFUNCTION("""COMPUTED_VALUE"""),"WO_WFM-OTHERS_20260623_123616270")</f>
        <v>WO_WFM-OTHERS_20260623_123616270</v>
      </c>
      <c r="B398" s="410" t="str">
        <f>IFERROR(__xludf.DUMMYFUNCTION("""COMPUTED_VALUE"""),"Cable Patrol for (BB)-MYT_TNI_TEAM03")</f>
        <v>Cable Patrol for (BB)-MYT_TNI_TEAM03</v>
      </c>
      <c r="C398" s="410">
        <f>IFERROR(__xludf.DUMMYFUNCTION("""COMPUTED_VALUE"""),439.03)</f>
        <v>439.03</v>
      </c>
      <c r="D398" s="410" t="str">
        <f>IFERROR(__xludf.DUMMYFUNCTION("""COMPUTED_VALUE"""),"T3")</f>
        <v>T3</v>
      </c>
      <c r="E398" s="410" t="str">
        <f>IFERROR(__xludf.DUMMYFUNCTION("""COMPUTED_VALUE"""),"TNI_TEA")</f>
        <v>TNI_TEA</v>
      </c>
      <c r="F398" s="410" t="str">
        <f>IFERROR(__xludf.DUMMYFUNCTION("""COMPUTED_VALUE"""),"myt_sithu.htun")</f>
        <v>myt_sithu.htun</v>
      </c>
      <c r="H398" s="269"/>
      <c r="I398" s="269"/>
      <c r="J398" s="269"/>
      <c r="K398" s="269"/>
      <c r="L398" s="269"/>
      <c r="M398" s="269"/>
      <c r="N398" s="269"/>
      <c r="O398" s="269"/>
      <c r="P398" s="269"/>
      <c r="Q398" s="269"/>
      <c r="R398" s="269"/>
      <c r="S398" s="269"/>
      <c r="T398" s="269"/>
      <c r="U398" s="269"/>
      <c r="V398" s="269"/>
      <c r="W398" s="269"/>
      <c r="X398" s="269"/>
      <c r="Y398" s="269"/>
      <c r="Z398" s="269"/>
      <c r="AA398" s="269"/>
      <c r="AB398" s="269"/>
      <c r="AC398" s="269"/>
      <c r="AD398" s="269"/>
      <c r="AE398" s="269"/>
      <c r="AF398" s="269"/>
      <c r="AG398" s="269"/>
      <c r="AH398" s="269"/>
      <c r="AI398" s="269"/>
      <c r="AJ398" s="269"/>
      <c r="AK398" s="269"/>
      <c r="AL398" s="269"/>
      <c r="AM398" s="269"/>
      <c r="AN398" s="269"/>
      <c r="AO398" s="269"/>
      <c r="AP398" s="269"/>
      <c r="AQ398" s="269"/>
      <c r="AR398" s="269"/>
    </row>
    <row r="399">
      <c r="A399" s="410" t="str">
        <f>IFERROR(__xludf.DUMMYFUNCTION("""COMPUTED_VALUE"""),"WO_WFM-OTHERS_20260623_123616263")</f>
        <v>WO_WFM-OTHERS_20260623_123616263</v>
      </c>
      <c r="B399" s="410" t="str">
        <f>IFERROR(__xludf.DUMMYFUNCTION("""COMPUTED_VALUE"""),"Cable Patrol for (BB)-MYT_TNI_TEAM03")</f>
        <v>Cable Patrol for (BB)-MYT_TNI_TEAM03</v>
      </c>
      <c r="C399" s="410">
        <f>IFERROR(__xludf.DUMMYFUNCTION("""COMPUTED_VALUE"""),439.03)</f>
        <v>439.03</v>
      </c>
      <c r="D399" s="410" t="str">
        <f>IFERROR(__xludf.DUMMYFUNCTION("""COMPUTED_VALUE"""),"T3")</f>
        <v>T3</v>
      </c>
      <c r="E399" s="410" t="str">
        <f>IFERROR(__xludf.DUMMYFUNCTION("""COMPUTED_VALUE"""),"TNI_TEA")</f>
        <v>TNI_TEA</v>
      </c>
      <c r="F399" s="410" t="str">
        <f>IFERROR(__xludf.DUMMYFUNCTION("""COMPUTED_VALUE"""),"myt_sithu.htun")</f>
        <v>myt_sithu.htun</v>
      </c>
      <c r="H399" s="269"/>
      <c r="I399" s="269"/>
      <c r="J399" s="269"/>
      <c r="K399" s="269"/>
      <c r="L399" s="269"/>
      <c r="M399" s="269"/>
      <c r="N399" s="269"/>
      <c r="O399" s="269"/>
      <c r="P399" s="269"/>
      <c r="Q399" s="269"/>
      <c r="R399" s="269"/>
      <c r="S399" s="269"/>
      <c r="T399" s="269"/>
      <c r="U399" s="269"/>
      <c r="V399" s="269"/>
      <c r="W399" s="269"/>
      <c r="X399" s="269"/>
      <c r="Y399" s="269"/>
      <c r="Z399" s="269"/>
      <c r="AA399" s="269"/>
      <c r="AB399" s="269"/>
      <c r="AC399" s="269"/>
      <c r="AD399" s="269"/>
      <c r="AE399" s="269"/>
      <c r="AF399" s="269"/>
      <c r="AG399" s="269"/>
      <c r="AH399" s="269"/>
      <c r="AI399" s="269"/>
      <c r="AJ399" s="269"/>
      <c r="AK399" s="269"/>
      <c r="AL399" s="269"/>
      <c r="AM399" s="269"/>
      <c r="AN399" s="269"/>
      <c r="AO399" s="269"/>
      <c r="AP399" s="269"/>
      <c r="AQ399" s="269"/>
      <c r="AR399" s="269"/>
    </row>
    <row r="400">
      <c r="A400" s="410" t="str">
        <f>IFERROR(__xludf.DUMMYFUNCTION("""COMPUTED_VALUE"""),"WO_WFM-OTHERS_20260623_123616269")</f>
        <v>WO_WFM-OTHERS_20260623_123616269</v>
      </c>
      <c r="B400" s="410" t="str">
        <f>IFERROR(__xludf.DUMMYFUNCTION("""COMPUTED_VALUE"""),"Cable Patrol for (BB)-MYT_TNI_TEAM03")</f>
        <v>Cable Patrol for (BB)-MYT_TNI_TEAM03</v>
      </c>
      <c r="C400" s="410">
        <f>IFERROR(__xludf.DUMMYFUNCTION("""COMPUTED_VALUE"""),439.03)</f>
        <v>439.03</v>
      </c>
      <c r="D400" s="410" t="str">
        <f>IFERROR(__xludf.DUMMYFUNCTION("""COMPUTED_VALUE"""),"T3")</f>
        <v>T3</v>
      </c>
      <c r="E400" s="410" t="str">
        <f>IFERROR(__xludf.DUMMYFUNCTION("""COMPUTED_VALUE"""),"TNI_TEA")</f>
        <v>TNI_TEA</v>
      </c>
      <c r="F400" s="410" t="str">
        <f>IFERROR(__xludf.DUMMYFUNCTION("""COMPUTED_VALUE"""),"myt_sithu.htun")</f>
        <v>myt_sithu.htun</v>
      </c>
      <c r="H400" s="269"/>
      <c r="I400" s="269"/>
      <c r="J400" s="269"/>
      <c r="K400" s="269"/>
      <c r="L400" s="269"/>
      <c r="M400" s="269"/>
      <c r="N400" s="269"/>
      <c r="O400" s="269"/>
      <c r="P400" s="269"/>
      <c r="Q400" s="269"/>
      <c r="R400" s="269"/>
      <c r="S400" s="269"/>
      <c r="T400" s="269"/>
      <c r="U400" s="269"/>
      <c r="V400" s="269"/>
      <c r="W400" s="269"/>
      <c r="X400" s="269"/>
      <c r="Y400" s="269"/>
      <c r="Z400" s="269"/>
      <c r="AA400" s="269"/>
      <c r="AB400" s="269"/>
      <c r="AC400" s="269"/>
      <c r="AD400" s="269"/>
      <c r="AE400" s="269"/>
      <c r="AF400" s="269"/>
      <c r="AG400" s="269"/>
      <c r="AH400" s="269"/>
      <c r="AI400" s="269"/>
      <c r="AJ400" s="269"/>
      <c r="AK400" s="269"/>
      <c r="AL400" s="269"/>
      <c r="AM400" s="269"/>
      <c r="AN400" s="269"/>
      <c r="AO400" s="269"/>
      <c r="AP400" s="269"/>
      <c r="AQ400" s="269"/>
      <c r="AR400" s="269"/>
    </row>
    <row r="401">
      <c r="A401" s="410" t="str">
        <f>IFERROR(__xludf.DUMMYFUNCTION("""COMPUTED_VALUE"""),"WO_ICMS_20260623_123615120")</f>
        <v>WO_ICMS_20260623_123615120</v>
      </c>
      <c r="B401" s="410" t="str">
        <f>IFERROR(__xludf.DUMMYFUNCTION("""COMPUTED_VALUE"""),"TNI0209 MYT_Routine_Maintenance_Mytel_Station MYT_RTE_MTE_SB_STN")</f>
        <v>TNI0209 MYT_Routine_Maintenance_Mytel_Station MYT_RTE_MTE_SB_STN</v>
      </c>
      <c r="C401" s="410">
        <f>IFERROR(__xludf.DUMMYFUNCTION("""COMPUTED_VALUE"""),886.64)</f>
        <v>886.64</v>
      </c>
      <c r="D401" s="410" t="str">
        <f>IFERROR(__xludf.DUMMYFUNCTION("""COMPUTED_VALUE"""),"T3")</f>
        <v>T3</v>
      </c>
      <c r="E401" s="410" t="str">
        <f>IFERROR(__xludf.DUMMYFUNCTION("""COMPUTED_VALUE"""),"TNI0209")</f>
        <v>TNI0209</v>
      </c>
      <c r="F401" s="410" t="str">
        <f>IFERROR(__xludf.DUMMYFUNCTION("""COMPUTED_VALUE"""),"myt_sithu.htun")</f>
        <v>myt_sithu.htun</v>
      </c>
      <c r="H401" s="269"/>
      <c r="I401" s="269"/>
      <c r="J401" s="269"/>
      <c r="K401" s="269"/>
      <c r="L401" s="269"/>
      <c r="M401" s="269"/>
      <c r="N401" s="269"/>
      <c r="O401" s="269"/>
      <c r="P401" s="269"/>
      <c r="Q401" s="269"/>
      <c r="R401" s="269"/>
      <c r="S401" s="269"/>
      <c r="T401" s="269"/>
      <c r="U401" s="269"/>
      <c r="V401" s="269"/>
      <c r="W401" s="269"/>
      <c r="X401" s="269"/>
      <c r="Y401" s="269"/>
      <c r="Z401" s="269"/>
      <c r="AA401" s="269"/>
      <c r="AB401" s="269"/>
      <c r="AC401" s="269"/>
      <c r="AD401" s="269"/>
      <c r="AE401" s="269"/>
      <c r="AF401" s="269"/>
      <c r="AG401" s="269"/>
      <c r="AH401" s="269"/>
      <c r="AI401" s="269"/>
      <c r="AJ401" s="269"/>
      <c r="AK401" s="269"/>
      <c r="AL401" s="269"/>
      <c r="AM401" s="269"/>
      <c r="AN401" s="269"/>
      <c r="AO401" s="269"/>
      <c r="AP401" s="269"/>
      <c r="AQ401" s="269"/>
      <c r="AR401" s="269"/>
    </row>
    <row r="402">
      <c r="A402" s="410" t="str">
        <f>IFERROR(__xludf.DUMMYFUNCTION("""COMPUTED_VALUE"""),"WO_ICMS_20260623_123615124")</f>
        <v>WO_ICMS_20260623_123615124</v>
      </c>
      <c r="B402" s="410" t="str">
        <f>IFERROR(__xludf.DUMMYFUNCTION("""COMPUTED_VALUE"""),"TNI0118 MYT_Routine_Maintenance_Mytel_Station MYT_RTE_MTE_SB_STN")</f>
        <v>TNI0118 MYT_Routine_Maintenance_Mytel_Station MYT_RTE_MTE_SB_STN</v>
      </c>
      <c r="C402" s="410">
        <f>IFERROR(__xludf.DUMMYFUNCTION("""COMPUTED_VALUE"""),886.64)</f>
        <v>886.64</v>
      </c>
      <c r="D402" s="410" t="str">
        <f>IFERROR(__xludf.DUMMYFUNCTION("""COMPUTED_VALUE"""),"T3")</f>
        <v>T3</v>
      </c>
      <c r="E402" s="410" t="str">
        <f>IFERROR(__xludf.DUMMYFUNCTION("""COMPUTED_VALUE"""),"TNI0118")</f>
        <v>TNI0118</v>
      </c>
      <c r="F402" s="410" t="str">
        <f>IFERROR(__xludf.DUMMYFUNCTION("""COMPUTED_VALUE"""),"myt_sithu.htun")</f>
        <v>myt_sithu.htun</v>
      </c>
      <c r="H402" s="269"/>
      <c r="I402" s="269"/>
      <c r="J402" s="269"/>
      <c r="K402" s="269"/>
      <c r="L402" s="269"/>
      <c r="M402" s="269"/>
      <c r="N402" s="269"/>
      <c r="O402" s="269"/>
      <c r="P402" s="269"/>
      <c r="Q402" s="269"/>
      <c r="R402" s="269"/>
      <c r="S402" s="269"/>
      <c r="T402" s="269"/>
      <c r="U402" s="269"/>
      <c r="V402" s="269"/>
      <c r="W402" s="269"/>
      <c r="X402" s="269"/>
      <c r="Y402" s="269"/>
      <c r="Z402" s="269"/>
      <c r="AA402" s="269"/>
      <c r="AB402" s="269"/>
      <c r="AC402" s="269"/>
      <c r="AD402" s="269"/>
      <c r="AE402" s="269"/>
      <c r="AF402" s="269"/>
      <c r="AG402" s="269"/>
      <c r="AH402" s="269"/>
      <c r="AI402" s="269"/>
      <c r="AJ402" s="269"/>
      <c r="AK402" s="269"/>
      <c r="AL402" s="269"/>
      <c r="AM402" s="269"/>
      <c r="AN402" s="269"/>
      <c r="AO402" s="269"/>
      <c r="AP402" s="269"/>
      <c r="AQ402" s="269"/>
      <c r="AR402" s="269"/>
    </row>
    <row r="403">
      <c r="A403" s="410" t="str">
        <f>IFERROR(__xludf.DUMMYFUNCTION("""COMPUTED_VALUE"""),"WO_ICMS_20260623_123613618")</f>
        <v>WO_ICMS_20260623_123613618</v>
      </c>
      <c r="B403" s="410" t="str">
        <f>IFERROR(__xludf.DUMMYFUNCTION("""COMPUTED_VALUE"""),"TNI0008 MYT_Routine_Maintenance_Main_Station MYT_RTE_MTE_MAIN_STN")</f>
        <v>TNI0008 MYT_Routine_Maintenance_Main_Station MYT_RTE_MTE_MAIN_STN</v>
      </c>
      <c r="C403" s="410">
        <f>IFERROR(__xludf.DUMMYFUNCTION("""COMPUTED_VALUE"""),502.17)</f>
        <v>502.17</v>
      </c>
      <c r="D403" s="410" t="str">
        <f>IFERROR(__xludf.DUMMYFUNCTION("""COMPUTED_VALUE"""),"T3")</f>
        <v>T3</v>
      </c>
      <c r="E403" s="410" t="str">
        <f>IFERROR(__xludf.DUMMYFUNCTION("""COMPUTED_VALUE"""),"TNI0008")</f>
        <v>TNI0008</v>
      </c>
      <c r="F403" s="410" t="str">
        <f>IFERROR(__xludf.DUMMYFUNCTION("""COMPUTED_VALUE"""),"myt_sithu.htun")</f>
        <v>myt_sithu.htun</v>
      </c>
      <c r="H403" s="269"/>
      <c r="I403" s="269"/>
      <c r="J403" s="269"/>
      <c r="K403" s="269"/>
      <c r="L403" s="269"/>
      <c r="M403" s="269"/>
      <c r="N403" s="269"/>
      <c r="O403" s="269"/>
      <c r="P403" s="269"/>
      <c r="Q403" s="269"/>
      <c r="R403" s="269"/>
      <c r="S403" s="269"/>
      <c r="T403" s="269"/>
      <c r="U403" s="269"/>
      <c r="V403" s="269"/>
      <c r="W403" s="269"/>
      <c r="X403" s="269"/>
      <c r="Y403" s="269"/>
      <c r="Z403" s="269"/>
      <c r="AA403" s="269"/>
      <c r="AB403" s="269"/>
      <c r="AC403" s="269"/>
      <c r="AD403" s="269"/>
      <c r="AE403" s="269"/>
      <c r="AF403" s="269"/>
      <c r="AG403" s="269"/>
      <c r="AH403" s="269"/>
      <c r="AI403" s="269"/>
      <c r="AJ403" s="269"/>
      <c r="AK403" s="269"/>
      <c r="AL403" s="269"/>
      <c r="AM403" s="269"/>
      <c r="AN403" s="269"/>
      <c r="AO403" s="269"/>
      <c r="AP403" s="269"/>
      <c r="AQ403" s="269"/>
      <c r="AR403" s="269"/>
    </row>
    <row r="404">
      <c r="A404" s="410" t="str">
        <f>IFERROR(__xludf.DUMMYFUNCTION("""COMPUTED_VALUE"""),"WO_WFM-OTHERS_20260623_123613139")</f>
        <v>WO_WFM-OTHERS_20260623_123613139</v>
      </c>
      <c r="B404" s="410" t="str">
        <f>IFERROR(__xludf.DUMMYFUNCTION("""COMPUTED_VALUE"""),"Cable routes measure-BB-TNI0015-TNIM022")</f>
        <v>Cable routes measure-BB-TNI0015-TNIM022</v>
      </c>
      <c r="C404" s="410">
        <f>IFERROR(__xludf.DUMMYFUNCTION("""COMPUTED_VALUE"""),439.03)</f>
        <v>439.03</v>
      </c>
      <c r="D404" s="410" t="str">
        <f>IFERROR(__xludf.DUMMYFUNCTION("""COMPUTED_VALUE"""),"T3")</f>
        <v>T3</v>
      </c>
      <c r="E404" s="410" t="str">
        <f>IFERROR(__xludf.DUMMYFUNCTION("""COMPUTED_VALUE"""),"TNI0015")</f>
        <v>TNI0015</v>
      </c>
      <c r="F404" s="410" t="str">
        <f>IFERROR(__xludf.DUMMYFUNCTION("""COMPUTED_VALUE"""),"myt_sithu.htun")</f>
        <v>myt_sithu.htun</v>
      </c>
      <c r="H404" s="269"/>
      <c r="I404" s="269"/>
      <c r="J404" s="269"/>
      <c r="K404" s="269"/>
      <c r="L404" s="269"/>
      <c r="M404" s="269"/>
      <c r="N404" s="269"/>
      <c r="O404" s="269"/>
      <c r="P404" s="269"/>
      <c r="Q404" s="269"/>
      <c r="R404" s="269"/>
      <c r="S404" s="269"/>
      <c r="T404" s="269"/>
      <c r="U404" s="269"/>
      <c r="V404" s="269"/>
      <c r="W404" s="269"/>
      <c r="X404" s="269"/>
      <c r="Y404" s="269"/>
      <c r="Z404" s="269"/>
      <c r="AA404" s="269"/>
      <c r="AB404" s="269"/>
      <c r="AC404" s="269"/>
      <c r="AD404" s="269"/>
      <c r="AE404" s="269"/>
      <c r="AF404" s="269"/>
      <c r="AG404" s="269"/>
      <c r="AH404" s="269"/>
      <c r="AI404" s="269"/>
      <c r="AJ404" s="269"/>
      <c r="AK404" s="269"/>
      <c r="AL404" s="269"/>
      <c r="AM404" s="269"/>
      <c r="AN404" s="269"/>
      <c r="AO404" s="269"/>
      <c r="AP404" s="269"/>
      <c r="AQ404" s="269"/>
      <c r="AR404" s="269"/>
    </row>
    <row r="405">
      <c r="A405" s="410" t="str">
        <f>IFERROR(__xludf.DUMMYFUNCTION("""COMPUTED_VALUE"""),"WO_WFM-OTHERS_20260623_123613140")</f>
        <v>WO_WFM-OTHERS_20260623_123613140</v>
      </c>
      <c r="B405" s="410" t="str">
        <f>IFERROR(__xludf.DUMMYFUNCTION("""COMPUTED_VALUE"""),"Cable routes measure-BB-TNI0009-TNIM016")</f>
        <v>Cable routes measure-BB-TNI0009-TNIM016</v>
      </c>
      <c r="C405" s="410">
        <f>IFERROR(__xludf.DUMMYFUNCTION("""COMPUTED_VALUE"""),439.03)</f>
        <v>439.03</v>
      </c>
      <c r="D405" s="410" t="str">
        <f>IFERROR(__xludf.DUMMYFUNCTION("""COMPUTED_VALUE"""),"T3")</f>
        <v>T3</v>
      </c>
      <c r="E405" s="410" t="str">
        <f>IFERROR(__xludf.DUMMYFUNCTION("""COMPUTED_VALUE"""),"TNI0009")</f>
        <v>TNI0009</v>
      </c>
      <c r="F405" s="410" t="str">
        <f>IFERROR(__xludf.DUMMYFUNCTION("""COMPUTED_VALUE"""),"myt_sithu.htun")</f>
        <v>myt_sithu.htun</v>
      </c>
      <c r="H405" s="269"/>
      <c r="I405" s="269"/>
      <c r="J405" s="269"/>
      <c r="K405" s="269"/>
      <c r="L405" s="269"/>
      <c r="M405" s="269"/>
      <c r="N405" s="269"/>
      <c r="O405" s="269"/>
      <c r="P405" s="269"/>
      <c r="Q405" s="269"/>
      <c r="R405" s="269"/>
      <c r="S405" s="269"/>
      <c r="T405" s="269"/>
      <c r="U405" s="269"/>
      <c r="V405" s="269"/>
      <c r="W405" s="269"/>
      <c r="X405" s="269"/>
      <c r="Y405" s="269"/>
      <c r="Z405" s="269"/>
      <c r="AA405" s="269"/>
      <c r="AB405" s="269"/>
      <c r="AC405" s="269"/>
      <c r="AD405" s="269"/>
      <c r="AE405" s="269"/>
      <c r="AF405" s="269"/>
      <c r="AG405" s="269"/>
      <c r="AH405" s="269"/>
      <c r="AI405" s="269"/>
      <c r="AJ405" s="269"/>
      <c r="AK405" s="269"/>
      <c r="AL405" s="269"/>
      <c r="AM405" s="269"/>
      <c r="AN405" s="269"/>
      <c r="AO405" s="269"/>
      <c r="AP405" s="269"/>
      <c r="AQ405" s="269"/>
      <c r="AR405" s="269"/>
    </row>
    <row r="406">
      <c r="A406" s="410" t="str">
        <f>IFERROR(__xludf.DUMMYFUNCTION("""COMPUTED_VALUE"""),"WO_WFM-OTHERS_20260623_123612923")</f>
        <v>WO_WFM-OTHERS_20260623_123612923</v>
      </c>
      <c r="B406" s="410" t="str">
        <f>IFERROR(__xludf.DUMMYFUNCTION("""COMPUTED_VALUE"""),"Cable routes measure-BB-TNI0009-TNIM016")</f>
        <v>Cable routes measure-BB-TNI0009-TNIM016</v>
      </c>
      <c r="C406" s="410">
        <f>IFERROR(__xludf.DUMMYFUNCTION("""COMPUTED_VALUE"""),439.03)</f>
        <v>439.03</v>
      </c>
      <c r="D406" s="410" t="str">
        <f>IFERROR(__xludf.DUMMYFUNCTION("""COMPUTED_VALUE"""),"T3")</f>
        <v>T3</v>
      </c>
      <c r="E406" s="410" t="str">
        <f>IFERROR(__xludf.DUMMYFUNCTION("""COMPUTED_VALUE"""),"TNI0009")</f>
        <v>TNI0009</v>
      </c>
      <c r="F406" s="410" t="str">
        <f>IFERROR(__xludf.DUMMYFUNCTION("""COMPUTED_VALUE"""),"myt_sithu.htun")</f>
        <v>myt_sithu.htun</v>
      </c>
      <c r="H406" s="269"/>
      <c r="I406" s="269"/>
      <c r="J406" s="269"/>
      <c r="K406" s="269"/>
      <c r="L406" s="269"/>
      <c r="M406" s="269"/>
      <c r="N406" s="269"/>
      <c r="O406" s="269"/>
      <c r="P406" s="269"/>
      <c r="Q406" s="269"/>
      <c r="R406" s="269"/>
      <c r="S406" s="269"/>
      <c r="T406" s="269"/>
      <c r="U406" s="269"/>
      <c r="V406" s="269"/>
      <c r="W406" s="269"/>
      <c r="X406" s="269"/>
      <c r="Y406" s="269"/>
      <c r="Z406" s="269"/>
      <c r="AA406" s="269"/>
      <c r="AB406" s="269"/>
      <c r="AC406" s="269"/>
      <c r="AD406" s="269"/>
      <c r="AE406" s="269"/>
      <c r="AF406" s="269"/>
      <c r="AG406" s="269"/>
      <c r="AH406" s="269"/>
      <c r="AI406" s="269"/>
      <c r="AJ406" s="269"/>
      <c r="AK406" s="269"/>
      <c r="AL406" s="269"/>
      <c r="AM406" s="269"/>
      <c r="AN406" s="269"/>
      <c r="AO406" s="269"/>
      <c r="AP406" s="269"/>
      <c r="AQ406" s="269"/>
      <c r="AR406" s="269"/>
    </row>
    <row r="407">
      <c r="A407" s="410" t="str">
        <f>IFERROR(__xludf.DUMMYFUNCTION("""COMPUTED_VALUE"""),"WO_WFM-OTHERS_20260623_123612922")</f>
        <v>WO_WFM-OTHERS_20260623_123612922</v>
      </c>
      <c r="B407" s="410" t="str">
        <f>IFERROR(__xludf.DUMMYFUNCTION("""COMPUTED_VALUE"""),"Cable routes measure-BB-TNI0015-TNIM022")</f>
        <v>Cable routes measure-BB-TNI0015-TNIM022</v>
      </c>
      <c r="C407" s="410">
        <f>IFERROR(__xludf.DUMMYFUNCTION("""COMPUTED_VALUE"""),439.03)</f>
        <v>439.03</v>
      </c>
      <c r="D407" s="410" t="str">
        <f>IFERROR(__xludf.DUMMYFUNCTION("""COMPUTED_VALUE"""),"T3")</f>
        <v>T3</v>
      </c>
      <c r="E407" s="410" t="str">
        <f>IFERROR(__xludf.DUMMYFUNCTION("""COMPUTED_VALUE"""),"TNI0015")</f>
        <v>TNI0015</v>
      </c>
      <c r="F407" s="410" t="str">
        <f>IFERROR(__xludf.DUMMYFUNCTION("""COMPUTED_VALUE"""),"myt_sithu.htun")</f>
        <v>myt_sithu.htun</v>
      </c>
      <c r="H407" s="269"/>
      <c r="I407" s="269"/>
      <c r="J407" s="269"/>
      <c r="K407" s="269"/>
      <c r="L407" s="269"/>
      <c r="M407" s="269"/>
      <c r="N407" s="269"/>
      <c r="O407" s="269"/>
      <c r="P407" s="269"/>
      <c r="Q407" s="269"/>
      <c r="R407" s="269"/>
      <c r="S407" s="269"/>
      <c r="T407" s="269"/>
      <c r="U407" s="269"/>
      <c r="V407" s="269"/>
      <c r="W407" s="269"/>
      <c r="X407" s="269"/>
      <c r="Y407" s="269"/>
      <c r="Z407" s="269"/>
      <c r="AA407" s="269"/>
      <c r="AB407" s="269"/>
      <c r="AC407" s="269"/>
      <c r="AD407" s="269"/>
      <c r="AE407" s="269"/>
      <c r="AF407" s="269"/>
      <c r="AG407" s="269"/>
      <c r="AH407" s="269"/>
      <c r="AI407" s="269"/>
      <c r="AJ407" s="269"/>
      <c r="AK407" s="269"/>
      <c r="AL407" s="269"/>
      <c r="AM407" s="269"/>
      <c r="AN407" s="269"/>
      <c r="AO407" s="269"/>
      <c r="AP407" s="269"/>
      <c r="AQ407" s="269"/>
      <c r="AR407" s="269"/>
    </row>
    <row r="408">
      <c r="A408" s="410" t="str">
        <f>IFERROR(__xludf.DUMMYFUNCTION("""COMPUTED_VALUE"""),"WO_ICMS_20260701_123690043")</f>
        <v>WO_ICMS_20260701_123690043</v>
      </c>
      <c r="B408" s="410" t="str">
        <f>IFERROR(__xludf.DUMMYFUNCTION("""COMPUTED_VALUE"""),"TNI0006 MYT_Checking quality for DG Fuel MYT_ME_DG_CHECK_FUEL; MYT_Maintenance_Generator_Change_Air_Filter, Clean Radiator and Clean Engine Room MYT_ME_DG_CHG_AIR_FIL_CLN_RAD_ENG; MYT_Maintenance_Generator_Change_Fuel_Filter MYT_ME_DG_CHG_FUEL_FIL; MYT_Ma"&amp;"intenance_Generator_Change_Oil MYT_ME_DG_CHG_OIL; MYT_Maintenance_Generator_Change_Oil_Filter MYT_ME_DG_CHG_OIL_FIL")</f>
        <v>TNI0006 MYT_Checking quality for DG Fuel MYT_ME_DG_CHECK_FUEL; MYT_Maintenance_Generator_Change_Air_Filter, Clean Radiator and Clean Engine Room MYT_ME_DG_CHG_AIR_FIL_CLN_RAD_ENG; MYT_Maintenance_Generator_Change_Fuel_Filter MYT_ME_DG_CHG_FUEL_FIL; MYT_Maintenance_Generator_Change_Oil MYT_ME_DG_CHG_OIL; MYT_Maintenance_Generator_Change_Oil_Filter MYT_ME_DG_CHG_OIL_FIL</v>
      </c>
      <c r="C408" s="410">
        <f>IFERROR(__xludf.DUMMYFUNCTION("""COMPUTED_VALUE"""),234.08)</f>
        <v>234.08</v>
      </c>
      <c r="D408" s="410" t="str">
        <f>IFERROR(__xludf.DUMMYFUNCTION("""COMPUTED_VALUE"""),"T1")</f>
        <v>T1</v>
      </c>
      <c r="E408" s="410" t="str">
        <f>IFERROR(__xludf.DUMMYFUNCTION("""COMPUTED_VALUE"""),"TNI0006: 30KVA")</f>
        <v>TNI0006: 30KVA</v>
      </c>
      <c r="F408" s="410" t="str">
        <f>IFERROR(__xludf.DUMMYFUNCTION("""COMPUTED_VALUE"""),"myt_tharhtoo.aung11")</f>
        <v>myt_tharhtoo.aung11</v>
      </c>
      <c r="H408" s="269"/>
      <c r="I408" s="269"/>
      <c r="J408" s="269"/>
      <c r="K408" s="269"/>
      <c r="L408" s="269"/>
      <c r="M408" s="269"/>
      <c r="N408" s="269"/>
      <c r="O408" s="269"/>
      <c r="P408" s="269"/>
      <c r="Q408" s="269"/>
      <c r="R408" s="269"/>
      <c r="S408" s="269"/>
      <c r="T408" s="269"/>
      <c r="U408" s="269"/>
      <c r="V408" s="269"/>
      <c r="W408" s="269"/>
      <c r="X408" s="269"/>
      <c r="Y408" s="269"/>
      <c r="Z408" s="269"/>
      <c r="AA408" s="269"/>
      <c r="AB408" s="269"/>
      <c r="AC408" s="269"/>
      <c r="AD408" s="269"/>
      <c r="AE408" s="269"/>
      <c r="AF408" s="269"/>
      <c r="AG408" s="269"/>
      <c r="AH408" s="269"/>
      <c r="AI408" s="269"/>
      <c r="AJ408" s="269"/>
      <c r="AK408" s="269"/>
      <c r="AL408" s="269"/>
      <c r="AM408" s="269"/>
      <c r="AN408" s="269"/>
      <c r="AO408" s="269"/>
      <c r="AP408" s="269"/>
      <c r="AQ408" s="269"/>
      <c r="AR408" s="269"/>
    </row>
    <row r="409">
      <c r="A409" s="410" t="str">
        <f>IFERROR(__xludf.DUMMYFUNCTION("""COMPUTED_VALUE"""),"WO_QLCTKT_20260626_123641952")</f>
        <v>WO_QLCTKT_20260626_123641952</v>
      </c>
      <c r="B409" s="410" t="str">
        <f>IFERROR(__xludf.DUMMYFUNCTION("""COMPUTED_VALUE"""),"TNI0220 - Repair infrastructure - bla: Cleaning the station, remove grass, vines, tree, rubbish, recall unused equipment, material: Clean the station")</f>
        <v>TNI0220 - Repair infrastructure - bla: Cleaning the station, remove grass, vines, tree, rubbish, recall unused equipment, material: Clean the station</v>
      </c>
      <c r="C409" s="410">
        <f>IFERROR(__xludf.DUMMYFUNCTION("""COMPUTED_VALUE"""),16.96)</f>
        <v>16.96</v>
      </c>
      <c r="D409" s="410" t="str">
        <f>IFERROR(__xludf.DUMMYFUNCTION("""COMPUTED_VALUE"""),"T1")</f>
        <v>T1</v>
      </c>
      <c r="E409" s="410" t="str">
        <f>IFERROR(__xludf.DUMMYFUNCTION("""COMPUTED_VALUE"""),"TNI0220")</f>
        <v>TNI0220</v>
      </c>
      <c r="F409" s="410" t="str">
        <f>IFERROR(__xludf.DUMMYFUNCTION("""COMPUTED_VALUE"""),"myt_tharhtoo.aung11")</f>
        <v>myt_tharhtoo.aung11</v>
      </c>
      <c r="H409" s="269"/>
      <c r="I409" s="269"/>
      <c r="J409" s="269"/>
      <c r="K409" s="269"/>
      <c r="L409" s="269"/>
      <c r="M409" s="269"/>
      <c r="N409" s="269"/>
      <c r="O409" s="269"/>
      <c r="P409" s="269"/>
      <c r="Q409" s="269"/>
      <c r="R409" s="269"/>
      <c r="S409" s="269"/>
      <c r="T409" s="269"/>
      <c r="U409" s="269"/>
      <c r="V409" s="269"/>
      <c r="W409" s="269"/>
      <c r="X409" s="269"/>
      <c r="Y409" s="269"/>
      <c r="Z409" s="269"/>
      <c r="AA409" s="269"/>
      <c r="AB409" s="269"/>
      <c r="AC409" s="269"/>
      <c r="AD409" s="269"/>
      <c r="AE409" s="269"/>
      <c r="AF409" s="269"/>
      <c r="AG409" s="269"/>
      <c r="AH409" s="269"/>
      <c r="AI409" s="269"/>
      <c r="AJ409" s="269"/>
      <c r="AK409" s="269"/>
      <c r="AL409" s="269"/>
      <c r="AM409" s="269"/>
      <c r="AN409" s="269"/>
      <c r="AO409" s="269"/>
      <c r="AP409" s="269"/>
      <c r="AQ409" s="269"/>
      <c r="AR409" s="269"/>
    </row>
    <row r="410">
      <c r="A410" s="410" t="str">
        <f>IFERROR(__xludf.DUMMYFUNCTION("""COMPUTED_VALUE"""),"WO_QLCTKT_20260626_123641951")</f>
        <v>WO_QLCTKT_20260626_123641951</v>
      </c>
      <c r="B410" s="410" t="str">
        <f>IFERROR(__xludf.DUMMYFUNCTION("""COMPUTED_VALUE"""),"TNI0220 - Repair infrastructure - bla: Install the cables at station: Install the Optical cable CPRI")</f>
        <v>TNI0220 - Repair infrastructure - bla: Install the cables at station: Install the Optical cable CPRI</v>
      </c>
      <c r="C410" s="410">
        <f>IFERROR(__xludf.DUMMYFUNCTION("""COMPUTED_VALUE"""),568.96)</f>
        <v>568.96</v>
      </c>
      <c r="D410" s="410" t="str">
        <f>IFERROR(__xludf.DUMMYFUNCTION("""COMPUTED_VALUE"""),"T1")</f>
        <v>T1</v>
      </c>
      <c r="E410" s="410" t="str">
        <f>IFERROR(__xludf.DUMMYFUNCTION("""COMPUTED_VALUE"""),"TNI0220")</f>
        <v>TNI0220</v>
      </c>
      <c r="F410" s="410" t="str">
        <f>IFERROR(__xludf.DUMMYFUNCTION("""COMPUTED_VALUE"""),"myt_tharhtoo.aung11")</f>
        <v>myt_tharhtoo.aung11</v>
      </c>
      <c r="H410" s="269"/>
      <c r="I410" s="269"/>
      <c r="J410" s="269"/>
      <c r="K410" s="269"/>
      <c r="L410" s="269"/>
      <c r="M410" s="269"/>
      <c r="N410" s="269"/>
      <c r="O410" s="269"/>
      <c r="P410" s="269"/>
      <c r="Q410" s="269"/>
      <c r="R410" s="269"/>
      <c r="S410" s="269"/>
      <c r="T410" s="269"/>
      <c r="U410" s="269"/>
      <c r="V410" s="269"/>
      <c r="W410" s="269"/>
      <c r="X410" s="269"/>
      <c r="Y410" s="269"/>
      <c r="Z410" s="269"/>
      <c r="AA410" s="269"/>
      <c r="AB410" s="269"/>
      <c r="AC410" s="269"/>
      <c r="AD410" s="269"/>
      <c r="AE410" s="269"/>
      <c r="AF410" s="269"/>
      <c r="AG410" s="269"/>
      <c r="AH410" s="269"/>
      <c r="AI410" s="269"/>
      <c r="AJ410" s="269"/>
      <c r="AK410" s="269"/>
      <c r="AL410" s="269"/>
      <c r="AM410" s="269"/>
      <c r="AN410" s="269"/>
      <c r="AO410" s="269"/>
      <c r="AP410" s="269"/>
      <c r="AQ410" s="269"/>
      <c r="AR410" s="269"/>
    </row>
    <row r="411">
      <c r="A411" s="410" t="str">
        <f>IFERROR(__xludf.DUMMYFUNCTION("""COMPUTED_VALUE"""),"WO_QLCTKT_20260626_123641949")</f>
        <v>WO_QLCTKT_20260626_123641949</v>
      </c>
      <c r="B411" s="410" t="str">
        <f>IFERROR(__xludf.DUMMYFUNCTION("""COMPUTED_VALUE"""),"TNI0220 - Repair infrastructure - bla: Cleaning the station, remove grass, vines, tree, rubbish, recall unused equipment, material: Clean the station")</f>
        <v>TNI0220 - Repair infrastructure - bla: Cleaning the station, remove grass, vines, tree, rubbish, recall unused equipment, material: Clean the station</v>
      </c>
      <c r="C411" s="410">
        <f>IFERROR(__xludf.DUMMYFUNCTION("""COMPUTED_VALUE"""),16.96)</f>
        <v>16.96</v>
      </c>
      <c r="D411" s="410" t="str">
        <f>IFERROR(__xludf.DUMMYFUNCTION("""COMPUTED_VALUE"""),"T1")</f>
        <v>T1</v>
      </c>
      <c r="E411" s="410" t="str">
        <f>IFERROR(__xludf.DUMMYFUNCTION("""COMPUTED_VALUE"""),"TNI0220")</f>
        <v>TNI0220</v>
      </c>
      <c r="F411" s="410" t="str">
        <f>IFERROR(__xludf.DUMMYFUNCTION("""COMPUTED_VALUE"""),"myt_tharhtoo.aung11")</f>
        <v>myt_tharhtoo.aung11</v>
      </c>
      <c r="H411" s="269"/>
      <c r="I411" s="269"/>
      <c r="J411" s="269"/>
      <c r="K411" s="269"/>
      <c r="L411" s="269"/>
      <c r="M411" s="269"/>
      <c r="N411" s="269"/>
      <c r="O411" s="269"/>
      <c r="P411" s="269"/>
      <c r="Q411" s="269"/>
      <c r="R411" s="269"/>
      <c r="S411" s="269"/>
      <c r="T411" s="269"/>
      <c r="U411" s="269"/>
      <c r="V411" s="269"/>
      <c r="W411" s="269"/>
      <c r="X411" s="269"/>
      <c r="Y411" s="269"/>
      <c r="Z411" s="269"/>
      <c r="AA411" s="269"/>
      <c r="AB411" s="269"/>
      <c r="AC411" s="269"/>
      <c r="AD411" s="269"/>
      <c r="AE411" s="269"/>
      <c r="AF411" s="269"/>
      <c r="AG411" s="269"/>
      <c r="AH411" s="269"/>
      <c r="AI411" s="269"/>
      <c r="AJ411" s="269"/>
      <c r="AK411" s="269"/>
      <c r="AL411" s="269"/>
      <c r="AM411" s="269"/>
      <c r="AN411" s="269"/>
      <c r="AO411" s="269"/>
      <c r="AP411" s="269"/>
      <c r="AQ411" s="269"/>
      <c r="AR411" s="269"/>
    </row>
    <row r="412">
      <c r="A412" s="410" t="str">
        <f>IFERROR(__xludf.DUMMYFUNCTION("""COMPUTED_VALUE"""),"WO_QLCTKT_20260626_123642017")</f>
        <v>WO_QLCTKT_20260626_123642017</v>
      </c>
      <c r="B412" s="410" t="str">
        <f>IFERROR(__xludf.DUMMYFUNCTION("""COMPUTED_VALUE"""),"TNI0220 - Repair infrastructure - bla: Install the cables at station: Install the Optical cable CPRI")</f>
        <v>TNI0220 - Repair infrastructure - bla: Install the cables at station: Install the Optical cable CPRI</v>
      </c>
      <c r="C412" s="410">
        <f>IFERROR(__xludf.DUMMYFUNCTION("""COMPUTED_VALUE"""),568.96)</f>
        <v>568.96</v>
      </c>
      <c r="D412" s="410" t="str">
        <f>IFERROR(__xludf.DUMMYFUNCTION("""COMPUTED_VALUE"""),"T1")</f>
        <v>T1</v>
      </c>
      <c r="E412" s="410" t="str">
        <f>IFERROR(__xludf.DUMMYFUNCTION("""COMPUTED_VALUE"""),"TNI0220")</f>
        <v>TNI0220</v>
      </c>
      <c r="F412" s="410" t="str">
        <f>IFERROR(__xludf.DUMMYFUNCTION("""COMPUTED_VALUE"""),"myt_tharhtoo.aung11")</f>
        <v>myt_tharhtoo.aung11</v>
      </c>
      <c r="H412" s="269"/>
      <c r="I412" s="269"/>
      <c r="J412" s="269"/>
      <c r="K412" s="269"/>
      <c r="L412" s="269"/>
      <c r="M412" s="269"/>
      <c r="N412" s="269"/>
      <c r="O412" s="269"/>
      <c r="P412" s="269"/>
      <c r="Q412" s="269"/>
      <c r="R412" s="269"/>
      <c r="S412" s="269"/>
      <c r="T412" s="269"/>
      <c r="U412" s="269"/>
      <c r="V412" s="269"/>
      <c r="W412" s="269"/>
      <c r="X412" s="269"/>
      <c r="Y412" s="269"/>
      <c r="Z412" s="269"/>
      <c r="AA412" s="269"/>
      <c r="AB412" s="269"/>
      <c r="AC412" s="269"/>
      <c r="AD412" s="269"/>
      <c r="AE412" s="269"/>
      <c r="AF412" s="269"/>
      <c r="AG412" s="269"/>
      <c r="AH412" s="269"/>
      <c r="AI412" s="269"/>
      <c r="AJ412" s="269"/>
      <c r="AK412" s="269"/>
      <c r="AL412" s="269"/>
      <c r="AM412" s="269"/>
      <c r="AN412" s="269"/>
      <c r="AO412" s="269"/>
      <c r="AP412" s="269"/>
      <c r="AQ412" s="269"/>
      <c r="AR412" s="269"/>
    </row>
    <row r="413">
      <c r="A413" s="410" t="str">
        <f>IFERROR(__xludf.DUMMYFUNCTION("""COMPUTED_VALUE"""),"WO_QLCTKT_20260626_123639005")</f>
        <v>WO_QLCTKT_20260626_123639005</v>
      </c>
      <c r="B413" s="410" t="str">
        <f>IFERROR(__xludf.DUMMYFUNCTION("""COMPUTED_VALUE"""),"TNI0006 MYT_Troubleshooting Solar Power System")</f>
        <v>TNI0006 MYT_Troubleshooting Solar Power System</v>
      </c>
      <c r="C413" s="410">
        <f>IFERROR(__xludf.DUMMYFUNCTION("""COMPUTED_VALUE"""),7.05)</f>
        <v>7.05</v>
      </c>
      <c r="D413" s="410" t="str">
        <f>IFERROR(__xludf.DUMMYFUNCTION("""COMPUTED_VALUE"""),"T1")</f>
        <v>T1</v>
      </c>
      <c r="E413" s="410" t="str">
        <f>IFERROR(__xludf.DUMMYFUNCTION("""COMPUTED_VALUE"""),"TNI0006")</f>
        <v>TNI0006</v>
      </c>
      <c r="F413" s="410" t="str">
        <f>IFERROR(__xludf.DUMMYFUNCTION("""COMPUTED_VALUE"""),"myt_tharhtoo.aung11")</f>
        <v>myt_tharhtoo.aung11</v>
      </c>
      <c r="H413" s="269"/>
      <c r="I413" s="269"/>
      <c r="J413" s="269"/>
      <c r="K413" s="269"/>
      <c r="L413" s="269"/>
      <c r="M413" s="269"/>
      <c r="N413" s="269"/>
      <c r="O413" s="269"/>
      <c r="P413" s="269"/>
      <c r="Q413" s="269"/>
      <c r="R413" s="269"/>
      <c r="S413" s="269"/>
      <c r="T413" s="269"/>
      <c r="U413" s="269"/>
      <c r="V413" s="269"/>
      <c r="W413" s="269"/>
      <c r="X413" s="269"/>
      <c r="Y413" s="269"/>
      <c r="Z413" s="269"/>
      <c r="AA413" s="269"/>
      <c r="AB413" s="269"/>
      <c r="AC413" s="269"/>
      <c r="AD413" s="269"/>
      <c r="AE413" s="269"/>
      <c r="AF413" s="269"/>
      <c r="AG413" s="269"/>
      <c r="AH413" s="269"/>
      <c r="AI413" s="269"/>
      <c r="AJ413" s="269"/>
      <c r="AK413" s="269"/>
      <c r="AL413" s="269"/>
      <c r="AM413" s="269"/>
      <c r="AN413" s="269"/>
      <c r="AO413" s="269"/>
      <c r="AP413" s="269"/>
      <c r="AQ413" s="269"/>
      <c r="AR413" s="269"/>
    </row>
    <row r="414">
      <c r="A414" s="410" t="str">
        <f>IFERROR(__xludf.DUMMYFUNCTION("""COMPUTED_VALUE"""),"WO_WFM-OTHERS_20260623_123616229")</f>
        <v>WO_WFM-OTHERS_20260623_123616229</v>
      </c>
      <c r="B414" s="410" t="str">
        <f>IFERROR(__xludf.DUMMYFUNCTION("""COMPUTED_VALUE"""),"Cable Patrol for (AC)-TNI0390-JB(MON0002-TNI0006)")</f>
        <v>Cable Patrol for (AC)-TNI0390-JB(MON0002-TNI0006)</v>
      </c>
      <c r="C414" s="410">
        <f>IFERROR(__xludf.DUMMYFUNCTION("""COMPUTED_VALUE"""),439.03)</f>
        <v>439.03</v>
      </c>
      <c r="D414" s="410" t="str">
        <f>IFERROR(__xludf.DUMMYFUNCTION("""COMPUTED_VALUE"""),"T1")</f>
        <v>T1</v>
      </c>
      <c r="E414" s="410" t="str">
        <f>IFERROR(__xludf.DUMMYFUNCTION("""COMPUTED_VALUE"""),"TNI0390")</f>
        <v>TNI0390</v>
      </c>
      <c r="F414" s="410" t="str">
        <f>IFERROR(__xludf.DUMMYFUNCTION("""COMPUTED_VALUE"""),"myt_tharhtoo.aung11")</f>
        <v>myt_tharhtoo.aung11</v>
      </c>
      <c r="H414" s="269"/>
      <c r="I414" s="269"/>
      <c r="J414" s="269"/>
      <c r="K414" s="269"/>
      <c r="L414" s="269"/>
      <c r="M414" s="269"/>
      <c r="N414" s="269"/>
      <c r="O414" s="269"/>
      <c r="P414" s="269"/>
      <c r="Q414" s="269"/>
      <c r="R414" s="269"/>
      <c r="S414" s="269"/>
      <c r="T414" s="269"/>
      <c r="U414" s="269"/>
      <c r="V414" s="269"/>
      <c r="W414" s="269"/>
      <c r="X414" s="269"/>
      <c r="Y414" s="269"/>
      <c r="Z414" s="269"/>
      <c r="AA414" s="269"/>
      <c r="AB414" s="269"/>
      <c r="AC414" s="269"/>
      <c r="AD414" s="269"/>
      <c r="AE414" s="269"/>
      <c r="AF414" s="269"/>
      <c r="AG414" s="269"/>
      <c r="AH414" s="269"/>
      <c r="AI414" s="269"/>
      <c r="AJ414" s="269"/>
      <c r="AK414" s="269"/>
      <c r="AL414" s="269"/>
      <c r="AM414" s="269"/>
      <c r="AN414" s="269"/>
      <c r="AO414" s="269"/>
      <c r="AP414" s="269"/>
      <c r="AQ414" s="269"/>
      <c r="AR414" s="269"/>
    </row>
    <row r="415">
      <c r="A415" s="410" t="str">
        <f>IFERROR(__xludf.DUMMYFUNCTION("""COMPUTED_VALUE"""),"WO_WFM-OTHERS_20260623_123616233")</f>
        <v>WO_WFM-OTHERS_20260623_123616233</v>
      </c>
      <c r="B415" s="410" t="str">
        <f>IFERROR(__xludf.DUMMYFUNCTION("""COMPUTED_VALUE"""),"Cable Patrol for (AC)-TNI0309-JB(TNI0005-TNI0013)")</f>
        <v>Cable Patrol for (AC)-TNI0309-JB(TNI0005-TNI0013)</v>
      </c>
      <c r="C415" s="410">
        <f>IFERROR(__xludf.DUMMYFUNCTION("""COMPUTED_VALUE"""),439.03)</f>
        <v>439.03</v>
      </c>
      <c r="D415" s="410" t="str">
        <f>IFERROR(__xludf.DUMMYFUNCTION("""COMPUTED_VALUE"""),"T1")</f>
        <v>T1</v>
      </c>
      <c r="E415" s="410" t="str">
        <f>IFERROR(__xludf.DUMMYFUNCTION("""COMPUTED_VALUE"""),"TNI0309")</f>
        <v>TNI0309</v>
      </c>
      <c r="F415" s="410" t="str">
        <f>IFERROR(__xludf.DUMMYFUNCTION("""COMPUTED_VALUE"""),"myt_tharhtoo.aung11")</f>
        <v>myt_tharhtoo.aung11</v>
      </c>
      <c r="H415" s="269"/>
      <c r="I415" s="269"/>
      <c r="J415" s="269"/>
      <c r="K415" s="269"/>
      <c r="L415" s="269"/>
      <c r="M415" s="269"/>
      <c r="N415" s="269"/>
      <c r="O415" s="269"/>
      <c r="P415" s="269"/>
      <c r="Q415" s="269"/>
      <c r="R415" s="269"/>
      <c r="S415" s="269"/>
      <c r="T415" s="269"/>
      <c r="U415" s="269"/>
      <c r="V415" s="269"/>
      <c r="W415" s="269"/>
      <c r="X415" s="269"/>
      <c r="Y415" s="269"/>
      <c r="Z415" s="269"/>
      <c r="AA415" s="269"/>
      <c r="AB415" s="269"/>
      <c r="AC415" s="269"/>
      <c r="AD415" s="269"/>
      <c r="AE415" s="269"/>
      <c r="AF415" s="269"/>
      <c r="AG415" s="269"/>
      <c r="AH415" s="269"/>
      <c r="AI415" s="269"/>
      <c r="AJ415" s="269"/>
      <c r="AK415" s="269"/>
      <c r="AL415" s="269"/>
      <c r="AM415" s="269"/>
      <c r="AN415" s="269"/>
      <c r="AO415" s="269"/>
      <c r="AP415" s="269"/>
      <c r="AQ415" s="269"/>
      <c r="AR415" s="269"/>
    </row>
    <row r="416">
      <c r="A416" s="410" t="str">
        <f>IFERROR(__xludf.DUMMYFUNCTION("""COMPUTED_VALUE"""),"WO_WFM-OTHERS_20260623_123616225")</f>
        <v>WO_WFM-OTHERS_20260623_123616225</v>
      </c>
      <c r="B416" s="410" t="str">
        <f>IFERROR(__xludf.DUMMYFUNCTION("""COMPUTED_VALUE"""),"Cable Patrol for (AC)-TNI0006-TNIDOS51")</f>
        <v>Cable Patrol for (AC)-TNI0006-TNIDOS51</v>
      </c>
      <c r="C416" s="410">
        <f>IFERROR(__xludf.DUMMYFUNCTION("""COMPUTED_VALUE"""),439.03)</f>
        <v>439.03</v>
      </c>
      <c r="D416" s="410" t="str">
        <f>IFERROR(__xludf.DUMMYFUNCTION("""COMPUTED_VALUE"""),"T1")</f>
        <v>T1</v>
      </c>
      <c r="E416" s="410" t="str">
        <f>IFERROR(__xludf.DUMMYFUNCTION("""COMPUTED_VALUE"""),"TNI0006")</f>
        <v>TNI0006</v>
      </c>
      <c r="F416" s="410" t="str">
        <f>IFERROR(__xludf.DUMMYFUNCTION("""COMPUTED_VALUE"""),"myt_tharhtoo.aung11")</f>
        <v>myt_tharhtoo.aung11</v>
      </c>
      <c r="H416" s="269"/>
      <c r="I416" s="269"/>
      <c r="J416" s="269"/>
      <c r="K416" s="269"/>
      <c r="L416" s="269"/>
      <c r="M416" s="269"/>
      <c r="N416" s="269"/>
      <c r="O416" s="269"/>
      <c r="P416" s="269"/>
      <c r="Q416" s="269"/>
      <c r="R416" s="269"/>
      <c r="S416" s="269"/>
      <c r="T416" s="269"/>
      <c r="U416" s="269"/>
      <c r="V416" s="269"/>
      <c r="W416" s="269"/>
      <c r="X416" s="269"/>
      <c r="Y416" s="269"/>
      <c r="Z416" s="269"/>
      <c r="AA416" s="269"/>
      <c r="AB416" s="269"/>
      <c r="AC416" s="269"/>
      <c r="AD416" s="269"/>
      <c r="AE416" s="269"/>
      <c r="AF416" s="269"/>
      <c r="AG416" s="269"/>
      <c r="AH416" s="269"/>
      <c r="AI416" s="269"/>
      <c r="AJ416" s="269"/>
      <c r="AK416" s="269"/>
      <c r="AL416" s="269"/>
      <c r="AM416" s="269"/>
      <c r="AN416" s="269"/>
      <c r="AO416" s="269"/>
      <c r="AP416" s="269"/>
      <c r="AQ416" s="269"/>
      <c r="AR416" s="269"/>
    </row>
    <row r="417">
      <c r="A417" s="410" t="str">
        <f>IFERROR(__xludf.DUMMYFUNCTION("""COMPUTED_VALUE"""),"WO_WFM-OTHERS_20260623_123616231")</f>
        <v>WO_WFM-OTHERS_20260623_123616231</v>
      </c>
      <c r="B417" s="410" t="str">
        <f>IFERROR(__xludf.DUMMYFUNCTION("""COMPUTED_VALUE"""),"Cable Patrol for (AC)-TNI0314-JB(TNI0147-TNI0148)")</f>
        <v>Cable Patrol for (AC)-TNI0314-JB(TNI0147-TNI0148)</v>
      </c>
      <c r="C417" s="410">
        <f>IFERROR(__xludf.DUMMYFUNCTION("""COMPUTED_VALUE"""),439.03)</f>
        <v>439.03</v>
      </c>
      <c r="D417" s="410" t="str">
        <f>IFERROR(__xludf.DUMMYFUNCTION("""COMPUTED_VALUE"""),"T1")</f>
        <v>T1</v>
      </c>
      <c r="E417" s="410" t="str">
        <f>IFERROR(__xludf.DUMMYFUNCTION("""COMPUTED_VALUE"""),"TNI0314")</f>
        <v>TNI0314</v>
      </c>
      <c r="F417" s="410" t="str">
        <f>IFERROR(__xludf.DUMMYFUNCTION("""COMPUTED_VALUE"""),"myt_tharhtoo.aung11")</f>
        <v>myt_tharhtoo.aung11</v>
      </c>
      <c r="H417" s="269"/>
      <c r="I417" s="269"/>
      <c r="J417" s="269"/>
      <c r="K417" s="269"/>
      <c r="L417" s="269"/>
      <c r="M417" s="269"/>
      <c r="N417" s="269"/>
      <c r="O417" s="269"/>
      <c r="P417" s="269"/>
      <c r="Q417" s="269"/>
      <c r="R417" s="269"/>
      <c r="S417" s="269"/>
      <c r="T417" s="269"/>
      <c r="U417" s="269"/>
      <c r="V417" s="269"/>
      <c r="W417" s="269"/>
      <c r="X417" s="269"/>
      <c r="Y417" s="269"/>
      <c r="Z417" s="269"/>
      <c r="AA417" s="269"/>
      <c r="AB417" s="269"/>
      <c r="AC417" s="269"/>
      <c r="AD417" s="269"/>
      <c r="AE417" s="269"/>
      <c r="AF417" s="269"/>
      <c r="AG417" s="269"/>
      <c r="AH417" s="269"/>
      <c r="AI417" s="269"/>
      <c r="AJ417" s="269"/>
      <c r="AK417" s="269"/>
      <c r="AL417" s="269"/>
      <c r="AM417" s="269"/>
      <c r="AN417" s="269"/>
      <c r="AO417" s="269"/>
      <c r="AP417" s="269"/>
      <c r="AQ417" s="269"/>
      <c r="AR417" s="269"/>
    </row>
    <row r="418">
      <c r="A418" s="410" t="str">
        <f>IFERROR(__xludf.DUMMYFUNCTION("""COMPUTED_VALUE"""),"WO_ICMS_20260623_123615119")</f>
        <v>WO_ICMS_20260623_123615119</v>
      </c>
      <c r="B418" s="410" t="str">
        <f>IFERROR(__xludf.DUMMYFUNCTION("""COMPUTED_VALUE"""),"TNI0214 MYT_Routine_Maintenance_Mytel_Station MYT_RTE_MTE_SB_STN")</f>
        <v>TNI0214 MYT_Routine_Maintenance_Mytel_Station MYT_RTE_MTE_SB_STN</v>
      </c>
      <c r="C418" s="410">
        <f>IFERROR(__xludf.DUMMYFUNCTION("""COMPUTED_VALUE"""),886.64)</f>
        <v>886.64</v>
      </c>
      <c r="D418" s="410" t="str">
        <f>IFERROR(__xludf.DUMMYFUNCTION("""COMPUTED_VALUE"""),"T1")</f>
        <v>T1</v>
      </c>
      <c r="E418" s="410" t="str">
        <f>IFERROR(__xludf.DUMMYFUNCTION("""COMPUTED_VALUE"""),"TNI0214")</f>
        <v>TNI0214</v>
      </c>
      <c r="F418" s="410" t="str">
        <f>IFERROR(__xludf.DUMMYFUNCTION("""COMPUTED_VALUE"""),"myt_tharhtoo.aung11")</f>
        <v>myt_tharhtoo.aung11</v>
      </c>
      <c r="H418" s="269"/>
      <c r="I418" s="269"/>
      <c r="J418" s="269"/>
      <c r="K418" s="269"/>
      <c r="L418" s="269"/>
      <c r="M418" s="269"/>
      <c r="N418" s="269"/>
      <c r="O418" s="269"/>
      <c r="P418" s="269"/>
      <c r="Q418" s="269"/>
      <c r="R418" s="269"/>
      <c r="S418" s="269"/>
      <c r="T418" s="269"/>
      <c r="U418" s="269"/>
      <c r="V418" s="269"/>
      <c r="W418" s="269"/>
      <c r="X418" s="269"/>
      <c r="Y418" s="269"/>
      <c r="Z418" s="269"/>
      <c r="AA418" s="269"/>
      <c r="AB418" s="269"/>
      <c r="AC418" s="269"/>
      <c r="AD418" s="269"/>
      <c r="AE418" s="269"/>
      <c r="AF418" s="269"/>
      <c r="AG418" s="269"/>
      <c r="AH418" s="269"/>
      <c r="AI418" s="269"/>
      <c r="AJ418" s="269"/>
      <c r="AK418" s="269"/>
      <c r="AL418" s="269"/>
      <c r="AM418" s="269"/>
      <c r="AN418" s="269"/>
      <c r="AO418" s="269"/>
      <c r="AP418" s="269"/>
      <c r="AQ418" s="269"/>
      <c r="AR418" s="269"/>
    </row>
    <row r="419">
      <c r="A419" s="410" t="str">
        <f>IFERROR(__xludf.DUMMYFUNCTION("""COMPUTED_VALUE"""),"WO_ICMS_20260623_123615068")</f>
        <v>WO_ICMS_20260623_123615068</v>
      </c>
      <c r="B419" s="410" t="str">
        <f>IFERROR(__xludf.DUMMYFUNCTION("""COMPUTED_VALUE"""),"TNI0305 MYT_Routine_Maintenance_Mytel_Station MYT_RTE_MTE_SB_STN")</f>
        <v>TNI0305 MYT_Routine_Maintenance_Mytel_Station MYT_RTE_MTE_SB_STN</v>
      </c>
      <c r="C419" s="410">
        <f>IFERROR(__xludf.DUMMYFUNCTION("""COMPUTED_VALUE"""),886.64)</f>
        <v>886.64</v>
      </c>
      <c r="D419" s="410" t="str">
        <f>IFERROR(__xludf.DUMMYFUNCTION("""COMPUTED_VALUE"""),"T1")</f>
        <v>T1</v>
      </c>
      <c r="E419" s="410" t="str">
        <f>IFERROR(__xludf.DUMMYFUNCTION("""COMPUTED_VALUE"""),"TNI0305")</f>
        <v>TNI0305</v>
      </c>
      <c r="F419" s="410" t="str">
        <f>IFERROR(__xludf.DUMMYFUNCTION("""COMPUTED_VALUE"""),"myt_tharhtoo.aung11")</f>
        <v>myt_tharhtoo.aung11</v>
      </c>
      <c r="H419" s="269"/>
      <c r="I419" s="269"/>
      <c r="J419" s="269"/>
      <c r="K419" s="269"/>
      <c r="L419" s="269"/>
      <c r="M419" s="269"/>
      <c r="N419" s="269"/>
      <c r="O419" s="269"/>
      <c r="P419" s="269"/>
      <c r="Q419" s="269"/>
      <c r="R419" s="269"/>
      <c r="S419" s="269"/>
      <c r="T419" s="269"/>
      <c r="U419" s="269"/>
      <c r="V419" s="269"/>
      <c r="W419" s="269"/>
      <c r="X419" s="269"/>
      <c r="Y419" s="269"/>
      <c r="Z419" s="269"/>
      <c r="AA419" s="269"/>
      <c r="AB419" s="269"/>
      <c r="AC419" s="269"/>
      <c r="AD419" s="269"/>
      <c r="AE419" s="269"/>
      <c r="AF419" s="269"/>
      <c r="AG419" s="269"/>
      <c r="AH419" s="269"/>
      <c r="AI419" s="269"/>
      <c r="AJ419" s="269"/>
      <c r="AK419" s="269"/>
      <c r="AL419" s="269"/>
      <c r="AM419" s="269"/>
      <c r="AN419" s="269"/>
      <c r="AO419" s="269"/>
      <c r="AP419" s="269"/>
      <c r="AQ419" s="269"/>
      <c r="AR419" s="269"/>
    </row>
    <row r="420">
      <c r="A420" s="410" t="str">
        <f>IFERROR(__xludf.DUMMYFUNCTION("""COMPUTED_VALUE"""),"WO_ICMS_20260623_123611282")</f>
        <v>WO_ICMS_20260623_123611282</v>
      </c>
      <c r="B420" s="410" t="str">
        <f>IFERROR(__xludf.DUMMYFUNCTION("""COMPUTED_VALUE"""),"TNI0129 MYT_Routine_Maintenance_Towerco_Station MYT_RTE_MTE_TCO_STN")</f>
        <v>TNI0129 MYT_Routine_Maintenance_Towerco_Station MYT_RTE_MTE_TCO_STN</v>
      </c>
      <c r="C420" s="410">
        <f>IFERROR(__xludf.DUMMYFUNCTION("""COMPUTED_VALUE"""),882.55)</f>
        <v>882.55</v>
      </c>
      <c r="D420" s="410" t="str">
        <f>IFERROR(__xludf.DUMMYFUNCTION("""COMPUTED_VALUE"""),"T1")</f>
        <v>T1</v>
      </c>
      <c r="E420" s="410" t="str">
        <f>IFERROR(__xludf.DUMMYFUNCTION("""COMPUTED_VALUE"""),"TNI0129")</f>
        <v>TNI0129</v>
      </c>
      <c r="F420" s="410" t="str">
        <f>IFERROR(__xludf.DUMMYFUNCTION("""COMPUTED_VALUE"""),"myt_tharhtoo.aung11")</f>
        <v>myt_tharhtoo.aung11</v>
      </c>
      <c r="H420" s="269"/>
      <c r="I420" s="269"/>
      <c r="J420" s="269"/>
      <c r="K420" s="269"/>
      <c r="L420" s="269"/>
      <c r="M420" s="269"/>
      <c r="N420" s="269"/>
      <c r="O420" s="269"/>
      <c r="P420" s="269"/>
      <c r="Q420" s="269"/>
      <c r="R420" s="269"/>
      <c r="S420" s="269"/>
      <c r="T420" s="269"/>
      <c r="U420" s="269"/>
      <c r="V420" s="269"/>
      <c r="W420" s="269"/>
      <c r="X420" s="269"/>
      <c r="Y420" s="269"/>
      <c r="Z420" s="269"/>
      <c r="AA420" s="269"/>
      <c r="AB420" s="269"/>
      <c r="AC420" s="269"/>
      <c r="AD420" s="269"/>
      <c r="AE420" s="269"/>
      <c r="AF420" s="269"/>
      <c r="AG420" s="269"/>
      <c r="AH420" s="269"/>
      <c r="AI420" s="269"/>
      <c r="AJ420" s="269"/>
      <c r="AK420" s="269"/>
      <c r="AL420" s="269"/>
      <c r="AM420" s="269"/>
      <c r="AN420" s="269"/>
      <c r="AO420" s="269"/>
      <c r="AP420" s="269"/>
      <c r="AQ420" s="269"/>
      <c r="AR420" s="269"/>
    </row>
    <row r="421">
      <c r="A421" s="410" t="str">
        <f>IFERROR(__xludf.DUMMYFUNCTION("""COMPUTED_VALUE"""),"WO_ICMS_20260623_123611231")</f>
        <v>WO_ICMS_20260623_123611231</v>
      </c>
      <c r="B421" s="410" t="str">
        <f>IFERROR(__xludf.DUMMYFUNCTION("""COMPUTED_VALUE"""),"TNI0220 MYT_Routine_Maintenance_Towerco_Station MYT_RTE_MTE_TCO_STN")</f>
        <v>TNI0220 MYT_Routine_Maintenance_Towerco_Station MYT_RTE_MTE_TCO_STN</v>
      </c>
      <c r="C421" s="410">
        <f>IFERROR(__xludf.DUMMYFUNCTION("""COMPUTED_VALUE"""),882.54)</f>
        <v>882.54</v>
      </c>
      <c r="D421" s="410" t="str">
        <f>IFERROR(__xludf.DUMMYFUNCTION("""COMPUTED_VALUE"""),"T1")</f>
        <v>T1</v>
      </c>
      <c r="E421" s="410" t="str">
        <f>IFERROR(__xludf.DUMMYFUNCTION("""COMPUTED_VALUE"""),"TNI0220")</f>
        <v>TNI0220</v>
      </c>
      <c r="F421" s="410" t="str">
        <f>IFERROR(__xludf.DUMMYFUNCTION("""COMPUTED_VALUE"""),"myt_tharhtoo.aung11")</f>
        <v>myt_tharhtoo.aung11</v>
      </c>
      <c r="H421" s="269"/>
      <c r="I421" s="269"/>
      <c r="J421" s="269"/>
      <c r="K421" s="269"/>
      <c r="L421" s="269"/>
      <c r="M421" s="269"/>
      <c r="N421" s="269"/>
      <c r="O421" s="269"/>
      <c r="P421" s="269"/>
      <c r="Q421" s="269"/>
      <c r="R421" s="269"/>
      <c r="S421" s="269"/>
      <c r="T421" s="269"/>
      <c r="U421" s="269"/>
      <c r="V421" s="269"/>
      <c r="W421" s="269"/>
      <c r="X421" s="269"/>
      <c r="Y421" s="269"/>
      <c r="Z421" s="269"/>
      <c r="AA421" s="269"/>
      <c r="AB421" s="269"/>
      <c r="AC421" s="269"/>
      <c r="AD421" s="269"/>
      <c r="AE421" s="269"/>
      <c r="AF421" s="269"/>
      <c r="AG421" s="269"/>
      <c r="AH421" s="269"/>
      <c r="AI421" s="269"/>
      <c r="AJ421" s="269"/>
      <c r="AK421" s="269"/>
      <c r="AL421" s="269"/>
      <c r="AM421" s="269"/>
      <c r="AN421" s="269"/>
      <c r="AO421" s="269"/>
      <c r="AP421" s="269"/>
      <c r="AQ421" s="269"/>
      <c r="AR421" s="269"/>
    </row>
    <row r="422">
      <c r="A422" s="410" t="str">
        <f>IFERROR(__xludf.DUMMYFUNCTION("""COMPUTED_VALUE"""),"WO_WFM-OTHERS_20260622_123603193")</f>
        <v>WO_WFM-OTHERS_20260622_123603193</v>
      </c>
      <c r="B422" s="410" t="str">
        <f>IFERROR(__xludf.DUMMYFUNCTION("""COMPUTED_VALUE"""),"TNI0220_Cleaning Radiator and change engine oil")</f>
        <v>TNI0220_Cleaning Radiator and change engine oil</v>
      </c>
      <c r="C422" s="410">
        <f>IFERROR(__xludf.DUMMYFUNCTION("""COMPUTED_VALUE"""),-41.95)</f>
        <v>-41.95</v>
      </c>
      <c r="D422" s="410" t="str">
        <f>IFERROR(__xludf.DUMMYFUNCTION("""COMPUTED_VALUE"""),"T1")</f>
        <v>T1</v>
      </c>
      <c r="E422" s="410" t="str">
        <f>IFERROR(__xludf.DUMMYFUNCTION("""COMPUTED_VALUE"""),"TNI0220")</f>
        <v>TNI0220</v>
      </c>
      <c r="F422" s="410" t="str">
        <f>IFERROR(__xludf.DUMMYFUNCTION("""COMPUTED_VALUE"""),"myt_tharhtoo.aung11")</f>
        <v>myt_tharhtoo.aung11</v>
      </c>
      <c r="H422" s="269"/>
      <c r="I422" s="269"/>
      <c r="J422" s="269"/>
      <c r="K422" s="269"/>
      <c r="L422" s="269"/>
      <c r="M422" s="269"/>
      <c r="N422" s="269"/>
      <c r="O422" s="269"/>
      <c r="P422" s="269"/>
      <c r="Q422" s="269"/>
      <c r="R422" s="269"/>
      <c r="S422" s="269"/>
      <c r="T422" s="269"/>
      <c r="U422" s="269"/>
      <c r="V422" s="269"/>
      <c r="W422" s="269"/>
      <c r="X422" s="269"/>
      <c r="Y422" s="269"/>
      <c r="Z422" s="269"/>
      <c r="AA422" s="269"/>
      <c r="AB422" s="269"/>
      <c r="AC422" s="269"/>
      <c r="AD422" s="269"/>
      <c r="AE422" s="269"/>
      <c r="AF422" s="269"/>
      <c r="AG422" s="269"/>
      <c r="AH422" s="269"/>
      <c r="AI422" s="269"/>
      <c r="AJ422" s="269"/>
      <c r="AK422" s="269"/>
      <c r="AL422" s="269"/>
      <c r="AM422" s="269"/>
      <c r="AN422" s="269"/>
      <c r="AO422" s="269"/>
      <c r="AP422" s="269"/>
      <c r="AQ422" s="269"/>
      <c r="AR422" s="269"/>
    </row>
    <row r="423">
      <c r="A423" s="410" t="str">
        <f>IFERROR(__xludf.DUMMYFUNCTION("""COMPUTED_VALUE"""),"WO_WFM-OTHERS_20260622_123603038")</f>
        <v>WO_WFM-OTHERS_20260622_123603038</v>
      </c>
      <c r="B423" s="410" t="str">
        <f>IFERROR(__xludf.DUMMYFUNCTION("""COMPUTED_VALUE"""),"TNI0206_Cleaning Radiator and change engine oil")</f>
        <v>TNI0206_Cleaning Radiator and change engine oil</v>
      </c>
      <c r="C423" s="410">
        <f>IFERROR(__xludf.DUMMYFUNCTION("""COMPUTED_VALUE"""),-41.95)</f>
        <v>-41.95</v>
      </c>
      <c r="D423" s="410" t="str">
        <f>IFERROR(__xludf.DUMMYFUNCTION("""COMPUTED_VALUE"""),"T1")</f>
        <v>T1</v>
      </c>
      <c r="E423" s="410" t="str">
        <f>IFERROR(__xludf.DUMMYFUNCTION("""COMPUTED_VALUE"""),"TNI0206")</f>
        <v>TNI0206</v>
      </c>
      <c r="F423" s="410" t="str">
        <f>IFERROR(__xludf.DUMMYFUNCTION("""COMPUTED_VALUE"""),"myt_tharhtoo.aung11")</f>
        <v>myt_tharhtoo.aung11</v>
      </c>
      <c r="H423" s="269"/>
      <c r="I423" s="269"/>
      <c r="J423" s="269"/>
      <c r="K423" s="269"/>
      <c r="L423" s="269"/>
      <c r="M423" s="269"/>
      <c r="N423" s="269"/>
      <c r="O423" s="269"/>
      <c r="P423" s="269"/>
      <c r="Q423" s="269"/>
      <c r="R423" s="269"/>
      <c r="S423" s="269"/>
      <c r="T423" s="269"/>
      <c r="U423" s="269"/>
      <c r="V423" s="269"/>
      <c r="W423" s="269"/>
      <c r="X423" s="269"/>
      <c r="Y423" s="269"/>
      <c r="Z423" s="269"/>
      <c r="AA423" s="269"/>
      <c r="AB423" s="269"/>
      <c r="AC423" s="269"/>
      <c r="AD423" s="269"/>
      <c r="AE423" s="269"/>
      <c r="AF423" s="269"/>
      <c r="AG423" s="269"/>
      <c r="AH423" s="269"/>
      <c r="AI423" s="269"/>
      <c r="AJ423" s="269"/>
      <c r="AK423" s="269"/>
      <c r="AL423" s="269"/>
      <c r="AM423" s="269"/>
      <c r="AN423" s="269"/>
      <c r="AO423" s="269"/>
      <c r="AP423" s="269"/>
      <c r="AQ423" s="269"/>
      <c r="AR423" s="269"/>
    </row>
    <row r="424">
      <c r="A424" s="410" t="str">
        <f>IFERROR(__xludf.DUMMYFUNCTION("""COMPUTED_VALUE"""),"WO_WFM-OTHERS_20260622_123602989")</f>
        <v>WO_WFM-OTHERS_20260622_123602989</v>
      </c>
      <c r="B424" s="410" t="str">
        <f>IFERROR(__xludf.DUMMYFUNCTION("""COMPUTED_VALUE"""),"TNI0153_Cleaning Radiator and change engine oil")</f>
        <v>TNI0153_Cleaning Radiator and change engine oil</v>
      </c>
      <c r="C424" s="410">
        <f>IFERROR(__xludf.DUMMYFUNCTION("""COMPUTED_VALUE"""),-41.95)</f>
        <v>-41.95</v>
      </c>
      <c r="D424" s="410" t="str">
        <f>IFERROR(__xludf.DUMMYFUNCTION("""COMPUTED_VALUE"""),"T1")</f>
        <v>T1</v>
      </c>
      <c r="E424" s="410" t="str">
        <f>IFERROR(__xludf.DUMMYFUNCTION("""COMPUTED_VALUE"""),"TNI0153")</f>
        <v>TNI0153</v>
      </c>
      <c r="F424" s="410" t="str">
        <f>IFERROR(__xludf.DUMMYFUNCTION("""COMPUTED_VALUE"""),"myt_tharhtoo.aung11")</f>
        <v>myt_tharhtoo.aung11</v>
      </c>
      <c r="H424" s="269"/>
      <c r="I424" s="269"/>
      <c r="J424" s="269"/>
      <c r="K424" s="269"/>
      <c r="L424" s="269"/>
      <c r="M424" s="269"/>
      <c r="N424" s="269"/>
      <c r="O424" s="269"/>
      <c r="P424" s="269"/>
      <c r="Q424" s="269"/>
      <c r="R424" s="269"/>
      <c r="S424" s="269"/>
      <c r="T424" s="269"/>
      <c r="U424" s="269"/>
      <c r="V424" s="269"/>
      <c r="W424" s="269"/>
      <c r="X424" s="269"/>
      <c r="Y424" s="269"/>
      <c r="Z424" s="269"/>
      <c r="AA424" s="269"/>
      <c r="AB424" s="269"/>
      <c r="AC424" s="269"/>
      <c r="AD424" s="269"/>
      <c r="AE424" s="269"/>
      <c r="AF424" s="269"/>
      <c r="AG424" s="269"/>
      <c r="AH424" s="269"/>
      <c r="AI424" s="269"/>
      <c r="AJ424" s="269"/>
      <c r="AK424" s="269"/>
      <c r="AL424" s="269"/>
      <c r="AM424" s="269"/>
      <c r="AN424" s="269"/>
      <c r="AO424" s="269"/>
      <c r="AP424" s="269"/>
      <c r="AQ424" s="269"/>
      <c r="AR424" s="269"/>
    </row>
    <row r="425">
      <c r="A425" s="410" t="str">
        <f>IFERROR(__xludf.DUMMYFUNCTION("""COMPUTED_VALUE"""),"WO_ICMS_20260618_123558698")</f>
        <v>WO_ICMS_20260618_123558698</v>
      </c>
      <c r="B425" s="410" t="str">
        <f>IFERROR(__xludf.DUMMYFUNCTION("""COMPUTED_VALUE"""),"TNI0006: Station Corridor --&amp;gt; Large Trees and Bushes --&amp;gt; Vegetation clearing → Clear and trim all timber trees, bushes, vines (when still small), or wide-canopy fruit trees with mature height &amp;lt; 10m")</f>
        <v>TNI0006: Station Corridor --&amp;gt; Large Trees and Bushes --&amp;gt; Vegetation clearing → Clear and trim all timber trees, bushes, vines (when still small), or wide-canopy fruit trees with mature height &amp;lt; 10m</v>
      </c>
      <c r="C425" s="410">
        <f>IFERROR(__xludf.DUMMYFUNCTION("""COMPUTED_VALUE"""),-173.81)</f>
        <v>-173.81</v>
      </c>
      <c r="D425" s="410" t="str">
        <f>IFERROR(__xludf.DUMMYFUNCTION("""COMPUTED_VALUE"""),"T1")</f>
        <v>T1</v>
      </c>
      <c r="E425" s="410" t="str">
        <f>IFERROR(__xludf.DUMMYFUNCTION("""COMPUTED_VALUE"""),"TNI0006")</f>
        <v>TNI0006</v>
      </c>
      <c r="F425" s="410" t="str">
        <f>IFERROR(__xludf.DUMMYFUNCTION("""COMPUTED_VALUE"""),"myt_tharhtoo.aung11")</f>
        <v>myt_tharhtoo.aung11</v>
      </c>
      <c r="H425" s="269"/>
      <c r="I425" s="269"/>
      <c r="J425" s="269"/>
      <c r="K425" s="269"/>
      <c r="L425" s="269"/>
      <c r="M425" s="269"/>
      <c r="N425" s="269"/>
      <c r="O425" s="269"/>
      <c r="P425" s="269"/>
      <c r="Q425" s="269"/>
      <c r="R425" s="269"/>
      <c r="S425" s="269"/>
      <c r="T425" s="269"/>
      <c r="U425" s="269"/>
      <c r="V425" s="269"/>
      <c r="W425" s="269"/>
      <c r="X425" s="269"/>
      <c r="Y425" s="269"/>
      <c r="Z425" s="269"/>
      <c r="AA425" s="269"/>
      <c r="AB425" s="269"/>
      <c r="AC425" s="269"/>
      <c r="AD425" s="269"/>
      <c r="AE425" s="269"/>
      <c r="AF425" s="269"/>
      <c r="AG425" s="269"/>
      <c r="AH425" s="269"/>
      <c r="AI425" s="269"/>
      <c r="AJ425" s="269"/>
      <c r="AK425" s="269"/>
      <c r="AL425" s="269"/>
      <c r="AM425" s="269"/>
      <c r="AN425" s="269"/>
      <c r="AO425" s="269"/>
      <c r="AP425" s="269"/>
      <c r="AQ425" s="269"/>
      <c r="AR425" s="269"/>
    </row>
    <row r="426">
      <c r="A426" s="410" t="str">
        <f>IFERROR(__xludf.DUMMYFUNCTION("""COMPUTED_VALUE"""),"WO_ICMS_20260618_123558679")</f>
        <v>WO_ICMS_20260618_123558679</v>
      </c>
      <c r="B426" s="410" t="str">
        <f>IFERROR(__xludf.DUMMYFUNCTION("""COMPUTED_VALUE"""),"TNI0006: Internal Electrical --&amp;gt; NT_Metter --&amp;gt; Faulty meter - no returned data → Recall for repair and supply replacement materials")</f>
        <v>TNI0006: Internal Electrical --&amp;gt; NT_Metter --&amp;gt; Faulty meter - no returned data → Recall for repair and supply replacement materials</v>
      </c>
      <c r="C426" s="410">
        <f>IFERROR(__xludf.DUMMYFUNCTION("""COMPUTED_VALUE"""),1098.11)</f>
        <v>1098.11</v>
      </c>
      <c r="D426" s="410" t="str">
        <f>IFERROR(__xludf.DUMMYFUNCTION("""COMPUTED_VALUE"""),"T1")</f>
        <v>T1</v>
      </c>
      <c r="E426" s="410" t="str">
        <f>IFERROR(__xludf.DUMMYFUNCTION("""COMPUTED_VALUE"""),"TNI0006")</f>
        <v>TNI0006</v>
      </c>
      <c r="F426" s="410" t="str">
        <f>IFERROR(__xludf.DUMMYFUNCTION("""COMPUTED_VALUE"""),"myt_tharhtoo.aung11")</f>
        <v>myt_tharhtoo.aung11</v>
      </c>
      <c r="H426" s="269"/>
      <c r="I426" s="269"/>
      <c r="J426" s="269"/>
      <c r="K426" s="269"/>
      <c r="L426" s="269"/>
      <c r="M426" s="269"/>
      <c r="N426" s="269"/>
      <c r="O426" s="269"/>
      <c r="P426" s="269"/>
      <c r="Q426" s="269"/>
      <c r="R426" s="269"/>
      <c r="S426" s="269"/>
      <c r="T426" s="269"/>
      <c r="U426" s="269"/>
      <c r="V426" s="269"/>
      <c r="W426" s="269"/>
      <c r="X426" s="269"/>
      <c r="Y426" s="269"/>
      <c r="Z426" s="269"/>
      <c r="AA426" s="269"/>
      <c r="AB426" s="269"/>
      <c r="AC426" s="269"/>
      <c r="AD426" s="269"/>
      <c r="AE426" s="269"/>
      <c r="AF426" s="269"/>
      <c r="AG426" s="269"/>
      <c r="AH426" s="269"/>
      <c r="AI426" s="269"/>
      <c r="AJ426" s="269"/>
      <c r="AK426" s="269"/>
      <c r="AL426" s="269"/>
      <c r="AM426" s="269"/>
      <c r="AN426" s="269"/>
      <c r="AO426" s="269"/>
      <c r="AP426" s="269"/>
      <c r="AQ426" s="269"/>
      <c r="AR426" s="269"/>
    </row>
    <row r="427">
      <c r="A427" s="410" t="str">
        <f>IFERROR(__xludf.DUMMYFUNCTION("""COMPUTED_VALUE"""),"WO_ICMS_20260618_123558622")</f>
        <v>WO_ICMS_20260618_123558622</v>
      </c>
      <c r="B427" s="410" t="str">
        <f>IFERROR(__xludf.DUMMYFUNCTION("""COMPUTED_VALUE"""),"TNI0006: Auxiliary Material Group --&amp;gt; Aircraft Warning Light for towers &amp;gt;= 45m --&amp;gt; Faulty light → Supply replacement light")</f>
        <v>TNI0006: Auxiliary Material Group --&amp;gt; Aircraft Warning Light for towers &amp;gt;= 45m --&amp;gt; Faulty light → Supply replacement light</v>
      </c>
      <c r="C427" s="410">
        <f>IFERROR(__xludf.DUMMYFUNCTION("""COMPUTED_VALUE"""),1097.9)</f>
        <v>1097.9</v>
      </c>
      <c r="D427" s="410" t="str">
        <f>IFERROR(__xludf.DUMMYFUNCTION("""COMPUTED_VALUE"""),"T1")</f>
        <v>T1</v>
      </c>
      <c r="E427" s="410" t="str">
        <f>IFERROR(__xludf.DUMMYFUNCTION("""COMPUTED_VALUE"""),"TNI0006")</f>
        <v>TNI0006</v>
      </c>
      <c r="F427" s="410" t="str">
        <f>IFERROR(__xludf.DUMMYFUNCTION("""COMPUTED_VALUE"""),"myt_tharhtoo.aung11")</f>
        <v>myt_tharhtoo.aung11</v>
      </c>
      <c r="H427" s="269"/>
      <c r="I427" s="269"/>
      <c r="J427" s="269"/>
      <c r="K427" s="269"/>
      <c r="L427" s="269"/>
      <c r="M427" s="269"/>
      <c r="N427" s="269"/>
      <c r="O427" s="269"/>
      <c r="P427" s="269"/>
      <c r="Q427" s="269"/>
      <c r="R427" s="269"/>
      <c r="S427" s="269"/>
      <c r="T427" s="269"/>
      <c r="U427" s="269"/>
      <c r="V427" s="269"/>
      <c r="W427" s="269"/>
      <c r="X427" s="269"/>
      <c r="Y427" s="269"/>
      <c r="Z427" s="269"/>
      <c r="AA427" s="269"/>
      <c r="AB427" s="269"/>
      <c r="AC427" s="269"/>
      <c r="AD427" s="269"/>
      <c r="AE427" s="269"/>
      <c r="AF427" s="269"/>
      <c r="AG427" s="269"/>
      <c r="AH427" s="269"/>
      <c r="AI427" s="269"/>
      <c r="AJ427" s="269"/>
      <c r="AK427" s="269"/>
      <c r="AL427" s="269"/>
      <c r="AM427" s="269"/>
      <c r="AN427" s="269"/>
      <c r="AO427" s="269"/>
      <c r="AP427" s="269"/>
      <c r="AQ427" s="269"/>
      <c r="AR427" s="269"/>
    </row>
    <row r="428">
      <c r="A428" s="410" t="str">
        <f>IFERROR(__xludf.DUMMYFUNCTION("""COMPUTED_VALUE"""),"WO_ICMS_20260618_123558599")</f>
        <v>WO_ICMS_20260618_123558599</v>
      </c>
      <c r="B428" s="410" t="str">
        <f>IFERROR(__xludf.DUMMYFUNCTION("""COMPUTED_VALUE"""),"TNI0006: HTML Upgrade Proposal --&amp;gt; Asset security --&amp;gt; Asset security → Install aircon cage and weld cage door permanently shut")</f>
        <v>TNI0006: HTML Upgrade Proposal --&amp;gt; Asset security --&amp;gt; Asset security → Install aircon cage and weld cage door permanently shut</v>
      </c>
      <c r="C428" s="410">
        <f>IFERROR(__xludf.DUMMYFUNCTION("""COMPUTED_VALUE"""),377.83)</f>
        <v>377.83</v>
      </c>
      <c r="D428" s="410" t="str">
        <f>IFERROR(__xludf.DUMMYFUNCTION("""COMPUTED_VALUE"""),"T1")</f>
        <v>T1</v>
      </c>
      <c r="E428" s="410" t="str">
        <f>IFERROR(__xludf.DUMMYFUNCTION("""COMPUTED_VALUE"""),"TNI0006")</f>
        <v>TNI0006</v>
      </c>
      <c r="F428" s="410" t="str">
        <f>IFERROR(__xludf.DUMMYFUNCTION("""COMPUTED_VALUE"""),"myt_tharhtoo.aung11")</f>
        <v>myt_tharhtoo.aung11</v>
      </c>
      <c r="H428" s="269"/>
      <c r="I428" s="269"/>
      <c r="J428" s="269"/>
      <c r="K428" s="269"/>
      <c r="L428" s="269"/>
      <c r="M428" s="269"/>
      <c r="N428" s="269"/>
      <c r="O428" s="269"/>
      <c r="P428" s="269"/>
      <c r="Q428" s="269"/>
      <c r="R428" s="269"/>
      <c r="S428" s="269"/>
      <c r="T428" s="269"/>
      <c r="U428" s="269"/>
      <c r="V428" s="269"/>
      <c r="W428" s="269"/>
      <c r="X428" s="269"/>
      <c r="Y428" s="269"/>
      <c r="Z428" s="269"/>
      <c r="AA428" s="269"/>
      <c r="AB428" s="269"/>
      <c r="AC428" s="269"/>
      <c r="AD428" s="269"/>
      <c r="AE428" s="269"/>
      <c r="AF428" s="269"/>
      <c r="AG428" s="269"/>
      <c r="AH428" s="269"/>
      <c r="AI428" s="269"/>
      <c r="AJ428" s="269"/>
      <c r="AK428" s="269"/>
      <c r="AL428" s="269"/>
      <c r="AM428" s="269"/>
      <c r="AN428" s="269"/>
      <c r="AO428" s="269"/>
      <c r="AP428" s="269"/>
      <c r="AQ428" s="269"/>
      <c r="AR428" s="269"/>
    </row>
    <row r="429">
      <c r="A429" s="410" t="str">
        <f>IFERROR(__xludf.DUMMYFUNCTION("""COMPUTED_VALUE"""),"WO_ICMS_20260618_123558534")</f>
        <v>WO_ICMS_20260618_123558534</v>
      </c>
      <c r="B429" s="410" t="str">
        <f>IFERROR(__xludf.DUMMYFUNCTION("""COMPUTED_VALUE"""),"TNI0006: Internal Electrical --&amp;gt; Internal_Ventilation dust filter --&amp;gt; Faulty controller → Supply new one for replacement")</f>
        <v>TNI0006: Internal Electrical --&amp;gt; Internal_Ventilation dust filter --&amp;gt; Faulty controller → Supply new one for replacement</v>
      </c>
      <c r="C429" s="410">
        <f>IFERROR(__xludf.DUMMYFUNCTION("""COMPUTED_VALUE"""),1097.7)</f>
        <v>1097.7</v>
      </c>
      <c r="D429" s="410" t="str">
        <f>IFERROR(__xludf.DUMMYFUNCTION("""COMPUTED_VALUE"""),"T1")</f>
        <v>T1</v>
      </c>
      <c r="E429" s="410" t="str">
        <f>IFERROR(__xludf.DUMMYFUNCTION("""COMPUTED_VALUE"""),"TNI0006")</f>
        <v>TNI0006</v>
      </c>
      <c r="F429" s="410" t="str">
        <f>IFERROR(__xludf.DUMMYFUNCTION("""COMPUTED_VALUE"""),"myt_tharhtoo.aung11")</f>
        <v>myt_tharhtoo.aung11</v>
      </c>
      <c r="H429" s="269"/>
      <c r="I429" s="269"/>
      <c r="J429" s="269"/>
      <c r="K429" s="269"/>
      <c r="L429" s="269"/>
      <c r="M429" s="269"/>
      <c r="N429" s="269"/>
      <c r="O429" s="269"/>
      <c r="P429" s="269"/>
      <c r="Q429" s="269"/>
      <c r="R429" s="269"/>
      <c r="S429" s="269"/>
      <c r="T429" s="269"/>
      <c r="U429" s="269"/>
      <c r="V429" s="269"/>
      <c r="W429" s="269"/>
      <c r="X429" s="269"/>
      <c r="Y429" s="269"/>
      <c r="Z429" s="269"/>
      <c r="AA429" s="269"/>
      <c r="AB429" s="269"/>
      <c r="AC429" s="269"/>
      <c r="AD429" s="269"/>
      <c r="AE429" s="269"/>
      <c r="AF429" s="269"/>
      <c r="AG429" s="269"/>
      <c r="AH429" s="269"/>
      <c r="AI429" s="269"/>
      <c r="AJ429" s="269"/>
      <c r="AK429" s="269"/>
      <c r="AL429" s="269"/>
      <c r="AM429" s="269"/>
      <c r="AN429" s="269"/>
      <c r="AO429" s="269"/>
      <c r="AP429" s="269"/>
      <c r="AQ429" s="269"/>
      <c r="AR429" s="269"/>
    </row>
    <row r="430">
      <c r="A430" s="410" t="str">
        <f>IFERROR(__xludf.DUMMYFUNCTION("""COMPUTED_VALUE"""),"WO_QLCTKT_20260608_123475280")</f>
        <v>WO_QLCTKT_20260608_123475280</v>
      </c>
      <c r="B430" s="410" t="str">
        <f>IFERROR(__xludf.DUMMYFUNCTION("""COMPUTED_VALUE"""),"TNI0006 - Repair infrastructure - bla: Prevent insect, mause, squirrel attack: Cover all cable hole , gaps of room, door, cabinet, ODF")</f>
        <v>TNI0006 - Repair infrastructure - bla: Prevent insect, mause, squirrel attack: Cover all cable hole , gaps of room, door, cabinet, ODF</v>
      </c>
      <c r="C430" s="410">
        <f>IFERROR(__xludf.DUMMYFUNCTION("""COMPUTED_VALUE"""),-506.24)</f>
        <v>-506.24</v>
      </c>
      <c r="D430" s="410" t="str">
        <f>IFERROR(__xludf.DUMMYFUNCTION("""COMPUTED_VALUE"""),"T1")</f>
        <v>T1</v>
      </c>
      <c r="E430" s="410" t="str">
        <f>IFERROR(__xludf.DUMMYFUNCTION("""COMPUTED_VALUE"""),"TNI0006")</f>
        <v>TNI0006</v>
      </c>
      <c r="F430" s="410" t="str">
        <f>IFERROR(__xludf.DUMMYFUNCTION("""COMPUTED_VALUE"""),"myt_tharhtoo.aung11")</f>
        <v>myt_tharhtoo.aung11</v>
      </c>
      <c r="H430" s="269"/>
      <c r="I430" s="269"/>
      <c r="J430" s="269"/>
      <c r="K430" s="269"/>
      <c r="L430" s="269"/>
      <c r="M430" s="269"/>
      <c r="N430" s="269"/>
      <c r="O430" s="269"/>
      <c r="P430" s="269"/>
      <c r="Q430" s="269"/>
      <c r="R430" s="269"/>
      <c r="S430" s="269"/>
      <c r="T430" s="269"/>
      <c r="U430" s="269"/>
      <c r="V430" s="269"/>
      <c r="W430" s="269"/>
      <c r="X430" s="269"/>
      <c r="Y430" s="269"/>
      <c r="Z430" s="269"/>
      <c r="AA430" s="269"/>
      <c r="AB430" s="269"/>
      <c r="AC430" s="269"/>
      <c r="AD430" s="269"/>
      <c r="AE430" s="269"/>
      <c r="AF430" s="269"/>
      <c r="AG430" s="269"/>
      <c r="AH430" s="269"/>
      <c r="AI430" s="269"/>
      <c r="AJ430" s="269"/>
      <c r="AK430" s="269"/>
      <c r="AL430" s="269"/>
      <c r="AM430" s="269"/>
      <c r="AN430" s="269"/>
      <c r="AO430" s="269"/>
      <c r="AP430" s="269"/>
      <c r="AQ430" s="269"/>
      <c r="AR430" s="269"/>
    </row>
    <row r="431">
      <c r="A431" s="410" t="str">
        <f>IFERROR(__xludf.DUMMYFUNCTION("""COMPUTED_VALUE"""),"WO_QLCTKT_20260607_123463093")</f>
        <v>WO_QLCTKT_20260607_123463093</v>
      </c>
      <c r="B431" s="410" t="str">
        <f>IFERROR(__xludf.DUMMYFUNCTION("""COMPUTED_VALUE"""),"TNI0314 MYT_Maintenance_Generator_Change_Oil - MYT_Maintenance_Generator_Change_Oil_Filter - MYT_Maintenance_Generator_Change_Fuel_Filter - MYT_Maintenance_Generator_Change_Air_Filter, Clean Radiator and Clean Engine Room - MYT_Checking quality for DG Fue"&amp;"l")</f>
        <v>TNI0314 MYT_Maintenance_Generator_Change_Oil - MYT_Maintenance_Generator_Change_Oil_Filter - MYT_Maintenance_Generator_Change_Fuel_Filter - MYT_Maintenance_Generator_Change_Air_Filter, Clean Radiator and Clean Engine Room - MYT_Checking quality for DG Fuel</v>
      </c>
      <c r="C431" s="410">
        <f>IFERROR(__xludf.DUMMYFUNCTION("""COMPUTED_VALUE"""),-472.95)</f>
        <v>-472.95</v>
      </c>
      <c r="D431" s="410" t="str">
        <f>IFERROR(__xludf.DUMMYFUNCTION("""COMPUTED_VALUE"""),"T1")</f>
        <v>T1</v>
      </c>
      <c r="E431" s="410" t="str">
        <f>IFERROR(__xludf.DUMMYFUNCTION("""COMPUTED_VALUE"""),"TNI0314: 30KVA")</f>
        <v>TNI0314: 30KVA</v>
      </c>
      <c r="F431" s="410" t="str">
        <f>IFERROR(__xludf.DUMMYFUNCTION("""COMPUTED_VALUE"""),"myt_tharhtoo.aung11")</f>
        <v>myt_tharhtoo.aung11</v>
      </c>
      <c r="H431" s="269"/>
      <c r="I431" s="269"/>
      <c r="J431" s="269"/>
      <c r="K431" s="269"/>
      <c r="L431" s="269"/>
      <c r="M431" s="269"/>
      <c r="N431" s="269"/>
      <c r="O431" s="269"/>
      <c r="P431" s="269"/>
      <c r="Q431" s="269"/>
      <c r="R431" s="269"/>
      <c r="S431" s="269"/>
      <c r="T431" s="269"/>
      <c r="U431" s="269"/>
      <c r="V431" s="269"/>
      <c r="W431" s="269"/>
      <c r="X431" s="269"/>
      <c r="Y431" s="269"/>
      <c r="Z431" s="269"/>
      <c r="AA431" s="269"/>
      <c r="AB431" s="269"/>
      <c r="AC431" s="269"/>
      <c r="AD431" s="269"/>
      <c r="AE431" s="269"/>
      <c r="AF431" s="269"/>
      <c r="AG431" s="269"/>
      <c r="AH431" s="269"/>
      <c r="AI431" s="269"/>
      <c r="AJ431" s="269"/>
      <c r="AK431" s="269"/>
      <c r="AL431" s="269"/>
      <c r="AM431" s="269"/>
      <c r="AN431" s="269"/>
      <c r="AO431" s="269"/>
      <c r="AP431" s="269"/>
      <c r="AQ431" s="269"/>
      <c r="AR431" s="269"/>
    </row>
    <row r="432">
      <c r="A432" s="410" t="str">
        <f>IFERROR(__xludf.DUMMYFUNCTION("""COMPUTED_VALUE"""),"WO_WFM-OTHERS_20260605_123451539")</f>
        <v>WO_WFM-OTHERS_20260605_123451539</v>
      </c>
      <c r="B432" s="410" t="str">
        <f>IFERROR(__xludf.DUMMYFUNCTION("""COMPUTED_VALUE"""),"TNI0245 MYT_Maintenance_Generator_Cleaning Rediator - MYT_Maintenance_Generator_Checking Coolant Level")</f>
        <v>TNI0245 MYT_Maintenance_Generator_Cleaning Rediator - MYT_Maintenance_Generator_Checking Coolant Level</v>
      </c>
      <c r="C432" s="410">
        <f>IFERROR(__xludf.DUMMYFUNCTION("""COMPUTED_VALUE"""),-280.95)</f>
        <v>-280.95</v>
      </c>
      <c r="D432" s="410" t="str">
        <f>IFERROR(__xludf.DUMMYFUNCTION("""COMPUTED_VALUE"""),"T1")</f>
        <v>T1</v>
      </c>
      <c r="E432" s="410" t="str">
        <f>IFERROR(__xludf.DUMMYFUNCTION("""COMPUTED_VALUE"""),"TNI0381: 8KVA")</f>
        <v>TNI0381: 8KVA</v>
      </c>
      <c r="F432" s="410" t="str">
        <f>IFERROR(__xludf.DUMMYFUNCTION("""COMPUTED_VALUE"""),"myt_tharhtoo.aung11")</f>
        <v>myt_tharhtoo.aung11</v>
      </c>
      <c r="H432" s="269"/>
      <c r="I432" s="269"/>
      <c r="J432" s="269"/>
      <c r="K432" s="269"/>
      <c r="L432" s="269"/>
      <c r="M432" s="269"/>
      <c r="N432" s="269"/>
      <c r="O432" s="269"/>
      <c r="P432" s="269"/>
      <c r="Q432" s="269"/>
      <c r="R432" s="269"/>
      <c r="S432" s="269"/>
      <c r="T432" s="269"/>
      <c r="U432" s="269"/>
      <c r="V432" s="269"/>
      <c r="W432" s="269"/>
      <c r="X432" s="269"/>
      <c r="Y432" s="269"/>
      <c r="Z432" s="269"/>
      <c r="AA432" s="269"/>
      <c r="AB432" s="269"/>
      <c r="AC432" s="269"/>
      <c r="AD432" s="269"/>
      <c r="AE432" s="269"/>
      <c r="AF432" s="269"/>
      <c r="AG432" s="269"/>
      <c r="AH432" s="269"/>
      <c r="AI432" s="269"/>
      <c r="AJ432" s="269"/>
      <c r="AK432" s="269"/>
      <c r="AL432" s="269"/>
      <c r="AM432" s="269"/>
      <c r="AN432" s="269"/>
      <c r="AO432" s="269"/>
      <c r="AP432" s="269"/>
      <c r="AQ432" s="269"/>
      <c r="AR432" s="269"/>
    </row>
    <row r="433">
      <c r="A433" s="410" t="str">
        <f>IFERROR(__xludf.DUMMYFUNCTION("""COMPUTED_VALUE"""),"WO_WFM-OTHERS_20260605_123451568")</f>
        <v>WO_WFM-OTHERS_20260605_123451568</v>
      </c>
      <c r="B433" s="410" t="str">
        <f>IFERROR(__xludf.DUMMYFUNCTION("""COMPUTED_VALUE"""),"TNI0220 MYT_Maintenance_Generator_Cleaning Rediator - MYT_Maintenance_Generator_Checking Coolant Level")</f>
        <v>TNI0220 MYT_Maintenance_Generator_Cleaning Rediator - MYT_Maintenance_Generator_Checking Coolant Level</v>
      </c>
      <c r="C433" s="410">
        <f>IFERROR(__xludf.DUMMYFUNCTION("""COMPUTED_VALUE"""),-280.95)</f>
        <v>-280.95</v>
      </c>
      <c r="D433" s="410" t="str">
        <f>IFERROR(__xludf.DUMMYFUNCTION("""COMPUTED_VALUE"""),"T1")</f>
        <v>T1</v>
      </c>
      <c r="E433" s="410" t="str">
        <f>IFERROR(__xludf.DUMMYFUNCTION("""COMPUTED_VALUE"""),"TNI0381: 8KVA")</f>
        <v>TNI0381: 8KVA</v>
      </c>
      <c r="F433" s="410" t="str">
        <f>IFERROR(__xludf.DUMMYFUNCTION("""COMPUTED_VALUE"""),"myt_tharhtoo.aung11")</f>
        <v>myt_tharhtoo.aung11</v>
      </c>
      <c r="H433" s="269"/>
      <c r="I433" s="269"/>
      <c r="J433" s="269"/>
      <c r="K433" s="269"/>
      <c r="L433" s="269"/>
      <c r="M433" s="269"/>
      <c r="N433" s="269"/>
      <c r="O433" s="269"/>
      <c r="P433" s="269"/>
      <c r="Q433" s="269"/>
      <c r="R433" s="269"/>
      <c r="S433" s="269"/>
      <c r="T433" s="269"/>
      <c r="U433" s="269"/>
      <c r="V433" s="269"/>
      <c r="W433" s="269"/>
      <c r="X433" s="269"/>
      <c r="Y433" s="269"/>
      <c r="Z433" s="269"/>
      <c r="AA433" s="269"/>
      <c r="AB433" s="269"/>
      <c r="AC433" s="269"/>
      <c r="AD433" s="269"/>
      <c r="AE433" s="269"/>
      <c r="AF433" s="269"/>
      <c r="AG433" s="269"/>
      <c r="AH433" s="269"/>
      <c r="AI433" s="269"/>
      <c r="AJ433" s="269"/>
      <c r="AK433" s="269"/>
      <c r="AL433" s="269"/>
      <c r="AM433" s="269"/>
      <c r="AN433" s="269"/>
      <c r="AO433" s="269"/>
      <c r="AP433" s="269"/>
      <c r="AQ433" s="269"/>
      <c r="AR433" s="269"/>
    </row>
    <row r="434">
      <c r="A434" s="410" t="str">
        <f>IFERROR(__xludf.DUMMYFUNCTION("""COMPUTED_VALUE"""),"WO_WFM-OTHERS_20260605_123451564")</f>
        <v>WO_WFM-OTHERS_20260605_123451564</v>
      </c>
      <c r="B434" s="410" t="str">
        <f>IFERROR(__xludf.DUMMYFUNCTION("""COMPUTED_VALUE"""),"TNI0206 MYT_Maintenance_Generator_Cleaning Rediator - MYT_Maintenance_Generator_Checking Coolant Level")</f>
        <v>TNI0206 MYT_Maintenance_Generator_Cleaning Rediator - MYT_Maintenance_Generator_Checking Coolant Level</v>
      </c>
      <c r="C434" s="410">
        <f>IFERROR(__xludf.DUMMYFUNCTION("""COMPUTED_VALUE"""),-280.95)</f>
        <v>-280.95</v>
      </c>
      <c r="D434" s="410" t="str">
        <f>IFERROR(__xludf.DUMMYFUNCTION("""COMPUTED_VALUE"""),"T1")</f>
        <v>T1</v>
      </c>
      <c r="E434" s="410" t="str">
        <f>IFERROR(__xludf.DUMMYFUNCTION("""COMPUTED_VALUE"""),"TNI0381: 8KVA")</f>
        <v>TNI0381: 8KVA</v>
      </c>
      <c r="F434" s="410" t="str">
        <f>IFERROR(__xludf.DUMMYFUNCTION("""COMPUTED_VALUE"""),"myt_tharhtoo.aung11")</f>
        <v>myt_tharhtoo.aung11</v>
      </c>
      <c r="H434" s="269"/>
      <c r="I434" s="269"/>
      <c r="J434" s="269"/>
      <c r="K434" s="269"/>
      <c r="L434" s="269"/>
      <c r="M434" s="269"/>
      <c r="N434" s="269"/>
      <c r="O434" s="269"/>
      <c r="P434" s="269"/>
      <c r="Q434" s="269"/>
      <c r="R434" s="269"/>
      <c r="S434" s="269"/>
      <c r="T434" s="269"/>
      <c r="U434" s="269"/>
      <c r="V434" s="269"/>
      <c r="W434" s="269"/>
      <c r="X434" s="269"/>
      <c r="Y434" s="269"/>
      <c r="Z434" s="269"/>
      <c r="AA434" s="269"/>
      <c r="AB434" s="269"/>
      <c r="AC434" s="269"/>
      <c r="AD434" s="269"/>
      <c r="AE434" s="269"/>
      <c r="AF434" s="269"/>
      <c r="AG434" s="269"/>
      <c r="AH434" s="269"/>
      <c r="AI434" s="269"/>
      <c r="AJ434" s="269"/>
      <c r="AK434" s="269"/>
      <c r="AL434" s="269"/>
      <c r="AM434" s="269"/>
      <c r="AN434" s="269"/>
      <c r="AO434" s="269"/>
      <c r="AP434" s="269"/>
      <c r="AQ434" s="269"/>
      <c r="AR434" s="269"/>
    </row>
    <row r="435">
      <c r="A435" s="410" t="str">
        <f>IFERROR(__xludf.DUMMYFUNCTION("""COMPUTED_VALUE"""),"WO_WFM-OTHERS_20260605_123451356")</f>
        <v>WO_WFM-OTHERS_20260605_123451356</v>
      </c>
      <c r="B435" s="410" t="str">
        <f>IFERROR(__xludf.DUMMYFUNCTION("""COMPUTED_VALUE"""),"TNI0153 MYT_Maintenance_Generator_Cleaning Rediator - MYT_Maintenance_Generator_Checking Coolant Level")</f>
        <v>TNI0153 MYT_Maintenance_Generator_Cleaning Rediator - MYT_Maintenance_Generator_Checking Coolant Level</v>
      </c>
      <c r="C435" s="410">
        <f>IFERROR(__xludf.DUMMYFUNCTION("""COMPUTED_VALUE"""),-280.95)</f>
        <v>-280.95</v>
      </c>
      <c r="D435" s="410" t="str">
        <f>IFERROR(__xludf.DUMMYFUNCTION("""COMPUTED_VALUE"""),"T1")</f>
        <v>T1</v>
      </c>
      <c r="E435" s="410" t="str">
        <f>IFERROR(__xludf.DUMMYFUNCTION("""COMPUTED_VALUE"""),"TNI0381: 8KVA")</f>
        <v>TNI0381: 8KVA</v>
      </c>
      <c r="F435" s="410" t="str">
        <f>IFERROR(__xludf.DUMMYFUNCTION("""COMPUTED_VALUE"""),"myt_tharhtoo.aung11")</f>
        <v>myt_tharhtoo.aung11</v>
      </c>
      <c r="H435" s="269"/>
      <c r="I435" s="269"/>
      <c r="J435" s="269"/>
      <c r="K435" s="269"/>
      <c r="L435" s="269"/>
      <c r="M435" s="269"/>
      <c r="N435" s="269"/>
      <c r="O435" s="269"/>
      <c r="P435" s="269"/>
      <c r="Q435" s="269"/>
      <c r="R435" s="269"/>
      <c r="S435" s="269"/>
      <c r="T435" s="269"/>
      <c r="U435" s="269"/>
      <c r="V435" s="269"/>
      <c r="W435" s="269"/>
      <c r="X435" s="269"/>
      <c r="Y435" s="269"/>
      <c r="Z435" s="269"/>
      <c r="AA435" s="269"/>
      <c r="AB435" s="269"/>
      <c r="AC435" s="269"/>
      <c r="AD435" s="269"/>
      <c r="AE435" s="269"/>
      <c r="AF435" s="269"/>
      <c r="AG435" s="269"/>
      <c r="AH435" s="269"/>
      <c r="AI435" s="269"/>
      <c r="AJ435" s="269"/>
      <c r="AK435" s="269"/>
      <c r="AL435" s="269"/>
      <c r="AM435" s="269"/>
      <c r="AN435" s="269"/>
      <c r="AO435" s="269"/>
      <c r="AP435" s="269"/>
      <c r="AQ435" s="269"/>
      <c r="AR435" s="269"/>
    </row>
    <row r="436">
      <c r="A436" s="410" t="str">
        <f>IFERROR(__xludf.DUMMYFUNCTION("""COMPUTED_VALUE"""),"WO_QLCTKT_20260604_123438289")</f>
        <v>WO_QLCTKT_20260604_123438289</v>
      </c>
      <c r="B436" s="410" t="str">
        <f>IFERROR(__xludf.DUMMYFUNCTION("""COMPUTED_VALUE"""),"TNI0272 MYT_Troubleshooting Solar Power System")</f>
        <v>TNI0272 MYT_Troubleshooting Solar Power System</v>
      </c>
      <c r="C436" s="410">
        <f>IFERROR(__xludf.DUMMYFUNCTION("""COMPUTED_VALUE"""),-520.95)</f>
        <v>-520.95</v>
      </c>
      <c r="D436" s="410" t="str">
        <f>IFERROR(__xludf.DUMMYFUNCTION("""COMPUTED_VALUE"""),"T1")</f>
        <v>T1</v>
      </c>
      <c r="E436" s="410" t="str">
        <f>IFERROR(__xludf.DUMMYFUNCTION("""COMPUTED_VALUE"""),"TNI0272")</f>
        <v>TNI0272</v>
      </c>
      <c r="F436" s="410" t="str">
        <f>IFERROR(__xludf.DUMMYFUNCTION("""COMPUTED_VALUE"""),"myt_tharhtoo.aung11")</f>
        <v>myt_tharhtoo.aung11</v>
      </c>
      <c r="H436" s="269"/>
      <c r="I436" s="269"/>
      <c r="J436" s="269"/>
      <c r="K436" s="269"/>
      <c r="L436" s="269"/>
      <c r="M436" s="269"/>
      <c r="N436" s="269"/>
      <c r="O436" s="269"/>
      <c r="P436" s="269"/>
      <c r="Q436" s="269"/>
      <c r="R436" s="269"/>
      <c r="S436" s="269"/>
      <c r="T436" s="269"/>
      <c r="U436" s="269"/>
      <c r="V436" s="269"/>
      <c r="W436" s="269"/>
      <c r="X436" s="269"/>
      <c r="Y436" s="269"/>
      <c r="Z436" s="269"/>
      <c r="AA436" s="269"/>
      <c r="AB436" s="269"/>
      <c r="AC436" s="269"/>
      <c r="AD436" s="269"/>
      <c r="AE436" s="269"/>
      <c r="AF436" s="269"/>
      <c r="AG436" s="269"/>
      <c r="AH436" s="269"/>
      <c r="AI436" s="269"/>
      <c r="AJ436" s="269"/>
      <c r="AK436" s="269"/>
      <c r="AL436" s="269"/>
      <c r="AM436" s="269"/>
      <c r="AN436" s="269"/>
      <c r="AO436" s="269"/>
      <c r="AP436" s="269"/>
      <c r="AQ436" s="269"/>
      <c r="AR436" s="269"/>
    </row>
    <row r="437">
      <c r="A437" s="410" t="str">
        <f>IFERROR(__xludf.DUMMYFUNCTION("""COMPUTED_VALUE"""),"WO_QLCTKT_20260604_123438229")</f>
        <v>WO_QLCTKT_20260604_123438229</v>
      </c>
      <c r="B437" s="410" t="str">
        <f>IFERROR(__xludf.DUMMYFUNCTION("""COMPUTED_VALUE"""),"TNI0129 MYT_Troubleshooting Solar Power System")</f>
        <v>TNI0129 MYT_Troubleshooting Solar Power System</v>
      </c>
      <c r="C437" s="410">
        <f>IFERROR(__xludf.DUMMYFUNCTION("""COMPUTED_VALUE"""),-520.95)</f>
        <v>-520.95</v>
      </c>
      <c r="D437" s="410" t="str">
        <f>IFERROR(__xludf.DUMMYFUNCTION("""COMPUTED_VALUE"""),"T1")</f>
        <v>T1</v>
      </c>
      <c r="E437" s="410" t="str">
        <f>IFERROR(__xludf.DUMMYFUNCTION("""COMPUTED_VALUE"""),"TNI0129")</f>
        <v>TNI0129</v>
      </c>
      <c r="F437" s="410" t="str">
        <f>IFERROR(__xludf.DUMMYFUNCTION("""COMPUTED_VALUE"""),"myt_tharhtoo.aung11")</f>
        <v>myt_tharhtoo.aung11</v>
      </c>
      <c r="H437" s="269"/>
      <c r="I437" s="269"/>
      <c r="J437" s="269"/>
      <c r="K437" s="269"/>
      <c r="L437" s="269"/>
      <c r="M437" s="269"/>
      <c r="N437" s="269"/>
      <c r="O437" s="269"/>
      <c r="P437" s="269"/>
      <c r="Q437" s="269"/>
      <c r="R437" s="269"/>
      <c r="S437" s="269"/>
      <c r="T437" s="269"/>
      <c r="U437" s="269"/>
      <c r="V437" s="269"/>
      <c r="W437" s="269"/>
      <c r="X437" s="269"/>
      <c r="Y437" s="269"/>
      <c r="Z437" s="269"/>
      <c r="AA437" s="269"/>
      <c r="AB437" s="269"/>
      <c r="AC437" s="269"/>
      <c r="AD437" s="269"/>
      <c r="AE437" s="269"/>
      <c r="AF437" s="269"/>
      <c r="AG437" s="269"/>
      <c r="AH437" s="269"/>
      <c r="AI437" s="269"/>
      <c r="AJ437" s="269"/>
      <c r="AK437" s="269"/>
      <c r="AL437" s="269"/>
      <c r="AM437" s="269"/>
      <c r="AN437" s="269"/>
      <c r="AO437" s="269"/>
      <c r="AP437" s="269"/>
      <c r="AQ437" s="269"/>
      <c r="AR437" s="269"/>
    </row>
    <row r="438">
      <c r="A438" s="410" t="str">
        <f>IFERROR(__xludf.DUMMYFUNCTION("""COMPUTED_VALUE"""),"WO_QLCTKT_20260604_123438233")</f>
        <v>WO_QLCTKT_20260604_123438233</v>
      </c>
      <c r="B438" s="410" t="str">
        <f>IFERROR(__xludf.DUMMYFUNCTION("""COMPUTED_VALUE"""),"TNI0153 MYT_Troubleshooting Solar Power System")</f>
        <v>TNI0153 MYT_Troubleshooting Solar Power System</v>
      </c>
      <c r="C438" s="410">
        <f>IFERROR(__xludf.DUMMYFUNCTION("""COMPUTED_VALUE"""),-520.95)</f>
        <v>-520.95</v>
      </c>
      <c r="D438" s="410" t="str">
        <f>IFERROR(__xludf.DUMMYFUNCTION("""COMPUTED_VALUE"""),"T1")</f>
        <v>T1</v>
      </c>
      <c r="E438" s="410" t="str">
        <f>IFERROR(__xludf.DUMMYFUNCTION("""COMPUTED_VALUE"""),"TNI0153")</f>
        <v>TNI0153</v>
      </c>
      <c r="F438" s="410" t="str">
        <f>IFERROR(__xludf.DUMMYFUNCTION("""COMPUTED_VALUE"""),"myt_tharhtoo.aung11")</f>
        <v>myt_tharhtoo.aung11</v>
      </c>
      <c r="H438" s="269"/>
      <c r="I438" s="269"/>
      <c r="J438" s="269"/>
      <c r="K438" s="269"/>
      <c r="L438" s="269"/>
      <c r="M438" s="269"/>
      <c r="N438" s="269"/>
      <c r="O438" s="269"/>
      <c r="P438" s="269"/>
      <c r="Q438" s="269"/>
      <c r="R438" s="269"/>
      <c r="S438" s="269"/>
      <c r="T438" s="269"/>
      <c r="U438" s="269"/>
      <c r="V438" s="269"/>
      <c r="W438" s="269"/>
      <c r="X438" s="269"/>
      <c r="Y438" s="269"/>
      <c r="Z438" s="269"/>
      <c r="AA438" s="269"/>
      <c r="AB438" s="269"/>
      <c r="AC438" s="269"/>
      <c r="AD438" s="269"/>
      <c r="AE438" s="269"/>
      <c r="AF438" s="269"/>
      <c r="AG438" s="269"/>
      <c r="AH438" s="269"/>
      <c r="AI438" s="269"/>
      <c r="AJ438" s="269"/>
      <c r="AK438" s="269"/>
      <c r="AL438" s="269"/>
      <c r="AM438" s="269"/>
      <c r="AN438" s="269"/>
      <c r="AO438" s="269"/>
      <c r="AP438" s="269"/>
      <c r="AQ438" s="269"/>
      <c r="AR438" s="269"/>
    </row>
    <row r="439">
      <c r="A439" s="410" t="str">
        <f>IFERROR(__xludf.DUMMYFUNCTION("""COMPUTED_VALUE"""),"WO_QLCTKT_20260531_123407571")</f>
        <v>WO_QLCTKT_20260531_123407571</v>
      </c>
      <c r="B439" s="410" t="str">
        <f>IFERROR(__xludf.DUMMYFUNCTION("""COMPUTED_VALUE"""),"TNI0129 MYT_Maintenance_Generator_Change_Oil - MYT_Checking quality for DG Fuel")</f>
        <v>TNI0129 MYT_Maintenance_Generator_Change_Oil - MYT_Checking quality for DG Fuel</v>
      </c>
      <c r="C439" s="410">
        <f>IFERROR(__xludf.DUMMYFUNCTION("""COMPUTED_VALUE"""),-640.95)</f>
        <v>-640.95</v>
      </c>
      <c r="D439" s="410" t="str">
        <f>IFERROR(__xludf.DUMMYFUNCTION("""COMPUTED_VALUE"""),"T1")</f>
        <v>T1</v>
      </c>
      <c r="E439" s="410" t="str">
        <f>IFERROR(__xludf.DUMMYFUNCTION("""COMPUTED_VALUE"""),"TNI0129: 8KVA")</f>
        <v>TNI0129: 8KVA</v>
      </c>
      <c r="F439" s="410" t="str">
        <f>IFERROR(__xludf.DUMMYFUNCTION("""COMPUTED_VALUE"""),"myt_tharhtoo.aung11")</f>
        <v>myt_tharhtoo.aung11</v>
      </c>
      <c r="H439" s="269"/>
      <c r="I439" s="269"/>
      <c r="J439" s="269"/>
      <c r="K439" s="269"/>
      <c r="L439" s="269"/>
      <c r="M439" s="269"/>
      <c r="N439" s="269"/>
      <c r="O439" s="269"/>
      <c r="P439" s="269"/>
      <c r="Q439" s="269"/>
      <c r="R439" s="269"/>
      <c r="S439" s="269"/>
      <c r="T439" s="269"/>
      <c r="U439" s="269"/>
      <c r="V439" s="269"/>
      <c r="W439" s="269"/>
      <c r="X439" s="269"/>
      <c r="Y439" s="269"/>
      <c r="Z439" s="269"/>
      <c r="AA439" s="269"/>
      <c r="AB439" s="269"/>
      <c r="AC439" s="269"/>
      <c r="AD439" s="269"/>
      <c r="AE439" s="269"/>
      <c r="AF439" s="269"/>
      <c r="AG439" s="269"/>
      <c r="AH439" s="269"/>
      <c r="AI439" s="269"/>
      <c r="AJ439" s="269"/>
      <c r="AK439" s="269"/>
      <c r="AL439" s="269"/>
      <c r="AM439" s="269"/>
      <c r="AN439" s="269"/>
      <c r="AO439" s="269"/>
      <c r="AP439" s="269"/>
      <c r="AQ439" s="269"/>
      <c r="AR439" s="269"/>
    </row>
    <row r="440">
      <c r="A440" s="410" t="str">
        <f>IFERROR(__xludf.DUMMYFUNCTION("""COMPUTED_VALUE"""),"WO_QLCTKT_20260529_123389764")</f>
        <v>WO_QLCTKT_20260529_123389764</v>
      </c>
      <c r="B440" s="410" t="str">
        <f>IFERROR(__xludf.DUMMYFUNCTION("""COMPUTED_VALUE"""),"TNI0206 MYT_Routine_Maintenance_Mytel_Station_VCM")</f>
        <v>TNI0206 MYT_Routine_Maintenance_Mytel_Station_VCM</v>
      </c>
      <c r="C440" s="410">
        <f>IFERROR(__xludf.DUMMYFUNCTION("""COMPUTED_VALUE"""),223.05)</f>
        <v>223.05</v>
      </c>
      <c r="D440" s="410" t="str">
        <f>IFERROR(__xludf.DUMMYFUNCTION("""COMPUTED_VALUE"""),"T1")</f>
        <v>T1</v>
      </c>
      <c r="E440" s="410" t="str">
        <f>IFERROR(__xludf.DUMMYFUNCTION("""COMPUTED_VALUE"""),"TNI0206")</f>
        <v>TNI0206</v>
      </c>
      <c r="F440" s="410" t="str">
        <f>IFERROR(__xludf.DUMMYFUNCTION("""COMPUTED_VALUE"""),"myt_tharhtoo.aung11")</f>
        <v>myt_tharhtoo.aung11</v>
      </c>
      <c r="H440" s="269"/>
      <c r="I440" s="269"/>
      <c r="J440" s="269"/>
      <c r="K440" s="269"/>
      <c r="L440" s="269"/>
      <c r="M440" s="269"/>
      <c r="N440" s="269"/>
      <c r="O440" s="269"/>
      <c r="P440" s="269"/>
      <c r="Q440" s="269"/>
      <c r="R440" s="269"/>
      <c r="S440" s="269"/>
      <c r="T440" s="269"/>
      <c r="U440" s="269"/>
      <c r="V440" s="269"/>
      <c r="W440" s="269"/>
      <c r="X440" s="269"/>
      <c r="Y440" s="269"/>
      <c r="Z440" s="269"/>
      <c r="AA440" s="269"/>
      <c r="AB440" s="269"/>
      <c r="AC440" s="269"/>
      <c r="AD440" s="269"/>
      <c r="AE440" s="269"/>
      <c r="AF440" s="269"/>
      <c r="AG440" s="269"/>
      <c r="AH440" s="269"/>
      <c r="AI440" s="269"/>
      <c r="AJ440" s="269"/>
      <c r="AK440" s="269"/>
      <c r="AL440" s="269"/>
      <c r="AM440" s="269"/>
      <c r="AN440" s="269"/>
      <c r="AO440" s="269"/>
      <c r="AP440" s="269"/>
      <c r="AQ440" s="269"/>
      <c r="AR440" s="269"/>
    </row>
    <row r="441">
      <c r="A441" s="410" t="str">
        <f>IFERROR(__xludf.DUMMYFUNCTION("""COMPUTED_VALUE"""),"WO_QLCTKT_20260529_123389690")</f>
        <v>WO_QLCTKT_20260529_123389690</v>
      </c>
      <c r="B441" s="410" t="str">
        <f>IFERROR(__xludf.DUMMYFUNCTION("""COMPUTED_VALUE"""),"TNI0153 MYT_Routine_Maintenance_Mytel_Station_VCM")</f>
        <v>TNI0153 MYT_Routine_Maintenance_Mytel_Station_VCM</v>
      </c>
      <c r="C441" s="410">
        <f>IFERROR(__xludf.DUMMYFUNCTION("""COMPUTED_VALUE"""),223.05)</f>
        <v>223.05</v>
      </c>
      <c r="D441" s="410" t="str">
        <f>IFERROR(__xludf.DUMMYFUNCTION("""COMPUTED_VALUE"""),"T1")</f>
        <v>T1</v>
      </c>
      <c r="E441" s="410" t="str">
        <f>IFERROR(__xludf.DUMMYFUNCTION("""COMPUTED_VALUE"""),"TNI0153")</f>
        <v>TNI0153</v>
      </c>
      <c r="F441" s="410" t="str">
        <f>IFERROR(__xludf.DUMMYFUNCTION("""COMPUTED_VALUE"""),"myt_tharhtoo.aung11")</f>
        <v>myt_tharhtoo.aung11</v>
      </c>
      <c r="H441" s="269"/>
      <c r="I441" s="269"/>
      <c r="J441" s="269"/>
      <c r="K441" s="269"/>
      <c r="L441" s="269"/>
      <c r="M441" s="269"/>
      <c r="N441" s="269"/>
      <c r="O441" s="269"/>
      <c r="P441" s="269"/>
      <c r="Q441" s="269"/>
      <c r="R441" s="269"/>
      <c r="S441" s="269"/>
      <c r="T441" s="269"/>
      <c r="U441" s="269"/>
      <c r="V441" s="269"/>
      <c r="W441" s="269"/>
      <c r="X441" s="269"/>
      <c r="Y441" s="269"/>
      <c r="Z441" s="269"/>
      <c r="AA441" s="269"/>
      <c r="AB441" s="269"/>
      <c r="AC441" s="269"/>
      <c r="AD441" s="269"/>
      <c r="AE441" s="269"/>
      <c r="AF441" s="269"/>
      <c r="AG441" s="269"/>
      <c r="AH441" s="269"/>
      <c r="AI441" s="269"/>
      <c r="AJ441" s="269"/>
      <c r="AK441" s="269"/>
      <c r="AL441" s="269"/>
      <c r="AM441" s="269"/>
      <c r="AN441" s="269"/>
      <c r="AO441" s="269"/>
      <c r="AP441" s="269"/>
      <c r="AQ441" s="269"/>
      <c r="AR441" s="269"/>
    </row>
    <row r="442">
      <c r="A442" s="410" t="str">
        <f>IFERROR(__xludf.DUMMYFUNCTION("""COMPUTED_VALUE"""),"WO_QLCTKT_20260524_123348547")</f>
        <v>WO_QLCTKT_20260524_123348547</v>
      </c>
      <c r="B442" s="410" t="str">
        <f>IFERROR(__xludf.DUMMYFUNCTION("""COMPUTED_VALUE"""),"TNI0314 MYT_Maintenance_Generator_Change_Oil - MYT_Maintenance_Generator_Change_Oil_Filter - MYT_Checking quality for DG Fuel")</f>
        <v>TNI0314 MYT_Maintenance_Generator_Change_Oil - MYT_Maintenance_Generator_Change_Oil_Filter - MYT_Checking quality for DG Fuel</v>
      </c>
      <c r="C442" s="410">
        <f>IFERROR(__xludf.DUMMYFUNCTION("""COMPUTED_VALUE"""),-808.95)</f>
        <v>-808.95</v>
      </c>
      <c r="D442" s="410" t="str">
        <f>IFERROR(__xludf.DUMMYFUNCTION("""COMPUTED_VALUE"""),"T1")</f>
        <v>T1</v>
      </c>
      <c r="E442" s="410" t="str">
        <f>IFERROR(__xludf.DUMMYFUNCTION("""COMPUTED_VALUE"""),"TNI0314: 30KVA")</f>
        <v>TNI0314: 30KVA</v>
      </c>
      <c r="F442" s="410" t="str">
        <f>IFERROR(__xludf.DUMMYFUNCTION("""COMPUTED_VALUE"""),"myt_tharhtoo.aung11")</f>
        <v>myt_tharhtoo.aung11</v>
      </c>
      <c r="H442" s="269"/>
      <c r="I442" s="269"/>
      <c r="J442" s="269"/>
      <c r="K442" s="269"/>
      <c r="L442" s="269"/>
      <c r="M442" s="269"/>
      <c r="N442" s="269"/>
      <c r="O442" s="269"/>
      <c r="P442" s="269"/>
      <c r="Q442" s="269"/>
      <c r="R442" s="269"/>
      <c r="S442" s="269"/>
      <c r="T442" s="269"/>
      <c r="U442" s="269"/>
      <c r="V442" s="269"/>
      <c r="W442" s="269"/>
      <c r="X442" s="269"/>
      <c r="Y442" s="269"/>
      <c r="Z442" s="269"/>
      <c r="AA442" s="269"/>
      <c r="AB442" s="269"/>
      <c r="AC442" s="269"/>
      <c r="AD442" s="269"/>
      <c r="AE442" s="269"/>
      <c r="AF442" s="269"/>
      <c r="AG442" s="269"/>
      <c r="AH442" s="269"/>
      <c r="AI442" s="269"/>
      <c r="AJ442" s="269"/>
      <c r="AK442" s="269"/>
      <c r="AL442" s="269"/>
      <c r="AM442" s="269"/>
      <c r="AN442" s="269"/>
      <c r="AO442" s="269"/>
      <c r="AP442" s="269"/>
      <c r="AQ442" s="269"/>
      <c r="AR442" s="269"/>
    </row>
    <row r="443">
      <c r="A443" s="410" t="str">
        <f>IFERROR(__xludf.DUMMYFUNCTION("""COMPUTED_VALUE"""),"WO_QLCTKT_20260521_123329986")</f>
        <v>WO_QLCTKT_20260521_123329986</v>
      </c>
      <c r="B443" s="410" t="str">
        <f>IFERROR(__xludf.DUMMYFUNCTION("""COMPUTED_VALUE"""),"TNI0006 - Repair infrastructure - bla: Install the Equipment: Install the Solar system")</f>
        <v>TNI0006 - Repair infrastructure - bla: Install the Equipment: Install the Solar system</v>
      </c>
      <c r="C443" s="410">
        <f>IFERROR(__xludf.DUMMYFUNCTION("""COMPUTED_VALUE"""),-672.82)</f>
        <v>-672.82</v>
      </c>
      <c r="D443" s="410" t="str">
        <f>IFERROR(__xludf.DUMMYFUNCTION("""COMPUTED_VALUE"""),"T1")</f>
        <v>T1</v>
      </c>
      <c r="E443" s="410" t="str">
        <f>IFERROR(__xludf.DUMMYFUNCTION("""COMPUTED_VALUE"""),"TNI0006")</f>
        <v>TNI0006</v>
      </c>
      <c r="F443" s="410" t="str">
        <f>IFERROR(__xludf.DUMMYFUNCTION("""COMPUTED_VALUE"""),"myt_tharhtoo.aung11")</f>
        <v>myt_tharhtoo.aung11</v>
      </c>
      <c r="H443" s="269"/>
      <c r="I443" s="269"/>
      <c r="J443" s="269"/>
      <c r="K443" s="269"/>
      <c r="L443" s="269"/>
      <c r="M443" s="269"/>
      <c r="N443" s="269"/>
      <c r="O443" s="269"/>
      <c r="P443" s="269"/>
      <c r="Q443" s="269"/>
      <c r="R443" s="269"/>
      <c r="S443" s="269"/>
      <c r="T443" s="269"/>
      <c r="U443" s="269"/>
      <c r="V443" s="269"/>
      <c r="W443" s="269"/>
      <c r="X443" s="269"/>
      <c r="Y443" s="269"/>
      <c r="Z443" s="269"/>
      <c r="AA443" s="269"/>
      <c r="AB443" s="269"/>
      <c r="AC443" s="269"/>
      <c r="AD443" s="269"/>
      <c r="AE443" s="269"/>
      <c r="AF443" s="269"/>
      <c r="AG443" s="269"/>
      <c r="AH443" s="269"/>
      <c r="AI443" s="269"/>
      <c r="AJ443" s="269"/>
      <c r="AK443" s="269"/>
      <c r="AL443" s="269"/>
      <c r="AM443" s="269"/>
      <c r="AN443" s="269"/>
      <c r="AO443" s="269"/>
      <c r="AP443" s="269"/>
      <c r="AQ443" s="269"/>
      <c r="AR443" s="269"/>
    </row>
    <row r="444">
      <c r="A444" s="410" t="str">
        <f>IFERROR(__xludf.DUMMYFUNCTION("""COMPUTED_VALUE"""),"WO_QLCTKT_20260518_123298460")</f>
        <v>WO_QLCTKT_20260518_123298460</v>
      </c>
      <c r="B444" s="410" t="str">
        <f>IFERROR(__xludf.DUMMYFUNCTION("""COMPUTED_VALUE"""),"TNI0150 Bảo dưỡng hạ tầng nhà trạm")</f>
        <v>TNI0150 Bảo dưỡng hạ tầng nhà trạm</v>
      </c>
      <c r="C444" s="410">
        <f>IFERROR(__xludf.DUMMYFUNCTION("""COMPUTED_VALUE"""),-32.49)</f>
        <v>-32.49</v>
      </c>
      <c r="D444" s="410" t="str">
        <f>IFERROR(__xludf.DUMMYFUNCTION("""COMPUTED_VALUE"""),"T1")</f>
        <v>T1</v>
      </c>
      <c r="E444" s="410" t="str">
        <f>IFERROR(__xludf.DUMMYFUNCTION("""COMPUTED_VALUE"""),"TNI0150")</f>
        <v>TNI0150</v>
      </c>
      <c r="F444" s="410" t="str">
        <f>IFERROR(__xludf.DUMMYFUNCTION("""COMPUTED_VALUE"""),"myt_tharhtoo.aung11")</f>
        <v>myt_tharhtoo.aung11</v>
      </c>
      <c r="H444" s="269"/>
      <c r="I444" s="269"/>
      <c r="J444" s="269"/>
      <c r="K444" s="269"/>
      <c r="L444" s="269"/>
      <c r="M444" s="269"/>
      <c r="N444" s="269"/>
      <c r="O444" s="269"/>
      <c r="P444" s="269"/>
      <c r="Q444" s="269"/>
      <c r="R444" s="269"/>
      <c r="S444" s="269"/>
      <c r="T444" s="269"/>
      <c r="U444" s="269"/>
      <c r="V444" s="269"/>
      <c r="W444" s="269"/>
      <c r="X444" s="269"/>
      <c r="Y444" s="269"/>
      <c r="Z444" s="269"/>
      <c r="AA444" s="269"/>
      <c r="AB444" s="269"/>
      <c r="AC444" s="269"/>
      <c r="AD444" s="269"/>
      <c r="AE444" s="269"/>
      <c r="AF444" s="269"/>
      <c r="AG444" s="269"/>
      <c r="AH444" s="269"/>
      <c r="AI444" s="269"/>
      <c r="AJ444" s="269"/>
      <c r="AK444" s="269"/>
      <c r="AL444" s="269"/>
      <c r="AM444" s="269"/>
      <c r="AN444" s="269"/>
      <c r="AO444" s="269"/>
      <c r="AP444" s="269"/>
      <c r="AQ444" s="269"/>
      <c r="AR444" s="269"/>
    </row>
    <row r="445">
      <c r="A445" s="410" t="str">
        <f>IFERROR(__xludf.DUMMYFUNCTION("""COMPUTED_VALUE"""),"WO_QLCTKT_20260516_123282802")</f>
        <v>WO_QLCTKT_20260516_123282802</v>
      </c>
      <c r="B445" s="410" t="str">
        <f>IFERROR(__xludf.DUMMYFUNCTION("""COMPUTED_VALUE"""),"TNI0129 MYT_Maintenance_Generator_Change_Oil - MYT_Maintenance_Generator_Change_Oil_Filter - MYT_Maintenance_Generator_Change_Fuel_Filter - MYT_Maintenance_Generator_Change_Air_Filter, Clean Radiator and Clean Engine Room - MYT_Checking quality for DG Fue"&amp;"l")</f>
        <v>TNI0129 MYT_Maintenance_Generator_Change_Oil - MYT_Maintenance_Generator_Change_Oil_Filter - MYT_Maintenance_Generator_Change_Fuel_Filter - MYT_Maintenance_Generator_Change_Air_Filter, Clean Radiator and Clean Engine Room - MYT_Checking quality for DG Fuel</v>
      </c>
      <c r="C445" s="410">
        <f>IFERROR(__xludf.DUMMYFUNCTION("""COMPUTED_VALUE"""),-1000.95)</f>
        <v>-1000.95</v>
      </c>
      <c r="D445" s="410" t="str">
        <f>IFERROR(__xludf.DUMMYFUNCTION("""COMPUTED_VALUE"""),"T1")</f>
        <v>T1</v>
      </c>
      <c r="E445" s="410" t="str">
        <f>IFERROR(__xludf.DUMMYFUNCTION("""COMPUTED_VALUE"""),"TNI0129: 8KVA")</f>
        <v>TNI0129: 8KVA</v>
      </c>
      <c r="F445" s="410" t="str">
        <f>IFERROR(__xludf.DUMMYFUNCTION("""COMPUTED_VALUE"""),"myt_tharhtoo.aung11")</f>
        <v>myt_tharhtoo.aung11</v>
      </c>
      <c r="H445" s="269"/>
      <c r="I445" s="269"/>
      <c r="J445" s="269"/>
      <c r="K445" s="269"/>
      <c r="L445" s="269"/>
      <c r="M445" s="269"/>
      <c r="N445" s="269"/>
      <c r="O445" s="269"/>
      <c r="P445" s="269"/>
      <c r="Q445" s="269"/>
      <c r="R445" s="269"/>
      <c r="S445" s="269"/>
      <c r="T445" s="269"/>
      <c r="U445" s="269"/>
      <c r="V445" s="269"/>
      <c r="W445" s="269"/>
      <c r="X445" s="269"/>
      <c r="Y445" s="269"/>
      <c r="Z445" s="269"/>
      <c r="AA445" s="269"/>
      <c r="AB445" s="269"/>
      <c r="AC445" s="269"/>
      <c r="AD445" s="269"/>
      <c r="AE445" s="269"/>
      <c r="AF445" s="269"/>
      <c r="AG445" s="269"/>
      <c r="AH445" s="269"/>
      <c r="AI445" s="269"/>
      <c r="AJ445" s="269"/>
      <c r="AK445" s="269"/>
      <c r="AL445" s="269"/>
      <c r="AM445" s="269"/>
      <c r="AN445" s="269"/>
      <c r="AO445" s="269"/>
      <c r="AP445" s="269"/>
      <c r="AQ445" s="269"/>
      <c r="AR445" s="269"/>
    </row>
    <row r="446">
      <c r="A446" s="410" t="str">
        <f>IFERROR(__xludf.DUMMYFUNCTION("""COMPUTED_VALUE"""),"WO_QLCTKT_20260516_123282507")</f>
        <v>WO_QLCTKT_20260516_123282507</v>
      </c>
      <c r="B446" s="410" t="str">
        <f>IFERROR(__xludf.DUMMYFUNCTION("""COMPUTED_VALUE"""),"TNI0351 MYT_Maintenance_Generator_Change_Oil - MYT_Maintenance_Generator_Change_Oil_Filter - MYT_Maintenance_Generator_Change_Fuel_Filter - MYT_Checking quality for DG Fuel")</f>
        <v>TNI0351 MYT_Maintenance_Generator_Change_Oil - MYT_Maintenance_Generator_Change_Oil_Filter - MYT_Maintenance_Generator_Change_Fuel_Filter - MYT_Checking quality for DG Fuel</v>
      </c>
      <c r="C446" s="410">
        <f>IFERROR(__xludf.DUMMYFUNCTION("""COMPUTED_VALUE"""),-1000.95)</f>
        <v>-1000.95</v>
      </c>
      <c r="D446" s="410" t="str">
        <f>IFERROR(__xludf.DUMMYFUNCTION("""COMPUTED_VALUE"""),"T1")</f>
        <v>T1</v>
      </c>
      <c r="E446" s="410" t="str">
        <f>IFERROR(__xludf.DUMMYFUNCTION("""COMPUTED_VALUE"""),"TNI0351: 12DKVA")</f>
        <v>TNI0351: 12DKVA</v>
      </c>
      <c r="F446" s="410" t="str">
        <f>IFERROR(__xludf.DUMMYFUNCTION("""COMPUTED_VALUE"""),"myt_tharhtoo.aung11")</f>
        <v>myt_tharhtoo.aung11</v>
      </c>
      <c r="H446" s="269"/>
      <c r="I446" s="269"/>
      <c r="J446" s="269"/>
      <c r="K446" s="269"/>
      <c r="L446" s="269"/>
      <c r="M446" s="269"/>
      <c r="N446" s="269"/>
      <c r="O446" s="269"/>
      <c r="P446" s="269"/>
      <c r="Q446" s="269"/>
      <c r="R446" s="269"/>
      <c r="S446" s="269"/>
      <c r="T446" s="269"/>
      <c r="U446" s="269"/>
      <c r="V446" s="269"/>
      <c r="W446" s="269"/>
      <c r="X446" s="269"/>
      <c r="Y446" s="269"/>
      <c r="Z446" s="269"/>
      <c r="AA446" s="269"/>
      <c r="AB446" s="269"/>
      <c r="AC446" s="269"/>
      <c r="AD446" s="269"/>
      <c r="AE446" s="269"/>
      <c r="AF446" s="269"/>
      <c r="AG446" s="269"/>
      <c r="AH446" s="269"/>
      <c r="AI446" s="269"/>
      <c r="AJ446" s="269"/>
      <c r="AK446" s="269"/>
      <c r="AL446" s="269"/>
      <c r="AM446" s="269"/>
      <c r="AN446" s="269"/>
      <c r="AO446" s="269"/>
      <c r="AP446" s="269"/>
      <c r="AQ446" s="269"/>
      <c r="AR446" s="269"/>
    </row>
    <row r="447">
      <c r="A447" s="410" t="str">
        <f>IFERROR(__xludf.DUMMYFUNCTION("""COMPUTED_VALUE"""),"WO_QLCTKT_20260509_123225930")</f>
        <v>WO_QLCTKT_20260509_123225930</v>
      </c>
      <c r="B447" s="410" t="str">
        <f>IFERROR(__xludf.DUMMYFUNCTION("""COMPUTED_VALUE"""),"TNI0351 MYT_Routine_Maintenance_Towerco_Station_VCM")</f>
        <v>TNI0351 MYT_Routine_Maintenance_Towerco_Station_VCM</v>
      </c>
      <c r="C447" s="410">
        <f>IFERROR(__xludf.DUMMYFUNCTION("""COMPUTED_VALUE"""),-256.95)</f>
        <v>-256.95</v>
      </c>
      <c r="D447" s="410" t="str">
        <f>IFERROR(__xludf.DUMMYFUNCTION("""COMPUTED_VALUE"""),"T1")</f>
        <v>T1</v>
      </c>
      <c r="E447" s="410" t="str">
        <f>IFERROR(__xludf.DUMMYFUNCTION("""COMPUTED_VALUE"""),"TNI0351")</f>
        <v>TNI0351</v>
      </c>
      <c r="F447" s="410" t="str">
        <f>IFERROR(__xludf.DUMMYFUNCTION("""COMPUTED_VALUE"""),"myt_tharhtoo.aung11")</f>
        <v>myt_tharhtoo.aung11</v>
      </c>
      <c r="H447" s="269"/>
      <c r="I447" s="269"/>
      <c r="J447" s="269"/>
      <c r="K447" s="269"/>
      <c r="L447" s="269"/>
      <c r="M447" s="269"/>
      <c r="N447" s="269"/>
      <c r="O447" s="269"/>
      <c r="P447" s="269"/>
      <c r="Q447" s="269"/>
      <c r="R447" s="269"/>
      <c r="S447" s="269"/>
      <c r="T447" s="269"/>
      <c r="U447" s="269"/>
      <c r="V447" s="269"/>
      <c r="W447" s="269"/>
      <c r="X447" s="269"/>
      <c r="Y447" s="269"/>
      <c r="Z447" s="269"/>
      <c r="AA447" s="269"/>
      <c r="AB447" s="269"/>
      <c r="AC447" s="269"/>
      <c r="AD447" s="269"/>
      <c r="AE447" s="269"/>
      <c r="AF447" s="269"/>
      <c r="AG447" s="269"/>
      <c r="AH447" s="269"/>
      <c r="AI447" s="269"/>
      <c r="AJ447" s="269"/>
      <c r="AK447" s="269"/>
      <c r="AL447" s="269"/>
      <c r="AM447" s="269"/>
      <c r="AN447" s="269"/>
      <c r="AO447" s="269"/>
      <c r="AP447" s="269"/>
      <c r="AQ447" s="269"/>
      <c r="AR447" s="269"/>
    </row>
    <row r="448">
      <c r="A448" s="410" t="str">
        <f>IFERROR(__xludf.DUMMYFUNCTION("""COMPUTED_VALUE"""),"WO_QLCTKT_20260426_123105079")</f>
        <v>WO_QLCTKT_20260426_123105079</v>
      </c>
      <c r="B448" s="410" t="str">
        <f>IFERROR(__xludf.DUMMYFUNCTION("""COMPUTED_VALUE"""),"TNI0314 MYT_Maintenance_Generator_Change_Oil - MYT_Maintenance_Generator_Change_Oil_Filter - MYT_Maintenance_Generator_Change_Fuel_Filter - MYT_Maintenance_Generator_Change_Air_Filter and Clean_Radiator - MYT_Checking quality for DG Fuel")</f>
        <v>TNI0314 MYT_Maintenance_Generator_Change_Oil - MYT_Maintenance_Generator_Change_Oil_Filter - MYT_Maintenance_Generator_Change_Fuel_Filter - MYT_Maintenance_Generator_Change_Air_Filter and Clean_Radiator - MYT_Checking quality for DG Fuel</v>
      </c>
      <c r="C448" s="410">
        <f>IFERROR(__xludf.DUMMYFUNCTION("""COMPUTED_VALUE"""),-1480.95)</f>
        <v>-1480.95</v>
      </c>
      <c r="D448" s="410" t="str">
        <f>IFERROR(__xludf.DUMMYFUNCTION("""COMPUTED_VALUE"""),"T1")</f>
        <v>T1</v>
      </c>
      <c r="E448" s="410" t="str">
        <f>IFERROR(__xludf.DUMMYFUNCTION("""COMPUTED_VALUE"""),"TNI0314: 30KVA")</f>
        <v>TNI0314: 30KVA</v>
      </c>
      <c r="F448" s="410" t="str">
        <f>IFERROR(__xludf.DUMMYFUNCTION("""COMPUTED_VALUE"""),"myt_tharhtoo.aung11")</f>
        <v>myt_tharhtoo.aung11</v>
      </c>
      <c r="H448" s="269"/>
      <c r="I448" s="269"/>
      <c r="J448" s="269"/>
      <c r="K448" s="269"/>
      <c r="L448" s="269"/>
      <c r="M448" s="269"/>
      <c r="N448" s="269"/>
      <c r="O448" s="269"/>
      <c r="P448" s="269"/>
      <c r="Q448" s="269"/>
      <c r="R448" s="269"/>
      <c r="S448" s="269"/>
      <c r="T448" s="269"/>
      <c r="U448" s="269"/>
      <c r="V448" s="269"/>
      <c r="W448" s="269"/>
      <c r="X448" s="269"/>
      <c r="Y448" s="269"/>
      <c r="Z448" s="269"/>
      <c r="AA448" s="269"/>
      <c r="AB448" s="269"/>
      <c r="AC448" s="269"/>
      <c r="AD448" s="269"/>
      <c r="AE448" s="269"/>
      <c r="AF448" s="269"/>
      <c r="AG448" s="269"/>
      <c r="AH448" s="269"/>
      <c r="AI448" s="269"/>
      <c r="AJ448" s="269"/>
      <c r="AK448" s="269"/>
      <c r="AL448" s="269"/>
      <c r="AM448" s="269"/>
      <c r="AN448" s="269"/>
      <c r="AO448" s="269"/>
      <c r="AP448" s="269"/>
      <c r="AQ448" s="269"/>
      <c r="AR448" s="269"/>
    </row>
    <row r="449">
      <c r="A449" s="410" t="str">
        <f>IFERROR(__xludf.DUMMYFUNCTION("""COMPUTED_VALUE"""),"WO_QLCTKT_20260422_123061452")</f>
        <v>WO_QLCTKT_20260422_123061452</v>
      </c>
      <c r="B449" s="410" t="str">
        <f>IFERROR(__xludf.DUMMYFUNCTION("""COMPUTED_VALUE"""),"TNI0351 MYT_Maintenance_Generator_Change_Oil - MYT_Maintenance_Generator_Change_Oil_Filter - MYT_Maintenance_Generator_Change_Fuel_Filter - MYT_Maintenance_Generator_Coolant_Water - MYT_Maintenance_Generator_Change_Air_Filter and Clean_Radiator - MYT_Chec"&amp;"king quality for DG Fuel")</f>
        <v>TNI0351 MYT_Maintenance_Generator_Change_Oil - MYT_Maintenance_Generator_Change_Oil_Filter - MYT_Maintenance_Generator_Change_Fuel_Filter - MYT_Maintenance_Generator_Coolant_Water - MYT_Maintenance_Generator_Change_Air_Filter and Clean_Radiator - MYT_Checking quality for DG Fuel</v>
      </c>
      <c r="C449" s="410">
        <f>IFERROR(__xludf.DUMMYFUNCTION("""COMPUTED_VALUE"""),-1576.95)</f>
        <v>-1576.95</v>
      </c>
      <c r="D449" s="410" t="str">
        <f>IFERROR(__xludf.DUMMYFUNCTION("""COMPUTED_VALUE"""),"T1")</f>
        <v>T1</v>
      </c>
      <c r="E449" s="410" t="str">
        <f>IFERROR(__xludf.DUMMYFUNCTION("""COMPUTED_VALUE"""),"TNI0351: 12DKVA")</f>
        <v>TNI0351: 12DKVA</v>
      </c>
      <c r="F449" s="410" t="str">
        <f>IFERROR(__xludf.DUMMYFUNCTION("""COMPUTED_VALUE"""),"myt_tharhtoo.aung11")</f>
        <v>myt_tharhtoo.aung11</v>
      </c>
      <c r="H449" s="269"/>
      <c r="I449" s="269"/>
      <c r="J449" s="269"/>
      <c r="K449" s="269"/>
      <c r="L449" s="269"/>
      <c r="M449" s="269"/>
      <c r="N449" s="269"/>
      <c r="O449" s="269"/>
      <c r="P449" s="269"/>
      <c r="Q449" s="269"/>
      <c r="R449" s="269"/>
      <c r="S449" s="269"/>
      <c r="T449" s="269"/>
      <c r="U449" s="269"/>
      <c r="V449" s="269"/>
      <c r="W449" s="269"/>
      <c r="X449" s="269"/>
      <c r="Y449" s="269"/>
      <c r="Z449" s="269"/>
      <c r="AA449" s="269"/>
      <c r="AB449" s="269"/>
      <c r="AC449" s="269"/>
      <c r="AD449" s="269"/>
      <c r="AE449" s="269"/>
      <c r="AF449" s="269"/>
      <c r="AG449" s="269"/>
      <c r="AH449" s="269"/>
      <c r="AI449" s="269"/>
      <c r="AJ449" s="269"/>
      <c r="AK449" s="269"/>
      <c r="AL449" s="269"/>
      <c r="AM449" s="269"/>
      <c r="AN449" s="269"/>
      <c r="AO449" s="269"/>
      <c r="AP449" s="269"/>
      <c r="AQ449" s="269"/>
      <c r="AR449" s="269"/>
    </row>
    <row r="450">
      <c r="A450" s="410" t="str">
        <f>IFERROR(__xludf.DUMMYFUNCTION("""COMPUTED_VALUE"""),"WO_QLCTKT_20260421_123050637")</f>
        <v>WO_QLCTKT_20260421_123050637</v>
      </c>
      <c r="B450" s="410" t="str">
        <f>IFERROR(__xludf.DUMMYFUNCTION("""COMPUTED_VALUE"""),"TNI0185 MYT_Maintenacne_Solar")</f>
        <v>TNI0185 MYT_Maintenacne_Solar</v>
      </c>
      <c r="C450" s="410">
        <f>IFERROR(__xludf.DUMMYFUNCTION("""COMPUTED_VALUE"""),-1048.95)</f>
        <v>-1048.95</v>
      </c>
      <c r="D450" s="410" t="str">
        <f>IFERROR(__xludf.DUMMYFUNCTION("""COMPUTED_VALUE"""),"T1")</f>
        <v>T1</v>
      </c>
      <c r="E450" s="410" t="str">
        <f>IFERROR(__xludf.DUMMYFUNCTION("""COMPUTED_VALUE"""),"TNI0185")</f>
        <v>TNI0185</v>
      </c>
      <c r="F450" s="410" t="str">
        <f>IFERROR(__xludf.DUMMYFUNCTION("""COMPUTED_VALUE"""),"myt_tharhtoo.aung11")</f>
        <v>myt_tharhtoo.aung11</v>
      </c>
      <c r="H450" s="269"/>
      <c r="I450" s="269"/>
      <c r="J450" s="269"/>
      <c r="K450" s="269"/>
      <c r="L450" s="269"/>
      <c r="M450" s="269"/>
      <c r="N450" s="269"/>
      <c r="O450" s="269"/>
      <c r="P450" s="269"/>
      <c r="Q450" s="269"/>
      <c r="R450" s="269"/>
      <c r="S450" s="269"/>
      <c r="T450" s="269"/>
      <c r="U450" s="269"/>
      <c r="V450" s="269"/>
      <c r="W450" s="269"/>
      <c r="X450" s="269"/>
      <c r="Y450" s="269"/>
      <c r="Z450" s="269"/>
      <c r="AA450" s="269"/>
      <c r="AB450" s="269"/>
      <c r="AC450" s="269"/>
      <c r="AD450" s="269"/>
      <c r="AE450" s="269"/>
      <c r="AF450" s="269"/>
      <c r="AG450" s="269"/>
      <c r="AH450" s="269"/>
      <c r="AI450" s="269"/>
      <c r="AJ450" s="269"/>
      <c r="AK450" s="269"/>
      <c r="AL450" s="269"/>
      <c r="AM450" s="269"/>
      <c r="AN450" s="269"/>
      <c r="AO450" s="269"/>
      <c r="AP450" s="269"/>
      <c r="AQ450" s="269"/>
      <c r="AR450" s="269"/>
    </row>
    <row r="451">
      <c r="A451" s="410" t="str">
        <f>IFERROR(__xludf.DUMMYFUNCTION("""COMPUTED_VALUE"""),"WO_QLCTKT_20260421_123048219")</f>
        <v>WO_QLCTKT_20260421_123048219</v>
      </c>
      <c r="B451" s="410" t="str">
        <f>IFERROR(__xludf.DUMMYFUNCTION("""COMPUTED_VALUE"""),"TNI0231 MYT_Maintenacne_Solar")</f>
        <v>TNI0231 MYT_Maintenacne_Solar</v>
      </c>
      <c r="C451" s="410">
        <f>IFERROR(__xludf.DUMMYFUNCTION("""COMPUTED_VALUE"""),-1048.95)</f>
        <v>-1048.95</v>
      </c>
      <c r="D451" s="410" t="str">
        <f>IFERROR(__xludf.DUMMYFUNCTION("""COMPUTED_VALUE"""),"T1")</f>
        <v>T1</v>
      </c>
      <c r="E451" s="410" t="str">
        <f>IFERROR(__xludf.DUMMYFUNCTION("""COMPUTED_VALUE"""),"TNI0231")</f>
        <v>TNI0231</v>
      </c>
      <c r="F451" s="410" t="str">
        <f>IFERROR(__xludf.DUMMYFUNCTION("""COMPUTED_VALUE"""),"myt_tharhtoo.aung11")</f>
        <v>myt_tharhtoo.aung11</v>
      </c>
      <c r="H451" s="269"/>
      <c r="I451" s="269"/>
      <c r="J451" s="269"/>
      <c r="K451" s="269"/>
      <c r="L451" s="269"/>
      <c r="M451" s="269"/>
      <c r="N451" s="269"/>
      <c r="O451" s="269"/>
      <c r="P451" s="269"/>
      <c r="Q451" s="269"/>
      <c r="R451" s="269"/>
      <c r="S451" s="269"/>
      <c r="T451" s="269"/>
      <c r="U451" s="269"/>
      <c r="V451" s="269"/>
      <c r="W451" s="269"/>
      <c r="X451" s="269"/>
      <c r="Y451" s="269"/>
      <c r="Z451" s="269"/>
      <c r="AA451" s="269"/>
      <c r="AB451" s="269"/>
      <c r="AC451" s="269"/>
      <c r="AD451" s="269"/>
      <c r="AE451" s="269"/>
      <c r="AF451" s="269"/>
      <c r="AG451" s="269"/>
      <c r="AH451" s="269"/>
      <c r="AI451" s="269"/>
      <c r="AJ451" s="269"/>
      <c r="AK451" s="269"/>
      <c r="AL451" s="269"/>
      <c r="AM451" s="269"/>
      <c r="AN451" s="269"/>
      <c r="AO451" s="269"/>
      <c r="AP451" s="269"/>
      <c r="AQ451" s="269"/>
      <c r="AR451" s="269"/>
    </row>
    <row r="452">
      <c r="A452" s="410" t="str">
        <f>IFERROR(__xludf.DUMMYFUNCTION("""COMPUTED_VALUE"""),"WO_QLCTKT_20260421_123047251")</f>
        <v>WO_QLCTKT_20260421_123047251</v>
      </c>
      <c r="B452" s="410" t="str">
        <f>IFERROR(__xludf.DUMMYFUNCTION("""COMPUTED_VALUE"""),"TNI0043 MYT_Maintenacne_Solar")</f>
        <v>TNI0043 MYT_Maintenacne_Solar</v>
      </c>
      <c r="C452" s="410">
        <f>IFERROR(__xludf.DUMMYFUNCTION("""COMPUTED_VALUE"""),-1048.95)</f>
        <v>-1048.95</v>
      </c>
      <c r="D452" s="410" t="str">
        <f>IFERROR(__xludf.DUMMYFUNCTION("""COMPUTED_VALUE"""),"T1")</f>
        <v>T1</v>
      </c>
      <c r="E452" s="410" t="str">
        <f>IFERROR(__xludf.DUMMYFUNCTION("""COMPUTED_VALUE"""),"TNI0043")</f>
        <v>TNI0043</v>
      </c>
      <c r="F452" s="410" t="str">
        <f>IFERROR(__xludf.DUMMYFUNCTION("""COMPUTED_VALUE"""),"myt_tharhtoo.aung11")</f>
        <v>myt_tharhtoo.aung11</v>
      </c>
      <c r="H452" s="269"/>
      <c r="I452" s="269"/>
      <c r="J452" s="269"/>
      <c r="K452" s="269"/>
      <c r="L452" s="269"/>
      <c r="M452" s="269"/>
      <c r="N452" s="269"/>
      <c r="O452" s="269"/>
      <c r="P452" s="269"/>
      <c r="Q452" s="269"/>
      <c r="R452" s="269"/>
      <c r="S452" s="269"/>
      <c r="T452" s="269"/>
      <c r="U452" s="269"/>
      <c r="V452" s="269"/>
      <c r="W452" s="269"/>
      <c r="X452" s="269"/>
      <c r="Y452" s="269"/>
      <c r="Z452" s="269"/>
      <c r="AA452" s="269"/>
      <c r="AB452" s="269"/>
      <c r="AC452" s="269"/>
      <c r="AD452" s="269"/>
      <c r="AE452" s="269"/>
      <c r="AF452" s="269"/>
      <c r="AG452" s="269"/>
      <c r="AH452" s="269"/>
      <c r="AI452" s="269"/>
      <c r="AJ452" s="269"/>
      <c r="AK452" s="269"/>
      <c r="AL452" s="269"/>
      <c r="AM452" s="269"/>
      <c r="AN452" s="269"/>
      <c r="AO452" s="269"/>
      <c r="AP452" s="269"/>
      <c r="AQ452" s="269"/>
      <c r="AR452" s="269"/>
    </row>
    <row r="453">
      <c r="A453" s="410" t="str">
        <f>IFERROR(__xludf.DUMMYFUNCTION("""COMPUTED_VALUE"""),"WO_QLCTKT_20260411_122972128")</f>
        <v>WO_QLCTKT_20260411_122972128</v>
      </c>
      <c r="B453" s="410" t="str">
        <f>IFERROR(__xludf.DUMMYFUNCTION("""COMPUTED_VALUE"""),"TNI0284 MYT_Maintenance_Generator_Change_Oil - MYT_Checking quality for DG Fuel")</f>
        <v>TNI0284 MYT_Maintenance_Generator_Change_Oil - MYT_Checking quality for DG Fuel</v>
      </c>
      <c r="C453" s="410">
        <f>IFERROR(__xludf.DUMMYFUNCTION("""COMPUTED_VALUE"""),-1840.95)</f>
        <v>-1840.95</v>
      </c>
      <c r="D453" s="410" t="str">
        <f>IFERROR(__xludf.DUMMYFUNCTION("""COMPUTED_VALUE"""),"T1")</f>
        <v>T1</v>
      </c>
      <c r="E453" s="410" t="str">
        <f>IFERROR(__xludf.DUMMYFUNCTION("""COMPUTED_VALUE"""),"TNI0284: 12KVA")</f>
        <v>TNI0284: 12KVA</v>
      </c>
      <c r="F453" s="410" t="str">
        <f>IFERROR(__xludf.DUMMYFUNCTION("""COMPUTED_VALUE"""),"myt_tharhtoo.aung11")</f>
        <v>myt_tharhtoo.aung11</v>
      </c>
      <c r="H453" s="269"/>
      <c r="I453" s="269"/>
      <c r="J453" s="269"/>
      <c r="K453" s="269"/>
      <c r="L453" s="269"/>
      <c r="M453" s="269"/>
      <c r="N453" s="269"/>
      <c r="O453" s="269"/>
      <c r="P453" s="269"/>
      <c r="Q453" s="269"/>
      <c r="R453" s="269"/>
      <c r="S453" s="269"/>
      <c r="T453" s="269"/>
      <c r="U453" s="269"/>
      <c r="V453" s="269"/>
      <c r="W453" s="269"/>
      <c r="X453" s="269"/>
      <c r="Y453" s="269"/>
      <c r="Z453" s="269"/>
      <c r="AA453" s="269"/>
      <c r="AB453" s="269"/>
      <c r="AC453" s="269"/>
      <c r="AD453" s="269"/>
      <c r="AE453" s="269"/>
      <c r="AF453" s="269"/>
      <c r="AG453" s="269"/>
      <c r="AH453" s="269"/>
      <c r="AI453" s="269"/>
      <c r="AJ453" s="269"/>
      <c r="AK453" s="269"/>
      <c r="AL453" s="269"/>
      <c r="AM453" s="269"/>
      <c r="AN453" s="269"/>
      <c r="AO453" s="269"/>
      <c r="AP453" s="269"/>
      <c r="AQ453" s="269"/>
      <c r="AR453" s="269"/>
    </row>
    <row r="454">
      <c r="A454" s="410" t="str">
        <f>IFERROR(__xludf.DUMMYFUNCTION("""COMPUTED_VALUE"""),"WO_QLCTKT_20260408_122933332")</f>
        <v>WO_QLCTKT_20260408_122933332</v>
      </c>
      <c r="B454" s="410" t="str">
        <f>IFERROR(__xludf.DUMMYFUNCTION("""COMPUTED_VALUE"""),"TNI0153_01 MYT_Routine_Maintenance_Towerco_Station_VCM")</f>
        <v>TNI0153_01 MYT_Routine_Maintenance_Towerco_Station_VCM</v>
      </c>
      <c r="C454" s="410">
        <f>IFERROR(__xludf.DUMMYFUNCTION("""COMPUTED_VALUE"""),-1000.95)</f>
        <v>-1000.95</v>
      </c>
      <c r="D454" s="410" t="str">
        <f>IFERROR(__xludf.DUMMYFUNCTION("""COMPUTED_VALUE"""),"T1")</f>
        <v>T1</v>
      </c>
      <c r="E454" s="410" t="str">
        <f>IFERROR(__xludf.DUMMYFUNCTION("""COMPUTED_VALUE"""),"TNI0153")</f>
        <v>TNI0153</v>
      </c>
      <c r="F454" s="410" t="str">
        <f>IFERROR(__xludf.DUMMYFUNCTION("""COMPUTED_VALUE"""),"myt_tharhtoo.aung11")</f>
        <v>myt_tharhtoo.aung11</v>
      </c>
      <c r="H454" s="269"/>
      <c r="I454" s="269"/>
      <c r="J454" s="269"/>
      <c r="K454" s="269"/>
      <c r="L454" s="269"/>
      <c r="M454" s="269"/>
      <c r="N454" s="269"/>
      <c r="O454" s="269"/>
      <c r="P454" s="269"/>
      <c r="Q454" s="269"/>
      <c r="R454" s="269"/>
      <c r="S454" s="269"/>
      <c r="T454" s="269"/>
      <c r="U454" s="269"/>
      <c r="V454" s="269"/>
      <c r="W454" s="269"/>
      <c r="X454" s="269"/>
      <c r="Y454" s="269"/>
      <c r="Z454" s="269"/>
      <c r="AA454" s="269"/>
      <c r="AB454" s="269"/>
      <c r="AC454" s="269"/>
      <c r="AD454" s="269"/>
      <c r="AE454" s="269"/>
      <c r="AF454" s="269"/>
      <c r="AG454" s="269"/>
      <c r="AH454" s="269"/>
      <c r="AI454" s="269"/>
      <c r="AJ454" s="269"/>
      <c r="AK454" s="269"/>
      <c r="AL454" s="269"/>
      <c r="AM454" s="269"/>
      <c r="AN454" s="269"/>
      <c r="AO454" s="269"/>
      <c r="AP454" s="269"/>
      <c r="AQ454" s="269"/>
      <c r="AR454" s="269"/>
    </row>
    <row r="455">
      <c r="A455" s="410" t="str">
        <f>IFERROR(__xludf.DUMMYFUNCTION("""COMPUTED_VALUE"""),"WO_QLCTKT_20260408_122933226")</f>
        <v>WO_QLCTKT_20260408_122933226</v>
      </c>
      <c r="B455" s="410" t="str">
        <f>IFERROR(__xludf.DUMMYFUNCTION("""COMPUTED_VALUE"""),"TNI0283 MYT_Routine_Maintenance_Towerco_Station_VCM")</f>
        <v>TNI0283 MYT_Routine_Maintenance_Towerco_Station_VCM</v>
      </c>
      <c r="C455" s="410">
        <f>IFERROR(__xludf.DUMMYFUNCTION("""COMPUTED_VALUE"""),-1000.95)</f>
        <v>-1000.95</v>
      </c>
      <c r="D455" s="410" t="str">
        <f>IFERROR(__xludf.DUMMYFUNCTION("""COMPUTED_VALUE"""),"T1")</f>
        <v>T1</v>
      </c>
      <c r="E455" s="410" t="str">
        <f>IFERROR(__xludf.DUMMYFUNCTION("""COMPUTED_VALUE"""),"TNI0283")</f>
        <v>TNI0283</v>
      </c>
      <c r="F455" s="410" t="str">
        <f>IFERROR(__xludf.DUMMYFUNCTION("""COMPUTED_VALUE"""),"myt_tharhtoo.aung11")</f>
        <v>myt_tharhtoo.aung11</v>
      </c>
      <c r="H455" s="269"/>
      <c r="I455" s="269"/>
      <c r="J455" s="269"/>
      <c r="K455" s="269"/>
      <c r="L455" s="269"/>
      <c r="M455" s="269"/>
      <c r="N455" s="269"/>
      <c r="O455" s="269"/>
      <c r="P455" s="269"/>
      <c r="Q455" s="269"/>
      <c r="R455" s="269"/>
      <c r="S455" s="269"/>
      <c r="T455" s="269"/>
      <c r="U455" s="269"/>
      <c r="V455" s="269"/>
      <c r="W455" s="269"/>
      <c r="X455" s="269"/>
      <c r="Y455" s="269"/>
      <c r="Z455" s="269"/>
      <c r="AA455" s="269"/>
      <c r="AB455" s="269"/>
      <c r="AC455" s="269"/>
      <c r="AD455" s="269"/>
      <c r="AE455" s="269"/>
      <c r="AF455" s="269"/>
      <c r="AG455" s="269"/>
      <c r="AH455" s="269"/>
      <c r="AI455" s="269"/>
      <c r="AJ455" s="269"/>
      <c r="AK455" s="269"/>
      <c r="AL455" s="269"/>
      <c r="AM455" s="269"/>
      <c r="AN455" s="269"/>
      <c r="AO455" s="269"/>
      <c r="AP455" s="269"/>
      <c r="AQ455" s="269"/>
      <c r="AR455" s="269"/>
    </row>
    <row r="456">
      <c r="A456" s="410" t="str">
        <f>IFERROR(__xludf.DUMMYFUNCTION("""COMPUTED_VALUE"""),"WO_QLCTKT_20260408_122932520")</f>
        <v>WO_QLCTKT_20260408_122932520</v>
      </c>
      <c r="B456" s="410" t="str">
        <f>IFERROR(__xludf.DUMMYFUNCTION("""COMPUTED_VALUE"""),"TNI0498 MYT_Routine_Maintenance_Towerco_Station_VCM")</f>
        <v>TNI0498 MYT_Routine_Maintenance_Towerco_Station_VCM</v>
      </c>
      <c r="C456" s="410">
        <f>IFERROR(__xludf.DUMMYFUNCTION("""COMPUTED_VALUE"""),-1000.95)</f>
        <v>-1000.95</v>
      </c>
      <c r="D456" s="410" t="str">
        <f>IFERROR(__xludf.DUMMYFUNCTION("""COMPUTED_VALUE"""),"T1")</f>
        <v>T1</v>
      </c>
      <c r="E456" s="410" t="str">
        <f>IFERROR(__xludf.DUMMYFUNCTION("""COMPUTED_VALUE"""),"TNI0498")</f>
        <v>TNI0498</v>
      </c>
      <c r="F456" s="410" t="str">
        <f>IFERROR(__xludf.DUMMYFUNCTION("""COMPUTED_VALUE"""),"myt_tharhtoo.aung11")</f>
        <v>myt_tharhtoo.aung11</v>
      </c>
      <c r="H456" s="269"/>
      <c r="I456" s="269"/>
      <c r="J456" s="269"/>
      <c r="K456" s="269"/>
      <c r="L456" s="269"/>
      <c r="M456" s="269"/>
      <c r="N456" s="269"/>
      <c r="O456" s="269"/>
      <c r="P456" s="269"/>
      <c r="Q456" s="269"/>
      <c r="R456" s="269"/>
      <c r="S456" s="269"/>
      <c r="T456" s="269"/>
      <c r="U456" s="269"/>
      <c r="V456" s="269"/>
      <c r="W456" s="269"/>
      <c r="X456" s="269"/>
      <c r="Y456" s="269"/>
      <c r="Z456" s="269"/>
      <c r="AA456" s="269"/>
      <c r="AB456" s="269"/>
      <c r="AC456" s="269"/>
      <c r="AD456" s="269"/>
      <c r="AE456" s="269"/>
      <c r="AF456" s="269"/>
      <c r="AG456" s="269"/>
      <c r="AH456" s="269"/>
      <c r="AI456" s="269"/>
      <c r="AJ456" s="269"/>
      <c r="AK456" s="269"/>
      <c r="AL456" s="269"/>
      <c r="AM456" s="269"/>
      <c r="AN456" s="269"/>
      <c r="AO456" s="269"/>
      <c r="AP456" s="269"/>
      <c r="AQ456" s="269"/>
      <c r="AR456" s="269"/>
    </row>
    <row r="457">
      <c r="A457" s="410" t="str">
        <f>IFERROR(__xludf.DUMMYFUNCTION("""COMPUTED_VALUE"""),"WO_QLCTKT_20260402_122825649")</f>
        <v>WO_QLCTKT_20260402_122825649</v>
      </c>
      <c r="B457" s="410" t="str">
        <f>IFERROR(__xludf.DUMMYFUNCTION("""COMPUTED_VALUE"""),"TNI0129 MYT_Maintenance_Generator_Change_Oil - MYT_Checking quality for DG Fuel")</f>
        <v>TNI0129 MYT_Maintenance_Generator_Change_Oil - MYT_Checking quality for DG Fuel</v>
      </c>
      <c r="C457" s="410">
        <f>IFERROR(__xludf.DUMMYFUNCTION("""COMPUTED_VALUE"""),-1995.95)</f>
        <v>-1995.95</v>
      </c>
      <c r="D457" s="410" t="str">
        <f>IFERROR(__xludf.DUMMYFUNCTION("""COMPUTED_VALUE"""),"T1")</f>
        <v>T1</v>
      </c>
      <c r="E457" s="410" t="str">
        <f>IFERROR(__xludf.DUMMYFUNCTION("""COMPUTED_VALUE"""),"TNI0129: 8KVA")</f>
        <v>TNI0129: 8KVA</v>
      </c>
      <c r="F457" s="410" t="str">
        <f>IFERROR(__xludf.DUMMYFUNCTION("""COMPUTED_VALUE"""),"myt_tharhtoo.aung11")</f>
        <v>myt_tharhtoo.aung11</v>
      </c>
      <c r="H457" s="269"/>
      <c r="I457" s="269"/>
      <c r="J457" s="269"/>
      <c r="K457" s="269"/>
      <c r="L457" s="269"/>
      <c r="M457" s="269"/>
      <c r="N457" s="269"/>
      <c r="O457" s="269"/>
      <c r="P457" s="269"/>
      <c r="Q457" s="269"/>
      <c r="R457" s="269"/>
      <c r="S457" s="269"/>
      <c r="T457" s="269"/>
      <c r="U457" s="269"/>
      <c r="V457" s="269"/>
      <c r="W457" s="269"/>
      <c r="X457" s="269"/>
      <c r="Y457" s="269"/>
      <c r="Z457" s="269"/>
      <c r="AA457" s="269"/>
      <c r="AB457" s="269"/>
      <c r="AC457" s="269"/>
      <c r="AD457" s="269"/>
      <c r="AE457" s="269"/>
      <c r="AF457" s="269"/>
      <c r="AG457" s="269"/>
      <c r="AH457" s="269"/>
      <c r="AI457" s="269"/>
      <c r="AJ457" s="269"/>
      <c r="AK457" s="269"/>
      <c r="AL457" s="269"/>
      <c r="AM457" s="269"/>
      <c r="AN457" s="269"/>
      <c r="AO457" s="269"/>
      <c r="AP457" s="269"/>
      <c r="AQ457" s="269"/>
      <c r="AR457" s="269"/>
    </row>
    <row r="458">
      <c r="A458" s="410" t="str">
        <f>IFERROR(__xludf.DUMMYFUNCTION("""COMPUTED_VALUE"""),"WO_QLCTKT_20260402_122825604")</f>
        <v>WO_QLCTKT_20260402_122825604</v>
      </c>
      <c r="B458" s="410" t="str">
        <f>IFERROR(__xludf.DUMMYFUNCTION("""COMPUTED_VALUE"""),"TNI0006 MYT_Maintenance_Generator_Change_Oil - MYT_Maintenance_Generator_Change_Oil_Filter - MYT_Maintenance_Generator_Change_Fuel_Filter - MYT_Maintenance_Generator_Change_Air_Filter and Clean_Radiator - MYT_Checking quality for DG Fuel")</f>
        <v>TNI0006 MYT_Maintenance_Generator_Change_Oil - MYT_Maintenance_Generator_Change_Oil_Filter - MYT_Maintenance_Generator_Change_Fuel_Filter - MYT_Maintenance_Generator_Change_Air_Filter and Clean_Radiator - MYT_Checking quality for DG Fuel</v>
      </c>
      <c r="C458" s="410">
        <f>IFERROR(__xludf.DUMMYFUNCTION("""COMPUTED_VALUE"""),-1995.95)</f>
        <v>-1995.95</v>
      </c>
      <c r="D458" s="410" t="str">
        <f>IFERROR(__xludf.DUMMYFUNCTION("""COMPUTED_VALUE"""),"T1")</f>
        <v>T1</v>
      </c>
      <c r="E458" s="410" t="str">
        <f>IFERROR(__xludf.DUMMYFUNCTION("""COMPUTED_VALUE"""),"TNI0006: 30KVA")</f>
        <v>TNI0006: 30KVA</v>
      </c>
      <c r="F458" s="410" t="str">
        <f>IFERROR(__xludf.DUMMYFUNCTION("""COMPUTED_VALUE"""),"myt_tharhtoo.aung11")</f>
        <v>myt_tharhtoo.aung11</v>
      </c>
      <c r="H458" s="269"/>
      <c r="I458" s="269"/>
      <c r="J458" s="269"/>
      <c r="K458" s="269"/>
      <c r="L458" s="269"/>
      <c r="M458" s="269"/>
      <c r="N458" s="269"/>
      <c r="O458" s="269"/>
      <c r="P458" s="269"/>
      <c r="Q458" s="269"/>
      <c r="R458" s="269"/>
      <c r="S458" s="269"/>
      <c r="T458" s="269"/>
      <c r="U458" s="269"/>
      <c r="V458" s="269"/>
      <c r="W458" s="269"/>
      <c r="X458" s="269"/>
      <c r="Y458" s="269"/>
      <c r="Z458" s="269"/>
      <c r="AA458" s="269"/>
      <c r="AB458" s="269"/>
      <c r="AC458" s="269"/>
      <c r="AD458" s="269"/>
      <c r="AE458" s="269"/>
      <c r="AF458" s="269"/>
      <c r="AG458" s="269"/>
      <c r="AH458" s="269"/>
      <c r="AI458" s="269"/>
      <c r="AJ458" s="269"/>
      <c r="AK458" s="269"/>
      <c r="AL458" s="269"/>
      <c r="AM458" s="269"/>
      <c r="AN458" s="269"/>
      <c r="AO458" s="269"/>
      <c r="AP458" s="269"/>
      <c r="AQ458" s="269"/>
      <c r="AR458" s="269"/>
    </row>
    <row r="459">
      <c r="A459" s="410" t="str">
        <f>IFERROR(__xludf.DUMMYFUNCTION("""COMPUTED_VALUE"""),"WO_QLCTKT_20260330_122772154")</f>
        <v>WO_QLCTKT_20260330_122772154</v>
      </c>
      <c r="B459" s="410" t="str">
        <f>IFERROR(__xludf.DUMMYFUNCTION("""COMPUTED_VALUE"""),"TNI0220 MYT_Routine_Maintenance_Mytel_Station_VCM")</f>
        <v>TNI0220 MYT_Routine_Maintenance_Mytel_Station_VCM</v>
      </c>
      <c r="C459" s="410">
        <f>IFERROR(__xludf.DUMMYFUNCTION("""COMPUTED_VALUE"""),-1100.45)</f>
        <v>-1100.45</v>
      </c>
      <c r="D459" s="410" t="str">
        <f>IFERROR(__xludf.DUMMYFUNCTION("""COMPUTED_VALUE"""),"T1")</f>
        <v>T1</v>
      </c>
      <c r="E459" s="410" t="str">
        <f>IFERROR(__xludf.DUMMYFUNCTION("""COMPUTED_VALUE"""),"TNI0220")</f>
        <v>TNI0220</v>
      </c>
      <c r="F459" s="410" t="str">
        <f>IFERROR(__xludf.DUMMYFUNCTION("""COMPUTED_VALUE"""),"myt_tharhtoo.aung11")</f>
        <v>myt_tharhtoo.aung11</v>
      </c>
      <c r="H459" s="269"/>
      <c r="I459" s="269"/>
      <c r="J459" s="269"/>
      <c r="K459" s="269"/>
      <c r="L459" s="269"/>
      <c r="M459" s="269"/>
      <c r="N459" s="269"/>
      <c r="O459" s="269"/>
      <c r="P459" s="269"/>
      <c r="Q459" s="269"/>
      <c r="R459" s="269"/>
      <c r="S459" s="269"/>
      <c r="T459" s="269"/>
      <c r="U459" s="269"/>
      <c r="V459" s="269"/>
      <c r="W459" s="269"/>
      <c r="X459" s="269"/>
      <c r="Y459" s="269"/>
      <c r="Z459" s="269"/>
      <c r="AA459" s="269"/>
      <c r="AB459" s="269"/>
      <c r="AC459" s="269"/>
      <c r="AD459" s="269"/>
      <c r="AE459" s="269"/>
      <c r="AF459" s="269"/>
      <c r="AG459" s="269"/>
      <c r="AH459" s="269"/>
      <c r="AI459" s="269"/>
      <c r="AJ459" s="269"/>
      <c r="AK459" s="269"/>
      <c r="AL459" s="269"/>
      <c r="AM459" s="269"/>
      <c r="AN459" s="269"/>
      <c r="AO459" s="269"/>
      <c r="AP459" s="269"/>
      <c r="AQ459" s="269"/>
      <c r="AR459" s="269"/>
    </row>
    <row r="460">
      <c r="A460" s="410" t="str">
        <f>IFERROR(__xludf.DUMMYFUNCTION("""COMPUTED_VALUE"""),"WO_QLCTKT_20260330_122772147")</f>
        <v>WO_QLCTKT_20260330_122772147</v>
      </c>
      <c r="B460" s="410" t="str">
        <f>IFERROR(__xludf.DUMMYFUNCTION("""COMPUTED_VALUE"""),"TNI0206 MYT_Routine_Maintenance_Mytel_Station_VCM")</f>
        <v>TNI0206 MYT_Routine_Maintenance_Mytel_Station_VCM</v>
      </c>
      <c r="C460" s="410">
        <f>IFERROR(__xludf.DUMMYFUNCTION("""COMPUTED_VALUE"""),-1100.45)</f>
        <v>-1100.45</v>
      </c>
      <c r="D460" s="410" t="str">
        <f>IFERROR(__xludf.DUMMYFUNCTION("""COMPUTED_VALUE"""),"T1")</f>
        <v>T1</v>
      </c>
      <c r="E460" s="410" t="str">
        <f>IFERROR(__xludf.DUMMYFUNCTION("""COMPUTED_VALUE"""),"TNI0206")</f>
        <v>TNI0206</v>
      </c>
      <c r="F460" s="410" t="str">
        <f>IFERROR(__xludf.DUMMYFUNCTION("""COMPUTED_VALUE"""),"myt_tharhtoo.aung11")</f>
        <v>myt_tharhtoo.aung11</v>
      </c>
      <c r="H460" s="269"/>
      <c r="I460" s="269"/>
      <c r="J460" s="269"/>
      <c r="K460" s="269"/>
      <c r="L460" s="269"/>
      <c r="M460" s="269"/>
      <c r="N460" s="269"/>
      <c r="O460" s="269"/>
      <c r="P460" s="269"/>
      <c r="Q460" s="269"/>
      <c r="R460" s="269"/>
      <c r="S460" s="269"/>
      <c r="T460" s="269"/>
      <c r="U460" s="269"/>
      <c r="V460" s="269"/>
      <c r="W460" s="269"/>
      <c r="X460" s="269"/>
      <c r="Y460" s="269"/>
      <c r="Z460" s="269"/>
      <c r="AA460" s="269"/>
      <c r="AB460" s="269"/>
      <c r="AC460" s="269"/>
      <c r="AD460" s="269"/>
      <c r="AE460" s="269"/>
      <c r="AF460" s="269"/>
      <c r="AG460" s="269"/>
      <c r="AH460" s="269"/>
      <c r="AI460" s="269"/>
      <c r="AJ460" s="269"/>
      <c r="AK460" s="269"/>
      <c r="AL460" s="269"/>
      <c r="AM460" s="269"/>
      <c r="AN460" s="269"/>
      <c r="AO460" s="269"/>
      <c r="AP460" s="269"/>
      <c r="AQ460" s="269"/>
      <c r="AR460" s="269"/>
    </row>
    <row r="461">
      <c r="A461" s="410" t="str">
        <f>IFERROR(__xludf.DUMMYFUNCTION("""COMPUTED_VALUE"""),"WO_QLCTKT_20260330_122772089")</f>
        <v>WO_QLCTKT_20260330_122772089</v>
      </c>
      <c r="B461" s="410" t="str">
        <f>IFERROR(__xludf.DUMMYFUNCTION("""COMPUTED_VALUE"""),"TNI0153 MYT_Routine_Maintenance_Mytel_Station_VCM")</f>
        <v>TNI0153 MYT_Routine_Maintenance_Mytel_Station_VCM</v>
      </c>
      <c r="C461" s="410">
        <f>IFERROR(__xludf.DUMMYFUNCTION("""COMPUTED_VALUE"""),-1100.45)</f>
        <v>-1100.45</v>
      </c>
      <c r="D461" s="410" t="str">
        <f>IFERROR(__xludf.DUMMYFUNCTION("""COMPUTED_VALUE"""),"T1")</f>
        <v>T1</v>
      </c>
      <c r="E461" s="410" t="str">
        <f>IFERROR(__xludf.DUMMYFUNCTION("""COMPUTED_VALUE"""),"TNI0153")</f>
        <v>TNI0153</v>
      </c>
      <c r="F461" s="410" t="str">
        <f>IFERROR(__xludf.DUMMYFUNCTION("""COMPUTED_VALUE"""),"myt_tharhtoo.aung11")</f>
        <v>myt_tharhtoo.aung11</v>
      </c>
      <c r="H461" s="269"/>
      <c r="I461" s="269"/>
      <c r="J461" s="269"/>
      <c r="K461" s="269"/>
      <c r="L461" s="269"/>
      <c r="M461" s="269"/>
      <c r="N461" s="269"/>
      <c r="O461" s="269"/>
      <c r="P461" s="269"/>
      <c r="Q461" s="269"/>
      <c r="R461" s="269"/>
      <c r="S461" s="269"/>
      <c r="T461" s="269"/>
      <c r="U461" s="269"/>
      <c r="V461" s="269"/>
      <c r="W461" s="269"/>
      <c r="X461" s="269"/>
      <c r="Y461" s="269"/>
      <c r="Z461" s="269"/>
      <c r="AA461" s="269"/>
      <c r="AB461" s="269"/>
      <c r="AC461" s="269"/>
      <c r="AD461" s="269"/>
      <c r="AE461" s="269"/>
      <c r="AF461" s="269"/>
      <c r="AG461" s="269"/>
      <c r="AH461" s="269"/>
      <c r="AI461" s="269"/>
      <c r="AJ461" s="269"/>
      <c r="AK461" s="269"/>
      <c r="AL461" s="269"/>
      <c r="AM461" s="269"/>
      <c r="AN461" s="269"/>
      <c r="AO461" s="269"/>
      <c r="AP461" s="269"/>
      <c r="AQ461" s="269"/>
      <c r="AR461" s="269"/>
    </row>
    <row r="462">
      <c r="A462" s="410" t="str">
        <f>IFERROR(__xludf.DUMMYFUNCTION("""COMPUTED_VALUE"""),"WO_ICMS_20260701_123690041")</f>
        <v>WO_ICMS_20260701_123690041</v>
      </c>
      <c r="B462" s="410" t="str">
        <f>IFERROR(__xludf.DUMMYFUNCTION("""COMPUTED_VALUE"""),"TNI0015 MYT_Checking quality for DG Fuel MYT_ME_DG_CHECK_FUEL; MYT_Maintenance_Generator_Change_Fuel_Filter MYT_ME_DG_CHG_FUEL_FIL; MYT_Maintenance_Generator_Change_Oil MYT_ME_DG_CHG_OIL; MYT_Maintenance_Generator_Change_Oil_Filter MYT_ME_DG_CHG_OIL_FIL")</f>
        <v>TNI0015 MYT_Checking quality for DG Fuel MYT_ME_DG_CHECK_FUEL; MYT_Maintenance_Generator_Change_Fuel_Filter MYT_ME_DG_CHG_FUEL_FIL; MYT_Maintenance_Generator_Change_Oil MYT_ME_DG_CHG_OIL; MYT_Maintenance_Generator_Change_Oil_Filter MYT_ME_DG_CHG_OIL_FIL</v>
      </c>
      <c r="C462" s="410">
        <f>IFERROR(__xludf.DUMMYFUNCTION("""COMPUTED_VALUE"""),234.08)</f>
        <v>234.08</v>
      </c>
      <c r="D462" s="410" t="str">
        <f>IFERROR(__xludf.DUMMYFUNCTION("""COMPUTED_VALUE"""),"T4")</f>
        <v>T4</v>
      </c>
      <c r="E462" s="410" t="str">
        <f>IFERROR(__xludf.DUMMYFUNCTION("""COMPUTED_VALUE"""),"TNI0015: 12KVA")</f>
        <v>TNI0015: 12KVA</v>
      </c>
      <c r="F462" s="410" t="str">
        <f>IFERROR(__xludf.DUMMYFUNCTION("""COMPUTED_VALUE"""),"myt_tinmaung.win")</f>
        <v>myt_tinmaung.win</v>
      </c>
      <c r="H462" s="269"/>
      <c r="I462" s="269"/>
      <c r="J462" s="269"/>
      <c r="K462" s="269"/>
      <c r="L462" s="269"/>
      <c r="M462" s="269"/>
      <c r="N462" s="269"/>
      <c r="O462" s="269"/>
      <c r="P462" s="269"/>
      <c r="Q462" s="269"/>
      <c r="R462" s="269"/>
      <c r="S462" s="269"/>
      <c r="T462" s="269"/>
      <c r="U462" s="269"/>
      <c r="V462" s="269"/>
      <c r="W462" s="269"/>
      <c r="X462" s="269"/>
      <c r="Y462" s="269"/>
      <c r="Z462" s="269"/>
      <c r="AA462" s="269"/>
      <c r="AB462" s="269"/>
      <c r="AC462" s="269"/>
      <c r="AD462" s="269"/>
      <c r="AE462" s="269"/>
      <c r="AF462" s="269"/>
      <c r="AG462" s="269"/>
      <c r="AH462" s="269"/>
      <c r="AI462" s="269"/>
      <c r="AJ462" s="269"/>
      <c r="AK462" s="269"/>
      <c r="AL462" s="269"/>
      <c r="AM462" s="269"/>
      <c r="AN462" s="269"/>
      <c r="AO462" s="269"/>
      <c r="AP462" s="269"/>
      <c r="AQ462" s="269"/>
      <c r="AR462" s="269"/>
    </row>
    <row r="463">
      <c r="A463" s="410" t="str">
        <f>IFERROR(__xludf.DUMMYFUNCTION("""COMPUTED_VALUE"""),"WO_ICMS_20260625_123632714")</f>
        <v>WO_ICMS_20260625_123632714</v>
      </c>
      <c r="B463" s="410" t="str">
        <f>IFERROR(__xludf.DUMMYFUNCTION("""COMPUTED_VALUE"""),"Patrolling cable routes TNI0017-TNI0229_00, TNI0017 + null – TNI0229 + null")</f>
        <v>Patrolling cable routes TNI0017-TNI0229_00, TNI0017 + null – TNI0229 + null</v>
      </c>
      <c r="C463" s="410">
        <f>IFERROR(__xludf.DUMMYFUNCTION("""COMPUTED_VALUE"""),545.66)</f>
        <v>545.66</v>
      </c>
      <c r="D463" s="410" t="str">
        <f>IFERROR(__xludf.DUMMYFUNCTION("""COMPUTED_VALUE"""),"T4")</f>
        <v>T4</v>
      </c>
      <c r="E463" s="410" t="str">
        <f>IFERROR(__xludf.DUMMYFUNCTION("""COMPUTED_VALUE"""),"TNI0017")</f>
        <v>TNI0017</v>
      </c>
      <c r="F463" s="410" t="str">
        <f>IFERROR(__xludf.DUMMYFUNCTION("""COMPUTED_VALUE"""),"myt_tinmaung.win")</f>
        <v>myt_tinmaung.win</v>
      </c>
      <c r="H463" s="269"/>
      <c r="I463" s="269"/>
      <c r="J463" s="269"/>
      <c r="K463" s="269"/>
      <c r="L463" s="269"/>
      <c r="M463" s="269"/>
      <c r="N463" s="269"/>
      <c r="O463" s="269"/>
      <c r="P463" s="269"/>
      <c r="Q463" s="269"/>
      <c r="R463" s="269"/>
      <c r="S463" s="269"/>
      <c r="T463" s="269"/>
      <c r="U463" s="269"/>
      <c r="V463" s="269"/>
      <c r="W463" s="269"/>
      <c r="X463" s="269"/>
      <c r="Y463" s="269"/>
      <c r="Z463" s="269"/>
      <c r="AA463" s="269"/>
      <c r="AB463" s="269"/>
      <c r="AC463" s="269"/>
      <c r="AD463" s="269"/>
      <c r="AE463" s="269"/>
      <c r="AF463" s="269"/>
      <c r="AG463" s="269"/>
      <c r="AH463" s="269"/>
      <c r="AI463" s="269"/>
      <c r="AJ463" s="269"/>
      <c r="AK463" s="269"/>
      <c r="AL463" s="269"/>
      <c r="AM463" s="269"/>
      <c r="AN463" s="269"/>
      <c r="AO463" s="269"/>
      <c r="AP463" s="269"/>
      <c r="AQ463" s="269"/>
      <c r="AR463" s="269"/>
    </row>
    <row r="464">
      <c r="A464" s="410" t="str">
        <f>IFERROR(__xludf.DUMMYFUNCTION("""COMPUTED_VALUE"""),"WO_ICMS_20260625_123632712")</f>
        <v>WO_ICMS_20260625_123632712</v>
      </c>
      <c r="B464" s="410" t="str">
        <f>IFERROR(__xludf.DUMMYFUNCTION("""COMPUTED_VALUE"""),"Patrolling cable routes TNI0011-TNI0016_00, TNI0011 + null – TNI0016 + null")</f>
        <v>Patrolling cable routes TNI0011-TNI0016_00, TNI0011 + null – TNI0016 + null</v>
      </c>
      <c r="C464" s="410">
        <f>IFERROR(__xludf.DUMMYFUNCTION("""COMPUTED_VALUE"""),545.66)</f>
        <v>545.66</v>
      </c>
      <c r="D464" s="410" t="str">
        <f>IFERROR(__xludf.DUMMYFUNCTION("""COMPUTED_VALUE"""),"T4")</f>
        <v>T4</v>
      </c>
      <c r="E464" s="410" t="str">
        <f>IFERROR(__xludf.DUMMYFUNCTION("""COMPUTED_VALUE"""),"TNI0011")</f>
        <v>TNI0011</v>
      </c>
      <c r="F464" s="410" t="str">
        <f>IFERROR(__xludf.DUMMYFUNCTION("""COMPUTED_VALUE"""),"myt_tinmaung.win")</f>
        <v>myt_tinmaung.win</v>
      </c>
      <c r="H464" s="269"/>
      <c r="I464" s="269"/>
      <c r="J464" s="269"/>
      <c r="K464" s="269"/>
      <c r="L464" s="269"/>
      <c r="M464" s="269"/>
      <c r="N464" s="269"/>
      <c r="O464" s="269"/>
      <c r="P464" s="269"/>
      <c r="Q464" s="269"/>
      <c r="R464" s="269"/>
      <c r="S464" s="269"/>
      <c r="T464" s="269"/>
      <c r="U464" s="269"/>
      <c r="V464" s="269"/>
      <c r="W464" s="269"/>
      <c r="X464" s="269"/>
      <c r="Y464" s="269"/>
      <c r="Z464" s="269"/>
      <c r="AA464" s="269"/>
      <c r="AB464" s="269"/>
      <c r="AC464" s="269"/>
      <c r="AD464" s="269"/>
      <c r="AE464" s="269"/>
      <c r="AF464" s="269"/>
      <c r="AG464" s="269"/>
      <c r="AH464" s="269"/>
      <c r="AI464" s="269"/>
      <c r="AJ464" s="269"/>
      <c r="AK464" s="269"/>
      <c r="AL464" s="269"/>
      <c r="AM464" s="269"/>
      <c r="AN464" s="269"/>
      <c r="AO464" s="269"/>
      <c r="AP464" s="269"/>
      <c r="AQ464" s="269"/>
      <c r="AR464" s="269"/>
    </row>
    <row r="465">
      <c r="A465" s="410" t="str">
        <f>IFERROR(__xludf.DUMMYFUNCTION("""COMPUTED_VALUE"""),"WO_ICMS_20260625_123632713")</f>
        <v>WO_ICMS_20260625_123632713</v>
      </c>
      <c r="B465" s="410" t="str">
        <f>IFERROR(__xludf.DUMMYFUNCTION("""COMPUTED_VALUE"""),"Patrolling cable routes TNI0017-TNI0259_00, TNI0017 + null – TNI0259 + null")</f>
        <v>Patrolling cable routes TNI0017-TNI0259_00, TNI0017 + null – TNI0259 + null</v>
      </c>
      <c r="C465" s="410">
        <f>IFERROR(__xludf.DUMMYFUNCTION("""COMPUTED_VALUE"""),545.66)</f>
        <v>545.66</v>
      </c>
      <c r="D465" s="410" t="str">
        <f>IFERROR(__xludf.DUMMYFUNCTION("""COMPUTED_VALUE"""),"T4")</f>
        <v>T4</v>
      </c>
      <c r="E465" s="410" t="str">
        <f>IFERROR(__xludf.DUMMYFUNCTION("""COMPUTED_VALUE"""),"TNI0017")</f>
        <v>TNI0017</v>
      </c>
      <c r="F465" s="410" t="str">
        <f>IFERROR(__xludf.DUMMYFUNCTION("""COMPUTED_VALUE"""),"myt_tinmaung.win")</f>
        <v>myt_tinmaung.win</v>
      </c>
      <c r="H465" s="269"/>
      <c r="I465" s="269"/>
      <c r="J465" s="269"/>
      <c r="K465" s="269"/>
      <c r="L465" s="269"/>
      <c r="M465" s="269"/>
      <c r="N465" s="269"/>
      <c r="O465" s="269"/>
      <c r="P465" s="269"/>
      <c r="Q465" s="269"/>
      <c r="R465" s="269"/>
      <c r="S465" s="269"/>
      <c r="T465" s="269"/>
      <c r="U465" s="269"/>
      <c r="V465" s="269"/>
      <c r="W465" s="269"/>
      <c r="X465" s="269"/>
      <c r="Y465" s="269"/>
      <c r="Z465" s="269"/>
      <c r="AA465" s="269"/>
      <c r="AB465" s="269"/>
      <c r="AC465" s="269"/>
      <c r="AD465" s="269"/>
      <c r="AE465" s="269"/>
      <c r="AF465" s="269"/>
      <c r="AG465" s="269"/>
      <c r="AH465" s="269"/>
      <c r="AI465" s="269"/>
      <c r="AJ465" s="269"/>
      <c r="AK465" s="269"/>
      <c r="AL465" s="269"/>
      <c r="AM465" s="269"/>
      <c r="AN465" s="269"/>
      <c r="AO465" s="269"/>
      <c r="AP465" s="269"/>
      <c r="AQ465" s="269"/>
      <c r="AR465" s="269"/>
    </row>
    <row r="466">
      <c r="A466" s="410" t="str">
        <f>IFERROR(__xludf.DUMMYFUNCTION("""COMPUTED_VALUE"""),"WO_ICMS_20260625_123632808")</f>
        <v>WO_ICMS_20260625_123632808</v>
      </c>
      <c r="B466" s="410" t="str">
        <f>IFERROR(__xludf.DUMMYFUNCTION("""COMPUTED_VALUE"""),"Patrolling cable routes TNI0243-TNI0254_00, TNI0243 + null – TNI0254 + null")</f>
        <v>Patrolling cable routes TNI0243-TNI0254_00, TNI0243 + null – TNI0254 + null</v>
      </c>
      <c r="C466" s="410">
        <f>IFERROR(__xludf.DUMMYFUNCTION("""COMPUTED_VALUE"""),545.66)</f>
        <v>545.66</v>
      </c>
      <c r="D466" s="410" t="str">
        <f>IFERROR(__xludf.DUMMYFUNCTION("""COMPUTED_VALUE"""),"T4")</f>
        <v>T4</v>
      </c>
      <c r="E466" s="410" t="str">
        <f>IFERROR(__xludf.DUMMYFUNCTION("""COMPUTED_VALUE"""),"TNI0243")</f>
        <v>TNI0243</v>
      </c>
      <c r="F466" s="410" t="str">
        <f>IFERROR(__xludf.DUMMYFUNCTION("""COMPUTED_VALUE"""),"myt_tinmaung.win")</f>
        <v>myt_tinmaung.win</v>
      </c>
      <c r="H466" s="269"/>
      <c r="I466" s="269"/>
      <c r="J466" s="269"/>
      <c r="K466" s="269"/>
      <c r="L466" s="269"/>
      <c r="M466" s="269"/>
      <c r="N466" s="269"/>
      <c r="O466" s="269"/>
      <c r="P466" s="269"/>
      <c r="Q466" s="269"/>
      <c r="R466" s="269"/>
      <c r="S466" s="269"/>
      <c r="T466" s="269"/>
      <c r="U466" s="269"/>
      <c r="V466" s="269"/>
      <c r="W466" s="269"/>
      <c r="X466" s="269"/>
      <c r="Y466" s="269"/>
      <c r="Z466" s="269"/>
      <c r="AA466" s="269"/>
      <c r="AB466" s="269"/>
      <c r="AC466" s="269"/>
      <c r="AD466" s="269"/>
      <c r="AE466" s="269"/>
      <c r="AF466" s="269"/>
      <c r="AG466" s="269"/>
      <c r="AH466" s="269"/>
      <c r="AI466" s="269"/>
      <c r="AJ466" s="269"/>
      <c r="AK466" s="269"/>
      <c r="AL466" s="269"/>
      <c r="AM466" s="269"/>
      <c r="AN466" s="269"/>
      <c r="AO466" s="269"/>
      <c r="AP466" s="269"/>
      <c r="AQ466" s="269"/>
      <c r="AR466" s="269"/>
    </row>
    <row r="467">
      <c r="A467" s="410" t="str">
        <f>IFERROR(__xludf.DUMMYFUNCTION("""COMPUTED_VALUE"""),"WO_ICMS_20260625_123632715")</f>
        <v>WO_ICMS_20260625_123632715</v>
      </c>
      <c r="B467" s="410" t="str">
        <f>IFERROR(__xludf.DUMMYFUNCTION("""COMPUTED_VALUE"""),"Patrolling cable routes TNI0016-TNI0235_00, TNI0016 + null – TNI0235 + null")</f>
        <v>Patrolling cable routes TNI0016-TNI0235_00, TNI0016 + null – TNI0235 + null</v>
      </c>
      <c r="C467" s="410">
        <f>IFERROR(__xludf.DUMMYFUNCTION("""COMPUTED_VALUE"""),545.66)</f>
        <v>545.66</v>
      </c>
      <c r="D467" s="410" t="str">
        <f>IFERROR(__xludf.DUMMYFUNCTION("""COMPUTED_VALUE"""),"T4")</f>
        <v>T4</v>
      </c>
      <c r="E467" s="410" t="str">
        <f>IFERROR(__xludf.DUMMYFUNCTION("""COMPUTED_VALUE"""),"TNI0016")</f>
        <v>TNI0016</v>
      </c>
      <c r="F467" s="410" t="str">
        <f>IFERROR(__xludf.DUMMYFUNCTION("""COMPUTED_VALUE"""),"myt_tinmaung.win")</f>
        <v>myt_tinmaung.win</v>
      </c>
      <c r="H467" s="269"/>
      <c r="I467" s="269"/>
      <c r="J467" s="269"/>
      <c r="K467" s="269"/>
      <c r="L467" s="269"/>
      <c r="M467" s="269"/>
      <c r="N467" s="269"/>
      <c r="O467" s="269"/>
      <c r="P467" s="269"/>
      <c r="Q467" s="269"/>
      <c r="R467" s="269"/>
      <c r="S467" s="269"/>
      <c r="T467" s="269"/>
      <c r="U467" s="269"/>
      <c r="V467" s="269"/>
      <c r="W467" s="269"/>
      <c r="X467" s="269"/>
      <c r="Y467" s="269"/>
      <c r="Z467" s="269"/>
      <c r="AA467" s="269"/>
      <c r="AB467" s="269"/>
      <c r="AC467" s="269"/>
      <c r="AD467" s="269"/>
      <c r="AE467" s="269"/>
      <c r="AF467" s="269"/>
      <c r="AG467" s="269"/>
      <c r="AH467" s="269"/>
      <c r="AI467" s="269"/>
      <c r="AJ467" s="269"/>
      <c r="AK467" s="269"/>
      <c r="AL467" s="269"/>
      <c r="AM467" s="269"/>
      <c r="AN467" s="269"/>
      <c r="AO467" s="269"/>
      <c r="AP467" s="269"/>
      <c r="AQ467" s="269"/>
      <c r="AR467" s="269"/>
    </row>
    <row r="468">
      <c r="A468" s="410" t="str">
        <f>IFERROR(__xludf.DUMMYFUNCTION("""COMPUTED_VALUE"""),"WO_ICMS_20260625_123632809")</f>
        <v>WO_ICMS_20260625_123632809</v>
      </c>
      <c r="B468" s="410" t="str">
        <f>IFERROR(__xludf.DUMMYFUNCTION("""COMPUTED_VALUE"""),"Patrolling cable routes TNI0080-TNI0249_00, TNI0080 + null – TNI0249 + null")</f>
        <v>Patrolling cable routes TNI0080-TNI0249_00, TNI0080 + null – TNI0249 + null</v>
      </c>
      <c r="C468" s="410">
        <f>IFERROR(__xludf.DUMMYFUNCTION("""COMPUTED_VALUE"""),545.66)</f>
        <v>545.66</v>
      </c>
      <c r="D468" s="410" t="str">
        <f>IFERROR(__xludf.DUMMYFUNCTION("""COMPUTED_VALUE"""),"T4")</f>
        <v>T4</v>
      </c>
      <c r="E468" s="410" t="str">
        <f>IFERROR(__xludf.DUMMYFUNCTION("""COMPUTED_VALUE"""),"TNI0080")</f>
        <v>TNI0080</v>
      </c>
      <c r="F468" s="410" t="str">
        <f>IFERROR(__xludf.DUMMYFUNCTION("""COMPUTED_VALUE"""),"myt_tinmaung.win")</f>
        <v>myt_tinmaung.win</v>
      </c>
      <c r="H468" s="269"/>
      <c r="I468" s="269"/>
      <c r="J468" s="269"/>
      <c r="K468" s="269"/>
      <c r="L468" s="269"/>
      <c r="M468" s="269"/>
      <c r="N468" s="269"/>
      <c r="O468" s="269"/>
      <c r="P468" s="269"/>
      <c r="Q468" s="269"/>
      <c r="R468" s="269"/>
      <c r="S468" s="269"/>
      <c r="T468" s="269"/>
      <c r="U468" s="269"/>
      <c r="V468" s="269"/>
      <c r="W468" s="269"/>
      <c r="X468" s="269"/>
      <c r="Y468" s="269"/>
      <c r="Z468" s="269"/>
      <c r="AA468" s="269"/>
      <c r="AB468" s="269"/>
      <c r="AC468" s="269"/>
      <c r="AD468" s="269"/>
      <c r="AE468" s="269"/>
      <c r="AF468" s="269"/>
      <c r="AG468" s="269"/>
      <c r="AH468" s="269"/>
      <c r="AI468" s="269"/>
      <c r="AJ468" s="269"/>
      <c r="AK468" s="269"/>
      <c r="AL468" s="269"/>
      <c r="AM468" s="269"/>
      <c r="AN468" s="269"/>
      <c r="AO468" s="269"/>
      <c r="AP468" s="269"/>
      <c r="AQ468" s="269"/>
      <c r="AR468" s="269"/>
    </row>
    <row r="469">
      <c r="A469" s="410" t="str">
        <f>IFERROR(__xludf.DUMMYFUNCTION("""COMPUTED_VALUE"""),"WO_ICMS_20260625_123632711")</f>
        <v>WO_ICMS_20260625_123632711</v>
      </c>
      <c r="B469" s="410" t="str">
        <f>IFERROR(__xludf.DUMMYFUNCTION("""COMPUTED_VALUE"""),"Patrolling cable routes TNI0243-TNI0249_00, TNI0243 + null – TNI0249 + null")</f>
        <v>Patrolling cable routes TNI0243-TNI0249_00, TNI0243 + null – TNI0249 + null</v>
      </c>
      <c r="C469" s="410">
        <f>IFERROR(__xludf.DUMMYFUNCTION("""COMPUTED_VALUE"""),545.66)</f>
        <v>545.66</v>
      </c>
      <c r="D469" s="410" t="str">
        <f>IFERROR(__xludf.DUMMYFUNCTION("""COMPUTED_VALUE"""),"T4")</f>
        <v>T4</v>
      </c>
      <c r="E469" s="410" t="str">
        <f>IFERROR(__xludf.DUMMYFUNCTION("""COMPUTED_VALUE"""),"TNI0243")</f>
        <v>TNI0243</v>
      </c>
      <c r="F469" s="410" t="str">
        <f>IFERROR(__xludf.DUMMYFUNCTION("""COMPUTED_VALUE"""),"myt_tinmaung.win")</f>
        <v>myt_tinmaung.win</v>
      </c>
      <c r="H469" s="269"/>
      <c r="I469" s="269"/>
      <c r="J469" s="269"/>
      <c r="K469" s="269"/>
      <c r="L469" s="269"/>
      <c r="M469" s="269"/>
      <c r="N469" s="269"/>
      <c r="O469" s="269"/>
      <c r="P469" s="269"/>
      <c r="Q469" s="269"/>
      <c r="R469" s="269"/>
      <c r="S469" s="269"/>
      <c r="T469" s="269"/>
      <c r="U469" s="269"/>
      <c r="V469" s="269"/>
      <c r="W469" s="269"/>
      <c r="X469" s="269"/>
      <c r="Y469" s="269"/>
      <c r="Z469" s="269"/>
      <c r="AA469" s="269"/>
      <c r="AB469" s="269"/>
      <c r="AC469" s="269"/>
      <c r="AD469" s="269"/>
      <c r="AE469" s="269"/>
      <c r="AF469" s="269"/>
      <c r="AG469" s="269"/>
      <c r="AH469" s="269"/>
      <c r="AI469" s="269"/>
      <c r="AJ469" s="269"/>
      <c r="AK469" s="269"/>
      <c r="AL469" s="269"/>
      <c r="AM469" s="269"/>
      <c r="AN469" s="269"/>
      <c r="AO469" s="269"/>
      <c r="AP469" s="269"/>
      <c r="AQ469" s="269"/>
      <c r="AR469" s="269"/>
    </row>
    <row r="470">
      <c r="A470" s="410" t="str">
        <f>IFERROR(__xludf.DUMMYFUNCTION("""COMPUTED_VALUE"""),"WO_ICMS_20260625_123632709")</f>
        <v>WO_ICMS_20260625_123632709</v>
      </c>
      <c r="B470" s="410" t="str">
        <f>IFERROR(__xludf.DUMMYFUNCTION("""COMPUTED_VALUE"""),"Patrolling cable routes TNI0011-TNI0244_00, TNI0011 + null – TNI0244 + null")</f>
        <v>Patrolling cable routes TNI0011-TNI0244_00, TNI0011 + null – TNI0244 + null</v>
      </c>
      <c r="C470" s="410">
        <f>IFERROR(__xludf.DUMMYFUNCTION("""COMPUTED_VALUE"""),545.66)</f>
        <v>545.66</v>
      </c>
      <c r="D470" s="410" t="str">
        <f>IFERROR(__xludf.DUMMYFUNCTION("""COMPUTED_VALUE"""),"T4")</f>
        <v>T4</v>
      </c>
      <c r="E470" s="410" t="str">
        <f>IFERROR(__xludf.DUMMYFUNCTION("""COMPUTED_VALUE"""),"TNI0011")</f>
        <v>TNI0011</v>
      </c>
      <c r="F470" s="410" t="str">
        <f>IFERROR(__xludf.DUMMYFUNCTION("""COMPUTED_VALUE"""),"myt_tinmaung.win")</f>
        <v>myt_tinmaung.win</v>
      </c>
      <c r="H470" s="269"/>
      <c r="I470" s="269"/>
      <c r="J470" s="269"/>
      <c r="K470" s="269"/>
      <c r="L470" s="269"/>
      <c r="M470" s="269"/>
      <c r="N470" s="269"/>
      <c r="O470" s="269"/>
      <c r="P470" s="269"/>
      <c r="Q470" s="269"/>
      <c r="R470" s="269"/>
      <c r="S470" s="269"/>
      <c r="T470" s="269"/>
      <c r="U470" s="269"/>
      <c r="V470" s="269"/>
      <c r="W470" s="269"/>
      <c r="X470" s="269"/>
      <c r="Y470" s="269"/>
      <c r="Z470" s="269"/>
      <c r="AA470" s="269"/>
      <c r="AB470" s="269"/>
      <c r="AC470" s="269"/>
      <c r="AD470" s="269"/>
      <c r="AE470" s="269"/>
      <c r="AF470" s="269"/>
      <c r="AG470" s="269"/>
      <c r="AH470" s="269"/>
      <c r="AI470" s="269"/>
      <c r="AJ470" s="269"/>
      <c r="AK470" s="269"/>
      <c r="AL470" s="269"/>
      <c r="AM470" s="269"/>
      <c r="AN470" s="269"/>
      <c r="AO470" s="269"/>
      <c r="AP470" s="269"/>
      <c r="AQ470" s="269"/>
      <c r="AR470" s="269"/>
    </row>
    <row r="471">
      <c r="A471" s="410" t="str">
        <f>IFERROR(__xludf.DUMMYFUNCTION("""COMPUTED_VALUE"""),"WO_ICMS_20260625_123632710")</f>
        <v>WO_ICMS_20260625_123632710</v>
      </c>
      <c r="B471" s="410" t="str">
        <f>IFERROR(__xludf.DUMMYFUNCTION("""COMPUTED_VALUE"""),"Patrolling cable routes TNI0229-TNI0244_00, TNI0229 + null – TNI0244 + null")</f>
        <v>Patrolling cable routes TNI0229-TNI0244_00, TNI0229 + null – TNI0244 + null</v>
      </c>
      <c r="C471" s="410">
        <f>IFERROR(__xludf.DUMMYFUNCTION("""COMPUTED_VALUE"""),545.66)</f>
        <v>545.66</v>
      </c>
      <c r="D471" s="410" t="str">
        <f>IFERROR(__xludf.DUMMYFUNCTION("""COMPUTED_VALUE"""),"T4")</f>
        <v>T4</v>
      </c>
      <c r="E471" s="410" t="str">
        <f>IFERROR(__xludf.DUMMYFUNCTION("""COMPUTED_VALUE"""),"TNI0229")</f>
        <v>TNI0229</v>
      </c>
      <c r="F471" s="410" t="str">
        <f>IFERROR(__xludf.DUMMYFUNCTION("""COMPUTED_VALUE"""),"myt_tinmaung.win")</f>
        <v>myt_tinmaung.win</v>
      </c>
      <c r="H471" s="269"/>
      <c r="I471" s="269"/>
      <c r="J471" s="269"/>
      <c r="K471" s="269"/>
      <c r="L471" s="269"/>
      <c r="M471" s="269"/>
      <c r="N471" s="269"/>
      <c r="O471" s="269"/>
      <c r="P471" s="269"/>
      <c r="Q471" s="269"/>
      <c r="R471" s="269"/>
      <c r="S471" s="269"/>
      <c r="T471" s="269"/>
      <c r="U471" s="269"/>
      <c r="V471" s="269"/>
      <c r="W471" s="269"/>
      <c r="X471" s="269"/>
      <c r="Y471" s="269"/>
      <c r="Z471" s="269"/>
      <c r="AA471" s="269"/>
      <c r="AB471" s="269"/>
      <c r="AC471" s="269"/>
      <c r="AD471" s="269"/>
      <c r="AE471" s="269"/>
      <c r="AF471" s="269"/>
      <c r="AG471" s="269"/>
      <c r="AH471" s="269"/>
      <c r="AI471" s="269"/>
      <c r="AJ471" s="269"/>
      <c r="AK471" s="269"/>
      <c r="AL471" s="269"/>
      <c r="AM471" s="269"/>
      <c r="AN471" s="269"/>
      <c r="AO471" s="269"/>
      <c r="AP471" s="269"/>
      <c r="AQ471" s="269"/>
      <c r="AR471" s="269"/>
    </row>
    <row r="472">
      <c r="A472" s="410" t="str">
        <f>IFERROR(__xludf.DUMMYFUNCTION("""COMPUTED_VALUE"""),"WO_WFM-OTHERS_20260623_123616297")</f>
        <v>WO_WFM-OTHERS_20260623_123616297</v>
      </c>
      <c r="B472" s="410" t="str">
        <f>IFERROR(__xludf.DUMMYFUNCTION("""COMPUTED_VALUE"""),"Cable Patrol for (AC)-TNI0012-TNIDOS53")</f>
        <v>Cable Patrol for (AC)-TNI0012-TNIDOS53</v>
      </c>
      <c r="C472" s="410">
        <f>IFERROR(__xludf.DUMMYFUNCTION("""COMPUTED_VALUE"""),439.03)</f>
        <v>439.03</v>
      </c>
      <c r="D472" s="410" t="str">
        <f>IFERROR(__xludf.DUMMYFUNCTION("""COMPUTED_VALUE"""),"T4")</f>
        <v>T4</v>
      </c>
      <c r="E472" s="410" t="str">
        <f>IFERROR(__xludf.DUMMYFUNCTION("""COMPUTED_VALUE"""),"TNI0012")</f>
        <v>TNI0012</v>
      </c>
      <c r="F472" s="410" t="str">
        <f>IFERROR(__xludf.DUMMYFUNCTION("""COMPUTED_VALUE"""),"myt_tinmaung.win")</f>
        <v>myt_tinmaung.win</v>
      </c>
      <c r="H472" s="269"/>
      <c r="I472" s="269"/>
      <c r="J472" s="269"/>
      <c r="K472" s="269"/>
      <c r="L472" s="269"/>
      <c r="M472" s="269"/>
      <c r="N472" s="269"/>
      <c r="O472" s="269"/>
      <c r="P472" s="269"/>
      <c r="Q472" s="269"/>
      <c r="R472" s="269"/>
      <c r="S472" s="269"/>
      <c r="T472" s="269"/>
      <c r="U472" s="269"/>
      <c r="V472" s="269"/>
      <c r="W472" s="269"/>
      <c r="X472" s="269"/>
      <c r="Y472" s="269"/>
      <c r="Z472" s="269"/>
      <c r="AA472" s="269"/>
      <c r="AB472" s="269"/>
      <c r="AC472" s="269"/>
      <c r="AD472" s="269"/>
      <c r="AE472" s="269"/>
      <c r="AF472" s="269"/>
      <c r="AG472" s="269"/>
      <c r="AH472" s="269"/>
      <c r="AI472" s="269"/>
      <c r="AJ472" s="269"/>
      <c r="AK472" s="269"/>
      <c r="AL472" s="269"/>
      <c r="AM472" s="269"/>
      <c r="AN472" s="269"/>
      <c r="AO472" s="269"/>
      <c r="AP472" s="269"/>
      <c r="AQ472" s="269"/>
      <c r="AR472" s="269"/>
    </row>
    <row r="473">
      <c r="A473" s="410" t="str">
        <f>IFERROR(__xludf.DUMMYFUNCTION("""COMPUTED_VALUE"""),"WO_WFM-OTHERS_20260623_123616293")</f>
        <v>WO_WFM-OTHERS_20260623_123616293</v>
      </c>
      <c r="B473" s="410" t="str">
        <f>IFERROR(__xludf.DUMMYFUNCTION("""COMPUTED_VALUE"""),"Cable Patrol for (AC)-TNI0350-JB(TNI0011-TNI0012)")</f>
        <v>Cable Patrol for (AC)-TNI0350-JB(TNI0011-TNI0012)</v>
      </c>
      <c r="C473" s="410">
        <f>IFERROR(__xludf.DUMMYFUNCTION("""COMPUTED_VALUE"""),439.03)</f>
        <v>439.03</v>
      </c>
      <c r="D473" s="410" t="str">
        <f>IFERROR(__xludf.DUMMYFUNCTION("""COMPUTED_VALUE"""),"T4")</f>
        <v>T4</v>
      </c>
      <c r="E473" s="410" t="str">
        <f>IFERROR(__xludf.DUMMYFUNCTION("""COMPUTED_VALUE"""),"TNI0350")</f>
        <v>TNI0350</v>
      </c>
      <c r="F473" s="410" t="str">
        <f>IFERROR(__xludf.DUMMYFUNCTION("""COMPUTED_VALUE"""),"myt_tinmaung.win")</f>
        <v>myt_tinmaung.win</v>
      </c>
      <c r="H473" s="269"/>
      <c r="I473" s="269"/>
      <c r="J473" s="269"/>
      <c r="K473" s="269"/>
      <c r="L473" s="269"/>
      <c r="M473" s="269"/>
      <c r="N473" s="269"/>
      <c r="O473" s="269"/>
      <c r="P473" s="269"/>
      <c r="Q473" s="269"/>
      <c r="R473" s="269"/>
      <c r="S473" s="269"/>
      <c r="T473" s="269"/>
      <c r="U473" s="269"/>
      <c r="V473" s="269"/>
      <c r="W473" s="269"/>
      <c r="X473" s="269"/>
      <c r="Y473" s="269"/>
      <c r="Z473" s="269"/>
      <c r="AA473" s="269"/>
      <c r="AB473" s="269"/>
      <c r="AC473" s="269"/>
      <c r="AD473" s="269"/>
      <c r="AE473" s="269"/>
      <c r="AF473" s="269"/>
      <c r="AG473" s="269"/>
      <c r="AH473" s="269"/>
      <c r="AI473" s="269"/>
      <c r="AJ473" s="269"/>
      <c r="AK473" s="269"/>
      <c r="AL473" s="269"/>
      <c r="AM473" s="269"/>
      <c r="AN473" s="269"/>
      <c r="AO473" s="269"/>
      <c r="AP473" s="269"/>
      <c r="AQ473" s="269"/>
      <c r="AR473" s="269"/>
    </row>
    <row r="474">
      <c r="A474" s="410" t="str">
        <f>IFERROR(__xludf.DUMMYFUNCTION("""COMPUTED_VALUE"""),"WO_WFM-OTHERS_20260623_123616291")</f>
        <v>WO_WFM-OTHERS_20260623_123616291</v>
      </c>
      <c r="B474" s="410" t="str">
        <f>IFERROR(__xludf.DUMMYFUNCTION("""COMPUTED_VALUE"""),"Cable Patrol for (BB)-TNI0012-TNIM019")</f>
        <v>Cable Patrol for (BB)-TNI0012-TNIM019</v>
      </c>
      <c r="C474" s="410">
        <f>IFERROR(__xludf.DUMMYFUNCTION("""COMPUTED_VALUE"""),439.03)</f>
        <v>439.03</v>
      </c>
      <c r="D474" s="410" t="str">
        <f>IFERROR(__xludf.DUMMYFUNCTION("""COMPUTED_VALUE"""),"T4")</f>
        <v>T4</v>
      </c>
      <c r="E474" s="410" t="str">
        <f>IFERROR(__xludf.DUMMYFUNCTION("""COMPUTED_VALUE"""),"TNI0012")</f>
        <v>TNI0012</v>
      </c>
      <c r="F474" s="410" t="str">
        <f>IFERROR(__xludf.DUMMYFUNCTION("""COMPUTED_VALUE"""),"myt_tinmaung.win")</f>
        <v>myt_tinmaung.win</v>
      </c>
      <c r="H474" s="269"/>
      <c r="I474" s="269"/>
      <c r="J474" s="269"/>
      <c r="K474" s="269"/>
      <c r="L474" s="269"/>
      <c r="M474" s="269"/>
      <c r="N474" s="269"/>
      <c r="O474" s="269"/>
      <c r="P474" s="269"/>
      <c r="Q474" s="269"/>
      <c r="R474" s="269"/>
      <c r="S474" s="269"/>
      <c r="T474" s="269"/>
      <c r="U474" s="269"/>
      <c r="V474" s="269"/>
      <c r="W474" s="269"/>
      <c r="X474" s="269"/>
      <c r="Y474" s="269"/>
      <c r="Z474" s="269"/>
      <c r="AA474" s="269"/>
      <c r="AB474" s="269"/>
      <c r="AC474" s="269"/>
      <c r="AD474" s="269"/>
      <c r="AE474" s="269"/>
      <c r="AF474" s="269"/>
      <c r="AG474" s="269"/>
      <c r="AH474" s="269"/>
      <c r="AI474" s="269"/>
      <c r="AJ474" s="269"/>
      <c r="AK474" s="269"/>
      <c r="AL474" s="269"/>
      <c r="AM474" s="269"/>
      <c r="AN474" s="269"/>
      <c r="AO474" s="269"/>
      <c r="AP474" s="269"/>
      <c r="AQ474" s="269"/>
      <c r="AR474" s="269"/>
    </row>
    <row r="475">
      <c r="A475" s="410" t="str">
        <f>IFERROR(__xludf.DUMMYFUNCTION("""COMPUTED_VALUE"""),"WO_WFM-OTHERS_20260623_123616294")</f>
        <v>WO_WFM-OTHERS_20260623_123616294</v>
      </c>
      <c r="B475" s="410" t="str">
        <f>IFERROR(__xludf.DUMMYFUNCTION("""COMPUTED_VALUE"""),"Cable Patrol for (AC)-TNI0154-JB(TNI0154-TNIM087)")</f>
        <v>Cable Patrol for (AC)-TNI0154-JB(TNI0154-TNIM087)</v>
      </c>
      <c r="C475" s="410">
        <f>IFERROR(__xludf.DUMMYFUNCTION("""COMPUTED_VALUE"""),439.03)</f>
        <v>439.03</v>
      </c>
      <c r="D475" s="410" t="str">
        <f>IFERROR(__xludf.DUMMYFUNCTION("""COMPUTED_VALUE"""),"T4")</f>
        <v>T4</v>
      </c>
      <c r="E475" s="410" t="str">
        <f>IFERROR(__xludf.DUMMYFUNCTION("""COMPUTED_VALUE"""),"TNI0154")</f>
        <v>TNI0154</v>
      </c>
      <c r="F475" s="410" t="str">
        <f>IFERROR(__xludf.DUMMYFUNCTION("""COMPUTED_VALUE"""),"myt_tinmaung.win")</f>
        <v>myt_tinmaung.win</v>
      </c>
      <c r="H475" s="269"/>
      <c r="I475" s="269"/>
      <c r="J475" s="269"/>
      <c r="K475" s="269"/>
      <c r="L475" s="269"/>
      <c r="M475" s="269"/>
      <c r="N475" s="269"/>
      <c r="O475" s="269"/>
      <c r="P475" s="269"/>
      <c r="Q475" s="269"/>
      <c r="R475" s="269"/>
      <c r="S475" s="269"/>
      <c r="T475" s="269"/>
      <c r="U475" s="269"/>
      <c r="V475" s="269"/>
      <c r="W475" s="269"/>
      <c r="X475" s="269"/>
      <c r="Y475" s="269"/>
      <c r="Z475" s="269"/>
      <c r="AA475" s="269"/>
      <c r="AB475" s="269"/>
      <c r="AC475" s="269"/>
      <c r="AD475" s="269"/>
      <c r="AE475" s="269"/>
      <c r="AF475" s="269"/>
      <c r="AG475" s="269"/>
      <c r="AH475" s="269"/>
      <c r="AI475" s="269"/>
      <c r="AJ475" s="269"/>
      <c r="AK475" s="269"/>
      <c r="AL475" s="269"/>
      <c r="AM475" s="269"/>
      <c r="AN475" s="269"/>
      <c r="AO475" s="269"/>
      <c r="AP475" s="269"/>
      <c r="AQ475" s="269"/>
      <c r="AR475" s="269"/>
    </row>
    <row r="476">
      <c r="A476" s="410" t="str">
        <f>IFERROR(__xludf.DUMMYFUNCTION("""COMPUTED_VALUE"""),"WO_WFM-OTHERS_20260623_123616296")</f>
        <v>WO_WFM-OTHERS_20260623_123616296</v>
      </c>
      <c r="B476" s="410" t="str">
        <f>IFERROR(__xludf.DUMMYFUNCTION("""COMPUTED_VALUE"""),"Cable Patrol for (AC)-TNI0282-TNIM070")</f>
        <v>Cable Patrol for (AC)-TNI0282-TNIM070</v>
      </c>
      <c r="C476" s="410">
        <f>IFERROR(__xludf.DUMMYFUNCTION("""COMPUTED_VALUE"""),439.03)</f>
        <v>439.03</v>
      </c>
      <c r="D476" s="410" t="str">
        <f>IFERROR(__xludf.DUMMYFUNCTION("""COMPUTED_VALUE"""),"T4")</f>
        <v>T4</v>
      </c>
      <c r="E476" s="410" t="str">
        <f>IFERROR(__xludf.DUMMYFUNCTION("""COMPUTED_VALUE"""),"TNI0282")</f>
        <v>TNI0282</v>
      </c>
      <c r="F476" s="410" t="str">
        <f>IFERROR(__xludf.DUMMYFUNCTION("""COMPUTED_VALUE"""),"myt_tinmaung.win")</f>
        <v>myt_tinmaung.win</v>
      </c>
      <c r="H476" s="269"/>
      <c r="I476" s="269"/>
      <c r="J476" s="269"/>
      <c r="K476" s="269"/>
      <c r="L476" s="269"/>
      <c r="M476" s="269"/>
      <c r="N476" s="269"/>
      <c r="O476" s="269"/>
      <c r="P476" s="269"/>
      <c r="Q476" s="269"/>
      <c r="R476" s="269"/>
      <c r="S476" s="269"/>
      <c r="T476" s="269"/>
      <c r="U476" s="269"/>
      <c r="V476" s="269"/>
      <c r="W476" s="269"/>
      <c r="X476" s="269"/>
      <c r="Y476" s="269"/>
      <c r="Z476" s="269"/>
      <c r="AA476" s="269"/>
      <c r="AB476" s="269"/>
      <c r="AC476" s="269"/>
      <c r="AD476" s="269"/>
      <c r="AE476" s="269"/>
      <c r="AF476" s="269"/>
      <c r="AG476" s="269"/>
      <c r="AH476" s="269"/>
      <c r="AI476" s="269"/>
      <c r="AJ476" s="269"/>
      <c r="AK476" s="269"/>
      <c r="AL476" s="269"/>
      <c r="AM476" s="269"/>
      <c r="AN476" s="269"/>
      <c r="AO476" s="269"/>
      <c r="AP476" s="269"/>
      <c r="AQ476" s="269"/>
      <c r="AR476" s="269"/>
    </row>
    <row r="477">
      <c r="A477" s="410" t="str">
        <f>IFERROR(__xludf.DUMMYFUNCTION("""COMPUTED_VALUE"""),"WO_WFM-OTHERS_20260623_123616295")</f>
        <v>WO_WFM-OTHERS_20260623_123616295</v>
      </c>
      <c r="B477" s="410" t="str">
        <f>IFERROR(__xludf.DUMMYFUNCTION("""COMPUTED_VALUE"""),"Cable Patrol for (AC)-TNI0154-TNIM087")</f>
        <v>Cable Patrol for (AC)-TNI0154-TNIM087</v>
      </c>
      <c r="C477" s="410">
        <f>IFERROR(__xludf.DUMMYFUNCTION("""COMPUTED_VALUE"""),439.03)</f>
        <v>439.03</v>
      </c>
      <c r="D477" s="410" t="str">
        <f>IFERROR(__xludf.DUMMYFUNCTION("""COMPUTED_VALUE"""),"T4")</f>
        <v>T4</v>
      </c>
      <c r="E477" s="410" t="str">
        <f>IFERROR(__xludf.DUMMYFUNCTION("""COMPUTED_VALUE"""),"TNI0154")</f>
        <v>TNI0154</v>
      </c>
      <c r="F477" s="410" t="str">
        <f>IFERROR(__xludf.DUMMYFUNCTION("""COMPUTED_VALUE"""),"myt_tinmaung.win")</f>
        <v>myt_tinmaung.win</v>
      </c>
      <c r="H477" s="269"/>
      <c r="I477" s="269"/>
      <c r="J477" s="269"/>
      <c r="K477" s="269"/>
      <c r="L477" s="269"/>
      <c r="M477" s="269"/>
      <c r="N477" s="269"/>
      <c r="O477" s="269"/>
      <c r="P477" s="269"/>
      <c r="Q477" s="269"/>
      <c r="R477" s="269"/>
      <c r="S477" s="269"/>
      <c r="T477" s="269"/>
      <c r="U477" s="269"/>
      <c r="V477" s="269"/>
      <c r="W477" s="269"/>
      <c r="X477" s="269"/>
      <c r="Y477" s="269"/>
      <c r="Z477" s="269"/>
      <c r="AA477" s="269"/>
      <c r="AB477" s="269"/>
      <c r="AC477" s="269"/>
      <c r="AD477" s="269"/>
      <c r="AE477" s="269"/>
      <c r="AF477" s="269"/>
      <c r="AG477" s="269"/>
      <c r="AH477" s="269"/>
      <c r="AI477" s="269"/>
      <c r="AJ477" s="269"/>
      <c r="AK477" s="269"/>
      <c r="AL477" s="269"/>
      <c r="AM477" s="269"/>
      <c r="AN477" s="269"/>
      <c r="AO477" s="269"/>
      <c r="AP477" s="269"/>
      <c r="AQ477" s="269"/>
      <c r="AR477" s="269"/>
    </row>
    <row r="478">
      <c r="A478" s="410" t="str">
        <f>IFERROR(__xludf.DUMMYFUNCTION("""COMPUTED_VALUE"""),"WO_ICMS_20260623_123615069")</f>
        <v>WO_ICMS_20260623_123615069</v>
      </c>
      <c r="B478" s="410" t="str">
        <f>IFERROR(__xludf.DUMMYFUNCTION("""COMPUTED_VALUE"""),"TNI0295 MYT_Routine_Maintenance_Mytel_Station MYT_RTE_MTE_SB_STN")</f>
        <v>TNI0295 MYT_Routine_Maintenance_Mytel_Station MYT_RTE_MTE_SB_STN</v>
      </c>
      <c r="C478" s="410">
        <f>IFERROR(__xludf.DUMMYFUNCTION("""COMPUTED_VALUE"""),886.64)</f>
        <v>886.64</v>
      </c>
      <c r="D478" s="410" t="str">
        <f>IFERROR(__xludf.DUMMYFUNCTION("""COMPUTED_VALUE"""),"T4")</f>
        <v>T4</v>
      </c>
      <c r="E478" s="410" t="str">
        <f>IFERROR(__xludf.DUMMYFUNCTION("""COMPUTED_VALUE"""),"TNI0295")</f>
        <v>TNI0295</v>
      </c>
      <c r="F478" s="410" t="str">
        <f>IFERROR(__xludf.DUMMYFUNCTION("""COMPUTED_VALUE"""),"myt_tinmaung.win")</f>
        <v>myt_tinmaung.win</v>
      </c>
      <c r="H478" s="269"/>
      <c r="I478" s="269"/>
      <c r="J478" s="269"/>
      <c r="K478" s="269"/>
      <c r="L478" s="269"/>
      <c r="M478" s="269"/>
      <c r="N478" s="269"/>
      <c r="O478" s="269"/>
      <c r="P478" s="269"/>
      <c r="Q478" s="269"/>
      <c r="R478" s="269"/>
      <c r="S478" s="269"/>
      <c r="T478" s="269"/>
      <c r="U478" s="269"/>
      <c r="V478" s="269"/>
      <c r="W478" s="269"/>
      <c r="X478" s="269"/>
      <c r="Y478" s="269"/>
      <c r="Z478" s="269"/>
      <c r="AA478" s="269"/>
      <c r="AB478" s="269"/>
      <c r="AC478" s="269"/>
      <c r="AD478" s="269"/>
      <c r="AE478" s="269"/>
      <c r="AF478" s="269"/>
      <c r="AG478" s="269"/>
      <c r="AH478" s="269"/>
      <c r="AI478" s="269"/>
      <c r="AJ478" s="269"/>
      <c r="AK478" s="269"/>
      <c r="AL478" s="269"/>
      <c r="AM478" s="269"/>
      <c r="AN478" s="269"/>
      <c r="AO478" s="269"/>
      <c r="AP478" s="269"/>
      <c r="AQ478" s="269"/>
      <c r="AR478" s="269"/>
    </row>
    <row r="479">
      <c r="A479" s="410" t="str">
        <f>IFERROR(__xludf.DUMMYFUNCTION("""COMPUTED_VALUE"""),"WO_ICMS_20260623_123613511")</f>
        <v>WO_ICMS_20260623_123613511</v>
      </c>
      <c r="B479" s="410" t="str">
        <f>IFERROR(__xludf.DUMMYFUNCTION("""COMPUTED_VALUE"""),"TNI0015 MYT_Routine_Maintenance_Main_Station MYT_RTE_MTE_MAIN_STN")</f>
        <v>TNI0015 MYT_Routine_Maintenance_Main_Station MYT_RTE_MTE_MAIN_STN</v>
      </c>
      <c r="C479" s="410">
        <f>IFERROR(__xludf.DUMMYFUNCTION("""COMPUTED_VALUE"""),502.17)</f>
        <v>502.17</v>
      </c>
      <c r="D479" s="410" t="str">
        <f>IFERROR(__xludf.DUMMYFUNCTION("""COMPUTED_VALUE"""),"T4")</f>
        <v>T4</v>
      </c>
      <c r="E479" s="410" t="str">
        <f>IFERROR(__xludf.DUMMYFUNCTION("""COMPUTED_VALUE"""),"TNI0015")</f>
        <v>TNI0015</v>
      </c>
      <c r="F479" s="410" t="str">
        <f>IFERROR(__xludf.DUMMYFUNCTION("""COMPUTED_VALUE"""),"myt_tinmaung.win")</f>
        <v>myt_tinmaung.win</v>
      </c>
      <c r="H479" s="269"/>
      <c r="I479" s="269"/>
      <c r="J479" s="269"/>
      <c r="K479" s="269"/>
      <c r="L479" s="269"/>
      <c r="M479" s="269"/>
      <c r="N479" s="269"/>
      <c r="O479" s="269"/>
      <c r="P479" s="269"/>
      <c r="Q479" s="269"/>
      <c r="R479" s="269"/>
      <c r="S479" s="269"/>
      <c r="T479" s="269"/>
      <c r="U479" s="269"/>
      <c r="V479" s="269"/>
      <c r="W479" s="269"/>
      <c r="X479" s="269"/>
      <c r="Y479" s="269"/>
      <c r="Z479" s="269"/>
      <c r="AA479" s="269"/>
      <c r="AB479" s="269"/>
      <c r="AC479" s="269"/>
      <c r="AD479" s="269"/>
      <c r="AE479" s="269"/>
      <c r="AF479" s="269"/>
      <c r="AG479" s="269"/>
      <c r="AH479" s="269"/>
      <c r="AI479" s="269"/>
      <c r="AJ479" s="269"/>
      <c r="AK479" s="269"/>
      <c r="AL479" s="269"/>
      <c r="AM479" s="269"/>
      <c r="AN479" s="269"/>
      <c r="AO479" s="269"/>
      <c r="AP479" s="269"/>
      <c r="AQ479" s="269"/>
      <c r="AR479" s="269"/>
    </row>
    <row r="480">
      <c r="A480" s="410" t="str">
        <f>IFERROR(__xludf.DUMMYFUNCTION("""COMPUTED_VALUE"""),"WO_QLCTKT_20260619_123565995")</f>
        <v>WO_QLCTKT_20260619_123565995</v>
      </c>
      <c r="B480" s="410" t="str">
        <f>IFERROR(__xludf.DUMMYFUNCTION("""COMPUTED_VALUE"""),"TNI0015 MYT_Routine_Maintenance_Main_Station_VCM")</f>
        <v>TNI0015 MYT_Routine_Maintenance_Main_Station_VCM</v>
      </c>
      <c r="C480" s="410">
        <f>IFERROR(__xludf.DUMMYFUNCTION("""COMPUTED_VALUE"""),247.05)</f>
        <v>247.05</v>
      </c>
      <c r="D480" s="410" t="str">
        <f>IFERROR(__xludf.DUMMYFUNCTION("""COMPUTED_VALUE"""),"T4")</f>
        <v>T4</v>
      </c>
      <c r="E480" s="410" t="str">
        <f>IFERROR(__xludf.DUMMYFUNCTION("""COMPUTED_VALUE"""),"TNI0015")</f>
        <v>TNI0015</v>
      </c>
      <c r="F480" s="410" t="str">
        <f>IFERROR(__xludf.DUMMYFUNCTION("""COMPUTED_VALUE"""),"myt_tinmaung.win")</f>
        <v>myt_tinmaung.win</v>
      </c>
      <c r="H480" s="269"/>
      <c r="I480" s="269"/>
      <c r="J480" s="269"/>
      <c r="K480" s="269"/>
      <c r="L480" s="269"/>
      <c r="M480" s="269"/>
      <c r="N480" s="269"/>
      <c r="O480" s="269"/>
      <c r="P480" s="269"/>
      <c r="Q480" s="269"/>
      <c r="R480" s="269"/>
      <c r="S480" s="269"/>
      <c r="T480" s="269"/>
      <c r="U480" s="269"/>
      <c r="V480" s="269"/>
      <c r="W480" s="269"/>
      <c r="X480" s="269"/>
      <c r="Y480" s="269"/>
      <c r="Z480" s="269"/>
      <c r="AA480" s="269"/>
      <c r="AB480" s="269"/>
      <c r="AC480" s="269"/>
      <c r="AD480" s="269"/>
      <c r="AE480" s="269"/>
      <c r="AF480" s="269"/>
      <c r="AG480" s="269"/>
      <c r="AH480" s="269"/>
      <c r="AI480" s="269"/>
      <c r="AJ480" s="269"/>
      <c r="AK480" s="269"/>
      <c r="AL480" s="269"/>
      <c r="AM480" s="269"/>
      <c r="AN480" s="269"/>
      <c r="AO480" s="269"/>
      <c r="AP480" s="269"/>
      <c r="AQ480" s="269"/>
      <c r="AR480" s="269"/>
    </row>
    <row r="481">
      <c r="A481" s="410" t="str">
        <f>IFERROR(__xludf.DUMMYFUNCTION("""COMPUTED_VALUE"""),"WO_QLCTKT_20260607_123462917")</f>
        <v>WO_QLCTKT_20260607_123462917</v>
      </c>
      <c r="B481" s="410" t="str">
        <f>IFERROR(__xludf.DUMMYFUNCTION("""COMPUTED_VALUE"""),"TNI0392 MYT_Maintenance_Generator_Change_Oil - MYT_Maintenance_Generator_Change_Oil_Filter - MYT_Maintenance_Generator_Change_Fuel_Filter - MYT_Checking quality for DG Fuel")</f>
        <v>TNI0392 MYT_Maintenance_Generator_Change_Oil - MYT_Maintenance_Generator_Change_Oil_Filter - MYT_Maintenance_Generator_Change_Fuel_Filter - MYT_Checking quality for DG Fuel</v>
      </c>
      <c r="C481" s="410">
        <f>IFERROR(__xludf.DUMMYFUNCTION("""COMPUTED_VALUE"""),-472.95)</f>
        <v>-472.95</v>
      </c>
      <c r="D481" s="410" t="str">
        <f>IFERROR(__xludf.DUMMYFUNCTION("""COMPUTED_VALUE"""),"T4")</f>
        <v>T4</v>
      </c>
      <c r="E481" s="410" t="str">
        <f>IFERROR(__xludf.DUMMYFUNCTION("""COMPUTED_VALUE"""),"TNI0392: 12DKVA")</f>
        <v>TNI0392: 12DKVA</v>
      </c>
      <c r="F481" s="410" t="str">
        <f>IFERROR(__xludf.DUMMYFUNCTION("""COMPUTED_VALUE"""),"myt_tinmaung.win")</f>
        <v>myt_tinmaung.win</v>
      </c>
      <c r="H481" s="269"/>
      <c r="I481" s="269"/>
      <c r="J481" s="269"/>
      <c r="K481" s="269"/>
      <c r="L481" s="269"/>
      <c r="M481" s="269"/>
      <c r="N481" s="269"/>
      <c r="O481" s="269"/>
      <c r="P481" s="269"/>
      <c r="Q481" s="269"/>
      <c r="R481" s="269"/>
      <c r="S481" s="269"/>
      <c r="T481" s="269"/>
      <c r="U481" s="269"/>
      <c r="V481" s="269"/>
      <c r="W481" s="269"/>
      <c r="X481" s="269"/>
      <c r="Y481" s="269"/>
      <c r="Z481" s="269"/>
      <c r="AA481" s="269"/>
      <c r="AB481" s="269"/>
      <c r="AC481" s="269"/>
      <c r="AD481" s="269"/>
      <c r="AE481" s="269"/>
      <c r="AF481" s="269"/>
      <c r="AG481" s="269"/>
      <c r="AH481" s="269"/>
      <c r="AI481" s="269"/>
      <c r="AJ481" s="269"/>
      <c r="AK481" s="269"/>
      <c r="AL481" s="269"/>
      <c r="AM481" s="269"/>
      <c r="AN481" s="269"/>
      <c r="AO481" s="269"/>
      <c r="AP481" s="269"/>
      <c r="AQ481" s="269"/>
      <c r="AR481" s="269"/>
    </row>
    <row r="482">
      <c r="A482" s="410" t="str">
        <f>IFERROR(__xludf.DUMMYFUNCTION("""COMPUTED_VALUE"""),"WO_ICMS_20260701_123690034")</f>
        <v>WO_ICMS_20260701_123690034</v>
      </c>
      <c r="B482" s="410" t="str">
        <f>IFERROR(__xludf.DUMMYFUNCTION("""COMPUTED_VALUE"""),"TNI0103 MYT_Checking quality for DG Fuel MYT_ME_DG_CHECK_FUEL; MYT_Maintenance_Generator_Change_Air_Filter, Clean Radiator and Clean Engine Room MYT_ME_DG_CHG_AIR_FIL_CLN_RAD_ENG; MYT_Maintenance_Generator_Change_Fuel_Filter MYT_ME_DG_CHG_FUEL_FIL; MYT_Ma"&amp;"intenance_Generator_Change_Oil MYT_ME_DG_CHG_OIL; MYT_Maintenance_Generator_Change_Oil_Filter MYT_ME_DG_CHG_OIL_FIL")</f>
        <v>TNI0103 MYT_Checking quality for DG Fuel MYT_ME_DG_CHECK_FUEL; MYT_Maintenance_Generator_Change_Air_Filter, Clean Radiator and Clean Engine Room MYT_ME_DG_CHG_AIR_FIL_CLN_RAD_ENG; MYT_Maintenance_Generator_Change_Fuel_Filter MYT_ME_DG_CHG_FUEL_FIL; MYT_Maintenance_Generator_Change_Oil MYT_ME_DG_CHG_OIL; MYT_Maintenance_Generator_Change_Oil_Filter MYT_ME_DG_CHG_OIL_FIL</v>
      </c>
      <c r="C482" s="410">
        <f>IFERROR(__xludf.DUMMYFUNCTION("""COMPUTED_VALUE"""),234.08)</f>
        <v>234.08</v>
      </c>
      <c r="D482" s="410" t="str">
        <f>IFERROR(__xludf.DUMMYFUNCTION("""COMPUTED_VALUE"""),"T3")</f>
        <v>T3</v>
      </c>
      <c r="E482" s="410" t="str">
        <f>IFERROR(__xludf.DUMMYFUNCTION("""COMPUTED_VALUE"""),"TNI0103: 8KVA")</f>
        <v>TNI0103: 8KVA</v>
      </c>
      <c r="F482" s="410" t="str">
        <f>IFERROR(__xludf.DUMMYFUNCTION("""COMPUTED_VALUE"""),"myt_tinnaing.lin11")</f>
        <v>myt_tinnaing.lin11</v>
      </c>
      <c r="H482" s="269"/>
      <c r="I482" s="269"/>
      <c r="J482" s="269"/>
      <c r="K482" s="269"/>
      <c r="L482" s="269"/>
      <c r="M482" s="269"/>
      <c r="N482" s="269"/>
      <c r="O482" s="269"/>
      <c r="P482" s="269"/>
      <c r="Q482" s="269"/>
      <c r="R482" s="269"/>
      <c r="S482" s="269"/>
      <c r="T482" s="269"/>
      <c r="U482" s="269"/>
      <c r="V482" s="269"/>
      <c r="W482" s="269"/>
      <c r="X482" s="269"/>
      <c r="Y482" s="269"/>
      <c r="Z482" s="269"/>
      <c r="AA482" s="269"/>
      <c r="AB482" s="269"/>
      <c r="AC482" s="269"/>
      <c r="AD482" s="269"/>
      <c r="AE482" s="269"/>
      <c r="AF482" s="269"/>
      <c r="AG482" s="269"/>
      <c r="AH482" s="269"/>
      <c r="AI482" s="269"/>
      <c r="AJ482" s="269"/>
      <c r="AK482" s="269"/>
      <c r="AL482" s="269"/>
      <c r="AM482" s="269"/>
      <c r="AN482" s="269"/>
      <c r="AO482" s="269"/>
      <c r="AP482" s="269"/>
      <c r="AQ482" s="269"/>
      <c r="AR482" s="269"/>
    </row>
    <row r="483">
      <c r="A483" s="410" t="str">
        <f>IFERROR(__xludf.DUMMYFUNCTION("""COMPUTED_VALUE"""),"WO_ICMS_20260701_123690033")</f>
        <v>WO_ICMS_20260701_123690033</v>
      </c>
      <c r="B483" s="410" t="str">
        <f>IFERROR(__xludf.DUMMYFUNCTION("""COMPUTED_VALUE"""),"TNI0105 MYT_Checking quality for DG Fuel MYT_ME_DG_CHECK_FUEL; MYT_Maintenance_Generator_Change_Air_Filter, Clean Radiator and Clean Engine Room MYT_ME_DG_CHG_AIR_FIL_CLN_RAD_ENG; MYT_Maintenance_Generator_Change_Fuel_Filter MYT_ME_DG_CHG_FUEL_FIL; MYT_Ma"&amp;"intenance_Generator_Change_Oil MYT_ME_DG_CHG_OIL; MYT_Maintenance_Generator_Change_Oil_Filter MYT_ME_DG_CHG_OIL_FIL")</f>
        <v>TNI0105 MYT_Checking quality for DG Fuel MYT_ME_DG_CHECK_FUEL; MYT_Maintenance_Generator_Change_Air_Filter, Clean Radiator and Clean Engine Room MYT_ME_DG_CHG_AIR_FIL_CLN_RAD_ENG; MYT_Maintenance_Generator_Change_Fuel_Filter MYT_ME_DG_CHG_FUEL_FIL; MYT_Maintenance_Generator_Change_Oil MYT_ME_DG_CHG_OIL; MYT_Maintenance_Generator_Change_Oil_Filter MYT_ME_DG_CHG_OIL_FIL</v>
      </c>
      <c r="C483" s="410">
        <f>IFERROR(__xludf.DUMMYFUNCTION("""COMPUTED_VALUE"""),234.08)</f>
        <v>234.08</v>
      </c>
      <c r="D483" s="410" t="str">
        <f>IFERROR(__xludf.DUMMYFUNCTION("""COMPUTED_VALUE"""),"T3")</f>
        <v>T3</v>
      </c>
      <c r="E483" s="410" t="str">
        <f>IFERROR(__xludf.DUMMYFUNCTION("""COMPUTED_VALUE"""),"TNI0105: 8KVA")</f>
        <v>TNI0105: 8KVA</v>
      </c>
      <c r="F483" s="410" t="str">
        <f>IFERROR(__xludf.DUMMYFUNCTION("""COMPUTED_VALUE"""),"myt_tinnaing.lin11")</f>
        <v>myt_tinnaing.lin11</v>
      </c>
      <c r="H483" s="269"/>
      <c r="I483" s="269"/>
      <c r="J483" s="269"/>
      <c r="K483" s="269"/>
      <c r="L483" s="269"/>
      <c r="M483" s="269"/>
      <c r="N483" s="269"/>
      <c r="O483" s="269"/>
      <c r="P483" s="269"/>
      <c r="Q483" s="269"/>
      <c r="R483" s="269"/>
      <c r="S483" s="269"/>
      <c r="T483" s="269"/>
      <c r="U483" s="269"/>
      <c r="V483" s="269"/>
      <c r="W483" s="269"/>
      <c r="X483" s="269"/>
      <c r="Y483" s="269"/>
      <c r="Z483" s="269"/>
      <c r="AA483" s="269"/>
      <c r="AB483" s="269"/>
      <c r="AC483" s="269"/>
      <c r="AD483" s="269"/>
      <c r="AE483" s="269"/>
      <c r="AF483" s="269"/>
      <c r="AG483" s="269"/>
      <c r="AH483" s="269"/>
      <c r="AI483" s="269"/>
      <c r="AJ483" s="269"/>
      <c r="AK483" s="269"/>
      <c r="AL483" s="269"/>
      <c r="AM483" s="269"/>
      <c r="AN483" s="269"/>
      <c r="AO483" s="269"/>
      <c r="AP483" s="269"/>
      <c r="AQ483" s="269"/>
      <c r="AR483" s="269"/>
    </row>
    <row r="484">
      <c r="A484" s="410" t="str">
        <f>IFERROR(__xludf.DUMMYFUNCTION("""COMPUTED_VALUE"""),"WO_QLCTKT_20260624_123619093")</f>
        <v>WO_QLCTKT_20260624_123619093</v>
      </c>
      <c r="B484" s="410" t="str">
        <f>IFERROR(__xludf.DUMMYFUNCTION("""COMPUTED_VALUE"""),"TNI0008 MYT_Maintenance_Generator_Change_Oil - MYT_Maintenance_Generator_Change_Oil_Filter - MYT_Maintenance_Generator_Change_Fuel_Filter - MYT_Checking quality for DG Fuel")</f>
        <v>TNI0008 MYT_Maintenance_Generator_Change_Oil - MYT_Maintenance_Generator_Change_Oil_Filter - MYT_Maintenance_Generator_Change_Fuel_Filter - MYT_Checking quality for DG Fuel</v>
      </c>
      <c r="C484" s="410">
        <f>IFERROR(__xludf.DUMMYFUNCTION("""COMPUTED_VALUE"""),-64.95)</f>
        <v>-64.95</v>
      </c>
      <c r="D484" s="410" t="str">
        <f>IFERROR(__xludf.DUMMYFUNCTION("""COMPUTED_VALUE"""),"T3")</f>
        <v>T3</v>
      </c>
      <c r="E484" s="410" t="str">
        <f>IFERROR(__xludf.DUMMYFUNCTION("""COMPUTED_VALUE"""),"TNI0008: 12KVA")</f>
        <v>TNI0008: 12KVA</v>
      </c>
      <c r="F484" s="410" t="str">
        <f>IFERROR(__xludf.DUMMYFUNCTION("""COMPUTED_VALUE"""),"myt_tinnaing.lin11")</f>
        <v>myt_tinnaing.lin11</v>
      </c>
      <c r="H484" s="269"/>
      <c r="I484" s="269"/>
      <c r="J484" s="269"/>
      <c r="K484" s="269"/>
      <c r="L484" s="269"/>
      <c r="M484" s="269"/>
      <c r="N484" s="269"/>
      <c r="O484" s="269"/>
      <c r="P484" s="269"/>
      <c r="Q484" s="269"/>
      <c r="R484" s="269"/>
      <c r="S484" s="269"/>
      <c r="T484" s="269"/>
      <c r="U484" s="269"/>
      <c r="V484" s="269"/>
      <c r="W484" s="269"/>
      <c r="X484" s="269"/>
      <c r="Y484" s="269"/>
      <c r="Z484" s="269"/>
      <c r="AA484" s="269"/>
      <c r="AB484" s="269"/>
      <c r="AC484" s="269"/>
      <c r="AD484" s="269"/>
      <c r="AE484" s="269"/>
      <c r="AF484" s="269"/>
      <c r="AG484" s="269"/>
      <c r="AH484" s="269"/>
      <c r="AI484" s="269"/>
      <c r="AJ484" s="269"/>
      <c r="AK484" s="269"/>
      <c r="AL484" s="269"/>
      <c r="AM484" s="269"/>
      <c r="AN484" s="269"/>
      <c r="AO484" s="269"/>
      <c r="AP484" s="269"/>
      <c r="AQ484" s="269"/>
      <c r="AR484" s="269"/>
    </row>
    <row r="485">
      <c r="A485" s="410" t="str">
        <f>IFERROR(__xludf.DUMMYFUNCTION("""COMPUTED_VALUE"""),"WO_WFM-OTHERS_20260623_123616283")</f>
        <v>WO_WFM-OTHERS_20260623_123616283</v>
      </c>
      <c r="B485" s="410" t="str">
        <f>IFERROR(__xludf.DUMMYFUNCTION("""COMPUTED_VALUE"""),"Cable Patrol for (AC)-TNI0348-JB(TNI0004-TNI0010)")</f>
        <v>Cable Patrol for (AC)-TNI0348-JB(TNI0004-TNI0010)</v>
      </c>
      <c r="C485" s="410">
        <f>IFERROR(__xludf.DUMMYFUNCTION("""COMPUTED_VALUE"""),439.03)</f>
        <v>439.03</v>
      </c>
      <c r="D485" s="410" t="str">
        <f>IFERROR(__xludf.DUMMYFUNCTION("""COMPUTED_VALUE"""),"T3")</f>
        <v>T3</v>
      </c>
      <c r="E485" s="410" t="str">
        <f>IFERROR(__xludf.DUMMYFUNCTION("""COMPUTED_VALUE"""),"TNI0348")</f>
        <v>TNI0348</v>
      </c>
      <c r="F485" s="410" t="str">
        <f>IFERROR(__xludf.DUMMYFUNCTION("""COMPUTED_VALUE"""),"myt_tinnaing.lin11")</f>
        <v>myt_tinnaing.lin11</v>
      </c>
      <c r="H485" s="269"/>
      <c r="I485" s="269"/>
      <c r="J485" s="269"/>
      <c r="K485" s="269"/>
      <c r="L485" s="269"/>
      <c r="M485" s="269"/>
      <c r="N485" s="269"/>
      <c r="O485" s="269"/>
      <c r="P485" s="269"/>
      <c r="Q485" s="269"/>
      <c r="R485" s="269"/>
      <c r="S485" s="269"/>
      <c r="T485" s="269"/>
      <c r="U485" s="269"/>
      <c r="V485" s="269"/>
      <c r="W485" s="269"/>
      <c r="X485" s="269"/>
      <c r="Y485" s="269"/>
      <c r="Z485" s="269"/>
      <c r="AA485" s="269"/>
      <c r="AB485" s="269"/>
      <c r="AC485" s="269"/>
      <c r="AD485" s="269"/>
      <c r="AE485" s="269"/>
      <c r="AF485" s="269"/>
      <c r="AG485" s="269"/>
      <c r="AH485" s="269"/>
      <c r="AI485" s="269"/>
      <c r="AJ485" s="269"/>
      <c r="AK485" s="269"/>
      <c r="AL485" s="269"/>
      <c r="AM485" s="269"/>
      <c r="AN485" s="269"/>
      <c r="AO485" s="269"/>
      <c r="AP485" s="269"/>
      <c r="AQ485" s="269"/>
      <c r="AR485" s="269"/>
    </row>
    <row r="486">
      <c r="A486" s="410" t="str">
        <f>IFERROR(__xludf.DUMMYFUNCTION("""COMPUTED_VALUE"""),"WO_WFM-OTHERS_20260623_123616279")</f>
        <v>WO_WFM-OTHERS_20260623_123616279</v>
      </c>
      <c r="B486" s="410" t="str">
        <f>IFERROR(__xludf.DUMMYFUNCTION("""COMPUTED_VALUE"""),"Cable Patrol for (AC)-TNI0105-TNIM083")</f>
        <v>Cable Patrol for (AC)-TNI0105-TNIM083</v>
      </c>
      <c r="C486" s="410">
        <f>IFERROR(__xludf.DUMMYFUNCTION("""COMPUTED_VALUE"""),439.03)</f>
        <v>439.03</v>
      </c>
      <c r="D486" s="410" t="str">
        <f>IFERROR(__xludf.DUMMYFUNCTION("""COMPUTED_VALUE"""),"T3")</f>
        <v>T3</v>
      </c>
      <c r="E486" s="410" t="str">
        <f>IFERROR(__xludf.DUMMYFUNCTION("""COMPUTED_VALUE"""),"TNI0105")</f>
        <v>TNI0105</v>
      </c>
      <c r="F486" s="410" t="str">
        <f>IFERROR(__xludf.DUMMYFUNCTION("""COMPUTED_VALUE"""),"myt_tinnaing.lin11")</f>
        <v>myt_tinnaing.lin11</v>
      </c>
      <c r="H486" s="269"/>
      <c r="I486" s="269"/>
      <c r="J486" s="269"/>
      <c r="K486" s="269"/>
      <c r="L486" s="269"/>
      <c r="M486" s="269"/>
      <c r="N486" s="269"/>
      <c r="O486" s="269"/>
      <c r="P486" s="269"/>
      <c r="Q486" s="269"/>
      <c r="R486" s="269"/>
      <c r="S486" s="269"/>
      <c r="T486" s="269"/>
      <c r="U486" s="269"/>
      <c r="V486" s="269"/>
      <c r="W486" s="269"/>
      <c r="X486" s="269"/>
      <c r="Y486" s="269"/>
      <c r="Z486" s="269"/>
      <c r="AA486" s="269"/>
      <c r="AB486" s="269"/>
      <c r="AC486" s="269"/>
      <c r="AD486" s="269"/>
      <c r="AE486" s="269"/>
      <c r="AF486" s="269"/>
      <c r="AG486" s="269"/>
      <c r="AH486" s="269"/>
      <c r="AI486" s="269"/>
      <c r="AJ486" s="269"/>
      <c r="AK486" s="269"/>
      <c r="AL486" s="269"/>
      <c r="AM486" s="269"/>
      <c r="AN486" s="269"/>
      <c r="AO486" s="269"/>
      <c r="AP486" s="269"/>
      <c r="AQ486" s="269"/>
      <c r="AR486" s="269"/>
    </row>
    <row r="487">
      <c r="A487" s="410" t="str">
        <f>IFERROR(__xludf.DUMMYFUNCTION("""COMPUTED_VALUE"""),"WO_WFM-OTHERS_20260623_123616277")</f>
        <v>WO_WFM-OTHERS_20260623_123616277</v>
      </c>
      <c r="B487" s="410" t="str">
        <f>IFERROR(__xludf.DUMMYFUNCTION("""COMPUTED_VALUE"""),"Cable Patrol for (AC)-TNI0292-TNIM077")</f>
        <v>Cable Patrol for (AC)-TNI0292-TNIM077</v>
      </c>
      <c r="C487" s="410">
        <f>IFERROR(__xludf.DUMMYFUNCTION("""COMPUTED_VALUE"""),439.03)</f>
        <v>439.03</v>
      </c>
      <c r="D487" s="410" t="str">
        <f>IFERROR(__xludf.DUMMYFUNCTION("""COMPUTED_VALUE"""),"T3")</f>
        <v>T3</v>
      </c>
      <c r="E487" s="410" t="str">
        <f>IFERROR(__xludf.DUMMYFUNCTION("""COMPUTED_VALUE"""),"TNI0292")</f>
        <v>TNI0292</v>
      </c>
      <c r="F487" s="410" t="str">
        <f>IFERROR(__xludf.DUMMYFUNCTION("""COMPUTED_VALUE"""),"myt_tinnaing.lin11")</f>
        <v>myt_tinnaing.lin11</v>
      </c>
      <c r="H487" s="269"/>
      <c r="I487" s="269"/>
      <c r="J487" s="269"/>
      <c r="K487" s="269"/>
      <c r="L487" s="269"/>
      <c r="M487" s="269"/>
      <c r="N487" s="269"/>
      <c r="O487" s="269"/>
      <c r="P487" s="269"/>
      <c r="Q487" s="269"/>
      <c r="R487" s="269"/>
      <c r="S487" s="269"/>
      <c r="T487" s="269"/>
      <c r="U487" s="269"/>
      <c r="V487" s="269"/>
      <c r="W487" s="269"/>
      <c r="X487" s="269"/>
      <c r="Y487" s="269"/>
      <c r="Z487" s="269"/>
      <c r="AA487" s="269"/>
      <c r="AB487" s="269"/>
      <c r="AC487" s="269"/>
      <c r="AD487" s="269"/>
      <c r="AE487" s="269"/>
      <c r="AF487" s="269"/>
      <c r="AG487" s="269"/>
      <c r="AH487" s="269"/>
      <c r="AI487" s="269"/>
      <c r="AJ487" s="269"/>
      <c r="AK487" s="269"/>
      <c r="AL487" s="269"/>
      <c r="AM487" s="269"/>
      <c r="AN487" s="269"/>
      <c r="AO487" s="269"/>
      <c r="AP487" s="269"/>
      <c r="AQ487" s="269"/>
      <c r="AR487" s="269"/>
    </row>
    <row r="488">
      <c r="A488" s="410" t="str">
        <f>IFERROR(__xludf.DUMMYFUNCTION("""COMPUTED_VALUE"""),"WO_WFM-OTHERS_20260623_123613146")</f>
        <v>WO_WFM-OTHERS_20260623_123613146</v>
      </c>
      <c r="B488" s="410" t="str">
        <f>IFERROR(__xludf.DUMMYFUNCTION("""COMPUTED_VALUE"""),"Cable routes measure-AC-TNI0103-TNIM082")</f>
        <v>Cable routes measure-AC-TNI0103-TNIM082</v>
      </c>
      <c r="C488" s="410">
        <f>IFERROR(__xludf.DUMMYFUNCTION("""COMPUTED_VALUE"""),439.03)</f>
        <v>439.03</v>
      </c>
      <c r="D488" s="410" t="str">
        <f>IFERROR(__xludf.DUMMYFUNCTION("""COMPUTED_VALUE"""),"T3")</f>
        <v>T3</v>
      </c>
      <c r="E488" s="410" t="str">
        <f>IFERROR(__xludf.DUMMYFUNCTION("""COMPUTED_VALUE"""),"TNI0103")</f>
        <v>TNI0103</v>
      </c>
      <c r="F488" s="410" t="str">
        <f>IFERROR(__xludf.DUMMYFUNCTION("""COMPUTED_VALUE"""),"myt_tinnaing.lin11")</f>
        <v>myt_tinnaing.lin11</v>
      </c>
      <c r="H488" s="269"/>
      <c r="I488" s="269"/>
      <c r="J488" s="269"/>
      <c r="K488" s="269"/>
      <c r="L488" s="269"/>
      <c r="M488" s="269"/>
      <c r="N488" s="269"/>
      <c r="O488" s="269"/>
      <c r="P488" s="269"/>
      <c r="Q488" s="269"/>
      <c r="R488" s="269"/>
      <c r="S488" s="269"/>
      <c r="T488" s="269"/>
      <c r="U488" s="269"/>
      <c r="V488" s="269"/>
      <c r="W488" s="269"/>
      <c r="X488" s="269"/>
      <c r="Y488" s="269"/>
      <c r="Z488" s="269"/>
      <c r="AA488" s="269"/>
      <c r="AB488" s="269"/>
      <c r="AC488" s="269"/>
      <c r="AD488" s="269"/>
      <c r="AE488" s="269"/>
      <c r="AF488" s="269"/>
      <c r="AG488" s="269"/>
      <c r="AH488" s="269"/>
      <c r="AI488" s="269"/>
      <c r="AJ488" s="269"/>
      <c r="AK488" s="269"/>
      <c r="AL488" s="269"/>
      <c r="AM488" s="269"/>
      <c r="AN488" s="269"/>
      <c r="AO488" s="269"/>
      <c r="AP488" s="269"/>
      <c r="AQ488" s="269"/>
      <c r="AR488" s="269"/>
    </row>
    <row r="489">
      <c r="A489" s="410" t="str">
        <f>IFERROR(__xludf.DUMMYFUNCTION("""COMPUTED_VALUE"""),"WO_WFM-OTHERS_20260623_123612929")</f>
        <v>WO_WFM-OTHERS_20260623_123612929</v>
      </c>
      <c r="B489" s="410" t="str">
        <f>IFERROR(__xludf.DUMMYFUNCTION("""COMPUTED_VALUE"""),"Cable routes measure-AC-TNI0103-TNIM082")</f>
        <v>Cable routes measure-AC-TNI0103-TNIM082</v>
      </c>
      <c r="C489" s="410">
        <f>IFERROR(__xludf.DUMMYFUNCTION("""COMPUTED_VALUE"""),439.03)</f>
        <v>439.03</v>
      </c>
      <c r="D489" s="410" t="str">
        <f>IFERROR(__xludf.DUMMYFUNCTION("""COMPUTED_VALUE"""),"T3")</f>
        <v>T3</v>
      </c>
      <c r="E489" s="410" t="str">
        <f>IFERROR(__xludf.DUMMYFUNCTION("""COMPUTED_VALUE"""),"TNI0103")</f>
        <v>TNI0103</v>
      </c>
      <c r="F489" s="410" t="str">
        <f>IFERROR(__xludf.DUMMYFUNCTION("""COMPUTED_VALUE"""),"myt_tinnaing.lin11")</f>
        <v>myt_tinnaing.lin11</v>
      </c>
      <c r="H489" s="269"/>
      <c r="I489" s="269"/>
      <c r="J489" s="269"/>
      <c r="K489" s="269"/>
      <c r="L489" s="269"/>
      <c r="M489" s="269"/>
      <c r="N489" s="269"/>
      <c r="O489" s="269"/>
      <c r="P489" s="269"/>
      <c r="Q489" s="269"/>
      <c r="R489" s="269"/>
      <c r="S489" s="269"/>
      <c r="T489" s="269"/>
      <c r="U489" s="269"/>
      <c r="V489" s="269"/>
      <c r="W489" s="269"/>
      <c r="X489" s="269"/>
      <c r="Y489" s="269"/>
      <c r="Z489" s="269"/>
      <c r="AA489" s="269"/>
      <c r="AB489" s="269"/>
      <c r="AC489" s="269"/>
      <c r="AD489" s="269"/>
      <c r="AE489" s="269"/>
      <c r="AF489" s="269"/>
      <c r="AG489" s="269"/>
      <c r="AH489" s="269"/>
      <c r="AI489" s="269"/>
      <c r="AJ489" s="269"/>
      <c r="AK489" s="269"/>
      <c r="AL489" s="269"/>
      <c r="AM489" s="269"/>
      <c r="AN489" s="269"/>
      <c r="AO489" s="269"/>
      <c r="AP489" s="269"/>
      <c r="AQ489" s="269"/>
      <c r="AR489" s="269"/>
    </row>
    <row r="490">
      <c r="A490" s="410" t="str">
        <f>IFERROR(__xludf.DUMMYFUNCTION("""COMPUTED_VALUE"""),"WO_WFM-OTHERS_20260623_123612925")</f>
        <v>WO_WFM-OTHERS_20260623_123612925</v>
      </c>
      <c r="B490" s="410" t="str">
        <f>IFERROR(__xludf.DUMMYFUNCTION("""COMPUTED_VALUE"""),"Cable routes measure-AC-TNI0179-JB(TNI0004-TNI0010)")</f>
        <v>Cable routes measure-AC-TNI0179-JB(TNI0004-TNI0010)</v>
      </c>
      <c r="C490" s="410">
        <f>IFERROR(__xludf.DUMMYFUNCTION("""COMPUTED_VALUE"""),439.03)</f>
        <v>439.03</v>
      </c>
      <c r="D490" s="410" t="str">
        <f>IFERROR(__xludf.DUMMYFUNCTION("""COMPUTED_VALUE"""),"T3")</f>
        <v>T3</v>
      </c>
      <c r="E490" s="410" t="str">
        <f>IFERROR(__xludf.DUMMYFUNCTION("""COMPUTED_VALUE"""),"TNI0179")</f>
        <v>TNI0179</v>
      </c>
      <c r="F490" s="410" t="str">
        <f>IFERROR(__xludf.DUMMYFUNCTION("""COMPUTED_VALUE"""),"myt_tinnaing.lin11")</f>
        <v>myt_tinnaing.lin11</v>
      </c>
      <c r="H490" s="269"/>
      <c r="I490" s="269"/>
      <c r="J490" s="269"/>
      <c r="K490" s="269"/>
      <c r="L490" s="269"/>
      <c r="M490" s="269"/>
      <c r="N490" s="269"/>
      <c r="O490" s="269"/>
      <c r="P490" s="269"/>
      <c r="Q490" s="269"/>
      <c r="R490" s="269"/>
      <c r="S490" s="269"/>
      <c r="T490" s="269"/>
      <c r="U490" s="269"/>
      <c r="V490" s="269"/>
      <c r="W490" s="269"/>
      <c r="X490" s="269"/>
      <c r="Y490" s="269"/>
      <c r="Z490" s="269"/>
      <c r="AA490" s="269"/>
      <c r="AB490" s="269"/>
      <c r="AC490" s="269"/>
      <c r="AD490" s="269"/>
      <c r="AE490" s="269"/>
      <c r="AF490" s="269"/>
      <c r="AG490" s="269"/>
      <c r="AH490" s="269"/>
      <c r="AI490" s="269"/>
      <c r="AJ490" s="269"/>
      <c r="AK490" s="269"/>
      <c r="AL490" s="269"/>
      <c r="AM490" s="269"/>
      <c r="AN490" s="269"/>
      <c r="AO490" s="269"/>
      <c r="AP490" s="269"/>
      <c r="AQ490" s="269"/>
      <c r="AR490" s="269"/>
    </row>
    <row r="491">
      <c r="A491" s="410" t="str">
        <f>IFERROR(__xludf.DUMMYFUNCTION("""COMPUTED_VALUE"""),"WO_WFM-OTHERS_20260623_123612924")</f>
        <v>WO_WFM-OTHERS_20260623_123612924</v>
      </c>
      <c r="B491" s="410" t="str">
        <f>IFERROR(__xludf.DUMMYFUNCTION("""COMPUTED_VALUE"""),"Cable routes measure-AC-TNI0212-TNI0389")</f>
        <v>Cable routes measure-AC-TNI0212-TNI0389</v>
      </c>
      <c r="C491" s="410">
        <f>IFERROR(__xludf.DUMMYFUNCTION("""COMPUTED_VALUE"""),439.03)</f>
        <v>439.03</v>
      </c>
      <c r="D491" s="410" t="str">
        <f>IFERROR(__xludf.DUMMYFUNCTION("""COMPUTED_VALUE"""),"T3")</f>
        <v>T3</v>
      </c>
      <c r="E491" s="410" t="str">
        <f>IFERROR(__xludf.DUMMYFUNCTION("""COMPUTED_VALUE"""),"TNI0212")</f>
        <v>TNI0212</v>
      </c>
      <c r="F491" s="410" t="str">
        <f>IFERROR(__xludf.DUMMYFUNCTION("""COMPUTED_VALUE"""),"myt_tinnaing.lin11")</f>
        <v>myt_tinnaing.lin11</v>
      </c>
      <c r="H491" s="269"/>
      <c r="I491" s="269"/>
      <c r="J491" s="269"/>
      <c r="K491" s="269"/>
      <c r="L491" s="269"/>
      <c r="M491" s="269"/>
      <c r="N491" s="269"/>
      <c r="O491" s="269"/>
      <c r="P491" s="269"/>
      <c r="Q491" s="269"/>
      <c r="R491" s="269"/>
      <c r="S491" s="269"/>
      <c r="T491" s="269"/>
      <c r="U491" s="269"/>
      <c r="V491" s="269"/>
      <c r="W491" s="269"/>
      <c r="X491" s="269"/>
      <c r="Y491" s="269"/>
      <c r="Z491" s="269"/>
      <c r="AA491" s="269"/>
      <c r="AB491" s="269"/>
      <c r="AC491" s="269"/>
      <c r="AD491" s="269"/>
      <c r="AE491" s="269"/>
      <c r="AF491" s="269"/>
      <c r="AG491" s="269"/>
      <c r="AH491" s="269"/>
      <c r="AI491" s="269"/>
      <c r="AJ491" s="269"/>
      <c r="AK491" s="269"/>
      <c r="AL491" s="269"/>
      <c r="AM491" s="269"/>
      <c r="AN491" s="269"/>
      <c r="AO491" s="269"/>
      <c r="AP491" s="269"/>
      <c r="AQ491" s="269"/>
      <c r="AR491" s="269"/>
    </row>
    <row r="492">
      <c r="A492" s="410" t="str">
        <f>IFERROR(__xludf.DUMMYFUNCTION("""COMPUTED_VALUE"""),"WO_WFM-OTHERS_20260623_123616258")</f>
        <v>WO_WFM-OTHERS_20260623_123616258</v>
      </c>
      <c r="B492" s="410" t="str">
        <f>IFERROR(__xludf.DUMMYFUNCTION("""COMPUTED_VALUE"""),"Cable Patrol for (AC)-TNI0036-JB(TNI0036-TNI0270)")</f>
        <v>Cable Patrol for (AC)-TNI0036-JB(TNI0036-TNI0270)</v>
      </c>
      <c r="C492" s="410">
        <f>IFERROR(__xludf.DUMMYFUNCTION("""COMPUTED_VALUE"""),439.03)</f>
        <v>439.03</v>
      </c>
      <c r="D492" s="410" t="str">
        <f>IFERROR(__xludf.DUMMYFUNCTION("""COMPUTED_VALUE"""),"T2")</f>
        <v>T2</v>
      </c>
      <c r="E492" s="410" t="str">
        <f>IFERROR(__xludf.DUMMYFUNCTION("""COMPUTED_VALUE"""),"TNI0036")</f>
        <v>TNI0036</v>
      </c>
      <c r="F492" s="410" t="str">
        <f>IFERROR(__xludf.DUMMYFUNCTION("""COMPUTED_VALUE"""),"myt_wanna.oo2")</f>
        <v>myt_wanna.oo2</v>
      </c>
      <c r="H492" s="269"/>
      <c r="I492" s="269"/>
      <c r="J492" s="269"/>
      <c r="K492" s="269"/>
      <c r="L492" s="269"/>
      <c r="M492" s="269"/>
      <c r="N492" s="269"/>
      <c r="O492" s="269"/>
      <c r="P492" s="269"/>
      <c r="Q492" s="269"/>
      <c r="R492" s="269"/>
      <c r="S492" s="269"/>
      <c r="T492" s="269"/>
      <c r="U492" s="269"/>
      <c r="V492" s="269"/>
      <c r="W492" s="269"/>
      <c r="X492" s="269"/>
      <c r="Y492" s="269"/>
      <c r="Z492" s="269"/>
      <c r="AA492" s="269"/>
      <c r="AB492" s="269"/>
      <c r="AC492" s="269"/>
      <c r="AD492" s="269"/>
      <c r="AE492" s="269"/>
      <c r="AF492" s="269"/>
      <c r="AG492" s="269"/>
      <c r="AH492" s="269"/>
      <c r="AI492" s="269"/>
      <c r="AJ492" s="269"/>
      <c r="AK492" s="269"/>
      <c r="AL492" s="269"/>
      <c r="AM492" s="269"/>
      <c r="AN492" s="269"/>
      <c r="AO492" s="269"/>
      <c r="AP492" s="269"/>
      <c r="AQ492" s="269"/>
      <c r="AR492" s="269"/>
    </row>
    <row r="493">
      <c r="A493" s="410" t="str">
        <f>IFERROR(__xludf.DUMMYFUNCTION("""COMPUTED_VALUE"""),"WO_WFM-OTHERS_20260623_123616249")</f>
        <v>WO_WFM-OTHERS_20260623_123616249</v>
      </c>
      <c r="B493" s="410" t="str">
        <f>IFERROR(__xludf.DUMMYFUNCTION("""COMPUTED_VALUE"""),"Cable Patrol for (AC)-TNI0277-TNIM065")</f>
        <v>Cable Patrol for (AC)-TNI0277-TNIM065</v>
      </c>
      <c r="C493" s="410">
        <f>IFERROR(__xludf.DUMMYFUNCTION("""COMPUTED_VALUE"""),439.03)</f>
        <v>439.03</v>
      </c>
      <c r="D493" s="410" t="str">
        <f>IFERROR(__xludf.DUMMYFUNCTION("""COMPUTED_VALUE"""),"T2")</f>
        <v>T2</v>
      </c>
      <c r="E493" s="410" t="str">
        <f>IFERROR(__xludf.DUMMYFUNCTION("""COMPUTED_VALUE"""),"TNI0277")</f>
        <v>TNI0277</v>
      </c>
      <c r="F493" s="410" t="str">
        <f>IFERROR(__xludf.DUMMYFUNCTION("""COMPUTED_VALUE"""),"myt_wanna.oo2")</f>
        <v>myt_wanna.oo2</v>
      </c>
      <c r="H493" s="269"/>
      <c r="I493" s="269"/>
      <c r="J493" s="269"/>
      <c r="K493" s="269"/>
      <c r="L493" s="269"/>
      <c r="M493" s="269"/>
      <c r="N493" s="269"/>
      <c r="O493" s="269"/>
      <c r="P493" s="269"/>
      <c r="Q493" s="269"/>
      <c r="R493" s="269"/>
      <c r="S493" s="269"/>
      <c r="T493" s="269"/>
      <c r="U493" s="269"/>
      <c r="V493" s="269"/>
      <c r="W493" s="269"/>
      <c r="X493" s="269"/>
      <c r="Y493" s="269"/>
      <c r="Z493" s="269"/>
      <c r="AA493" s="269"/>
      <c r="AB493" s="269"/>
      <c r="AC493" s="269"/>
      <c r="AD493" s="269"/>
      <c r="AE493" s="269"/>
      <c r="AF493" s="269"/>
      <c r="AG493" s="269"/>
      <c r="AH493" s="269"/>
      <c r="AI493" s="269"/>
      <c r="AJ493" s="269"/>
      <c r="AK493" s="269"/>
      <c r="AL493" s="269"/>
      <c r="AM493" s="269"/>
      <c r="AN493" s="269"/>
      <c r="AO493" s="269"/>
      <c r="AP493" s="269"/>
      <c r="AQ493" s="269"/>
      <c r="AR493" s="269"/>
    </row>
    <row r="494">
      <c r="A494" s="410" t="str">
        <f>IFERROR(__xludf.DUMMYFUNCTION("""COMPUTED_VALUE"""),"WO_WFM-OTHERS_20260623_123616259")</f>
        <v>WO_WFM-OTHERS_20260623_123616259</v>
      </c>
      <c r="B494" s="410" t="str">
        <f>IFERROR(__xludf.DUMMYFUNCTION("""COMPUTED_VALUE"""),"Cable Patrol for (AC)-TNI0108-TNIM038")</f>
        <v>Cable Patrol for (AC)-TNI0108-TNIM038</v>
      </c>
      <c r="C494" s="410">
        <f>IFERROR(__xludf.DUMMYFUNCTION("""COMPUTED_VALUE"""),439.03)</f>
        <v>439.03</v>
      </c>
      <c r="D494" s="410" t="str">
        <f>IFERROR(__xludf.DUMMYFUNCTION("""COMPUTED_VALUE"""),"T2")</f>
        <v>T2</v>
      </c>
      <c r="E494" s="410" t="str">
        <f>IFERROR(__xludf.DUMMYFUNCTION("""COMPUTED_VALUE"""),"TNI0108")</f>
        <v>TNI0108</v>
      </c>
      <c r="F494" s="410" t="str">
        <f>IFERROR(__xludf.DUMMYFUNCTION("""COMPUTED_VALUE"""),"myt_wanna.oo2")</f>
        <v>myt_wanna.oo2</v>
      </c>
      <c r="H494" s="269"/>
      <c r="I494" s="269"/>
      <c r="J494" s="269"/>
      <c r="K494" s="269"/>
      <c r="L494" s="269"/>
      <c r="M494" s="269"/>
      <c r="N494" s="269"/>
      <c r="O494" s="269"/>
      <c r="P494" s="269"/>
      <c r="Q494" s="269"/>
      <c r="R494" s="269"/>
      <c r="S494" s="269"/>
      <c r="T494" s="269"/>
      <c r="U494" s="269"/>
      <c r="V494" s="269"/>
      <c r="W494" s="269"/>
      <c r="X494" s="269"/>
      <c r="Y494" s="269"/>
      <c r="Z494" s="269"/>
      <c r="AA494" s="269"/>
      <c r="AB494" s="269"/>
      <c r="AC494" s="269"/>
      <c r="AD494" s="269"/>
      <c r="AE494" s="269"/>
      <c r="AF494" s="269"/>
      <c r="AG494" s="269"/>
      <c r="AH494" s="269"/>
      <c r="AI494" s="269"/>
      <c r="AJ494" s="269"/>
      <c r="AK494" s="269"/>
      <c r="AL494" s="269"/>
      <c r="AM494" s="269"/>
      <c r="AN494" s="269"/>
      <c r="AO494" s="269"/>
      <c r="AP494" s="269"/>
      <c r="AQ494" s="269"/>
      <c r="AR494" s="269"/>
    </row>
    <row r="495">
      <c r="A495" s="410" t="str">
        <f>IFERROR(__xludf.DUMMYFUNCTION("""COMPUTED_VALUE"""),"WO_WFM-OTHERS_20260623_123616257")</f>
        <v>WO_WFM-OTHERS_20260623_123616257</v>
      </c>
      <c r="B495" s="410" t="str">
        <f>IFERROR(__xludf.DUMMYFUNCTION("""COMPUTED_VALUE"""),"Cable Patrol for (AC)-TNI0075-TNIM031")</f>
        <v>Cable Patrol for (AC)-TNI0075-TNIM031</v>
      </c>
      <c r="C495" s="410">
        <f>IFERROR(__xludf.DUMMYFUNCTION("""COMPUTED_VALUE"""),439.03)</f>
        <v>439.03</v>
      </c>
      <c r="D495" s="410" t="str">
        <f>IFERROR(__xludf.DUMMYFUNCTION("""COMPUTED_VALUE"""),"T2")</f>
        <v>T2</v>
      </c>
      <c r="E495" s="410" t="str">
        <f>IFERROR(__xludf.DUMMYFUNCTION("""COMPUTED_VALUE"""),"TNI0075")</f>
        <v>TNI0075</v>
      </c>
      <c r="F495" s="410" t="str">
        <f>IFERROR(__xludf.DUMMYFUNCTION("""COMPUTED_VALUE"""),"myt_wanna.oo2")</f>
        <v>myt_wanna.oo2</v>
      </c>
      <c r="H495" s="269"/>
      <c r="I495" s="269"/>
      <c r="J495" s="269"/>
      <c r="K495" s="269"/>
      <c r="L495" s="269"/>
      <c r="M495" s="269"/>
      <c r="N495" s="269"/>
      <c r="O495" s="269"/>
      <c r="P495" s="269"/>
      <c r="Q495" s="269"/>
      <c r="R495" s="269"/>
      <c r="S495" s="269"/>
      <c r="T495" s="269"/>
      <c r="U495" s="269"/>
      <c r="V495" s="269"/>
      <c r="W495" s="269"/>
      <c r="X495" s="269"/>
      <c r="Y495" s="269"/>
      <c r="Z495" s="269"/>
      <c r="AA495" s="269"/>
      <c r="AB495" s="269"/>
      <c r="AC495" s="269"/>
      <c r="AD495" s="269"/>
      <c r="AE495" s="269"/>
      <c r="AF495" s="269"/>
      <c r="AG495" s="269"/>
      <c r="AH495" s="269"/>
      <c r="AI495" s="269"/>
      <c r="AJ495" s="269"/>
      <c r="AK495" s="269"/>
      <c r="AL495" s="269"/>
      <c r="AM495" s="269"/>
      <c r="AN495" s="269"/>
      <c r="AO495" s="269"/>
      <c r="AP495" s="269"/>
      <c r="AQ495" s="269"/>
      <c r="AR495" s="269"/>
    </row>
    <row r="496">
      <c r="A496" s="410" t="str">
        <f>IFERROR(__xludf.DUMMYFUNCTION("""COMPUTED_VALUE"""),"WO_WFM-OTHERS_20260623_123616255")</f>
        <v>WO_WFM-OTHERS_20260623_123616255</v>
      </c>
      <c r="B496" s="410" t="str">
        <f>IFERROR(__xludf.DUMMYFUNCTION("""COMPUTED_VALUE"""),"Cable Patrol for (AC)-TNI0323-JB(TNI0005-TNI0007)")</f>
        <v>Cable Patrol for (AC)-TNI0323-JB(TNI0005-TNI0007)</v>
      </c>
      <c r="C496" s="410">
        <f>IFERROR(__xludf.DUMMYFUNCTION("""COMPUTED_VALUE"""),439.03)</f>
        <v>439.03</v>
      </c>
      <c r="D496" s="410" t="str">
        <f>IFERROR(__xludf.DUMMYFUNCTION("""COMPUTED_VALUE"""),"T2")</f>
        <v>T2</v>
      </c>
      <c r="E496" s="410" t="str">
        <f>IFERROR(__xludf.DUMMYFUNCTION("""COMPUTED_VALUE"""),"TNI0323")</f>
        <v>TNI0323</v>
      </c>
      <c r="F496" s="410" t="str">
        <f>IFERROR(__xludf.DUMMYFUNCTION("""COMPUTED_VALUE"""),"myt_wanna.oo2")</f>
        <v>myt_wanna.oo2</v>
      </c>
      <c r="H496" s="269"/>
      <c r="I496" s="269"/>
      <c r="J496" s="269"/>
      <c r="K496" s="269"/>
      <c r="L496" s="269"/>
      <c r="M496" s="269"/>
      <c r="N496" s="269"/>
      <c r="O496" s="269"/>
      <c r="P496" s="269"/>
      <c r="Q496" s="269"/>
      <c r="R496" s="269"/>
      <c r="S496" s="269"/>
      <c r="T496" s="269"/>
      <c r="U496" s="269"/>
      <c r="V496" s="269"/>
      <c r="W496" s="269"/>
      <c r="X496" s="269"/>
      <c r="Y496" s="269"/>
      <c r="Z496" s="269"/>
      <c r="AA496" s="269"/>
      <c r="AB496" s="269"/>
      <c r="AC496" s="269"/>
      <c r="AD496" s="269"/>
      <c r="AE496" s="269"/>
      <c r="AF496" s="269"/>
      <c r="AG496" s="269"/>
      <c r="AH496" s="269"/>
      <c r="AI496" s="269"/>
      <c r="AJ496" s="269"/>
      <c r="AK496" s="269"/>
      <c r="AL496" s="269"/>
      <c r="AM496" s="269"/>
      <c r="AN496" s="269"/>
      <c r="AO496" s="269"/>
      <c r="AP496" s="269"/>
      <c r="AQ496" s="269"/>
      <c r="AR496" s="269"/>
    </row>
    <row r="497">
      <c r="A497" s="410" t="str">
        <f>IFERROR(__xludf.DUMMYFUNCTION("""COMPUTED_VALUE"""),"WO_WFM-OTHERS_20260623_123616239")</f>
        <v>WO_WFM-OTHERS_20260623_123616239</v>
      </c>
      <c r="B497" s="410" t="str">
        <f>IFERROR(__xludf.DUMMYFUNCTION("""COMPUTED_VALUE"""),"Cable Patrol for (BB)-TNI0003-TNIM002")</f>
        <v>Cable Patrol for (BB)-TNI0003-TNIM002</v>
      </c>
      <c r="C497" s="410">
        <f>IFERROR(__xludf.DUMMYFUNCTION("""COMPUTED_VALUE"""),439.03)</f>
        <v>439.03</v>
      </c>
      <c r="D497" s="410" t="str">
        <f>IFERROR(__xludf.DUMMYFUNCTION("""COMPUTED_VALUE"""),"T2")</f>
        <v>T2</v>
      </c>
      <c r="E497" s="410" t="str">
        <f>IFERROR(__xludf.DUMMYFUNCTION("""COMPUTED_VALUE"""),"TNI0003")</f>
        <v>TNI0003</v>
      </c>
      <c r="F497" s="410" t="str">
        <f>IFERROR(__xludf.DUMMYFUNCTION("""COMPUTED_VALUE"""),"myt_wanna.oo2")</f>
        <v>myt_wanna.oo2</v>
      </c>
      <c r="H497" s="269"/>
      <c r="I497" s="269"/>
      <c r="J497" s="269"/>
      <c r="K497" s="269"/>
      <c r="L497" s="269"/>
      <c r="M497" s="269"/>
      <c r="N497" s="269"/>
      <c r="O497" s="269"/>
      <c r="P497" s="269"/>
      <c r="Q497" s="269"/>
      <c r="R497" s="269"/>
      <c r="S497" s="269"/>
      <c r="T497" s="269"/>
      <c r="U497" s="269"/>
      <c r="V497" s="269"/>
      <c r="W497" s="269"/>
      <c r="X497" s="269"/>
      <c r="Y497" s="269"/>
      <c r="Z497" s="269"/>
      <c r="AA497" s="269"/>
      <c r="AB497" s="269"/>
      <c r="AC497" s="269"/>
      <c r="AD497" s="269"/>
      <c r="AE497" s="269"/>
      <c r="AF497" s="269"/>
      <c r="AG497" s="269"/>
      <c r="AH497" s="269"/>
      <c r="AI497" s="269"/>
      <c r="AJ497" s="269"/>
      <c r="AK497" s="269"/>
      <c r="AL497" s="269"/>
      <c r="AM497" s="269"/>
      <c r="AN497" s="269"/>
      <c r="AO497" s="269"/>
      <c r="AP497" s="269"/>
      <c r="AQ497" s="269"/>
      <c r="AR497" s="269"/>
    </row>
    <row r="498">
      <c r="A498" s="410" t="str">
        <f>IFERROR(__xludf.DUMMYFUNCTION("""COMPUTED_VALUE"""),"WO_WFM-OTHERS_20260623_123616238")</f>
        <v>WO_WFM-OTHERS_20260623_123616238</v>
      </c>
      <c r="B498" s="410" t="str">
        <f>IFERROR(__xludf.DUMMYFUNCTION("""COMPUTED_VALUE"""),"Cable Patrol for (BB)-TNI0001-TNIM001")</f>
        <v>Cable Patrol for (BB)-TNI0001-TNIM001</v>
      </c>
      <c r="C498" s="410">
        <f>IFERROR(__xludf.DUMMYFUNCTION("""COMPUTED_VALUE"""),439.03)</f>
        <v>439.03</v>
      </c>
      <c r="D498" s="410" t="str">
        <f>IFERROR(__xludf.DUMMYFUNCTION("""COMPUTED_VALUE"""),"T2")</f>
        <v>T2</v>
      </c>
      <c r="E498" s="410" t="str">
        <f>IFERROR(__xludf.DUMMYFUNCTION("""COMPUTED_VALUE"""),"TNI0001")</f>
        <v>TNI0001</v>
      </c>
      <c r="F498" s="410" t="str">
        <f>IFERROR(__xludf.DUMMYFUNCTION("""COMPUTED_VALUE"""),"myt_wanna.oo2")</f>
        <v>myt_wanna.oo2</v>
      </c>
      <c r="H498" s="269"/>
      <c r="I498" s="269"/>
      <c r="J498" s="269"/>
      <c r="K498" s="269"/>
      <c r="L498" s="269"/>
      <c r="M498" s="269"/>
      <c r="N498" s="269"/>
      <c r="O498" s="269"/>
      <c r="P498" s="269"/>
      <c r="Q498" s="269"/>
      <c r="R498" s="269"/>
      <c r="S498" s="269"/>
      <c r="T498" s="269"/>
      <c r="U498" s="269"/>
      <c r="V498" s="269"/>
      <c r="W498" s="269"/>
      <c r="X498" s="269"/>
      <c r="Y498" s="269"/>
      <c r="Z498" s="269"/>
      <c r="AA498" s="269"/>
      <c r="AB498" s="269"/>
      <c r="AC498" s="269"/>
      <c r="AD498" s="269"/>
      <c r="AE498" s="269"/>
      <c r="AF498" s="269"/>
      <c r="AG498" s="269"/>
      <c r="AH498" s="269"/>
      <c r="AI498" s="269"/>
      <c r="AJ498" s="269"/>
      <c r="AK498" s="269"/>
      <c r="AL498" s="269"/>
      <c r="AM498" s="269"/>
      <c r="AN498" s="269"/>
      <c r="AO498" s="269"/>
      <c r="AP498" s="269"/>
      <c r="AQ498" s="269"/>
      <c r="AR498" s="269"/>
    </row>
    <row r="499">
      <c r="A499" s="410" t="str">
        <f>IFERROR(__xludf.DUMMYFUNCTION("""COMPUTED_VALUE"""),"WO_WFM-OTHERS_20260623_123616242")</f>
        <v>WO_WFM-OTHERS_20260623_123616242</v>
      </c>
      <c r="B499" s="410" t="str">
        <f>IFERROR(__xludf.DUMMYFUNCTION("""COMPUTED_VALUE"""),"Cable Patrol for (BB)-TNI0075-TNIM031")</f>
        <v>Cable Patrol for (BB)-TNI0075-TNIM031</v>
      </c>
      <c r="C499" s="410">
        <f>IFERROR(__xludf.DUMMYFUNCTION("""COMPUTED_VALUE"""),439.03)</f>
        <v>439.03</v>
      </c>
      <c r="D499" s="410" t="str">
        <f>IFERROR(__xludf.DUMMYFUNCTION("""COMPUTED_VALUE"""),"T2")</f>
        <v>T2</v>
      </c>
      <c r="E499" s="410" t="str">
        <f>IFERROR(__xludf.DUMMYFUNCTION("""COMPUTED_VALUE"""),"TNI0075")</f>
        <v>TNI0075</v>
      </c>
      <c r="F499" s="410" t="str">
        <f>IFERROR(__xludf.DUMMYFUNCTION("""COMPUTED_VALUE"""),"myt_wanna.oo2")</f>
        <v>myt_wanna.oo2</v>
      </c>
      <c r="H499" s="269"/>
      <c r="I499" s="269"/>
      <c r="J499" s="269"/>
      <c r="K499" s="269"/>
      <c r="L499" s="269"/>
      <c r="M499" s="269"/>
      <c r="N499" s="269"/>
      <c r="O499" s="269"/>
      <c r="P499" s="269"/>
      <c r="Q499" s="269"/>
      <c r="R499" s="269"/>
      <c r="S499" s="269"/>
      <c r="T499" s="269"/>
      <c r="U499" s="269"/>
      <c r="V499" s="269"/>
      <c r="W499" s="269"/>
      <c r="X499" s="269"/>
      <c r="Y499" s="269"/>
      <c r="Z499" s="269"/>
      <c r="AA499" s="269"/>
      <c r="AB499" s="269"/>
      <c r="AC499" s="269"/>
      <c r="AD499" s="269"/>
      <c r="AE499" s="269"/>
      <c r="AF499" s="269"/>
      <c r="AG499" s="269"/>
      <c r="AH499" s="269"/>
      <c r="AI499" s="269"/>
      <c r="AJ499" s="269"/>
      <c r="AK499" s="269"/>
      <c r="AL499" s="269"/>
      <c r="AM499" s="269"/>
      <c r="AN499" s="269"/>
      <c r="AO499" s="269"/>
      <c r="AP499" s="269"/>
      <c r="AQ499" s="269"/>
      <c r="AR499" s="269"/>
    </row>
    <row r="500">
      <c r="A500" s="410" t="str">
        <f>IFERROR(__xludf.DUMMYFUNCTION("""COMPUTED_VALUE"""),"WO_WFM-OTHERS_20260623_123616244")</f>
        <v>WO_WFM-OTHERS_20260623_123616244</v>
      </c>
      <c r="B500" s="410" t="str">
        <f>IFERROR(__xludf.DUMMYFUNCTION("""COMPUTED_VALUE"""),"Cable Patrol for (BB)-TNI0159-TNIM044")</f>
        <v>Cable Patrol for (BB)-TNI0159-TNIM044</v>
      </c>
      <c r="C500" s="410">
        <f>IFERROR(__xludf.DUMMYFUNCTION("""COMPUTED_VALUE"""),439.03)</f>
        <v>439.03</v>
      </c>
      <c r="D500" s="410" t="str">
        <f>IFERROR(__xludf.DUMMYFUNCTION("""COMPUTED_VALUE"""),"T2")</f>
        <v>T2</v>
      </c>
      <c r="E500" s="410" t="str">
        <f>IFERROR(__xludf.DUMMYFUNCTION("""COMPUTED_VALUE"""),"TNI0159")</f>
        <v>TNI0159</v>
      </c>
      <c r="F500" s="410" t="str">
        <f>IFERROR(__xludf.DUMMYFUNCTION("""COMPUTED_VALUE"""),"myt_wanna.oo2")</f>
        <v>myt_wanna.oo2</v>
      </c>
      <c r="H500" s="269"/>
      <c r="I500" s="269"/>
      <c r="J500" s="269"/>
      <c r="K500" s="269"/>
      <c r="L500" s="269"/>
      <c r="M500" s="269"/>
      <c r="N500" s="269"/>
      <c r="O500" s="269"/>
      <c r="P500" s="269"/>
      <c r="Q500" s="269"/>
      <c r="R500" s="269"/>
      <c r="S500" s="269"/>
      <c r="T500" s="269"/>
      <c r="U500" s="269"/>
      <c r="V500" s="269"/>
      <c r="W500" s="269"/>
      <c r="X500" s="269"/>
      <c r="Y500" s="269"/>
      <c r="Z500" s="269"/>
      <c r="AA500" s="269"/>
      <c r="AB500" s="269"/>
      <c r="AC500" s="269"/>
      <c r="AD500" s="269"/>
      <c r="AE500" s="269"/>
      <c r="AF500" s="269"/>
      <c r="AG500" s="269"/>
      <c r="AH500" s="269"/>
      <c r="AI500" s="269"/>
      <c r="AJ500" s="269"/>
      <c r="AK500" s="269"/>
      <c r="AL500" s="269"/>
      <c r="AM500" s="269"/>
      <c r="AN500" s="269"/>
      <c r="AO500" s="269"/>
      <c r="AP500" s="269"/>
      <c r="AQ500" s="269"/>
      <c r="AR500" s="269"/>
    </row>
    <row r="501">
      <c r="A501" s="410" t="str">
        <f>IFERROR(__xludf.DUMMYFUNCTION("""COMPUTED_VALUE"""),"WO_WFM-OTHERS_20260623_123616246")</f>
        <v>WO_WFM-OTHERS_20260623_123616246</v>
      </c>
      <c r="B501" s="410" t="str">
        <f>IFERROR(__xludf.DUMMYFUNCTION("""COMPUTED_VALUE"""),"Cable Patrol for (BB)-TNI0005-TNIM008")</f>
        <v>Cable Patrol for (BB)-TNI0005-TNIM008</v>
      </c>
      <c r="C501" s="410">
        <f>IFERROR(__xludf.DUMMYFUNCTION("""COMPUTED_VALUE"""),439.03)</f>
        <v>439.03</v>
      </c>
      <c r="D501" s="410" t="str">
        <f>IFERROR(__xludf.DUMMYFUNCTION("""COMPUTED_VALUE"""),"T2")</f>
        <v>T2</v>
      </c>
      <c r="E501" s="410" t="str">
        <f>IFERROR(__xludf.DUMMYFUNCTION("""COMPUTED_VALUE"""),"TNI0005")</f>
        <v>TNI0005</v>
      </c>
      <c r="F501" s="410" t="str">
        <f>IFERROR(__xludf.DUMMYFUNCTION("""COMPUTED_VALUE"""),"myt_wanna.oo2")</f>
        <v>myt_wanna.oo2</v>
      </c>
      <c r="H501" s="269"/>
      <c r="I501" s="269"/>
      <c r="J501" s="269"/>
      <c r="K501" s="269"/>
      <c r="L501" s="269"/>
      <c r="M501" s="269"/>
      <c r="N501" s="269"/>
      <c r="O501" s="269"/>
      <c r="P501" s="269"/>
      <c r="Q501" s="269"/>
      <c r="R501" s="269"/>
      <c r="S501" s="269"/>
      <c r="T501" s="269"/>
      <c r="U501" s="269"/>
      <c r="V501" s="269"/>
      <c r="W501" s="269"/>
      <c r="X501" s="269"/>
      <c r="Y501" s="269"/>
      <c r="Z501" s="269"/>
      <c r="AA501" s="269"/>
      <c r="AB501" s="269"/>
      <c r="AC501" s="269"/>
      <c r="AD501" s="269"/>
      <c r="AE501" s="269"/>
      <c r="AF501" s="269"/>
      <c r="AG501" s="269"/>
      <c r="AH501" s="269"/>
      <c r="AI501" s="269"/>
      <c r="AJ501" s="269"/>
      <c r="AK501" s="269"/>
      <c r="AL501" s="269"/>
      <c r="AM501" s="269"/>
      <c r="AN501" s="269"/>
      <c r="AO501" s="269"/>
      <c r="AP501" s="269"/>
      <c r="AQ501" s="269"/>
      <c r="AR501" s="269"/>
    </row>
    <row r="502">
      <c r="A502" s="410" t="str">
        <f>IFERROR(__xludf.DUMMYFUNCTION("""COMPUTED_VALUE"""),"WO_WFM-OTHERS_20260623_123616240")</f>
        <v>WO_WFM-OTHERS_20260623_123616240</v>
      </c>
      <c r="B502" s="410" t="str">
        <f>IFERROR(__xludf.DUMMYFUNCTION("""COMPUTED_VALUE"""),"Cable Patrol for (BB)-TNI0003-TNIM003")</f>
        <v>Cable Patrol for (BB)-TNI0003-TNIM003</v>
      </c>
      <c r="C502" s="410">
        <f>IFERROR(__xludf.DUMMYFUNCTION("""COMPUTED_VALUE"""),439.03)</f>
        <v>439.03</v>
      </c>
      <c r="D502" s="410" t="str">
        <f>IFERROR(__xludf.DUMMYFUNCTION("""COMPUTED_VALUE"""),"T2")</f>
        <v>T2</v>
      </c>
      <c r="E502" s="410" t="str">
        <f>IFERROR(__xludf.DUMMYFUNCTION("""COMPUTED_VALUE"""),"TNI0003")</f>
        <v>TNI0003</v>
      </c>
      <c r="F502" s="410" t="str">
        <f>IFERROR(__xludf.DUMMYFUNCTION("""COMPUTED_VALUE"""),"myt_wanna.oo2")</f>
        <v>myt_wanna.oo2</v>
      </c>
      <c r="H502" s="269"/>
      <c r="I502" s="269"/>
      <c r="J502" s="269"/>
      <c r="K502" s="269"/>
      <c r="L502" s="269"/>
      <c r="M502" s="269"/>
      <c r="N502" s="269"/>
      <c r="O502" s="269"/>
      <c r="P502" s="269"/>
      <c r="Q502" s="269"/>
      <c r="R502" s="269"/>
      <c r="S502" s="269"/>
      <c r="T502" s="269"/>
      <c r="U502" s="269"/>
      <c r="V502" s="269"/>
      <c r="W502" s="269"/>
      <c r="X502" s="269"/>
      <c r="Y502" s="269"/>
      <c r="Z502" s="269"/>
      <c r="AA502" s="269"/>
      <c r="AB502" s="269"/>
      <c r="AC502" s="269"/>
      <c r="AD502" s="269"/>
      <c r="AE502" s="269"/>
      <c r="AF502" s="269"/>
      <c r="AG502" s="269"/>
      <c r="AH502" s="269"/>
      <c r="AI502" s="269"/>
      <c r="AJ502" s="269"/>
      <c r="AK502" s="269"/>
      <c r="AL502" s="269"/>
      <c r="AM502" s="269"/>
      <c r="AN502" s="269"/>
      <c r="AO502" s="269"/>
      <c r="AP502" s="269"/>
      <c r="AQ502" s="269"/>
      <c r="AR502" s="269"/>
    </row>
    <row r="503">
      <c r="A503" s="410" t="str">
        <f>IFERROR(__xludf.DUMMYFUNCTION("""COMPUTED_VALUE"""),"WO_WFM-OTHERS_20260623_123616245")</f>
        <v>WO_WFM-OTHERS_20260623_123616245</v>
      </c>
      <c r="B503" s="410" t="str">
        <f>IFERROR(__xludf.DUMMYFUNCTION("""COMPUTED_VALUE"""),"Cable Patrol for (BB)-TNI0005-TNIM007")</f>
        <v>Cable Patrol for (BB)-TNI0005-TNIM007</v>
      </c>
      <c r="C503" s="410">
        <f>IFERROR(__xludf.DUMMYFUNCTION("""COMPUTED_VALUE"""),439.03)</f>
        <v>439.03</v>
      </c>
      <c r="D503" s="410" t="str">
        <f>IFERROR(__xludf.DUMMYFUNCTION("""COMPUTED_VALUE"""),"T2")</f>
        <v>T2</v>
      </c>
      <c r="E503" s="410" t="str">
        <f>IFERROR(__xludf.DUMMYFUNCTION("""COMPUTED_VALUE"""),"TNI0005")</f>
        <v>TNI0005</v>
      </c>
      <c r="F503" s="410" t="str">
        <f>IFERROR(__xludf.DUMMYFUNCTION("""COMPUTED_VALUE"""),"myt_wanna.oo2")</f>
        <v>myt_wanna.oo2</v>
      </c>
      <c r="H503" s="269"/>
      <c r="I503" s="269"/>
      <c r="J503" s="269"/>
      <c r="K503" s="269"/>
      <c r="L503" s="269"/>
      <c r="M503" s="269"/>
      <c r="N503" s="269"/>
      <c r="O503" s="269"/>
      <c r="P503" s="269"/>
      <c r="Q503" s="269"/>
      <c r="R503" s="269"/>
      <c r="S503" s="269"/>
      <c r="T503" s="269"/>
      <c r="U503" s="269"/>
      <c r="V503" s="269"/>
      <c r="W503" s="269"/>
      <c r="X503" s="269"/>
      <c r="Y503" s="269"/>
      <c r="Z503" s="269"/>
      <c r="AA503" s="269"/>
      <c r="AB503" s="269"/>
      <c r="AC503" s="269"/>
      <c r="AD503" s="269"/>
      <c r="AE503" s="269"/>
      <c r="AF503" s="269"/>
      <c r="AG503" s="269"/>
      <c r="AH503" s="269"/>
      <c r="AI503" s="269"/>
      <c r="AJ503" s="269"/>
      <c r="AK503" s="269"/>
      <c r="AL503" s="269"/>
      <c r="AM503" s="269"/>
      <c r="AN503" s="269"/>
      <c r="AO503" s="269"/>
      <c r="AP503" s="269"/>
      <c r="AQ503" s="269"/>
      <c r="AR503" s="269"/>
    </row>
    <row r="504">
      <c r="A504" s="410" t="str">
        <f>IFERROR(__xludf.DUMMYFUNCTION("""COMPUTED_VALUE"""),"WO_WFM-OTHERS_20260623_123616241")</f>
        <v>WO_WFM-OTHERS_20260623_123616241</v>
      </c>
      <c r="B504" s="410" t="str">
        <f>IFERROR(__xludf.DUMMYFUNCTION("""COMPUTED_VALUE"""),"Cable Patrol for (BB)-TNI0005-TNI0007")</f>
        <v>Cable Patrol for (BB)-TNI0005-TNI0007</v>
      </c>
      <c r="C504" s="410">
        <f>IFERROR(__xludf.DUMMYFUNCTION("""COMPUTED_VALUE"""),439.03)</f>
        <v>439.03</v>
      </c>
      <c r="D504" s="410" t="str">
        <f>IFERROR(__xludf.DUMMYFUNCTION("""COMPUTED_VALUE"""),"T2")</f>
        <v>T2</v>
      </c>
      <c r="E504" s="410" t="str">
        <f>IFERROR(__xludf.DUMMYFUNCTION("""COMPUTED_VALUE"""),"TNI0005")</f>
        <v>TNI0005</v>
      </c>
      <c r="F504" s="410" t="str">
        <f>IFERROR(__xludf.DUMMYFUNCTION("""COMPUTED_VALUE"""),"myt_wanna.oo2")</f>
        <v>myt_wanna.oo2</v>
      </c>
      <c r="H504" s="269"/>
      <c r="I504" s="269"/>
      <c r="J504" s="269"/>
      <c r="K504" s="269"/>
      <c r="L504" s="269"/>
      <c r="M504" s="269"/>
      <c r="N504" s="269"/>
      <c r="O504" s="269"/>
      <c r="P504" s="269"/>
      <c r="Q504" s="269"/>
      <c r="R504" s="269"/>
      <c r="S504" s="269"/>
      <c r="T504" s="269"/>
      <c r="U504" s="269"/>
      <c r="V504" s="269"/>
      <c r="W504" s="269"/>
      <c r="X504" s="269"/>
      <c r="Y504" s="269"/>
      <c r="Z504" s="269"/>
      <c r="AA504" s="269"/>
      <c r="AB504" s="269"/>
      <c r="AC504" s="269"/>
      <c r="AD504" s="269"/>
      <c r="AE504" s="269"/>
      <c r="AF504" s="269"/>
      <c r="AG504" s="269"/>
      <c r="AH504" s="269"/>
      <c r="AI504" s="269"/>
      <c r="AJ504" s="269"/>
      <c r="AK504" s="269"/>
      <c r="AL504" s="269"/>
      <c r="AM504" s="269"/>
      <c r="AN504" s="269"/>
      <c r="AO504" s="269"/>
      <c r="AP504" s="269"/>
      <c r="AQ504" s="269"/>
      <c r="AR504" s="269"/>
    </row>
    <row r="505">
      <c r="A505" s="410" t="str">
        <f>IFERROR(__xludf.DUMMYFUNCTION("""COMPUTED_VALUE"""),"WO_WFM-OTHERS_20260623_123616247")</f>
        <v>WO_WFM-OTHERS_20260623_123616247</v>
      </c>
      <c r="B505" s="410" t="str">
        <f>IFERROR(__xludf.DUMMYFUNCTION("""COMPUTED_VALUE"""),"Cable Patrol for (AC)-TNI0164-TNIM045")</f>
        <v>Cable Patrol for (AC)-TNI0164-TNIM045</v>
      </c>
      <c r="C505" s="410">
        <f>IFERROR(__xludf.DUMMYFUNCTION("""COMPUTED_VALUE"""),439.03)</f>
        <v>439.03</v>
      </c>
      <c r="D505" s="410" t="str">
        <f>IFERROR(__xludf.DUMMYFUNCTION("""COMPUTED_VALUE"""),"T2")</f>
        <v>T2</v>
      </c>
      <c r="E505" s="410" t="str">
        <f>IFERROR(__xludf.DUMMYFUNCTION("""COMPUTED_VALUE"""),"TNI0164")</f>
        <v>TNI0164</v>
      </c>
      <c r="F505" s="410" t="str">
        <f>IFERROR(__xludf.DUMMYFUNCTION("""COMPUTED_VALUE"""),"myt_wanna.oo2")</f>
        <v>myt_wanna.oo2</v>
      </c>
      <c r="H505" s="269"/>
      <c r="I505" s="269"/>
      <c r="J505" s="269"/>
      <c r="K505" s="269"/>
      <c r="L505" s="269"/>
      <c r="M505" s="269"/>
      <c r="N505" s="269"/>
      <c r="O505" s="269"/>
      <c r="P505" s="269"/>
      <c r="Q505" s="269"/>
      <c r="R505" s="269"/>
      <c r="S505" s="269"/>
      <c r="T505" s="269"/>
      <c r="U505" s="269"/>
      <c r="V505" s="269"/>
      <c r="W505" s="269"/>
      <c r="X505" s="269"/>
      <c r="Y505" s="269"/>
      <c r="Z505" s="269"/>
      <c r="AA505" s="269"/>
      <c r="AB505" s="269"/>
      <c r="AC505" s="269"/>
      <c r="AD505" s="269"/>
      <c r="AE505" s="269"/>
      <c r="AF505" s="269"/>
      <c r="AG505" s="269"/>
      <c r="AH505" s="269"/>
      <c r="AI505" s="269"/>
      <c r="AJ505" s="269"/>
      <c r="AK505" s="269"/>
      <c r="AL505" s="269"/>
      <c r="AM505" s="269"/>
      <c r="AN505" s="269"/>
      <c r="AO505" s="269"/>
      <c r="AP505" s="269"/>
      <c r="AQ505" s="269"/>
      <c r="AR505" s="269"/>
    </row>
    <row r="506">
      <c r="A506" s="410" t="str">
        <f>IFERROR(__xludf.DUMMYFUNCTION("""COMPUTED_VALUE"""),"WO_WFM-OTHERS_20260623_123616237")</f>
        <v>WO_WFM-OTHERS_20260623_123616237</v>
      </c>
      <c r="B506" s="410" t="str">
        <f>IFERROR(__xludf.DUMMYFUNCTION("""COMPUTED_VALUE"""),"Cable Patrol for (BB)-TNI0001-TNI0002")</f>
        <v>Cable Patrol for (BB)-TNI0001-TNI0002</v>
      </c>
      <c r="C506" s="410">
        <f>IFERROR(__xludf.DUMMYFUNCTION("""COMPUTED_VALUE"""),439.03)</f>
        <v>439.03</v>
      </c>
      <c r="D506" s="410" t="str">
        <f>IFERROR(__xludf.DUMMYFUNCTION("""COMPUTED_VALUE"""),"T2")</f>
        <v>T2</v>
      </c>
      <c r="E506" s="410" t="str">
        <f>IFERROR(__xludf.DUMMYFUNCTION("""COMPUTED_VALUE"""),"TNI0001")</f>
        <v>TNI0001</v>
      </c>
      <c r="F506" s="410" t="str">
        <f>IFERROR(__xludf.DUMMYFUNCTION("""COMPUTED_VALUE"""),"myt_wanna.oo2")</f>
        <v>myt_wanna.oo2</v>
      </c>
      <c r="H506" s="269"/>
      <c r="I506" s="269"/>
      <c r="J506" s="269"/>
      <c r="K506" s="269"/>
      <c r="L506" s="269"/>
      <c r="M506" s="269"/>
      <c r="N506" s="269"/>
      <c r="O506" s="269"/>
      <c r="P506" s="269"/>
      <c r="Q506" s="269"/>
      <c r="R506" s="269"/>
      <c r="S506" s="269"/>
      <c r="T506" s="269"/>
      <c r="U506" s="269"/>
      <c r="V506" s="269"/>
      <c r="W506" s="269"/>
      <c r="X506" s="269"/>
      <c r="Y506" s="269"/>
      <c r="Z506" s="269"/>
      <c r="AA506" s="269"/>
      <c r="AB506" s="269"/>
      <c r="AC506" s="269"/>
      <c r="AD506" s="269"/>
      <c r="AE506" s="269"/>
      <c r="AF506" s="269"/>
      <c r="AG506" s="269"/>
      <c r="AH506" s="269"/>
      <c r="AI506" s="269"/>
      <c r="AJ506" s="269"/>
      <c r="AK506" s="269"/>
      <c r="AL506" s="269"/>
      <c r="AM506" s="269"/>
      <c r="AN506" s="269"/>
      <c r="AO506" s="269"/>
      <c r="AP506" s="269"/>
      <c r="AQ506" s="269"/>
      <c r="AR506" s="269"/>
    </row>
    <row r="507">
      <c r="A507" s="410" t="str">
        <f>IFERROR(__xludf.DUMMYFUNCTION("""COMPUTED_VALUE"""),"WO_ICMS_20260623_123614447")</f>
        <v>WO_ICMS_20260623_123614447</v>
      </c>
      <c r="B507" s="410" t="str">
        <f>IFERROR(__xludf.DUMMYFUNCTION("""COMPUTED_VALUE"""),"TNI0519 MYT_Routine_Maintenance_Mytel_Station MYT_RTE_MTE_SB_STN")</f>
        <v>TNI0519 MYT_Routine_Maintenance_Mytel_Station MYT_RTE_MTE_SB_STN</v>
      </c>
      <c r="C507" s="410">
        <f>IFERROR(__xludf.DUMMYFUNCTION("""COMPUTED_VALUE"""),886.64)</f>
        <v>886.64</v>
      </c>
      <c r="D507" s="410" t="str">
        <f>IFERROR(__xludf.DUMMYFUNCTION("""COMPUTED_VALUE"""),"T2")</f>
        <v>T2</v>
      </c>
      <c r="E507" s="410" t="str">
        <f>IFERROR(__xludf.DUMMYFUNCTION("""COMPUTED_VALUE"""),"TNI0519")</f>
        <v>TNI0519</v>
      </c>
      <c r="F507" s="410" t="str">
        <f>IFERROR(__xludf.DUMMYFUNCTION("""COMPUTED_VALUE"""),"myt_wanna.oo2")</f>
        <v>myt_wanna.oo2</v>
      </c>
      <c r="H507" s="269"/>
      <c r="I507" s="269"/>
      <c r="J507" s="269"/>
      <c r="K507" s="269"/>
      <c r="L507" s="269"/>
      <c r="M507" s="269"/>
      <c r="N507" s="269"/>
      <c r="O507" s="269"/>
      <c r="P507" s="269"/>
      <c r="Q507" s="269"/>
      <c r="R507" s="269"/>
      <c r="S507" s="269"/>
      <c r="T507" s="269"/>
      <c r="U507" s="269"/>
      <c r="V507" s="269"/>
      <c r="W507" s="269"/>
      <c r="X507" s="269"/>
      <c r="Y507" s="269"/>
      <c r="Z507" s="269"/>
      <c r="AA507" s="269"/>
      <c r="AB507" s="269"/>
      <c r="AC507" s="269"/>
      <c r="AD507" s="269"/>
      <c r="AE507" s="269"/>
      <c r="AF507" s="269"/>
      <c r="AG507" s="269"/>
      <c r="AH507" s="269"/>
      <c r="AI507" s="269"/>
      <c r="AJ507" s="269"/>
      <c r="AK507" s="269"/>
      <c r="AL507" s="269"/>
      <c r="AM507" s="269"/>
      <c r="AN507" s="269"/>
      <c r="AO507" s="269"/>
      <c r="AP507" s="269"/>
      <c r="AQ507" s="269"/>
      <c r="AR507" s="269"/>
    </row>
    <row r="508">
      <c r="A508" s="410" t="str">
        <f>IFERROR(__xludf.DUMMYFUNCTION("""COMPUTED_VALUE"""),"WO_WFM-OTHERS_20260623_123613123")</f>
        <v>WO_WFM-OTHERS_20260623_123613123</v>
      </c>
      <c r="B508" s="410" t="str">
        <f>IFERROR(__xludf.DUMMYFUNCTION("""COMPUTED_VALUE"""),"Cable routes measure-AC-TNI0280-TNI0352")</f>
        <v>Cable routes measure-AC-TNI0280-TNI0352</v>
      </c>
      <c r="C508" s="410">
        <f>IFERROR(__xludf.DUMMYFUNCTION("""COMPUTED_VALUE"""),439.03)</f>
        <v>439.03</v>
      </c>
      <c r="D508" s="410" t="str">
        <f>IFERROR(__xludf.DUMMYFUNCTION("""COMPUTED_VALUE"""),"T2")</f>
        <v>T2</v>
      </c>
      <c r="E508" s="410" t="str">
        <f>IFERROR(__xludf.DUMMYFUNCTION("""COMPUTED_VALUE"""),"TNI0280")</f>
        <v>TNI0280</v>
      </c>
      <c r="F508" s="410" t="str">
        <f>IFERROR(__xludf.DUMMYFUNCTION("""COMPUTED_VALUE"""),"myt_wanna.oo2")</f>
        <v>myt_wanna.oo2</v>
      </c>
      <c r="H508" s="269"/>
      <c r="I508" s="269"/>
      <c r="J508" s="269"/>
      <c r="K508" s="269"/>
      <c r="L508" s="269"/>
      <c r="M508" s="269"/>
      <c r="N508" s="269"/>
      <c r="O508" s="269"/>
      <c r="P508" s="269"/>
      <c r="Q508" s="269"/>
      <c r="R508" s="269"/>
      <c r="S508" s="269"/>
      <c r="T508" s="269"/>
      <c r="U508" s="269"/>
      <c r="V508" s="269"/>
      <c r="W508" s="269"/>
      <c r="X508" s="269"/>
      <c r="Y508" s="269"/>
      <c r="Z508" s="269"/>
      <c r="AA508" s="269"/>
      <c r="AB508" s="269"/>
      <c r="AC508" s="269"/>
      <c r="AD508" s="269"/>
      <c r="AE508" s="269"/>
      <c r="AF508" s="269"/>
      <c r="AG508" s="269"/>
      <c r="AH508" s="269"/>
      <c r="AI508" s="269"/>
      <c r="AJ508" s="269"/>
      <c r="AK508" s="269"/>
      <c r="AL508" s="269"/>
      <c r="AM508" s="269"/>
      <c r="AN508" s="269"/>
      <c r="AO508" s="269"/>
      <c r="AP508" s="269"/>
      <c r="AQ508" s="269"/>
      <c r="AR508" s="269"/>
    </row>
    <row r="509">
      <c r="A509" s="410" t="str">
        <f>IFERROR(__xludf.DUMMYFUNCTION("""COMPUTED_VALUE"""),"WO_WFM-OTHERS_20260623_123613121")</f>
        <v>WO_WFM-OTHERS_20260623_123613121</v>
      </c>
      <c r="B509" s="410" t="str">
        <f>IFERROR(__xludf.DUMMYFUNCTION("""COMPUTED_VALUE"""),"Cable routes measure-BB-TNI0001-TNIM001")</f>
        <v>Cable routes measure-BB-TNI0001-TNIM001</v>
      </c>
      <c r="C509" s="410">
        <f>IFERROR(__xludf.DUMMYFUNCTION("""COMPUTED_VALUE"""),439.03)</f>
        <v>439.03</v>
      </c>
      <c r="D509" s="410" t="str">
        <f>IFERROR(__xludf.DUMMYFUNCTION("""COMPUTED_VALUE"""),"T2")</f>
        <v>T2</v>
      </c>
      <c r="E509" s="410" t="str">
        <f>IFERROR(__xludf.DUMMYFUNCTION("""COMPUTED_VALUE"""),"TNI0001")</f>
        <v>TNI0001</v>
      </c>
      <c r="F509" s="410" t="str">
        <f>IFERROR(__xludf.DUMMYFUNCTION("""COMPUTED_VALUE"""),"myt_wanna.oo2")</f>
        <v>myt_wanna.oo2</v>
      </c>
      <c r="H509" s="269"/>
      <c r="I509" s="269"/>
      <c r="J509" s="269"/>
      <c r="K509" s="269"/>
      <c r="L509" s="269"/>
      <c r="M509" s="269"/>
      <c r="N509" s="269"/>
      <c r="O509" s="269"/>
      <c r="P509" s="269"/>
      <c r="Q509" s="269"/>
      <c r="R509" s="269"/>
      <c r="S509" s="269"/>
      <c r="T509" s="269"/>
      <c r="U509" s="269"/>
      <c r="V509" s="269"/>
      <c r="W509" s="269"/>
      <c r="X509" s="269"/>
      <c r="Y509" s="269"/>
      <c r="Z509" s="269"/>
      <c r="AA509" s="269"/>
      <c r="AB509" s="269"/>
      <c r="AC509" s="269"/>
      <c r="AD509" s="269"/>
      <c r="AE509" s="269"/>
      <c r="AF509" s="269"/>
      <c r="AG509" s="269"/>
      <c r="AH509" s="269"/>
      <c r="AI509" s="269"/>
      <c r="AJ509" s="269"/>
      <c r="AK509" s="269"/>
      <c r="AL509" s="269"/>
      <c r="AM509" s="269"/>
      <c r="AN509" s="269"/>
      <c r="AO509" s="269"/>
      <c r="AP509" s="269"/>
      <c r="AQ509" s="269"/>
      <c r="AR509" s="269"/>
    </row>
    <row r="510">
      <c r="A510" s="410" t="str">
        <f>IFERROR(__xludf.DUMMYFUNCTION("""COMPUTED_VALUE"""),"WO_WFM-OTHERS_20260623_123613120")</f>
        <v>WO_WFM-OTHERS_20260623_123613120</v>
      </c>
      <c r="B510" s="410" t="str">
        <f>IFERROR(__xludf.DUMMYFUNCTION("""COMPUTED_VALUE"""),"Cable routes measure-BB-TNI0003-TNIM002")</f>
        <v>Cable routes measure-BB-TNI0003-TNIM002</v>
      </c>
      <c r="C510" s="410">
        <f>IFERROR(__xludf.DUMMYFUNCTION("""COMPUTED_VALUE"""),439.03)</f>
        <v>439.03</v>
      </c>
      <c r="D510" s="410" t="str">
        <f>IFERROR(__xludf.DUMMYFUNCTION("""COMPUTED_VALUE"""),"T2")</f>
        <v>T2</v>
      </c>
      <c r="E510" s="410" t="str">
        <f>IFERROR(__xludf.DUMMYFUNCTION("""COMPUTED_VALUE"""),"TNI0003")</f>
        <v>TNI0003</v>
      </c>
      <c r="F510" s="410" t="str">
        <f>IFERROR(__xludf.DUMMYFUNCTION("""COMPUTED_VALUE"""),"myt_wanna.oo2")</f>
        <v>myt_wanna.oo2</v>
      </c>
      <c r="H510" s="269"/>
      <c r="I510" s="269"/>
      <c r="J510" s="269"/>
      <c r="K510" s="269"/>
      <c r="L510" s="269"/>
      <c r="M510" s="269"/>
      <c r="N510" s="269"/>
      <c r="O510" s="269"/>
      <c r="P510" s="269"/>
      <c r="Q510" s="269"/>
      <c r="R510" s="269"/>
      <c r="S510" s="269"/>
      <c r="T510" s="269"/>
      <c r="U510" s="269"/>
      <c r="V510" s="269"/>
      <c r="W510" s="269"/>
      <c r="X510" s="269"/>
      <c r="Y510" s="269"/>
      <c r="Z510" s="269"/>
      <c r="AA510" s="269"/>
      <c r="AB510" s="269"/>
      <c r="AC510" s="269"/>
      <c r="AD510" s="269"/>
      <c r="AE510" s="269"/>
      <c r="AF510" s="269"/>
      <c r="AG510" s="269"/>
      <c r="AH510" s="269"/>
      <c r="AI510" s="269"/>
      <c r="AJ510" s="269"/>
      <c r="AK510" s="269"/>
      <c r="AL510" s="269"/>
      <c r="AM510" s="269"/>
      <c r="AN510" s="269"/>
      <c r="AO510" s="269"/>
      <c r="AP510" s="269"/>
      <c r="AQ510" s="269"/>
      <c r="AR510" s="269"/>
    </row>
    <row r="511">
      <c r="A511" s="410" t="str">
        <f>IFERROR(__xludf.DUMMYFUNCTION("""COMPUTED_VALUE"""),"WO_WFM-OTHERS_20260623_123613124")</f>
        <v>WO_WFM-OTHERS_20260623_123613124</v>
      </c>
      <c r="B511" s="410" t="str">
        <f>IFERROR(__xludf.DUMMYFUNCTION("""COMPUTED_VALUE"""),"Cable routes measure-AC-TNI0002-TNI0003")</f>
        <v>Cable routes measure-AC-TNI0002-TNI0003</v>
      </c>
      <c r="C511" s="410">
        <f>IFERROR(__xludf.DUMMYFUNCTION("""COMPUTED_VALUE"""),439.03)</f>
        <v>439.03</v>
      </c>
      <c r="D511" s="410" t="str">
        <f>IFERROR(__xludf.DUMMYFUNCTION("""COMPUTED_VALUE"""),"T2")</f>
        <v>T2</v>
      </c>
      <c r="E511" s="410" t="str">
        <f>IFERROR(__xludf.DUMMYFUNCTION("""COMPUTED_VALUE"""),"TNI0002")</f>
        <v>TNI0002</v>
      </c>
      <c r="F511" s="410" t="str">
        <f>IFERROR(__xludf.DUMMYFUNCTION("""COMPUTED_VALUE"""),"myt_wanna.oo2")</f>
        <v>myt_wanna.oo2</v>
      </c>
      <c r="H511" s="269"/>
      <c r="I511" s="269"/>
      <c r="J511" s="269"/>
      <c r="K511" s="269"/>
      <c r="L511" s="269"/>
      <c r="M511" s="269"/>
      <c r="N511" s="269"/>
      <c r="O511" s="269"/>
      <c r="P511" s="269"/>
      <c r="Q511" s="269"/>
      <c r="R511" s="269"/>
      <c r="S511" s="269"/>
      <c r="T511" s="269"/>
      <c r="U511" s="269"/>
      <c r="V511" s="269"/>
      <c r="W511" s="269"/>
      <c r="X511" s="269"/>
      <c r="Y511" s="269"/>
      <c r="Z511" s="269"/>
      <c r="AA511" s="269"/>
      <c r="AB511" s="269"/>
      <c r="AC511" s="269"/>
      <c r="AD511" s="269"/>
      <c r="AE511" s="269"/>
      <c r="AF511" s="269"/>
      <c r="AG511" s="269"/>
      <c r="AH511" s="269"/>
      <c r="AI511" s="269"/>
      <c r="AJ511" s="269"/>
      <c r="AK511" s="269"/>
      <c r="AL511" s="269"/>
      <c r="AM511" s="269"/>
      <c r="AN511" s="269"/>
      <c r="AO511" s="269"/>
      <c r="AP511" s="269"/>
      <c r="AQ511" s="269"/>
      <c r="AR511" s="269"/>
    </row>
    <row r="512">
      <c r="A512" s="410" t="str">
        <f>IFERROR(__xludf.DUMMYFUNCTION("""COMPUTED_VALUE"""),"WO_WFM-OTHERS_20260623_123613122")</f>
        <v>WO_WFM-OTHERS_20260623_123613122</v>
      </c>
      <c r="B512" s="410" t="str">
        <f>IFERROR(__xludf.DUMMYFUNCTION("""COMPUTED_VALUE"""),"Cable routes measure-BB-TNI0003-TNIM003")</f>
        <v>Cable routes measure-BB-TNI0003-TNIM003</v>
      </c>
      <c r="C512" s="410">
        <f>IFERROR(__xludf.DUMMYFUNCTION("""COMPUTED_VALUE"""),439.03)</f>
        <v>439.03</v>
      </c>
      <c r="D512" s="410" t="str">
        <f>IFERROR(__xludf.DUMMYFUNCTION("""COMPUTED_VALUE"""),"T2")</f>
        <v>T2</v>
      </c>
      <c r="E512" s="410" t="str">
        <f>IFERROR(__xludf.DUMMYFUNCTION("""COMPUTED_VALUE"""),"TNI0003")</f>
        <v>TNI0003</v>
      </c>
      <c r="F512" s="410" t="str">
        <f>IFERROR(__xludf.DUMMYFUNCTION("""COMPUTED_VALUE"""),"myt_wanna.oo2")</f>
        <v>myt_wanna.oo2</v>
      </c>
      <c r="H512" s="269"/>
      <c r="I512" s="269"/>
      <c r="J512" s="269"/>
      <c r="K512" s="269"/>
      <c r="L512" s="269"/>
      <c r="M512" s="269"/>
      <c r="N512" s="269"/>
      <c r="O512" s="269"/>
      <c r="P512" s="269"/>
      <c r="Q512" s="269"/>
      <c r="R512" s="269"/>
      <c r="S512" s="269"/>
      <c r="T512" s="269"/>
      <c r="U512" s="269"/>
      <c r="V512" s="269"/>
      <c r="W512" s="269"/>
      <c r="X512" s="269"/>
      <c r="Y512" s="269"/>
      <c r="Z512" s="269"/>
      <c r="AA512" s="269"/>
      <c r="AB512" s="269"/>
      <c r="AC512" s="269"/>
      <c r="AD512" s="269"/>
      <c r="AE512" s="269"/>
      <c r="AF512" s="269"/>
      <c r="AG512" s="269"/>
      <c r="AH512" s="269"/>
      <c r="AI512" s="269"/>
      <c r="AJ512" s="269"/>
      <c r="AK512" s="269"/>
      <c r="AL512" s="269"/>
      <c r="AM512" s="269"/>
      <c r="AN512" s="269"/>
      <c r="AO512" s="269"/>
      <c r="AP512" s="269"/>
      <c r="AQ512" s="269"/>
      <c r="AR512" s="269"/>
    </row>
    <row r="513">
      <c r="A513" s="410" t="str">
        <f>IFERROR(__xludf.DUMMYFUNCTION("""COMPUTED_VALUE"""),"WO_WFM-OTHERS_20260623_123612920")</f>
        <v>WO_WFM-OTHERS_20260623_123612920</v>
      </c>
      <c r="B513" s="410" t="str">
        <f>IFERROR(__xludf.DUMMYFUNCTION("""COMPUTED_VALUE"""),"Cable routes measure-AC-TNI0029-TNI0042")</f>
        <v>Cable routes measure-AC-TNI0029-TNI0042</v>
      </c>
      <c r="C513" s="410">
        <f>IFERROR(__xludf.DUMMYFUNCTION("""COMPUTED_VALUE"""),439.03)</f>
        <v>439.03</v>
      </c>
      <c r="D513" s="410" t="str">
        <f>IFERROR(__xludf.DUMMYFUNCTION("""COMPUTED_VALUE"""),"T2")</f>
        <v>T2</v>
      </c>
      <c r="E513" s="410" t="str">
        <f>IFERROR(__xludf.DUMMYFUNCTION("""COMPUTED_VALUE"""),"TNI0029")</f>
        <v>TNI0029</v>
      </c>
      <c r="F513" s="410" t="str">
        <f>IFERROR(__xludf.DUMMYFUNCTION("""COMPUTED_VALUE"""),"myt_wanna.oo2")</f>
        <v>myt_wanna.oo2</v>
      </c>
      <c r="H513" s="269"/>
      <c r="I513" s="269"/>
      <c r="J513" s="269"/>
      <c r="K513" s="269"/>
      <c r="L513" s="269"/>
      <c r="M513" s="269"/>
      <c r="N513" s="269"/>
      <c r="O513" s="269"/>
      <c r="P513" s="269"/>
      <c r="Q513" s="269"/>
      <c r="R513" s="269"/>
      <c r="S513" s="269"/>
      <c r="T513" s="269"/>
      <c r="U513" s="269"/>
      <c r="V513" s="269"/>
      <c r="W513" s="269"/>
      <c r="X513" s="269"/>
      <c r="Y513" s="269"/>
      <c r="Z513" s="269"/>
      <c r="AA513" s="269"/>
      <c r="AB513" s="269"/>
      <c r="AC513" s="269"/>
      <c r="AD513" s="269"/>
      <c r="AE513" s="269"/>
      <c r="AF513" s="269"/>
      <c r="AG513" s="269"/>
      <c r="AH513" s="269"/>
      <c r="AI513" s="269"/>
      <c r="AJ513" s="269"/>
      <c r="AK513" s="269"/>
      <c r="AL513" s="269"/>
      <c r="AM513" s="269"/>
      <c r="AN513" s="269"/>
      <c r="AO513" s="269"/>
      <c r="AP513" s="269"/>
      <c r="AQ513" s="269"/>
      <c r="AR513" s="269"/>
    </row>
    <row r="514">
      <c r="A514" s="410" t="str">
        <f>IFERROR(__xludf.DUMMYFUNCTION("""COMPUTED_VALUE"""),"WO_WFM-OTHERS_20260623_123612917")</f>
        <v>WO_WFM-OTHERS_20260623_123612917</v>
      </c>
      <c r="B514" s="410" t="str">
        <f>IFERROR(__xludf.DUMMYFUNCTION("""COMPUTED_VALUE"""),"Cable routes measure-AC-TNI0002-TNI0077")</f>
        <v>Cable routes measure-AC-TNI0002-TNI0077</v>
      </c>
      <c r="C514" s="410">
        <f>IFERROR(__xludf.DUMMYFUNCTION("""COMPUTED_VALUE"""),439.03)</f>
        <v>439.03</v>
      </c>
      <c r="D514" s="410" t="str">
        <f>IFERROR(__xludf.DUMMYFUNCTION("""COMPUTED_VALUE"""),"T2")</f>
        <v>T2</v>
      </c>
      <c r="E514" s="410" t="str">
        <f>IFERROR(__xludf.DUMMYFUNCTION("""COMPUTED_VALUE"""),"TNI0002")</f>
        <v>TNI0002</v>
      </c>
      <c r="F514" s="410" t="str">
        <f>IFERROR(__xludf.DUMMYFUNCTION("""COMPUTED_VALUE"""),"myt_wanna.oo2")</f>
        <v>myt_wanna.oo2</v>
      </c>
      <c r="H514" s="269"/>
      <c r="I514" s="269"/>
      <c r="J514" s="269"/>
      <c r="K514" s="269"/>
      <c r="L514" s="269"/>
      <c r="M514" s="269"/>
      <c r="N514" s="269"/>
      <c r="O514" s="269"/>
      <c r="P514" s="269"/>
      <c r="Q514" s="269"/>
      <c r="R514" s="269"/>
      <c r="S514" s="269"/>
      <c r="T514" s="269"/>
      <c r="U514" s="269"/>
      <c r="V514" s="269"/>
      <c r="W514" s="269"/>
      <c r="X514" s="269"/>
      <c r="Y514" s="269"/>
      <c r="Z514" s="269"/>
      <c r="AA514" s="269"/>
      <c r="AB514" s="269"/>
      <c r="AC514" s="269"/>
      <c r="AD514" s="269"/>
      <c r="AE514" s="269"/>
      <c r="AF514" s="269"/>
      <c r="AG514" s="269"/>
      <c r="AH514" s="269"/>
      <c r="AI514" s="269"/>
      <c r="AJ514" s="269"/>
      <c r="AK514" s="269"/>
      <c r="AL514" s="269"/>
      <c r="AM514" s="269"/>
      <c r="AN514" s="269"/>
      <c r="AO514" s="269"/>
      <c r="AP514" s="269"/>
      <c r="AQ514" s="269"/>
      <c r="AR514" s="269"/>
    </row>
    <row r="515">
      <c r="A515" s="410" t="str">
        <f>IFERROR(__xludf.DUMMYFUNCTION("""COMPUTED_VALUE"""),"WO_ICMS_20260623_123611292")</f>
        <v>WO_ICMS_20260623_123611292</v>
      </c>
      <c r="B515" s="410" t="str">
        <f>IFERROR(__xludf.DUMMYFUNCTION("""COMPUTED_VALUE"""),"TNI0042 MYT_Routine_Maintenance_Towerco_Station MYT_RTE_MTE_TCO_STN")</f>
        <v>TNI0042 MYT_Routine_Maintenance_Towerco_Station MYT_RTE_MTE_TCO_STN</v>
      </c>
      <c r="C515" s="410">
        <f>IFERROR(__xludf.DUMMYFUNCTION("""COMPUTED_VALUE"""),882.55)</f>
        <v>882.55</v>
      </c>
      <c r="D515" s="410" t="str">
        <f>IFERROR(__xludf.DUMMYFUNCTION("""COMPUTED_VALUE"""),"T2")</f>
        <v>T2</v>
      </c>
      <c r="E515" s="410" t="str">
        <f>IFERROR(__xludf.DUMMYFUNCTION("""COMPUTED_VALUE"""),"TNI0042")</f>
        <v>TNI0042</v>
      </c>
      <c r="F515" s="410" t="str">
        <f>IFERROR(__xludf.DUMMYFUNCTION("""COMPUTED_VALUE"""),"myt_wanna.oo2")</f>
        <v>myt_wanna.oo2</v>
      </c>
      <c r="H515" s="269"/>
      <c r="I515" s="269"/>
      <c r="J515" s="269"/>
      <c r="K515" s="269"/>
      <c r="L515" s="269"/>
      <c r="M515" s="269"/>
      <c r="N515" s="269"/>
      <c r="O515" s="269"/>
      <c r="P515" s="269"/>
      <c r="Q515" s="269"/>
      <c r="R515" s="269"/>
      <c r="S515" s="269"/>
      <c r="T515" s="269"/>
      <c r="U515" s="269"/>
      <c r="V515" s="269"/>
      <c r="W515" s="269"/>
      <c r="X515" s="269"/>
      <c r="Y515" s="269"/>
      <c r="Z515" s="269"/>
      <c r="AA515" s="269"/>
      <c r="AB515" s="269"/>
      <c r="AC515" s="269"/>
      <c r="AD515" s="269"/>
      <c r="AE515" s="269"/>
      <c r="AF515" s="269"/>
      <c r="AG515" s="269"/>
      <c r="AH515" s="269"/>
      <c r="AI515" s="269"/>
      <c r="AJ515" s="269"/>
      <c r="AK515" s="269"/>
      <c r="AL515" s="269"/>
      <c r="AM515" s="269"/>
      <c r="AN515" s="269"/>
      <c r="AO515" s="269"/>
      <c r="AP515" s="269"/>
      <c r="AQ515" s="269"/>
      <c r="AR515" s="269"/>
    </row>
    <row r="516">
      <c r="A516" s="410" t="str">
        <f>IFERROR(__xludf.DUMMYFUNCTION("""COMPUTED_VALUE"""),"WO_WFM-OTHERS_20260605_123451584")</f>
        <v>WO_WFM-OTHERS_20260605_123451584</v>
      </c>
      <c r="B516" s="410" t="str">
        <f>IFERROR(__xludf.DUMMYFUNCTION("""COMPUTED_VALUE"""),"TNI0039 MYT_Maintenance_Generator_Cleaning Rediator - MYT_Maintenance_Generator_Checking Coolant Level")</f>
        <v>TNI0039 MYT_Maintenance_Generator_Cleaning Rediator - MYT_Maintenance_Generator_Checking Coolant Level</v>
      </c>
      <c r="C516" s="410">
        <f>IFERROR(__xludf.DUMMYFUNCTION("""COMPUTED_VALUE"""),-280.95)</f>
        <v>-280.95</v>
      </c>
      <c r="D516" s="410" t="str">
        <f>IFERROR(__xludf.DUMMYFUNCTION("""COMPUTED_VALUE"""),"T2")</f>
        <v>T2</v>
      </c>
      <c r="E516" s="410" t="str">
        <f>IFERROR(__xludf.DUMMYFUNCTION("""COMPUTED_VALUE"""),"TNI0381: 8KVA")</f>
        <v>TNI0381: 8KVA</v>
      </c>
      <c r="F516" s="410" t="str">
        <f>IFERROR(__xludf.DUMMYFUNCTION("""COMPUTED_VALUE"""),"myt_wanna.oo2")</f>
        <v>myt_wanna.oo2</v>
      </c>
      <c r="H516" s="269"/>
      <c r="I516" s="269"/>
      <c r="J516" s="269"/>
      <c r="K516" s="269"/>
      <c r="L516" s="269"/>
      <c r="M516" s="269"/>
      <c r="N516" s="269"/>
      <c r="O516" s="269"/>
      <c r="P516" s="269"/>
      <c r="Q516" s="269"/>
      <c r="R516" s="269"/>
      <c r="S516" s="269"/>
      <c r="T516" s="269"/>
      <c r="U516" s="269"/>
      <c r="V516" s="269"/>
      <c r="W516" s="269"/>
      <c r="X516" s="269"/>
      <c r="Y516" s="269"/>
      <c r="Z516" s="269"/>
      <c r="AA516" s="269"/>
      <c r="AB516" s="269"/>
      <c r="AC516" s="269"/>
      <c r="AD516" s="269"/>
      <c r="AE516" s="269"/>
      <c r="AF516" s="269"/>
      <c r="AG516" s="269"/>
      <c r="AH516" s="269"/>
      <c r="AI516" s="269"/>
      <c r="AJ516" s="269"/>
      <c r="AK516" s="269"/>
      <c r="AL516" s="269"/>
      <c r="AM516" s="269"/>
      <c r="AN516" s="269"/>
      <c r="AO516" s="269"/>
      <c r="AP516" s="269"/>
      <c r="AQ516" s="269"/>
      <c r="AR516" s="269"/>
    </row>
    <row r="517">
      <c r="A517" s="410" t="str">
        <f>IFERROR(__xludf.DUMMYFUNCTION("""COMPUTED_VALUE"""),"WO_QLCTKT_20260605_123449689")</f>
        <v>WO_QLCTKT_20260605_123449689</v>
      </c>
      <c r="B517" s="410" t="str">
        <f>IFERROR(__xludf.DUMMYFUNCTION("""COMPUTED_VALUE"""),"TNI0516 - Repair infrastructure - bla: Prevent insect, mause, squirrel attack: Cover all cable hole , gaps of room, door, cabinet, ODF")</f>
        <v>TNI0516 - Repair infrastructure - bla: Prevent insect, mause, squirrel attack: Cover all cable hole , gaps of room, door, cabinet, ODF</v>
      </c>
      <c r="C517" s="410">
        <f>IFERROR(__xludf.DUMMYFUNCTION("""COMPUTED_VALUE"""),-581.67)</f>
        <v>-581.67</v>
      </c>
      <c r="D517" s="410" t="str">
        <f>IFERROR(__xludf.DUMMYFUNCTION("""COMPUTED_VALUE"""),"T2")</f>
        <v>T2</v>
      </c>
      <c r="E517" s="410" t="str">
        <f>IFERROR(__xludf.DUMMYFUNCTION("""COMPUTED_VALUE"""),"TNI0516")</f>
        <v>TNI0516</v>
      </c>
      <c r="F517" s="410" t="str">
        <f>IFERROR(__xludf.DUMMYFUNCTION("""COMPUTED_VALUE"""),"myt_wanna.oo2")</f>
        <v>myt_wanna.oo2</v>
      </c>
      <c r="H517" s="269"/>
      <c r="I517" s="269"/>
      <c r="J517" s="269"/>
      <c r="K517" s="269"/>
      <c r="L517" s="269"/>
      <c r="M517" s="269"/>
      <c r="N517" s="269"/>
      <c r="O517" s="269"/>
      <c r="P517" s="269"/>
      <c r="Q517" s="269"/>
      <c r="R517" s="269"/>
      <c r="S517" s="269"/>
      <c r="T517" s="269"/>
      <c r="U517" s="269"/>
      <c r="V517" s="269"/>
      <c r="W517" s="269"/>
      <c r="X517" s="269"/>
      <c r="Y517" s="269"/>
      <c r="Z517" s="269"/>
      <c r="AA517" s="269"/>
      <c r="AB517" s="269"/>
      <c r="AC517" s="269"/>
      <c r="AD517" s="269"/>
      <c r="AE517" s="269"/>
      <c r="AF517" s="269"/>
      <c r="AG517" s="269"/>
      <c r="AH517" s="269"/>
      <c r="AI517" s="269"/>
      <c r="AJ517" s="269"/>
      <c r="AK517" s="269"/>
      <c r="AL517" s="269"/>
      <c r="AM517" s="269"/>
      <c r="AN517" s="269"/>
      <c r="AO517" s="269"/>
      <c r="AP517" s="269"/>
      <c r="AQ517" s="269"/>
      <c r="AR517" s="269"/>
    </row>
    <row r="518">
      <c r="A518" s="410" t="str">
        <f>IFERROR(__xludf.DUMMYFUNCTION("""COMPUTED_VALUE"""),"WO_QLCTKT_20260605_123449215")</f>
        <v>WO_QLCTKT_20260605_123449215</v>
      </c>
      <c r="B518" s="410" t="str">
        <f>IFERROR(__xludf.DUMMYFUNCTION("""COMPUTED_VALUE"""),"TNI0324 - Repair infrastructure - bla: Prevent insect, mause, squirrel attack: Cover all cable hole , gaps of room, door, cabinet, ODF")</f>
        <v>TNI0324 - Repair infrastructure - bla: Prevent insect, mause, squirrel attack: Cover all cable hole , gaps of room, door, cabinet, ODF</v>
      </c>
      <c r="C518" s="410">
        <f>IFERROR(__xludf.DUMMYFUNCTION("""COMPUTED_VALUE"""),-582.52)</f>
        <v>-582.52</v>
      </c>
      <c r="D518" s="410" t="str">
        <f>IFERROR(__xludf.DUMMYFUNCTION("""COMPUTED_VALUE"""),"T2")</f>
        <v>T2</v>
      </c>
      <c r="E518" s="410" t="str">
        <f>IFERROR(__xludf.DUMMYFUNCTION("""COMPUTED_VALUE"""),"TNI0324")</f>
        <v>TNI0324</v>
      </c>
      <c r="F518" s="410" t="str">
        <f>IFERROR(__xludf.DUMMYFUNCTION("""COMPUTED_VALUE"""),"myt_wanna.oo2")</f>
        <v>myt_wanna.oo2</v>
      </c>
      <c r="H518" s="269"/>
      <c r="I518" s="269"/>
      <c r="J518" s="269"/>
      <c r="K518" s="269"/>
      <c r="L518" s="269"/>
      <c r="M518" s="269"/>
      <c r="N518" s="269"/>
      <c r="O518" s="269"/>
      <c r="P518" s="269"/>
      <c r="Q518" s="269"/>
      <c r="R518" s="269"/>
      <c r="S518" s="269"/>
      <c r="T518" s="269"/>
      <c r="U518" s="269"/>
      <c r="V518" s="269"/>
      <c r="W518" s="269"/>
      <c r="X518" s="269"/>
      <c r="Y518" s="269"/>
      <c r="Z518" s="269"/>
      <c r="AA518" s="269"/>
      <c r="AB518" s="269"/>
      <c r="AC518" s="269"/>
      <c r="AD518" s="269"/>
      <c r="AE518" s="269"/>
      <c r="AF518" s="269"/>
      <c r="AG518" s="269"/>
      <c r="AH518" s="269"/>
      <c r="AI518" s="269"/>
      <c r="AJ518" s="269"/>
      <c r="AK518" s="269"/>
      <c r="AL518" s="269"/>
      <c r="AM518" s="269"/>
      <c r="AN518" s="269"/>
      <c r="AO518" s="269"/>
      <c r="AP518" s="269"/>
      <c r="AQ518" s="269"/>
      <c r="AR518" s="269"/>
    </row>
    <row r="519">
      <c r="A519" s="410" t="str">
        <f>IFERROR(__xludf.DUMMYFUNCTION("""COMPUTED_VALUE"""),"WO_QLCTKT_20260605_123449214")</f>
        <v>WO_QLCTKT_20260605_123449214</v>
      </c>
      <c r="B519" s="410" t="str">
        <f>IFERROR(__xludf.DUMMYFUNCTION("""COMPUTED_VALUE"""),"TNI0324 - Repair infrastructure - bla: Cleaning the station, remove grass, vines, tree, rubbish, recall unused equipment, material: Clean the all equipments, room, slabs, install the patchcod neatly, tidy")</f>
        <v>TNI0324 - Repair infrastructure - bla: Cleaning the station, remove grass, vines, tree, rubbish, recall unused equipment, material: Clean the all equipments, room, slabs, install the patchcod neatly, tidy</v>
      </c>
      <c r="C519" s="410">
        <f>IFERROR(__xludf.DUMMYFUNCTION("""COMPUTED_VALUE"""),-486.52)</f>
        <v>-486.52</v>
      </c>
      <c r="D519" s="410" t="str">
        <f>IFERROR(__xludf.DUMMYFUNCTION("""COMPUTED_VALUE"""),"T2")</f>
        <v>T2</v>
      </c>
      <c r="E519" s="410" t="str">
        <f>IFERROR(__xludf.DUMMYFUNCTION("""COMPUTED_VALUE"""),"TNI0324")</f>
        <v>TNI0324</v>
      </c>
      <c r="F519" s="410" t="str">
        <f>IFERROR(__xludf.DUMMYFUNCTION("""COMPUTED_VALUE"""),"myt_wanna.oo2")</f>
        <v>myt_wanna.oo2</v>
      </c>
      <c r="H519" s="269"/>
      <c r="I519" s="269"/>
      <c r="J519" s="269"/>
      <c r="K519" s="269"/>
      <c r="L519" s="269"/>
      <c r="M519" s="269"/>
      <c r="N519" s="269"/>
      <c r="O519" s="269"/>
      <c r="P519" s="269"/>
      <c r="Q519" s="269"/>
      <c r="R519" s="269"/>
      <c r="S519" s="269"/>
      <c r="T519" s="269"/>
      <c r="U519" s="269"/>
      <c r="V519" s="269"/>
      <c r="W519" s="269"/>
      <c r="X519" s="269"/>
      <c r="Y519" s="269"/>
      <c r="Z519" s="269"/>
      <c r="AA519" s="269"/>
      <c r="AB519" s="269"/>
      <c r="AC519" s="269"/>
      <c r="AD519" s="269"/>
      <c r="AE519" s="269"/>
      <c r="AF519" s="269"/>
      <c r="AG519" s="269"/>
      <c r="AH519" s="269"/>
      <c r="AI519" s="269"/>
      <c r="AJ519" s="269"/>
      <c r="AK519" s="269"/>
      <c r="AL519" s="269"/>
      <c r="AM519" s="269"/>
      <c r="AN519" s="269"/>
      <c r="AO519" s="269"/>
      <c r="AP519" s="269"/>
      <c r="AQ519" s="269"/>
      <c r="AR519" s="269"/>
    </row>
    <row r="520">
      <c r="A520" s="410" t="str">
        <f>IFERROR(__xludf.DUMMYFUNCTION("""COMPUTED_VALUE"""),"WO_QLCTKT_20260604_123440371")</f>
        <v>WO_QLCTKT_20260604_123440371</v>
      </c>
      <c r="B520" s="410" t="str">
        <f>IFERROR(__xludf.DUMMYFUNCTION("""COMPUTED_VALUE"""),"TNI0252 - Repair infrastructure - bla: Cleaning the station, remove grass, vines, tree, rubbish, recall unused equipment, material: Clean the station")</f>
        <v>TNI0252 - Repair infrastructure - bla: Cleaning the station, remove grass, vines, tree, rubbish, recall unused equipment, material: Clean the station</v>
      </c>
      <c r="C520" s="410">
        <f>IFERROR(__xludf.DUMMYFUNCTION("""COMPUTED_VALUE"""),-511.76)</f>
        <v>-511.76</v>
      </c>
      <c r="D520" s="410" t="str">
        <f>IFERROR(__xludf.DUMMYFUNCTION("""COMPUTED_VALUE"""),"T2")</f>
        <v>T2</v>
      </c>
      <c r="E520" s="410" t="str">
        <f>IFERROR(__xludf.DUMMYFUNCTION("""COMPUTED_VALUE"""),"TNI0252")</f>
        <v>TNI0252</v>
      </c>
      <c r="F520" s="410" t="str">
        <f>IFERROR(__xludf.DUMMYFUNCTION("""COMPUTED_VALUE"""),"myt_wanna.oo2")</f>
        <v>myt_wanna.oo2</v>
      </c>
      <c r="H520" s="269"/>
      <c r="I520" s="269"/>
      <c r="J520" s="269"/>
      <c r="K520" s="269"/>
      <c r="L520" s="269"/>
      <c r="M520" s="269"/>
      <c r="N520" s="269"/>
      <c r="O520" s="269"/>
      <c r="P520" s="269"/>
      <c r="Q520" s="269"/>
      <c r="R520" s="269"/>
      <c r="S520" s="269"/>
      <c r="T520" s="269"/>
      <c r="U520" s="269"/>
      <c r="V520" s="269"/>
      <c r="W520" s="269"/>
      <c r="X520" s="269"/>
      <c r="Y520" s="269"/>
      <c r="Z520" s="269"/>
      <c r="AA520" s="269"/>
      <c r="AB520" s="269"/>
      <c r="AC520" s="269"/>
      <c r="AD520" s="269"/>
      <c r="AE520" s="269"/>
      <c r="AF520" s="269"/>
      <c r="AG520" s="269"/>
      <c r="AH520" s="269"/>
      <c r="AI520" s="269"/>
      <c r="AJ520" s="269"/>
      <c r="AK520" s="269"/>
      <c r="AL520" s="269"/>
      <c r="AM520" s="269"/>
      <c r="AN520" s="269"/>
      <c r="AO520" s="269"/>
      <c r="AP520" s="269"/>
      <c r="AQ520" s="269"/>
      <c r="AR520" s="269"/>
    </row>
    <row r="521">
      <c r="A521" s="410" t="str">
        <f>IFERROR(__xludf.DUMMYFUNCTION("""COMPUTED_VALUE"""),"WO_QLCTKT_20260604_123440370")</f>
        <v>WO_QLCTKT_20260604_123440370</v>
      </c>
      <c r="B521" s="410" t="str">
        <f>IFERROR(__xludf.DUMMYFUNCTION("""COMPUTED_VALUE"""),"TNI0252 - Repair infrastructure - bla: Maintenance the equipments: Maintenance ATS")</f>
        <v>TNI0252 - Repair infrastructure - bla: Maintenance the equipments: Maintenance ATS</v>
      </c>
      <c r="C521" s="410">
        <f>IFERROR(__xludf.DUMMYFUNCTION("""COMPUTED_VALUE"""),-511.76)</f>
        <v>-511.76</v>
      </c>
      <c r="D521" s="410" t="str">
        <f>IFERROR(__xludf.DUMMYFUNCTION("""COMPUTED_VALUE"""),"T2")</f>
        <v>T2</v>
      </c>
      <c r="E521" s="410" t="str">
        <f>IFERROR(__xludf.DUMMYFUNCTION("""COMPUTED_VALUE"""),"TNI0252")</f>
        <v>TNI0252</v>
      </c>
      <c r="F521" s="410" t="str">
        <f>IFERROR(__xludf.DUMMYFUNCTION("""COMPUTED_VALUE"""),"myt_wanna.oo2")</f>
        <v>myt_wanna.oo2</v>
      </c>
      <c r="H521" s="269"/>
      <c r="I521" s="269"/>
      <c r="J521" s="269"/>
      <c r="K521" s="269"/>
      <c r="L521" s="269"/>
      <c r="M521" s="269"/>
      <c r="N521" s="269"/>
      <c r="O521" s="269"/>
      <c r="P521" s="269"/>
      <c r="Q521" s="269"/>
      <c r="R521" s="269"/>
      <c r="S521" s="269"/>
      <c r="T521" s="269"/>
      <c r="U521" s="269"/>
      <c r="V521" s="269"/>
      <c r="W521" s="269"/>
      <c r="X521" s="269"/>
      <c r="Y521" s="269"/>
      <c r="Z521" s="269"/>
      <c r="AA521" s="269"/>
      <c r="AB521" s="269"/>
      <c r="AC521" s="269"/>
      <c r="AD521" s="269"/>
      <c r="AE521" s="269"/>
      <c r="AF521" s="269"/>
      <c r="AG521" s="269"/>
      <c r="AH521" s="269"/>
      <c r="AI521" s="269"/>
      <c r="AJ521" s="269"/>
      <c r="AK521" s="269"/>
      <c r="AL521" s="269"/>
      <c r="AM521" s="269"/>
      <c r="AN521" s="269"/>
      <c r="AO521" s="269"/>
      <c r="AP521" s="269"/>
      <c r="AQ521" s="269"/>
      <c r="AR521" s="269"/>
    </row>
    <row r="522">
      <c r="A522" s="410" t="str">
        <f>IFERROR(__xludf.DUMMYFUNCTION("""COMPUTED_VALUE"""),"WO_QLCTKT_20260531_123407582")</f>
        <v>WO_QLCTKT_20260531_123407582</v>
      </c>
      <c r="B522" s="410" t="str">
        <f>IFERROR(__xludf.DUMMYFUNCTION("""COMPUTED_VALUE"""),"TNI0200 MYT_Maintenance_Generator_Change_Oil - MYT_Maintenance_Generator_Change_Oil_Filter - MYT_Maintenance_Generator_Change_Fuel_Filter - MYT_Checking quality for DG Fuel")</f>
        <v>TNI0200 MYT_Maintenance_Generator_Change_Oil - MYT_Maintenance_Generator_Change_Oil_Filter - MYT_Maintenance_Generator_Change_Fuel_Filter - MYT_Checking quality for DG Fuel</v>
      </c>
      <c r="C522" s="410">
        <f>IFERROR(__xludf.DUMMYFUNCTION("""COMPUTED_VALUE"""),-640.95)</f>
        <v>-640.95</v>
      </c>
      <c r="D522" s="410" t="str">
        <f>IFERROR(__xludf.DUMMYFUNCTION("""COMPUTED_VALUE"""),"T2")</f>
        <v>T2</v>
      </c>
      <c r="E522" s="410" t="str">
        <f>IFERROR(__xludf.DUMMYFUNCTION("""COMPUTED_VALUE"""),"TNI0200: 12KVA")</f>
        <v>TNI0200: 12KVA</v>
      </c>
      <c r="F522" s="410" t="str">
        <f>IFERROR(__xludf.DUMMYFUNCTION("""COMPUTED_VALUE"""),"myt_wanna.oo2")</f>
        <v>myt_wanna.oo2</v>
      </c>
      <c r="H522" s="269"/>
      <c r="I522" s="269"/>
      <c r="J522" s="269"/>
      <c r="K522" s="269"/>
      <c r="L522" s="269"/>
      <c r="M522" s="269"/>
      <c r="N522" s="269"/>
      <c r="O522" s="269"/>
      <c r="P522" s="269"/>
      <c r="Q522" s="269"/>
      <c r="R522" s="269"/>
      <c r="S522" s="269"/>
      <c r="T522" s="269"/>
      <c r="U522" s="269"/>
      <c r="V522" s="269"/>
      <c r="W522" s="269"/>
      <c r="X522" s="269"/>
      <c r="Y522" s="269"/>
      <c r="Z522" s="269"/>
      <c r="AA522" s="269"/>
      <c r="AB522" s="269"/>
      <c r="AC522" s="269"/>
      <c r="AD522" s="269"/>
      <c r="AE522" s="269"/>
      <c r="AF522" s="269"/>
      <c r="AG522" s="269"/>
      <c r="AH522" s="269"/>
      <c r="AI522" s="269"/>
      <c r="AJ522" s="269"/>
      <c r="AK522" s="269"/>
      <c r="AL522" s="269"/>
      <c r="AM522" s="269"/>
      <c r="AN522" s="269"/>
      <c r="AO522" s="269"/>
      <c r="AP522" s="269"/>
      <c r="AQ522" s="269"/>
      <c r="AR522" s="269"/>
    </row>
    <row r="523">
      <c r="A523" s="410" t="str">
        <f>IFERROR(__xludf.DUMMYFUNCTION("""COMPUTED_VALUE"""),"WO_QLCTKT_20260524_123348809")</f>
        <v>WO_QLCTKT_20260524_123348809</v>
      </c>
      <c r="B523" s="410" t="str">
        <f>IFERROR(__xludf.DUMMYFUNCTION("""COMPUTED_VALUE"""),"TNI0122 MYT_Maintenance_Generator_Change_Oil - MYT_Maintenance_Generator_Change_Oil_Filter - MYT_Maintenance_Generator_Change_Fuel_Filter - MYT_Checking quality for DG Fuel")</f>
        <v>TNI0122 MYT_Maintenance_Generator_Change_Oil - MYT_Maintenance_Generator_Change_Oil_Filter - MYT_Maintenance_Generator_Change_Fuel_Filter - MYT_Checking quality for DG Fuel</v>
      </c>
      <c r="C523" s="410">
        <f>IFERROR(__xludf.DUMMYFUNCTION("""COMPUTED_VALUE"""),-808.95)</f>
        <v>-808.95</v>
      </c>
      <c r="D523" s="410" t="str">
        <f>IFERROR(__xludf.DUMMYFUNCTION("""COMPUTED_VALUE"""),"T2")</f>
        <v>T2</v>
      </c>
      <c r="E523" s="410" t="str">
        <f>IFERROR(__xludf.DUMMYFUNCTION("""COMPUTED_VALUE"""),"TNI0122: 12KVA")</f>
        <v>TNI0122: 12KVA</v>
      </c>
      <c r="F523" s="410" t="str">
        <f>IFERROR(__xludf.DUMMYFUNCTION("""COMPUTED_VALUE"""),"myt_wanna.oo2")</f>
        <v>myt_wanna.oo2</v>
      </c>
      <c r="H523" s="269"/>
      <c r="I523" s="269"/>
      <c r="J523" s="269"/>
      <c r="K523" s="269"/>
      <c r="L523" s="269"/>
      <c r="M523" s="269"/>
      <c r="N523" s="269"/>
      <c r="O523" s="269"/>
      <c r="P523" s="269"/>
      <c r="Q523" s="269"/>
      <c r="R523" s="269"/>
      <c r="S523" s="269"/>
      <c r="T523" s="269"/>
      <c r="U523" s="269"/>
      <c r="V523" s="269"/>
      <c r="W523" s="269"/>
      <c r="X523" s="269"/>
      <c r="Y523" s="269"/>
      <c r="Z523" s="269"/>
      <c r="AA523" s="269"/>
      <c r="AB523" s="269"/>
      <c r="AC523" s="269"/>
      <c r="AD523" s="269"/>
      <c r="AE523" s="269"/>
      <c r="AF523" s="269"/>
      <c r="AG523" s="269"/>
      <c r="AH523" s="269"/>
      <c r="AI523" s="269"/>
      <c r="AJ523" s="269"/>
      <c r="AK523" s="269"/>
      <c r="AL523" s="269"/>
      <c r="AM523" s="269"/>
      <c r="AN523" s="269"/>
      <c r="AO523" s="269"/>
      <c r="AP523" s="269"/>
      <c r="AQ523" s="269"/>
      <c r="AR523" s="269"/>
    </row>
    <row r="524">
      <c r="A524" s="410" t="str">
        <f>IFERROR(__xludf.DUMMYFUNCTION("""COMPUTED_VALUE"""),"WO_QLCTKT_20260511_123246200")</f>
        <v>WO_QLCTKT_20260511_123246200</v>
      </c>
      <c r="B524" s="410" t="str">
        <f>IFERROR(__xludf.DUMMYFUNCTION("""COMPUTED_VALUE"""),"TNI0200 - Repair infrastructure - bla: Install the cables at station: Install the Optical cable CPRI")</f>
        <v>TNI0200 - Repair infrastructure - bla: Install the cables at station: Install the Optical cable CPRI</v>
      </c>
      <c r="C524" s="410">
        <f>IFERROR(__xludf.DUMMYFUNCTION("""COMPUTED_VALUE"""),-533.62)</f>
        <v>-533.62</v>
      </c>
      <c r="D524" s="410" t="str">
        <f>IFERROR(__xludf.DUMMYFUNCTION("""COMPUTED_VALUE"""),"T2")</f>
        <v>T2</v>
      </c>
      <c r="E524" s="410" t="str">
        <f>IFERROR(__xludf.DUMMYFUNCTION("""COMPUTED_VALUE"""),"TNI0200")</f>
        <v>TNI0200</v>
      </c>
      <c r="F524" s="410" t="str">
        <f>IFERROR(__xludf.DUMMYFUNCTION("""COMPUTED_VALUE"""),"myt_wanna.oo2")</f>
        <v>myt_wanna.oo2</v>
      </c>
      <c r="H524" s="269"/>
      <c r="I524" s="269"/>
      <c r="J524" s="269"/>
      <c r="K524" s="269"/>
      <c r="L524" s="269"/>
      <c r="M524" s="269"/>
      <c r="N524" s="269"/>
      <c r="O524" s="269"/>
      <c r="P524" s="269"/>
      <c r="Q524" s="269"/>
      <c r="R524" s="269"/>
      <c r="S524" s="269"/>
      <c r="T524" s="269"/>
      <c r="U524" s="269"/>
      <c r="V524" s="269"/>
      <c r="W524" s="269"/>
      <c r="X524" s="269"/>
      <c r="Y524" s="269"/>
      <c r="Z524" s="269"/>
      <c r="AA524" s="269"/>
      <c r="AB524" s="269"/>
      <c r="AC524" s="269"/>
      <c r="AD524" s="269"/>
      <c r="AE524" s="269"/>
      <c r="AF524" s="269"/>
      <c r="AG524" s="269"/>
      <c r="AH524" s="269"/>
      <c r="AI524" s="269"/>
      <c r="AJ524" s="269"/>
      <c r="AK524" s="269"/>
      <c r="AL524" s="269"/>
      <c r="AM524" s="269"/>
      <c r="AN524" s="269"/>
      <c r="AO524" s="269"/>
      <c r="AP524" s="269"/>
      <c r="AQ524" s="269"/>
      <c r="AR524" s="269"/>
    </row>
    <row r="525">
      <c r="A525" s="410" t="str">
        <f>IFERROR(__xludf.DUMMYFUNCTION("""COMPUTED_VALUE"""),"WO_QLCTKT_20260509_123226474")</f>
        <v>WO_QLCTKT_20260509_123226474</v>
      </c>
      <c r="B525" s="410" t="str">
        <f>IFERROR(__xludf.DUMMYFUNCTION("""COMPUTED_VALUE"""),"TNI0200 MYT_Maintenance_Generator_Change_Oil - MYT_Checking quality for DG Fuel")</f>
        <v>TNI0200 MYT_Maintenance_Generator_Change_Oil - MYT_Checking quality for DG Fuel</v>
      </c>
      <c r="C525" s="410">
        <f>IFERROR(__xludf.DUMMYFUNCTION("""COMPUTED_VALUE"""),-1168.95)</f>
        <v>-1168.95</v>
      </c>
      <c r="D525" s="410" t="str">
        <f>IFERROR(__xludf.DUMMYFUNCTION("""COMPUTED_VALUE"""),"T2")</f>
        <v>T2</v>
      </c>
      <c r="E525" s="410" t="str">
        <f>IFERROR(__xludf.DUMMYFUNCTION("""COMPUTED_VALUE"""),"TNI0200: 12KVA")</f>
        <v>TNI0200: 12KVA</v>
      </c>
      <c r="F525" s="410" t="str">
        <f>IFERROR(__xludf.DUMMYFUNCTION("""COMPUTED_VALUE"""),"myt_wanna.oo2")</f>
        <v>myt_wanna.oo2</v>
      </c>
      <c r="H525" s="269"/>
      <c r="I525" s="269"/>
      <c r="J525" s="269"/>
      <c r="K525" s="269"/>
      <c r="L525" s="269"/>
      <c r="M525" s="269"/>
      <c r="N525" s="269"/>
      <c r="O525" s="269"/>
      <c r="P525" s="269"/>
      <c r="Q525" s="269"/>
      <c r="R525" s="269"/>
      <c r="S525" s="269"/>
      <c r="T525" s="269"/>
      <c r="U525" s="269"/>
      <c r="V525" s="269"/>
      <c r="W525" s="269"/>
      <c r="X525" s="269"/>
      <c r="Y525" s="269"/>
      <c r="Z525" s="269"/>
      <c r="AA525" s="269"/>
      <c r="AB525" s="269"/>
      <c r="AC525" s="269"/>
      <c r="AD525" s="269"/>
      <c r="AE525" s="269"/>
      <c r="AF525" s="269"/>
      <c r="AG525" s="269"/>
      <c r="AH525" s="269"/>
      <c r="AI525" s="269"/>
      <c r="AJ525" s="269"/>
      <c r="AK525" s="269"/>
      <c r="AL525" s="269"/>
      <c r="AM525" s="269"/>
      <c r="AN525" s="269"/>
      <c r="AO525" s="269"/>
      <c r="AP525" s="269"/>
      <c r="AQ525" s="269"/>
      <c r="AR525" s="269"/>
    </row>
    <row r="526">
      <c r="A526" s="410" t="str">
        <f>IFERROR(__xludf.DUMMYFUNCTION("""COMPUTED_VALUE"""),"WO_QLCTKT_20260509_123225987")</f>
        <v>WO_QLCTKT_20260509_123225987</v>
      </c>
      <c r="B526" s="410" t="str">
        <f>IFERROR(__xludf.DUMMYFUNCTION("""COMPUTED_VALUE"""),"TNI0515 MYT_Routine_Maintenance_Towerco_Station_VCM")</f>
        <v>TNI0515 MYT_Routine_Maintenance_Towerco_Station_VCM</v>
      </c>
      <c r="C526" s="410">
        <f>IFERROR(__xludf.DUMMYFUNCTION("""COMPUTED_VALUE"""),-256.95)</f>
        <v>-256.95</v>
      </c>
      <c r="D526" s="410" t="str">
        <f>IFERROR(__xludf.DUMMYFUNCTION("""COMPUTED_VALUE"""),"T2")</f>
        <v>T2</v>
      </c>
      <c r="E526" s="410" t="str">
        <f>IFERROR(__xludf.DUMMYFUNCTION("""COMPUTED_VALUE"""),"TNI0515")</f>
        <v>TNI0515</v>
      </c>
      <c r="F526" s="410" t="str">
        <f>IFERROR(__xludf.DUMMYFUNCTION("""COMPUTED_VALUE"""),"myt_wanna.oo2")</f>
        <v>myt_wanna.oo2</v>
      </c>
      <c r="H526" s="269"/>
      <c r="I526" s="269"/>
      <c r="J526" s="269"/>
      <c r="K526" s="269"/>
      <c r="L526" s="269"/>
      <c r="M526" s="269"/>
      <c r="N526" s="269"/>
      <c r="O526" s="269"/>
      <c r="P526" s="269"/>
      <c r="Q526" s="269"/>
      <c r="R526" s="269"/>
      <c r="S526" s="269"/>
      <c r="T526" s="269"/>
      <c r="U526" s="269"/>
      <c r="V526" s="269"/>
      <c r="W526" s="269"/>
      <c r="X526" s="269"/>
      <c r="Y526" s="269"/>
      <c r="Z526" s="269"/>
      <c r="AA526" s="269"/>
      <c r="AB526" s="269"/>
      <c r="AC526" s="269"/>
      <c r="AD526" s="269"/>
      <c r="AE526" s="269"/>
      <c r="AF526" s="269"/>
      <c r="AG526" s="269"/>
      <c r="AH526" s="269"/>
      <c r="AI526" s="269"/>
      <c r="AJ526" s="269"/>
      <c r="AK526" s="269"/>
      <c r="AL526" s="269"/>
      <c r="AM526" s="269"/>
      <c r="AN526" s="269"/>
      <c r="AO526" s="269"/>
      <c r="AP526" s="269"/>
      <c r="AQ526" s="269"/>
      <c r="AR526" s="269"/>
    </row>
    <row r="527">
      <c r="A527" s="410" t="str">
        <f>IFERROR(__xludf.DUMMYFUNCTION("""COMPUTED_VALUE"""),"WO_QLCTKT_20260430_123146831")</f>
        <v>WO_QLCTKT_20260430_123146831</v>
      </c>
      <c r="B527" s="410" t="str">
        <f>IFERROR(__xludf.DUMMYFUNCTION("""COMPUTED_VALUE"""),"TNI0122 MYT_Routine_Maintenance_Mytel_Station_VCM")</f>
        <v>TNI0122 MYT_Routine_Maintenance_Mytel_Station_VCM</v>
      </c>
      <c r="C527" s="410">
        <f>IFERROR(__xludf.DUMMYFUNCTION("""COMPUTED_VALUE"""),-472.95)</f>
        <v>-472.95</v>
      </c>
      <c r="D527" s="410" t="str">
        <f>IFERROR(__xludf.DUMMYFUNCTION("""COMPUTED_VALUE"""),"T2")</f>
        <v>T2</v>
      </c>
      <c r="E527" s="410" t="str">
        <f>IFERROR(__xludf.DUMMYFUNCTION("""COMPUTED_VALUE"""),"TNI0122")</f>
        <v>TNI0122</v>
      </c>
      <c r="F527" s="410" t="str">
        <f>IFERROR(__xludf.DUMMYFUNCTION("""COMPUTED_VALUE"""),"myt_wanna.oo2")</f>
        <v>myt_wanna.oo2</v>
      </c>
      <c r="H527" s="269"/>
      <c r="I527" s="269"/>
      <c r="J527" s="269"/>
      <c r="K527" s="269"/>
      <c r="L527" s="269"/>
      <c r="M527" s="269"/>
      <c r="N527" s="269"/>
      <c r="O527" s="269"/>
      <c r="P527" s="269"/>
      <c r="Q527" s="269"/>
      <c r="R527" s="269"/>
      <c r="S527" s="269"/>
      <c r="T527" s="269"/>
      <c r="U527" s="269"/>
      <c r="V527" s="269"/>
      <c r="W527" s="269"/>
      <c r="X527" s="269"/>
      <c r="Y527" s="269"/>
      <c r="Z527" s="269"/>
      <c r="AA527" s="269"/>
      <c r="AB527" s="269"/>
      <c r="AC527" s="269"/>
      <c r="AD527" s="269"/>
      <c r="AE527" s="269"/>
      <c r="AF527" s="269"/>
      <c r="AG527" s="269"/>
      <c r="AH527" s="269"/>
      <c r="AI527" s="269"/>
      <c r="AJ527" s="269"/>
      <c r="AK527" s="269"/>
      <c r="AL527" s="269"/>
      <c r="AM527" s="269"/>
      <c r="AN527" s="269"/>
      <c r="AO527" s="269"/>
      <c r="AP527" s="269"/>
      <c r="AQ527" s="269"/>
      <c r="AR527" s="269"/>
    </row>
    <row r="528">
      <c r="A528" s="410" t="str">
        <f>IFERROR(__xludf.DUMMYFUNCTION("""COMPUTED_VALUE"""),"WO_QLCTKT_20260408_122933927")</f>
        <v>WO_QLCTKT_20260408_122933927</v>
      </c>
      <c r="B528" s="410" t="str">
        <f>IFERROR(__xludf.DUMMYFUNCTION("""COMPUTED_VALUE"""),"TNI0370 MYT_Routine_Maintenance_Towerco_Station_VCM")</f>
        <v>TNI0370 MYT_Routine_Maintenance_Towerco_Station_VCM</v>
      </c>
      <c r="C528" s="410">
        <f>IFERROR(__xludf.DUMMYFUNCTION("""COMPUTED_VALUE"""),-1000.95)</f>
        <v>-1000.95</v>
      </c>
      <c r="D528" s="410" t="str">
        <f>IFERROR(__xludf.DUMMYFUNCTION("""COMPUTED_VALUE"""),"T2")</f>
        <v>T2</v>
      </c>
      <c r="E528" s="410" t="str">
        <f>IFERROR(__xludf.DUMMYFUNCTION("""COMPUTED_VALUE"""),"TNI0370")</f>
        <v>TNI0370</v>
      </c>
      <c r="F528" s="410" t="str">
        <f>IFERROR(__xludf.DUMMYFUNCTION("""COMPUTED_VALUE"""),"myt_wanna.oo2")</f>
        <v>myt_wanna.oo2</v>
      </c>
      <c r="H528" s="269"/>
      <c r="I528" s="269"/>
      <c r="J528" s="269"/>
      <c r="K528" s="269"/>
      <c r="L528" s="269"/>
      <c r="M528" s="269"/>
      <c r="N528" s="269"/>
      <c r="O528" s="269"/>
      <c r="P528" s="269"/>
      <c r="Q528" s="269"/>
      <c r="R528" s="269"/>
      <c r="S528" s="269"/>
      <c r="T528" s="269"/>
      <c r="U528" s="269"/>
      <c r="V528" s="269"/>
      <c r="W528" s="269"/>
      <c r="X528" s="269"/>
      <c r="Y528" s="269"/>
      <c r="Z528" s="269"/>
      <c r="AA528" s="269"/>
      <c r="AB528" s="269"/>
      <c r="AC528" s="269"/>
      <c r="AD528" s="269"/>
      <c r="AE528" s="269"/>
      <c r="AF528" s="269"/>
      <c r="AG528" s="269"/>
      <c r="AH528" s="269"/>
      <c r="AI528" s="269"/>
      <c r="AJ528" s="269"/>
      <c r="AK528" s="269"/>
      <c r="AL528" s="269"/>
      <c r="AM528" s="269"/>
      <c r="AN528" s="269"/>
      <c r="AO528" s="269"/>
      <c r="AP528" s="269"/>
      <c r="AQ528" s="269"/>
      <c r="AR528" s="269"/>
    </row>
    <row r="529">
      <c r="A529" s="410" t="str">
        <f>IFERROR(__xludf.DUMMYFUNCTION("""COMPUTED_VALUE"""),"WO_ICMS_20260626_123646131")</f>
        <v>WO_ICMS_20260626_123646131</v>
      </c>
      <c r="B529" s="410" t="str">
        <f>IFERROR(__xludf.DUMMYFUNCTION("""COMPUTED_VALUE"""),"TNI0520 MYT_Routine_Maintenance_Towerco_Station MYT_RTE_MTE_TCO_STN")</f>
        <v>TNI0520 MYT_Routine_Maintenance_Towerco_Station MYT_RTE_MTE_TCO_STN</v>
      </c>
      <c r="C529" s="410">
        <f>IFERROR(__xludf.DUMMYFUNCTION("""COMPUTED_VALUE"""),960.45)</f>
        <v>960.45</v>
      </c>
      <c r="D529" s="410" t="str">
        <f>IFERROR(__xludf.DUMMYFUNCTION("""COMPUTED_VALUE"""),"T2")</f>
        <v>T2</v>
      </c>
      <c r="E529" s="410" t="str">
        <f>IFERROR(__xludf.DUMMYFUNCTION("""COMPUTED_VALUE"""),"TNI0520")</f>
        <v>TNI0520</v>
      </c>
      <c r="F529" s="410" t="str">
        <f>IFERROR(__xludf.DUMMYFUNCTION("""COMPUTED_VALUE"""),"myt_winhtet.aung11")</f>
        <v>myt_winhtet.aung11</v>
      </c>
      <c r="H529" s="269"/>
      <c r="I529" s="269"/>
      <c r="J529" s="269"/>
      <c r="K529" s="269"/>
      <c r="L529" s="269"/>
      <c r="M529" s="269"/>
      <c r="N529" s="269"/>
      <c r="O529" s="269"/>
      <c r="P529" s="269"/>
      <c r="Q529" s="269"/>
      <c r="R529" s="269"/>
      <c r="S529" s="269"/>
      <c r="T529" s="269"/>
      <c r="U529" s="269"/>
      <c r="V529" s="269"/>
      <c r="W529" s="269"/>
      <c r="X529" s="269"/>
      <c r="Y529" s="269"/>
      <c r="Z529" s="269"/>
      <c r="AA529" s="269"/>
      <c r="AB529" s="269"/>
      <c r="AC529" s="269"/>
      <c r="AD529" s="269"/>
      <c r="AE529" s="269"/>
      <c r="AF529" s="269"/>
      <c r="AG529" s="269"/>
      <c r="AH529" s="269"/>
      <c r="AI529" s="269"/>
      <c r="AJ529" s="269"/>
      <c r="AK529" s="269"/>
      <c r="AL529" s="269"/>
      <c r="AM529" s="269"/>
      <c r="AN529" s="269"/>
      <c r="AO529" s="269"/>
      <c r="AP529" s="269"/>
      <c r="AQ529" s="269"/>
      <c r="AR529" s="269"/>
    </row>
    <row r="530">
      <c r="A530" s="410" t="str">
        <f>IFERROR(__xludf.DUMMYFUNCTION("""COMPUTED_VALUE"""),"WO_WFM-OTHERS_20260622_123603073")</f>
        <v>WO_WFM-OTHERS_20260622_123603073</v>
      </c>
      <c r="B530" s="410" t="str">
        <f>IFERROR(__xludf.DUMMYFUNCTION("""COMPUTED_VALUE"""),"TNI0255_Cleaning Radiator and change engine oil")</f>
        <v>TNI0255_Cleaning Radiator and change engine oil</v>
      </c>
      <c r="C530" s="410">
        <f>IFERROR(__xludf.DUMMYFUNCTION("""COMPUTED_VALUE"""),-41.95)</f>
        <v>-41.95</v>
      </c>
      <c r="D530" s="410" t="str">
        <f>IFERROR(__xludf.DUMMYFUNCTION("""COMPUTED_VALUE"""),"T2")</f>
        <v>T2</v>
      </c>
      <c r="E530" s="410" t="str">
        <f>IFERROR(__xludf.DUMMYFUNCTION("""COMPUTED_VALUE"""),"TNI0255")</f>
        <v>TNI0255</v>
      </c>
      <c r="F530" s="410" t="str">
        <f>IFERROR(__xludf.DUMMYFUNCTION("""COMPUTED_VALUE"""),"myt_winhtet.aung11")</f>
        <v>myt_winhtet.aung11</v>
      </c>
      <c r="H530" s="269"/>
      <c r="I530" s="269"/>
      <c r="J530" s="269"/>
      <c r="K530" s="269"/>
      <c r="L530" s="269"/>
      <c r="M530" s="269"/>
      <c r="N530" s="269"/>
      <c r="O530" s="269"/>
      <c r="P530" s="269"/>
      <c r="Q530" s="269"/>
      <c r="R530" s="269"/>
      <c r="S530" s="269"/>
      <c r="T530" s="269"/>
      <c r="U530" s="269"/>
      <c r="V530" s="269"/>
      <c r="W530" s="269"/>
      <c r="X530" s="269"/>
      <c r="Y530" s="269"/>
      <c r="Z530" s="269"/>
      <c r="AA530" s="269"/>
      <c r="AB530" s="269"/>
      <c r="AC530" s="269"/>
      <c r="AD530" s="269"/>
      <c r="AE530" s="269"/>
      <c r="AF530" s="269"/>
      <c r="AG530" s="269"/>
      <c r="AH530" s="269"/>
      <c r="AI530" s="269"/>
      <c r="AJ530" s="269"/>
      <c r="AK530" s="269"/>
      <c r="AL530" s="269"/>
      <c r="AM530" s="269"/>
      <c r="AN530" s="269"/>
      <c r="AO530" s="269"/>
      <c r="AP530" s="269"/>
      <c r="AQ530" s="269"/>
      <c r="AR530" s="269"/>
    </row>
    <row r="531">
      <c r="A531" s="410" t="str">
        <f>IFERROR(__xludf.DUMMYFUNCTION("""COMPUTED_VALUE"""),"WO_ICMS_20260623_123615035")</f>
        <v>WO_ICMS_20260623_123615035</v>
      </c>
      <c r="B531" s="410" t="str">
        <f>IFERROR(__xludf.DUMMYFUNCTION("""COMPUTED_VALUE"""),"TNI0413 MYT_Routine_Maintenance_Mytel_Station MYT_RTE_MTE_SB_STN")</f>
        <v>TNI0413 MYT_Routine_Maintenance_Mytel_Station MYT_RTE_MTE_SB_STN</v>
      </c>
      <c r="C531" s="410">
        <f>IFERROR(__xludf.DUMMYFUNCTION("""COMPUTED_VALUE"""),886.64)</f>
        <v>886.64</v>
      </c>
      <c r="D531" s="410" t="str">
        <f>IFERROR(__xludf.DUMMYFUNCTION("""COMPUTED_VALUE"""),"T2")</f>
        <v>T2</v>
      </c>
      <c r="E531" s="410" t="str">
        <f>IFERROR(__xludf.DUMMYFUNCTION("""COMPUTED_VALUE"""),"TNI0413")</f>
        <v>TNI0413</v>
      </c>
      <c r="F531" s="410" t="str">
        <f>IFERROR(__xludf.DUMMYFUNCTION("""COMPUTED_VALUE"""),"myt_ye.lin22")</f>
        <v>myt_ye.lin22</v>
      </c>
      <c r="H531" s="269"/>
      <c r="I531" s="269"/>
      <c r="J531" s="269"/>
      <c r="K531" s="269"/>
      <c r="L531" s="269"/>
      <c r="M531" s="269"/>
      <c r="N531" s="269"/>
      <c r="O531" s="269"/>
      <c r="P531" s="269"/>
      <c r="Q531" s="269"/>
      <c r="R531" s="269"/>
      <c r="S531" s="269"/>
      <c r="T531" s="269"/>
      <c r="U531" s="269"/>
      <c r="V531" s="269"/>
      <c r="W531" s="269"/>
      <c r="X531" s="269"/>
      <c r="Y531" s="269"/>
      <c r="Z531" s="269"/>
      <c r="AA531" s="269"/>
      <c r="AB531" s="269"/>
      <c r="AC531" s="269"/>
      <c r="AD531" s="269"/>
      <c r="AE531" s="269"/>
      <c r="AF531" s="269"/>
      <c r="AG531" s="269"/>
      <c r="AH531" s="269"/>
      <c r="AI531" s="269"/>
      <c r="AJ531" s="269"/>
      <c r="AK531" s="269"/>
      <c r="AL531" s="269"/>
      <c r="AM531" s="269"/>
      <c r="AN531" s="269"/>
      <c r="AO531" s="269"/>
      <c r="AP531" s="269"/>
      <c r="AQ531" s="269"/>
      <c r="AR531" s="269"/>
    </row>
    <row r="532">
      <c r="A532" s="410" t="str">
        <f>IFERROR(__xludf.DUMMYFUNCTION("""COMPUTED_VALUE"""),"WO_ICMS_20260623_123611293")</f>
        <v>WO_ICMS_20260623_123611293</v>
      </c>
      <c r="B532" s="410" t="str">
        <f>IFERROR(__xludf.DUMMYFUNCTION("""COMPUTED_VALUE"""),"TNI0020 MYT_Routine_Maintenance_Towerco_Station MYT_RTE_MTE_TCO_STN")</f>
        <v>TNI0020 MYT_Routine_Maintenance_Towerco_Station MYT_RTE_MTE_TCO_STN</v>
      </c>
      <c r="C532" s="410">
        <f>IFERROR(__xludf.DUMMYFUNCTION("""COMPUTED_VALUE"""),882.55)</f>
        <v>882.55</v>
      </c>
      <c r="D532" s="410" t="str">
        <f>IFERROR(__xludf.DUMMYFUNCTION("""COMPUTED_VALUE"""),"T2")</f>
        <v>T2</v>
      </c>
      <c r="E532" s="410" t="str">
        <f>IFERROR(__xludf.DUMMYFUNCTION("""COMPUTED_VALUE"""),"TNI0020")</f>
        <v>TNI0020</v>
      </c>
      <c r="F532" s="410" t="str">
        <f>IFERROR(__xludf.DUMMYFUNCTION("""COMPUTED_VALUE"""),"myt_ye.lin22")</f>
        <v>myt_ye.lin22</v>
      </c>
      <c r="H532" s="269"/>
      <c r="I532" s="269"/>
      <c r="J532" s="269"/>
      <c r="K532" s="269"/>
      <c r="L532" s="269"/>
      <c r="M532" s="269"/>
      <c r="N532" s="269"/>
      <c r="O532" s="269"/>
      <c r="P532" s="269"/>
      <c r="Q532" s="269"/>
      <c r="R532" s="269"/>
      <c r="S532" s="269"/>
      <c r="T532" s="269"/>
      <c r="U532" s="269"/>
      <c r="V532" s="269"/>
      <c r="W532" s="269"/>
      <c r="X532" s="269"/>
      <c r="Y532" s="269"/>
      <c r="Z532" s="269"/>
      <c r="AA532" s="269"/>
      <c r="AB532" s="269"/>
      <c r="AC532" s="269"/>
      <c r="AD532" s="269"/>
      <c r="AE532" s="269"/>
      <c r="AF532" s="269"/>
      <c r="AG532" s="269"/>
      <c r="AH532" s="269"/>
      <c r="AI532" s="269"/>
      <c r="AJ532" s="269"/>
      <c r="AK532" s="269"/>
      <c r="AL532" s="269"/>
      <c r="AM532" s="269"/>
      <c r="AN532" s="269"/>
      <c r="AO532" s="269"/>
      <c r="AP532" s="269"/>
      <c r="AQ532" s="269"/>
      <c r="AR532" s="269"/>
    </row>
    <row r="533">
      <c r="A533" s="410" t="str">
        <f>IFERROR(__xludf.DUMMYFUNCTION("""COMPUTED_VALUE"""),"WO_ICMS_20260623_123611227")</f>
        <v>WO_ICMS_20260623_123611227</v>
      </c>
      <c r="B533" s="410" t="str">
        <f>IFERROR(__xludf.DUMMYFUNCTION("""COMPUTED_VALUE"""),"TNI0415 MYT_Routine_Maintenance_Towerco_Station MYT_RTE_MTE_TCO_STN")</f>
        <v>TNI0415 MYT_Routine_Maintenance_Towerco_Station MYT_RTE_MTE_TCO_STN</v>
      </c>
      <c r="C533" s="410">
        <f>IFERROR(__xludf.DUMMYFUNCTION("""COMPUTED_VALUE"""),882.54)</f>
        <v>882.54</v>
      </c>
      <c r="D533" s="410" t="str">
        <f>IFERROR(__xludf.DUMMYFUNCTION("""COMPUTED_VALUE"""),"T2")</f>
        <v>T2</v>
      </c>
      <c r="E533" s="410" t="str">
        <f>IFERROR(__xludf.DUMMYFUNCTION("""COMPUTED_VALUE"""),"TNI0415")</f>
        <v>TNI0415</v>
      </c>
      <c r="F533" s="410" t="str">
        <f>IFERROR(__xludf.DUMMYFUNCTION("""COMPUTED_VALUE"""),"myt_ye.lin22")</f>
        <v>myt_ye.lin22</v>
      </c>
      <c r="H533" s="269"/>
      <c r="I533" s="269"/>
      <c r="J533" s="269"/>
      <c r="K533" s="269"/>
      <c r="L533" s="269"/>
      <c r="M533" s="269"/>
      <c r="N533" s="269"/>
      <c r="O533" s="269"/>
      <c r="P533" s="269"/>
      <c r="Q533" s="269"/>
      <c r="R533" s="269"/>
      <c r="S533" s="269"/>
      <c r="T533" s="269"/>
      <c r="U533" s="269"/>
      <c r="V533" s="269"/>
      <c r="W533" s="269"/>
      <c r="X533" s="269"/>
      <c r="Y533" s="269"/>
      <c r="Z533" s="269"/>
      <c r="AA533" s="269"/>
      <c r="AB533" s="269"/>
      <c r="AC533" s="269"/>
      <c r="AD533" s="269"/>
      <c r="AE533" s="269"/>
      <c r="AF533" s="269"/>
      <c r="AG533" s="269"/>
      <c r="AH533" s="269"/>
      <c r="AI533" s="269"/>
      <c r="AJ533" s="269"/>
      <c r="AK533" s="269"/>
      <c r="AL533" s="269"/>
      <c r="AM533" s="269"/>
      <c r="AN533" s="269"/>
      <c r="AO533" s="269"/>
      <c r="AP533" s="269"/>
      <c r="AQ533" s="269"/>
      <c r="AR533" s="269"/>
    </row>
    <row r="534">
      <c r="A534" s="410" t="str">
        <f>IFERROR(__xludf.DUMMYFUNCTION("""COMPUTED_VALUE"""),"WO_QLCTKT_20260615_123529086")</f>
        <v>WO_QLCTKT_20260615_123529086</v>
      </c>
      <c r="B534" s="410" t="str">
        <f>IFERROR(__xludf.DUMMYFUNCTION("""COMPUTED_VALUE"""),"TNI0371 - Repair infrastructure - bla: Maintenance the equipments: Maintenance the minishelter cabinet")</f>
        <v>TNI0371 - Repair infrastructure - bla: Maintenance the equipments: Maintenance the minishelter cabinet</v>
      </c>
      <c r="C534" s="410">
        <f>IFERROR(__xludf.DUMMYFUNCTION("""COMPUTED_VALUE"""),-247.97)</f>
        <v>-247.97</v>
      </c>
      <c r="D534" s="410" t="str">
        <f>IFERROR(__xludf.DUMMYFUNCTION("""COMPUTED_VALUE"""),"T2")</f>
        <v>T2</v>
      </c>
      <c r="E534" s="410" t="str">
        <f>IFERROR(__xludf.DUMMYFUNCTION("""COMPUTED_VALUE"""),"TNI0371")</f>
        <v>TNI0371</v>
      </c>
      <c r="F534" s="410" t="str">
        <f>IFERROR(__xludf.DUMMYFUNCTION("""COMPUTED_VALUE"""),"myt_ye.lin22")</f>
        <v>myt_ye.lin22</v>
      </c>
      <c r="H534" s="269"/>
      <c r="I534" s="269"/>
      <c r="J534" s="269"/>
      <c r="K534" s="269"/>
      <c r="L534" s="269"/>
      <c r="M534" s="269"/>
      <c r="N534" s="269"/>
      <c r="O534" s="269"/>
      <c r="P534" s="269"/>
      <c r="Q534" s="269"/>
      <c r="R534" s="269"/>
      <c r="S534" s="269"/>
      <c r="T534" s="269"/>
      <c r="U534" s="269"/>
      <c r="V534" s="269"/>
      <c r="W534" s="269"/>
      <c r="X534" s="269"/>
      <c r="Y534" s="269"/>
      <c r="Z534" s="269"/>
      <c r="AA534" s="269"/>
      <c r="AB534" s="269"/>
      <c r="AC534" s="269"/>
      <c r="AD534" s="269"/>
      <c r="AE534" s="269"/>
      <c r="AF534" s="269"/>
      <c r="AG534" s="269"/>
      <c r="AH534" s="269"/>
      <c r="AI534" s="269"/>
      <c r="AJ534" s="269"/>
      <c r="AK534" s="269"/>
      <c r="AL534" s="269"/>
      <c r="AM534" s="269"/>
      <c r="AN534" s="269"/>
      <c r="AO534" s="269"/>
      <c r="AP534" s="269"/>
      <c r="AQ534" s="269"/>
      <c r="AR534" s="269"/>
    </row>
    <row r="535">
      <c r="A535" s="410" t="str">
        <f>IFERROR(__xludf.DUMMYFUNCTION("""COMPUTED_VALUE"""),"WO_QLCTKT_20260408_122933159")</f>
        <v>WO_QLCTKT_20260408_122933159</v>
      </c>
      <c r="B535" s="410" t="str">
        <f>IFERROR(__xludf.DUMMYFUNCTION("""COMPUTED_VALUE"""),"TNI0075 MYT_Routine_Maintenance_Towerco_Station_VCM")</f>
        <v>TNI0075 MYT_Routine_Maintenance_Towerco_Station_VCM</v>
      </c>
      <c r="C535" s="410">
        <f>IFERROR(__xludf.DUMMYFUNCTION("""COMPUTED_VALUE"""),-1000.95)</f>
        <v>-1000.95</v>
      </c>
      <c r="D535" s="410" t="str">
        <f>IFERROR(__xludf.DUMMYFUNCTION("""COMPUTED_VALUE"""),"T2")</f>
        <v>T2</v>
      </c>
      <c r="E535" s="410" t="str">
        <f>IFERROR(__xludf.DUMMYFUNCTION("""COMPUTED_VALUE"""),"TNI0075")</f>
        <v>TNI0075</v>
      </c>
      <c r="F535" s="410" t="str">
        <f>IFERROR(__xludf.DUMMYFUNCTION("""COMPUTED_VALUE"""),"myt_ye.lin22")</f>
        <v>myt_ye.lin22</v>
      </c>
      <c r="H535" s="269"/>
      <c r="I535" s="269"/>
      <c r="J535" s="269"/>
      <c r="K535" s="269"/>
      <c r="L535" s="269"/>
      <c r="M535" s="269"/>
      <c r="N535" s="269"/>
      <c r="O535" s="269"/>
      <c r="P535" s="269"/>
      <c r="Q535" s="269"/>
      <c r="R535" s="269"/>
      <c r="S535" s="269"/>
      <c r="T535" s="269"/>
      <c r="U535" s="269"/>
      <c r="V535" s="269"/>
      <c r="W535" s="269"/>
      <c r="X535" s="269"/>
      <c r="Y535" s="269"/>
      <c r="Z535" s="269"/>
      <c r="AA535" s="269"/>
      <c r="AB535" s="269"/>
      <c r="AC535" s="269"/>
      <c r="AD535" s="269"/>
      <c r="AE535" s="269"/>
      <c r="AF535" s="269"/>
      <c r="AG535" s="269"/>
      <c r="AH535" s="269"/>
      <c r="AI535" s="269"/>
      <c r="AJ535" s="269"/>
      <c r="AK535" s="269"/>
      <c r="AL535" s="269"/>
      <c r="AM535" s="269"/>
      <c r="AN535" s="269"/>
      <c r="AO535" s="269"/>
      <c r="AP535" s="269"/>
      <c r="AQ535" s="269"/>
      <c r="AR535" s="269"/>
    </row>
    <row r="536">
      <c r="A536" s="410" t="str">
        <f>IFERROR(__xludf.DUMMYFUNCTION("""COMPUTED_VALUE"""),"WO_WFM-OTHERS_20260623_123613136")</f>
        <v>WO_WFM-OTHERS_20260623_123613136</v>
      </c>
      <c r="B536" s="410" t="str">
        <f>IFERROR(__xludf.DUMMYFUNCTION("""COMPUTED_VALUE"""),"Cable routes measure-AC-TNI0029-TNI0042")</f>
        <v>Cable routes measure-AC-TNI0029-TNI0042</v>
      </c>
      <c r="C536" s="410">
        <f>IFERROR(__xludf.DUMMYFUNCTION("""COMPUTED_VALUE"""),439.03)</f>
        <v>439.03</v>
      </c>
      <c r="D536" s="410" t="str">
        <f>IFERROR(__xludf.DUMMYFUNCTION("""COMPUTED_VALUE"""),"T2")</f>
        <v>T2</v>
      </c>
      <c r="E536" s="410" t="str">
        <f>IFERROR(__xludf.DUMMYFUNCTION("""COMPUTED_VALUE"""),"TNI0029")</f>
        <v>TNI0029</v>
      </c>
      <c r="F536" s="410" t="str">
        <f>IFERROR(__xludf.DUMMYFUNCTION("""COMPUTED_VALUE"""),"myt_zinmin.shein")</f>
        <v>myt_zinmin.shein</v>
      </c>
      <c r="H536" s="269"/>
      <c r="I536" s="269"/>
      <c r="J536" s="269"/>
      <c r="K536" s="269"/>
      <c r="L536" s="269"/>
      <c r="M536" s="269"/>
      <c r="N536" s="269"/>
      <c r="O536" s="269"/>
      <c r="P536" s="269"/>
      <c r="Q536" s="269"/>
      <c r="R536" s="269"/>
      <c r="S536" s="269"/>
      <c r="T536" s="269"/>
      <c r="U536" s="269"/>
      <c r="V536" s="269"/>
      <c r="W536" s="269"/>
      <c r="X536" s="269"/>
      <c r="Y536" s="269"/>
      <c r="Z536" s="269"/>
      <c r="AA536" s="269"/>
      <c r="AB536" s="269"/>
      <c r="AC536" s="269"/>
      <c r="AD536" s="269"/>
      <c r="AE536" s="269"/>
      <c r="AF536" s="269"/>
      <c r="AG536" s="269"/>
      <c r="AH536" s="269"/>
      <c r="AI536" s="269"/>
      <c r="AJ536" s="269"/>
      <c r="AK536" s="269"/>
      <c r="AL536" s="269"/>
      <c r="AM536" s="269"/>
      <c r="AN536" s="269"/>
      <c r="AO536" s="269"/>
      <c r="AP536" s="269"/>
      <c r="AQ536" s="269"/>
      <c r="AR536" s="269"/>
    </row>
    <row r="537">
      <c r="A537" s="410" t="str">
        <f>IFERROR(__xludf.DUMMYFUNCTION("""COMPUTED_VALUE"""),"WO_WFM-OTHERS_20260623_123613119")</f>
        <v>WO_WFM-OTHERS_20260623_123613119</v>
      </c>
      <c r="B537" s="410" t="str">
        <f>IFERROR(__xludf.DUMMYFUNCTION("""COMPUTED_VALUE"""),"Cable routes measure-BB-TNI0001-TNI0002")</f>
        <v>Cable routes measure-BB-TNI0001-TNI0002</v>
      </c>
      <c r="C537" s="410">
        <f>IFERROR(__xludf.DUMMYFUNCTION("""COMPUTED_VALUE"""),439.03)</f>
        <v>439.03</v>
      </c>
      <c r="D537" s="410" t="str">
        <f>IFERROR(__xludf.DUMMYFUNCTION("""COMPUTED_VALUE"""),"T2")</f>
        <v>T2</v>
      </c>
      <c r="E537" s="410" t="str">
        <f>IFERROR(__xludf.DUMMYFUNCTION("""COMPUTED_VALUE"""),"TNI0001")</f>
        <v>TNI0001</v>
      </c>
      <c r="F537" s="410" t="str">
        <f>IFERROR(__xludf.DUMMYFUNCTION("""COMPUTED_VALUE"""),"myt_zinmin.shein")</f>
        <v>myt_zinmin.shein</v>
      </c>
      <c r="H537" s="269"/>
      <c r="I537" s="269"/>
      <c r="J537" s="269"/>
      <c r="K537" s="269"/>
      <c r="L537" s="269"/>
      <c r="M537" s="269"/>
      <c r="N537" s="269"/>
      <c r="O537" s="269"/>
      <c r="P537" s="269"/>
      <c r="Q537" s="269"/>
      <c r="R537" s="269"/>
      <c r="S537" s="269"/>
      <c r="T537" s="269"/>
      <c r="U537" s="269"/>
      <c r="V537" s="269"/>
      <c r="W537" s="269"/>
      <c r="X537" s="269"/>
      <c r="Y537" s="269"/>
      <c r="Z537" s="269"/>
      <c r="AA537" s="269"/>
      <c r="AB537" s="269"/>
      <c r="AC537" s="269"/>
      <c r="AD537" s="269"/>
      <c r="AE537" s="269"/>
      <c r="AF537" s="269"/>
      <c r="AG537" s="269"/>
      <c r="AH537" s="269"/>
      <c r="AI537" s="269"/>
      <c r="AJ537" s="269"/>
      <c r="AK537" s="269"/>
      <c r="AL537" s="269"/>
      <c r="AM537" s="269"/>
      <c r="AN537" s="269"/>
      <c r="AO537" s="269"/>
      <c r="AP537" s="269"/>
      <c r="AQ537" s="269"/>
      <c r="AR537" s="269"/>
    </row>
    <row r="538">
      <c r="A538" s="410"/>
      <c r="B538" s="410"/>
      <c r="C538" s="410"/>
      <c r="D538" s="410"/>
      <c r="E538" s="410"/>
      <c r="F538" s="410"/>
      <c r="H538" s="269"/>
      <c r="I538" s="269"/>
      <c r="J538" s="269"/>
      <c r="K538" s="269"/>
      <c r="L538" s="269"/>
      <c r="M538" s="269"/>
      <c r="N538" s="269"/>
      <c r="O538" s="269"/>
      <c r="P538" s="269"/>
      <c r="Q538" s="269"/>
      <c r="R538" s="269"/>
      <c r="S538" s="269"/>
      <c r="T538" s="269"/>
      <c r="U538" s="269"/>
      <c r="V538" s="269"/>
      <c r="W538" s="269"/>
      <c r="X538" s="269"/>
      <c r="Y538" s="269"/>
      <c r="Z538" s="269"/>
      <c r="AA538" s="269"/>
      <c r="AB538" s="269"/>
      <c r="AC538" s="269"/>
      <c r="AD538" s="269"/>
      <c r="AE538" s="269"/>
      <c r="AF538" s="269"/>
      <c r="AG538" s="269"/>
      <c r="AH538" s="269"/>
      <c r="AI538" s="269"/>
      <c r="AJ538" s="269"/>
      <c r="AK538" s="269"/>
      <c r="AL538" s="269"/>
      <c r="AM538" s="269"/>
      <c r="AN538" s="269"/>
      <c r="AO538" s="269"/>
      <c r="AP538" s="269"/>
      <c r="AQ538" s="269"/>
      <c r="AR538" s="269"/>
    </row>
    <row r="539">
      <c r="A539" s="410"/>
      <c r="B539" s="410"/>
      <c r="C539" s="410"/>
      <c r="D539" s="410"/>
      <c r="E539" s="410"/>
      <c r="F539" s="410"/>
      <c r="H539" s="269"/>
      <c r="I539" s="269"/>
      <c r="J539" s="269"/>
      <c r="K539" s="269"/>
      <c r="L539" s="269"/>
      <c r="M539" s="269"/>
      <c r="N539" s="269"/>
      <c r="O539" s="269"/>
      <c r="P539" s="269"/>
      <c r="Q539" s="269"/>
      <c r="R539" s="269"/>
      <c r="S539" s="269"/>
      <c r="T539" s="269"/>
      <c r="U539" s="269"/>
      <c r="V539" s="269"/>
      <c r="W539" s="269"/>
      <c r="X539" s="269"/>
      <c r="Y539" s="269"/>
      <c r="Z539" s="269"/>
      <c r="AA539" s="269"/>
      <c r="AB539" s="269"/>
      <c r="AC539" s="269"/>
      <c r="AD539" s="269"/>
      <c r="AE539" s="269"/>
      <c r="AF539" s="269"/>
      <c r="AG539" s="269"/>
      <c r="AH539" s="269"/>
      <c r="AI539" s="269"/>
      <c r="AJ539" s="269"/>
      <c r="AK539" s="269"/>
      <c r="AL539" s="269"/>
      <c r="AM539" s="269"/>
      <c r="AN539" s="269"/>
      <c r="AO539" s="269"/>
      <c r="AP539" s="269"/>
      <c r="AQ539" s="269"/>
      <c r="AR539" s="269"/>
    </row>
    <row r="540">
      <c r="A540" s="410"/>
      <c r="B540" s="410"/>
      <c r="C540" s="410"/>
      <c r="D540" s="410"/>
      <c r="E540" s="410"/>
      <c r="F540" s="410"/>
      <c r="H540" s="269"/>
      <c r="I540" s="269"/>
      <c r="J540" s="269"/>
      <c r="K540" s="269"/>
      <c r="L540" s="269"/>
      <c r="M540" s="269"/>
      <c r="N540" s="269"/>
      <c r="O540" s="269"/>
      <c r="P540" s="269"/>
      <c r="Q540" s="269"/>
      <c r="R540" s="269"/>
      <c r="S540" s="269"/>
      <c r="T540" s="269"/>
      <c r="U540" s="269"/>
      <c r="V540" s="269"/>
      <c r="W540" s="269"/>
      <c r="X540" s="269"/>
      <c r="Y540" s="269"/>
      <c r="Z540" s="269"/>
      <c r="AA540" s="269"/>
      <c r="AB540" s="269"/>
      <c r="AC540" s="269"/>
      <c r="AD540" s="269"/>
      <c r="AE540" s="269"/>
      <c r="AF540" s="269"/>
      <c r="AG540" s="269"/>
      <c r="AH540" s="269"/>
      <c r="AI540" s="269"/>
      <c r="AJ540" s="269"/>
      <c r="AK540" s="269"/>
      <c r="AL540" s="269"/>
      <c r="AM540" s="269"/>
      <c r="AN540" s="269"/>
      <c r="AO540" s="269"/>
      <c r="AP540" s="269"/>
      <c r="AQ540" s="269"/>
      <c r="AR540" s="269"/>
    </row>
    <row r="541">
      <c r="A541" s="410"/>
      <c r="B541" s="410"/>
      <c r="C541" s="410"/>
      <c r="D541" s="410"/>
      <c r="E541" s="410"/>
      <c r="F541" s="410"/>
      <c r="H541" s="269"/>
      <c r="I541" s="269"/>
      <c r="J541" s="269"/>
      <c r="K541" s="269"/>
      <c r="L541" s="269"/>
      <c r="M541" s="269"/>
      <c r="N541" s="269"/>
      <c r="O541" s="269"/>
      <c r="P541" s="269"/>
      <c r="Q541" s="269"/>
      <c r="R541" s="269"/>
      <c r="S541" s="269"/>
      <c r="T541" s="269"/>
      <c r="U541" s="269"/>
      <c r="V541" s="269"/>
      <c r="W541" s="269"/>
      <c r="X541" s="269"/>
      <c r="Y541" s="269"/>
      <c r="Z541" s="269"/>
      <c r="AA541" s="269"/>
      <c r="AB541" s="269"/>
      <c r="AC541" s="269"/>
      <c r="AD541" s="269"/>
      <c r="AE541" s="269"/>
      <c r="AF541" s="269"/>
      <c r="AG541" s="269"/>
      <c r="AH541" s="269"/>
      <c r="AI541" s="269"/>
      <c r="AJ541" s="269"/>
      <c r="AK541" s="269"/>
      <c r="AL541" s="269"/>
      <c r="AM541" s="269"/>
      <c r="AN541" s="269"/>
      <c r="AO541" s="269"/>
      <c r="AP541" s="269"/>
      <c r="AQ541" s="269"/>
      <c r="AR541" s="269"/>
    </row>
    <row r="542">
      <c r="A542" s="410"/>
      <c r="B542" s="410"/>
      <c r="C542" s="410"/>
      <c r="D542" s="410"/>
      <c r="E542" s="410"/>
      <c r="F542" s="410"/>
      <c r="H542" s="269"/>
      <c r="I542" s="269"/>
      <c r="J542" s="269"/>
      <c r="K542" s="269"/>
      <c r="L542" s="269"/>
      <c r="M542" s="269"/>
      <c r="N542" s="269"/>
      <c r="O542" s="269"/>
      <c r="P542" s="269"/>
      <c r="Q542" s="269"/>
      <c r="R542" s="269"/>
      <c r="S542" s="269"/>
      <c r="T542" s="269"/>
      <c r="U542" s="269"/>
      <c r="V542" s="269"/>
      <c r="W542" s="269"/>
      <c r="X542" s="269"/>
      <c r="Y542" s="269"/>
      <c r="Z542" s="269"/>
      <c r="AA542" s="269"/>
      <c r="AB542" s="269"/>
      <c r="AC542" s="269"/>
      <c r="AD542" s="269"/>
      <c r="AE542" s="269"/>
      <c r="AF542" s="269"/>
      <c r="AG542" s="269"/>
      <c r="AH542" s="269"/>
      <c r="AI542" s="269"/>
      <c r="AJ542" s="269"/>
      <c r="AK542" s="269"/>
      <c r="AL542" s="269"/>
      <c r="AM542" s="269"/>
      <c r="AN542" s="269"/>
      <c r="AO542" s="269"/>
      <c r="AP542" s="269"/>
      <c r="AQ542" s="269"/>
      <c r="AR542" s="269"/>
    </row>
    <row r="543">
      <c r="A543" s="410"/>
      <c r="B543" s="410"/>
      <c r="C543" s="410"/>
      <c r="D543" s="410"/>
      <c r="E543" s="410"/>
      <c r="F543" s="410"/>
      <c r="H543" s="269"/>
      <c r="I543" s="269"/>
      <c r="J543" s="269"/>
      <c r="K543" s="269"/>
      <c r="L543" s="269"/>
      <c r="M543" s="269"/>
      <c r="N543" s="269"/>
      <c r="O543" s="269"/>
      <c r="P543" s="269"/>
      <c r="Q543" s="269"/>
      <c r="R543" s="269"/>
      <c r="S543" s="269"/>
      <c r="T543" s="269"/>
      <c r="U543" s="269"/>
      <c r="V543" s="269"/>
      <c r="W543" s="269"/>
      <c r="X543" s="269"/>
      <c r="Y543" s="269"/>
      <c r="Z543" s="269"/>
      <c r="AA543" s="269"/>
      <c r="AB543" s="269"/>
      <c r="AC543" s="269"/>
      <c r="AD543" s="269"/>
      <c r="AE543" s="269"/>
      <c r="AF543" s="269"/>
      <c r="AG543" s="269"/>
      <c r="AH543" s="269"/>
      <c r="AI543" s="269"/>
      <c r="AJ543" s="269"/>
      <c r="AK543" s="269"/>
      <c r="AL543" s="269"/>
      <c r="AM543" s="269"/>
      <c r="AN543" s="269"/>
      <c r="AO543" s="269"/>
      <c r="AP543" s="269"/>
      <c r="AQ543" s="269"/>
      <c r="AR543" s="269"/>
    </row>
    <row r="544">
      <c r="A544" s="410"/>
      <c r="B544" s="410"/>
      <c r="C544" s="410"/>
      <c r="D544" s="410"/>
      <c r="E544" s="410"/>
      <c r="F544" s="410"/>
      <c r="H544" s="269"/>
      <c r="I544" s="269"/>
      <c r="J544" s="269"/>
      <c r="K544" s="269"/>
      <c r="L544" s="269"/>
      <c r="M544" s="269"/>
      <c r="N544" s="269"/>
      <c r="O544" s="269"/>
      <c r="P544" s="269"/>
      <c r="Q544" s="269"/>
      <c r="R544" s="269"/>
      <c r="S544" s="269"/>
      <c r="T544" s="269"/>
      <c r="U544" s="269"/>
      <c r="V544" s="269"/>
      <c r="W544" s="269"/>
      <c r="X544" s="269"/>
      <c r="Y544" s="269"/>
      <c r="Z544" s="269"/>
      <c r="AA544" s="269"/>
      <c r="AB544" s="269"/>
      <c r="AC544" s="269"/>
      <c r="AD544" s="269"/>
      <c r="AE544" s="269"/>
      <c r="AF544" s="269"/>
      <c r="AG544" s="269"/>
      <c r="AH544" s="269"/>
      <c r="AI544" s="269"/>
      <c r="AJ544" s="269"/>
      <c r="AK544" s="269"/>
      <c r="AL544" s="269"/>
      <c r="AM544" s="269"/>
      <c r="AN544" s="269"/>
      <c r="AO544" s="269"/>
      <c r="AP544" s="269"/>
      <c r="AQ544" s="269"/>
      <c r="AR544" s="269"/>
    </row>
    <row r="545">
      <c r="A545" s="410"/>
      <c r="B545" s="410"/>
      <c r="C545" s="410"/>
      <c r="D545" s="410"/>
      <c r="E545" s="410"/>
      <c r="F545" s="410"/>
      <c r="H545" s="269"/>
      <c r="I545" s="269"/>
      <c r="J545" s="269"/>
      <c r="K545" s="269"/>
      <c r="L545" s="269"/>
      <c r="M545" s="269"/>
      <c r="N545" s="269"/>
      <c r="O545" s="269"/>
      <c r="P545" s="269"/>
      <c r="Q545" s="269"/>
      <c r="R545" s="269"/>
      <c r="S545" s="269"/>
      <c r="T545" s="269"/>
      <c r="U545" s="269"/>
      <c r="V545" s="269"/>
      <c r="W545" s="269"/>
      <c r="X545" s="269"/>
      <c r="Y545" s="269"/>
      <c r="Z545" s="269"/>
      <c r="AA545" s="269"/>
      <c r="AB545" s="269"/>
      <c r="AC545" s="269"/>
      <c r="AD545" s="269"/>
      <c r="AE545" s="269"/>
      <c r="AF545" s="269"/>
      <c r="AG545" s="269"/>
      <c r="AH545" s="269"/>
      <c r="AI545" s="269"/>
      <c r="AJ545" s="269"/>
      <c r="AK545" s="269"/>
      <c r="AL545" s="269"/>
      <c r="AM545" s="269"/>
      <c r="AN545" s="269"/>
      <c r="AO545" s="269"/>
      <c r="AP545" s="269"/>
      <c r="AQ545" s="269"/>
      <c r="AR545" s="269"/>
    </row>
    <row r="546">
      <c r="A546" s="410"/>
      <c r="B546" s="410"/>
      <c r="C546" s="410"/>
      <c r="D546" s="410"/>
      <c r="E546" s="410"/>
      <c r="F546" s="410"/>
      <c r="H546" s="269"/>
      <c r="I546" s="269"/>
      <c r="J546" s="269"/>
      <c r="K546" s="269"/>
      <c r="L546" s="269"/>
      <c r="M546" s="269"/>
      <c r="N546" s="269"/>
      <c r="O546" s="269"/>
      <c r="P546" s="269"/>
      <c r="Q546" s="269"/>
      <c r="R546" s="269"/>
      <c r="S546" s="269"/>
      <c r="T546" s="269"/>
      <c r="U546" s="269"/>
      <c r="V546" s="269"/>
      <c r="W546" s="269"/>
      <c r="X546" s="269"/>
      <c r="Y546" s="269"/>
      <c r="Z546" s="269"/>
      <c r="AA546" s="269"/>
      <c r="AB546" s="269"/>
      <c r="AC546" s="269"/>
      <c r="AD546" s="269"/>
      <c r="AE546" s="269"/>
      <c r="AF546" s="269"/>
      <c r="AG546" s="269"/>
      <c r="AH546" s="269"/>
      <c r="AI546" s="269"/>
      <c r="AJ546" s="269"/>
      <c r="AK546" s="269"/>
      <c r="AL546" s="269"/>
      <c r="AM546" s="269"/>
      <c r="AN546" s="269"/>
      <c r="AO546" s="269"/>
      <c r="AP546" s="269"/>
      <c r="AQ546" s="269"/>
      <c r="AR546" s="269"/>
    </row>
    <row r="547">
      <c r="A547" s="410"/>
      <c r="B547" s="410"/>
      <c r="C547" s="410"/>
      <c r="D547" s="410"/>
      <c r="E547" s="410"/>
      <c r="F547" s="410"/>
      <c r="H547" s="269"/>
      <c r="I547" s="269"/>
      <c r="J547" s="269"/>
      <c r="K547" s="269"/>
      <c r="L547" s="269"/>
      <c r="M547" s="269"/>
      <c r="N547" s="269"/>
      <c r="O547" s="269"/>
      <c r="P547" s="269"/>
      <c r="Q547" s="269"/>
      <c r="R547" s="269"/>
      <c r="S547" s="269"/>
      <c r="T547" s="269"/>
      <c r="U547" s="269"/>
      <c r="V547" s="269"/>
      <c r="W547" s="269"/>
      <c r="X547" s="269"/>
      <c r="Y547" s="269"/>
      <c r="Z547" s="269"/>
      <c r="AA547" s="269"/>
      <c r="AB547" s="269"/>
      <c r="AC547" s="269"/>
      <c r="AD547" s="269"/>
      <c r="AE547" s="269"/>
      <c r="AF547" s="269"/>
      <c r="AG547" s="269"/>
      <c r="AH547" s="269"/>
      <c r="AI547" s="269"/>
      <c r="AJ547" s="269"/>
      <c r="AK547" s="269"/>
      <c r="AL547" s="269"/>
      <c r="AM547" s="269"/>
      <c r="AN547" s="269"/>
      <c r="AO547" s="269"/>
      <c r="AP547" s="269"/>
      <c r="AQ547" s="269"/>
      <c r="AR547" s="269"/>
    </row>
    <row r="548">
      <c r="A548" s="410"/>
      <c r="B548" s="410"/>
      <c r="C548" s="410"/>
      <c r="D548" s="410"/>
      <c r="E548" s="410"/>
      <c r="F548" s="410"/>
      <c r="H548" s="269"/>
      <c r="I548" s="269"/>
      <c r="J548" s="269"/>
      <c r="K548" s="269"/>
      <c r="L548" s="269"/>
      <c r="M548" s="269"/>
      <c r="N548" s="269"/>
      <c r="O548" s="269"/>
      <c r="P548" s="269"/>
      <c r="Q548" s="269"/>
      <c r="R548" s="269"/>
      <c r="S548" s="269"/>
      <c r="T548" s="269"/>
      <c r="U548" s="269"/>
      <c r="V548" s="269"/>
      <c r="W548" s="269"/>
      <c r="X548" s="269"/>
      <c r="Y548" s="269"/>
      <c r="Z548" s="269"/>
      <c r="AA548" s="269"/>
      <c r="AB548" s="269"/>
      <c r="AC548" s="269"/>
      <c r="AD548" s="269"/>
      <c r="AE548" s="269"/>
      <c r="AF548" s="269"/>
      <c r="AG548" s="269"/>
      <c r="AH548" s="269"/>
      <c r="AI548" s="269"/>
      <c r="AJ548" s="269"/>
      <c r="AK548" s="269"/>
      <c r="AL548" s="269"/>
      <c r="AM548" s="269"/>
      <c r="AN548" s="269"/>
      <c r="AO548" s="269"/>
      <c r="AP548" s="269"/>
      <c r="AQ548" s="269"/>
      <c r="AR548" s="269"/>
    </row>
    <row r="549">
      <c r="A549" s="410"/>
      <c r="B549" s="410"/>
      <c r="C549" s="410"/>
      <c r="D549" s="410"/>
      <c r="E549" s="410"/>
      <c r="F549" s="410"/>
      <c r="H549" s="269"/>
      <c r="I549" s="269"/>
      <c r="J549" s="269"/>
      <c r="K549" s="269"/>
      <c r="L549" s="269"/>
      <c r="M549" s="269"/>
      <c r="N549" s="269"/>
      <c r="O549" s="269"/>
      <c r="P549" s="269"/>
      <c r="Q549" s="269"/>
      <c r="R549" s="269"/>
      <c r="S549" s="269"/>
      <c r="T549" s="269"/>
      <c r="U549" s="269"/>
      <c r="V549" s="269"/>
      <c r="W549" s="269"/>
      <c r="X549" s="269"/>
      <c r="Y549" s="269"/>
      <c r="Z549" s="269"/>
      <c r="AA549" s="269"/>
      <c r="AB549" s="269"/>
      <c r="AC549" s="269"/>
      <c r="AD549" s="269"/>
      <c r="AE549" s="269"/>
      <c r="AF549" s="269"/>
      <c r="AG549" s="269"/>
      <c r="AH549" s="269"/>
      <c r="AI549" s="269"/>
      <c r="AJ549" s="269"/>
      <c r="AK549" s="269"/>
      <c r="AL549" s="269"/>
      <c r="AM549" s="269"/>
      <c r="AN549" s="269"/>
      <c r="AO549" s="269"/>
      <c r="AP549" s="269"/>
      <c r="AQ549" s="269"/>
      <c r="AR549" s="269"/>
    </row>
    <row r="550">
      <c r="A550" s="410"/>
      <c r="B550" s="410"/>
      <c r="C550" s="410"/>
      <c r="D550" s="410"/>
      <c r="E550" s="410"/>
      <c r="F550" s="410"/>
      <c r="H550" s="269"/>
      <c r="I550" s="269"/>
      <c r="J550" s="269"/>
      <c r="K550" s="269"/>
      <c r="L550" s="269"/>
      <c r="M550" s="269"/>
      <c r="N550" s="269"/>
      <c r="O550" s="269"/>
      <c r="P550" s="269"/>
      <c r="Q550" s="269"/>
      <c r="R550" s="269"/>
      <c r="S550" s="269"/>
      <c r="T550" s="269"/>
      <c r="U550" s="269"/>
      <c r="V550" s="269"/>
      <c r="W550" s="269"/>
      <c r="X550" s="269"/>
      <c r="Y550" s="269"/>
      <c r="Z550" s="269"/>
      <c r="AA550" s="269"/>
      <c r="AB550" s="269"/>
      <c r="AC550" s="269"/>
      <c r="AD550" s="269"/>
      <c r="AE550" s="269"/>
      <c r="AF550" s="269"/>
      <c r="AG550" s="269"/>
      <c r="AH550" s="269"/>
      <c r="AI550" s="269"/>
      <c r="AJ550" s="269"/>
      <c r="AK550" s="269"/>
      <c r="AL550" s="269"/>
      <c r="AM550" s="269"/>
      <c r="AN550" s="269"/>
      <c r="AO550" s="269"/>
      <c r="AP550" s="269"/>
      <c r="AQ550" s="269"/>
      <c r="AR550" s="269"/>
    </row>
    <row r="551">
      <c r="A551" s="410"/>
      <c r="B551" s="410"/>
      <c r="C551" s="410"/>
      <c r="D551" s="410"/>
      <c r="E551" s="410"/>
      <c r="F551" s="410"/>
      <c r="H551" s="269"/>
      <c r="I551" s="269"/>
      <c r="J551" s="269"/>
      <c r="K551" s="269"/>
      <c r="L551" s="269"/>
      <c r="M551" s="269"/>
      <c r="N551" s="269"/>
      <c r="O551" s="269"/>
      <c r="P551" s="269"/>
      <c r="Q551" s="269"/>
      <c r="R551" s="269"/>
      <c r="S551" s="269"/>
      <c r="T551" s="269"/>
      <c r="U551" s="269"/>
      <c r="V551" s="269"/>
      <c r="W551" s="269"/>
      <c r="X551" s="269"/>
      <c r="Y551" s="269"/>
      <c r="Z551" s="269"/>
      <c r="AA551" s="269"/>
      <c r="AB551" s="269"/>
      <c r="AC551" s="269"/>
      <c r="AD551" s="269"/>
      <c r="AE551" s="269"/>
      <c r="AF551" s="269"/>
      <c r="AG551" s="269"/>
      <c r="AH551" s="269"/>
      <c r="AI551" s="269"/>
      <c r="AJ551" s="269"/>
      <c r="AK551" s="269"/>
      <c r="AL551" s="269"/>
      <c r="AM551" s="269"/>
      <c r="AN551" s="269"/>
      <c r="AO551" s="269"/>
      <c r="AP551" s="269"/>
      <c r="AQ551" s="269"/>
      <c r="AR551" s="269"/>
    </row>
    <row r="552">
      <c r="A552" s="410"/>
      <c r="B552" s="410"/>
      <c r="C552" s="410"/>
      <c r="D552" s="410"/>
      <c r="E552" s="410"/>
      <c r="F552" s="410"/>
      <c r="H552" s="269"/>
      <c r="I552" s="269"/>
      <c r="J552" s="269"/>
      <c r="K552" s="269"/>
      <c r="L552" s="269"/>
      <c r="M552" s="269"/>
      <c r="N552" s="269"/>
      <c r="O552" s="269"/>
      <c r="P552" s="269"/>
      <c r="Q552" s="269"/>
      <c r="R552" s="269"/>
      <c r="S552" s="269"/>
      <c r="T552" s="269"/>
      <c r="U552" s="269"/>
      <c r="V552" s="269"/>
      <c r="W552" s="269"/>
      <c r="X552" s="269"/>
      <c r="Y552" s="269"/>
      <c r="Z552" s="269"/>
      <c r="AA552" s="269"/>
      <c r="AB552" s="269"/>
      <c r="AC552" s="269"/>
      <c r="AD552" s="269"/>
      <c r="AE552" s="269"/>
      <c r="AF552" s="269"/>
      <c r="AG552" s="269"/>
      <c r="AH552" s="269"/>
      <c r="AI552" s="269"/>
      <c r="AJ552" s="269"/>
      <c r="AK552" s="269"/>
      <c r="AL552" s="269"/>
      <c r="AM552" s="269"/>
      <c r="AN552" s="269"/>
      <c r="AO552" s="269"/>
      <c r="AP552" s="269"/>
      <c r="AQ552" s="269"/>
      <c r="AR552" s="269"/>
    </row>
    <row r="553">
      <c r="A553" s="410"/>
      <c r="B553" s="410"/>
      <c r="C553" s="410"/>
      <c r="D553" s="410"/>
      <c r="E553" s="410"/>
      <c r="F553" s="410"/>
      <c r="H553" s="269"/>
      <c r="I553" s="269"/>
      <c r="J553" s="269"/>
      <c r="K553" s="269"/>
      <c r="L553" s="269"/>
      <c r="M553" s="269"/>
      <c r="N553" s="269"/>
      <c r="O553" s="269"/>
      <c r="P553" s="269"/>
      <c r="Q553" s="269"/>
      <c r="R553" s="269"/>
      <c r="S553" s="269"/>
      <c r="T553" s="269"/>
      <c r="U553" s="269"/>
      <c r="V553" s="269"/>
      <c r="W553" s="269"/>
      <c r="X553" s="269"/>
      <c r="Y553" s="269"/>
      <c r="Z553" s="269"/>
      <c r="AA553" s="269"/>
      <c r="AB553" s="269"/>
      <c r="AC553" s="269"/>
      <c r="AD553" s="269"/>
      <c r="AE553" s="269"/>
      <c r="AF553" s="269"/>
      <c r="AG553" s="269"/>
      <c r="AH553" s="269"/>
      <c r="AI553" s="269"/>
      <c r="AJ553" s="269"/>
      <c r="AK553" s="269"/>
      <c r="AL553" s="269"/>
      <c r="AM553" s="269"/>
      <c r="AN553" s="269"/>
      <c r="AO553" s="269"/>
      <c r="AP553" s="269"/>
      <c r="AQ553" s="269"/>
      <c r="AR553" s="269"/>
    </row>
    <row r="554">
      <c r="A554" s="410"/>
      <c r="B554" s="410"/>
      <c r="C554" s="410"/>
      <c r="D554" s="410"/>
      <c r="E554" s="410"/>
      <c r="F554" s="410"/>
      <c r="H554" s="269"/>
      <c r="I554" s="269"/>
      <c r="J554" s="269"/>
      <c r="K554" s="269"/>
      <c r="L554" s="269"/>
      <c r="M554" s="269"/>
      <c r="N554" s="269"/>
      <c r="O554" s="269"/>
      <c r="P554" s="269"/>
      <c r="Q554" s="269"/>
      <c r="R554" s="269"/>
      <c r="S554" s="269"/>
      <c r="T554" s="269"/>
      <c r="U554" s="269"/>
      <c r="V554" s="269"/>
      <c r="W554" s="269"/>
      <c r="X554" s="269"/>
      <c r="Y554" s="269"/>
      <c r="Z554" s="269"/>
      <c r="AA554" s="269"/>
      <c r="AB554" s="269"/>
      <c r="AC554" s="269"/>
      <c r="AD554" s="269"/>
      <c r="AE554" s="269"/>
      <c r="AF554" s="269"/>
      <c r="AG554" s="269"/>
      <c r="AH554" s="269"/>
      <c r="AI554" s="269"/>
      <c r="AJ554" s="269"/>
      <c r="AK554" s="269"/>
      <c r="AL554" s="269"/>
      <c r="AM554" s="269"/>
      <c r="AN554" s="269"/>
      <c r="AO554" s="269"/>
      <c r="AP554" s="269"/>
      <c r="AQ554" s="269"/>
      <c r="AR554" s="269"/>
    </row>
    <row r="555">
      <c r="A555" s="410"/>
      <c r="B555" s="410"/>
      <c r="C555" s="410"/>
      <c r="D555" s="410"/>
      <c r="E555" s="410"/>
      <c r="F555" s="410"/>
      <c r="H555" s="269"/>
      <c r="I555" s="269"/>
      <c r="J555" s="269"/>
      <c r="K555" s="269"/>
      <c r="L555" s="269"/>
      <c r="M555" s="269"/>
      <c r="N555" s="269"/>
      <c r="O555" s="269"/>
      <c r="P555" s="269"/>
      <c r="Q555" s="269"/>
      <c r="R555" s="269"/>
      <c r="S555" s="269"/>
      <c r="T555" s="269"/>
      <c r="U555" s="269"/>
      <c r="V555" s="269"/>
      <c r="W555" s="269"/>
      <c r="X555" s="269"/>
      <c r="Y555" s="269"/>
      <c r="Z555" s="269"/>
      <c r="AA555" s="269"/>
      <c r="AB555" s="269"/>
      <c r="AC555" s="269"/>
      <c r="AD555" s="269"/>
      <c r="AE555" s="269"/>
      <c r="AF555" s="269"/>
      <c r="AG555" s="269"/>
      <c r="AH555" s="269"/>
      <c r="AI555" s="269"/>
      <c r="AJ555" s="269"/>
      <c r="AK555" s="269"/>
      <c r="AL555" s="269"/>
      <c r="AM555" s="269"/>
      <c r="AN555" s="269"/>
      <c r="AO555" s="269"/>
      <c r="AP555" s="269"/>
      <c r="AQ555" s="269"/>
      <c r="AR555" s="269"/>
    </row>
    <row r="556">
      <c r="A556" s="410"/>
      <c r="B556" s="410"/>
      <c r="C556" s="410"/>
      <c r="D556" s="410"/>
      <c r="E556" s="410"/>
      <c r="F556" s="410"/>
      <c r="H556" s="269"/>
      <c r="I556" s="269"/>
      <c r="J556" s="269"/>
      <c r="K556" s="269"/>
      <c r="L556" s="269"/>
      <c r="M556" s="269"/>
      <c r="N556" s="269"/>
      <c r="O556" s="269"/>
      <c r="P556" s="269"/>
      <c r="Q556" s="269"/>
      <c r="R556" s="269"/>
      <c r="S556" s="269"/>
      <c r="T556" s="269"/>
      <c r="U556" s="269"/>
      <c r="V556" s="269"/>
      <c r="W556" s="269"/>
      <c r="X556" s="269"/>
      <c r="Y556" s="269"/>
      <c r="Z556" s="269"/>
      <c r="AA556" s="269"/>
      <c r="AB556" s="269"/>
      <c r="AC556" s="269"/>
      <c r="AD556" s="269"/>
      <c r="AE556" s="269"/>
      <c r="AF556" s="269"/>
      <c r="AG556" s="269"/>
      <c r="AH556" s="269"/>
      <c r="AI556" s="269"/>
      <c r="AJ556" s="269"/>
      <c r="AK556" s="269"/>
      <c r="AL556" s="269"/>
      <c r="AM556" s="269"/>
      <c r="AN556" s="269"/>
      <c r="AO556" s="269"/>
      <c r="AP556" s="269"/>
      <c r="AQ556" s="269"/>
      <c r="AR556" s="269"/>
    </row>
    <row r="557">
      <c r="A557" s="410"/>
      <c r="B557" s="410"/>
      <c r="C557" s="410"/>
      <c r="D557" s="410"/>
      <c r="E557" s="410"/>
      <c r="F557" s="410"/>
      <c r="H557" s="269"/>
      <c r="I557" s="269"/>
      <c r="J557" s="269"/>
      <c r="K557" s="269"/>
      <c r="L557" s="269"/>
      <c r="M557" s="269"/>
      <c r="N557" s="269"/>
      <c r="O557" s="269"/>
      <c r="P557" s="269"/>
      <c r="Q557" s="269"/>
      <c r="R557" s="269"/>
      <c r="S557" s="269"/>
      <c r="T557" s="269"/>
      <c r="U557" s="269"/>
      <c r="V557" s="269"/>
      <c r="W557" s="269"/>
      <c r="X557" s="269"/>
      <c r="Y557" s="269"/>
      <c r="Z557" s="269"/>
      <c r="AA557" s="269"/>
      <c r="AB557" s="269"/>
      <c r="AC557" s="269"/>
      <c r="AD557" s="269"/>
      <c r="AE557" s="269"/>
      <c r="AF557" s="269"/>
      <c r="AG557" s="269"/>
      <c r="AH557" s="269"/>
      <c r="AI557" s="269"/>
      <c r="AJ557" s="269"/>
      <c r="AK557" s="269"/>
      <c r="AL557" s="269"/>
      <c r="AM557" s="269"/>
      <c r="AN557" s="269"/>
      <c r="AO557" s="269"/>
      <c r="AP557" s="269"/>
      <c r="AQ557" s="269"/>
      <c r="AR557" s="269"/>
    </row>
    <row r="558">
      <c r="A558" s="410"/>
      <c r="B558" s="410"/>
      <c r="C558" s="410"/>
      <c r="D558" s="410"/>
      <c r="E558" s="410"/>
      <c r="F558" s="410"/>
      <c r="H558" s="269"/>
      <c r="I558" s="269"/>
      <c r="J558" s="269"/>
      <c r="K558" s="269"/>
      <c r="L558" s="269"/>
      <c r="M558" s="269"/>
      <c r="N558" s="269"/>
      <c r="O558" s="269"/>
      <c r="P558" s="269"/>
      <c r="Q558" s="269"/>
      <c r="R558" s="269"/>
      <c r="S558" s="269"/>
      <c r="T558" s="269"/>
      <c r="U558" s="269"/>
      <c r="V558" s="269"/>
      <c r="W558" s="269"/>
      <c r="X558" s="269"/>
      <c r="Y558" s="269"/>
      <c r="Z558" s="269"/>
      <c r="AA558" s="269"/>
      <c r="AB558" s="269"/>
      <c r="AC558" s="269"/>
      <c r="AD558" s="269"/>
      <c r="AE558" s="269"/>
      <c r="AF558" s="269"/>
      <c r="AG558" s="269"/>
      <c r="AH558" s="269"/>
      <c r="AI558" s="269"/>
      <c r="AJ558" s="269"/>
      <c r="AK558" s="269"/>
      <c r="AL558" s="269"/>
      <c r="AM558" s="269"/>
      <c r="AN558" s="269"/>
      <c r="AO558" s="269"/>
      <c r="AP558" s="269"/>
      <c r="AQ558" s="269"/>
      <c r="AR558" s="269"/>
    </row>
    <row r="559">
      <c r="A559" s="410"/>
      <c r="B559" s="410"/>
      <c r="C559" s="410"/>
      <c r="D559" s="410"/>
      <c r="E559" s="410"/>
      <c r="F559" s="410"/>
      <c r="H559" s="269"/>
      <c r="I559" s="269"/>
      <c r="J559" s="269"/>
      <c r="K559" s="269"/>
      <c r="L559" s="269"/>
      <c r="M559" s="269"/>
      <c r="N559" s="269"/>
      <c r="O559" s="269"/>
      <c r="P559" s="269"/>
      <c r="Q559" s="269"/>
      <c r="R559" s="269"/>
      <c r="S559" s="269"/>
      <c r="T559" s="269"/>
      <c r="U559" s="269"/>
      <c r="V559" s="269"/>
      <c r="W559" s="269"/>
      <c r="X559" s="269"/>
      <c r="Y559" s="269"/>
      <c r="Z559" s="269"/>
      <c r="AA559" s="269"/>
      <c r="AB559" s="269"/>
      <c r="AC559" s="269"/>
      <c r="AD559" s="269"/>
      <c r="AE559" s="269"/>
      <c r="AF559" s="269"/>
      <c r="AG559" s="269"/>
      <c r="AH559" s="269"/>
      <c r="AI559" s="269"/>
      <c r="AJ559" s="269"/>
      <c r="AK559" s="269"/>
      <c r="AL559" s="269"/>
      <c r="AM559" s="269"/>
      <c r="AN559" s="269"/>
      <c r="AO559" s="269"/>
      <c r="AP559" s="269"/>
      <c r="AQ559" s="269"/>
      <c r="AR559" s="269"/>
    </row>
    <row r="560">
      <c r="A560" s="410"/>
      <c r="B560" s="410"/>
      <c r="C560" s="410"/>
      <c r="D560" s="410"/>
      <c r="E560" s="410"/>
      <c r="F560" s="410"/>
      <c r="H560" s="269"/>
      <c r="I560" s="269"/>
      <c r="J560" s="269"/>
      <c r="K560" s="269"/>
      <c r="L560" s="269"/>
      <c r="M560" s="269"/>
      <c r="N560" s="269"/>
      <c r="O560" s="269"/>
      <c r="P560" s="269"/>
      <c r="Q560" s="269"/>
      <c r="R560" s="269"/>
      <c r="S560" s="269"/>
      <c r="T560" s="269"/>
      <c r="U560" s="269"/>
      <c r="V560" s="269"/>
      <c r="W560" s="269"/>
      <c r="X560" s="269"/>
      <c r="Y560" s="269"/>
      <c r="Z560" s="269"/>
      <c r="AA560" s="269"/>
      <c r="AB560" s="269"/>
      <c r="AC560" s="269"/>
      <c r="AD560" s="269"/>
      <c r="AE560" s="269"/>
      <c r="AF560" s="269"/>
      <c r="AG560" s="269"/>
      <c r="AH560" s="269"/>
      <c r="AI560" s="269"/>
      <c r="AJ560" s="269"/>
      <c r="AK560" s="269"/>
      <c r="AL560" s="269"/>
      <c r="AM560" s="269"/>
      <c r="AN560" s="269"/>
      <c r="AO560" s="269"/>
      <c r="AP560" s="269"/>
      <c r="AQ560" s="269"/>
      <c r="AR560" s="269"/>
    </row>
    <row r="561">
      <c r="A561" s="410"/>
      <c r="B561" s="410"/>
      <c r="C561" s="410"/>
      <c r="D561" s="410"/>
      <c r="E561" s="410"/>
      <c r="F561" s="410"/>
      <c r="H561" s="269"/>
      <c r="I561" s="269"/>
      <c r="J561" s="269"/>
      <c r="K561" s="269"/>
      <c r="L561" s="269"/>
      <c r="M561" s="269"/>
      <c r="N561" s="269"/>
      <c r="O561" s="269"/>
      <c r="P561" s="269"/>
      <c r="Q561" s="269"/>
      <c r="R561" s="269"/>
      <c r="S561" s="269"/>
      <c r="T561" s="269"/>
      <c r="U561" s="269"/>
      <c r="V561" s="269"/>
      <c r="W561" s="269"/>
      <c r="X561" s="269"/>
      <c r="Y561" s="269"/>
      <c r="Z561" s="269"/>
      <c r="AA561" s="269"/>
      <c r="AB561" s="269"/>
      <c r="AC561" s="269"/>
      <c r="AD561" s="269"/>
      <c r="AE561" s="269"/>
      <c r="AF561" s="269"/>
      <c r="AG561" s="269"/>
      <c r="AH561" s="269"/>
      <c r="AI561" s="269"/>
      <c r="AJ561" s="269"/>
      <c r="AK561" s="269"/>
      <c r="AL561" s="269"/>
      <c r="AM561" s="269"/>
      <c r="AN561" s="269"/>
      <c r="AO561" s="269"/>
      <c r="AP561" s="269"/>
      <c r="AQ561" s="269"/>
      <c r="AR561" s="269"/>
    </row>
    <row r="562">
      <c r="A562" s="410"/>
      <c r="B562" s="410"/>
      <c r="C562" s="410"/>
      <c r="D562" s="410"/>
      <c r="E562" s="410"/>
      <c r="F562" s="410"/>
      <c r="H562" s="269"/>
      <c r="I562" s="269"/>
      <c r="J562" s="269"/>
      <c r="K562" s="269"/>
      <c r="L562" s="269"/>
      <c r="M562" s="269"/>
      <c r="N562" s="269"/>
      <c r="O562" s="269"/>
      <c r="P562" s="269"/>
      <c r="Q562" s="269"/>
      <c r="R562" s="269"/>
      <c r="S562" s="269"/>
      <c r="T562" s="269"/>
      <c r="U562" s="269"/>
      <c r="V562" s="269"/>
      <c r="W562" s="269"/>
      <c r="X562" s="269"/>
      <c r="Y562" s="269"/>
      <c r="Z562" s="269"/>
      <c r="AA562" s="269"/>
      <c r="AB562" s="269"/>
      <c r="AC562" s="269"/>
      <c r="AD562" s="269"/>
      <c r="AE562" s="269"/>
      <c r="AF562" s="269"/>
      <c r="AG562" s="269"/>
      <c r="AH562" s="269"/>
      <c r="AI562" s="269"/>
      <c r="AJ562" s="269"/>
      <c r="AK562" s="269"/>
      <c r="AL562" s="269"/>
      <c r="AM562" s="269"/>
      <c r="AN562" s="269"/>
      <c r="AO562" s="269"/>
      <c r="AP562" s="269"/>
      <c r="AQ562" s="269"/>
      <c r="AR562" s="269"/>
    </row>
    <row r="563">
      <c r="A563" s="410"/>
      <c r="B563" s="410"/>
      <c r="C563" s="410"/>
      <c r="D563" s="410"/>
      <c r="E563" s="410"/>
      <c r="F563" s="410"/>
      <c r="H563" s="269"/>
      <c r="I563" s="269"/>
      <c r="J563" s="269"/>
      <c r="K563" s="269"/>
      <c r="L563" s="269"/>
      <c r="M563" s="269"/>
      <c r="N563" s="269"/>
      <c r="O563" s="269"/>
      <c r="P563" s="269"/>
      <c r="Q563" s="269"/>
      <c r="R563" s="269"/>
      <c r="S563" s="269"/>
      <c r="T563" s="269"/>
      <c r="U563" s="269"/>
      <c r="V563" s="269"/>
      <c r="W563" s="269"/>
      <c r="X563" s="269"/>
      <c r="Y563" s="269"/>
      <c r="Z563" s="269"/>
      <c r="AA563" s="269"/>
      <c r="AB563" s="269"/>
      <c r="AC563" s="269"/>
      <c r="AD563" s="269"/>
      <c r="AE563" s="269"/>
      <c r="AF563" s="269"/>
      <c r="AG563" s="269"/>
      <c r="AH563" s="269"/>
      <c r="AI563" s="269"/>
      <c r="AJ563" s="269"/>
      <c r="AK563" s="269"/>
      <c r="AL563" s="269"/>
      <c r="AM563" s="269"/>
      <c r="AN563" s="269"/>
      <c r="AO563" s="269"/>
      <c r="AP563" s="269"/>
      <c r="AQ563" s="269"/>
      <c r="AR563" s="269"/>
    </row>
    <row r="564">
      <c r="A564" s="410"/>
      <c r="B564" s="410"/>
      <c r="C564" s="410"/>
      <c r="D564" s="410"/>
      <c r="E564" s="410"/>
      <c r="F564" s="410"/>
      <c r="H564" s="269"/>
      <c r="I564" s="269"/>
      <c r="J564" s="269"/>
      <c r="K564" s="269"/>
      <c r="L564" s="269"/>
      <c r="M564" s="269"/>
      <c r="N564" s="269"/>
      <c r="O564" s="269"/>
      <c r="P564" s="269"/>
      <c r="Q564" s="269"/>
      <c r="R564" s="269"/>
      <c r="S564" s="269"/>
      <c r="T564" s="269"/>
      <c r="U564" s="269"/>
      <c r="V564" s="269"/>
      <c r="W564" s="269"/>
      <c r="X564" s="269"/>
      <c r="Y564" s="269"/>
      <c r="Z564" s="269"/>
      <c r="AA564" s="269"/>
      <c r="AB564" s="269"/>
      <c r="AC564" s="269"/>
      <c r="AD564" s="269"/>
      <c r="AE564" s="269"/>
      <c r="AF564" s="269"/>
      <c r="AG564" s="269"/>
      <c r="AH564" s="269"/>
      <c r="AI564" s="269"/>
      <c r="AJ564" s="269"/>
      <c r="AK564" s="269"/>
      <c r="AL564" s="269"/>
      <c r="AM564" s="269"/>
      <c r="AN564" s="269"/>
      <c r="AO564" s="269"/>
      <c r="AP564" s="269"/>
      <c r="AQ564" s="269"/>
      <c r="AR564" s="269"/>
    </row>
    <row r="565">
      <c r="A565" s="410"/>
      <c r="B565" s="410"/>
      <c r="C565" s="410"/>
      <c r="D565" s="410"/>
      <c r="E565" s="410"/>
      <c r="F565" s="410"/>
      <c r="H565" s="269"/>
      <c r="I565" s="269"/>
      <c r="J565" s="269"/>
      <c r="K565" s="269"/>
      <c r="L565" s="269"/>
      <c r="M565" s="269"/>
      <c r="N565" s="269"/>
      <c r="O565" s="269"/>
      <c r="P565" s="269"/>
      <c r="Q565" s="269"/>
      <c r="R565" s="269"/>
      <c r="S565" s="269"/>
      <c r="T565" s="269"/>
      <c r="U565" s="269"/>
      <c r="V565" s="269"/>
      <c r="W565" s="269"/>
      <c r="X565" s="269"/>
      <c r="Y565" s="269"/>
      <c r="Z565" s="269"/>
      <c r="AA565" s="269"/>
      <c r="AB565" s="269"/>
      <c r="AC565" s="269"/>
      <c r="AD565" s="269"/>
      <c r="AE565" s="269"/>
      <c r="AF565" s="269"/>
      <c r="AG565" s="269"/>
      <c r="AH565" s="269"/>
      <c r="AI565" s="269"/>
      <c r="AJ565" s="269"/>
      <c r="AK565" s="269"/>
      <c r="AL565" s="269"/>
      <c r="AM565" s="269"/>
      <c r="AN565" s="269"/>
      <c r="AO565" s="269"/>
      <c r="AP565" s="269"/>
      <c r="AQ565" s="269"/>
      <c r="AR565" s="269"/>
    </row>
    <row r="566">
      <c r="A566" s="410"/>
      <c r="B566" s="410"/>
      <c r="C566" s="410"/>
      <c r="D566" s="410"/>
      <c r="E566" s="410"/>
      <c r="F566" s="410"/>
      <c r="H566" s="269"/>
      <c r="I566" s="269"/>
      <c r="J566" s="269"/>
      <c r="K566" s="269"/>
      <c r="L566" s="269"/>
      <c r="M566" s="269"/>
      <c r="N566" s="269"/>
      <c r="O566" s="269"/>
      <c r="P566" s="269"/>
      <c r="Q566" s="269"/>
      <c r="R566" s="269"/>
      <c r="S566" s="269"/>
      <c r="T566" s="269"/>
      <c r="U566" s="269"/>
      <c r="V566" s="269"/>
      <c r="W566" s="269"/>
      <c r="X566" s="269"/>
      <c r="Y566" s="269"/>
      <c r="Z566" s="269"/>
      <c r="AA566" s="269"/>
      <c r="AB566" s="269"/>
      <c r="AC566" s="269"/>
      <c r="AD566" s="269"/>
      <c r="AE566" s="269"/>
      <c r="AF566" s="269"/>
      <c r="AG566" s="269"/>
      <c r="AH566" s="269"/>
      <c r="AI566" s="269"/>
      <c r="AJ566" s="269"/>
      <c r="AK566" s="269"/>
      <c r="AL566" s="269"/>
      <c r="AM566" s="269"/>
      <c r="AN566" s="269"/>
      <c r="AO566" s="269"/>
      <c r="AP566" s="269"/>
      <c r="AQ566" s="269"/>
      <c r="AR566" s="269"/>
    </row>
    <row r="567">
      <c r="A567" s="410"/>
      <c r="B567" s="410"/>
      <c r="C567" s="410"/>
      <c r="D567" s="410"/>
      <c r="E567" s="410"/>
      <c r="F567" s="410"/>
      <c r="H567" s="269"/>
      <c r="I567" s="269"/>
      <c r="J567" s="269"/>
      <c r="K567" s="269"/>
      <c r="L567" s="269"/>
      <c r="M567" s="269"/>
      <c r="N567" s="269"/>
      <c r="O567" s="269"/>
      <c r="P567" s="269"/>
      <c r="Q567" s="269"/>
      <c r="R567" s="269"/>
      <c r="S567" s="269"/>
      <c r="T567" s="269"/>
      <c r="U567" s="269"/>
      <c r="V567" s="269"/>
      <c r="W567" s="269"/>
      <c r="X567" s="269"/>
      <c r="Y567" s="269"/>
      <c r="Z567" s="269"/>
      <c r="AA567" s="269"/>
      <c r="AB567" s="269"/>
      <c r="AC567" s="269"/>
      <c r="AD567" s="269"/>
      <c r="AE567" s="269"/>
      <c r="AF567" s="269"/>
      <c r="AG567" s="269"/>
      <c r="AH567" s="269"/>
      <c r="AI567" s="269"/>
      <c r="AJ567" s="269"/>
      <c r="AK567" s="269"/>
      <c r="AL567" s="269"/>
      <c r="AM567" s="269"/>
      <c r="AN567" s="269"/>
      <c r="AO567" s="269"/>
      <c r="AP567" s="269"/>
      <c r="AQ567" s="269"/>
      <c r="AR567" s="269"/>
    </row>
    <row r="568">
      <c r="A568" s="410"/>
      <c r="B568" s="410"/>
      <c r="C568" s="410"/>
      <c r="D568" s="410"/>
      <c r="E568" s="410"/>
      <c r="F568" s="410"/>
      <c r="H568" s="269"/>
      <c r="I568" s="269"/>
      <c r="J568" s="269"/>
      <c r="K568" s="269"/>
      <c r="L568" s="269"/>
      <c r="M568" s="269"/>
      <c r="N568" s="269"/>
      <c r="O568" s="269"/>
      <c r="P568" s="269"/>
      <c r="Q568" s="269"/>
      <c r="R568" s="269"/>
      <c r="S568" s="269"/>
      <c r="T568" s="269"/>
      <c r="U568" s="269"/>
      <c r="V568" s="269"/>
      <c r="W568" s="269"/>
      <c r="X568" s="269"/>
      <c r="Y568" s="269"/>
      <c r="Z568" s="269"/>
      <c r="AA568" s="269"/>
      <c r="AB568" s="269"/>
      <c r="AC568" s="269"/>
      <c r="AD568" s="269"/>
      <c r="AE568" s="269"/>
      <c r="AF568" s="269"/>
      <c r="AG568" s="269"/>
      <c r="AH568" s="269"/>
      <c r="AI568" s="269"/>
      <c r="AJ568" s="269"/>
      <c r="AK568" s="269"/>
      <c r="AL568" s="269"/>
      <c r="AM568" s="269"/>
      <c r="AN568" s="269"/>
      <c r="AO568" s="269"/>
      <c r="AP568" s="269"/>
      <c r="AQ568" s="269"/>
      <c r="AR568" s="269"/>
    </row>
    <row r="569">
      <c r="A569" s="410"/>
      <c r="B569" s="410"/>
      <c r="C569" s="410"/>
      <c r="D569" s="410"/>
      <c r="E569" s="410"/>
      <c r="F569" s="410"/>
      <c r="H569" s="269"/>
      <c r="I569" s="269"/>
      <c r="J569" s="269"/>
      <c r="K569" s="269"/>
      <c r="L569" s="269"/>
      <c r="M569" s="269"/>
      <c r="N569" s="269"/>
      <c r="O569" s="269"/>
      <c r="P569" s="269"/>
      <c r="Q569" s="269"/>
      <c r="R569" s="269"/>
      <c r="S569" s="269"/>
      <c r="T569" s="269"/>
      <c r="U569" s="269"/>
      <c r="V569" s="269"/>
      <c r="W569" s="269"/>
      <c r="X569" s="269"/>
      <c r="Y569" s="269"/>
      <c r="Z569" s="269"/>
      <c r="AA569" s="269"/>
      <c r="AB569" s="269"/>
      <c r="AC569" s="269"/>
      <c r="AD569" s="269"/>
      <c r="AE569" s="269"/>
      <c r="AF569" s="269"/>
      <c r="AG569" s="269"/>
      <c r="AH569" s="269"/>
      <c r="AI569" s="269"/>
      <c r="AJ569" s="269"/>
      <c r="AK569" s="269"/>
      <c r="AL569" s="269"/>
      <c r="AM569" s="269"/>
      <c r="AN569" s="269"/>
      <c r="AO569" s="269"/>
      <c r="AP569" s="269"/>
      <c r="AQ569" s="269"/>
      <c r="AR569" s="269"/>
    </row>
    <row r="570">
      <c r="A570" s="410"/>
      <c r="B570" s="410"/>
      <c r="C570" s="410"/>
      <c r="D570" s="410"/>
      <c r="E570" s="410"/>
      <c r="F570" s="410"/>
      <c r="H570" s="269"/>
      <c r="I570" s="269"/>
      <c r="J570" s="269"/>
      <c r="K570" s="269"/>
      <c r="L570" s="269"/>
      <c r="M570" s="269"/>
      <c r="N570" s="269"/>
      <c r="O570" s="269"/>
      <c r="P570" s="269"/>
      <c r="Q570" s="269"/>
      <c r="R570" s="269"/>
      <c r="S570" s="269"/>
      <c r="T570" s="269"/>
      <c r="U570" s="269"/>
      <c r="V570" s="269"/>
      <c r="W570" s="269"/>
      <c r="X570" s="269"/>
      <c r="Y570" s="269"/>
      <c r="Z570" s="269"/>
      <c r="AA570" s="269"/>
      <c r="AB570" s="269"/>
      <c r="AC570" s="269"/>
      <c r="AD570" s="269"/>
      <c r="AE570" s="269"/>
      <c r="AF570" s="269"/>
      <c r="AG570" s="269"/>
      <c r="AH570" s="269"/>
      <c r="AI570" s="269"/>
      <c r="AJ570" s="269"/>
      <c r="AK570" s="269"/>
      <c r="AL570" s="269"/>
      <c r="AM570" s="269"/>
      <c r="AN570" s="269"/>
      <c r="AO570" s="269"/>
      <c r="AP570" s="269"/>
      <c r="AQ570" s="269"/>
      <c r="AR570" s="269"/>
    </row>
    <row r="571">
      <c r="A571" s="410"/>
      <c r="B571" s="410"/>
      <c r="C571" s="410"/>
      <c r="D571" s="410"/>
      <c r="E571" s="410"/>
      <c r="F571" s="410"/>
      <c r="H571" s="269"/>
      <c r="I571" s="269"/>
      <c r="J571" s="269"/>
      <c r="K571" s="269"/>
      <c r="L571" s="269"/>
      <c r="M571" s="269"/>
      <c r="N571" s="269"/>
      <c r="O571" s="269"/>
      <c r="P571" s="269"/>
      <c r="Q571" s="269"/>
      <c r="R571" s="269"/>
      <c r="S571" s="269"/>
      <c r="T571" s="269"/>
      <c r="U571" s="269"/>
      <c r="V571" s="269"/>
      <c r="W571" s="269"/>
      <c r="X571" s="269"/>
      <c r="Y571" s="269"/>
      <c r="Z571" s="269"/>
      <c r="AA571" s="269"/>
      <c r="AB571" s="269"/>
      <c r="AC571" s="269"/>
      <c r="AD571" s="269"/>
      <c r="AE571" s="269"/>
      <c r="AF571" s="269"/>
      <c r="AG571" s="269"/>
      <c r="AH571" s="269"/>
      <c r="AI571" s="269"/>
      <c r="AJ571" s="269"/>
      <c r="AK571" s="269"/>
      <c r="AL571" s="269"/>
      <c r="AM571" s="269"/>
      <c r="AN571" s="269"/>
      <c r="AO571" s="269"/>
      <c r="AP571" s="269"/>
      <c r="AQ571" s="269"/>
      <c r="AR571" s="269"/>
    </row>
    <row r="572">
      <c r="A572" s="410"/>
      <c r="B572" s="410"/>
      <c r="C572" s="410"/>
      <c r="D572" s="410"/>
      <c r="E572" s="410"/>
      <c r="F572" s="410"/>
      <c r="H572" s="269"/>
      <c r="I572" s="269"/>
      <c r="J572" s="269"/>
      <c r="K572" s="269"/>
      <c r="L572" s="269"/>
      <c r="M572" s="269"/>
      <c r="N572" s="269"/>
      <c r="O572" s="269"/>
      <c r="P572" s="269"/>
      <c r="Q572" s="269"/>
      <c r="R572" s="269"/>
      <c r="S572" s="269"/>
      <c r="T572" s="269"/>
      <c r="U572" s="269"/>
      <c r="V572" s="269"/>
      <c r="W572" s="269"/>
      <c r="X572" s="269"/>
      <c r="Y572" s="269"/>
      <c r="Z572" s="269"/>
      <c r="AA572" s="269"/>
      <c r="AB572" s="269"/>
      <c r="AC572" s="269"/>
      <c r="AD572" s="269"/>
      <c r="AE572" s="269"/>
      <c r="AF572" s="269"/>
      <c r="AG572" s="269"/>
      <c r="AH572" s="269"/>
      <c r="AI572" s="269"/>
      <c r="AJ572" s="269"/>
      <c r="AK572" s="269"/>
      <c r="AL572" s="269"/>
      <c r="AM572" s="269"/>
      <c r="AN572" s="269"/>
      <c r="AO572" s="269"/>
      <c r="AP572" s="269"/>
      <c r="AQ572" s="269"/>
      <c r="AR572" s="269"/>
    </row>
    <row r="573">
      <c r="A573" s="410"/>
      <c r="B573" s="410"/>
      <c r="C573" s="410"/>
      <c r="D573" s="410"/>
      <c r="E573" s="410"/>
      <c r="F573" s="410"/>
      <c r="H573" s="269"/>
      <c r="I573" s="269"/>
      <c r="J573" s="269"/>
      <c r="K573" s="269"/>
      <c r="L573" s="269"/>
      <c r="M573" s="269"/>
      <c r="N573" s="269"/>
      <c r="O573" s="269"/>
      <c r="P573" s="269"/>
      <c r="Q573" s="269"/>
      <c r="R573" s="269"/>
      <c r="S573" s="269"/>
      <c r="T573" s="269"/>
      <c r="U573" s="269"/>
      <c r="V573" s="269"/>
      <c r="W573" s="269"/>
      <c r="X573" s="269"/>
      <c r="Y573" s="269"/>
      <c r="Z573" s="269"/>
      <c r="AA573" s="269"/>
      <c r="AB573" s="269"/>
      <c r="AC573" s="269"/>
      <c r="AD573" s="269"/>
      <c r="AE573" s="269"/>
      <c r="AF573" s="269"/>
      <c r="AG573" s="269"/>
      <c r="AH573" s="269"/>
      <c r="AI573" s="269"/>
      <c r="AJ573" s="269"/>
      <c r="AK573" s="269"/>
      <c r="AL573" s="269"/>
      <c r="AM573" s="269"/>
      <c r="AN573" s="269"/>
      <c r="AO573" s="269"/>
      <c r="AP573" s="269"/>
      <c r="AQ573" s="269"/>
      <c r="AR573" s="269"/>
    </row>
    <row r="574">
      <c r="A574" s="410"/>
      <c r="B574" s="410"/>
      <c r="C574" s="410"/>
      <c r="D574" s="410"/>
      <c r="E574" s="410"/>
      <c r="F574" s="410"/>
      <c r="H574" s="269"/>
      <c r="I574" s="269"/>
      <c r="J574" s="269"/>
      <c r="K574" s="269"/>
      <c r="L574" s="269"/>
      <c r="M574" s="269"/>
      <c r="N574" s="269"/>
      <c r="O574" s="269"/>
      <c r="P574" s="269"/>
      <c r="Q574" s="269"/>
      <c r="R574" s="269"/>
      <c r="S574" s="269"/>
      <c r="T574" s="269"/>
      <c r="U574" s="269"/>
      <c r="V574" s="269"/>
      <c r="W574" s="269"/>
      <c r="X574" s="269"/>
      <c r="Y574" s="269"/>
      <c r="Z574" s="269"/>
      <c r="AA574" s="269"/>
      <c r="AB574" s="269"/>
      <c r="AC574" s="269"/>
      <c r="AD574" s="269"/>
      <c r="AE574" s="269"/>
      <c r="AF574" s="269"/>
      <c r="AG574" s="269"/>
      <c r="AH574" s="269"/>
      <c r="AI574" s="269"/>
      <c r="AJ574" s="269"/>
      <c r="AK574" s="269"/>
      <c r="AL574" s="269"/>
      <c r="AM574" s="269"/>
      <c r="AN574" s="269"/>
      <c r="AO574" s="269"/>
      <c r="AP574" s="269"/>
      <c r="AQ574" s="269"/>
      <c r="AR574" s="269"/>
    </row>
    <row r="575">
      <c r="A575" s="410"/>
      <c r="B575" s="410"/>
      <c r="C575" s="410"/>
      <c r="D575" s="410"/>
      <c r="E575" s="410"/>
      <c r="F575" s="410"/>
      <c r="H575" s="269"/>
      <c r="I575" s="269"/>
      <c r="J575" s="269"/>
      <c r="K575" s="269"/>
      <c r="L575" s="269"/>
      <c r="M575" s="269"/>
      <c r="N575" s="269"/>
      <c r="O575" s="269"/>
      <c r="P575" s="269"/>
      <c r="Q575" s="269"/>
      <c r="R575" s="269"/>
      <c r="S575" s="269"/>
      <c r="T575" s="269"/>
      <c r="U575" s="269"/>
      <c r="V575" s="269"/>
      <c r="W575" s="269"/>
      <c r="X575" s="269"/>
      <c r="Y575" s="269"/>
      <c r="Z575" s="269"/>
      <c r="AA575" s="269"/>
      <c r="AB575" s="269"/>
      <c r="AC575" s="269"/>
      <c r="AD575" s="269"/>
      <c r="AE575" s="269"/>
      <c r="AF575" s="269"/>
      <c r="AG575" s="269"/>
      <c r="AH575" s="269"/>
      <c r="AI575" s="269"/>
      <c r="AJ575" s="269"/>
      <c r="AK575" s="269"/>
      <c r="AL575" s="269"/>
      <c r="AM575" s="269"/>
      <c r="AN575" s="269"/>
      <c r="AO575" s="269"/>
      <c r="AP575" s="269"/>
      <c r="AQ575" s="269"/>
      <c r="AR575" s="269"/>
    </row>
    <row r="576">
      <c r="A576" s="410"/>
      <c r="B576" s="410"/>
      <c r="C576" s="410"/>
      <c r="D576" s="410"/>
      <c r="E576" s="410"/>
      <c r="F576" s="410"/>
      <c r="H576" s="269"/>
      <c r="I576" s="269"/>
      <c r="J576" s="269"/>
      <c r="K576" s="269"/>
      <c r="L576" s="269"/>
      <c r="M576" s="269"/>
      <c r="N576" s="269"/>
      <c r="O576" s="269"/>
      <c r="P576" s="269"/>
      <c r="Q576" s="269"/>
      <c r="R576" s="269"/>
      <c r="S576" s="269"/>
      <c r="T576" s="269"/>
      <c r="U576" s="269"/>
      <c r="V576" s="269"/>
      <c r="W576" s="269"/>
      <c r="X576" s="269"/>
      <c r="Y576" s="269"/>
      <c r="Z576" s="269"/>
      <c r="AA576" s="269"/>
      <c r="AB576" s="269"/>
      <c r="AC576" s="269"/>
      <c r="AD576" s="269"/>
      <c r="AE576" s="269"/>
      <c r="AF576" s="269"/>
      <c r="AG576" s="269"/>
      <c r="AH576" s="269"/>
      <c r="AI576" s="269"/>
      <c r="AJ576" s="269"/>
      <c r="AK576" s="269"/>
      <c r="AL576" s="269"/>
      <c r="AM576" s="269"/>
      <c r="AN576" s="269"/>
      <c r="AO576" s="269"/>
      <c r="AP576" s="269"/>
      <c r="AQ576" s="269"/>
      <c r="AR576" s="269"/>
    </row>
    <row r="577">
      <c r="A577" s="410"/>
      <c r="B577" s="410"/>
      <c r="C577" s="410"/>
      <c r="D577" s="410"/>
      <c r="E577" s="410"/>
      <c r="F577" s="410"/>
      <c r="H577" s="269"/>
      <c r="I577" s="269"/>
      <c r="J577" s="269"/>
      <c r="K577" s="269"/>
      <c r="L577" s="269"/>
      <c r="M577" s="269"/>
      <c r="N577" s="269"/>
      <c r="O577" s="269"/>
      <c r="P577" s="269"/>
      <c r="Q577" s="269"/>
      <c r="R577" s="269"/>
      <c r="S577" s="269"/>
      <c r="T577" s="269"/>
      <c r="U577" s="269"/>
      <c r="V577" s="269"/>
      <c r="W577" s="269"/>
      <c r="X577" s="269"/>
      <c r="Y577" s="269"/>
      <c r="Z577" s="269"/>
      <c r="AA577" s="269"/>
      <c r="AB577" s="269"/>
      <c r="AC577" s="269"/>
      <c r="AD577" s="269"/>
      <c r="AE577" s="269"/>
      <c r="AF577" s="269"/>
      <c r="AG577" s="269"/>
      <c r="AH577" s="269"/>
      <c r="AI577" s="269"/>
      <c r="AJ577" s="269"/>
      <c r="AK577" s="269"/>
      <c r="AL577" s="269"/>
      <c r="AM577" s="269"/>
      <c r="AN577" s="269"/>
      <c r="AO577" s="269"/>
      <c r="AP577" s="269"/>
      <c r="AQ577" s="269"/>
      <c r="AR577" s="269"/>
    </row>
    <row r="578">
      <c r="A578" s="410"/>
      <c r="B578" s="410"/>
      <c r="C578" s="410"/>
      <c r="D578" s="410"/>
      <c r="E578" s="410"/>
      <c r="F578" s="410"/>
      <c r="H578" s="269"/>
      <c r="I578" s="269"/>
      <c r="J578" s="269"/>
      <c r="K578" s="269"/>
      <c r="L578" s="269"/>
      <c r="M578" s="269"/>
      <c r="N578" s="269"/>
      <c r="O578" s="269"/>
      <c r="P578" s="269"/>
      <c r="Q578" s="269"/>
      <c r="R578" s="269"/>
      <c r="S578" s="269"/>
      <c r="T578" s="269"/>
      <c r="U578" s="269"/>
      <c r="V578" s="269"/>
      <c r="W578" s="269"/>
      <c r="X578" s="269"/>
      <c r="Y578" s="269"/>
      <c r="Z578" s="269"/>
      <c r="AA578" s="269"/>
      <c r="AB578" s="269"/>
      <c r="AC578" s="269"/>
      <c r="AD578" s="269"/>
      <c r="AE578" s="269"/>
      <c r="AF578" s="269"/>
      <c r="AG578" s="269"/>
      <c r="AH578" s="269"/>
      <c r="AI578" s="269"/>
      <c r="AJ578" s="269"/>
      <c r="AK578" s="269"/>
      <c r="AL578" s="269"/>
      <c r="AM578" s="269"/>
      <c r="AN578" s="269"/>
      <c r="AO578" s="269"/>
      <c r="AP578" s="269"/>
      <c r="AQ578" s="269"/>
      <c r="AR578" s="269"/>
    </row>
    <row r="579">
      <c r="A579" s="410"/>
      <c r="B579" s="410"/>
      <c r="C579" s="410"/>
      <c r="D579" s="410"/>
      <c r="E579" s="410"/>
      <c r="F579" s="410"/>
      <c r="H579" s="269"/>
      <c r="I579" s="269"/>
      <c r="J579" s="269"/>
      <c r="K579" s="269"/>
      <c r="L579" s="269"/>
      <c r="M579" s="269"/>
      <c r="N579" s="269"/>
      <c r="O579" s="269"/>
      <c r="P579" s="269"/>
      <c r="Q579" s="269"/>
      <c r="R579" s="269"/>
      <c r="S579" s="269"/>
      <c r="T579" s="269"/>
      <c r="U579" s="269"/>
      <c r="V579" s="269"/>
      <c r="W579" s="269"/>
      <c r="X579" s="269"/>
      <c r="Y579" s="269"/>
      <c r="Z579" s="269"/>
      <c r="AA579" s="269"/>
      <c r="AB579" s="269"/>
      <c r="AC579" s="269"/>
      <c r="AD579" s="269"/>
      <c r="AE579" s="269"/>
      <c r="AF579" s="269"/>
      <c r="AG579" s="269"/>
      <c r="AH579" s="269"/>
      <c r="AI579" s="269"/>
      <c r="AJ579" s="269"/>
      <c r="AK579" s="269"/>
      <c r="AL579" s="269"/>
      <c r="AM579" s="269"/>
      <c r="AN579" s="269"/>
      <c r="AO579" s="269"/>
      <c r="AP579" s="269"/>
      <c r="AQ579" s="269"/>
      <c r="AR579" s="269"/>
    </row>
    <row r="580">
      <c r="A580" s="410"/>
      <c r="B580" s="410"/>
      <c r="C580" s="410"/>
      <c r="D580" s="410"/>
      <c r="E580" s="410"/>
      <c r="F580" s="410"/>
      <c r="H580" s="269"/>
      <c r="I580" s="269"/>
      <c r="J580" s="269"/>
      <c r="K580" s="269"/>
      <c r="L580" s="269"/>
      <c r="M580" s="269"/>
      <c r="N580" s="269"/>
      <c r="O580" s="269"/>
      <c r="P580" s="269"/>
      <c r="Q580" s="269"/>
      <c r="R580" s="269"/>
      <c r="S580" s="269"/>
      <c r="T580" s="269"/>
      <c r="U580" s="269"/>
      <c r="V580" s="269"/>
      <c r="W580" s="269"/>
      <c r="X580" s="269"/>
      <c r="Y580" s="269"/>
      <c r="Z580" s="269"/>
      <c r="AA580" s="269"/>
      <c r="AB580" s="269"/>
      <c r="AC580" s="269"/>
      <c r="AD580" s="269"/>
      <c r="AE580" s="269"/>
      <c r="AF580" s="269"/>
      <c r="AG580" s="269"/>
      <c r="AH580" s="269"/>
      <c r="AI580" s="269"/>
      <c r="AJ580" s="269"/>
      <c r="AK580" s="269"/>
      <c r="AL580" s="269"/>
      <c r="AM580" s="269"/>
      <c r="AN580" s="269"/>
      <c r="AO580" s="269"/>
      <c r="AP580" s="269"/>
      <c r="AQ580" s="269"/>
      <c r="AR580" s="269"/>
    </row>
    <row r="581">
      <c r="A581" s="410"/>
      <c r="B581" s="410"/>
      <c r="C581" s="410"/>
      <c r="D581" s="410"/>
      <c r="E581" s="410"/>
      <c r="F581" s="410"/>
      <c r="H581" s="269"/>
      <c r="I581" s="269"/>
      <c r="J581" s="269"/>
      <c r="K581" s="269"/>
      <c r="L581" s="269"/>
      <c r="M581" s="269"/>
      <c r="N581" s="269"/>
      <c r="O581" s="269"/>
      <c r="P581" s="269"/>
      <c r="Q581" s="269"/>
      <c r="R581" s="269"/>
      <c r="S581" s="269"/>
      <c r="T581" s="269"/>
      <c r="U581" s="269"/>
      <c r="V581" s="269"/>
      <c r="W581" s="269"/>
      <c r="X581" s="269"/>
      <c r="Y581" s="269"/>
      <c r="Z581" s="269"/>
      <c r="AA581" s="269"/>
      <c r="AB581" s="269"/>
      <c r="AC581" s="269"/>
      <c r="AD581" s="269"/>
      <c r="AE581" s="269"/>
      <c r="AF581" s="269"/>
      <c r="AG581" s="269"/>
      <c r="AH581" s="269"/>
      <c r="AI581" s="269"/>
      <c r="AJ581" s="269"/>
      <c r="AK581" s="269"/>
      <c r="AL581" s="269"/>
      <c r="AM581" s="269"/>
      <c r="AN581" s="269"/>
      <c r="AO581" s="269"/>
      <c r="AP581" s="269"/>
      <c r="AQ581" s="269"/>
      <c r="AR581" s="269"/>
    </row>
    <row r="582">
      <c r="A582" s="410"/>
      <c r="B582" s="410"/>
      <c r="C582" s="410"/>
      <c r="D582" s="410"/>
      <c r="E582" s="410"/>
      <c r="F582" s="410"/>
      <c r="H582" s="269"/>
      <c r="I582" s="269"/>
      <c r="J582" s="269"/>
      <c r="K582" s="269"/>
      <c r="L582" s="269"/>
      <c r="M582" s="269"/>
      <c r="N582" s="269"/>
      <c r="O582" s="269"/>
      <c r="P582" s="269"/>
      <c r="Q582" s="269"/>
      <c r="R582" s="269"/>
      <c r="S582" s="269"/>
      <c r="T582" s="269"/>
      <c r="U582" s="269"/>
      <c r="V582" s="269"/>
      <c r="W582" s="269"/>
      <c r="X582" s="269"/>
      <c r="Y582" s="269"/>
      <c r="Z582" s="269"/>
      <c r="AA582" s="269"/>
      <c r="AB582" s="269"/>
      <c r="AC582" s="269"/>
      <c r="AD582" s="269"/>
      <c r="AE582" s="269"/>
      <c r="AF582" s="269"/>
      <c r="AG582" s="269"/>
      <c r="AH582" s="269"/>
      <c r="AI582" s="269"/>
      <c r="AJ582" s="269"/>
      <c r="AK582" s="269"/>
      <c r="AL582" s="269"/>
      <c r="AM582" s="269"/>
      <c r="AN582" s="269"/>
      <c r="AO582" s="269"/>
      <c r="AP582" s="269"/>
      <c r="AQ582" s="269"/>
      <c r="AR582" s="269"/>
    </row>
    <row r="583">
      <c r="A583" s="410"/>
      <c r="B583" s="410"/>
      <c r="C583" s="410"/>
      <c r="D583" s="410"/>
      <c r="E583" s="410"/>
      <c r="F583" s="410"/>
      <c r="H583" s="269"/>
      <c r="I583" s="269"/>
      <c r="J583" s="269"/>
      <c r="K583" s="269"/>
      <c r="L583" s="269"/>
      <c r="M583" s="269"/>
      <c r="N583" s="269"/>
      <c r="O583" s="269"/>
      <c r="P583" s="269"/>
      <c r="Q583" s="269"/>
      <c r="R583" s="269"/>
      <c r="S583" s="269"/>
      <c r="T583" s="269"/>
      <c r="U583" s="269"/>
      <c r="V583" s="269"/>
      <c r="W583" s="269"/>
      <c r="X583" s="269"/>
      <c r="Y583" s="269"/>
      <c r="Z583" s="269"/>
      <c r="AA583" s="269"/>
      <c r="AB583" s="269"/>
      <c r="AC583" s="269"/>
      <c r="AD583" s="269"/>
      <c r="AE583" s="269"/>
      <c r="AF583" s="269"/>
      <c r="AG583" s="269"/>
      <c r="AH583" s="269"/>
      <c r="AI583" s="269"/>
      <c r="AJ583" s="269"/>
      <c r="AK583" s="269"/>
      <c r="AL583" s="269"/>
      <c r="AM583" s="269"/>
      <c r="AN583" s="269"/>
      <c r="AO583" s="269"/>
      <c r="AP583" s="269"/>
      <c r="AQ583" s="269"/>
      <c r="AR583" s="269"/>
    </row>
    <row r="584">
      <c r="A584" s="410"/>
      <c r="B584" s="410"/>
      <c r="C584" s="410"/>
      <c r="D584" s="410"/>
      <c r="E584" s="410"/>
      <c r="F584" s="410"/>
      <c r="H584" s="269"/>
      <c r="I584" s="269"/>
      <c r="J584" s="269"/>
      <c r="K584" s="269"/>
      <c r="L584" s="269"/>
      <c r="M584" s="269"/>
      <c r="N584" s="269"/>
      <c r="O584" s="269"/>
      <c r="P584" s="269"/>
      <c r="Q584" s="269"/>
      <c r="R584" s="269"/>
      <c r="S584" s="269"/>
      <c r="T584" s="269"/>
      <c r="U584" s="269"/>
      <c r="V584" s="269"/>
      <c r="W584" s="269"/>
      <c r="X584" s="269"/>
      <c r="Y584" s="269"/>
      <c r="Z584" s="269"/>
      <c r="AA584" s="269"/>
      <c r="AB584" s="269"/>
      <c r="AC584" s="269"/>
      <c r="AD584" s="269"/>
      <c r="AE584" s="269"/>
      <c r="AF584" s="269"/>
      <c r="AG584" s="269"/>
      <c r="AH584" s="269"/>
      <c r="AI584" s="269"/>
      <c r="AJ584" s="269"/>
      <c r="AK584" s="269"/>
      <c r="AL584" s="269"/>
      <c r="AM584" s="269"/>
      <c r="AN584" s="269"/>
      <c r="AO584" s="269"/>
      <c r="AP584" s="269"/>
      <c r="AQ584" s="269"/>
      <c r="AR584" s="269"/>
    </row>
    <row r="585">
      <c r="A585" s="410"/>
      <c r="B585" s="410"/>
      <c r="C585" s="410"/>
      <c r="D585" s="410"/>
      <c r="E585" s="410"/>
      <c r="F585" s="410"/>
      <c r="H585" s="269"/>
      <c r="I585" s="269"/>
      <c r="J585" s="269"/>
      <c r="K585" s="269"/>
      <c r="L585" s="269"/>
      <c r="M585" s="269"/>
      <c r="N585" s="269"/>
      <c r="O585" s="269"/>
      <c r="P585" s="269"/>
      <c r="Q585" s="269"/>
      <c r="R585" s="269"/>
      <c r="S585" s="269"/>
      <c r="T585" s="269"/>
      <c r="U585" s="269"/>
      <c r="V585" s="269"/>
      <c r="W585" s="269"/>
      <c r="X585" s="269"/>
      <c r="Y585" s="269"/>
      <c r="Z585" s="269"/>
      <c r="AA585" s="269"/>
      <c r="AB585" s="269"/>
      <c r="AC585" s="269"/>
      <c r="AD585" s="269"/>
      <c r="AE585" s="269"/>
      <c r="AF585" s="269"/>
      <c r="AG585" s="269"/>
      <c r="AH585" s="269"/>
      <c r="AI585" s="269"/>
      <c r="AJ585" s="269"/>
      <c r="AK585" s="269"/>
      <c r="AL585" s="269"/>
      <c r="AM585" s="269"/>
      <c r="AN585" s="269"/>
      <c r="AO585" s="269"/>
      <c r="AP585" s="269"/>
      <c r="AQ585" s="269"/>
      <c r="AR585" s="269"/>
    </row>
    <row r="586">
      <c r="A586" s="410"/>
      <c r="B586" s="410"/>
      <c r="C586" s="410"/>
      <c r="D586" s="410"/>
      <c r="E586" s="410"/>
      <c r="F586" s="410"/>
      <c r="H586" s="269"/>
      <c r="I586" s="269"/>
      <c r="J586" s="269"/>
      <c r="K586" s="269"/>
      <c r="L586" s="269"/>
      <c r="M586" s="269"/>
      <c r="N586" s="269"/>
      <c r="O586" s="269"/>
      <c r="P586" s="269"/>
      <c r="Q586" s="269"/>
      <c r="R586" s="269"/>
      <c r="S586" s="269"/>
      <c r="T586" s="269"/>
      <c r="U586" s="269"/>
      <c r="V586" s="269"/>
      <c r="W586" s="269"/>
      <c r="X586" s="269"/>
      <c r="Y586" s="269"/>
      <c r="Z586" s="269"/>
      <c r="AA586" s="269"/>
      <c r="AB586" s="269"/>
      <c r="AC586" s="269"/>
      <c r="AD586" s="269"/>
      <c r="AE586" s="269"/>
      <c r="AF586" s="269"/>
      <c r="AG586" s="269"/>
      <c r="AH586" s="269"/>
      <c r="AI586" s="269"/>
      <c r="AJ586" s="269"/>
      <c r="AK586" s="269"/>
      <c r="AL586" s="269"/>
      <c r="AM586" s="269"/>
      <c r="AN586" s="269"/>
      <c r="AO586" s="269"/>
      <c r="AP586" s="269"/>
      <c r="AQ586" s="269"/>
      <c r="AR586" s="269"/>
    </row>
    <row r="587">
      <c r="A587" s="410"/>
      <c r="B587" s="410"/>
      <c r="C587" s="410"/>
      <c r="D587" s="410"/>
      <c r="E587" s="410"/>
      <c r="F587" s="410"/>
      <c r="H587" s="269"/>
      <c r="I587" s="269"/>
      <c r="J587" s="269"/>
      <c r="K587" s="269"/>
      <c r="L587" s="269"/>
      <c r="M587" s="269"/>
      <c r="N587" s="269"/>
      <c r="O587" s="269"/>
      <c r="P587" s="269"/>
      <c r="Q587" s="269"/>
      <c r="R587" s="269"/>
      <c r="S587" s="269"/>
      <c r="T587" s="269"/>
      <c r="U587" s="269"/>
      <c r="V587" s="269"/>
      <c r="W587" s="269"/>
      <c r="X587" s="269"/>
      <c r="Y587" s="269"/>
      <c r="Z587" s="269"/>
      <c r="AA587" s="269"/>
      <c r="AB587" s="269"/>
      <c r="AC587" s="269"/>
      <c r="AD587" s="269"/>
      <c r="AE587" s="269"/>
      <c r="AF587" s="269"/>
      <c r="AG587" s="269"/>
      <c r="AH587" s="269"/>
      <c r="AI587" s="269"/>
      <c r="AJ587" s="269"/>
      <c r="AK587" s="269"/>
      <c r="AL587" s="269"/>
      <c r="AM587" s="269"/>
      <c r="AN587" s="269"/>
      <c r="AO587" s="269"/>
      <c r="AP587" s="269"/>
      <c r="AQ587" s="269"/>
      <c r="AR587" s="269"/>
    </row>
    <row r="588">
      <c r="A588" s="410"/>
      <c r="B588" s="410"/>
      <c r="C588" s="410"/>
      <c r="D588" s="410"/>
      <c r="E588" s="410"/>
      <c r="F588" s="410"/>
      <c r="H588" s="269"/>
      <c r="I588" s="269"/>
      <c r="J588" s="269"/>
      <c r="K588" s="269"/>
      <c r="L588" s="269"/>
      <c r="M588" s="269"/>
      <c r="N588" s="269"/>
      <c r="O588" s="269"/>
      <c r="P588" s="269"/>
      <c r="Q588" s="269"/>
      <c r="R588" s="269"/>
      <c r="S588" s="269"/>
      <c r="T588" s="269"/>
      <c r="U588" s="269"/>
      <c r="V588" s="269"/>
      <c r="W588" s="269"/>
      <c r="X588" s="269"/>
      <c r="Y588" s="269"/>
      <c r="Z588" s="269"/>
      <c r="AA588" s="269"/>
      <c r="AB588" s="269"/>
      <c r="AC588" s="269"/>
      <c r="AD588" s="269"/>
      <c r="AE588" s="269"/>
      <c r="AF588" s="269"/>
      <c r="AG588" s="269"/>
      <c r="AH588" s="269"/>
      <c r="AI588" s="269"/>
      <c r="AJ588" s="269"/>
      <c r="AK588" s="269"/>
      <c r="AL588" s="269"/>
      <c r="AM588" s="269"/>
      <c r="AN588" s="269"/>
      <c r="AO588" s="269"/>
      <c r="AP588" s="269"/>
      <c r="AQ588" s="269"/>
      <c r="AR588" s="269"/>
    </row>
    <row r="589">
      <c r="A589" s="410"/>
      <c r="B589" s="410"/>
      <c r="C589" s="410"/>
      <c r="D589" s="410"/>
      <c r="E589" s="410"/>
      <c r="F589" s="410"/>
      <c r="H589" s="269"/>
      <c r="I589" s="269"/>
      <c r="J589" s="269"/>
      <c r="K589" s="269"/>
      <c r="L589" s="269"/>
      <c r="M589" s="269"/>
      <c r="N589" s="269"/>
      <c r="O589" s="269"/>
      <c r="P589" s="269"/>
      <c r="Q589" s="269"/>
      <c r="R589" s="269"/>
      <c r="S589" s="269"/>
      <c r="T589" s="269"/>
      <c r="U589" s="269"/>
      <c r="V589" s="269"/>
      <c r="W589" s="269"/>
      <c r="X589" s="269"/>
      <c r="Y589" s="269"/>
      <c r="Z589" s="269"/>
      <c r="AA589" s="269"/>
      <c r="AB589" s="269"/>
      <c r="AC589" s="269"/>
      <c r="AD589" s="269"/>
      <c r="AE589" s="269"/>
      <c r="AF589" s="269"/>
      <c r="AG589" s="269"/>
      <c r="AH589" s="269"/>
      <c r="AI589" s="269"/>
      <c r="AJ589" s="269"/>
      <c r="AK589" s="269"/>
      <c r="AL589" s="269"/>
      <c r="AM589" s="269"/>
      <c r="AN589" s="269"/>
      <c r="AO589" s="269"/>
      <c r="AP589" s="269"/>
      <c r="AQ589" s="269"/>
      <c r="AR589" s="269"/>
    </row>
    <row r="590">
      <c r="A590" s="410"/>
      <c r="B590" s="410"/>
      <c r="C590" s="410"/>
      <c r="D590" s="410"/>
      <c r="E590" s="410"/>
      <c r="F590" s="410"/>
      <c r="H590" s="269"/>
      <c r="I590" s="269"/>
      <c r="J590" s="269"/>
      <c r="K590" s="269"/>
      <c r="L590" s="269"/>
      <c r="M590" s="269"/>
      <c r="N590" s="269"/>
      <c r="O590" s="269"/>
      <c r="P590" s="269"/>
      <c r="Q590" s="269"/>
      <c r="R590" s="269"/>
      <c r="S590" s="269"/>
      <c r="T590" s="269"/>
      <c r="U590" s="269"/>
      <c r="V590" s="269"/>
      <c r="W590" s="269"/>
      <c r="X590" s="269"/>
      <c r="Y590" s="269"/>
      <c r="Z590" s="269"/>
      <c r="AA590" s="269"/>
      <c r="AB590" s="269"/>
      <c r="AC590" s="269"/>
      <c r="AD590" s="269"/>
      <c r="AE590" s="269"/>
      <c r="AF590" s="269"/>
      <c r="AG590" s="269"/>
      <c r="AH590" s="269"/>
      <c r="AI590" s="269"/>
      <c r="AJ590" s="269"/>
      <c r="AK590" s="269"/>
      <c r="AL590" s="269"/>
      <c r="AM590" s="269"/>
      <c r="AN590" s="269"/>
      <c r="AO590" s="269"/>
      <c r="AP590" s="269"/>
      <c r="AQ590" s="269"/>
      <c r="AR590" s="269"/>
    </row>
    <row r="591">
      <c r="A591" s="410"/>
      <c r="B591" s="410"/>
      <c r="C591" s="410"/>
      <c r="D591" s="410"/>
      <c r="E591" s="410"/>
      <c r="F591" s="410"/>
      <c r="H591" s="269"/>
      <c r="I591" s="269"/>
      <c r="J591" s="269"/>
      <c r="K591" s="269"/>
      <c r="L591" s="269"/>
      <c r="M591" s="269"/>
      <c r="N591" s="269"/>
      <c r="O591" s="269"/>
      <c r="P591" s="269"/>
      <c r="Q591" s="269"/>
      <c r="R591" s="269"/>
      <c r="S591" s="269"/>
      <c r="T591" s="269"/>
      <c r="U591" s="269"/>
      <c r="V591" s="269"/>
      <c r="W591" s="269"/>
      <c r="X591" s="269"/>
      <c r="Y591" s="269"/>
      <c r="Z591" s="269"/>
      <c r="AA591" s="269"/>
      <c r="AB591" s="269"/>
      <c r="AC591" s="269"/>
      <c r="AD591" s="269"/>
      <c r="AE591" s="269"/>
      <c r="AF591" s="269"/>
      <c r="AG591" s="269"/>
      <c r="AH591" s="269"/>
      <c r="AI591" s="269"/>
      <c r="AJ591" s="269"/>
      <c r="AK591" s="269"/>
      <c r="AL591" s="269"/>
      <c r="AM591" s="269"/>
      <c r="AN591" s="269"/>
      <c r="AO591" s="269"/>
      <c r="AP591" s="269"/>
      <c r="AQ591" s="269"/>
      <c r="AR591" s="269"/>
    </row>
    <row r="592">
      <c r="A592" s="410"/>
      <c r="B592" s="410"/>
      <c r="C592" s="410"/>
      <c r="D592" s="410"/>
      <c r="E592" s="410"/>
      <c r="F592" s="410"/>
      <c r="H592" s="269"/>
      <c r="I592" s="269"/>
      <c r="J592" s="269"/>
      <c r="K592" s="269"/>
      <c r="L592" s="269"/>
      <c r="M592" s="269"/>
      <c r="N592" s="269"/>
      <c r="O592" s="269"/>
      <c r="P592" s="269"/>
      <c r="Q592" s="269"/>
      <c r="R592" s="269"/>
      <c r="S592" s="269"/>
      <c r="T592" s="269"/>
      <c r="U592" s="269"/>
      <c r="V592" s="269"/>
      <c r="W592" s="269"/>
      <c r="X592" s="269"/>
      <c r="Y592" s="269"/>
      <c r="Z592" s="269"/>
      <c r="AA592" s="269"/>
      <c r="AB592" s="269"/>
      <c r="AC592" s="269"/>
      <c r="AD592" s="269"/>
      <c r="AE592" s="269"/>
      <c r="AF592" s="269"/>
      <c r="AG592" s="269"/>
      <c r="AH592" s="269"/>
      <c r="AI592" s="269"/>
      <c r="AJ592" s="269"/>
      <c r="AK592" s="269"/>
      <c r="AL592" s="269"/>
      <c r="AM592" s="269"/>
      <c r="AN592" s="269"/>
      <c r="AO592" s="269"/>
      <c r="AP592" s="269"/>
      <c r="AQ592" s="269"/>
      <c r="AR592" s="269"/>
    </row>
    <row r="593">
      <c r="A593" s="410"/>
      <c r="B593" s="410"/>
      <c r="C593" s="410"/>
      <c r="D593" s="410"/>
      <c r="E593" s="410"/>
      <c r="F593" s="410"/>
      <c r="H593" s="269"/>
      <c r="I593" s="269"/>
      <c r="J593" s="269"/>
      <c r="K593" s="269"/>
      <c r="L593" s="269"/>
      <c r="M593" s="269"/>
      <c r="N593" s="269"/>
      <c r="O593" s="269"/>
      <c r="P593" s="269"/>
      <c r="Q593" s="269"/>
      <c r="R593" s="269"/>
      <c r="S593" s="269"/>
      <c r="T593" s="269"/>
      <c r="U593" s="269"/>
      <c r="V593" s="269"/>
      <c r="W593" s="269"/>
      <c r="X593" s="269"/>
      <c r="Y593" s="269"/>
      <c r="Z593" s="269"/>
      <c r="AA593" s="269"/>
      <c r="AB593" s="269"/>
      <c r="AC593" s="269"/>
      <c r="AD593" s="269"/>
      <c r="AE593" s="269"/>
      <c r="AF593" s="269"/>
      <c r="AG593" s="269"/>
      <c r="AH593" s="269"/>
      <c r="AI593" s="269"/>
      <c r="AJ593" s="269"/>
      <c r="AK593" s="269"/>
      <c r="AL593" s="269"/>
      <c r="AM593" s="269"/>
      <c r="AN593" s="269"/>
      <c r="AO593" s="269"/>
      <c r="AP593" s="269"/>
      <c r="AQ593" s="269"/>
      <c r="AR593" s="269"/>
    </row>
    <row r="594">
      <c r="A594" s="410"/>
      <c r="B594" s="410"/>
      <c r="C594" s="410"/>
      <c r="D594" s="410"/>
      <c r="E594" s="410"/>
      <c r="F594" s="410"/>
      <c r="H594" s="269"/>
      <c r="I594" s="269"/>
      <c r="J594" s="269"/>
      <c r="K594" s="269"/>
      <c r="L594" s="269"/>
      <c r="M594" s="269"/>
      <c r="N594" s="269"/>
      <c r="O594" s="269"/>
      <c r="P594" s="269"/>
      <c r="Q594" s="269"/>
      <c r="R594" s="269"/>
      <c r="S594" s="269"/>
      <c r="T594" s="269"/>
      <c r="U594" s="269"/>
      <c r="V594" s="269"/>
      <c r="W594" s="269"/>
      <c r="X594" s="269"/>
      <c r="Y594" s="269"/>
      <c r="Z594" s="269"/>
      <c r="AA594" s="269"/>
      <c r="AB594" s="269"/>
      <c r="AC594" s="269"/>
      <c r="AD594" s="269"/>
      <c r="AE594" s="269"/>
      <c r="AF594" s="269"/>
      <c r="AG594" s="269"/>
      <c r="AH594" s="269"/>
      <c r="AI594" s="269"/>
      <c r="AJ594" s="269"/>
      <c r="AK594" s="269"/>
      <c r="AL594" s="269"/>
      <c r="AM594" s="269"/>
      <c r="AN594" s="269"/>
      <c r="AO594" s="269"/>
      <c r="AP594" s="269"/>
      <c r="AQ594" s="269"/>
      <c r="AR594" s="269"/>
    </row>
    <row r="595">
      <c r="A595" s="410"/>
      <c r="B595" s="410"/>
      <c r="C595" s="410"/>
      <c r="D595" s="410"/>
      <c r="E595" s="410"/>
      <c r="F595" s="410"/>
      <c r="H595" s="269"/>
      <c r="I595" s="269"/>
      <c r="J595" s="269"/>
      <c r="K595" s="269"/>
      <c r="L595" s="269"/>
      <c r="M595" s="269"/>
      <c r="N595" s="269"/>
      <c r="O595" s="269"/>
      <c r="P595" s="269"/>
      <c r="Q595" s="269"/>
      <c r="R595" s="269"/>
      <c r="S595" s="269"/>
      <c r="T595" s="269"/>
      <c r="U595" s="269"/>
      <c r="V595" s="269"/>
      <c r="W595" s="269"/>
      <c r="X595" s="269"/>
      <c r="Y595" s="269"/>
      <c r="Z595" s="269"/>
      <c r="AA595" s="269"/>
      <c r="AB595" s="269"/>
      <c r="AC595" s="269"/>
      <c r="AD595" s="269"/>
      <c r="AE595" s="269"/>
      <c r="AF595" s="269"/>
      <c r="AG595" s="269"/>
      <c r="AH595" s="269"/>
      <c r="AI595" s="269"/>
      <c r="AJ595" s="269"/>
      <c r="AK595" s="269"/>
      <c r="AL595" s="269"/>
      <c r="AM595" s="269"/>
      <c r="AN595" s="269"/>
      <c r="AO595" s="269"/>
      <c r="AP595" s="269"/>
      <c r="AQ595" s="269"/>
      <c r="AR595" s="269"/>
    </row>
    <row r="596">
      <c r="A596" s="410"/>
      <c r="B596" s="410"/>
      <c r="C596" s="410"/>
      <c r="D596" s="410"/>
      <c r="E596" s="410"/>
      <c r="F596" s="410"/>
      <c r="H596" s="269"/>
      <c r="I596" s="269"/>
      <c r="J596" s="269"/>
      <c r="K596" s="269"/>
      <c r="L596" s="269"/>
      <c r="M596" s="269"/>
      <c r="N596" s="269"/>
      <c r="O596" s="269"/>
      <c r="P596" s="269"/>
      <c r="Q596" s="269"/>
      <c r="R596" s="269"/>
      <c r="S596" s="269"/>
      <c r="T596" s="269"/>
      <c r="U596" s="269"/>
      <c r="V596" s="269"/>
      <c r="W596" s="269"/>
      <c r="X596" s="269"/>
      <c r="Y596" s="269"/>
      <c r="Z596" s="269"/>
      <c r="AA596" s="269"/>
      <c r="AB596" s="269"/>
      <c r="AC596" s="269"/>
      <c r="AD596" s="269"/>
      <c r="AE596" s="269"/>
      <c r="AF596" s="269"/>
      <c r="AG596" s="269"/>
      <c r="AH596" s="269"/>
      <c r="AI596" s="269"/>
      <c r="AJ596" s="269"/>
      <c r="AK596" s="269"/>
      <c r="AL596" s="269"/>
      <c r="AM596" s="269"/>
      <c r="AN596" s="269"/>
      <c r="AO596" s="269"/>
      <c r="AP596" s="269"/>
      <c r="AQ596" s="269"/>
      <c r="AR596" s="269"/>
    </row>
    <row r="597">
      <c r="A597" s="410"/>
      <c r="B597" s="410"/>
      <c r="C597" s="410"/>
      <c r="D597" s="410"/>
      <c r="E597" s="410"/>
      <c r="F597" s="410"/>
      <c r="H597" s="269"/>
      <c r="I597" s="269"/>
      <c r="J597" s="269"/>
      <c r="K597" s="269"/>
      <c r="L597" s="269"/>
      <c r="M597" s="269"/>
      <c r="N597" s="269"/>
      <c r="O597" s="269"/>
      <c r="P597" s="269"/>
      <c r="Q597" s="269"/>
      <c r="R597" s="269"/>
      <c r="S597" s="269"/>
      <c r="T597" s="269"/>
      <c r="U597" s="269"/>
      <c r="V597" s="269"/>
      <c r="W597" s="269"/>
      <c r="X597" s="269"/>
      <c r="Y597" s="269"/>
      <c r="Z597" s="269"/>
      <c r="AA597" s="269"/>
      <c r="AB597" s="269"/>
      <c r="AC597" s="269"/>
      <c r="AD597" s="269"/>
      <c r="AE597" s="269"/>
      <c r="AF597" s="269"/>
      <c r="AG597" s="269"/>
      <c r="AH597" s="269"/>
      <c r="AI597" s="269"/>
      <c r="AJ597" s="269"/>
      <c r="AK597" s="269"/>
      <c r="AL597" s="269"/>
      <c r="AM597" s="269"/>
      <c r="AN597" s="269"/>
      <c r="AO597" s="269"/>
      <c r="AP597" s="269"/>
      <c r="AQ597" s="269"/>
      <c r="AR597" s="269"/>
    </row>
    <row r="598">
      <c r="A598" s="410"/>
      <c r="B598" s="410"/>
      <c r="C598" s="410"/>
      <c r="D598" s="410"/>
      <c r="E598" s="410"/>
      <c r="F598" s="410"/>
      <c r="H598" s="269"/>
      <c r="I598" s="269"/>
      <c r="J598" s="269"/>
      <c r="K598" s="269"/>
      <c r="L598" s="269"/>
      <c r="M598" s="269"/>
      <c r="N598" s="269"/>
      <c r="O598" s="269"/>
      <c r="P598" s="269"/>
      <c r="Q598" s="269"/>
      <c r="R598" s="269"/>
      <c r="S598" s="269"/>
      <c r="T598" s="269"/>
      <c r="U598" s="269"/>
      <c r="V598" s="269"/>
      <c r="W598" s="269"/>
      <c r="X598" s="269"/>
      <c r="Y598" s="269"/>
      <c r="Z598" s="269"/>
      <c r="AA598" s="269"/>
      <c r="AB598" s="269"/>
      <c r="AC598" s="269"/>
      <c r="AD598" s="269"/>
      <c r="AE598" s="269"/>
      <c r="AF598" s="269"/>
      <c r="AG598" s="269"/>
      <c r="AH598" s="269"/>
      <c r="AI598" s="269"/>
      <c r="AJ598" s="269"/>
      <c r="AK598" s="269"/>
      <c r="AL598" s="269"/>
      <c r="AM598" s="269"/>
      <c r="AN598" s="269"/>
      <c r="AO598" s="269"/>
      <c r="AP598" s="269"/>
      <c r="AQ598" s="269"/>
      <c r="AR598" s="269"/>
    </row>
    <row r="599">
      <c r="A599" s="410"/>
      <c r="B599" s="410"/>
      <c r="C599" s="410"/>
      <c r="D599" s="410"/>
      <c r="E599" s="410"/>
      <c r="F599" s="410"/>
      <c r="H599" s="269"/>
      <c r="I599" s="269"/>
      <c r="J599" s="269"/>
      <c r="K599" s="269"/>
      <c r="L599" s="269"/>
      <c r="M599" s="269"/>
      <c r="N599" s="269"/>
      <c r="O599" s="269"/>
      <c r="P599" s="269"/>
      <c r="Q599" s="269"/>
      <c r="R599" s="269"/>
      <c r="S599" s="269"/>
      <c r="T599" s="269"/>
      <c r="U599" s="269"/>
      <c r="V599" s="269"/>
      <c r="W599" s="269"/>
      <c r="X599" s="269"/>
      <c r="Y599" s="269"/>
      <c r="Z599" s="269"/>
      <c r="AA599" s="269"/>
      <c r="AB599" s="269"/>
      <c r="AC599" s="269"/>
      <c r="AD599" s="269"/>
      <c r="AE599" s="269"/>
      <c r="AF599" s="269"/>
      <c r="AG599" s="269"/>
      <c r="AH599" s="269"/>
      <c r="AI599" s="269"/>
      <c r="AJ599" s="269"/>
      <c r="AK599" s="269"/>
      <c r="AL599" s="269"/>
      <c r="AM599" s="269"/>
      <c r="AN599" s="269"/>
      <c r="AO599" s="269"/>
      <c r="AP599" s="269"/>
      <c r="AQ599" s="269"/>
      <c r="AR599" s="269"/>
    </row>
    <row r="600">
      <c r="A600" s="410"/>
      <c r="B600" s="410"/>
      <c r="C600" s="410"/>
      <c r="D600" s="410"/>
      <c r="E600" s="410"/>
      <c r="F600" s="410"/>
      <c r="H600" s="269"/>
      <c r="I600" s="269"/>
      <c r="J600" s="269"/>
      <c r="K600" s="269"/>
      <c r="L600" s="269"/>
      <c r="M600" s="269"/>
      <c r="N600" s="269"/>
      <c r="O600" s="269"/>
      <c r="P600" s="269"/>
      <c r="Q600" s="269"/>
      <c r="R600" s="269"/>
      <c r="S600" s="269"/>
      <c r="T600" s="269"/>
      <c r="U600" s="269"/>
      <c r="V600" s="269"/>
      <c r="W600" s="269"/>
      <c r="X600" s="269"/>
      <c r="Y600" s="269"/>
      <c r="Z600" s="269"/>
      <c r="AA600" s="269"/>
      <c r="AB600" s="269"/>
      <c r="AC600" s="269"/>
      <c r="AD600" s="269"/>
      <c r="AE600" s="269"/>
      <c r="AF600" s="269"/>
      <c r="AG600" s="269"/>
      <c r="AH600" s="269"/>
      <c r="AI600" s="269"/>
      <c r="AJ600" s="269"/>
      <c r="AK600" s="269"/>
      <c r="AL600" s="269"/>
      <c r="AM600" s="269"/>
      <c r="AN600" s="269"/>
      <c r="AO600" s="269"/>
      <c r="AP600" s="269"/>
      <c r="AQ600" s="269"/>
      <c r="AR600" s="269"/>
    </row>
    <row r="601">
      <c r="A601" s="410"/>
      <c r="B601" s="410"/>
      <c r="C601" s="410"/>
      <c r="D601" s="410"/>
      <c r="E601" s="410"/>
      <c r="F601" s="410"/>
      <c r="H601" s="269"/>
      <c r="I601" s="269"/>
      <c r="J601" s="269"/>
      <c r="K601" s="269"/>
      <c r="L601" s="269"/>
      <c r="M601" s="269"/>
      <c r="N601" s="269"/>
      <c r="O601" s="269"/>
      <c r="P601" s="269"/>
      <c r="Q601" s="269"/>
      <c r="R601" s="269"/>
      <c r="S601" s="269"/>
      <c r="T601" s="269"/>
      <c r="U601" s="269"/>
      <c r="V601" s="269"/>
      <c r="W601" s="269"/>
      <c r="X601" s="269"/>
      <c r="Y601" s="269"/>
      <c r="Z601" s="269"/>
      <c r="AA601" s="269"/>
      <c r="AB601" s="269"/>
      <c r="AC601" s="269"/>
      <c r="AD601" s="269"/>
      <c r="AE601" s="269"/>
      <c r="AF601" s="269"/>
      <c r="AG601" s="269"/>
      <c r="AH601" s="269"/>
      <c r="AI601" s="269"/>
      <c r="AJ601" s="269"/>
      <c r="AK601" s="269"/>
      <c r="AL601" s="269"/>
      <c r="AM601" s="269"/>
      <c r="AN601" s="269"/>
      <c r="AO601" s="269"/>
      <c r="AP601" s="269"/>
      <c r="AQ601" s="269"/>
      <c r="AR601" s="269"/>
    </row>
    <row r="602">
      <c r="A602" s="410"/>
      <c r="B602" s="410"/>
      <c r="C602" s="410"/>
      <c r="D602" s="410"/>
      <c r="E602" s="410"/>
      <c r="F602" s="410"/>
      <c r="H602" s="269"/>
      <c r="I602" s="269"/>
      <c r="J602" s="269"/>
      <c r="K602" s="269"/>
      <c r="L602" s="269"/>
      <c r="M602" s="269"/>
      <c r="N602" s="269"/>
      <c r="O602" s="269"/>
      <c r="P602" s="269"/>
      <c r="Q602" s="269"/>
      <c r="R602" s="269"/>
      <c r="S602" s="269"/>
      <c r="T602" s="269"/>
      <c r="U602" s="269"/>
      <c r="V602" s="269"/>
      <c r="W602" s="269"/>
      <c r="X602" s="269"/>
      <c r="Y602" s="269"/>
      <c r="Z602" s="269"/>
      <c r="AA602" s="269"/>
      <c r="AB602" s="269"/>
      <c r="AC602" s="269"/>
      <c r="AD602" s="269"/>
      <c r="AE602" s="269"/>
      <c r="AF602" s="269"/>
      <c r="AG602" s="269"/>
      <c r="AH602" s="269"/>
      <c r="AI602" s="269"/>
      <c r="AJ602" s="269"/>
      <c r="AK602" s="269"/>
      <c r="AL602" s="269"/>
      <c r="AM602" s="269"/>
      <c r="AN602" s="269"/>
      <c r="AO602" s="269"/>
      <c r="AP602" s="269"/>
      <c r="AQ602" s="269"/>
      <c r="AR602" s="269"/>
    </row>
    <row r="603">
      <c r="A603" s="410"/>
      <c r="B603" s="410"/>
      <c r="C603" s="410"/>
      <c r="D603" s="410"/>
      <c r="E603" s="410"/>
      <c r="F603" s="410"/>
      <c r="H603" s="269"/>
      <c r="I603" s="269"/>
      <c r="J603" s="269"/>
      <c r="K603" s="269"/>
      <c r="L603" s="269"/>
      <c r="M603" s="269"/>
      <c r="N603" s="269"/>
      <c r="O603" s="269"/>
      <c r="P603" s="269"/>
      <c r="Q603" s="269"/>
      <c r="R603" s="269"/>
      <c r="S603" s="269"/>
      <c r="T603" s="269"/>
      <c r="U603" s="269"/>
      <c r="V603" s="269"/>
      <c r="W603" s="269"/>
      <c r="X603" s="269"/>
      <c r="Y603" s="269"/>
      <c r="Z603" s="269"/>
      <c r="AA603" s="269"/>
      <c r="AB603" s="269"/>
      <c r="AC603" s="269"/>
      <c r="AD603" s="269"/>
      <c r="AE603" s="269"/>
      <c r="AF603" s="269"/>
      <c r="AG603" s="269"/>
      <c r="AH603" s="269"/>
      <c r="AI603" s="269"/>
      <c r="AJ603" s="269"/>
      <c r="AK603" s="269"/>
      <c r="AL603" s="269"/>
      <c r="AM603" s="269"/>
      <c r="AN603" s="269"/>
      <c r="AO603" s="269"/>
      <c r="AP603" s="269"/>
      <c r="AQ603" s="269"/>
      <c r="AR603" s="269"/>
    </row>
    <row r="604">
      <c r="A604" s="410"/>
      <c r="B604" s="410"/>
      <c r="C604" s="410"/>
      <c r="D604" s="410"/>
      <c r="E604" s="410"/>
      <c r="F604" s="410"/>
      <c r="H604" s="269"/>
      <c r="I604" s="269"/>
      <c r="J604" s="269"/>
      <c r="K604" s="269"/>
      <c r="L604" s="269"/>
      <c r="M604" s="269"/>
      <c r="N604" s="269"/>
      <c r="O604" s="269"/>
      <c r="P604" s="269"/>
      <c r="Q604" s="269"/>
      <c r="R604" s="269"/>
      <c r="S604" s="269"/>
      <c r="T604" s="269"/>
      <c r="U604" s="269"/>
      <c r="V604" s="269"/>
      <c r="W604" s="269"/>
      <c r="X604" s="269"/>
      <c r="Y604" s="269"/>
      <c r="Z604" s="269"/>
      <c r="AA604" s="269"/>
      <c r="AB604" s="269"/>
      <c r="AC604" s="269"/>
      <c r="AD604" s="269"/>
      <c r="AE604" s="269"/>
      <c r="AF604" s="269"/>
      <c r="AG604" s="269"/>
      <c r="AH604" s="269"/>
      <c r="AI604" s="269"/>
      <c r="AJ604" s="269"/>
      <c r="AK604" s="269"/>
      <c r="AL604" s="269"/>
      <c r="AM604" s="269"/>
      <c r="AN604" s="269"/>
      <c r="AO604" s="269"/>
      <c r="AP604" s="269"/>
      <c r="AQ604" s="269"/>
      <c r="AR604" s="269"/>
    </row>
    <row r="605">
      <c r="A605" s="410"/>
      <c r="B605" s="410"/>
      <c r="C605" s="410"/>
      <c r="D605" s="410"/>
      <c r="E605" s="410"/>
      <c r="F605" s="410"/>
      <c r="H605" s="269"/>
      <c r="I605" s="269"/>
      <c r="J605" s="269"/>
      <c r="K605" s="269"/>
      <c r="L605" s="269"/>
      <c r="M605" s="269"/>
      <c r="N605" s="269"/>
      <c r="O605" s="269"/>
      <c r="P605" s="269"/>
      <c r="Q605" s="269"/>
      <c r="R605" s="269"/>
      <c r="S605" s="269"/>
      <c r="T605" s="269"/>
      <c r="U605" s="269"/>
      <c r="V605" s="269"/>
      <c r="W605" s="269"/>
      <c r="X605" s="269"/>
      <c r="Y605" s="269"/>
      <c r="Z605" s="269"/>
      <c r="AA605" s="269"/>
      <c r="AB605" s="269"/>
      <c r="AC605" s="269"/>
      <c r="AD605" s="269"/>
      <c r="AE605" s="269"/>
      <c r="AF605" s="269"/>
      <c r="AG605" s="269"/>
      <c r="AH605" s="269"/>
      <c r="AI605" s="269"/>
      <c r="AJ605" s="269"/>
      <c r="AK605" s="269"/>
      <c r="AL605" s="269"/>
      <c r="AM605" s="269"/>
      <c r="AN605" s="269"/>
      <c r="AO605" s="269"/>
      <c r="AP605" s="269"/>
      <c r="AQ605" s="269"/>
      <c r="AR605" s="269"/>
    </row>
    <row r="606">
      <c r="A606" s="410"/>
      <c r="B606" s="410"/>
      <c r="C606" s="410"/>
      <c r="D606" s="410"/>
      <c r="E606" s="410"/>
      <c r="F606" s="410"/>
      <c r="H606" s="269"/>
      <c r="I606" s="269"/>
      <c r="J606" s="269"/>
      <c r="K606" s="269"/>
      <c r="L606" s="269"/>
      <c r="M606" s="269"/>
      <c r="N606" s="269"/>
      <c r="O606" s="269"/>
      <c r="P606" s="269"/>
      <c r="Q606" s="269"/>
      <c r="R606" s="269"/>
      <c r="S606" s="269"/>
      <c r="T606" s="269"/>
      <c r="U606" s="269"/>
      <c r="V606" s="269"/>
      <c r="W606" s="269"/>
      <c r="X606" s="269"/>
      <c r="Y606" s="269"/>
      <c r="Z606" s="269"/>
      <c r="AA606" s="269"/>
      <c r="AB606" s="269"/>
      <c r="AC606" s="269"/>
      <c r="AD606" s="269"/>
      <c r="AE606" s="269"/>
      <c r="AF606" s="269"/>
      <c r="AG606" s="269"/>
      <c r="AH606" s="269"/>
      <c r="AI606" s="269"/>
      <c r="AJ606" s="269"/>
      <c r="AK606" s="269"/>
      <c r="AL606" s="269"/>
      <c r="AM606" s="269"/>
      <c r="AN606" s="269"/>
      <c r="AO606" s="269"/>
      <c r="AP606" s="269"/>
      <c r="AQ606" s="269"/>
      <c r="AR606" s="269"/>
    </row>
    <row r="607">
      <c r="A607" s="410"/>
      <c r="B607" s="410"/>
      <c r="C607" s="410"/>
      <c r="D607" s="410"/>
      <c r="E607" s="410"/>
      <c r="F607" s="410"/>
      <c r="H607" s="269"/>
      <c r="I607" s="269"/>
      <c r="J607" s="269"/>
      <c r="K607" s="269"/>
      <c r="L607" s="269"/>
      <c r="M607" s="269"/>
      <c r="N607" s="269"/>
      <c r="O607" s="269"/>
      <c r="P607" s="269"/>
      <c r="Q607" s="269"/>
      <c r="R607" s="269"/>
      <c r="S607" s="269"/>
      <c r="T607" s="269"/>
      <c r="U607" s="269"/>
      <c r="V607" s="269"/>
      <c r="W607" s="269"/>
      <c r="X607" s="269"/>
      <c r="Y607" s="269"/>
      <c r="Z607" s="269"/>
      <c r="AA607" s="269"/>
      <c r="AB607" s="269"/>
      <c r="AC607" s="269"/>
      <c r="AD607" s="269"/>
      <c r="AE607" s="269"/>
      <c r="AF607" s="269"/>
      <c r="AG607" s="269"/>
      <c r="AH607" s="269"/>
      <c r="AI607" s="269"/>
      <c r="AJ607" s="269"/>
      <c r="AK607" s="269"/>
      <c r="AL607" s="269"/>
      <c r="AM607" s="269"/>
      <c r="AN607" s="269"/>
      <c r="AO607" s="269"/>
      <c r="AP607" s="269"/>
      <c r="AQ607" s="269"/>
      <c r="AR607" s="269"/>
    </row>
    <row r="608">
      <c r="A608" s="410"/>
      <c r="B608" s="410"/>
      <c r="C608" s="410"/>
      <c r="D608" s="410"/>
      <c r="E608" s="410"/>
      <c r="F608" s="410"/>
      <c r="H608" s="269"/>
      <c r="I608" s="269"/>
      <c r="J608" s="269"/>
      <c r="K608" s="269"/>
      <c r="L608" s="269"/>
      <c r="M608" s="269"/>
      <c r="N608" s="269"/>
      <c r="O608" s="269"/>
      <c r="P608" s="269"/>
      <c r="Q608" s="269"/>
      <c r="R608" s="269"/>
      <c r="S608" s="269"/>
      <c r="T608" s="269"/>
      <c r="U608" s="269"/>
      <c r="V608" s="269"/>
      <c r="W608" s="269"/>
      <c r="X608" s="269"/>
      <c r="Y608" s="269"/>
      <c r="Z608" s="269"/>
      <c r="AA608" s="269"/>
      <c r="AB608" s="269"/>
      <c r="AC608" s="269"/>
      <c r="AD608" s="269"/>
      <c r="AE608" s="269"/>
      <c r="AF608" s="269"/>
      <c r="AG608" s="269"/>
      <c r="AH608" s="269"/>
      <c r="AI608" s="269"/>
      <c r="AJ608" s="269"/>
      <c r="AK608" s="269"/>
      <c r="AL608" s="269"/>
      <c r="AM608" s="269"/>
      <c r="AN608" s="269"/>
      <c r="AO608" s="269"/>
      <c r="AP608" s="269"/>
      <c r="AQ608" s="269"/>
      <c r="AR608" s="269"/>
    </row>
    <row r="609">
      <c r="A609" s="410"/>
      <c r="B609" s="410"/>
      <c r="C609" s="410"/>
      <c r="D609" s="410"/>
      <c r="E609" s="410"/>
      <c r="F609" s="410"/>
      <c r="H609" s="269"/>
      <c r="I609" s="269"/>
      <c r="J609" s="269"/>
      <c r="K609" s="269"/>
      <c r="L609" s="269"/>
      <c r="M609" s="269"/>
      <c r="N609" s="269"/>
      <c r="O609" s="269"/>
      <c r="P609" s="269"/>
      <c r="Q609" s="269"/>
      <c r="R609" s="269"/>
      <c r="S609" s="269"/>
      <c r="T609" s="269"/>
      <c r="U609" s="269"/>
      <c r="V609" s="269"/>
      <c r="W609" s="269"/>
      <c r="X609" s="269"/>
      <c r="Y609" s="269"/>
      <c r="Z609" s="269"/>
      <c r="AA609" s="269"/>
      <c r="AB609" s="269"/>
      <c r="AC609" s="269"/>
      <c r="AD609" s="269"/>
      <c r="AE609" s="269"/>
      <c r="AF609" s="269"/>
      <c r="AG609" s="269"/>
      <c r="AH609" s="269"/>
      <c r="AI609" s="269"/>
      <c r="AJ609" s="269"/>
      <c r="AK609" s="269"/>
      <c r="AL609" s="269"/>
      <c r="AM609" s="269"/>
      <c r="AN609" s="269"/>
      <c r="AO609" s="269"/>
      <c r="AP609" s="269"/>
      <c r="AQ609" s="269"/>
      <c r="AR609" s="269"/>
    </row>
    <row r="610">
      <c r="A610" s="410"/>
      <c r="B610" s="410"/>
      <c r="C610" s="410"/>
      <c r="D610" s="410"/>
      <c r="E610" s="410"/>
      <c r="F610" s="410"/>
      <c r="H610" s="269"/>
      <c r="I610" s="269"/>
      <c r="J610" s="269"/>
      <c r="K610" s="269"/>
      <c r="L610" s="269"/>
      <c r="M610" s="269"/>
      <c r="N610" s="269"/>
      <c r="O610" s="269"/>
      <c r="P610" s="269"/>
      <c r="Q610" s="269"/>
      <c r="R610" s="269"/>
      <c r="S610" s="269"/>
      <c r="T610" s="269"/>
      <c r="U610" s="269"/>
      <c r="V610" s="269"/>
      <c r="W610" s="269"/>
      <c r="X610" s="269"/>
      <c r="Y610" s="269"/>
      <c r="Z610" s="269"/>
      <c r="AA610" s="269"/>
      <c r="AB610" s="269"/>
      <c r="AC610" s="269"/>
      <c r="AD610" s="269"/>
      <c r="AE610" s="269"/>
      <c r="AF610" s="269"/>
      <c r="AG610" s="269"/>
      <c r="AH610" s="269"/>
      <c r="AI610" s="269"/>
      <c r="AJ610" s="269"/>
      <c r="AK610" s="269"/>
      <c r="AL610" s="269"/>
      <c r="AM610" s="269"/>
      <c r="AN610" s="269"/>
      <c r="AO610" s="269"/>
      <c r="AP610" s="269"/>
      <c r="AQ610" s="269"/>
      <c r="AR610" s="269"/>
    </row>
    <row r="611">
      <c r="A611" s="410"/>
      <c r="B611" s="410"/>
      <c r="C611" s="410"/>
      <c r="D611" s="410"/>
      <c r="E611" s="410"/>
      <c r="F611" s="410"/>
      <c r="H611" s="269"/>
      <c r="I611" s="269"/>
      <c r="J611" s="269"/>
      <c r="K611" s="269"/>
      <c r="L611" s="269"/>
      <c r="M611" s="269"/>
      <c r="N611" s="269"/>
      <c r="O611" s="269"/>
      <c r="P611" s="269"/>
      <c r="Q611" s="269"/>
      <c r="R611" s="269"/>
      <c r="S611" s="269"/>
      <c r="T611" s="269"/>
      <c r="U611" s="269"/>
      <c r="V611" s="269"/>
      <c r="W611" s="269"/>
      <c r="X611" s="269"/>
      <c r="Y611" s="269"/>
      <c r="Z611" s="269"/>
      <c r="AA611" s="269"/>
      <c r="AB611" s="269"/>
      <c r="AC611" s="269"/>
      <c r="AD611" s="269"/>
      <c r="AE611" s="269"/>
      <c r="AF611" s="269"/>
      <c r="AG611" s="269"/>
      <c r="AH611" s="269"/>
      <c r="AI611" s="269"/>
      <c r="AJ611" s="269"/>
      <c r="AK611" s="269"/>
      <c r="AL611" s="269"/>
      <c r="AM611" s="269"/>
      <c r="AN611" s="269"/>
      <c r="AO611" s="269"/>
      <c r="AP611" s="269"/>
      <c r="AQ611" s="269"/>
      <c r="AR611" s="269"/>
    </row>
    <row r="612">
      <c r="A612" s="410"/>
      <c r="B612" s="410"/>
      <c r="C612" s="410"/>
      <c r="D612" s="410"/>
      <c r="E612" s="410"/>
      <c r="F612" s="410"/>
      <c r="H612" s="269"/>
      <c r="I612" s="269"/>
      <c r="J612" s="269"/>
      <c r="K612" s="269"/>
      <c r="L612" s="269"/>
      <c r="M612" s="269"/>
      <c r="N612" s="269"/>
      <c r="O612" s="269"/>
      <c r="P612" s="269"/>
      <c r="Q612" s="269"/>
      <c r="R612" s="269"/>
      <c r="S612" s="269"/>
      <c r="T612" s="269"/>
      <c r="U612" s="269"/>
      <c r="V612" s="269"/>
      <c r="W612" s="269"/>
      <c r="X612" s="269"/>
      <c r="Y612" s="269"/>
      <c r="Z612" s="269"/>
      <c r="AA612" s="269"/>
      <c r="AB612" s="269"/>
      <c r="AC612" s="269"/>
      <c r="AD612" s="269"/>
      <c r="AE612" s="269"/>
      <c r="AF612" s="269"/>
      <c r="AG612" s="269"/>
      <c r="AH612" s="269"/>
      <c r="AI612" s="269"/>
      <c r="AJ612" s="269"/>
      <c r="AK612" s="269"/>
      <c r="AL612" s="269"/>
      <c r="AM612" s="269"/>
      <c r="AN612" s="269"/>
      <c r="AO612" s="269"/>
      <c r="AP612" s="269"/>
      <c r="AQ612" s="269"/>
      <c r="AR612" s="269"/>
    </row>
    <row r="613">
      <c r="A613" s="410"/>
      <c r="B613" s="410"/>
      <c r="C613" s="410"/>
      <c r="D613" s="410"/>
      <c r="E613" s="410"/>
      <c r="F613" s="410"/>
      <c r="H613" s="269"/>
      <c r="I613" s="269"/>
      <c r="J613" s="269"/>
      <c r="K613" s="269"/>
      <c r="L613" s="269"/>
      <c r="M613" s="269"/>
      <c r="N613" s="269"/>
      <c r="O613" s="269"/>
      <c r="P613" s="269"/>
      <c r="Q613" s="269"/>
      <c r="R613" s="269"/>
      <c r="S613" s="269"/>
      <c r="T613" s="269"/>
      <c r="U613" s="269"/>
      <c r="V613" s="269"/>
      <c r="W613" s="269"/>
      <c r="X613" s="269"/>
      <c r="Y613" s="269"/>
      <c r="Z613" s="269"/>
      <c r="AA613" s="269"/>
      <c r="AB613" s="269"/>
      <c r="AC613" s="269"/>
      <c r="AD613" s="269"/>
      <c r="AE613" s="269"/>
      <c r="AF613" s="269"/>
      <c r="AG613" s="269"/>
      <c r="AH613" s="269"/>
      <c r="AI613" s="269"/>
      <c r="AJ613" s="269"/>
      <c r="AK613" s="269"/>
      <c r="AL613" s="269"/>
      <c r="AM613" s="269"/>
      <c r="AN613" s="269"/>
      <c r="AO613" s="269"/>
      <c r="AP613" s="269"/>
      <c r="AQ613" s="269"/>
      <c r="AR613" s="269"/>
    </row>
    <row r="614">
      <c r="A614" s="410"/>
      <c r="B614" s="410"/>
      <c r="C614" s="410"/>
      <c r="D614" s="410"/>
      <c r="E614" s="410"/>
      <c r="F614" s="410"/>
      <c r="H614" s="269"/>
      <c r="I614" s="269"/>
      <c r="J614" s="269"/>
      <c r="K614" s="269"/>
      <c r="L614" s="269"/>
      <c r="M614" s="269"/>
      <c r="N614" s="269"/>
      <c r="O614" s="269"/>
      <c r="P614" s="269"/>
      <c r="Q614" s="269"/>
      <c r="R614" s="269"/>
      <c r="S614" s="269"/>
      <c r="T614" s="269"/>
      <c r="U614" s="269"/>
      <c r="V614" s="269"/>
      <c r="W614" s="269"/>
      <c r="X614" s="269"/>
      <c r="Y614" s="269"/>
      <c r="Z614" s="269"/>
      <c r="AA614" s="269"/>
      <c r="AB614" s="269"/>
      <c r="AC614" s="269"/>
      <c r="AD614" s="269"/>
      <c r="AE614" s="269"/>
      <c r="AF614" s="269"/>
      <c r="AG614" s="269"/>
      <c r="AH614" s="269"/>
      <c r="AI614" s="269"/>
      <c r="AJ614" s="269"/>
      <c r="AK614" s="269"/>
      <c r="AL614" s="269"/>
      <c r="AM614" s="269"/>
      <c r="AN614" s="269"/>
      <c r="AO614" s="269"/>
      <c r="AP614" s="269"/>
      <c r="AQ614" s="269"/>
      <c r="AR614" s="269"/>
    </row>
    <row r="615">
      <c r="A615" s="410"/>
      <c r="B615" s="410"/>
      <c r="C615" s="410"/>
      <c r="D615" s="410"/>
      <c r="E615" s="410"/>
      <c r="F615" s="410"/>
      <c r="H615" s="269"/>
      <c r="I615" s="269"/>
      <c r="J615" s="269"/>
      <c r="K615" s="269"/>
      <c r="L615" s="269"/>
      <c r="M615" s="269"/>
      <c r="N615" s="269"/>
      <c r="O615" s="269"/>
      <c r="P615" s="269"/>
      <c r="Q615" s="269"/>
      <c r="R615" s="269"/>
      <c r="S615" s="269"/>
      <c r="T615" s="269"/>
      <c r="U615" s="269"/>
      <c r="V615" s="269"/>
      <c r="W615" s="269"/>
      <c r="X615" s="269"/>
      <c r="Y615" s="269"/>
      <c r="Z615" s="269"/>
      <c r="AA615" s="269"/>
      <c r="AB615" s="269"/>
      <c r="AC615" s="269"/>
      <c r="AD615" s="269"/>
      <c r="AE615" s="269"/>
      <c r="AF615" s="269"/>
      <c r="AG615" s="269"/>
      <c r="AH615" s="269"/>
      <c r="AI615" s="269"/>
      <c r="AJ615" s="269"/>
      <c r="AK615" s="269"/>
      <c r="AL615" s="269"/>
      <c r="AM615" s="269"/>
      <c r="AN615" s="269"/>
      <c r="AO615" s="269"/>
      <c r="AP615" s="269"/>
      <c r="AQ615" s="269"/>
      <c r="AR615" s="269"/>
    </row>
    <row r="616">
      <c r="A616" s="410"/>
      <c r="B616" s="410"/>
      <c r="C616" s="410"/>
      <c r="D616" s="410"/>
      <c r="E616" s="410"/>
      <c r="F616" s="410"/>
      <c r="H616" s="269"/>
      <c r="I616" s="269"/>
      <c r="J616" s="269"/>
      <c r="K616" s="269"/>
      <c r="L616" s="269"/>
      <c r="M616" s="269"/>
      <c r="N616" s="269"/>
      <c r="O616" s="269"/>
      <c r="P616" s="269"/>
      <c r="Q616" s="269"/>
      <c r="R616" s="269"/>
      <c r="S616" s="269"/>
      <c r="T616" s="269"/>
      <c r="U616" s="269"/>
      <c r="V616" s="269"/>
      <c r="W616" s="269"/>
      <c r="X616" s="269"/>
      <c r="Y616" s="269"/>
      <c r="Z616" s="269"/>
      <c r="AA616" s="269"/>
      <c r="AB616" s="269"/>
      <c r="AC616" s="269"/>
      <c r="AD616" s="269"/>
      <c r="AE616" s="269"/>
      <c r="AF616" s="269"/>
      <c r="AG616" s="269"/>
      <c r="AH616" s="269"/>
      <c r="AI616" s="269"/>
      <c r="AJ616" s="269"/>
      <c r="AK616" s="269"/>
      <c r="AL616" s="269"/>
      <c r="AM616" s="269"/>
      <c r="AN616" s="269"/>
      <c r="AO616" s="269"/>
      <c r="AP616" s="269"/>
      <c r="AQ616" s="269"/>
      <c r="AR616" s="269"/>
    </row>
    <row r="617">
      <c r="A617" s="410"/>
      <c r="B617" s="410"/>
      <c r="C617" s="410"/>
      <c r="D617" s="410"/>
      <c r="E617" s="410"/>
      <c r="F617" s="410"/>
      <c r="H617" s="269"/>
      <c r="I617" s="269"/>
      <c r="J617" s="269"/>
      <c r="K617" s="269"/>
      <c r="L617" s="269"/>
      <c r="M617" s="269"/>
      <c r="N617" s="269"/>
      <c r="O617" s="269"/>
      <c r="P617" s="269"/>
      <c r="Q617" s="269"/>
      <c r="R617" s="269"/>
      <c r="S617" s="269"/>
      <c r="T617" s="269"/>
      <c r="U617" s="269"/>
      <c r="V617" s="269"/>
      <c r="W617" s="269"/>
      <c r="X617" s="269"/>
      <c r="Y617" s="269"/>
      <c r="Z617" s="269"/>
      <c r="AA617" s="269"/>
      <c r="AB617" s="269"/>
      <c r="AC617" s="269"/>
      <c r="AD617" s="269"/>
      <c r="AE617" s="269"/>
      <c r="AF617" s="269"/>
      <c r="AG617" s="269"/>
      <c r="AH617" s="269"/>
      <c r="AI617" s="269"/>
      <c r="AJ617" s="269"/>
      <c r="AK617" s="269"/>
      <c r="AL617" s="269"/>
      <c r="AM617" s="269"/>
      <c r="AN617" s="269"/>
      <c r="AO617" s="269"/>
      <c r="AP617" s="269"/>
      <c r="AQ617" s="269"/>
      <c r="AR617" s="269"/>
    </row>
    <row r="618">
      <c r="A618" s="410"/>
      <c r="B618" s="410"/>
      <c r="C618" s="410"/>
      <c r="D618" s="410"/>
      <c r="E618" s="410"/>
      <c r="F618" s="410"/>
      <c r="H618" s="269"/>
      <c r="I618" s="269"/>
      <c r="J618" s="269"/>
      <c r="K618" s="269"/>
      <c r="L618" s="269"/>
      <c r="M618" s="269"/>
      <c r="N618" s="269"/>
      <c r="O618" s="269"/>
      <c r="P618" s="269"/>
      <c r="Q618" s="269"/>
      <c r="R618" s="269"/>
      <c r="S618" s="269"/>
      <c r="T618" s="269"/>
      <c r="U618" s="269"/>
      <c r="V618" s="269"/>
      <c r="W618" s="269"/>
      <c r="X618" s="269"/>
      <c r="Y618" s="269"/>
      <c r="Z618" s="269"/>
      <c r="AA618" s="269"/>
      <c r="AB618" s="269"/>
      <c r="AC618" s="269"/>
      <c r="AD618" s="269"/>
      <c r="AE618" s="269"/>
      <c r="AF618" s="269"/>
      <c r="AG618" s="269"/>
      <c r="AH618" s="269"/>
      <c r="AI618" s="269"/>
      <c r="AJ618" s="269"/>
      <c r="AK618" s="269"/>
      <c r="AL618" s="269"/>
      <c r="AM618" s="269"/>
      <c r="AN618" s="269"/>
      <c r="AO618" s="269"/>
      <c r="AP618" s="269"/>
      <c r="AQ618" s="269"/>
      <c r="AR618" s="269"/>
    </row>
    <row r="619">
      <c r="A619" s="410"/>
      <c r="B619" s="410"/>
      <c r="C619" s="410"/>
      <c r="D619" s="410"/>
      <c r="E619" s="410"/>
      <c r="F619" s="410"/>
      <c r="H619" s="269"/>
      <c r="I619" s="269"/>
      <c r="J619" s="269"/>
      <c r="K619" s="269"/>
      <c r="L619" s="269"/>
      <c r="M619" s="269"/>
      <c r="N619" s="269"/>
      <c r="O619" s="269"/>
      <c r="P619" s="269"/>
      <c r="Q619" s="269"/>
      <c r="R619" s="269"/>
      <c r="S619" s="269"/>
      <c r="T619" s="269"/>
      <c r="U619" s="269"/>
      <c r="V619" s="269"/>
      <c r="W619" s="269"/>
      <c r="X619" s="269"/>
      <c r="Y619" s="269"/>
      <c r="Z619" s="269"/>
      <c r="AA619" s="269"/>
      <c r="AB619" s="269"/>
      <c r="AC619" s="269"/>
      <c r="AD619" s="269"/>
      <c r="AE619" s="269"/>
      <c r="AF619" s="269"/>
      <c r="AG619" s="269"/>
      <c r="AH619" s="269"/>
      <c r="AI619" s="269"/>
      <c r="AJ619" s="269"/>
      <c r="AK619" s="269"/>
      <c r="AL619" s="269"/>
      <c r="AM619" s="269"/>
      <c r="AN619" s="269"/>
      <c r="AO619" s="269"/>
      <c r="AP619" s="269"/>
      <c r="AQ619" s="269"/>
      <c r="AR619" s="269"/>
    </row>
    <row r="620">
      <c r="A620" s="410"/>
      <c r="B620" s="410"/>
      <c r="C620" s="410"/>
      <c r="D620" s="410"/>
      <c r="E620" s="410"/>
      <c r="F620" s="410"/>
      <c r="H620" s="269"/>
      <c r="I620" s="269"/>
      <c r="J620" s="269"/>
      <c r="K620" s="269"/>
      <c r="L620" s="269"/>
      <c r="M620" s="269"/>
      <c r="N620" s="269"/>
      <c r="O620" s="269"/>
      <c r="P620" s="269"/>
      <c r="Q620" s="269"/>
      <c r="R620" s="269"/>
      <c r="S620" s="269"/>
      <c r="T620" s="269"/>
      <c r="U620" s="269"/>
      <c r="V620" s="269"/>
      <c r="W620" s="269"/>
      <c r="X620" s="269"/>
      <c r="Y620" s="269"/>
      <c r="Z620" s="269"/>
      <c r="AA620" s="269"/>
      <c r="AB620" s="269"/>
      <c r="AC620" s="269"/>
      <c r="AD620" s="269"/>
      <c r="AE620" s="269"/>
      <c r="AF620" s="269"/>
      <c r="AG620" s="269"/>
      <c r="AH620" s="269"/>
      <c r="AI620" s="269"/>
      <c r="AJ620" s="269"/>
      <c r="AK620" s="269"/>
      <c r="AL620" s="269"/>
      <c r="AM620" s="269"/>
      <c r="AN620" s="269"/>
      <c r="AO620" s="269"/>
      <c r="AP620" s="269"/>
      <c r="AQ620" s="269"/>
      <c r="AR620" s="269"/>
    </row>
    <row r="621">
      <c r="A621" s="410"/>
      <c r="B621" s="410"/>
      <c r="C621" s="410"/>
      <c r="D621" s="410"/>
      <c r="E621" s="410"/>
      <c r="F621" s="410"/>
      <c r="H621" s="269"/>
      <c r="I621" s="269"/>
      <c r="J621" s="269"/>
      <c r="K621" s="269"/>
      <c r="L621" s="269"/>
      <c r="M621" s="269"/>
      <c r="N621" s="269"/>
      <c r="O621" s="269"/>
      <c r="P621" s="269"/>
      <c r="Q621" s="269"/>
      <c r="R621" s="269"/>
      <c r="S621" s="269"/>
      <c r="T621" s="269"/>
      <c r="U621" s="269"/>
      <c r="V621" s="269"/>
      <c r="W621" s="269"/>
      <c r="X621" s="269"/>
      <c r="Y621" s="269"/>
      <c r="Z621" s="269"/>
      <c r="AA621" s="269"/>
      <c r="AB621" s="269"/>
      <c r="AC621" s="269"/>
      <c r="AD621" s="269"/>
      <c r="AE621" s="269"/>
      <c r="AF621" s="269"/>
      <c r="AG621" s="269"/>
      <c r="AH621" s="269"/>
      <c r="AI621" s="269"/>
      <c r="AJ621" s="269"/>
      <c r="AK621" s="269"/>
      <c r="AL621" s="269"/>
      <c r="AM621" s="269"/>
      <c r="AN621" s="269"/>
      <c r="AO621" s="269"/>
      <c r="AP621" s="269"/>
      <c r="AQ621" s="269"/>
      <c r="AR621" s="269"/>
    </row>
    <row r="622">
      <c r="A622" s="410"/>
      <c r="B622" s="410"/>
      <c r="C622" s="410"/>
      <c r="D622" s="410"/>
      <c r="E622" s="410"/>
      <c r="F622" s="410"/>
      <c r="H622" s="269"/>
      <c r="I622" s="269"/>
      <c r="J622" s="269"/>
      <c r="K622" s="269"/>
      <c r="L622" s="269"/>
      <c r="M622" s="269"/>
      <c r="N622" s="269"/>
      <c r="O622" s="269"/>
      <c r="P622" s="269"/>
      <c r="Q622" s="269"/>
      <c r="R622" s="269"/>
      <c r="S622" s="269"/>
      <c r="T622" s="269"/>
      <c r="U622" s="269"/>
      <c r="V622" s="269"/>
      <c r="W622" s="269"/>
      <c r="X622" s="269"/>
      <c r="Y622" s="269"/>
      <c r="Z622" s="269"/>
      <c r="AA622" s="269"/>
      <c r="AB622" s="269"/>
      <c r="AC622" s="269"/>
      <c r="AD622" s="269"/>
      <c r="AE622" s="269"/>
      <c r="AF622" s="269"/>
      <c r="AG622" s="269"/>
      <c r="AH622" s="269"/>
      <c r="AI622" s="269"/>
      <c r="AJ622" s="269"/>
      <c r="AK622" s="269"/>
      <c r="AL622" s="269"/>
      <c r="AM622" s="269"/>
      <c r="AN622" s="269"/>
      <c r="AO622" s="269"/>
      <c r="AP622" s="269"/>
      <c r="AQ622" s="269"/>
      <c r="AR622" s="269"/>
    </row>
    <row r="623">
      <c r="A623" s="410"/>
      <c r="B623" s="410"/>
      <c r="C623" s="410"/>
      <c r="D623" s="410"/>
      <c r="E623" s="410"/>
      <c r="F623" s="410"/>
      <c r="H623" s="269"/>
      <c r="I623" s="269"/>
      <c r="J623" s="269"/>
      <c r="K623" s="269"/>
      <c r="L623" s="269"/>
      <c r="M623" s="269"/>
      <c r="N623" s="269"/>
      <c r="O623" s="269"/>
      <c r="P623" s="269"/>
      <c r="Q623" s="269"/>
      <c r="R623" s="269"/>
      <c r="S623" s="269"/>
      <c r="T623" s="269"/>
      <c r="U623" s="269"/>
      <c r="V623" s="269"/>
      <c r="W623" s="269"/>
      <c r="X623" s="269"/>
      <c r="Y623" s="269"/>
      <c r="Z623" s="269"/>
      <c r="AA623" s="269"/>
      <c r="AB623" s="269"/>
      <c r="AC623" s="269"/>
      <c r="AD623" s="269"/>
      <c r="AE623" s="269"/>
      <c r="AF623" s="269"/>
      <c r="AG623" s="269"/>
      <c r="AH623" s="269"/>
      <c r="AI623" s="269"/>
      <c r="AJ623" s="269"/>
      <c r="AK623" s="269"/>
      <c r="AL623" s="269"/>
      <c r="AM623" s="269"/>
      <c r="AN623" s="269"/>
      <c r="AO623" s="269"/>
      <c r="AP623" s="269"/>
      <c r="AQ623" s="269"/>
      <c r="AR623" s="269"/>
    </row>
    <row r="624">
      <c r="A624" s="410"/>
      <c r="B624" s="410"/>
      <c r="C624" s="410"/>
      <c r="D624" s="410"/>
      <c r="E624" s="410"/>
      <c r="F624" s="410"/>
      <c r="H624" s="269"/>
      <c r="I624" s="269"/>
      <c r="J624" s="269"/>
      <c r="K624" s="269"/>
      <c r="L624" s="269"/>
      <c r="M624" s="269"/>
      <c r="N624" s="269"/>
      <c r="O624" s="269"/>
      <c r="P624" s="269"/>
      <c r="Q624" s="269"/>
      <c r="R624" s="269"/>
      <c r="S624" s="269"/>
      <c r="T624" s="269"/>
      <c r="U624" s="269"/>
      <c r="V624" s="269"/>
      <c r="W624" s="269"/>
      <c r="X624" s="269"/>
      <c r="Y624" s="269"/>
      <c r="Z624" s="269"/>
      <c r="AA624" s="269"/>
      <c r="AB624" s="269"/>
      <c r="AC624" s="269"/>
      <c r="AD624" s="269"/>
      <c r="AE624" s="269"/>
      <c r="AF624" s="269"/>
      <c r="AG624" s="269"/>
      <c r="AH624" s="269"/>
      <c r="AI624" s="269"/>
      <c r="AJ624" s="269"/>
      <c r="AK624" s="269"/>
      <c r="AL624" s="269"/>
      <c r="AM624" s="269"/>
      <c r="AN624" s="269"/>
      <c r="AO624" s="269"/>
      <c r="AP624" s="269"/>
      <c r="AQ624" s="269"/>
      <c r="AR624" s="269"/>
    </row>
    <row r="625">
      <c r="A625" s="410"/>
      <c r="B625" s="410"/>
      <c r="C625" s="410"/>
      <c r="D625" s="410"/>
      <c r="E625" s="410"/>
      <c r="F625" s="410"/>
      <c r="H625" s="269"/>
      <c r="I625" s="269"/>
      <c r="J625" s="269"/>
      <c r="K625" s="269"/>
      <c r="L625" s="269"/>
      <c r="M625" s="269"/>
      <c r="N625" s="269"/>
      <c r="O625" s="269"/>
      <c r="P625" s="269"/>
      <c r="Q625" s="269"/>
      <c r="R625" s="269"/>
      <c r="S625" s="269"/>
      <c r="T625" s="269"/>
      <c r="U625" s="269"/>
      <c r="V625" s="269"/>
      <c r="W625" s="269"/>
      <c r="X625" s="269"/>
      <c r="Y625" s="269"/>
      <c r="Z625" s="269"/>
      <c r="AA625" s="269"/>
      <c r="AB625" s="269"/>
      <c r="AC625" s="269"/>
      <c r="AD625" s="269"/>
      <c r="AE625" s="269"/>
      <c r="AF625" s="269"/>
      <c r="AG625" s="269"/>
      <c r="AH625" s="269"/>
      <c r="AI625" s="269"/>
      <c r="AJ625" s="269"/>
      <c r="AK625" s="269"/>
      <c r="AL625" s="269"/>
      <c r="AM625" s="269"/>
      <c r="AN625" s="269"/>
      <c r="AO625" s="269"/>
      <c r="AP625" s="269"/>
      <c r="AQ625" s="269"/>
      <c r="AR625" s="269"/>
    </row>
    <row r="626">
      <c r="A626" s="410"/>
      <c r="B626" s="410"/>
      <c r="C626" s="410"/>
      <c r="D626" s="410"/>
      <c r="E626" s="410"/>
      <c r="F626" s="410"/>
      <c r="H626" s="269"/>
      <c r="I626" s="269"/>
      <c r="J626" s="269"/>
      <c r="K626" s="269"/>
      <c r="L626" s="269"/>
      <c r="M626" s="269"/>
      <c r="N626" s="269"/>
      <c r="O626" s="269"/>
      <c r="P626" s="269"/>
      <c r="Q626" s="269"/>
      <c r="R626" s="269"/>
      <c r="S626" s="269"/>
      <c r="T626" s="269"/>
      <c r="U626" s="269"/>
      <c r="V626" s="269"/>
      <c r="W626" s="269"/>
      <c r="X626" s="269"/>
      <c r="Y626" s="269"/>
      <c r="Z626" s="269"/>
      <c r="AA626" s="269"/>
      <c r="AB626" s="269"/>
      <c r="AC626" s="269"/>
      <c r="AD626" s="269"/>
      <c r="AE626" s="269"/>
      <c r="AF626" s="269"/>
      <c r="AG626" s="269"/>
      <c r="AH626" s="269"/>
      <c r="AI626" s="269"/>
      <c r="AJ626" s="269"/>
      <c r="AK626" s="269"/>
      <c r="AL626" s="269"/>
      <c r="AM626" s="269"/>
      <c r="AN626" s="269"/>
      <c r="AO626" s="269"/>
      <c r="AP626" s="269"/>
      <c r="AQ626" s="269"/>
      <c r="AR626" s="269"/>
    </row>
    <row r="627">
      <c r="A627" s="410"/>
      <c r="B627" s="410"/>
      <c r="C627" s="410"/>
      <c r="D627" s="410"/>
      <c r="E627" s="410"/>
      <c r="F627" s="410"/>
      <c r="H627" s="269"/>
      <c r="I627" s="269"/>
      <c r="J627" s="269"/>
      <c r="K627" s="269"/>
      <c r="L627" s="269"/>
      <c r="M627" s="269"/>
      <c r="N627" s="269"/>
      <c r="O627" s="269"/>
      <c r="P627" s="269"/>
      <c r="Q627" s="269"/>
      <c r="R627" s="269"/>
      <c r="S627" s="269"/>
      <c r="T627" s="269"/>
      <c r="U627" s="269"/>
      <c r="V627" s="269"/>
      <c r="W627" s="269"/>
      <c r="X627" s="269"/>
      <c r="Y627" s="269"/>
      <c r="Z627" s="269"/>
      <c r="AA627" s="269"/>
      <c r="AB627" s="269"/>
      <c r="AC627" s="269"/>
      <c r="AD627" s="269"/>
      <c r="AE627" s="269"/>
      <c r="AF627" s="269"/>
      <c r="AG627" s="269"/>
      <c r="AH627" s="269"/>
      <c r="AI627" s="269"/>
      <c r="AJ627" s="269"/>
      <c r="AK627" s="269"/>
      <c r="AL627" s="269"/>
      <c r="AM627" s="269"/>
      <c r="AN627" s="269"/>
      <c r="AO627" s="269"/>
      <c r="AP627" s="269"/>
      <c r="AQ627" s="269"/>
      <c r="AR627" s="269"/>
    </row>
    <row r="628">
      <c r="A628" s="410"/>
      <c r="B628" s="410"/>
      <c r="C628" s="410"/>
      <c r="D628" s="410"/>
      <c r="E628" s="410"/>
      <c r="F628" s="410"/>
      <c r="H628" s="269"/>
      <c r="I628" s="269"/>
      <c r="J628" s="269"/>
      <c r="K628" s="269"/>
      <c r="L628" s="269"/>
      <c r="M628" s="269"/>
      <c r="N628" s="269"/>
      <c r="O628" s="269"/>
      <c r="P628" s="269"/>
      <c r="Q628" s="269"/>
      <c r="R628" s="269"/>
      <c r="S628" s="269"/>
      <c r="T628" s="269"/>
      <c r="U628" s="269"/>
      <c r="V628" s="269"/>
      <c r="W628" s="269"/>
      <c r="X628" s="269"/>
      <c r="Y628" s="269"/>
      <c r="Z628" s="269"/>
      <c r="AA628" s="269"/>
      <c r="AB628" s="269"/>
      <c r="AC628" s="269"/>
      <c r="AD628" s="269"/>
      <c r="AE628" s="269"/>
      <c r="AF628" s="269"/>
      <c r="AG628" s="269"/>
      <c r="AH628" s="269"/>
      <c r="AI628" s="269"/>
      <c r="AJ628" s="269"/>
      <c r="AK628" s="269"/>
      <c r="AL628" s="269"/>
      <c r="AM628" s="269"/>
      <c r="AN628" s="269"/>
      <c r="AO628" s="269"/>
      <c r="AP628" s="269"/>
      <c r="AQ628" s="269"/>
      <c r="AR628" s="269"/>
    </row>
    <row r="629">
      <c r="A629" s="410"/>
      <c r="B629" s="410"/>
      <c r="C629" s="410"/>
      <c r="D629" s="410"/>
      <c r="E629" s="410"/>
      <c r="F629" s="410"/>
      <c r="H629" s="269"/>
      <c r="I629" s="269"/>
      <c r="J629" s="269"/>
      <c r="K629" s="269"/>
      <c r="L629" s="269"/>
      <c r="M629" s="269"/>
      <c r="N629" s="269"/>
      <c r="O629" s="269"/>
      <c r="P629" s="269"/>
      <c r="Q629" s="269"/>
      <c r="R629" s="269"/>
      <c r="S629" s="269"/>
      <c r="T629" s="269"/>
      <c r="U629" s="269"/>
      <c r="V629" s="269"/>
      <c r="W629" s="269"/>
      <c r="X629" s="269"/>
      <c r="Y629" s="269"/>
      <c r="Z629" s="269"/>
      <c r="AA629" s="269"/>
      <c r="AB629" s="269"/>
      <c r="AC629" s="269"/>
      <c r="AD629" s="269"/>
      <c r="AE629" s="269"/>
      <c r="AF629" s="269"/>
      <c r="AG629" s="269"/>
      <c r="AH629" s="269"/>
      <c r="AI629" s="269"/>
      <c r="AJ629" s="269"/>
      <c r="AK629" s="269"/>
      <c r="AL629" s="269"/>
      <c r="AM629" s="269"/>
      <c r="AN629" s="269"/>
      <c r="AO629" s="269"/>
      <c r="AP629" s="269"/>
      <c r="AQ629" s="269"/>
      <c r="AR629" s="269"/>
    </row>
    <row r="630">
      <c r="A630" s="410"/>
      <c r="B630" s="410"/>
      <c r="C630" s="410"/>
      <c r="D630" s="410"/>
      <c r="E630" s="410"/>
      <c r="F630" s="410"/>
      <c r="H630" s="269"/>
      <c r="I630" s="269"/>
      <c r="J630" s="269"/>
      <c r="K630" s="269"/>
      <c r="L630" s="269"/>
      <c r="M630" s="269"/>
      <c r="N630" s="269"/>
      <c r="O630" s="269"/>
      <c r="P630" s="269"/>
      <c r="Q630" s="269"/>
      <c r="R630" s="269"/>
      <c r="S630" s="269"/>
      <c r="T630" s="269"/>
      <c r="U630" s="269"/>
      <c r="V630" s="269"/>
      <c r="W630" s="269"/>
      <c r="X630" s="269"/>
      <c r="Y630" s="269"/>
      <c r="Z630" s="269"/>
      <c r="AA630" s="269"/>
      <c r="AB630" s="269"/>
      <c r="AC630" s="269"/>
      <c r="AD630" s="269"/>
      <c r="AE630" s="269"/>
      <c r="AF630" s="269"/>
      <c r="AG630" s="269"/>
      <c r="AH630" s="269"/>
      <c r="AI630" s="269"/>
      <c r="AJ630" s="269"/>
      <c r="AK630" s="269"/>
      <c r="AL630" s="269"/>
      <c r="AM630" s="269"/>
      <c r="AN630" s="269"/>
      <c r="AO630" s="269"/>
      <c r="AP630" s="269"/>
      <c r="AQ630" s="269"/>
      <c r="AR630" s="269"/>
    </row>
    <row r="631">
      <c r="A631" s="410"/>
      <c r="B631" s="410"/>
      <c r="C631" s="410"/>
      <c r="D631" s="410"/>
      <c r="E631" s="410"/>
      <c r="F631" s="410"/>
      <c r="H631" s="269"/>
      <c r="I631" s="269"/>
      <c r="J631" s="269"/>
      <c r="K631" s="269"/>
      <c r="L631" s="269"/>
      <c r="M631" s="269"/>
      <c r="N631" s="269"/>
      <c r="O631" s="269"/>
      <c r="P631" s="269"/>
      <c r="Q631" s="269"/>
      <c r="R631" s="269"/>
      <c r="S631" s="269"/>
      <c r="T631" s="269"/>
      <c r="U631" s="269"/>
      <c r="V631" s="269"/>
      <c r="W631" s="269"/>
      <c r="X631" s="269"/>
      <c r="Y631" s="269"/>
      <c r="Z631" s="269"/>
      <c r="AA631" s="269"/>
      <c r="AB631" s="269"/>
      <c r="AC631" s="269"/>
      <c r="AD631" s="269"/>
      <c r="AE631" s="269"/>
      <c r="AF631" s="269"/>
      <c r="AG631" s="269"/>
      <c r="AH631" s="269"/>
      <c r="AI631" s="269"/>
      <c r="AJ631" s="269"/>
      <c r="AK631" s="269"/>
      <c r="AL631" s="269"/>
      <c r="AM631" s="269"/>
      <c r="AN631" s="269"/>
      <c r="AO631" s="269"/>
      <c r="AP631" s="269"/>
      <c r="AQ631" s="269"/>
      <c r="AR631" s="269"/>
    </row>
    <row r="632">
      <c r="A632" s="410"/>
      <c r="B632" s="410"/>
      <c r="C632" s="410"/>
      <c r="D632" s="410"/>
      <c r="E632" s="410"/>
      <c r="F632" s="410"/>
      <c r="H632" s="269"/>
      <c r="I632" s="269"/>
      <c r="J632" s="269"/>
      <c r="K632" s="269"/>
      <c r="L632" s="269"/>
      <c r="M632" s="269"/>
      <c r="N632" s="269"/>
      <c r="O632" s="269"/>
      <c r="P632" s="269"/>
      <c r="Q632" s="269"/>
      <c r="R632" s="269"/>
      <c r="S632" s="269"/>
      <c r="T632" s="269"/>
      <c r="U632" s="269"/>
      <c r="V632" s="269"/>
      <c r="W632" s="269"/>
      <c r="X632" s="269"/>
      <c r="Y632" s="269"/>
      <c r="Z632" s="269"/>
      <c r="AA632" s="269"/>
      <c r="AB632" s="269"/>
      <c r="AC632" s="269"/>
      <c r="AD632" s="269"/>
      <c r="AE632" s="269"/>
      <c r="AF632" s="269"/>
      <c r="AG632" s="269"/>
      <c r="AH632" s="269"/>
      <c r="AI632" s="269"/>
      <c r="AJ632" s="269"/>
      <c r="AK632" s="269"/>
      <c r="AL632" s="269"/>
      <c r="AM632" s="269"/>
      <c r="AN632" s="269"/>
      <c r="AO632" s="269"/>
      <c r="AP632" s="269"/>
      <c r="AQ632" s="269"/>
      <c r="AR632" s="269"/>
    </row>
    <row r="633">
      <c r="A633" s="410"/>
      <c r="B633" s="410"/>
      <c r="C633" s="410"/>
      <c r="D633" s="410"/>
      <c r="E633" s="410"/>
      <c r="F633" s="410"/>
      <c r="H633" s="269"/>
      <c r="I633" s="269"/>
      <c r="J633" s="269"/>
      <c r="K633" s="269"/>
      <c r="L633" s="269"/>
      <c r="M633" s="269"/>
      <c r="N633" s="269"/>
      <c r="O633" s="269"/>
      <c r="P633" s="269"/>
      <c r="Q633" s="269"/>
      <c r="R633" s="269"/>
      <c r="S633" s="269"/>
      <c r="T633" s="269"/>
      <c r="U633" s="269"/>
      <c r="V633" s="269"/>
      <c r="W633" s="269"/>
      <c r="X633" s="269"/>
      <c r="Y633" s="269"/>
      <c r="Z633" s="269"/>
      <c r="AA633" s="269"/>
      <c r="AB633" s="269"/>
      <c r="AC633" s="269"/>
      <c r="AD633" s="269"/>
      <c r="AE633" s="269"/>
      <c r="AF633" s="269"/>
      <c r="AG633" s="269"/>
      <c r="AH633" s="269"/>
      <c r="AI633" s="269"/>
      <c r="AJ633" s="269"/>
      <c r="AK633" s="269"/>
      <c r="AL633" s="269"/>
      <c r="AM633" s="269"/>
      <c r="AN633" s="269"/>
      <c r="AO633" s="269"/>
      <c r="AP633" s="269"/>
      <c r="AQ633" s="269"/>
      <c r="AR633" s="269"/>
    </row>
    <row r="634">
      <c r="A634" s="410"/>
      <c r="B634" s="410"/>
      <c r="C634" s="410"/>
      <c r="D634" s="410"/>
      <c r="E634" s="410"/>
      <c r="F634" s="410"/>
      <c r="H634" s="269"/>
      <c r="I634" s="269"/>
      <c r="J634" s="269"/>
      <c r="K634" s="269"/>
      <c r="L634" s="269"/>
      <c r="M634" s="269"/>
      <c r="N634" s="269"/>
      <c r="O634" s="269"/>
      <c r="P634" s="269"/>
      <c r="Q634" s="269"/>
      <c r="R634" s="269"/>
      <c r="S634" s="269"/>
      <c r="T634" s="269"/>
      <c r="U634" s="269"/>
      <c r="V634" s="269"/>
      <c r="W634" s="269"/>
      <c r="X634" s="269"/>
      <c r="Y634" s="269"/>
      <c r="Z634" s="269"/>
      <c r="AA634" s="269"/>
      <c r="AB634" s="269"/>
      <c r="AC634" s="269"/>
      <c r="AD634" s="269"/>
      <c r="AE634" s="269"/>
      <c r="AF634" s="269"/>
      <c r="AG634" s="269"/>
      <c r="AH634" s="269"/>
      <c r="AI634" s="269"/>
      <c r="AJ634" s="269"/>
      <c r="AK634" s="269"/>
      <c r="AL634" s="269"/>
      <c r="AM634" s="269"/>
      <c r="AN634" s="269"/>
      <c r="AO634" s="269"/>
      <c r="AP634" s="269"/>
      <c r="AQ634" s="269"/>
      <c r="AR634" s="269"/>
    </row>
    <row r="635">
      <c r="A635" s="410"/>
      <c r="B635" s="410"/>
      <c r="C635" s="410"/>
      <c r="D635" s="410"/>
      <c r="E635" s="410"/>
      <c r="F635" s="410"/>
      <c r="H635" s="269"/>
      <c r="I635" s="269"/>
      <c r="J635" s="269"/>
      <c r="K635" s="269"/>
      <c r="L635" s="269"/>
      <c r="M635" s="269"/>
      <c r="N635" s="269"/>
      <c r="O635" s="269"/>
      <c r="P635" s="269"/>
      <c r="Q635" s="269"/>
      <c r="R635" s="269"/>
      <c r="S635" s="269"/>
      <c r="T635" s="269"/>
      <c r="U635" s="269"/>
      <c r="V635" s="269"/>
      <c r="W635" s="269"/>
      <c r="X635" s="269"/>
      <c r="Y635" s="269"/>
      <c r="Z635" s="269"/>
      <c r="AA635" s="269"/>
      <c r="AB635" s="269"/>
      <c r="AC635" s="269"/>
      <c r="AD635" s="269"/>
      <c r="AE635" s="269"/>
      <c r="AF635" s="269"/>
      <c r="AG635" s="269"/>
      <c r="AH635" s="269"/>
      <c r="AI635" s="269"/>
      <c r="AJ635" s="269"/>
      <c r="AK635" s="269"/>
      <c r="AL635" s="269"/>
      <c r="AM635" s="269"/>
      <c r="AN635" s="269"/>
      <c r="AO635" s="269"/>
      <c r="AP635" s="269"/>
      <c r="AQ635" s="269"/>
      <c r="AR635" s="269"/>
    </row>
    <row r="636">
      <c r="A636" s="410"/>
      <c r="B636" s="410"/>
      <c r="C636" s="410"/>
      <c r="D636" s="410"/>
      <c r="E636" s="410"/>
      <c r="F636" s="410"/>
      <c r="H636" s="269"/>
      <c r="I636" s="269"/>
      <c r="J636" s="269"/>
      <c r="K636" s="269"/>
      <c r="L636" s="269"/>
      <c r="M636" s="269"/>
      <c r="N636" s="269"/>
      <c r="O636" s="269"/>
      <c r="P636" s="269"/>
      <c r="Q636" s="269"/>
      <c r="R636" s="269"/>
      <c r="S636" s="269"/>
      <c r="T636" s="269"/>
      <c r="U636" s="269"/>
      <c r="V636" s="269"/>
      <c r="W636" s="269"/>
      <c r="X636" s="269"/>
      <c r="Y636" s="269"/>
      <c r="Z636" s="269"/>
      <c r="AA636" s="269"/>
      <c r="AB636" s="269"/>
      <c r="AC636" s="269"/>
      <c r="AD636" s="269"/>
      <c r="AE636" s="269"/>
      <c r="AF636" s="269"/>
      <c r="AG636" s="269"/>
      <c r="AH636" s="269"/>
      <c r="AI636" s="269"/>
      <c r="AJ636" s="269"/>
      <c r="AK636" s="269"/>
      <c r="AL636" s="269"/>
      <c r="AM636" s="269"/>
      <c r="AN636" s="269"/>
      <c r="AO636" s="269"/>
      <c r="AP636" s="269"/>
      <c r="AQ636" s="269"/>
      <c r="AR636" s="269"/>
    </row>
    <row r="637">
      <c r="A637" s="410"/>
      <c r="B637" s="410"/>
      <c r="C637" s="410"/>
      <c r="D637" s="410"/>
      <c r="E637" s="410"/>
      <c r="F637" s="410"/>
      <c r="H637" s="269"/>
      <c r="I637" s="269"/>
      <c r="J637" s="269"/>
      <c r="K637" s="269"/>
      <c r="L637" s="269"/>
      <c r="M637" s="269"/>
      <c r="N637" s="269"/>
      <c r="O637" s="269"/>
      <c r="P637" s="269"/>
      <c r="Q637" s="269"/>
      <c r="R637" s="269"/>
      <c r="S637" s="269"/>
      <c r="T637" s="269"/>
      <c r="U637" s="269"/>
      <c r="V637" s="269"/>
      <c r="W637" s="269"/>
      <c r="X637" s="269"/>
      <c r="Y637" s="269"/>
      <c r="Z637" s="269"/>
      <c r="AA637" s="269"/>
      <c r="AB637" s="269"/>
      <c r="AC637" s="269"/>
      <c r="AD637" s="269"/>
      <c r="AE637" s="269"/>
      <c r="AF637" s="269"/>
      <c r="AG637" s="269"/>
      <c r="AH637" s="269"/>
      <c r="AI637" s="269"/>
      <c r="AJ637" s="269"/>
      <c r="AK637" s="269"/>
      <c r="AL637" s="269"/>
      <c r="AM637" s="269"/>
      <c r="AN637" s="269"/>
      <c r="AO637" s="269"/>
      <c r="AP637" s="269"/>
      <c r="AQ637" s="269"/>
      <c r="AR637" s="269"/>
    </row>
    <row r="638">
      <c r="A638" s="410"/>
      <c r="B638" s="410"/>
      <c r="C638" s="410"/>
      <c r="D638" s="410"/>
      <c r="E638" s="410"/>
      <c r="F638" s="410"/>
      <c r="H638" s="269"/>
      <c r="I638" s="269"/>
      <c r="J638" s="269"/>
      <c r="K638" s="269"/>
      <c r="L638" s="269"/>
      <c r="M638" s="269"/>
      <c r="N638" s="269"/>
      <c r="O638" s="269"/>
      <c r="P638" s="269"/>
      <c r="Q638" s="269"/>
      <c r="R638" s="269"/>
      <c r="S638" s="269"/>
      <c r="T638" s="269"/>
      <c r="U638" s="269"/>
      <c r="V638" s="269"/>
      <c r="W638" s="269"/>
      <c r="X638" s="269"/>
      <c r="Y638" s="269"/>
      <c r="Z638" s="269"/>
      <c r="AA638" s="269"/>
      <c r="AB638" s="269"/>
      <c r="AC638" s="269"/>
      <c r="AD638" s="269"/>
      <c r="AE638" s="269"/>
      <c r="AF638" s="269"/>
      <c r="AG638" s="269"/>
      <c r="AH638" s="269"/>
      <c r="AI638" s="269"/>
      <c r="AJ638" s="269"/>
      <c r="AK638" s="269"/>
      <c r="AL638" s="269"/>
      <c r="AM638" s="269"/>
      <c r="AN638" s="269"/>
      <c r="AO638" s="269"/>
      <c r="AP638" s="269"/>
      <c r="AQ638" s="269"/>
      <c r="AR638" s="269"/>
    </row>
    <row r="639">
      <c r="A639" s="410"/>
      <c r="B639" s="410"/>
      <c r="C639" s="410"/>
      <c r="D639" s="410"/>
      <c r="E639" s="410"/>
      <c r="F639" s="410"/>
      <c r="H639" s="269"/>
      <c r="I639" s="269"/>
      <c r="J639" s="269"/>
      <c r="K639" s="269"/>
      <c r="L639" s="269"/>
      <c r="M639" s="269"/>
      <c r="N639" s="269"/>
      <c r="O639" s="269"/>
      <c r="P639" s="269"/>
      <c r="Q639" s="269"/>
      <c r="R639" s="269"/>
      <c r="S639" s="269"/>
      <c r="T639" s="269"/>
      <c r="U639" s="269"/>
      <c r="V639" s="269"/>
      <c r="W639" s="269"/>
      <c r="X639" s="269"/>
      <c r="Y639" s="269"/>
      <c r="Z639" s="269"/>
      <c r="AA639" s="269"/>
      <c r="AB639" s="269"/>
      <c r="AC639" s="269"/>
      <c r="AD639" s="269"/>
      <c r="AE639" s="269"/>
      <c r="AF639" s="269"/>
      <c r="AG639" s="269"/>
      <c r="AH639" s="269"/>
      <c r="AI639" s="269"/>
      <c r="AJ639" s="269"/>
      <c r="AK639" s="269"/>
      <c r="AL639" s="269"/>
      <c r="AM639" s="269"/>
      <c r="AN639" s="269"/>
      <c r="AO639" s="269"/>
      <c r="AP639" s="269"/>
      <c r="AQ639" s="269"/>
      <c r="AR639" s="269"/>
    </row>
    <row r="640">
      <c r="A640" s="410"/>
      <c r="B640" s="410"/>
      <c r="C640" s="410"/>
      <c r="D640" s="410"/>
      <c r="E640" s="410"/>
      <c r="F640" s="410"/>
      <c r="H640" s="269"/>
      <c r="I640" s="269"/>
      <c r="J640" s="269"/>
      <c r="K640" s="269"/>
      <c r="L640" s="269"/>
      <c r="M640" s="269"/>
      <c r="N640" s="269"/>
      <c r="O640" s="269"/>
      <c r="P640" s="269"/>
      <c r="Q640" s="269"/>
      <c r="R640" s="269"/>
      <c r="S640" s="269"/>
      <c r="T640" s="269"/>
      <c r="U640" s="269"/>
      <c r="V640" s="269"/>
      <c r="W640" s="269"/>
      <c r="X640" s="269"/>
      <c r="Y640" s="269"/>
      <c r="Z640" s="269"/>
      <c r="AA640" s="269"/>
      <c r="AB640" s="269"/>
      <c r="AC640" s="269"/>
      <c r="AD640" s="269"/>
      <c r="AE640" s="269"/>
      <c r="AF640" s="269"/>
      <c r="AG640" s="269"/>
      <c r="AH640" s="269"/>
      <c r="AI640" s="269"/>
      <c r="AJ640" s="269"/>
      <c r="AK640" s="269"/>
      <c r="AL640" s="269"/>
      <c r="AM640" s="269"/>
      <c r="AN640" s="269"/>
      <c r="AO640" s="269"/>
      <c r="AP640" s="269"/>
      <c r="AQ640" s="269"/>
      <c r="AR640" s="269"/>
    </row>
    <row r="641">
      <c r="A641" s="410"/>
      <c r="B641" s="410"/>
      <c r="C641" s="410"/>
      <c r="D641" s="410"/>
      <c r="E641" s="410"/>
      <c r="F641" s="410"/>
      <c r="H641" s="269"/>
      <c r="I641" s="269"/>
      <c r="J641" s="269"/>
      <c r="K641" s="269"/>
      <c r="L641" s="269"/>
      <c r="M641" s="269"/>
      <c r="N641" s="269"/>
      <c r="O641" s="269"/>
      <c r="P641" s="269"/>
      <c r="Q641" s="269"/>
      <c r="R641" s="269"/>
      <c r="S641" s="269"/>
      <c r="T641" s="269"/>
      <c r="U641" s="269"/>
      <c r="V641" s="269"/>
      <c r="W641" s="269"/>
      <c r="X641" s="269"/>
      <c r="Y641" s="269"/>
      <c r="Z641" s="269"/>
      <c r="AA641" s="269"/>
      <c r="AB641" s="269"/>
      <c r="AC641" s="269"/>
      <c r="AD641" s="269"/>
      <c r="AE641" s="269"/>
      <c r="AF641" s="269"/>
      <c r="AG641" s="269"/>
      <c r="AH641" s="269"/>
      <c r="AI641" s="269"/>
      <c r="AJ641" s="269"/>
      <c r="AK641" s="269"/>
      <c r="AL641" s="269"/>
      <c r="AM641" s="269"/>
      <c r="AN641" s="269"/>
      <c r="AO641" s="269"/>
      <c r="AP641" s="269"/>
      <c r="AQ641" s="269"/>
      <c r="AR641" s="269"/>
    </row>
    <row r="642">
      <c r="A642" s="410"/>
      <c r="B642" s="410"/>
      <c r="C642" s="410"/>
      <c r="D642" s="410"/>
      <c r="E642" s="410"/>
      <c r="F642" s="410"/>
      <c r="H642" s="269"/>
      <c r="I642" s="269"/>
      <c r="J642" s="269"/>
      <c r="K642" s="269"/>
      <c r="L642" s="269"/>
      <c r="M642" s="269"/>
      <c r="N642" s="269"/>
      <c r="O642" s="269"/>
      <c r="P642" s="269"/>
      <c r="Q642" s="269"/>
      <c r="R642" s="269"/>
      <c r="S642" s="269"/>
      <c r="T642" s="269"/>
      <c r="U642" s="269"/>
      <c r="V642" s="269"/>
      <c r="W642" s="269"/>
      <c r="X642" s="269"/>
      <c r="Y642" s="269"/>
      <c r="Z642" s="269"/>
      <c r="AA642" s="269"/>
      <c r="AB642" s="269"/>
      <c r="AC642" s="269"/>
      <c r="AD642" s="269"/>
      <c r="AE642" s="269"/>
      <c r="AF642" s="269"/>
      <c r="AG642" s="269"/>
      <c r="AH642" s="269"/>
      <c r="AI642" s="269"/>
      <c r="AJ642" s="269"/>
      <c r="AK642" s="269"/>
      <c r="AL642" s="269"/>
      <c r="AM642" s="269"/>
      <c r="AN642" s="269"/>
      <c r="AO642" s="269"/>
      <c r="AP642" s="269"/>
      <c r="AQ642" s="269"/>
      <c r="AR642" s="269"/>
    </row>
    <row r="643">
      <c r="A643" s="410"/>
      <c r="B643" s="410"/>
      <c r="C643" s="410"/>
      <c r="D643" s="410"/>
      <c r="E643" s="410"/>
      <c r="F643" s="410"/>
      <c r="H643" s="269"/>
      <c r="I643" s="269"/>
      <c r="J643" s="269"/>
      <c r="K643" s="269"/>
      <c r="L643" s="269"/>
      <c r="M643" s="269"/>
      <c r="N643" s="269"/>
      <c r="O643" s="269"/>
      <c r="P643" s="269"/>
      <c r="Q643" s="269"/>
      <c r="R643" s="269"/>
      <c r="S643" s="269"/>
      <c r="T643" s="269"/>
      <c r="U643" s="269"/>
      <c r="V643" s="269"/>
      <c r="W643" s="269"/>
      <c r="X643" s="269"/>
      <c r="Y643" s="269"/>
      <c r="Z643" s="269"/>
      <c r="AA643" s="269"/>
      <c r="AB643" s="269"/>
      <c r="AC643" s="269"/>
      <c r="AD643" s="269"/>
      <c r="AE643" s="269"/>
      <c r="AF643" s="269"/>
      <c r="AG643" s="269"/>
      <c r="AH643" s="269"/>
      <c r="AI643" s="269"/>
      <c r="AJ643" s="269"/>
      <c r="AK643" s="269"/>
      <c r="AL643" s="269"/>
      <c r="AM643" s="269"/>
      <c r="AN643" s="269"/>
      <c r="AO643" s="269"/>
      <c r="AP643" s="269"/>
      <c r="AQ643" s="269"/>
      <c r="AR643" s="269"/>
    </row>
    <row r="644">
      <c r="A644" s="410"/>
      <c r="B644" s="410"/>
      <c r="C644" s="410"/>
      <c r="D644" s="410"/>
      <c r="E644" s="410"/>
      <c r="F644" s="410"/>
      <c r="H644" s="269"/>
      <c r="I644" s="269"/>
      <c r="J644" s="269"/>
      <c r="K644" s="269"/>
      <c r="L644" s="269"/>
      <c r="M644" s="269"/>
      <c r="N644" s="269"/>
      <c r="O644" s="269"/>
      <c r="P644" s="269"/>
      <c r="Q644" s="269"/>
      <c r="R644" s="269"/>
      <c r="S644" s="269"/>
      <c r="T644" s="269"/>
      <c r="U644" s="269"/>
      <c r="V644" s="269"/>
      <c r="W644" s="269"/>
      <c r="X644" s="269"/>
      <c r="Y644" s="269"/>
      <c r="Z644" s="269"/>
      <c r="AA644" s="269"/>
      <c r="AB644" s="269"/>
      <c r="AC644" s="269"/>
      <c r="AD644" s="269"/>
      <c r="AE644" s="269"/>
      <c r="AF644" s="269"/>
      <c r="AG644" s="269"/>
      <c r="AH644" s="269"/>
      <c r="AI644" s="269"/>
      <c r="AJ644" s="269"/>
      <c r="AK644" s="269"/>
      <c r="AL644" s="269"/>
      <c r="AM644" s="269"/>
      <c r="AN644" s="269"/>
      <c r="AO644" s="269"/>
      <c r="AP644" s="269"/>
      <c r="AQ644" s="269"/>
      <c r="AR644" s="269"/>
    </row>
    <row r="645">
      <c r="A645" s="410"/>
      <c r="B645" s="410"/>
      <c r="C645" s="410"/>
      <c r="D645" s="410"/>
      <c r="E645" s="410"/>
      <c r="F645" s="410"/>
      <c r="H645" s="269"/>
      <c r="I645" s="269"/>
      <c r="J645" s="269"/>
      <c r="K645" s="269"/>
      <c r="L645" s="269"/>
      <c r="M645" s="269"/>
      <c r="N645" s="269"/>
      <c r="O645" s="269"/>
      <c r="P645" s="269"/>
      <c r="Q645" s="269"/>
      <c r="R645" s="269"/>
      <c r="S645" s="269"/>
      <c r="T645" s="269"/>
      <c r="U645" s="269"/>
      <c r="V645" s="269"/>
      <c r="W645" s="269"/>
      <c r="X645" s="269"/>
      <c r="Y645" s="269"/>
      <c r="Z645" s="269"/>
      <c r="AA645" s="269"/>
      <c r="AB645" s="269"/>
      <c r="AC645" s="269"/>
      <c r="AD645" s="269"/>
      <c r="AE645" s="269"/>
      <c r="AF645" s="269"/>
      <c r="AG645" s="269"/>
      <c r="AH645" s="269"/>
      <c r="AI645" s="269"/>
      <c r="AJ645" s="269"/>
      <c r="AK645" s="269"/>
      <c r="AL645" s="269"/>
      <c r="AM645" s="269"/>
      <c r="AN645" s="269"/>
      <c r="AO645" s="269"/>
      <c r="AP645" s="269"/>
      <c r="AQ645" s="269"/>
      <c r="AR645" s="269"/>
    </row>
    <row r="646">
      <c r="A646" s="410"/>
      <c r="B646" s="410"/>
      <c r="C646" s="410"/>
      <c r="D646" s="410"/>
      <c r="E646" s="410"/>
      <c r="F646" s="410"/>
      <c r="H646" s="269"/>
      <c r="I646" s="269"/>
      <c r="J646" s="269"/>
      <c r="K646" s="269"/>
      <c r="L646" s="269"/>
      <c r="M646" s="269"/>
      <c r="N646" s="269"/>
      <c r="O646" s="269"/>
      <c r="P646" s="269"/>
      <c r="Q646" s="269"/>
      <c r="R646" s="269"/>
      <c r="S646" s="269"/>
      <c r="T646" s="269"/>
      <c r="U646" s="269"/>
      <c r="V646" s="269"/>
      <c r="W646" s="269"/>
      <c r="X646" s="269"/>
      <c r="Y646" s="269"/>
      <c r="Z646" s="269"/>
      <c r="AA646" s="269"/>
      <c r="AB646" s="269"/>
      <c r="AC646" s="269"/>
      <c r="AD646" s="269"/>
      <c r="AE646" s="269"/>
      <c r="AF646" s="269"/>
      <c r="AG646" s="269"/>
      <c r="AH646" s="269"/>
      <c r="AI646" s="269"/>
      <c r="AJ646" s="269"/>
      <c r="AK646" s="269"/>
      <c r="AL646" s="269"/>
      <c r="AM646" s="269"/>
      <c r="AN646" s="269"/>
      <c r="AO646" s="269"/>
      <c r="AP646" s="269"/>
      <c r="AQ646" s="269"/>
      <c r="AR646" s="269"/>
    </row>
    <row r="647">
      <c r="A647" s="410"/>
      <c r="B647" s="410"/>
      <c r="C647" s="410"/>
      <c r="D647" s="410"/>
      <c r="E647" s="410"/>
      <c r="F647" s="410"/>
      <c r="H647" s="269"/>
      <c r="I647" s="269"/>
      <c r="J647" s="269"/>
      <c r="K647" s="269"/>
      <c r="L647" s="269"/>
      <c r="M647" s="269"/>
      <c r="N647" s="269"/>
      <c r="O647" s="269"/>
      <c r="P647" s="269"/>
      <c r="Q647" s="269"/>
      <c r="R647" s="269"/>
      <c r="S647" s="269"/>
      <c r="T647" s="269"/>
      <c r="U647" s="269"/>
      <c r="V647" s="269"/>
      <c r="W647" s="269"/>
      <c r="X647" s="269"/>
      <c r="Y647" s="269"/>
      <c r="Z647" s="269"/>
      <c r="AA647" s="269"/>
      <c r="AB647" s="269"/>
      <c r="AC647" s="269"/>
      <c r="AD647" s="269"/>
      <c r="AE647" s="269"/>
      <c r="AF647" s="269"/>
      <c r="AG647" s="269"/>
      <c r="AH647" s="269"/>
      <c r="AI647" s="269"/>
      <c r="AJ647" s="269"/>
      <c r="AK647" s="269"/>
      <c r="AL647" s="269"/>
      <c r="AM647" s="269"/>
      <c r="AN647" s="269"/>
      <c r="AO647" s="269"/>
      <c r="AP647" s="269"/>
      <c r="AQ647" s="269"/>
      <c r="AR647" s="269"/>
    </row>
    <row r="648">
      <c r="A648" s="410"/>
      <c r="B648" s="410"/>
      <c r="C648" s="410"/>
      <c r="D648" s="410"/>
      <c r="E648" s="410"/>
      <c r="F648" s="410"/>
      <c r="H648" s="269"/>
      <c r="I648" s="269"/>
      <c r="J648" s="269"/>
      <c r="K648" s="269"/>
      <c r="L648" s="269"/>
      <c r="M648" s="269"/>
      <c r="N648" s="269"/>
      <c r="O648" s="269"/>
      <c r="P648" s="269"/>
      <c r="Q648" s="269"/>
      <c r="R648" s="269"/>
      <c r="S648" s="269"/>
      <c r="T648" s="269"/>
      <c r="U648" s="269"/>
      <c r="V648" s="269"/>
      <c r="W648" s="269"/>
      <c r="X648" s="269"/>
      <c r="Y648" s="269"/>
      <c r="Z648" s="269"/>
      <c r="AA648" s="269"/>
      <c r="AB648" s="269"/>
      <c r="AC648" s="269"/>
      <c r="AD648" s="269"/>
      <c r="AE648" s="269"/>
      <c r="AF648" s="269"/>
      <c r="AG648" s="269"/>
      <c r="AH648" s="269"/>
      <c r="AI648" s="269"/>
      <c r="AJ648" s="269"/>
      <c r="AK648" s="269"/>
      <c r="AL648" s="269"/>
      <c r="AM648" s="269"/>
      <c r="AN648" s="269"/>
      <c r="AO648" s="269"/>
      <c r="AP648" s="269"/>
      <c r="AQ648" s="269"/>
      <c r="AR648" s="269"/>
    </row>
    <row r="649">
      <c r="A649" s="410"/>
      <c r="B649" s="410"/>
      <c r="C649" s="410"/>
      <c r="D649" s="410"/>
      <c r="E649" s="410"/>
      <c r="F649" s="410"/>
      <c r="H649" s="269"/>
      <c r="I649" s="269"/>
      <c r="J649" s="269"/>
      <c r="K649" s="269"/>
      <c r="L649" s="269"/>
      <c r="M649" s="269"/>
      <c r="N649" s="269"/>
      <c r="O649" s="269"/>
      <c r="P649" s="269"/>
      <c r="Q649" s="269"/>
      <c r="R649" s="269"/>
      <c r="S649" s="269"/>
      <c r="T649" s="269"/>
      <c r="U649" s="269"/>
      <c r="V649" s="269"/>
      <c r="W649" s="269"/>
      <c r="X649" s="269"/>
      <c r="Y649" s="269"/>
      <c r="Z649" s="269"/>
      <c r="AA649" s="269"/>
      <c r="AB649" s="269"/>
      <c r="AC649" s="269"/>
      <c r="AD649" s="269"/>
      <c r="AE649" s="269"/>
      <c r="AF649" s="269"/>
      <c r="AG649" s="269"/>
      <c r="AH649" s="269"/>
      <c r="AI649" s="269"/>
      <c r="AJ649" s="269"/>
      <c r="AK649" s="269"/>
      <c r="AL649" s="269"/>
      <c r="AM649" s="269"/>
      <c r="AN649" s="269"/>
      <c r="AO649" s="269"/>
      <c r="AP649" s="269"/>
      <c r="AQ649" s="269"/>
      <c r="AR649" s="269"/>
    </row>
    <row r="650">
      <c r="A650" s="410"/>
      <c r="B650" s="410"/>
      <c r="C650" s="410"/>
      <c r="D650" s="410"/>
      <c r="E650" s="410"/>
      <c r="F650" s="410"/>
      <c r="H650" s="269"/>
      <c r="I650" s="269"/>
      <c r="J650" s="269"/>
      <c r="K650" s="269"/>
      <c r="L650" s="269"/>
      <c r="M650" s="269"/>
      <c r="N650" s="269"/>
      <c r="O650" s="269"/>
      <c r="P650" s="269"/>
      <c r="Q650" s="269"/>
      <c r="R650" s="269"/>
      <c r="S650" s="269"/>
      <c r="T650" s="269"/>
      <c r="U650" s="269"/>
      <c r="V650" s="269"/>
      <c r="W650" s="269"/>
      <c r="X650" s="269"/>
      <c r="Y650" s="269"/>
      <c r="Z650" s="269"/>
      <c r="AA650" s="269"/>
      <c r="AB650" s="269"/>
      <c r="AC650" s="269"/>
      <c r="AD650" s="269"/>
      <c r="AE650" s="269"/>
      <c r="AF650" s="269"/>
      <c r="AG650" s="269"/>
      <c r="AH650" s="269"/>
      <c r="AI650" s="269"/>
      <c r="AJ650" s="269"/>
      <c r="AK650" s="269"/>
      <c r="AL650" s="269"/>
      <c r="AM650" s="269"/>
      <c r="AN650" s="269"/>
      <c r="AO650" s="269"/>
      <c r="AP650" s="269"/>
      <c r="AQ650" s="269"/>
      <c r="AR650" s="269"/>
    </row>
    <row r="651">
      <c r="A651" s="410"/>
      <c r="B651" s="410"/>
      <c r="C651" s="410"/>
      <c r="D651" s="410"/>
      <c r="E651" s="410"/>
      <c r="F651" s="410"/>
      <c r="H651" s="269"/>
      <c r="I651" s="269"/>
      <c r="J651" s="269"/>
      <c r="K651" s="269"/>
      <c r="L651" s="269"/>
      <c r="M651" s="269"/>
      <c r="N651" s="269"/>
      <c r="O651" s="269"/>
      <c r="P651" s="269"/>
      <c r="Q651" s="269"/>
      <c r="R651" s="269"/>
      <c r="S651" s="269"/>
      <c r="T651" s="269"/>
      <c r="U651" s="269"/>
      <c r="V651" s="269"/>
      <c r="W651" s="269"/>
      <c r="X651" s="269"/>
      <c r="Y651" s="269"/>
      <c r="Z651" s="269"/>
      <c r="AA651" s="269"/>
      <c r="AB651" s="269"/>
      <c r="AC651" s="269"/>
      <c r="AD651" s="269"/>
      <c r="AE651" s="269"/>
      <c r="AF651" s="269"/>
      <c r="AG651" s="269"/>
      <c r="AH651" s="269"/>
      <c r="AI651" s="269"/>
      <c r="AJ651" s="269"/>
      <c r="AK651" s="269"/>
      <c r="AL651" s="269"/>
      <c r="AM651" s="269"/>
      <c r="AN651" s="269"/>
      <c r="AO651" s="269"/>
      <c r="AP651" s="269"/>
      <c r="AQ651" s="269"/>
      <c r="AR651" s="269"/>
    </row>
    <row r="652">
      <c r="A652" s="410"/>
      <c r="B652" s="410"/>
      <c r="C652" s="410"/>
      <c r="D652" s="410"/>
      <c r="E652" s="410"/>
      <c r="F652" s="410"/>
      <c r="H652" s="269"/>
      <c r="I652" s="269"/>
      <c r="J652" s="269"/>
      <c r="K652" s="269"/>
      <c r="L652" s="269"/>
      <c r="M652" s="269"/>
      <c r="N652" s="269"/>
      <c r="O652" s="269"/>
      <c r="P652" s="269"/>
      <c r="Q652" s="269"/>
      <c r="R652" s="269"/>
      <c r="S652" s="269"/>
      <c r="T652" s="269"/>
      <c r="U652" s="269"/>
      <c r="V652" s="269"/>
      <c r="W652" s="269"/>
      <c r="X652" s="269"/>
      <c r="Y652" s="269"/>
      <c r="Z652" s="269"/>
      <c r="AA652" s="269"/>
      <c r="AB652" s="269"/>
      <c r="AC652" s="269"/>
      <c r="AD652" s="269"/>
      <c r="AE652" s="269"/>
      <c r="AF652" s="269"/>
      <c r="AG652" s="269"/>
      <c r="AH652" s="269"/>
      <c r="AI652" s="269"/>
      <c r="AJ652" s="269"/>
      <c r="AK652" s="269"/>
      <c r="AL652" s="269"/>
      <c r="AM652" s="269"/>
      <c r="AN652" s="269"/>
      <c r="AO652" s="269"/>
      <c r="AP652" s="269"/>
      <c r="AQ652" s="269"/>
      <c r="AR652" s="269"/>
    </row>
    <row r="653">
      <c r="A653" s="410"/>
      <c r="B653" s="410"/>
      <c r="C653" s="410"/>
      <c r="D653" s="410"/>
      <c r="E653" s="410"/>
      <c r="F653" s="410"/>
      <c r="H653" s="269"/>
      <c r="I653" s="269"/>
      <c r="J653" s="269"/>
      <c r="K653" s="269"/>
      <c r="L653" s="269"/>
      <c r="M653" s="269"/>
      <c r="N653" s="269"/>
      <c r="O653" s="269"/>
      <c r="P653" s="269"/>
      <c r="Q653" s="269"/>
      <c r="R653" s="269"/>
      <c r="S653" s="269"/>
      <c r="T653" s="269"/>
      <c r="U653" s="269"/>
      <c r="V653" s="269"/>
      <c r="W653" s="269"/>
      <c r="X653" s="269"/>
      <c r="Y653" s="269"/>
      <c r="Z653" s="269"/>
      <c r="AA653" s="269"/>
      <c r="AB653" s="269"/>
      <c r="AC653" s="269"/>
      <c r="AD653" s="269"/>
      <c r="AE653" s="269"/>
      <c r="AF653" s="269"/>
      <c r="AG653" s="269"/>
      <c r="AH653" s="269"/>
      <c r="AI653" s="269"/>
      <c r="AJ653" s="269"/>
      <c r="AK653" s="269"/>
      <c r="AL653" s="269"/>
      <c r="AM653" s="269"/>
      <c r="AN653" s="269"/>
      <c r="AO653" s="269"/>
      <c r="AP653" s="269"/>
      <c r="AQ653" s="269"/>
      <c r="AR653" s="269"/>
    </row>
    <row r="654">
      <c r="A654" s="410"/>
      <c r="B654" s="410"/>
      <c r="C654" s="410"/>
      <c r="D654" s="410"/>
      <c r="E654" s="410"/>
      <c r="F654" s="410"/>
      <c r="H654" s="269"/>
      <c r="I654" s="269"/>
      <c r="J654" s="269"/>
      <c r="K654" s="269"/>
      <c r="L654" s="269"/>
      <c r="M654" s="269"/>
      <c r="N654" s="269"/>
      <c r="O654" s="269"/>
      <c r="P654" s="269"/>
      <c r="Q654" s="269"/>
      <c r="R654" s="269"/>
      <c r="S654" s="269"/>
      <c r="T654" s="269"/>
      <c r="U654" s="269"/>
      <c r="V654" s="269"/>
      <c r="W654" s="269"/>
      <c r="X654" s="269"/>
      <c r="Y654" s="269"/>
      <c r="Z654" s="269"/>
      <c r="AA654" s="269"/>
      <c r="AB654" s="269"/>
      <c r="AC654" s="269"/>
      <c r="AD654" s="269"/>
      <c r="AE654" s="269"/>
      <c r="AF654" s="269"/>
      <c r="AG654" s="269"/>
      <c r="AH654" s="269"/>
      <c r="AI654" s="269"/>
      <c r="AJ654" s="269"/>
      <c r="AK654" s="269"/>
      <c r="AL654" s="269"/>
      <c r="AM654" s="269"/>
      <c r="AN654" s="269"/>
      <c r="AO654" s="269"/>
      <c r="AP654" s="269"/>
      <c r="AQ654" s="269"/>
      <c r="AR654" s="269"/>
    </row>
    <row r="655">
      <c r="A655" s="410"/>
      <c r="B655" s="410"/>
      <c r="C655" s="410"/>
      <c r="D655" s="410"/>
      <c r="E655" s="410"/>
      <c r="F655" s="410"/>
      <c r="H655" s="269"/>
      <c r="I655" s="269"/>
      <c r="J655" s="269"/>
      <c r="K655" s="269"/>
      <c r="L655" s="269"/>
      <c r="M655" s="269"/>
      <c r="N655" s="269"/>
      <c r="O655" s="269"/>
      <c r="P655" s="269"/>
      <c r="Q655" s="269"/>
      <c r="R655" s="269"/>
      <c r="S655" s="269"/>
      <c r="T655" s="269"/>
      <c r="U655" s="269"/>
      <c r="V655" s="269"/>
      <c r="W655" s="269"/>
      <c r="X655" s="269"/>
      <c r="Y655" s="269"/>
      <c r="Z655" s="269"/>
      <c r="AA655" s="269"/>
      <c r="AB655" s="269"/>
      <c r="AC655" s="269"/>
      <c r="AD655" s="269"/>
      <c r="AE655" s="269"/>
      <c r="AF655" s="269"/>
      <c r="AG655" s="269"/>
      <c r="AH655" s="269"/>
      <c r="AI655" s="269"/>
      <c r="AJ655" s="269"/>
      <c r="AK655" s="269"/>
      <c r="AL655" s="269"/>
      <c r="AM655" s="269"/>
      <c r="AN655" s="269"/>
      <c r="AO655" s="269"/>
      <c r="AP655" s="269"/>
      <c r="AQ655" s="269"/>
      <c r="AR655" s="269"/>
    </row>
    <row r="656">
      <c r="A656" s="410"/>
      <c r="B656" s="410"/>
      <c r="C656" s="410"/>
      <c r="D656" s="410"/>
      <c r="E656" s="410"/>
      <c r="F656" s="410"/>
      <c r="H656" s="269"/>
      <c r="I656" s="269"/>
      <c r="J656" s="269"/>
      <c r="K656" s="269"/>
      <c r="L656" s="269"/>
      <c r="M656" s="269"/>
      <c r="N656" s="269"/>
      <c r="O656" s="269"/>
      <c r="P656" s="269"/>
      <c r="Q656" s="269"/>
      <c r="R656" s="269"/>
      <c r="S656" s="269"/>
      <c r="T656" s="269"/>
      <c r="U656" s="269"/>
      <c r="V656" s="269"/>
      <c r="W656" s="269"/>
      <c r="X656" s="269"/>
      <c r="Y656" s="269"/>
      <c r="Z656" s="269"/>
      <c r="AA656" s="269"/>
      <c r="AB656" s="269"/>
      <c r="AC656" s="269"/>
      <c r="AD656" s="269"/>
      <c r="AE656" s="269"/>
      <c r="AF656" s="269"/>
      <c r="AG656" s="269"/>
      <c r="AH656" s="269"/>
      <c r="AI656" s="269"/>
      <c r="AJ656" s="269"/>
      <c r="AK656" s="269"/>
      <c r="AL656" s="269"/>
      <c r="AM656" s="269"/>
      <c r="AN656" s="269"/>
      <c r="AO656" s="269"/>
      <c r="AP656" s="269"/>
      <c r="AQ656" s="269"/>
      <c r="AR656" s="269"/>
    </row>
    <row r="657">
      <c r="A657" s="410"/>
      <c r="B657" s="410"/>
      <c r="C657" s="410"/>
      <c r="D657" s="410"/>
      <c r="E657" s="410"/>
      <c r="F657" s="410"/>
      <c r="H657" s="269"/>
      <c r="I657" s="269"/>
      <c r="J657" s="269"/>
      <c r="K657" s="269"/>
      <c r="L657" s="269"/>
      <c r="M657" s="269"/>
      <c r="N657" s="269"/>
      <c r="O657" s="269"/>
      <c r="P657" s="269"/>
      <c r="Q657" s="269"/>
      <c r="R657" s="269"/>
      <c r="S657" s="269"/>
      <c r="T657" s="269"/>
      <c r="U657" s="269"/>
      <c r="V657" s="269"/>
      <c r="W657" s="269"/>
      <c r="X657" s="269"/>
      <c r="Y657" s="269"/>
      <c r="Z657" s="269"/>
      <c r="AA657" s="269"/>
      <c r="AB657" s="269"/>
      <c r="AC657" s="269"/>
      <c r="AD657" s="269"/>
      <c r="AE657" s="269"/>
      <c r="AF657" s="269"/>
      <c r="AG657" s="269"/>
      <c r="AH657" s="269"/>
      <c r="AI657" s="269"/>
      <c r="AJ657" s="269"/>
      <c r="AK657" s="269"/>
      <c r="AL657" s="269"/>
      <c r="AM657" s="269"/>
      <c r="AN657" s="269"/>
      <c r="AO657" s="269"/>
      <c r="AP657" s="269"/>
      <c r="AQ657" s="269"/>
      <c r="AR657" s="269"/>
    </row>
    <row r="658">
      <c r="A658" s="410"/>
      <c r="B658" s="410"/>
      <c r="C658" s="410"/>
      <c r="D658" s="410"/>
      <c r="E658" s="410"/>
      <c r="F658" s="410"/>
      <c r="H658" s="269"/>
      <c r="I658" s="269"/>
      <c r="J658" s="269"/>
      <c r="K658" s="269"/>
      <c r="L658" s="269"/>
      <c r="M658" s="269"/>
      <c r="N658" s="269"/>
      <c r="O658" s="269"/>
      <c r="P658" s="269"/>
      <c r="Q658" s="269"/>
      <c r="R658" s="269"/>
      <c r="S658" s="269"/>
      <c r="T658" s="269"/>
      <c r="U658" s="269"/>
      <c r="V658" s="269"/>
      <c r="W658" s="269"/>
      <c r="X658" s="269"/>
      <c r="Y658" s="269"/>
      <c r="Z658" s="269"/>
      <c r="AA658" s="269"/>
      <c r="AB658" s="269"/>
      <c r="AC658" s="269"/>
      <c r="AD658" s="269"/>
      <c r="AE658" s="269"/>
      <c r="AF658" s="269"/>
      <c r="AG658" s="269"/>
      <c r="AH658" s="269"/>
      <c r="AI658" s="269"/>
      <c r="AJ658" s="269"/>
      <c r="AK658" s="269"/>
      <c r="AL658" s="269"/>
      <c r="AM658" s="269"/>
      <c r="AN658" s="269"/>
      <c r="AO658" s="269"/>
      <c r="AP658" s="269"/>
      <c r="AQ658" s="269"/>
      <c r="AR658" s="269"/>
    </row>
    <row r="659">
      <c r="A659" s="410"/>
      <c r="B659" s="410"/>
      <c r="C659" s="410"/>
      <c r="D659" s="410"/>
      <c r="E659" s="410"/>
      <c r="F659" s="410"/>
      <c r="H659" s="269"/>
      <c r="I659" s="269"/>
      <c r="J659" s="269"/>
      <c r="K659" s="269"/>
      <c r="L659" s="269"/>
      <c r="M659" s="269"/>
      <c r="N659" s="269"/>
      <c r="O659" s="269"/>
      <c r="P659" s="269"/>
      <c r="Q659" s="269"/>
      <c r="R659" s="269"/>
      <c r="S659" s="269"/>
      <c r="T659" s="269"/>
      <c r="U659" s="269"/>
      <c r="V659" s="269"/>
      <c r="W659" s="269"/>
      <c r="X659" s="269"/>
      <c r="Y659" s="269"/>
      <c r="Z659" s="269"/>
      <c r="AA659" s="269"/>
      <c r="AB659" s="269"/>
      <c r="AC659" s="269"/>
      <c r="AD659" s="269"/>
      <c r="AE659" s="269"/>
      <c r="AF659" s="269"/>
      <c r="AG659" s="269"/>
      <c r="AH659" s="269"/>
      <c r="AI659" s="269"/>
      <c r="AJ659" s="269"/>
      <c r="AK659" s="269"/>
      <c r="AL659" s="269"/>
      <c r="AM659" s="269"/>
      <c r="AN659" s="269"/>
      <c r="AO659" s="269"/>
      <c r="AP659" s="269"/>
      <c r="AQ659" s="269"/>
      <c r="AR659" s="269"/>
    </row>
    <row r="660">
      <c r="A660" s="410"/>
      <c r="B660" s="410"/>
      <c r="C660" s="410"/>
      <c r="D660" s="410"/>
      <c r="E660" s="410"/>
      <c r="F660" s="410"/>
      <c r="H660" s="269"/>
      <c r="I660" s="269"/>
      <c r="J660" s="269"/>
      <c r="K660" s="269"/>
      <c r="L660" s="269"/>
      <c r="M660" s="269"/>
      <c r="N660" s="269"/>
      <c r="O660" s="269"/>
      <c r="P660" s="269"/>
      <c r="Q660" s="269"/>
      <c r="R660" s="269"/>
      <c r="S660" s="269"/>
      <c r="T660" s="269"/>
      <c r="U660" s="269"/>
      <c r="V660" s="269"/>
      <c r="W660" s="269"/>
      <c r="X660" s="269"/>
      <c r="Y660" s="269"/>
      <c r="Z660" s="269"/>
      <c r="AA660" s="269"/>
      <c r="AB660" s="269"/>
      <c r="AC660" s="269"/>
      <c r="AD660" s="269"/>
      <c r="AE660" s="269"/>
      <c r="AF660" s="269"/>
      <c r="AG660" s="269"/>
      <c r="AH660" s="269"/>
      <c r="AI660" s="269"/>
      <c r="AJ660" s="269"/>
      <c r="AK660" s="269"/>
      <c r="AL660" s="269"/>
      <c r="AM660" s="269"/>
      <c r="AN660" s="269"/>
      <c r="AO660" s="269"/>
      <c r="AP660" s="269"/>
      <c r="AQ660" s="269"/>
      <c r="AR660" s="269"/>
    </row>
    <row r="661">
      <c r="A661" s="410"/>
      <c r="B661" s="410"/>
      <c r="C661" s="410"/>
      <c r="D661" s="410"/>
      <c r="E661" s="410"/>
      <c r="F661" s="410"/>
      <c r="H661" s="269"/>
      <c r="I661" s="269"/>
      <c r="J661" s="269"/>
      <c r="K661" s="269"/>
      <c r="L661" s="269"/>
      <c r="M661" s="269"/>
      <c r="N661" s="269"/>
      <c r="O661" s="269"/>
      <c r="P661" s="269"/>
      <c r="Q661" s="269"/>
      <c r="R661" s="269"/>
      <c r="S661" s="269"/>
      <c r="T661" s="269"/>
      <c r="U661" s="269"/>
      <c r="V661" s="269"/>
      <c r="W661" s="269"/>
      <c r="X661" s="269"/>
      <c r="Y661" s="269"/>
      <c r="Z661" s="269"/>
      <c r="AA661" s="269"/>
      <c r="AB661" s="269"/>
      <c r="AC661" s="269"/>
      <c r="AD661" s="269"/>
      <c r="AE661" s="269"/>
      <c r="AF661" s="269"/>
      <c r="AG661" s="269"/>
      <c r="AH661" s="269"/>
      <c r="AI661" s="269"/>
      <c r="AJ661" s="269"/>
      <c r="AK661" s="269"/>
      <c r="AL661" s="269"/>
      <c r="AM661" s="269"/>
      <c r="AN661" s="269"/>
      <c r="AO661" s="269"/>
      <c r="AP661" s="269"/>
      <c r="AQ661" s="269"/>
      <c r="AR661" s="269"/>
    </row>
    <row r="662">
      <c r="A662" s="410"/>
      <c r="B662" s="410"/>
      <c r="C662" s="410"/>
      <c r="D662" s="410"/>
      <c r="E662" s="410"/>
      <c r="F662" s="410"/>
      <c r="H662" s="269"/>
      <c r="I662" s="269"/>
      <c r="J662" s="269"/>
      <c r="K662" s="269"/>
      <c r="L662" s="269"/>
      <c r="M662" s="269"/>
      <c r="N662" s="269"/>
      <c r="O662" s="269"/>
      <c r="P662" s="269"/>
      <c r="Q662" s="269"/>
      <c r="R662" s="269"/>
      <c r="S662" s="269"/>
      <c r="T662" s="269"/>
      <c r="U662" s="269"/>
      <c r="V662" s="269"/>
      <c r="W662" s="269"/>
      <c r="X662" s="269"/>
      <c r="Y662" s="269"/>
      <c r="Z662" s="269"/>
      <c r="AA662" s="269"/>
      <c r="AB662" s="269"/>
      <c r="AC662" s="269"/>
      <c r="AD662" s="269"/>
      <c r="AE662" s="269"/>
      <c r="AF662" s="269"/>
      <c r="AG662" s="269"/>
      <c r="AH662" s="269"/>
      <c r="AI662" s="269"/>
      <c r="AJ662" s="269"/>
      <c r="AK662" s="269"/>
      <c r="AL662" s="269"/>
      <c r="AM662" s="269"/>
      <c r="AN662" s="269"/>
      <c r="AO662" s="269"/>
      <c r="AP662" s="269"/>
      <c r="AQ662" s="269"/>
      <c r="AR662" s="269"/>
    </row>
    <row r="663">
      <c r="A663" s="410"/>
      <c r="B663" s="410"/>
      <c r="C663" s="410"/>
      <c r="D663" s="410"/>
      <c r="E663" s="410"/>
      <c r="F663" s="410"/>
      <c r="H663" s="269"/>
      <c r="I663" s="269"/>
      <c r="J663" s="269"/>
      <c r="K663" s="269"/>
      <c r="L663" s="269"/>
      <c r="M663" s="269"/>
      <c r="N663" s="269"/>
      <c r="O663" s="269"/>
      <c r="P663" s="269"/>
      <c r="Q663" s="269"/>
      <c r="R663" s="269"/>
      <c r="S663" s="269"/>
      <c r="T663" s="269"/>
      <c r="U663" s="269"/>
      <c r="V663" s="269"/>
      <c r="W663" s="269"/>
      <c r="X663" s="269"/>
      <c r="Y663" s="269"/>
      <c r="Z663" s="269"/>
      <c r="AA663" s="269"/>
      <c r="AB663" s="269"/>
      <c r="AC663" s="269"/>
      <c r="AD663" s="269"/>
      <c r="AE663" s="269"/>
      <c r="AF663" s="269"/>
      <c r="AG663" s="269"/>
      <c r="AH663" s="269"/>
      <c r="AI663" s="269"/>
      <c r="AJ663" s="269"/>
      <c r="AK663" s="269"/>
      <c r="AL663" s="269"/>
      <c r="AM663" s="269"/>
      <c r="AN663" s="269"/>
      <c r="AO663" s="269"/>
      <c r="AP663" s="269"/>
      <c r="AQ663" s="269"/>
      <c r="AR663" s="269"/>
    </row>
    <row r="664">
      <c r="A664" s="410"/>
      <c r="B664" s="410"/>
      <c r="C664" s="410"/>
      <c r="D664" s="410"/>
      <c r="E664" s="410"/>
      <c r="F664" s="410"/>
      <c r="H664" s="269"/>
      <c r="I664" s="269"/>
      <c r="J664" s="269"/>
      <c r="K664" s="269"/>
      <c r="L664" s="269"/>
      <c r="M664" s="269"/>
      <c r="N664" s="269"/>
      <c r="O664" s="269"/>
      <c r="P664" s="269"/>
      <c r="Q664" s="269"/>
      <c r="R664" s="269"/>
      <c r="S664" s="269"/>
      <c r="T664" s="269"/>
      <c r="U664" s="269"/>
      <c r="V664" s="269"/>
      <c r="W664" s="269"/>
      <c r="X664" s="269"/>
      <c r="Y664" s="269"/>
      <c r="Z664" s="269"/>
      <c r="AA664" s="269"/>
      <c r="AB664" s="269"/>
      <c r="AC664" s="269"/>
      <c r="AD664" s="269"/>
      <c r="AE664" s="269"/>
      <c r="AF664" s="269"/>
      <c r="AG664" s="269"/>
      <c r="AH664" s="269"/>
      <c r="AI664" s="269"/>
      <c r="AJ664" s="269"/>
      <c r="AK664" s="269"/>
      <c r="AL664" s="269"/>
      <c r="AM664" s="269"/>
      <c r="AN664" s="269"/>
      <c r="AO664" s="269"/>
      <c r="AP664" s="269"/>
      <c r="AQ664" s="269"/>
      <c r="AR664" s="269"/>
    </row>
    <row r="665">
      <c r="A665" s="410"/>
      <c r="B665" s="410"/>
      <c r="C665" s="410"/>
      <c r="D665" s="410"/>
      <c r="E665" s="410"/>
      <c r="F665" s="410"/>
      <c r="H665" s="269"/>
      <c r="I665" s="269"/>
      <c r="J665" s="269"/>
      <c r="K665" s="269"/>
      <c r="L665" s="269"/>
      <c r="M665" s="269"/>
      <c r="N665" s="269"/>
      <c r="O665" s="269"/>
      <c r="P665" s="269"/>
      <c r="Q665" s="269"/>
      <c r="R665" s="269"/>
      <c r="S665" s="269"/>
      <c r="T665" s="269"/>
      <c r="U665" s="269"/>
      <c r="V665" s="269"/>
      <c r="W665" s="269"/>
      <c r="X665" s="269"/>
      <c r="Y665" s="269"/>
      <c r="Z665" s="269"/>
      <c r="AA665" s="269"/>
      <c r="AB665" s="269"/>
      <c r="AC665" s="269"/>
      <c r="AD665" s="269"/>
      <c r="AE665" s="269"/>
      <c r="AF665" s="269"/>
      <c r="AG665" s="269"/>
      <c r="AH665" s="269"/>
      <c r="AI665" s="269"/>
      <c r="AJ665" s="269"/>
      <c r="AK665" s="269"/>
      <c r="AL665" s="269"/>
      <c r="AM665" s="269"/>
      <c r="AN665" s="269"/>
      <c r="AO665" s="269"/>
      <c r="AP665" s="269"/>
      <c r="AQ665" s="269"/>
      <c r="AR665" s="269"/>
    </row>
    <row r="666">
      <c r="A666" s="410"/>
      <c r="B666" s="410"/>
      <c r="C666" s="410"/>
      <c r="D666" s="410"/>
      <c r="E666" s="410"/>
      <c r="F666" s="410"/>
      <c r="H666" s="269"/>
      <c r="I666" s="269"/>
      <c r="J666" s="269"/>
      <c r="K666" s="269"/>
      <c r="L666" s="269"/>
      <c r="M666" s="269"/>
      <c r="N666" s="269"/>
      <c r="O666" s="269"/>
      <c r="P666" s="269"/>
      <c r="Q666" s="269"/>
      <c r="R666" s="269"/>
      <c r="S666" s="269"/>
      <c r="T666" s="269"/>
      <c r="U666" s="269"/>
      <c r="V666" s="269"/>
      <c r="W666" s="269"/>
      <c r="X666" s="269"/>
      <c r="Y666" s="269"/>
      <c r="Z666" s="269"/>
      <c r="AA666" s="269"/>
      <c r="AB666" s="269"/>
      <c r="AC666" s="269"/>
      <c r="AD666" s="269"/>
      <c r="AE666" s="269"/>
      <c r="AF666" s="269"/>
      <c r="AG666" s="269"/>
      <c r="AH666" s="269"/>
      <c r="AI666" s="269"/>
      <c r="AJ666" s="269"/>
      <c r="AK666" s="269"/>
      <c r="AL666" s="269"/>
      <c r="AM666" s="269"/>
      <c r="AN666" s="269"/>
      <c r="AO666" s="269"/>
      <c r="AP666" s="269"/>
      <c r="AQ666" s="269"/>
      <c r="AR666" s="269"/>
    </row>
    <row r="667">
      <c r="A667" s="410"/>
      <c r="B667" s="410"/>
      <c r="C667" s="410"/>
      <c r="D667" s="410"/>
      <c r="E667" s="410"/>
      <c r="F667" s="410"/>
      <c r="H667" s="269"/>
      <c r="I667" s="269"/>
      <c r="J667" s="269"/>
      <c r="K667" s="269"/>
      <c r="L667" s="269"/>
      <c r="M667" s="269"/>
      <c r="N667" s="269"/>
      <c r="O667" s="269"/>
      <c r="P667" s="269"/>
      <c r="Q667" s="269"/>
      <c r="R667" s="269"/>
      <c r="S667" s="269"/>
      <c r="T667" s="269"/>
      <c r="U667" s="269"/>
      <c r="V667" s="269"/>
      <c r="W667" s="269"/>
      <c r="X667" s="269"/>
      <c r="Y667" s="269"/>
      <c r="Z667" s="269"/>
      <c r="AA667" s="269"/>
      <c r="AB667" s="269"/>
      <c r="AC667" s="269"/>
      <c r="AD667" s="269"/>
      <c r="AE667" s="269"/>
      <c r="AF667" s="269"/>
      <c r="AG667" s="269"/>
      <c r="AH667" s="269"/>
      <c r="AI667" s="269"/>
      <c r="AJ667" s="269"/>
      <c r="AK667" s="269"/>
      <c r="AL667" s="269"/>
      <c r="AM667" s="269"/>
      <c r="AN667" s="269"/>
      <c r="AO667" s="269"/>
      <c r="AP667" s="269"/>
      <c r="AQ667" s="269"/>
      <c r="AR667" s="269"/>
    </row>
    <row r="668">
      <c r="A668" s="410"/>
      <c r="B668" s="410"/>
      <c r="C668" s="410"/>
      <c r="D668" s="410"/>
      <c r="E668" s="410"/>
      <c r="F668" s="410"/>
      <c r="H668" s="269"/>
      <c r="I668" s="269"/>
      <c r="J668" s="269"/>
      <c r="K668" s="269"/>
      <c r="L668" s="269"/>
      <c r="M668" s="269"/>
      <c r="N668" s="269"/>
      <c r="O668" s="269"/>
      <c r="P668" s="269"/>
      <c r="Q668" s="269"/>
      <c r="R668" s="269"/>
      <c r="S668" s="269"/>
      <c r="T668" s="269"/>
      <c r="U668" s="269"/>
      <c r="V668" s="269"/>
      <c r="W668" s="269"/>
      <c r="X668" s="269"/>
      <c r="Y668" s="269"/>
      <c r="Z668" s="269"/>
      <c r="AA668" s="269"/>
      <c r="AB668" s="269"/>
      <c r="AC668" s="269"/>
      <c r="AD668" s="269"/>
      <c r="AE668" s="269"/>
      <c r="AF668" s="269"/>
      <c r="AG668" s="269"/>
      <c r="AH668" s="269"/>
      <c r="AI668" s="269"/>
      <c r="AJ668" s="269"/>
      <c r="AK668" s="269"/>
      <c r="AL668" s="269"/>
      <c r="AM668" s="269"/>
      <c r="AN668" s="269"/>
      <c r="AO668" s="269"/>
      <c r="AP668" s="269"/>
      <c r="AQ668" s="269"/>
      <c r="AR668" s="269"/>
    </row>
    <row r="669">
      <c r="A669" s="410"/>
      <c r="B669" s="410"/>
      <c r="C669" s="410"/>
      <c r="D669" s="410"/>
      <c r="E669" s="410"/>
      <c r="F669" s="410"/>
      <c r="H669" s="269"/>
      <c r="I669" s="269"/>
      <c r="J669" s="269"/>
      <c r="K669" s="269"/>
      <c r="L669" s="269"/>
      <c r="M669" s="269"/>
      <c r="N669" s="269"/>
      <c r="O669" s="269"/>
      <c r="P669" s="269"/>
      <c r="Q669" s="269"/>
      <c r="R669" s="269"/>
      <c r="S669" s="269"/>
      <c r="T669" s="269"/>
      <c r="U669" s="269"/>
      <c r="V669" s="269"/>
      <c r="W669" s="269"/>
      <c r="X669" s="269"/>
      <c r="Y669" s="269"/>
      <c r="Z669" s="269"/>
      <c r="AA669" s="269"/>
      <c r="AB669" s="269"/>
      <c r="AC669" s="269"/>
      <c r="AD669" s="269"/>
      <c r="AE669" s="269"/>
      <c r="AF669" s="269"/>
      <c r="AG669" s="269"/>
      <c r="AH669" s="269"/>
      <c r="AI669" s="269"/>
      <c r="AJ669" s="269"/>
      <c r="AK669" s="269"/>
      <c r="AL669" s="269"/>
      <c r="AM669" s="269"/>
      <c r="AN669" s="269"/>
      <c r="AO669" s="269"/>
      <c r="AP669" s="269"/>
      <c r="AQ669" s="269"/>
      <c r="AR669" s="269"/>
    </row>
    <row r="670">
      <c r="A670" s="410"/>
      <c r="B670" s="410"/>
      <c r="C670" s="410"/>
      <c r="D670" s="410"/>
      <c r="E670" s="410"/>
      <c r="F670" s="410"/>
      <c r="H670" s="269"/>
      <c r="I670" s="269"/>
      <c r="J670" s="269"/>
      <c r="K670" s="269"/>
      <c r="L670" s="269"/>
      <c r="M670" s="269"/>
      <c r="N670" s="269"/>
      <c r="O670" s="269"/>
      <c r="P670" s="269"/>
      <c r="Q670" s="269"/>
      <c r="R670" s="269"/>
      <c r="S670" s="269"/>
      <c r="T670" s="269"/>
      <c r="U670" s="269"/>
      <c r="V670" s="269"/>
      <c r="W670" s="269"/>
      <c r="X670" s="269"/>
      <c r="Y670" s="269"/>
      <c r="Z670" s="269"/>
      <c r="AA670" s="269"/>
      <c r="AB670" s="269"/>
      <c r="AC670" s="269"/>
      <c r="AD670" s="269"/>
      <c r="AE670" s="269"/>
      <c r="AF670" s="269"/>
      <c r="AG670" s="269"/>
      <c r="AH670" s="269"/>
      <c r="AI670" s="269"/>
      <c r="AJ670" s="269"/>
      <c r="AK670" s="269"/>
      <c r="AL670" s="269"/>
      <c r="AM670" s="269"/>
      <c r="AN670" s="269"/>
      <c r="AO670" s="269"/>
      <c r="AP670" s="269"/>
      <c r="AQ670" s="269"/>
      <c r="AR670" s="269"/>
    </row>
    <row r="671">
      <c r="A671" s="410"/>
      <c r="B671" s="410"/>
      <c r="C671" s="410"/>
      <c r="D671" s="410"/>
      <c r="E671" s="410"/>
      <c r="F671" s="410"/>
      <c r="H671" s="269"/>
      <c r="I671" s="269"/>
      <c r="J671" s="269"/>
      <c r="K671" s="269"/>
      <c r="L671" s="269"/>
      <c r="M671" s="269"/>
      <c r="N671" s="269"/>
      <c r="O671" s="269"/>
      <c r="P671" s="269"/>
      <c r="Q671" s="269"/>
      <c r="R671" s="269"/>
      <c r="S671" s="269"/>
      <c r="T671" s="269"/>
      <c r="U671" s="269"/>
      <c r="V671" s="269"/>
      <c r="W671" s="269"/>
      <c r="X671" s="269"/>
      <c r="Y671" s="269"/>
      <c r="Z671" s="269"/>
      <c r="AA671" s="269"/>
      <c r="AB671" s="269"/>
      <c r="AC671" s="269"/>
      <c r="AD671" s="269"/>
      <c r="AE671" s="269"/>
      <c r="AF671" s="269"/>
      <c r="AG671" s="269"/>
      <c r="AH671" s="269"/>
      <c r="AI671" s="269"/>
      <c r="AJ671" s="269"/>
      <c r="AK671" s="269"/>
      <c r="AL671" s="269"/>
      <c r="AM671" s="269"/>
      <c r="AN671" s="269"/>
      <c r="AO671" s="269"/>
      <c r="AP671" s="269"/>
      <c r="AQ671" s="269"/>
      <c r="AR671" s="269"/>
    </row>
    <row r="672">
      <c r="A672" s="410"/>
      <c r="B672" s="410"/>
      <c r="C672" s="410"/>
      <c r="D672" s="410"/>
      <c r="E672" s="410"/>
      <c r="F672" s="410"/>
      <c r="H672" s="269"/>
      <c r="I672" s="269"/>
      <c r="J672" s="269"/>
      <c r="K672" s="269"/>
      <c r="L672" s="269"/>
      <c r="M672" s="269"/>
      <c r="N672" s="269"/>
      <c r="O672" s="269"/>
      <c r="P672" s="269"/>
      <c r="Q672" s="269"/>
      <c r="R672" s="269"/>
      <c r="S672" s="269"/>
      <c r="T672" s="269"/>
      <c r="U672" s="269"/>
      <c r="V672" s="269"/>
      <c r="W672" s="269"/>
      <c r="X672" s="269"/>
      <c r="Y672" s="269"/>
      <c r="Z672" s="269"/>
      <c r="AA672" s="269"/>
      <c r="AB672" s="269"/>
      <c r="AC672" s="269"/>
      <c r="AD672" s="269"/>
      <c r="AE672" s="269"/>
      <c r="AF672" s="269"/>
      <c r="AG672" s="269"/>
      <c r="AH672" s="269"/>
      <c r="AI672" s="269"/>
      <c r="AJ672" s="269"/>
      <c r="AK672" s="269"/>
      <c r="AL672" s="269"/>
      <c r="AM672" s="269"/>
      <c r="AN672" s="269"/>
      <c r="AO672" s="269"/>
      <c r="AP672" s="269"/>
      <c r="AQ672" s="269"/>
      <c r="AR672" s="269"/>
    </row>
    <row r="673">
      <c r="A673" s="410"/>
      <c r="B673" s="410"/>
      <c r="C673" s="410"/>
      <c r="D673" s="410"/>
      <c r="E673" s="410"/>
      <c r="F673" s="410"/>
      <c r="H673" s="269"/>
      <c r="I673" s="269"/>
      <c r="J673" s="269"/>
      <c r="K673" s="269"/>
      <c r="L673" s="269"/>
      <c r="M673" s="269"/>
      <c r="N673" s="269"/>
      <c r="O673" s="269"/>
      <c r="P673" s="269"/>
      <c r="Q673" s="269"/>
      <c r="R673" s="269"/>
      <c r="S673" s="269"/>
      <c r="T673" s="269"/>
      <c r="U673" s="269"/>
      <c r="V673" s="269"/>
      <c r="W673" s="269"/>
      <c r="X673" s="269"/>
      <c r="Y673" s="269"/>
      <c r="Z673" s="269"/>
      <c r="AA673" s="269"/>
      <c r="AB673" s="269"/>
      <c r="AC673" s="269"/>
      <c r="AD673" s="269"/>
      <c r="AE673" s="269"/>
      <c r="AF673" s="269"/>
      <c r="AG673" s="269"/>
      <c r="AH673" s="269"/>
      <c r="AI673" s="269"/>
      <c r="AJ673" s="269"/>
      <c r="AK673" s="269"/>
      <c r="AL673" s="269"/>
      <c r="AM673" s="269"/>
      <c r="AN673" s="269"/>
      <c r="AO673" s="269"/>
      <c r="AP673" s="269"/>
      <c r="AQ673" s="269"/>
      <c r="AR673" s="269"/>
    </row>
    <row r="674">
      <c r="A674" s="410"/>
      <c r="B674" s="410"/>
      <c r="C674" s="410"/>
      <c r="D674" s="410"/>
      <c r="E674" s="410"/>
      <c r="F674" s="410"/>
      <c r="H674" s="269"/>
      <c r="I674" s="269"/>
      <c r="J674" s="269"/>
      <c r="K674" s="269"/>
      <c r="L674" s="269"/>
      <c r="M674" s="269"/>
      <c r="N674" s="269"/>
      <c r="O674" s="269"/>
      <c r="P674" s="269"/>
      <c r="Q674" s="269"/>
      <c r="R674" s="269"/>
      <c r="S674" s="269"/>
      <c r="T674" s="269"/>
      <c r="U674" s="269"/>
      <c r="V674" s="269"/>
      <c r="W674" s="269"/>
      <c r="X674" s="269"/>
      <c r="Y674" s="269"/>
      <c r="Z674" s="269"/>
      <c r="AA674" s="269"/>
      <c r="AB674" s="269"/>
      <c r="AC674" s="269"/>
      <c r="AD674" s="269"/>
      <c r="AE674" s="269"/>
      <c r="AF674" s="269"/>
      <c r="AG674" s="269"/>
      <c r="AH674" s="269"/>
      <c r="AI674" s="269"/>
      <c r="AJ674" s="269"/>
      <c r="AK674" s="269"/>
      <c r="AL674" s="269"/>
      <c r="AM674" s="269"/>
      <c r="AN674" s="269"/>
      <c r="AO674" s="269"/>
      <c r="AP674" s="269"/>
      <c r="AQ674" s="269"/>
      <c r="AR674" s="269"/>
    </row>
    <row r="675">
      <c r="A675" s="410"/>
      <c r="B675" s="410"/>
      <c r="C675" s="410"/>
      <c r="D675" s="410"/>
      <c r="E675" s="410"/>
      <c r="F675" s="410"/>
      <c r="H675" s="269"/>
      <c r="I675" s="269"/>
      <c r="J675" s="269"/>
      <c r="K675" s="269"/>
      <c r="L675" s="269"/>
      <c r="M675" s="269"/>
      <c r="N675" s="269"/>
      <c r="O675" s="269"/>
      <c r="P675" s="269"/>
      <c r="Q675" s="269"/>
      <c r="R675" s="269"/>
      <c r="S675" s="269"/>
      <c r="T675" s="269"/>
      <c r="U675" s="269"/>
      <c r="V675" s="269"/>
      <c r="W675" s="269"/>
      <c r="X675" s="269"/>
      <c r="Y675" s="269"/>
      <c r="Z675" s="269"/>
      <c r="AA675" s="269"/>
      <c r="AB675" s="269"/>
      <c r="AC675" s="269"/>
      <c r="AD675" s="269"/>
      <c r="AE675" s="269"/>
      <c r="AF675" s="269"/>
      <c r="AG675" s="269"/>
      <c r="AH675" s="269"/>
      <c r="AI675" s="269"/>
      <c r="AJ675" s="269"/>
      <c r="AK675" s="269"/>
      <c r="AL675" s="269"/>
      <c r="AM675" s="269"/>
      <c r="AN675" s="269"/>
      <c r="AO675" s="269"/>
      <c r="AP675" s="269"/>
      <c r="AQ675" s="269"/>
      <c r="AR675" s="269"/>
    </row>
    <row r="676">
      <c r="A676" s="410"/>
      <c r="B676" s="410"/>
      <c r="C676" s="410"/>
      <c r="D676" s="410"/>
      <c r="E676" s="410"/>
      <c r="F676" s="410"/>
      <c r="H676" s="269"/>
      <c r="I676" s="269"/>
      <c r="J676" s="269"/>
      <c r="K676" s="269"/>
      <c r="L676" s="269"/>
      <c r="M676" s="269"/>
      <c r="N676" s="269"/>
      <c r="O676" s="269"/>
      <c r="P676" s="269"/>
      <c r="Q676" s="269"/>
      <c r="R676" s="269"/>
      <c r="S676" s="269"/>
      <c r="T676" s="269"/>
      <c r="U676" s="269"/>
      <c r="V676" s="269"/>
      <c r="W676" s="269"/>
      <c r="X676" s="269"/>
      <c r="Y676" s="269"/>
      <c r="Z676" s="269"/>
      <c r="AA676" s="269"/>
      <c r="AB676" s="269"/>
      <c r="AC676" s="269"/>
      <c r="AD676" s="269"/>
      <c r="AE676" s="269"/>
      <c r="AF676" s="269"/>
      <c r="AG676" s="269"/>
      <c r="AH676" s="269"/>
      <c r="AI676" s="269"/>
      <c r="AJ676" s="269"/>
      <c r="AK676" s="269"/>
      <c r="AL676" s="269"/>
      <c r="AM676" s="269"/>
      <c r="AN676" s="269"/>
      <c r="AO676" s="269"/>
      <c r="AP676" s="269"/>
      <c r="AQ676" s="269"/>
      <c r="AR676" s="269"/>
    </row>
    <row r="677">
      <c r="A677" s="410"/>
      <c r="B677" s="410"/>
      <c r="C677" s="410"/>
      <c r="D677" s="410"/>
      <c r="E677" s="410"/>
      <c r="F677" s="410"/>
      <c r="H677" s="269"/>
      <c r="I677" s="269"/>
      <c r="J677" s="269"/>
      <c r="K677" s="269"/>
      <c r="L677" s="269"/>
      <c r="M677" s="269"/>
      <c r="N677" s="269"/>
      <c r="O677" s="269"/>
      <c r="P677" s="269"/>
      <c r="Q677" s="269"/>
      <c r="R677" s="269"/>
      <c r="S677" s="269"/>
      <c r="T677" s="269"/>
      <c r="U677" s="269"/>
      <c r="V677" s="269"/>
      <c r="W677" s="269"/>
      <c r="X677" s="269"/>
      <c r="Y677" s="269"/>
      <c r="Z677" s="269"/>
      <c r="AA677" s="269"/>
      <c r="AB677" s="269"/>
      <c r="AC677" s="269"/>
      <c r="AD677" s="269"/>
      <c r="AE677" s="269"/>
      <c r="AF677" s="269"/>
      <c r="AG677" s="269"/>
      <c r="AH677" s="269"/>
      <c r="AI677" s="269"/>
      <c r="AJ677" s="269"/>
      <c r="AK677" s="269"/>
      <c r="AL677" s="269"/>
      <c r="AM677" s="269"/>
      <c r="AN677" s="269"/>
      <c r="AO677" s="269"/>
      <c r="AP677" s="269"/>
      <c r="AQ677" s="269"/>
      <c r="AR677" s="269"/>
    </row>
    <row r="678">
      <c r="A678" s="410"/>
      <c r="B678" s="410"/>
      <c r="C678" s="410"/>
      <c r="D678" s="410"/>
      <c r="E678" s="410"/>
      <c r="F678" s="410"/>
      <c r="H678" s="269"/>
      <c r="I678" s="269"/>
      <c r="J678" s="269"/>
      <c r="K678" s="269"/>
      <c r="L678" s="269"/>
      <c r="M678" s="269"/>
      <c r="N678" s="269"/>
      <c r="O678" s="269"/>
      <c r="P678" s="269"/>
      <c r="Q678" s="269"/>
      <c r="R678" s="269"/>
      <c r="S678" s="269"/>
      <c r="T678" s="269"/>
      <c r="U678" s="269"/>
      <c r="V678" s="269"/>
      <c r="W678" s="269"/>
      <c r="X678" s="269"/>
      <c r="Y678" s="269"/>
      <c r="Z678" s="269"/>
      <c r="AA678" s="269"/>
      <c r="AB678" s="269"/>
      <c r="AC678" s="269"/>
      <c r="AD678" s="269"/>
      <c r="AE678" s="269"/>
      <c r="AF678" s="269"/>
      <c r="AG678" s="269"/>
      <c r="AH678" s="269"/>
      <c r="AI678" s="269"/>
      <c r="AJ678" s="269"/>
      <c r="AK678" s="269"/>
      <c r="AL678" s="269"/>
      <c r="AM678" s="269"/>
      <c r="AN678" s="269"/>
      <c r="AO678" s="269"/>
      <c r="AP678" s="269"/>
      <c r="AQ678" s="269"/>
      <c r="AR678" s="269"/>
    </row>
    <row r="679">
      <c r="A679" s="410"/>
      <c r="B679" s="410"/>
      <c r="C679" s="410"/>
      <c r="D679" s="410"/>
      <c r="E679" s="410"/>
      <c r="F679" s="410"/>
      <c r="H679" s="269"/>
      <c r="I679" s="269"/>
      <c r="J679" s="269"/>
      <c r="K679" s="269"/>
      <c r="L679" s="269"/>
      <c r="M679" s="269"/>
      <c r="N679" s="269"/>
      <c r="O679" s="269"/>
      <c r="P679" s="269"/>
      <c r="Q679" s="269"/>
      <c r="R679" s="269"/>
      <c r="S679" s="269"/>
      <c r="T679" s="269"/>
      <c r="U679" s="269"/>
      <c r="V679" s="269"/>
      <c r="W679" s="269"/>
      <c r="X679" s="269"/>
      <c r="Y679" s="269"/>
      <c r="Z679" s="269"/>
      <c r="AA679" s="269"/>
      <c r="AB679" s="269"/>
      <c r="AC679" s="269"/>
      <c r="AD679" s="269"/>
      <c r="AE679" s="269"/>
      <c r="AF679" s="269"/>
      <c r="AG679" s="269"/>
      <c r="AH679" s="269"/>
      <c r="AI679" s="269"/>
      <c r="AJ679" s="269"/>
      <c r="AK679" s="269"/>
      <c r="AL679" s="269"/>
      <c r="AM679" s="269"/>
      <c r="AN679" s="269"/>
      <c r="AO679" s="269"/>
      <c r="AP679" s="269"/>
      <c r="AQ679" s="269"/>
      <c r="AR679" s="269"/>
    </row>
    <row r="680">
      <c r="A680" s="410"/>
      <c r="B680" s="410"/>
      <c r="C680" s="410"/>
      <c r="D680" s="410"/>
      <c r="E680" s="410"/>
      <c r="F680" s="410"/>
      <c r="H680" s="269"/>
      <c r="I680" s="269"/>
      <c r="J680" s="269"/>
      <c r="K680" s="269"/>
      <c r="L680" s="269"/>
      <c r="M680" s="269"/>
      <c r="N680" s="269"/>
      <c r="O680" s="269"/>
      <c r="P680" s="269"/>
      <c r="Q680" s="269"/>
      <c r="R680" s="269"/>
      <c r="S680" s="269"/>
      <c r="T680" s="269"/>
      <c r="U680" s="269"/>
      <c r="V680" s="269"/>
      <c r="W680" s="269"/>
      <c r="X680" s="269"/>
      <c r="Y680" s="269"/>
      <c r="Z680" s="269"/>
      <c r="AA680" s="269"/>
      <c r="AB680" s="269"/>
      <c r="AC680" s="269"/>
      <c r="AD680" s="269"/>
      <c r="AE680" s="269"/>
      <c r="AF680" s="269"/>
      <c r="AG680" s="269"/>
      <c r="AH680" s="269"/>
      <c r="AI680" s="269"/>
      <c r="AJ680" s="269"/>
      <c r="AK680" s="269"/>
      <c r="AL680" s="269"/>
      <c r="AM680" s="269"/>
      <c r="AN680" s="269"/>
      <c r="AO680" s="269"/>
      <c r="AP680" s="269"/>
      <c r="AQ680" s="269"/>
      <c r="AR680" s="269"/>
    </row>
    <row r="681">
      <c r="A681" s="410"/>
      <c r="B681" s="410"/>
      <c r="C681" s="410"/>
      <c r="D681" s="410"/>
      <c r="E681" s="410"/>
      <c r="F681" s="410"/>
      <c r="H681" s="269"/>
      <c r="I681" s="269"/>
      <c r="J681" s="269"/>
      <c r="K681" s="269"/>
      <c r="L681" s="269"/>
      <c r="M681" s="269"/>
      <c r="N681" s="269"/>
      <c r="O681" s="269"/>
      <c r="P681" s="269"/>
      <c r="Q681" s="269"/>
      <c r="R681" s="269"/>
      <c r="S681" s="269"/>
      <c r="T681" s="269"/>
      <c r="U681" s="269"/>
      <c r="V681" s="269"/>
      <c r="W681" s="269"/>
      <c r="X681" s="269"/>
      <c r="Y681" s="269"/>
      <c r="Z681" s="269"/>
      <c r="AA681" s="269"/>
      <c r="AB681" s="269"/>
      <c r="AC681" s="269"/>
      <c r="AD681" s="269"/>
      <c r="AE681" s="269"/>
      <c r="AF681" s="269"/>
      <c r="AG681" s="269"/>
      <c r="AH681" s="269"/>
      <c r="AI681" s="269"/>
      <c r="AJ681" s="269"/>
      <c r="AK681" s="269"/>
      <c r="AL681" s="269"/>
      <c r="AM681" s="269"/>
      <c r="AN681" s="269"/>
      <c r="AO681" s="269"/>
      <c r="AP681" s="269"/>
      <c r="AQ681" s="269"/>
      <c r="AR681" s="269"/>
    </row>
    <row r="682">
      <c r="A682" s="410"/>
      <c r="B682" s="410"/>
      <c r="C682" s="410"/>
      <c r="D682" s="410"/>
      <c r="E682" s="410"/>
      <c r="F682" s="410"/>
      <c r="H682" s="269"/>
      <c r="I682" s="269"/>
      <c r="J682" s="269"/>
      <c r="K682" s="269"/>
      <c r="L682" s="269"/>
      <c r="M682" s="269"/>
      <c r="N682" s="269"/>
      <c r="O682" s="269"/>
      <c r="P682" s="269"/>
      <c r="Q682" s="269"/>
      <c r="R682" s="269"/>
      <c r="S682" s="269"/>
      <c r="T682" s="269"/>
      <c r="U682" s="269"/>
      <c r="V682" s="269"/>
      <c r="W682" s="269"/>
      <c r="X682" s="269"/>
      <c r="Y682" s="269"/>
      <c r="Z682" s="269"/>
      <c r="AA682" s="269"/>
      <c r="AB682" s="269"/>
      <c r="AC682" s="269"/>
      <c r="AD682" s="269"/>
      <c r="AE682" s="269"/>
      <c r="AF682" s="269"/>
      <c r="AG682" s="269"/>
      <c r="AH682" s="269"/>
      <c r="AI682" s="269"/>
      <c r="AJ682" s="269"/>
      <c r="AK682" s="269"/>
      <c r="AL682" s="269"/>
      <c r="AM682" s="269"/>
      <c r="AN682" s="269"/>
      <c r="AO682" s="269"/>
      <c r="AP682" s="269"/>
      <c r="AQ682" s="269"/>
      <c r="AR682" s="269"/>
    </row>
    <row r="683">
      <c r="A683" s="410"/>
      <c r="B683" s="410"/>
      <c r="C683" s="410"/>
      <c r="D683" s="410"/>
      <c r="E683" s="410"/>
      <c r="F683" s="410"/>
      <c r="H683" s="269"/>
      <c r="I683" s="269"/>
      <c r="J683" s="269"/>
      <c r="K683" s="269"/>
      <c r="L683" s="269"/>
      <c r="M683" s="269"/>
      <c r="N683" s="269"/>
      <c r="O683" s="269"/>
      <c r="P683" s="269"/>
      <c r="Q683" s="269"/>
      <c r="R683" s="269"/>
      <c r="S683" s="269"/>
      <c r="T683" s="269"/>
      <c r="U683" s="269"/>
      <c r="V683" s="269"/>
      <c r="W683" s="269"/>
      <c r="X683" s="269"/>
      <c r="Y683" s="269"/>
      <c r="Z683" s="269"/>
      <c r="AA683" s="269"/>
      <c r="AB683" s="269"/>
      <c r="AC683" s="269"/>
      <c r="AD683" s="269"/>
      <c r="AE683" s="269"/>
      <c r="AF683" s="269"/>
      <c r="AG683" s="269"/>
      <c r="AH683" s="269"/>
      <c r="AI683" s="269"/>
      <c r="AJ683" s="269"/>
      <c r="AK683" s="269"/>
      <c r="AL683" s="269"/>
      <c r="AM683" s="269"/>
      <c r="AN683" s="269"/>
      <c r="AO683" s="269"/>
      <c r="AP683" s="269"/>
      <c r="AQ683" s="269"/>
      <c r="AR683" s="269"/>
    </row>
    <row r="684">
      <c r="A684" s="410"/>
      <c r="B684" s="410"/>
      <c r="C684" s="410"/>
      <c r="D684" s="410"/>
      <c r="E684" s="410"/>
      <c r="F684" s="410"/>
      <c r="H684" s="269"/>
      <c r="I684" s="269"/>
      <c r="J684" s="269"/>
      <c r="K684" s="269"/>
      <c r="L684" s="269"/>
      <c r="M684" s="269"/>
      <c r="N684" s="269"/>
      <c r="O684" s="269"/>
      <c r="P684" s="269"/>
      <c r="Q684" s="269"/>
      <c r="R684" s="269"/>
      <c r="S684" s="269"/>
      <c r="T684" s="269"/>
      <c r="U684" s="269"/>
      <c r="V684" s="269"/>
      <c r="W684" s="269"/>
      <c r="X684" s="269"/>
      <c r="Y684" s="269"/>
      <c r="Z684" s="269"/>
      <c r="AA684" s="269"/>
      <c r="AB684" s="269"/>
      <c r="AC684" s="269"/>
      <c r="AD684" s="269"/>
      <c r="AE684" s="269"/>
      <c r="AF684" s="269"/>
      <c r="AG684" s="269"/>
      <c r="AH684" s="269"/>
      <c r="AI684" s="269"/>
      <c r="AJ684" s="269"/>
      <c r="AK684" s="269"/>
      <c r="AL684" s="269"/>
      <c r="AM684" s="269"/>
      <c r="AN684" s="269"/>
      <c r="AO684" s="269"/>
      <c r="AP684" s="269"/>
      <c r="AQ684" s="269"/>
      <c r="AR684" s="269"/>
    </row>
    <row r="685">
      <c r="A685" s="410"/>
      <c r="B685" s="410"/>
      <c r="C685" s="410"/>
      <c r="D685" s="410"/>
      <c r="E685" s="410"/>
      <c r="F685" s="410"/>
      <c r="H685" s="269"/>
      <c r="I685" s="269"/>
      <c r="J685" s="269"/>
      <c r="K685" s="269"/>
      <c r="L685" s="269"/>
      <c r="M685" s="269"/>
      <c r="N685" s="269"/>
      <c r="O685" s="269"/>
      <c r="P685" s="269"/>
      <c r="Q685" s="269"/>
      <c r="R685" s="269"/>
      <c r="S685" s="269"/>
      <c r="T685" s="269"/>
      <c r="U685" s="269"/>
      <c r="V685" s="269"/>
      <c r="W685" s="269"/>
      <c r="X685" s="269"/>
      <c r="Y685" s="269"/>
      <c r="Z685" s="269"/>
      <c r="AA685" s="269"/>
      <c r="AB685" s="269"/>
      <c r="AC685" s="269"/>
      <c r="AD685" s="269"/>
      <c r="AE685" s="269"/>
      <c r="AF685" s="269"/>
      <c r="AG685" s="269"/>
      <c r="AH685" s="269"/>
      <c r="AI685" s="269"/>
      <c r="AJ685" s="269"/>
      <c r="AK685" s="269"/>
      <c r="AL685" s="269"/>
      <c r="AM685" s="269"/>
      <c r="AN685" s="269"/>
      <c r="AO685" s="269"/>
      <c r="AP685" s="269"/>
      <c r="AQ685" s="269"/>
      <c r="AR685" s="269"/>
    </row>
    <row r="686">
      <c r="A686" s="410"/>
      <c r="B686" s="410"/>
      <c r="C686" s="410"/>
      <c r="D686" s="410"/>
      <c r="E686" s="410"/>
      <c r="F686" s="410"/>
      <c r="H686" s="269"/>
      <c r="I686" s="269"/>
      <c r="J686" s="269"/>
      <c r="K686" s="269"/>
      <c r="L686" s="269"/>
      <c r="M686" s="269"/>
      <c r="N686" s="269"/>
      <c r="O686" s="269"/>
      <c r="P686" s="269"/>
      <c r="Q686" s="269"/>
      <c r="R686" s="269"/>
      <c r="S686" s="269"/>
      <c r="T686" s="269"/>
      <c r="U686" s="269"/>
      <c r="V686" s="269"/>
      <c r="W686" s="269"/>
      <c r="X686" s="269"/>
      <c r="Y686" s="269"/>
      <c r="Z686" s="269"/>
      <c r="AA686" s="269"/>
      <c r="AB686" s="269"/>
      <c r="AC686" s="269"/>
      <c r="AD686" s="269"/>
      <c r="AE686" s="269"/>
      <c r="AF686" s="269"/>
      <c r="AG686" s="269"/>
      <c r="AH686" s="269"/>
      <c r="AI686" s="269"/>
      <c r="AJ686" s="269"/>
      <c r="AK686" s="269"/>
      <c r="AL686" s="269"/>
      <c r="AM686" s="269"/>
      <c r="AN686" s="269"/>
      <c r="AO686" s="269"/>
      <c r="AP686" s="269"/>
      <c r="AQ686" s="269"/>
      <c r="AR686" s="269"/>
    </row>
    <row r="687">
      <c r="A687" s="410"/>
      <c r="B687" s="410"/>
      <c r="C687" s="410"/>
      <c r="D687" s="410"/>
      <c r="E687" s="410"/>
      <c r="F687" s="410"/>
      <c r="H687" s="269"/>
      <c r="I687" s="269"/>
      <c r="J687" s="269"/>
      <c r="K687" s="269"/>
      <c r="L687" s="269"/>
      <c r="M687" s="269"/>
      <c r="N687" s="269"/>
      <c r="O687" s="269"/>
      <c r="P687" s="269"/>
      <c r="Q687" s="269"/>
      <c r="R687" s="269"/>
      <c r="S687" s="269"/>
      <c r="T687" s="269"/>
      <c r="U687" s="269"/>
      <c r="V687" s="269"/>
      <c r="W687" s="269"/>
      <c r="X687" s="269"/>
      <c r="Y687" s="269"/>
      <c r="Z687" s="269"/>
      <c r="AA687" s="269"/>
      <c r="AB687" s="269"/>
      <c r="AC687" s="269"/>
      <c r="AD687" s="269"/>
      <c r="AE687" s="269"/>
      <c r="AF687" s="269"/>
      <c r="AG687" s="269"/>
      <c r="AH687" s="269"/>
      <c r="AI687" s="269"/>
      <c r="AJ687" s="269"/>
      <c r="AK687" s="269"/>
      <c r="AL687" s="269"/>
      <c r="AM687" s="269"/>
      <c r="AN687" s="269"/>
      <c r="AO687" s="269"/>
      <c r="AP687" s="269"/>
      <c r="AQ687" s="269"/>
      <c r="AR687" s="269"/>
    </row>
    <row r="688">
      <c r="A688" s="410"/>
      <c r="B688" s="410"/>
      <c r="C688" s="410"/>
      <c r="D688" s="410"/>
      <c r="E688" s="410"/>
      <c r="F688" s="410"/>
      <c r="H688" s="269"/>
      <c r="I688" s="269"/>
      <c r="J688" s="269"/>
      <c r="K688" s="269"/>
      <c r="L688" s="269"/>
      <c r="M688" s="269"/>
      <c r="N688" s="269"/>
      <c r="O688" s="269"/>
      <c r="P688" s="269"/>
      <c r="Q688" s="269"/>
      <c r="R688" s="269"/>
      <c r="S688" s="269"/>
      <c r="T688" s="269"/>
      <c r="U688" s="269"/>
      <c r="V688" s="269"/>
      <c r="W688" s="269"/>
      <c r="X688" s="269"/>
      <c r="Y688" s="269"/>
      <c r="Z688" s="269"/>
      <c r="AA688" s="269"/>
      <c r="AB688" s="269"/>
      <c r="AC688" s="269"/>
      <c r="AD688" s="269"/>
      <c r="AE688" s="269"/>
      <c r="AF688" s="269"/>
      <c r="AG688" s="269"/>
      <c r="AH688" s="269"/>
      <c r="AI688" s="269"/>
      <c r="AJ688" s="269"/>
      <c r="AK688" s="269"/>
      <c r="AL688" s="269"/>
      <c r="AM688" s="269"/>
      <c r="AN688" s="269"/>
      <c r="AO688" s="269"/>
      <c r="AP688" s="269"/>
      <c r="AQ688" s="269"/>
      <c r="AR688" s="269"/>
    </row>
    <row r="689">
      <c r="A689" s="410"/>
      <c r="B689" s="410"/>
      <c r="C689" s="410"/>
      <c r="D689" s="410"/>
      <c r="E689" s="410"/>
      <c r="F689" s="410"/>
      <c r="H689" s="269"/>
      <c r="I689" s="269"/>
      <c r="J689" s="269"/>
      <c r="K689" s="269"/>
      <c r="L689" s="269"/>
      <c r="M689" s="269"/>
      <c r="N689" s="269"/>
      <c r="O689" s="269"/>
      <c r="P689" s="269"/>
      <c r="Q689" s="269"/>
      <c r="R689" s="269"/>
      <c r="S689" s="269"/>
      <c r="T689" s="269"/>
      <c r="U689" s="269"/>
      <c r="V689" s="269"/>
      <c r="W689" s="269"/>
      <c r="X689" s="269"/>
      <c r="Y689" s="269"/>
      <c r="Z689" s="269"/>
      <c r="AA689" s="269"/>
      <c r="AB689" s="269"/>
      <c r="AC689" s="269"/>
      <c r="AD689" s="269"/>
      <c r="AE689" s="269"/>
      <c r="AF689" s="269"/>
      <c r="AG689" s="269"/>
      <c r="AH689" s="269"/>
      <c r="AI689" s="269"/>
      <c r="AJ689" s="269"/>
      <c r="AK689" s="269"/>
      <c r="AL689" s="269"/>
      <c r="AM689" s="269"/>
      <c r="AN689" s="269"/>
      <c r="AO689" s="269"/>
      <c r="AP689" s="269"/>
      <c r="AQ689" s="269"/>
      <c r="AR689" s="269"/>
    </row>
    <row r="690">
      <c r="A690" s="410"/>
      <c r="B690" s="410"/>
      <c r="C690" s="410"/>
      <c r="D690" s="410"/>
      <c r="E690" s="410"/>
      <c r="F690" s="410"/>
      <c r="H690" s="269"/>
      <c r="I690" s="269"/>
      <c r="J690" s="269"/>
      <c r="K690" s="269"/>
      <c r="L690" s="269"/>
      <c r="M690" s="269"/>
      <c r="N690" s="269"/>
      <c r="O690" s="269"/>
      <c r="P690" s="269"/>
      <c r="Q690" s="269"/>
      <c r="R690" s="269"/>
      <c r="S690" s="269"/>
      <c r="T690" s="269"/>
      <c r="U690" s="269"/>
      <c r="V690" s="269"/>
      <c r="W690" s="269"/>
      <c r="X690" s="269"/>
      <c r="Y690" s="269"/>
      <c r="Z690" s="269"/>
      <c r="AA690" s="269"/>
      <c r="AB690" s="269"/>
      <c r="AC690" s="269"/>
      <c r="AD690" s="269"/>
      <c r="AE690" s="269"/>
      <c r="AF690" s="269"/>
      <c r="AG690" s="269"/>
      <c r="AH690" s="269"/>
      <c r="AI690" s="269"/>
      <c r="AJ690" s="269"/>
      <c r="AK690" s="269"/>
      <c r="AL690" s="269"/>
      <c r="AM690" s="269"/>
      <c r="AN690" s="269"/>
      <c r="AO690" s="269"/>
      <c r="AP690" s="269"/>
      <c r="AQ690" s="269"/>
      <c r="AR690" s="269"/>
    </row>
    <row r="691">
      <c r="A691" s="410"/>
      <c r="B691" s="410"/>
      <c r="C691" s="410"/>
      <c r="D691" s="410"/>
      <c r="E691" s="410"/>
      <c r="F691" s="410"/>
      <c r="H691" s="269"/>
      <c r="I691" s="269"/>
      <c r="J691" s="269"/>
      <c r="K691" s="269"/>
      <c r="L691" s="269"/>
      <c r="M691" s="269"/>
      <c r="N691" s="269"/>
      <c r="O691" s="269"/>
      <c r="P691" s="269"/>
      <c r="Q691" s="269"/>
      <c r="R691" s="269"/>
      <c r="S691" s="269"/>
      <c r="T691" s="269"/>
      <c r="U691" s="269"/>
      <c r="V691" s="269"/>
      <c r="W691" s="269"/>
      <c r="X691" s="269"/>
      <c r="Y691" s="269"/>
      <c r="Z691" s="269"/>
      <c r="AA691" s="269"/>
      <c r="AB691" s="269"/>
      <c r="AC691" s="269"/>
      <c r="AD691" s="269"/>
      <c r="AE691" s="269"/>
      <c r="AF691" s="269"/>
      <c r="AG691" s="269"/>
      <c r="AH691" s="269"/>
      <c r="AI691" s="269"/>
      <c r="AJ691" s="269"/>
      <c r="AK691" s="269"/>
      <c r="AL691" s="269"/>
      <c r="AM691" s="269"/>
      <c r="AN691" s="269"/>
      <c r="AO691" s="269"/>
      <c r="AP691" s="269"/>
      <c r="AQ691" s="269"/>
      <c r="AR691" s="269"/>
    </row>
    <row r="692">
      <c r="A692" s="410"/>
      <c r="B692" s="410"/>
      <c r="C692" s="410"/>
      <c r="D692" s="410"/>
      <c r="E692" s="410"/>
      <c r="F692" s="410"/>
      <c r="H692" s="269"/>
      <c r="I692" s="269"/>
      <c r="J692" s="269"/>
      <c r="K692" s="269"/>
      <c r="L692" s="269"/>
      <c r="M692" s="269"/>
      <c r="N692" s="269"/>
      <c r="O692" s="269"/>
      <c r="P692" s="269"/>
      <c r="Q692" s="269"/>
      <c r="R692" s="269"/>
      <c r="S692" s="269"/>
      <c r="T692" s="269"/>
      <c r="U692" s="269"/>
      <c r="V692" s="269"/>
      <c r="W692" s="269"/>
      <c r="X692" s="269"/>
      <c r="Y692" s="269"/>
      <c r="Z692" s="269"/>
      <c r="AA692" s="269"/>
      <c r="AB692" s="269"/>
      <c r="AC692" s="269"/>
      <c r="AD692" s="269"/>
      <c r="AE692" s="269"/>
      <c r="AF692" s="269"/>
      <c r="AG692" s="269"/>
      <c r="AH692" s="269"/>
      <c r="AI692" s="269"/>
      <c r="AJ692" s="269"/>
      <c r="AK692" s="269"/>
      <c r="AL692" s="269"/>
      <c r="AM692" s="269"/>
      <c r="AN692" s="269"/>
      <c r="AO692" s="269"/>
      <c r="AP692" s="269"/>
      <c r="AQ692" s="269"/>
      <c r="AR692" s="269"/>
    </row>
    <row r="693">
      <c r="A693" s="410"/>
      <c r="B693" s="410"/>
      <c r="C693" s="410"/>
      <c r="D693" s="410"/>
      <c r="E693" s="410"/>
      <c r="F693" s="410"/>
      <c r="H693" s="269"/>
      <c r="I693" s="269"/>
      <c r="J693" s="269"/>
      <c r="K693" s="269"/>
      <c r="L693" s="269"/>
      <c r="M693" s="269"/>
      <c r="N693" s="269"/>
      <c r="O693" s="269"/>
      <c r="P693" s="269"/>
      <c r="Q693" s="269"/>
      <c r="R693" s="269"/>
      <c r="S693" s="269"/>
      <c r="T693" s="269"/>
      <c r="U693" s="269"/>
      <c r="V693" s="269"/>
      <c r="W693" s="269"/>
      <c r="X693" s="269"/>
      <c r="Y693" s="269"/>
      <c r="Z693" s="269"/>
      <c r="AA693" s="269"/>
      <c r="AB693" s="269"/>
      <c r="AC693" s="269"/>
      <c r="AD693" s="269"/>
      <c r="AE693" s="269"/>
      <c r="AF693" s="269"/>
      <c r="AG693" s="269"/>
      <c r="AH693" s="269"/>
      <c r="AI693" s="269"/>
      <c r="AJ693" s="269"/>
      <c r="AK693" s="269"/>
      <c r="AL693" s="269"/>
      <c r="AM693" s="269"/>
      <c r="AN693" s="269"/>
      <c r="AO693" s="269"/>
      <c r="AP693" s="269"/>
      <c r="AQ693" s="269"/>
      <c r="AR693" s="269"/>
    </row>
    <row r="694">
      <c r="A694" s="410"/>
      <c r="B694" s="410"/>
      <c r="C694" s="410"/>
      <c r="D694" s="410"/>
      <c r="E694" s="410"/>
      <c r="F694" s="410"/>
      <c r="H694" s="269"/>
      <c r="I694" s="269"/>
      <c r="J694" s="269"/>
      <c r="K694" s="269"/>
      <c r="L694" s="269"/>
      <c r="M694" s="269"/>
      <c r="N694" s="269"/>
      <c r="O694" s="269"/>
      <c r="P694" s="269"/>
      <c r="Q694" s="269"/>
      <c r="R694" s="269"/>
      <c r="S694" s="269"/>
      <c r="T694" s="269"/>
      <c r="U694" s="269"/>
      <c r="V694" s="269"/>
      <c r="W694" s="269"/>
      <c r="X694" s="269"/>
      <c r="Y694" s="269"/>
      <c r="Z694" s="269"/>
      <c r="AA694" s="269"/>
      <c r="AB694" s="269"/>
      <c r="AC694" s="269"/>
      <c r="AD694" s="269"/>
      <c r="AE694" s="269"/>
      <c r="AF694" s="269"/>
      <c r="AG694" s="269"/>
      <c r="AH694" s="269"/>
      <c r="AI694" s="269"/>
      <c r="AJ694" s="269"/>
      <c r="AK694" s="269"/>
      <c r="AL694" s="269"/>
      <c r="AM694" s="269"/>
      <c r="AN694" s="269"/>
      <c r="AO694" s="269"/>
      <c r="AP694" s="269"/>
      <c r="AQ694" s="269"/>
      <c r="AR694" s="269"/>
    </row>
    <row r="695">
      <c r="A695" s="410"/>
      <c r="B695" s="410"/>
      <c r="C695" s="410"/>
      <c r="D695" s="410"/>
      <c r="E695" s="410"/>
      <c r="F695" s="410"/>
      <c r="H695" s="269"/>
      <c r="I695" s="269"/>
      <c r="J695" s="269"/>
      <c r="K695" s="269"/>
      <c r="L695" s="269"/>
      <c r="M695" s="269"/>
      <c r="N695" s="269"/>
      <c r="O695" s="269"/>
      <c r="P695" s="269"/>
      <c r="Q695" s="269"/>
      <c r="R695" s="269"/>
      <c r="S695" s="269"/>
      <c r="T695" s="269"/>
      <c r="U695" s="269"/>
      <c r="V695" s="269"/>
      <c r="W695" s="269"/>
      <c r="X695" s="269"/>
      <c r="Y695" s="269"/>
      <c r="Z695" s="269"/>
      <c r="AA695" s="269"/>
      <c r="AB695" s="269"/>
      <c r="AC695" s="269"/>
      <c r="AD695" s="269"/>
      <c r="AE695" s="269"/>
      <c r="AF695" s="269"/>
      <c r="AG695" s="269"/>
      <c r="AH695" s="269"/>
      <c r="AI695" s="269"/>
      <c r="AJ695" s="269"/>
      <c r="AK695" s="269"/>
      <c r="AL695" s="269"/>
      <c r="AM695" s="269"/>
      <c r="AN695" s="269"/>
      <c r="AO695" s="269"/>
      <c r="AP695" s="269"/>
      <c r="AQ695" s="269"/>
      <c r="AR695" s="269"/>
    </row>
    <row r="696">
      <c r="A696" s="410"/>
      <c r="B696" s="410"/>
      <c r="C696" s="410"/>
      <c r="D696" s="410"/>
      <c r="E696" s="410"/>
      <c r="F696" s="410"/>
      <c r="H696" s="269"/>
      <c r="I696" s="269"/>
      <c r="J696" s="269"/>
      <c r="K696" s="269"/>
      <c r="L696" s="269"/>
      <c r="M696" s="269"/>
      <c r="N696" s="269"/>
      <c r="O696" s="269"/>
      <c r="P696" s="269"/>
      <c r="Q696" s="269"/>
      <c r="R696" s="269"/>
      <c r="S696" s="269"/>
      <c r="T696" s="269"/>
      <c r="U696" s="269"/>
      <c r="V696" s="269"/>
      <c r="W696" s="269"/>
      <c r="X696" s="269"/>
      <c r="Y696" s="269"/>
      <c r="Z696" s="269"/>
      <c r="AA696" s="269"/>
      <c r="AB696" s="269"/>
      <c r="AC696" s="269"/>
      <c r="AD696" s="269"/>
      <c r="AE696" s="269"/>
      <c r="AF696" s="269"/>
      <c r="AG696" s="269"/>
      <c r="AH696" s="269"/>
      <c r="AI696" s="269"/>
      <c r="AJ696" s="269"/>
      <c r="AK696" s="269"/>
      <c r="AL696" s="269"/>
      <c r="AM696" s="269"/>
      <c r="AN696" s="269"/>
      <c r="AO696" s="269"/>
      <c r="AP696" s="269"/>
      <c r="AQ696" s="269"/>
      <c r="AR696" s="269"/>
    </row>
    <row r="697">
      <c r="A697" s="410"/>
      <c r="B697" s="410"/>
      <c r="C697" s="410"/>
      <c r="D697" s="410"/>
      <c r="E697" s="410"/>
      <c r="F697" s="410"/>
      <c r="H697" s="269"/>
      <c r="I697" s="269"/>
      <c r="J697" s="269"/>
      <c r="K697" s="269"/>
      <c r="L697" s="269"/>
      <c r="M697" s="269"/>
      <c r="N697" s="269"/>
      <c r="O697" s="269"/>
      <c r="P697" s="269"/>
      <c r="Q697" s="269"/>
      <c r="R697" s="269"/>
      <c r="S697" s="269"/>
      <c r="T697" s="269"/>
      <c r="U697" s="269"/>
      <c r="V697" s="269"/>
      <c r="W697" s="269"/>
      <c r="X697" s="269"/>
      <c r="Y697" s="269"/>
      <c r="Z697" s="269"/>
      <c r="AA697" s="269"/>
      <c r="AB697" s="269"/>
      <c r="AC697" s="269"/>
      <c r="AD697" s="269"/>
      <c r="AE697" s="269"/>
      <c r="AF697" s="269"/>
      <c r="AG697" s="269"/>
      <c r="AH697" s="269"/>
      <c r="AI697" s="269"/>
      <c r="AJ697" s="269"/>
      <c r="AK697" s="269"/>
      <c r="AL697" s="269"/>
      <c r="AM697" s="269"/>
      <c r="AN697" s="269"/>
      <c r="AO697" s="269"/>
      <c r="AP697" s="269"/>
      <c r="AQ697" s="269"/>
      <c r="AR697" s="269"/>
    </row>
    <row r="698">
      <c r="A698" s="410"/>
      <c r="B698" s="410"/>
      <c r="C698" s="410"/>
      <c r="D698" s="410"/>
      <c r="E698" s="410"/>
      <c r="F698" s="410"/>
      <c r="H698" s="269"/>
      <c r="I698" s="269"/>
      <c r="J698" s="269"/>
      <c r="K698" s="269"/>
      <c r="L698" s="269"/>
      <c r="M698" s="269"/>
      <c r="N698" s="269"/>
      <c r="O698" s="269"/>
      <c r="P698" s="269"/>
      <c r="Q698" s="269"/>
      <c r="R698" s="269"/>
      <c r="S698" s="269"/>
      <c r="T698" s="269"/>
      <c r="U698" s="269"/>
      <c r="V698" s="269"/>
      <c r="W698" s="269"/>
      <c r="X698" s="269"/>
      <c r="Y698" s="269"/>
      <c r="Z698" s="269"/>
      <c r="AA698" s="269"/>
      <c r="AB698" s="269"/>
      <c r="AC698" s="269"/>
      <c r="AD698" s="269"/>
      <c r="AE698" s="269"/>
      <c r="AF698" s="269"/>
      <c r="AG698" s="269"/>
      <c r="AH698" s="269"/>
      <c r="AI698" s="269"/>
      <c r="AJ698" s="269"/>
      <c r="AK698" s="269"/>
      <c r="AL698" s="269"/>
      <c r="AM698" s="269"/>
      <c r="AN698" s="269"/>
      <c r="AO698" s="269"/>
      <c r="AP698" s="269"/>
      <c r="AQ698" s="269"/>
      <c r="AR698" s="269"/>
    </row>
    <row r="699">
      <c r="A699" s="410"/>
      <c r="B699" s="410"/>
      <c r="C699" s="410"/>
      <c r="D699" s="410"/>
      <c r="E699" s="410"/>
      <c r="F699" s="410"/>
      <c r="H699" s="269"/>
      <c r="I699" s="269"/>
      <c r="J699" s="269"/>
      <c r="K699" s="269"/>
      <c r="L699" s="269"/>
      <c r="M699" s="269"/>
      <c r="N699" s="269"/>
      <c r="O699" s="269"/>
      <c r="P699" s="269"/>
      <c r="Q699" s="269"/>
      <c r="R699" s="269"/>
      <c r="S699" s="269"/>
      <c r="T699" s="269"/>
      <c r="U699" s="269"/>
      <c r="V699" s="269"/>
      <c r="W699" s="269"/>
      <c r="X699" s="269"/>
      <c r="Y699" s="269"/>
      <c r="Z699" s="269"/>
      <c r="AA699" s="269"/>
      <c r="AB699" s="269"/>
      <c r="AC699" s="269"/>
      <c r="AD699" s="269"/>
      <c r="AE699" s="269"/>
      <c r="AF699" s="269"/>
      <c r="AG699" s="269"/>
      <c r="AH699" s="269"/>
      <c r="AI699" s="269"/>
      <c r="AJ699" s="269"/>
      <c r="AK699" s="269"/>
      <c r="AL699" s="269"/>
      <c r="AM699" s="269"/>
      <c r="AN699" s="269"/>
      <c r="AO699" s="269"/>
      <c r="AP699" s="269"/>
      <c r="AQ699" s="269"/>
      <c r="AR699" s="269"/>
    </row>
    <row r="700">
      <c r="A700" s="410"/>
      <c r="B700" s="410"/>
      <c r="C700" s="410"/>
      <c r="D700" s="410"/>
      <c r="E700" s="410"/>
      <c r="F700" s="410"/>
      <c r="H700" s="269"/>
      <c r="I700" s="269"/>
      <c r="J700" s="269"/>
      <c r="K700" s="269"/>
      <c r="L700" s="269"/>
      <c r="M700" s="269"/>
      <c r="N700" s="269"/>
      <c r="O700" s="269"/>
      <c r="P700" s="269"/>
      <c r="Q700" s="269"/>
      <c r="R700" s="269"/>
      <c r="S700" s="269"/>
      <c r="T700" s="269"/>
      <c r="U700" s="269"/>
      <c r="V700" s="269"/>
      <c r="W700" s="269"/>
      <c r="X700" s="269"/>
      <c r="Y700" s="269"/>
      <c r="Z700" s="269"/>
      <c r="AA700" s="269"/>
      <c r="AB700" s="269"/>
      <c r="AC700" s="269"/>
      <c r="AD700" s="269"/>
      <c r="AE700" s="269"/>
      <c r="AF700" s="269"/>
      <c r="AG700" s="269"/>
      <c r="AH700" s="269"/>
      <c r="AI700" s="269"/>
      <c r="AJ700" s="269"/>
      <c r="AK700" s="269"/>
      <c r="AL700" s="269"/>
      <c r="AM700" s="269"/>
      <c r="AN700" s="269"/>
      <c r="AO700" s="269"/>
      <c r="AP700" s="269"/>
      <c r="AQ700" s="269"/>
      <c r="AR700" s="269"/>
    </row>
    <row r="701">
      <c r="A701" s="410"/>
      <c r="B701" s="410"/>
      <c r="C701" s="410"/>
      <c r="D701" s="410"/>
      <c r="E701" s="410"/>
      <c r="F701" s="410"/>
      <c r="H701" s="269"/>
      <c r="I701" s="269"/>
      <c r="J701" s="269"/>
      <c r="K701" s="269"/>
      <c r="L701" s="269"/>
      <c r="M701" s="269"/>
      <c r="N701" s="269"/>
      <c r="O701" s="269"/>
      <c r="P701" s="269"/>
      <c r="Q701" s="269"/>
      <c r="R701" s="269"/>
      <c r="S701" s="269"/>
      <c r="T701" s="269"/>
      <c r="U701" s="269"/>
      <c r="V701" s="269"/>
      <c r="W701" s="269"/>
      <c r="X701" s="269"/>
      <c r="Y701" s="269"/>
      <c r="Z701" s="269"/>
      <c r="AA701" s="269"/>
      <c r="AB701" s="269"/>
      <c r="AC701" s="269"/>
      <c r="AD701" s="269"/>
      <c r="AE701" s="269"/>
      <c r="AF701" s="269"/>
      <c r="AG701" s="269"/>
      <c r="AH701" s="269"/>
      <c r="AI701" s="269"/>
      <c r="AJ701" s="269"/>
      <c r="AK701" s="269"/>
      <c r="AL701" s="269"/>
      <c r="AM701" s="269"/>
      <c r="AN701" s="269"/>
      <c r="AO701" s="269"/>
      <c r="AP701" s="269"/>
      <c r="AQ701" s="269"/>
      <c r="AR701" s="269"/>
    </row>
    <row r="702">
      <c r="A702" s="410"/>
      <c r="B702" s="410"/>
      <c r="C702" s="410"/>
      <c r="D702" s="410"/>
      <c r="E702" s="410"/>
      <c r="F702" s="410"/>
      <c r="H702" s="269"/>
      <c r="I702" s="269"/>
      <c r="J702" s="269"/>
      <c r="K702" s="269"/>
      <c r="L702" s="269"/>
      <c r="M702" s="269"/>
      <c r="N702" s="269"/>
      <c r="O702" s="269"/>
      <c r="P702" s="269"/>
      <c r="Q702" s="269"/>
      <c r="R702" s="269"/>
      <c r="S702" s="269"/>
      <c r="T702" s="269"/>
      <c r="U702" s="269"/>
      <c r="V702" s="269"/>
      <c r="W702" s="269"/>
      <c r="X702" s="269"/>
      <c r="Y702" s="269"/>
      <c r="Z702" s="269"/>
      <c r="AA702" s="269"/>
      <c r="AB702" s="269"/>
      <c r="AC702" s="269"/>
      <c r="AD702" s="269"/>
      <c r="AE702" s="269"/>
      <c r="AF702" s="269"/>
      <c r="AG702" s="269"/>
      <c r="AH702" s="269"/>
      <c r="AI702" s="269"/>
      <c r="AJ702" s="269"/>
      <c r="AK702" s="269"/>
      <c r="AL702" s="269"/>
      <c r="AM702" s="269"/>
      <c r="AN702" s="269"/>
      <c r="AO702" s="269"/>
      <c r="AP702" s="269"/>
      <c r="AQ702" s="269"/>
      <c r="AR702" s="269"/>
    </row>
    <row r="703">
      <c r="A703" s="410"/>
      <c r="B703" s="410"/>
      <c r="C703" s="410"/>
      <c r="D703" s="410"/>
      <c r="E703" s="410"/>
      <c r="F703" s="410"/>
      <c r="H703" s="269"/>
      <c r="I703" s="269"/>
      <c r="J703" s="269"/>
      <c r="K703" s="269"/>
      <c r="L703" s="269"/>
      <c r="M703" s="269"/>
      <c r="N703" s="269"/>
      <c r="O703" s="269"/>
      <c r="P703" s="269"/>
      <c r="Q703" s="269"/>
      <c r="R703" s="269"/>
      <c r="S703" s="269"/>
      <c r="T703" s="269"/>
      <c r="U703" s="269"/>
      <c r="V703" s="269"/>
      <c r="W703" s="269"/>
      <c r="X703" s="269"/>
      <c r="Y703" s="269"/>
      <c r="Z703" s="269"/>
      <c r="AA703" s="269"/>
      <c r="AB703" s="269"/>
      <c r="AC703" s="269"/>
      <c r="AD703" s="269"/>
      <c r="AE703" s="269"/>
      <c r="AF703" s="269"/>
      <c r="AG703" s="269"/>
      <c r="AH703" s="269"/>
      <c r="AI703" s="269"/>
      <c r="AJ703" s="269"/>
      <c r="AK703" s="269"/>
      <c r="AL703" s="269"/>
      <c r="AM703" s="269"/>
      <c r="AN703" s="269"/>
      <c r="AO703" s="269"/>
      <c r="AP703" s="269"/>
      <c r="AQ703" s="269"/>
      <c r="AR703" s="269"/>
    </row>
    <row r="704">
      <c r="A704" s="410"/>
      <c r="B704" s="410"/>
      <c r="C704" s="410"/>
      <c r="D704" s="410"/>
      <c r="E704" s="410"/>
      <c r="F704" s="410"/>
      <c r="H704" s="269"/>
      <c r="I704" s="269"/>
      <c r="J704" s="269"/>
      <c r="K704" s="269"/>
      <c r="L704" s="269"/>
      <c r="M704" s="269"/>
      <c r="N704" s="269"/>
      <c r="O704" s="269"/>
      <c r="P704" s="269"/>
      <c r="Q704" s="269"/>
      <c r="R704" s="269"/>
      <c r="S704" s="269"/>
      <c r="T704" s="269"/>
      <c r="U704" s="269"/>
      <c r="V704" s="269"/>
      <c r="W704" s="269"/>
      <c r="X704" s="269"/>
      <c r="Y704" s="269"/>
      <c r="Z704" s="269"/>
      <c r="AA704" s="269"/>
      <c r="AB704" s="269"/>
      <c r="AC704" s="269"/>
      <c r="AD704" s="269"/>
      <c r="AE704" s="269"/>
      <c r="AF704" s="269"/>
      <c r="AG704" s="269"/>
      <c r="AH704" s="269"/>
      <c r="AI704" s="269"/>
      <c r="AJ704" s="269"/>
      <c r="AK704" s="269"/>
      <c r="AL704" s="269"/>
      <c r="AM704" s="269"/>
      <c r="AN704" s="269"/>
      <c r="AO704" s="269"/>
      <c r="AP704" s="269"/>
      <c r="AQ704" s="269"/>
      <c r="AR704" s="269"/>
    </row>
    <row r="705">
      <c r="A705" s="410"/>
      <c r="B705" s="410"/>
      <c r="C705" s="410"/>
      <c r="D705" s="410"/>
      <c r="E705" s="410"/>
      <c r="F705" s="410"/>
      <c r="H705" s="269"/>
      <c r="I705" s="269"/>
      <c r="J705" s="269"/>
      <c r="K705" s="269"/>
      <c r="L705" s="269"/>
      <c r="M705" s="269"/>
      <c r="N705" s="269"/>
      <c r="O705" s="269"/>
      <c r="P705" s="269"/>
      <c r="Q705" s="269"/>
      <c r="R705" s="269"/>
      <c r="S705" s="269"/>
      <c r="T705" s="269"/>
      <c r="U705" s="269"/>
      <c r="V705" s="269"/>
      <c r="W705" s="269"/>
      <c r="X705" s="269"/>
      <c r="Y705" s="269"/>
      <c r="Z705" s="269"/>
      <c r="AA705" s="269"/>
      <c r="AB705" s="269"/>
      <c r="AC705" s="269"/>
      <c r="AD705" s="269"/>
      <c r="AE705" s="269"/>
      <c r="AF705" s="269"/>
      <c r="AG705" s="269"/>
      <c r="AH705" s="269"/>
      <c r="AI705" s="269"/>
      <c r="AJ705" s="269"/>
      <c r="AK705" s="269"/>
      <c r="AL705" s="269"/>
      <c r="AM705" s="269"/>
      <c r="AN705" s="269"/>
      <c r="AO705" s="269"/>
      <c r="AP705" s="269"/>
      <c r="AQ705" s="269"/>
      <c r="AR705" s="269"/>
    </row>
    <row r="706">
      <c r="A706" s="410"/>
      <c r="B706" s="410"/>
      <c r="C706" s="410"/>
      <c r="D706" s="410"/>
      <c r="E706" s="410"/>
      <c r="F706" s="410"/>
      <c r="H706" s="269"/>
      <c r="I706" s="269"/>
      <c r="J706" s="269"/>
      <c r="K706" s="269"/>
      <c r="L706" s="269"/>
      <c r="M706" s="269"/>
      <c r="N706" s="269"/>
      <c r="O706" s="269"/>
      <c r="P706" s="269"/>
      <c r="Q706" s="269"/>
      <c r="R706" s="269"/>
      <c r="S706" s="269"/>
      <c r="T706" s="269"/>
      <c r="U706" s="269"/>
      <c r="V706" s="269"/>
      <c r="W706" s="269"/>
      <c r="X706" s="269"/>
      <c r="Y706" s="269"/>
      <c r="Z706" s="269"/>
      <c r="AA706" s="269"/>
      <c r="AB706" s="269"/>
      <c r="AC706" s="269"/>
      <c r="AD706" s="269"/>
      <c r="AE706" s="269"/>
      <c r="AF706" s="269"/>
      <c r="AG706" s="269"/>
      <c r="AH706" s="269"/>
      <c r="AI706" s="269"/>
      <c r="AJ706" s="269"/>
      <c r="AK706" s="269"/>
      <c r="AL706" s="269"/>
      <c r="AM706" s="269"/>
      <c r="AN706" s="269"/>
      <c r="AO706" s="269"/>
      <c r="AP706" s="269"/>
      <c r="AQ706" s="269"/>
      <c r="AR706" s="269"/>
    </row>
    <row r="707">
      <c r="A707" s="410"/>
      <c r="B707" s="410"/>
      <c r="C707" s="410"/>
      <c r="D707" s="410"/>
      <c r="E707" s="410"/>
      <c r="F707" s="410"/>
      <c r="H707" s="269"/>
      <c r="I707" s="269"/>
      <c r="J707" s="269"/>
      <c r="K707" s="269"/>
      <c r="L707" s="269"/>
      <c r="M707" s="269"/>
      <c r="N707" s="269"/>
      <c r="O707" s="269"/>
      <c r="P707" s="269"/>
      <c r="Q707" s="269"/>
      <c r="R707" s="269"/>
      <c r="S707" s="269"/>
      <c r="T707" s="269"/>
      <c r="U707" s="269"/>
      <c r="V707" s="269"/>
      <c r="W707" s="269"/>
      <c r="X707" s="269"/>
      <c r="Y707" s="269"/>
      <c r="Z707" s="269"/>
      <c r="AA707" s="269"/>
      <c r="AB707" s="269"/>
      <c r="AC707" s="269"/>
      <c r="AD707" s="269"/>
      <c r="AE707" s="269"/>
      <c r="AF707" s="269"/>
      <c r="AG707" s="269"/>
      <c r="AH707" s="269"/>
      <c r="AI707" s="269"/>
      <c r="AJ707" s="269"/>
      <c r="AK707" s="269"/>
      <c r="AL707" s="269"/>
      <c r="AM707" s="269"/>
      <c r="AN707" s="269"/>
      <c r="AO707" s="269"/>
      <c r="AP707" s="269"/>
      <c r="AQ707" s="269"/>
      <c r="AR707" s="269"/>
    </row>
    <row r="708">
      <c r="A708" s="410"/>
      <c r="B708" s="410"/>
      <c r="C708" s="410"/>
      <c r="D708" s="410"/>
      <c r="E708" s="410"/>
      <c r="F708" s="410"/>
      <c r="H708" s="269"/>
      <c r="I708" s="269"/>
      <c r="J708" s="269"/>
      <c r="K708" s="269"/>
      <c r="L708" s="269"/>
      <c r="M708" s="269"/>
      <c r="N708" s="269"/>
      <c r="O708" s="269"/>
      <c r="P708" s="269"/>
      <c r="Q708" s="269"/>
      <c r="R708" s="269"/>
      <c r="S708" s="269"/>
      <c r="T708" s="269"/>
      <c r="U708" s="269"/>
      <c r="V708" s="269"/>
      <c r="W708" s="269"/>
      <c r="X708" s="269"/>
      <c r="Y708" s="269"/>
      <c r="Z708" s="269"/>
      <c r="AA708" s="269"/>
      <c r="AB708" s="269"/>
      <c r="AC708" s="269"/>
      <c r="AD708" s="269"/>
      <c r="AE708" s="269"/>
      <c r="AF708" s="269"/>
      <c r="AG708" s="269"/>
      <c r="AH708" s="269"/>
      <c r="AI708" s="269"/>
      <c r="AJ708" s="269"/>
      <c r="AK708" s="269"/>
      <c r="AL708" s="269"/>
      <c r="AM708" s="269"/>
      <c r="AN708" s="269"/>
      <c r="AO708" s="269"/>
      <c r="AP708" s="269"/>
      <c r="AQ708" s="269"/>
      <c r="AR708" s="269"/>
    </row>
    <row r="709">
      <c r="A709" s="410"/>
      <c r="B709" s="410"/>
      <c r="C709" s="410"/>
      <c r="D709" s="410"/>
      <c r="E709" s="410"/>
      <c r="F709" s="410"/>
      <c r="H709" s="269"/>
      <c r="I709" s="269"/>
      <c r="J709" s="269"/>
      <c r="K709" s="269"/>
      <c r="L709" s="269"/>
      <c r="M709" s="269"/>
      <c r="N709" s="269"/>
      <c r="O709" s="269"/>
      <c r="P709" s="269"/>
      <c r="Q709" s="269"/>
      <c r="R709" s="269"/>
      <c r="S709" s="269"/>
      <c r="T709" s="269"/>
      <c r="U709" s="269"/>
      <c r="V709" s="269"/>
      <c r="W709" s="269"/>
      <c r="X709" s="269"/>
      <c r="Y709" s="269"/>
      <c r="Z709" s="269"/>
      <c r="AA709" s="269"/>
      <c r="AB709" s="269"/>
      <c r="AC709" s="269"/>
      <c r="AD709" s="269"/>
      <c r="AE709" s="269"/>
      <c r="AF709" s="269"/>
      <c r="AG709" s="269"/>
      <c r="AH709" s="269"/>
      <c r="AI709" s="269"/>
      <c r="AJ709" s="269"/>
      <c r="AK709" s="269"/>
      <c r="AL709" s="269"/>
      <c r="AM709" s="269"/>
      <c r="AN709" s="269"/>
      <c r="AO709" s="269"/>
      <c r="AP709" s="269"/>
      <c r="AQ709" s="269"/>
      <c r="AR709" s="269"/>
    </row>
    <row r="710">
      <c r="A710" s="410"/>
      <c r="B710" s="410"/>
      <c r="C710" s="410"/>
      <c r="D710" s="410"/>
      <c r="E710" s="410"/>
      <c r="F710" s="410"/>
      <c r="H710" s="269"/>
      <c r="I710" s="269"/>
      <c r="J710" s="269"/>
      <c r="K710" s="269"/>
      <c r="L710" s="269"/>
      <c r="M710" s="269"/>
      <c r="N710" s="269"/>
      <c r="O710" s="269"/>
      <c r="P710" s="269"/>
      <c r="Q710" s="269"/>
      <c r="R710" s="269"/>
      <c r="S710" s="269"/>
      <c r="T710" s="269"/>
      <c r="U710" s="269"/>
      <c r="V710" s="269"/>
      <c r="W710" s="269"/>
      <c r="X710" s="269"/>
      <c r="Y710" s="269"/>
      <c r="Z710" s="269"/>
      <c r="AA710" s="269"/>
      <c r="AB710" s="269"/>
      <c r="AC710" s="269"/>
      <c r="AD710" s="269"/>
      <c r="AE710" s="269"/>
      <c r="AF710" s="269"/>
      <c r="AG710" s="269"/>
      <c r="AH710" s="269"/>
      <c r="AI710" s="269"/>
      <c r="AJ710" s="269"/>
      <c r="AK710" s="269"/>
      <c r="AL710" s="269"/>
      <c r="AM710" s="269"/>
      <c r="AN710" s="269"/>
      <c r="AO710" s="269"/>
      <c r="AP710" s="269"/>
      <c r="AQ710" s="269"/>
      <c r="AR710" s="269"/>
    </row>
    <row r="711">
      <c r="A711" s="410"/>
      <c r="B711" s="410"/>
      <c r="C711" s="410"/>
      <c r="D711" s="410"/>
      <c r="E711" s="410"/>
      <c r="F711" s="410"/>
      <c r="H711" s="269"/>
      <c r="I711" s="269"/>
      <c r="J711" s="269"/>
      <c r="K711" s="269"/>
      <c r="L711" s="269"/>
      <c r="M711" s="269"/>
      <c r="N711" s="269"/>
      <c r="O711" s="269"/>
      <c r="P711" s="269"/>
      <c r="Q711" s="269"/>
      <c r="R711" s="269"/>
      <c r="S711" s="269"/>
      <c r="T711" s="269"/>
      <c r="U711" s="269"/>
      <c r="V711" s="269"/>
      <c r="W711" s="269"/>
      <c r="X711" s="269"/>
      <c r="Y711" s="269"/>
      <c r="Z711" s="269"/>
      <c r="AA711" s="269"/>
      <c r="AB711" s="269"/>
      <c r="AC711" s="269"/>
      <c r="AD711" s="269"/>
      <c r="AE711" s="269"/>
      <c r="AF711" s="269"/>
      <c r="AG711" s="269"/>
      <c r="AH711" s="269"/>
      <c r="AI711" s="269"/>
      <c r="AJ711" s="269"/>
      <c r="AK711" s="269"/>
      <c r="AL711" s="269"/>
      <c r="AM711" s="269"/>
      <c r="AN711" s="269"/>
      <c r="AO711" s="269"/>
      <c r="AP711" s="269"/>
      <c r="AQ711" s="269"/>
      <c r="AR711" s="269"/>
    </row>
    <row r="712">
      <c r="A712" s="410"/>
      <c r="B712" s="410"/>
      <c r="C712" s="410"/>
      <c r="D712" s="410"/>
      <c r="E712" s="410"/>
      <c r="F712" s="410"/>
      <c r="H712" s="269"/>
      <c r="I712" s="269"/>
      <c r="J712" s="269"/>
      <c r="K712" s="269"/>
      <c r="L712" s="269"/>
      <c r="M712" s="269"/>
      <c r="N712" s="269"/>
      <c r="O712" s="269"/>
      <c r="P712" s="269"/>
      <c r="Q712" s="269"/>
      <c r="R712" s="269"/>
      <c r="S712" s="269"/>
      <c r="T712" s="269"/>
      <c r="U712" s="269"/>
      <c r="V712" s="269"/>
      <c r="W712" s="269"/>
      <c r="X712" s="269"/>
      <c r="Y712" s="269"/>
      <c r="Z712" s="269"/>
      <c r="AA712" s="269"/>
      <c r="AB712" s="269"/>
      <c r="AC712" s="269"/>
      <c r="AD712" s="269"/>
      <c r="AE712" s="269"/>
      <c r="AF712" s="269"/>
      <c r="AG712" s="269"/>
      <c r="AH712" s="269"/>
      <c r="AI712" s="269"/>
      <c r="AJ712" s="269"/>
      <c r="AK712" s="269"/>
      <c r="AL712" s="269"/>
      <c r="AM712" s="269"/>
      <c r="AN712" s="269"/>
      <c r="AO712" s="269"/>
      <c r="AP712" s="269"/>
      <c r="AQ712" s="269"/>
      <c r="AR712" s="269"/>
    </row>
    <row r="713">
      <c r="A713" s="410"/>
      <c r="B713" s="410"/>
      <c r="C713" s="410"/>
      <c r="D713" s="410"/>
      <c r="E713" s="410"/>
      <c r="F713" s="410"/>
      <c r="H713" s="269"/>
      <c r="I713" s="269"/>
      <c r="J713" s="269"/>
      <c r="K713" s="269"/>
      <c r="L713" s="269"/>
      <c r="M713" s="269"/>
      <c r="N713" s="269"/>
      <c r="O713" s="269"/>
      <c r="P713" s="269"/>
      <c r="Q713" s="269"/>
      <c r="R713" s="269"/>
      <c r="S713" s="269"/>
      <c r="T713" s="269"/>
      <c r="U713" s="269"/>
      <c r="V713" s="269"/>
      <c r="W713" s="269"/>
      <c r="X713" s="269"/>
      <c r="Y713" s="269"/>
      <c r="Z713" s="269"/>
      <c r="AA713" s="269"/>
      <c r="AB713" s="269"/>
      <c r="AC713" s="269"/>
      <c r="AD713" s="269"/>
      <c r="AE713" s="269"/>
      <c r="AF713" s="269"/>
      <c r="AG713" s="269"/>
      <c r="AH713" s="269"/>
      <c r="AI713" s="269"/>
      <c r="AJ713" s="269"/>
      <c r="AK713" s="269"/>
      <c r="AL713" s="269"/>
      <c r="AM713" s="269"/>
      <c r="AN713" s="269"/>
      <c r="AO713" s="269"/>
      <c r="AP713" s="269"/>
      <c r="AQ713" s="269"/>
      <c r="AR713" s="269"/>
    </row>
    <row r="714">
      <c r="A714" s="410"/>
      <c r="B714" s="410"/>
      <c r="C714" s="410"/>
      <c r="D714" s="410"/>
      <c r="E714" s="410"/>
      <c r="F714" s="410"/>
      <c r="H714" s="269"/>
      <c r="I714" s="269"/>
      <c r="J714" s="269"/>
      <c r="K714" s="269"/>
      <c r="L714" s="269"/>
      <c r="M714" s="269"/>
      <c r="N714" s="269"/>
      <c r="O714" s="269"/>
      <c r="P714" s="269"/>
      <c r="Q714" s="269"/>
      <c r="R714" s="269"/>
      <c r="S714" s="269"/>
      <c r="T714" s="269"/>
      <c r="U714" s="269"/>
      <c r="V714" s="269"/>
      <c r="W714" s="269"/>
      <c r="X714" s="269"/>
      <c r="Y714" s="269"/>
      <c r="Z714" s="269"/>
      <c r="AA714" s="269"/>
      <c r="AB714" s="269"/>
      <c r="AC714" s="269"/>
      <c r="AD714" s="269"/>
      <c r="AE714" s="269"/>
      <c r="AF714" s="269"/>
      <c r="AG714" s="269"/>
      <c r="AH714" s="269"/>
      <c r="AI714" s="269"/>
      <c r="AJ714" s="269"/>
      <c r="AK714" s="269"/>
      <c r="AL714" s="269"/>
      <c r="AM714" s="269"/>
      <c r="AN714" s="269"/>
      <c r="AO714" s="269"/>
      <c r="AP714" s="269"/>
      <c r="AQ714" s="269"/>
      <c r="AR714" s="269"/>
    </row>
    <row r="715">
      <c r="A715" s="410"/>
      <c r="B715" s="410"/>
      <c r="C715" s="410"/>
      <c r="D715" s="410"/>
      <c r="E715" s="410"/>
      <c r="F715" s="410"/>
      <c r="H715" s="269"/>
      <c r="I715" s="269"/>
      <c r="J715" s="269"/>
      <c r="K715" s="269"/>
      <c r="L715" s="269"/>
      <c r="M715" s="269"/>
      <c r="N715" s="269"/>
      <c r="O715" s="269"/>
      <c r="P715" s="269"/>
      <c r="Q715" s="269"/>
      <c r="R715" s="269"/>
      <c r="S715" s="269"/>
      <c r="T715" s="269"/>
      <c r="U715" s="269"/>
      <c r="V715" s="269"/>
      <c r="W715" s="269"/>
      <c r="X715" s="269"/>
      <c r="Y715" s="269"/>
      <c r="Z715" s="269"/>
      <c r="AA715" s="269"/>
      <c r="AB715" s="269"/>
      <c r="AC715" s="269"/>
      <c r="AD715" s="269"/>
      <c r="AE715" s="269"/>
      <c r="AF715" s="269"/>
      <c r="AG715" s="269"/>
      <c r="AH715" s="269"/>
      <c r="AI715" s="269"/>
      <c r="AJ715" s="269"/>
      <c r="AK715" s="269"/>
      <c r="AL715" s="269"/>
      <c r="AM715" s="269"/>
      <c r="AN715" s="269"/>
      <c r="AO715" s="269"/>
      <c r="AP715" s="269"/>
      <c r="AQ715" s="269"/>
      <c r="AR715" s="269"/>
    </row>
    <row r="716">
      <c r="A716" s="410"/>
      <c r="B716" s="410"/>
      <c r="C716" s="410"/>
      <c r="D716" s="410"/>
      <c r="E716" s="410"/>
      <c r="F716" s="410"/>
      <c r="H716" s="269"/>
      <c r="I716" s="269"/>
      <c r="J716" s="269"/>
      <c r="K716" s="269"/>
      <c r="L716" s="269"/>
      <c r="M716" s="269"/>
      <c r="N716" s="269"/>
      <c r="O716" s="269"/>
      <c r="P716" s="269"/>
      <c r="Q716" s="269"/>
      <c r="R716" s="269"/>
      <c r="S716" s="269"/>
      <c r="T716" s="269"/>
      <c r="U716" s="269"/>
      <c r="V716" s="269"/>
      <c r="W716" s="269"/>
      <c r="X716" s="269"/>
      <c r="Y716" s="269"/>
      <c r="Z716" s="269"/>
      <c r="AA716" s="269"/>
      <c r="AB716" s="269"/>
      <c r="AC716" s="269"/>
      <c r="AD716" s="269"/>
      <c r="AE716" s="269"/>
      <c r="AF716" s="269"/>
      <c r="AG716" s="269"/>
      <c r="AH716" s="269"/>
      <c r="AI716" s="269"/>
      <c r="AJ716" s="269"/>
      <c r="AK716" s="269"/>
      <c r="AL716" s="269"/>
      <c r="AM716" s="269"/>
      <c r="AN716" s="269"/>
      <c r="AO716" s="269"/>
      <c r="AP716" s="269"/>
      <c r="AQ716" s="269"/>
      <c r="AR716" s="269"/>
    </row>
    <row r="717">
      <c r="A717" s="410"/>
      <c r="B717" s="410"/>
      <c r="C717" s="410"/>
      <c r="D717" s="410"/>
      <c r="E717" s="410"/>
      <c r="F717" s="410"/>
      <c r="H717" s="269"/>
      <c r="I717" s="269"/>
      <c r="J717" s="269"/>
      <c r="K717" s="269"/>
      <c r="L717" s="269"/>
      <c r="M717" s="269"/>
      <c r="N717" s="269"/>
      <c r="O717" s="269"/>
      <c r="P717" s="269"/>
      <c r="Q717" s="269"/>
      <c r="R717" s="269"/>
      <c r="S717" s="269"/>
      <c r="T717" s="269"/>
      <c r="U717" s="269"/>
      <c r="V717" s="269"/>
      <c r="W717" s="269"/>
      <c r="X717" s="269"/>
      <c r="Y717" s="269"/>
      <c r="Z717" s="269"/>
      <c r="AA717" s="269"/>
      <c r="AB717" s="269"/>
      <c r="AC717" s="269"/>
      <c r="AD717" s="269"/>
      <c r="AE717" s="269"/>
      <c r="AF717" s="269"/>
      <c r="AG717" s="269"/>
      <c r="AH717" s="269"/>
      <c r="AI717" s="269"/>
      <c r="AJ717" s="269"/>
      <c r="AK717" s="269"/>
      <c r="AL717" s="269"/>
      <c r="AM717" s="269"/>
      <c r="AN717" s="269"/>
      <c r="AO717" s="269"/>
      <c r="AP717" s="269"/>
      <c r="AQ717" s="269"/>
      <c r="AR717" s="269"/>
    </row>
    <row r="718">
      <c r="A718" s="410"/>
      <c r="B718" s="410"/>
      <c r="C718" s="410"/>
      <c r="D718" s="410"/>
      <c r="E718" s="410"/>
      <c r="F718" s="410"/>
      <c r="H718" s="269"/>
      <c r="I718" s="269"/>
      <c r="J718" s="269"/>
      <c r="K718" s="269"/>
      <c r="L718" s="269"/>
      <c r="M718" s="269"/>
      <c r="N718" s="269"/>
      <c r="O718" s="269"/>
      <c r="P718" s="269"/>
      <c r="Q718" s="269"/>
      <c r="R718" s="269"/>
      <c r="S718" s="269"/>
      <c r="T718" s="269"/>
      <c r="U718" s="269"/>
      <c r="V718" s="269"/>
      <c r="W718" s="269"/>
      <c r="X718" s="269"/>
      <c r="Y718" s="269"/>
      <c r="Z718" s="269"/>
      <c r="AA718" s="269"/>
      <c r="AB718" s="269"/>
      <c r="AC718" s="269"/>
      <c r="AD718" s="269"/>
      <c r="AE718" s="269"/>
      <c r="AF718" s="269"/>
      <c r="AG718" s="269"/>
      <c r="AH718" s="269"/>
      <c r="AI718" s="269"/>
      <c r="AJ718" s="269"/>
      <c r="AK718" s="269"/>
      <c r="AL718" s="269"/>
      <c r="AM718" s="269"/>
      <c r="AN718" s="269"/>
      <c r="AO718" s="269"/>
      <c r="AP718" s="269"/>
      <c r="AQ718" s="269"/>
      <c r="AR718" s="269"/>
    </row>
    <row r="719">
      <c r="A719" s="410"/>
      <c r="B719" s="410"/>
      <c r="C719" s="410"/>
      <c r="D719" s="410"/>
      <c r="E719" s="410"/>
      <c r="F719" s="410"/>
      <c r="H719" s="269"/>
      <c r="I719" s="269"/>
      <c r="J719" s="269"/>
      <c r="K719" s="269"/>
      <c r="L719" s="269"/>
      <c r="M719" s="269"/>
      <c r="N719" s="269"/>
      <c r="O719" s="269"/>
      <c r="P719" s="269"/>
      <c r="Q719" s="269"/>
      <c r="R719" s="269"/>
      <c r="S719" s="269"/>
      <c r="T719" s="269"/>
      <c r="U719" s="269"/>
      <c r="V719" s="269"/>
      <c r="W719" s="269"/>
      <c r="X719" s="269"/>
      <c r="Y719" s="269"/>
      <c r="Z719" s="269"/>
      <c r="AA719" s="269"/>
      <c r="AB719" s="269"/>
      <c r="AC719" s="269"/>
      <c r="AD719" s="269"/>
      <c r="AE719" s="269"/>
      <c r="AF719" s="269"/>
      <c r="AG719" s="269"/>
      <c r="AH719" s="269"/>
      <c r="AI719" s="269"/>
      <c r="AJ719" s="269"/>
      <c r="AK719" s="269"/>
      <c r="AL719" s="269"/>
      <c r="AM719" s="269"/>
      <c r="AN719" s="269"/>
      <c r="AO719" s="269"/>
      <c r="AP719" s="269"/>
      <c r="AQ719" s="269"/>
      <c r="AR719" s="269"/>
    </row>
    <row r="720">
      <c r="A720" s="410"/>
      <c r="B720" s="410"/>
      <c r="C720" s="410"/>
      <c r="D720" s="410"/>
      <c r="E720" s="410"/>
      <c r="F720" s="410"/>
      <c r="H720" s="269"/>
      <c r="I720" s="269"/>
      <c r="J720" s="269"/>
      <c r="K720" s="269"/>
      <c r="L720" s="269"/>
      <c r="M720" s="269"/>
      <c r="N720" s="269"/>
      <c r="O720" s="269"/>
      <c r="P720" s="269"/>
      <c r="Q720" s="269"/>
      <c r="R720" s="269"/>
      <c r="S720" s="269"/>
      <c r="T720" s="269"/>
      <c r="U720" s="269"/>
      <c r="V720" s="269"/>
      <c r="W720" s="269"/>
      <c r="X720" s="269"/>
      <c r="Y720" s="269"/>
      <c r="Z720" s="269"/>
      <c r="AA720" s="269"/>
      <c r="AB720" s="269"/>
      <c r="AC720" s="269"/>
      <c r="AD720" s="269"/>
      <c r="AE720" s="269"/>
      <c r="AF720" s="269"/>
      <c r="AG720" s="269"/>
      <c r="AH720" s="269"/>
      <c r="AI720" s="269"/>
      <c r="AJ720" s="269"/>
      <c r="AK720" s="269"/>
      <c r="AL720" s="269"/>
      <c r="AM720" s="269"/>
      <c r="AN720" s="269"/>
      <c r="AO720" s="269"/>
      <c r="AP720" s="269"/>
      <c r="AQ720" s="269"/>
      <c r="AR720" s="269"/>
    </row>
    <row r="721">
      <c r="A721" s="410"/>
      <c r="B721" s="410"/>
      <c r="C721" s="410"/>
      <c r="D721" s="410"/>
      <c r="E721" s="410"/>
      <c r="F721" s="410"/>
      <c r="H721" s="269"/>
      <c r="I721" s="269"/>
      <c r="J721" s="269"/>
      <c r="K721" s="269"/>
      <c r="L721" s="269"/>
      <c r="M721" s="269"/>
      <c r="N721" s="269"/>
      <c r="O721" s="269"/>
      <c r="P721" s="269"/>
      <c r="Q721" s="269"/>
      <c r="R721" s="269"/>
      <c r="S721" s="269"/>
      <c r="T721" s="269"/>
      <c r="U721" s="269"/>
      <c r="V721" s="269"/>
      <c r="W721" s="269"/>
      <c r="X721" s="269"/>
      <c r="Y721" s="269"/>
      <c r="Z721" s="269"/>
      <c r="AA721" s="269"/>
      <c r="AB721" s="269"/>
      <c r="AC721" s="269"/>
      <c r="AD721" s="269"/>
      <c r="AE721" s="269"/>
      <c r="AF721" s="269"/>
      <c r="AG721" s="269"/>
      <c r="AH721" s="269"/>
      <c r="AI721" s="269"/>
      <c r="AJ721" s="269"/>
      <c r="AK721" s="269"/>
      <c r="AL721" s="269"/>
      <c r="AM721" s="269"/>
      <c r="AN721" s="269"/>
      <c r="AO721" s="269"/>
      <c r="AP721" s="269"/>
      <c r="AQ721" s="269"/>
      <c r="AR721" s="269"/>
    </row>
    <row r="722">
      <c r="A722" s="410"/>
      <c r="B722" s="410"/>
      <c r="C722" s="410"/>
      <c r="D722" s="410"/>
      <c r="E722" s="410"/>
      <c r="F722" s="410"/>
      <c r="H722" s="269"/>
      <c r="I722" s="269"/>
      <c r="J722" s="269"/>
      <c r="K722" s="269"/>
      <c r="L722" s="269"/>
      <c r="M722" s="269"/>
      <c r="N722" s="269"/>
      <c r="O722" s="269"/>
      <c r="P722" s="269"/>
      <c r="Q722" s="269"/>
      <c r="R722" s="269"/>
      <c r="S722" s="269"/>
      <c r="T722" s="269"/>
      <c r="U722" s="269"/>
      <c r="V722" s="269"/>
      <c r="W722" s="269"/>
      <c r="X722" s="269"/>
      <c r="Y722" s="269"/>
      <c r="Z722" s="269"/>
      <c r="AA722" s="269"/>
      <c r="AB722" s="269"/>
      <c r="AC722" s="269"/>
      <c r="AD722" s="269"/>
      <c r="AE722" s="269"/>
      <c r="AF722" s="269"/>
      <c r="AG722" s="269"/>
      <c r="AH722" s="269"/>
      <c r="AI722" s="269"/>
      <c r="AJ722" s="269"/>
      <c r="AK722" s="269"/>
      <c r="AL722" s="269"/>
      <c r="AM722" s="269"/>
      <c r="AN722" s="269"/>
      <c r="AO722" s="269"/>
      <c r="AP722" s="269"/>
      <c r="AQ722" s="269"/>
      <c r="AR722" s="269"/>
    </row>
    <row r="723">
      <c r="A723" s="410"/>
      <c r="B723" s="410"/>
      <c r="C723" s="410"/>
      <c r="D723" s="410"/>
      <c r="E723" s="410"/>
      <c r="F723" s="410"/>
      <c r="H723" s="269"/>
      <c r="I723" s="269"/>
      <c r="J723" s="269"/>
      <c r="K723" s="269"/>
      <c r="L723" s="269"/>
      <c r="M723" s="269"/>
      <c r="N723" s="269"/>
      <c r="O723" s="269"/>
      <c r="P723" s="269"/>
      <c r="Q723" s="269"/>
      <c r="R723" s="269"/>
      <c r="S723" s="269"/>
      <c r="T723" s="269"/>
      <c r="U723" s="269"/>
      <c r="V723" s="269"/>
      <c r="W723" s="269"/>
      <c r="X723" s="269"/>
      <c r="Y723" s="269"/>
      <c r="Z723" s="269"/>
      <c r="AA723" s="269"/>
      <c r="AB723" s="269"/>
      <c r="AC723" s="269"/>
      <c r="AD723" s="269"/>
      <c r="AE723" s="269"/>
      <c r="AF723" s="269"/>
      <c r="AG723" s="269"/>
      <c r="AH723" s="269"/>
      <c r="AI723" s="269"/>
      <c r="AJ723" s="269"/>
      <c r="AK723" s="269"/>
      <c r="AL723" s="269"/>
      <c r="AM723" s="269"/>
      <c r="AN723" s="269"/>
      <c r="AO723" s="269"/>
      <c r="AP723" s="269"/>
      <c r="AQ723" s="269"/>
      <c r="AR723" s="269"/>
    </row>
    <row r="724">
      <c r="A724" s="410"/>
      <c r="B724" s="410"/>
      <c r="C724" s="410"/>
      <c r="D724" s="410"/>
      <c r="E724" s="410"/>
      <c r="F724" s="410"/>
      <c r="H724" s="269"/>
      <c r="I724" s="269"/>
      <c r="J724" s="269"/>
      <c r="K724" s="269"/>
      <c r="L724" s="269"/>
      <c r="M724" s="269"/>
      <c r="N724" s="269"/>
      <c r="O724" s="269"/>
      <c r="P724" s="269"/>
      <c r="Q724" s="269"/>
      <c r="R724" s="269"/>
      <c r="S724" s="269"/>
      <c r="T724" s="269"/>
      <c r="U724" s="269"/>
      <c r="V724" s="269"/>
      <c r="W724" s="269"/>
      <c r="X724" s="269"/>
      <c r="Y724" s="269"/>
      <c r="Z724" s="269"/>
      <c r="AA724" s="269"/>
      <c r="AB724" s="269"/>
      <c r="AC724" s="269"/>
      <c r="AD724" s="269"/>
      <c r="AE724" s="269"/>
      <c r="AF724" s="269"/>
      <c r="AG724" s="269"/>
      <c r="AH724" s="269"/>
      <c r="AI724" s="269"/>
      <c r="AJ724" s="269"/>
      <c r="AK724" s="269"/>
      <c r="AL724" s="269"/>
      <c r="AM724" s="269"/>
      <c r="AN724" s="269"/>
      <c r="AO724" s="269"/>
      <c r="AP724" s="269"/>
      <c r="AQ724" s="269"/>
      <c r="AR724" s="269"/>
    </row>
    <row r="725">
      <c r="A725" s="410"/>
      <c r="B725" s="410"/>
      <c r="C725" s="410"/>
      <c r="D725" s="410"/>
      <c r="E725" s="410"/>
      <c r="F725" s="410"/>
      <c r="H725" s="269"/>
      <c r="I725" s="269"/>
      <c r="J725" s="269"/>
      <c r="K725" s="269"/>
      <c r="L725" s="269"/>
      <c r="M725" s="269"/>
      <c r="N725" s="269"/>
      <c r="O725" s="269"/>
      <c r="P725" s="269"/>
      <c r="Q725" s="269"/>
      <c r="R725" s="269"/>
      <c r="S725" s="269"/>
      <c r="T725" s="269"/>
      <c r="U725" s="269"/>
      <c r="V725" s="269"/>
      <c r="W725" s="269"/>
      <c r="X725" s="269"/>
      <c r="Y725" s="269"/>
      <c r="Z725" s="269"/>
      <c r="AA725" s="269"/>
      <c r="AB725" s="269"/>
      <c r="AC725" s="269"/>
      <c r="AD725" s="269"/>
      <c r="AE725" s="269"/>
      <c r="AF725" s="269"/>
      <c r="AG725" s="269"/>
      <c r="AH725" s="269"/>
      <c r="AI725" s="269"/>
      <c r="AJ725" s="269"/>
      <c r="AK725" s="269"/>
      <c r="AL725" s="269"/>
      <c r="AM725" s="269"/>
      <c r="AN725" s="269"/>
      <c r="AO725" s="269"/>
      <c r="AP725" s="269"/>
      <c r="AQ725" s="269"/>
      <c r="AR725" s="269"/>
    </row>
    <row r="726">
      <c r="A726" s="410"/>
      <c r="B726" s="410"/>
      <c r="C726" s="410"/>
      <c r="D726" s="410"/>
      <c r="E726" s="410"/>
      <c r="F726" s="410"/>
      <c r="H726" s="269"/>
      <c r="I726" s="269"/>
      <c r="J726" s="269"/>
      <c r="K726" s="269"/>
      <c r="L726" s="269"/>
      <c r="M726" s="269"/>
      <c r="N726" s="269"/>
      <c r="O726" s="269"/>
      <c r="P726" s="269"/>
      <c r="Q726" s="269"/>
      <c r="R726" s="269"/>
      <c r="S726" s="269"/>
      <c r="T726" s="269"/>
      <c r="U726" s="269"/>
      <c r="V726" s="269"/>
      <c r="W726" s="269"/>
      <c r="X726" s="269"/>
      <c r="Y726" s="269"/>
      <c r="Z726" s="269"/>
      <c r="AA726" s="269"/>
      <c r="AB726" s="269"/>
      <c r="AC726" s="269"/>
      <c r="AD726" s="269"/>
      <c r="AE726" s="269"/>
      <c r="AF726" s="269"/>
      <c r="AG726" s="269"/>
      <c r="AH726" s="269"/>
      <c r="AI726" s="269"/>
      <c r="AJ726" s="269"/>
      <c r="AK726" s="269"/>
      <c r="AL726" s="269"/>
      <c r="AM726" s="269"/>
      <c r="AN726" s="269"/>
      <c r="AO726" s="269"/>
      <c r="AP726" s="269"/>
      <c r="AQ726" s="269"/>
      <c r="AR726" s="269"/>
    </row>
    <row r="727">
      <c r="A727" s="410"/>
      <c r="B727" s="410"/>
      <c r="C727" s="410"/>
      <c r="D727" s="410"/>
      <c r="E727" s="410"/>
      <c r="F727" s="410"/>
      <c r="H727" s="269"/>
      <c r="I727" s="269"/>
      <c r="J727" s="269"/>
      <c r="K727" s="269"/>
      <c r="L727" s="269"/>
      <c r="M727" s="269"/>
      <c r="N727" s="269"/>
      <c r="O727" s="269"/>
      <c r="P727" s="269"/>
      <c r="Q727" s="269"/>
      <c r="R727" s="269"/>
      <c r="S727" s="269"/>
      <c r="T727" s="269"/>
      <c r="U727" s="269"/>
      <c r="V727" s="269"/>
      <c r="W727" s="269"/>
      <c r="X727" s="269"/>
      <c r="Y727" s="269"/>
      <c r="Z727" s="269"/>
      <c r="AA727" s="269"/>
      <c r="AB727" s="269"/>
      <c r="AC727" s="269"/>
      <c r="AD727" s="269"/>
      <c r="AE727" s="269"/>
      <c r="AF727" s="269"/>
      <c r="AG727" s="269"/>
      <c r="AH727" s="269"/>
      <c r="AI727" s="269"/>
      <c r="AJ727" s="269"/>
      <c r="AK727" s="269"/>
      <c r="AL727" s="269"/>
      <c r="AM727" s="269"/>
      <c r="AN727" s="269"/>
      <c r="AO727" s="269"/>
      <c r="AP727" s="269"/>
      <c r="AQ727" s="269"/>
      <c r="AR727" s="269"/>
    </row>
    <row r="728">
      <c r="A728" s="410"/>
      <c r="B728" s="410"/>
      <c r="C728" s="410"/>
      <c r="D728" s="410"/>
      <c r="E728" s="410"/>
      <c r="F728" s="410"/>
      <c r="H728" s="269"/>
      <c r="I728" s="269"/>
      <c r="J728" s="269"/>
      <c r="K728" s="269"/>
      <c r="L728" s="269"/>
      <c r="M728" s="269"/>
      <c r="N728" s="269"/>
      <c r="O728" s="269"/>
      <c r="P728" s="269"/>
      <c r="Q728" s="269"/>
      <c r="R728" s="269"/>
      <c r="S728" s="269"/>
      <c r="T728" s="269"/>
      <c r="U728" s="269"/>
      <c r="V728" s="269"/>
      <c r="W728" s="269"/>
      <c r="X728" s="269"/>
      <c r="Y728" s="269"/>
      <c r="Z728" s="269"/>
      <c r="AA728" s="269"/>
      <c r="AB728" s="269"/>
      <c r="AC728" s="269"/>
      <c r="AD728" s="269"/>
      <c r="AE728" s="269"/>
      <c r="AF728" s="269"/>
      <c r="AG728" s="269"/>
      <c r="AH728" s="269"/>
      <c r="AI728" s="269"/>
      <c r="AJ728" s="269"/>
      <c r="AK728" s="269"/>
      <c r="AL728" s="269"/>
      <c r="AM728" s="269"/>
      <c r="AN728" s="269"/>
      <c r="AO728" s="269"/>
      <c r="AP728" s="269"/>
      <c r="AQ728" s="269"/>
      <c r="AR728" s="269"/>
    </row>
    <row r="729">
      <c r="A729" s="410"/>
      <c r="B729" s="410"/>
      <c r="C729" s="410"/>
      <c r="D729" s="410"/>
      <c r="E729" s="410"/>
      <c r="F729" s="410"/>
      <c r="H729" s="269"/>
      <c r="I729" s="269"/>
      <c r="J729" s="269"/>
      <c r="K729" s="269"/>
      <c r="L729" s="269"/>
      <c r="M729" s="269"/>
      <c r="N729" s="269"/>
      <c r="O729" s="269"/>
      <c r="P729" s="269"/>
      <c r="Q729" s="269"/>
      <c r="R729" s="269"/>
      <c r="S729" s="269"/>
      <c r="T729" s="269"/>
      <c r="U729" s="269"/>
      <c r="V729" s="269"/>
      <c r="W729" s="269"/>
      <c r="X729" s="269"/>
      <c r="Y729" s="269"/>
      <c r="Z729" s="269"/>
      <c r="AA729" s="269"/>
      <c r="AB729" s="269"/>
      <c r="AC729" s="269"/>
      <c r="AD729" s="269"/>
      <c r="AE729" s="269"/>
      <c r="AF729" s="269"/>
      <c r="AG729" s="269"/>
      <c r="AH729" s="269"/>
      <c r="AI729" s="269"/>
      <c r="AJ729" s="269"/>
      <c r="AK729" s="269"/>
      <c r="AL729" s="269"/>
      <c r="AM729" s="269"/>
      <c r="AN729" s="269"/>
      <c r="AO729" s="269"/>
      <c r="AP729" s="269"/>
      <c r="AQ729" s="269"/>
      <c r="AR729" s="269"/>
    </row>
    <row r="730">
      <c r="A730" s="410"/>
      <c r="B730" s="410"/>
      <c r="C730" s="410"/>
      <c r="D730" s="410"/>
      <c r="E730" s="410"/>
      <c r="F730" s="410"/>
      <c r="H730" s="269"/>
      <c r="I730" s="269"/>
      <c r="J730" s="269"/>
      <c r="K730" s="269"/>
      <c r="L730" s="269"/>
      <c r="M730" s="269"/>
      <c r="N730" s="269"/>
      <c r="O730" s="269"/>
      <c r="P730" s="269"/>
      <c r="Q730" s="269"/>
      <c r="R730" s="269"/>
      <c r="S730" s="269"/>
      <c r="T730" s="269"/>
      <c r="U730" s="269"/>
      <c r="V730" s="269"/>
      <c r="W730" s="269"/>
      <c r="X730" s="269"/>
      <c r="Y730" s="269"/>
      <c r="Z730" s="269"/>
      <c r="AA730" s="269"/>
      <c r="AB730" s="269"/>
      <c r="AC730" s="269"/>
      <c r="AD730" s="269"/>
      <c r="AE730" s="269"/>
      <c r="AF730" s="269"/>
      <c r="AG730" s="269"/>
      <c r="AH730" s="269"/>
      <c r="AI730" s="269"/>
      <c r="AJ730" s="269"/>
      <c r="AK730" s="269"/>
      <c r="AL730" s="269"/>
      <c r="AM730" s="269"/>
      <c r="AN730" s="269"/>
      <c r="AO730" s="269"/>
      <c r="AP730" s="269"/>
      <c r="AQ730" s="269"/>
      <c r="AR730" s="269"/>
    </row>
    <row r="731">
      <c r="A731" s="410"/>
      <c r="B731" s="410"/>
      <c r="C731" s="410"/>
      <c r="D731" s="410"/>
      <c r="E731" s="410"/>
      <c r="F731" s="410"/>
      <c r="H731" s="269"/>
      <c r="I731" s="269"/>
      <c r="J731" s="269"/>
      <c r="K731" s="269"/>
      <c r="L731" s="269"/>
      <c r="M731" s="269"/>
      <c r="N731" s="269"/>
      <c r="O731" s="269"/>
      <c r="P731" s="269"/>
      <c r="Q731" s="269"/>
      <c r="R731" s="269"/>
      <c r="S731" s="269"/>
      <c r="T731" s="269"/>
      <c r="U731" s="269"/>
      <c r="V731" s="269"/>
      <c r="W731" s="269"/>
      <c r="X731" s="269"/>
      <c r="Y731" s="269"/>
      <c r="Z731" s="269"/>
      <c r="AA731" s="269"/>
      <c r="AB731" s="269"/>
      <c r="AC731" s="269"/>
      <c r="AD731" s="269"/>
      <c r="AE731" s="269"/>
      <c r="AF731" s="269"/>
      <c r="AG731" s="269"/>
      <c r="AH731" s="269"/>
      <c r="AI731" s="269"/>
      <c r="AJ731" s="269"/>
      <c r="AK731" s="269"/>
      <c r="AL731" s="269"/>
      <c r="AM731" s="269"/>
      <c r="AN731" s="269"/>
      <c r="AO731" s="269"/>
      <c r="AP731" s="269"/>
      <c r="AQ731" s="269"/>
      <c r="AR731" s="269"/>
    </row>
    <row r="732">
      <c r="A732" s="410"/>
      <c r="B732" s="410"/>
      <c r="C732" s="410"/>
      <c r="D732" s="410"/>
      <c r="E732" s="410"/>
      <c r="F732" s="410"/>
      <c r="H732" s="269"/>
      <c r="I732" s="269"/>
      <c r="J732" s="269"/>
      <c r="K732" s="269"/>
      <c r="L732" s="269"/>
      <c r="M732" s="269"/>
      <c r="N732" s="269"/>
      <c r="O732" s="269"/>
      <c r="P732" s="269"/>
      <c r="Q732" s="269"/>
      <c r="R732" s="269"/>
      <c r="S732" s="269"/>
      <c r="T732" s="269"/>
      <c r="U732" s="269"/>
      <c r="V732" s="269"/>
      <c r="W732" s="269"/>
      <c r="X732" s="269"/>
      <c r="Y732" s="269"/>
      <c r="Z732" s="269"/>
      <c r="AA732" s="269"/>
      <c r="AB732" s="269"/>
      <c r="AC732" s="269"/>
      <c r="AD732" s="269"/>
      <c r="AE732" s="269"/>
      <c r="AF732" s="269"/>
      <c r="AG732" s="269"/>
      <c r="AH732" s="269"/>
      <c r="AI732" s="269"/>
      <c r="AJ732" s="269"/>
      <c r="AK732" s="269"/>
      <c r="AL732" s="269"/>
      <c r="AM732" s="269"/>
      <c r="AN732" s="269"/>
      <c r="AO732" s="269"/>
      <c r="AP732" s="269"/>
      <c r="AQ732" s="269"/>
      <c r="AR732" s="269"/>
    </row>
    <row r="733">
      <c r="A733" s="410"/>
      <c r="B733" s="410"/>
      <c r="C733" s="410"/>
      <c r="D733" s="410"/>
      <c r="E733" s="410"/>
      <c r="F733" s="410"/>
      <c r="H733" s="269"/>
      <c r="I733" s="269"/>
      <c r="J733" s="269"/>
      <c r="K733" s="269"/>
      <c r="L733" s="269"/>
      <c r="M733" s="269"/>
      <c r="N733" s="269"/>
      <c r="O733" s="269"/>
      <c r="P733" s="269"/>
      <c r="Q733" s="269"/>
      <c r="R733" s="269"/>
      <c r="S733" s="269"/>
      <c r="T733" s="269"/>
      <c r="U733" s="269"/>
      <c r="V733" s="269"/>
      <c r="W733" s="269"/>
      <c r="X733" s="269"/>
      <c r="Y733" s="269"/>
      <c r="Z733" s="269"/>
      <c r="AA733" s="269"/>
      <c r="AB733" s="269"/>
      <c r="AC733" s="269"/>
      <c r="AD733" s="269"/>
      <c r="AE733" s="269"/>
      <c r="AF733" s="269"/>
      <c r="AG733" s="269"/>
      <c r="AH733" s="269"/>
      <c r="AI733" s="269"/>
      <c r="AJ733" s="269"/>
      <c r="AK733" s="269"/>
      <c r="AL733" s="269"/>
      <c r="AM733" s="269"/>
      <c r="AN733" s="269"/>
      <c r="AO733" s="269"/>
      <c r="AP733" s="269"/>
      <c r="AQ733" s="269"/>
      <c r="AR733" s="269"/>
    </row>
    <row r="734">
      <c r="A734" s="410"/>
      <c r="B734" s="410"/>
      <c r="C734" s="410"/>
      <c r="D734" s="410"/>
      <c r="E734" s="410"/>
      <c r="F734" s="410"/>
      <c r="H734" s="269"/>
      <c r="I734" s="269"/>
      <c r="J734" s="269"/>
      <c r="K734" s="269"/>
      <c r="L734" s="269"/>
      <c r="M734" s="269"/>
      <c r="N734" s="269"/>
      <c r="O734" s="269"/>
      <c r="P734" s="269"/>
      <c r="Q734" s="269"/>
      <c r="R734" s="269"/>
      <c r="S734" s="269"/>
      <c r="T734" s="269"/>
      <c r="U734" s="269"/>
      <c r="V734" s="269"/>
      <c r="W734" s="269"/>
      <c r="X734" s="269"/>
      <c r="Y734" s="269"/>
      <c r="Z734" s="269"/>
      <c r="AA734" s="269"/>
      <c r="AB734" s="269"/>
      <c r="AC734" s="269"/>
      <c r="AD734" s="269"/>
      <c r="AE734" s="269"/>
      <c r="AF734" s="269"/>
      <c r="AG734" s="269"/>
      <c r="AH734" s="269"/>
      <c r="AI734" s="269"/>
      <c r="AJ734" s="269"/>
      <c r="AK734" s="269"/>
      <c r="AL734" s="269"/>
      <c r="AM734" s="269"/>
      <c r="AN734" s="269"/>
      <c r="AO734" s="269"/>
      <c r="AP734" s="269"/>
      <c r="AQ734" s="269"/>
      <c r="AR734" s="269"/>
    </row>
    <row r="735">
      <c r="A735" s="410"/>
      <c r="B735" s="410"/>
      <c r="C735" s="410"/>
      <c r="D735" s="410"/>
      <c r="E735" s="410"/>
      <c r="F735" s="410"/>
      <c r="H735" s="269"/>
      <c r="I735" s="269"/>
      <c r="J735" s="269"/>
      <c r="K735" s="269"/>
      <c r="L735" s="269"/>
      <c r="M735" s="269"/>
      <c r="N735" s="269"/>
      <c r="O735" s="269"/>
      <c r="P735" s="269"/>
      <c r="Q735" s="269"/>
      <c r="R735" s="269"/>
      <c r="S735" s="269"/>
      <c r="T735" s="269"/>
      <c r="U735" s="269"/>
      <c r="V735" s="269"/>
      <c r="W735" s="269"/>
      <c r="X735" s="269"/>
      <c r="Y735" s="269"/>
      <c r="Z735" s="269"/>
      <c r="AA735" s="269"/>
      <c r="AB735" s="269"/>
      <c r="AC735" s="269"/>
      <c r="AD735" s="269"/>
      <c r="AE735" s="269"/>
      <c r="AF735" s="269"/>
      <c r="AG735" s="269"/>
      <c r="AH735" s="269"/>
      <c r="AI735" s="269"/>
      <c r="AJ735" s="269"/>
      <c r="AK735" s="269"/>
      <c r="AL735" s="269"/>
      <c r="AM735" s="269"/>
      <c r="AN735" s="269"/>
      <c r="AO735" s="269"/>
      <c r="AP735" s="269"/>
      <c r="AQ735" s="269"/>
      <c r="AR735" s="269"/>
    </row>
    <row r="736">
      <c r="A736" s="410"/>
      <c r="B736" s="410"/>
      <c r="C736" s="410"/>
      <c r="D736" s="410"/>
      <c r="E736" s="410"/>
      <c r="F736" s="410"/>
      <c r="H736" s="269"/>
      <c r="I736" s="269"/>
      <c r="J736" s="269"/>
      <c r="K736" s="269"/>
      <c r="L736" s="269"/>
      <c r="M736" s="269"/>
      <c r="N736" s="269"/>
      <c r="O736" s="269"/>
      <c r="P736" s="269"/>
      <c r="Q736" s="269"/>
      <c r="R736" s="269"/>
      <c r="S736" s="269"/>
      <c r="T736" s="269"/>
      <c r="U736" s="269"/>
      <c r="V736" s="269"/>
      <c r="W736" s="269"/>
      <c r="X736" s="269"/>
      <c r="Y736" s="269"/>
      <c r="Z736" s="269"/>
      <c r="AA736" s="269"/>
      <c r="AB736" s="269"/>
      <c r="AC736" s="269"/>
      <c r="AD736" s="269"/>
      <c r="AE736" s="269"/>
      <c r="AF736" s="269"/>
      <c r="AG736" s="269"/>
      <c r="AH736" s="269"/>
      <c r="AI736" s="269"/>
      <c r="AJ736" s="269"/>
      <c r="AK736" s="269"/>
      <c r="AL736" s="269"/>
      <c r="AM736" s="269"/>
      <c r="AN736" s="269"/>
      <c r="AO736" s="269"/>
      <c r="AP736" s="269"/>
      <c r="AQ736" s="269"/>
      <c r="AR736" s="269"/>
    </row>
    <row r="737">
      <c r="A737" s="410"/>
      <c r="B737" s="410"/>
      <c r="C737" s="410"/>
      <c r="D737" s="410"/>
      <c r="E737" s="410"/>
      <c r="F737" s="410"/>
      <c r="H737" s="269"/>
      <c r="I737" s="269"/>
      <c r="J737" s="269"/>
      <c r="K737" s="269"/>
      <c r="L737" s="269"/>
      <c r="M737" s="269"/>
      <c r="N737" s="269"/>
      <c r="O737" s="269"/>
      <c r="P737" s="269"/>
      <c r="Q737" s="269"/>
      <c r="R737" s="269"/>
      <c r="S737" s="269"/>
      <c r="T737" s="269"/>
      <c r="U737" s="269"/>
      <c r="V737" s="269"/>
      <c r="W737" s="269"/>
      <c r="X737" s="269"/>
      <c r="Y737" s="269"/>
      <c r="Z737" s="269"/>
      <c r="AA737" s="269"/>
      <c r="AB737" s="269"/>
      <c r="AC737" s="269"/>
      <c r="AD737" s="269"/>
      <c r="AE737" s="269"/>
      <c r="AF737" s="269"/>
      <c r="AG737" s="269"/>
      <c r="AH737" s="269"/>
      <c r="AI737" s="269"/>
      <c r="AJ737" s="269"/>
      <c r="AK737" s="269"/>
      <c r="AL737" s="269"/>
      <c r="AM737" s="269"/>
      <c r="AN737" s="269"/>
      <c r="AO737" s="269"/>
      <c r="AP737" s="269"/>
      <c r="AQ737" s="269"/>
      <c r="AR737" s="269"/>
    </row>
    <row r="738">
      <c r="A738" s="410"/>
      <c r="B738" s="410"/>
      <c r="C738" s="410"/>
      <c r="D738" s="410"/>
      <c r="E738" s="410"/>
      <c r="F738" s="410"/>
      <c r="H738" s="269"/>
      <c r="I738" s="269"/>
      <c r="J738" s="269"/>
      <c r="K738" s="269"/>
      <c r="L738" s="269"/>
      <c r="M738" s="269"/>
      <c r="N738" s="269"/>
      <c r="O738" s="269"/>
      <c r="P738" s="269"/>
      <c r="Q738" s="269"/>
      <c r="R738" s="269"/>
      <c r="S738" s="269"/>
      <c r="T738" s="269"/>
      <c r="U738" s="269"/>
      <c r="V738" s="269"/>
      <c r="W738" s="269"/>
      <c r="X738" s="269"/>
      <c r="Y738" s="269"/>
      <c r="Z738" s="269"/>
      <c r="AA738" s="269"/>
      <c r="AB738" s="269"/>
      <c r="AC738" s="269"/>
      <c r="AD738" s="269"/>
      <c r="AE738" s="269"/>
      <c r="AF738" s="269"/>
      <c r="AG738" s="269"/>
      <c r="AH738" s="269"/>
      <c r="AI738" s="269"/>
      <c r="AJ738" s="269"/>
      <c r="AK738" s="269"/>
      <c r="AL738" s="269"/>
      <c r="AM738" s="269"/>
      <c r="AN738" s="269"/>
      <c r="AO738" s="269"/>
      <c r="AP738" s="269"/>
      <c r="AQ738" s="269"/>
      <c r="AR738" s="269"/>
    </row>
    <row r="739">
      <c r="A739" s="410"/>
      <c r="B739" s="410"/>
      <c r="C739" s="410"/>
      <c r="D739" s="410"/>
      <c r="E739" s="410"/>
      <c r="F739" s="410"/>
      <c r="H739" s="269"/>
      <c r="I739" s="269"/>
      <c r="J739" s="269"/>
      <c r="K739" s="269"/>
      <c r="L739" s="269"/>
      <c r="M739" s="269"/>
      <c r="N739" s="269"/>
      <c r="O739" s="269"/>
      <c r="P739" s="269"/>
      <c r="Q739" s="269"/>
      <c r="R739" s="269"/>
      <c r="S739" s="269"/>
      <c r="T739" s="269"/>
      <c r="U739" s="269"/>
      <c r="V739" s="269"/>
      <c r="W739" s="269"/>
      <c r="X739" s="269"/>
      <c r="Y739" s="269"/>
      <c r="Z739" s="269"/>
      <c r="AA739" s="269"/>
      <c r="AB739" s="269"/>
      <c r="AC739" s="269"/>
      <c r="AD739" s="269"/>
      <c r="AE739" s="269"/>
      <c r="AF739" s="269"/>
      <c r="AG739" s="269"/>
      <c r="AH739" s="269"/>
      <c r="AI739" s="269"/>
      <c r="AJ739" s="269"/>
      <c r="AK739" s="269"/>
      <c r="AL739" s="269"/>
      <c r="AM739" s="269"/>
      <c r="AN739" s="269"/>
      <c r="AO739" s="269"/>
      <c r="AP739" s="269"/>
      <c r="AQ739" s="269"/>
      <c r="AR739" s="269"/>
    </row>
    <row r="740">
      <c r="A740" s="410"/>
      <c r="B740" s="410"/>
      <c r="C740" s="410"/>
      <c r="D740" s="410"/>
      <c r="E740" s="410"/>
      <c r="F740" s="410"/>
      <c r="H740" s="269"/>
      <c r="I740" s="269"/>
      <c r="J740" s="269"/>
      <c r="K740" s="269"/>
      <c r="L740" s="269"/>
      <c r="M740" s="269"/>
      <c r="N740" s="269"/>
      <c r="O740" s="269"/>
      <c r="P740" s="269"/>
      <c r="Q740" s="269"/>
      <c r="R740" s="269"/>
      <c r="S740" s="269"/>
      <c r="T740" s="269"/>
      <c r="U740" s="269"/>
      <c r="V740" s="269"/>
      <c r="W740" s="269"/>
      <c r="X740" s="269"/>
      <c r="Y740" s="269"/>
      <c r="Z740" s="269"/>
      <c r="AA740" s="269"/>
      <c r="AB740" s="269"/>
      <c r="AC740" s="269"/>
      <c r="AD740" s="269"/>
      <c r="AE740" s="269"/>
      <c r="AF740" s="269"/>
      <c r="AG740" s="269"/>
      <c r="AH740" s="269"/>
      <c r="AI740" s="269"/>
      <c r="AJ740" s="269"/>
      <c r="AK740" s="269"/>
      <c r="AL740" s="269"/>
      <c r="AM740" s="269"/>
      <c r="AN740" s="269"/>
      <c r="AO740" s="269"/>
      <c r="AP740" s="269"/>
      <c r="AQ740" s="269"/>
      <c r="AR740" s="269"/>
    </row>
    <row r="741">
      <c r="A741" s="410"/>
      <c r="B741" s="410"/>
      <c r="C741" s="410"/>
      <c r="D741" s="410"/>
      <c r="E741" s="410"/>
      <c r="F741" s="410"/>
      <c r="H741" s="269"/>
      <c r="I741" s="269"/>
      <c r="J741" s="269"/>
      <c r="K741" s="269"/>
      <c r="L741" s="269"/>
      <c r="M741" s="269"/>
      <c r="N741" s="269"/>
      <c r="O741" s="269"/>
      <c r="P741" s="269"/>
      <c r="Q741" s="269"/>
      <c r="R741" s="269"/>
      <c r="S741" s="269"/>
      <c r="T741" s="269"/>
      <c r="U741" s="269"/>
      <c r="V741" s="269"/>
      <c r="W741" s="269"/>
      <c r="X741" s="269"/>
      <c r="Y741" s="269"/>
      <c r="Z741" s="269"/>
      <c r="AA741" s="269"/>
      <c r="AB741" s="269"/>
      <c r="AC741" s="269"/>
      <c r="AD741" s="269"/>
      <c r="AE741" s="269"/>
      <c r="AF741" s="269"/>
      <c r="AG741" s="269"/>
      <c r="AH741" s="269"/>
      <c r="AI741" s="269"/>
      <c r="AJ741" s="269"/>
      <c r="AK741" s="269"/>
      <c r="AL741" s="269"/>
      <c r="AM741" s="269"/>
      <c r="AN741" s="269"/>
      <c r="AO741" s="269"/>
      <c r="AP741" s="269"/>
      <c r="AQ741" s="269"/>
      <c r="AR741" s="269"/>
    </row>
    <row r="742">
      <c r="A742" s="410"/>
      <c r="B742" s="410"/>
      <c r="C742" s="410"/>
      <c r="D742" s="410"/>
      <c r="E742" s="410"/>
      <c r="F742" s="410"/>
      <c r="H742" s="269"/>
      <c r="I742" s="269"/>
      <c r="J742" s="269"/>
      <c r="K742" s="269"/>
      <c r="L742" s="269"/>
      <c r="M742" s="269"/>
      <c r="N742" s="269"/>
      <c r="O742" s="269"/>
      <c r="P742" s="269"/>
      <c r="Q742" s="269"/>
      <c r="R742" s="269"/>
      <c r="S742" s="269"/>
      <c r="T742" s="269"/>
      <c r="U742" s="269"/>
      <c r="V742" s="269"/>
      <c r="W742" s="269"/>
      <c r="X742" s="269"/>
      <c r="Y742" s="269"/>
      <c r="Z742" s="269"/>
      <c r="AA742" s="269"/>
      <c r="AB742" s="269"/>
      <c r="AC742" s="269"/>
      <c r="AD742" s="269"/>
      <c r="AE742" s="269"/>
      <c r="AF742" s="269"/>
      <c r="AG742" s="269"/>
      <c r="AH742" s="269"/>
      <c r="AI742" s="269"/>
      <c r="AJ742" s="269"/>
      <c r="AK742" s="269"/>
      <c r="AL742" s="269"/>
      <c r="AM742" s="269"/>
      <c r="AN742" s="269"/>
      <c r="AO742" s="269"/>
      <c r="AP742" s="269"/>
      <c r="AQ742" s="269"/>
      <c r="AR742" s="269"/>
    </row>
    <row r="743">
      <c r="A743" s="410"/>
      <c r="B743" s="410"/>
      <c r="C743" s="410"/>
      <c r="D743" s="410"/>
      <c r="E743" s="410"/>
      <c r="F743" s="410"/>
      <c r="H743" s="269"/>
      <c r="I743" s="269"/>
      <c r="J743" s="269"/>
      <c r="K743" s="269"/>
      <c r="L743" s="269"/>
      <c r="M743" s="269"/>
      <c r="N743" s="269"/>
      <c r="O743" s="269"/>
      <c r="P743" s="269"/>
      <c r="Q743" s="269"/>
      <c r="R743" s="269"/>
      <c r="S743" s="269"/>
      <c r="T743" s="269"/>
      <c r="U743" s="269"/>
      <c r="V743" s="269"/>
      <c r="W743" s="269"/>
      <c r="X743" s="269"/>
      <c r="Y743" s="269"/>
      <c r="Z743" s="269"/>
      <c r="AA743" s="269"/>
      <c r="AB743" s="269"/>
      <c r="AC743" s="269"/>
      <c r="AD743" s="269"/>
      <c r="AE743" s="269"/>
      <c r="AF743" s="269"/>
      <c r="AG743" s="269"/>
      <c r="AH743" s="269"/>
      <c r="AI743" s="269"/>
      <c r="AJ743" s="269"/>
      <c r="AK743" s="269"/>
      <c r="AL743" s="269"/>
      <c r="AM743" s="269"/>
      <c r="AN743" s="269"/>
      <c r="AO743" s="269"/>
      <c r="AP743" s="269"/>
      <c r="AQ743" s="269"/>
      <c r="AR743" s="269"/>
    </row>
    <row r="744">
      <c r="A744" s="410"/>
      <c r="B744" s="410"/>
      <c r="C744" s="410"/>
      <c r="D744" s="410"/>
      <c r="E744" s="410"/>
      <c r="F744" s="410"/>
      <c r="H744" s="269"/>
      <c r="I744" s="269"/>
      <c r="J744" s="269"/>
      <c r="K744" s="269"/>
      <c r="L744" s="269"/>
      <c r="M744" s="269"/>
      <c r="N744" s="269"/>
      <c r="O744" s="269"/>
      <c r="P744" s="269"/>
      <c r="Q744" s="269"/>
      <c r="R744" s="269"/>
      <c r="S744" s="269"/>
      <c r="T744" s="269"/>
      <c r="U744" s="269"/>
      <c r="V744" s="269"/>
      <c r="W744" s="269"/>
      <c r="X744" s="269"/>
      <c r="Y744" s="269"/>
      <c r="Z744" s="269"/>
      <c r="AA744" s="269"/>
      <c r="AB744" s="269"/>
      <c r="AC744" s="269"/>
      <c r="AD744" s="269"/>
      <c r="AE744" s="269"/>
      <c r="AF744" s="269"/>
      <c r="AG744" s="269"/>
      <c r="AH744" s="269"/>
      <c r="AI744" s="269"/>
      <c r="AJ744" s="269"/>
      <c r="AK744" s="269"/>
      <c r="AL744" s="269"/>
      <c r="AM744" s="269"/>
      <c r="AN744" s="269"/>
      <c r="AO744" s="269"/>
      <c r="AP744" s="269"/>
      <c r="AQ744" s="269"/>
      <c r="AR744" s="269"/>
    </row>
    <row r="745">
      <c r="A745" s="410"/>
      <c r="B745" s="410"/>
      <c r="C745" s="410"/>
      <c r="D745" s="410"/>
      <c r="E745" s="410"/>
      <c r="F745" s="410"/>
      <c r="H745" s="269"/>
      <c r="I745" s="269"/>
      <c r="J745" s="269"/>
      <c r="K745" s="269"/>
      <c r="L745" s="269"/>
      <c r="M745" s="269"/>
      <c r="N745" s="269"/>
      <c r="O745" s="269"/>
      <c r="P745" s="269"/>
      <c r="Q745" s="269"/>
      <c r="R745" s="269"/>
      <c r="S745" s="269"/>
      <c r="T745" s="269"/>
      <c r="U745" s="269"/>
      <c r="V745" s="269"/>
      <c r="W745" s="269"/>
      <c r="X745" s="269"/>
      <c r="Y745" s="269"/>
      <c r="Z745" s="269"/>
      <c r="AA745" s="269"/>
      <c r="AB745" s="269"/>
      <c r="AC745" s="269"/>
      <c r="AD745" s="269"/>
      <c r="AE745" s="269"/>
      <c r="AF745" s="269"/>
      <c r="AG745" s="269"/>
      <c r="AH745" s="269"/>
      <c r="AI745" s="269"/>
      <c r="AJ745" s="269"/>
      <c r="AK745" s="269"/>
      <c r="AL745" s="269"/>
      <c r="AM745" s="269"/>
      <c r="AN745" s="269"/>
      <c r="AO745" s="269"/>
      <c r="AP745" s="269"/>
      <c r="AQ745" s="269"/>
      <c r="AR745" s="269"/>
    </row>
    <row r="746">
      <c r="A746" s="410"/>
      <c r="B746" s="410"/>
      <c r="C746" s="410"/>
      <c r="D746" s="410"/>
      <c r="E746" s="410"/>
      <c r="F746" s="410"/>
      <c r="H746" s="269"/>
      <c r="I746" s="269"/>
      <c r="J746" s="269"/>
      <c r="K746" s="269"/>
      <c r="L746" s="269"/>
      <c r="M746" s="269"/>
      <c r="N746" s="269"/>
      <c r="O746" s="269"/>
      <c r="P746" s="269"/>
      <c r="Q746" s="269"/>
      <c r="R746" s="269"/>
      <c r="S746" s="269"/>
      <c r="T746" s="269"/>
      <c r="U746" s="269"/>
      <c r="V746" s="269"/>
      <c r="W746" s="269"/>
      <c r="X746" s="269"/>
      <c r="Y746" s="269"/>
      <c r="Z746" s="269"/>
      <c r="AA746" s="269"/>
      <c r="AB746" s="269"/>
      <c r="AC746" s="269"/>
      <c r="AD746" s="269"/>
      <c r="AE746" s="269"/>
      <c r="AF746" s="269"/>
      <c r="AG746" s="269"/>
      <c r="AH746" s="269"/>
      <c r="AI746" s="269"/>
      <c r="AJ746" s="269"/>
      <c r="AK746" s="269"/>
      <c r="AL746" s="269"/>
      <c r="AM746" s="269"/>
      <c r="AN746" s="269"/>
      <c r="AO746" s="269"/>
      <c r="AP746" s="269"/>
      <c r="AQ746" s="269"/>
      <c r="AR746" s="269"/>
    </row>
    <row r="747">
      <c r="A747" s="410"/>
      <c r="B747" s="410"/>
      <c r="C747" s="410"/>
      <c r="D747" s="410"/>
      <c r="E747" s="410"/>
      <c r="F747" s="410"/>
      <c r="H747" s="269"/>
      <c r="I747" s="269"/>
      <c r="J747" s="269"/>
      <c r="K747" s="269"/>
      <c r="L747" s="269"/>
      <c r="M747" s="269"/>
      <c r="N747" s="269"/>
      <c r="O747" s="269"/>
      <c r="P747" s="269"/>
      <c r="Q747" s="269"/>
      <c r="R747" s="269"/>
      <c r="S747" s="269"/>
      <c r="T747" s="269"/>
      <c r="U747" s="269"/>
      <c r="V747" s="269"/>
      <c r="W747" s="269"/>
      <c r="X747" s="269"/>
      <c r="Y747" s="269"/>
      <c r="Z747" s="269"/>
      <c r="AA747" s="269"/>
      <c r="AB747" s="269"/>
      <c r="AC747" s="269"/>
      <c r="AD747" s="269"/>
      <c r="AE747" s="269"/>
      <c r="AF747" s="269"/>
      <c r="AG747" s="269"/>
      <c r="AH747" s="269"/>
      <c r="AI747" s="269"/>
      <c r="AJ747" s="269"/>
      <c r="AK747" s="269"/>
      <c r="AL747" s="269"/>
      <c r="AM747" s="269"/>
      <c r="AN747" s="269"/>
      <c r="AO747" s="269"/>
      <c r="AP747" s="269"/>
      <c r="AQ747" s="269"/>
      <c r="AR747" s="269"/>
    </row>
    <row r="748">
      <c r="A748" s="410"/>
      <c r="B748" s="410"/>
      <c r="C748" s="410"/>
      <c r="D748" s="410"/>
      <c r="E748" s="410"/>
      <c r="F748" s="410"/>
      <c r="H748" s="269"/>
      <c r="I748" s="269"/>
      <c r="J748" s="269"/>
      <c r="K748" s="269"/>
      <c r="L748" s="269"/>
      <c r="M748" s="269"/>
      <c r="N748" s="269"/>
      <c r="O748" s="269"/>
      <c r="P748" s="269"/>
      <c r="Q748" s="269"/>
      <c r="R748" s="269"/>
      <c r="S748" s="269"/>
      <c r="T748" s="269"/>
      <c r="U748" s="269"/>
      <c r="V748" s="269"/>
      <c r="W748" s="269"/>
      <c r="X748" s="269"/>
      <c r="Y748" s="269"/>
      <c r="Z748" s="269"/>
      <c r="AA748" s="269"/>
      <c r="AB748" s="269"/>
      <c r="AC748" s="269"/>
      <c r="AD748" s="269"/>
      <c r="AE748" s="269"/>
      <c r="AF748" s="269"/>
      <c r="AG748" s="269"/>
      <c r="AH748" s="269"/>
      <c r="AI748" s="269"/>
      <c r="AJ748" s="269"/>
      <c r="AK748" s="269"/>
      <c r="AL748" s="269"/>
      <c r="AM748" s="269"/>
      <c r="AN748" s="269"/>
      <c r="AO748" s="269"/>
      <c r="AP748" s="269"/>
      <c r="AQ748" s="269"/>
      <c r="AR748" s="269"/>
    </row>
    <row r="749">
      <c r="A749" s="410"/>
      <c r="B749" s="410"/>
      <c r="C749" s="410"/>
      <c r="D749" s="410"/>
      <c r="E749" s="410"/>
      <c r="F749" s="410"/>
      <c r="H749" s="269"/>
      <c r="I749" s="269"/>
      <c r="J749" s="269"/>
      <c r="K749" s="269"/>
      <c r="L749" s="269"/>
      <c r="M749" s="269"/>
      <c r="N749" s="269"/>
      <c r="O749" s="269"/>
      <c r="P749" s="269"/>
      <c r="Q749" s="269"/>
      <c r="R749" s="269"/>
      <c r="S749" s="269"/>
      <c r="T749" s="269"/>
      <c r="U749" s="269"/>
      <c r="V749" s="269"/>
      <c r="W749" s="269"/>
      <c r="X749" s="269"/>
      <c r="Y749" s="269"/>
      <c r="Z749" s="269"/>
      <c r="AA749" s="269"/>
      <c r="AB749" s="269"/>
      <c r="AC749" s="269"/>
      <c r="AD749" s="269"/>
      <c r="AE749" s="269"/>
      <c r="AF749" s="269"/>
      <c r="AG749" s="269"/>
      <c r="AH749" s="269"/>
      <c r="AI749" s="269"/>
      <c r="AJ749" s="269"/>
      <c r="AK749" s="269"/>
      <c r="AL749" s="269"/>
      <c r="AM749" s="269"/>
      <c r="AN749" s="269"/>
      <c r="AO749" s="269"/>
      <c r="AP749" s="269"/>
      <c r="AQ749" s="269"/>
      <c r="AR749" s="269"/>
    </row>
    <row r="750">
      <c r="A750" s="410"/>
      <c r="B750" s="410"/>
      <c r="C750" s="410"/>
      <c r="D750" s="410"/>
      <c r="E750" s="410"/>
      <c r="F750" s="410"/>
      <c r="H750" s="269"/>
      <c r="I750" s="269"/>
      <c r="J750" s="269"/>
      <c r="K750" s="269"/>
      <c r="L750" s="269"/>
      <c r="M750" s="269"/>
      <c r="N750" s="269"/>
      <c r="O750" s="269"/>
      <c r="P750" s="269"/>
      <c r="Q750" s="269"/>
      <c r="R750" s="269"/>
      <c r="S750" s="269"/>
      <c r="T750" s="269"/>
      <c r="U750" s="269"/>
      <c r="V750" s="269"/>
      <c r="W750" s="269"/>
      <c r="X750" s="269"/>
      <c r="Y750" s="269"/>
      <c r="Z750" s="269"/>
      <c r="AA750" s="269"/>
      <c r="AB750" s="269"/>
      <c r="AC750" s="269"/>
      <c r="AD750" s="269"/>
      <c r="AE750" s="269"/>
      <c r="AF750" s="269"/>
      <c r="AG750" s="269"/>
      <c r="AH750" s="269"/>
      <c r="AI750" s="269"/>
      <c r="AJ750" s="269"/>
      <c r="AK750" s="269"/>
      <c r="AL750" s="269"/>
      <c r="AM750" s="269"/>
      <c r="AN750" s="269"/>
      <c r="AO750" s="269"/>
      <c r="AP750" s="269"/>
      <c r="AQ750" s="269"/>
      <c r="AR750" s="269"/>
    </row>
    <row r="751">
      <c r="A751" s="410"/>
      <c r="B751" s="410"/>
      <c r="C751" s="410"/>
      <c r="D751" s="410"/>
      <c r="E751" s="410"/>
      <c r="F751" s="410"/>
      <c r="H751" s="269"/>
      <c r="I751" s="269"/>
      <c r="J751" s="269"/>
      <c r="K751" s="269"/>
      <c r="L751" s="269"/>
      <c r="M751" s="269"/>
      <c r="N751" s="269"/>
      <c r="O751" s="269"/>
      <c r="P751" s="269"/>
      <c r="Q751" s="269"/>
      <c r="R751" s="269"/>
      <c r="S751" s="269"/>
      <c r="T751" s="269"/>
      <c r="U751" s="269"/>
      <c r="V751" s="269"/>
      <c r="W751" s="269"/>
      <c r="X751" s="269"/>
      <c r="Y751" s="269"/>
      <c r="Z751" s="269"/>
      <c r="AA751" s="269"/>
      <c r="AB751" s="269"/>
      <c r="AC751" s="269"/>
      <c r="AD751" s="269"/>
      <c r="AE751" s="269"/>
      <c r="AF751" s="269"/>
      <c r="AG751" s="269"/>
      <c r="AH751" s="269"/>
      <c r="AI751" s="269"/>
      <c r="AJ751" s="269"/>
      <c r="AK751" s="269"/>
      <c r="AL751" s="269"/>
      <c r="AM751" s="269"/>
      <c r="AN751" s="269"/>
      <c r="AO751" s="269"/>
      <c r="AP751" s="269"/>
      <c r="AQ751" s="269"/>
      <c r="AR751" s="269"/>
    </row>
    <row r="752">
      <c r="A752" s="410"/>
      <c r="B752" s="410"/>
      <c r="C752" s="410"/>
      <c r="D752" s="410"/>
      <c r="E752" s="410"/>
      <c r="F752" s="410"/>
      <c r="H752" s="269"/>
      <c r="I752" s="269"/>
      <c r="J752" s="269"/>
      <c r="K752" s="269"/>
      <c r="L752" s="269"/>
      <c r="M752" s="269"/>
      <c r="N752" s="269"/>
      <c r="O752" s="269"/>
      <c r="P752" s="269"/>
      <c r="Q752" s="269"/>
      <c r="R752" s="269"/>
      <c r="S752" s="269"/>
      <c r="T752" s="269"/>
      <c r="U752" s="269"/>
      <c r="V752" s="269"/>
      <c r="W752" s="269"/>
      <c r="X752" s="269"/>
      <c r="Y752" s="269"/>
      <c r="Z752" s="269"/>
      <c r="AA752" s="269"/>
      <c r="AB752" s="269"/>
      <c r="AC752" s="269"/>
      <c r="AD752" s="269"/>
      <c r="AE752" s="269"/>
      <c r="AF752" s="269"/>
      <c r="AG752" s="269"/>
      <c r="AH752" s="269"/>
      <c r="AI752" s="269"/>
      <c r="AJ752" s="269"/>
      <c r="AK752" s="269"/>
      <c r="AL752" s="269"/>
      <c r="AM752" s="269"/>
      <c r="AN752" s="269"/>
      <c r="AO752" s="269"/>
      <c r="AP752" s="269"/>
      <c r="AQ752" s="269"/>
      <c r="AR752" s="269"/>
    </row>
    <row r="753">
      <c r="A753" s="410"/>
      <c r="B753" s="410"/>
      <c r="C753" s="410"/>
      <c r="D753" s="410"/>
      <c r="E753" s="410"/>
      <c r="F753" s="410"/>
      <c r="H753" s="269"/>
      <c r="I753" s="269"/>
      <c r="J753" s="269"/>
      <c r="K753" s="269"/>
      <c r="L753" s="269"/>
      <c r="M753" s="269"/>
      <c r="N753" s="269"/>
      <c r="O753" s="269"/>
      <c r="P753" s="269"/>
      <c r="Q753" s="269"/>
      <c r="R753" s="269"/>
      <c r="S753" s="269"/>
      <c r="T753" s="269"/>
      <c r="U753" s="269"/>
      <c r="V753" s="269"/>
      <c r="W753" s="269"/>
      <c r="X753" s="269"/>
      <c r="Y753" s="269"/>
      <c r="Z753" s="269"/>
      <c r="AA753" s="269"/>
      <c r="AB753" s="269"/>
      <c r="AC753" s="269"/>
      <c r="AD753" s="269"/>
      <c r="AE753" s="269"/>
      <c r="AF753" s="269"/>
      <c r="AG753" s="269"/>
      <c r="AH753" s="269"/>
      <c r="AI753" s="269"/>
      <c r="AJ753" s="269"/>
      <c r="AK753" s="269"/>
      <c r="AL753" s="269"/>
      <c r="AM753" s="269"/>
      <c r="AN753" s="269"/>
      <c r="AO753" s="269"/>
      <c r="AP753" s="269"/>
      <c r="AQ753" s="269"/>
      <c r="AR753" s="269"/>
    </row>
    <row r="754">
      <c r="A754" s="410"/>
      <c r="B754" s="410"/>
      <c r="C754" s="410"/>
      <c r="D754" s="410"/>
      <c r="E754" s="410"/>
      <c r="F754" s="410"/>
      <c r="H754" s="269"/>
      <c r="I754" s="269"/>
      <c r="J754" s="269"/>
      <c r="K754" s="269"/>
      <c r="L754" s="269"/>
      <c r="M754" s="269"/>
      <c r="N754" s="269"/>
      <c r="O754" s="269"/>
      <c r="P754" s="269"/>
      <c r="Q754" s="269"/>
      <c r="R754" s="269"/>
      <c r="S754" s="269"/>
      <c r="T754" s="269"/>
      <c r="U754" s="269"/>
      <c r="V754" s="269"/>
      <c r="W754" s="269"/>
      <c r="X754" s="269"/>
      <c r="Y754" s="269"/>
      <c r="Z754" s="269"/>
      <c r="AA754" s="269"/>
      <c r="AB754" s="269"/>
      <c r="AC754" s="269"/>
      <c r="AD754" s="269"/>
      <c r="AE754" s="269"/>
      <c r="AF754" s="269"/>
      <c r="AG754" s="269"/>
      <c r="AH754" s="269"/>
      <c r="AI754" s="269"/>
      <c r="AJ754" s="269"/>
      <c r="AK754" s="269"/>
      <c r="AL754" s="269"/>
      <c r="AM754" s="269"/>
      <c r="AN754" s="269"/>
      <c r="AO754" s="269"/>
      <c r="AP754" s="269"/>
      <c r="AQ754" s="269"/>
      <c r="AR754" s="269"/>
    </row>
    <row r="755">
      <c r="A755" s="410"/>
      <c r="B755" s="410"/>
      <c r="C755" s="410"/>
      <c r="D755" s="410"/>
      <c r="E755" s="410"/>
      <c r="F755" s="410"/>
      <c r="H755" s="269"/>
      <c r="I755" s="269"/>
      <c r="J755" s="269"/>
      <c r="K755" s="269"/>
      <c r="L755" s="269"/>
      <c r="M755" s="269"/>
      <c r="N755" s="269"/>
      <c r="O755" s="269"/>
      <c r="P755" s="269"/>
      <c r="Q755" s="269"/>
      <c r="R755" s="269"/>
      <c r="S755" s="269"/>
      <c r="T755" s="269"/>
      <c r="U755" s="269"/>
      <c r="V755" s="269"/>
      <c r="W755" s="269"/>
      <c r="X755" s="269"/>
      <c r="Y755" s="269"/>
      <c r="Z755" s="269"/>
      <c r="AA755" s="269"/>
      <c r="AB755" s="269"/>
      <c r="AC755" s="269"/>
      <c r="AD755" s="269"/>
      <c r="AE755" s="269"/>
      <c r="AF755" s="269"/>
      <c r="AG755" s="269"/>
      <c r="AH755" s="269"/>
      <c r="AI755" s="269"/>
      <c r="AJ755" s="269"/>
      <c r="AK755" s="269"/>
      <c r="AL755" s="269"/>
      <c r="AM755" s="269"/>
      <c r="AN755" s="269"/>
      <c r="AO755" s="269"/>
      <c r="AP755" s="269"/>
      <c r="AQ755" s="269"/>
      <c r="AR755" s="269"/>
    </row>
    <row r="756">
      <c r="A756" s="410"/>
      <c r="B756" s="410"/>
      <c r="C756" s="410"/>
      <c r="D756" s="410"/>
      <c r="E756" s="410"/>
      <c r="F756" s="410"/>
      <c r="H756" s="269"/>
      <c r="I756" s="269"/>
      <c r="J756" s="269"/>
      <c r="K756" s="269"/>
      <c r="L756" s="269"/>
      <c r="M756" s="269"/>
      <c r="N756" s="269"/>
      <c r="O756" s="269"/>
      <c r="P756" s="269"/>
      <c r="Q756" s="269"/>
      <c r="R756" s="269"/>
      <c r="S756" s="269"/>
      <c r="T756" s="269"/>
      <c r="U756" s="269"/>
      <c r="V756" s="269"/>
      <c r="W756" s="269"/>
      <c r="X756" s="269"/>
      <c r="Y756" s="269"/>
      <c r="Z756" s="269"/>
      <c r="AA756" s="269"/>
      <c r="AB756" s="269"/>
      <c r="AC756" s="269"/>
      <c r="AD756" s="269"/>
      <c r="AE756" s="269"/>
      <c r="AF756" s="269"/>
      <c r="AG756" s="269"/>
      <c r="AH756" s="269"/>
      <c r="AI756" s="269"/>
      <c r="AJ756" s="269"/>
      <c r="AK756" s="269"/>
      <c r="AL756" s="269"/>
      <c r="AM756" s="269"/>
      <c r="AN756" s="269"/>
      <c r="AO756" s="269"/>
      <c r="AP756" s="269"/>
      <c r="AQ756" s="269"/>
      <c r="AR756" s="269"/>
    </row>
    <row r="757">
      <c r="A757" s="410"/>
      <c r="B757" s="410"/>
      <c r="C757" s="410"/>
      <c r="D757" s="410"/>
      <c r="E757" s="410"/>
      <c r="F757" s="410"/>
      <c r="H757" s="269"/>
      <c r="I757" s="269"/>
      <c r="J757" s="269"/>
      <c r="K757" s="269"/>
      <c r="L757" s="269"/>
      <c r="M757" s="269"/>
      <c r="N757" s="269"/>
      <c r="O757" s="269"/>
      <c r="P757" s="269"/>
      <c r="Q757" s="269"/>
      <c r="R757" s="269"/>
      <c r="S757" s="269"/>
      <c r="T757" s="269"/>
      <c r="U757" s="269"/>
      <c r="V757" s="269"/>
      <c r="W757" s="269"/>
      <c r="X757" s="269"/>
      <c r="Y757" s="269"/>
      <c r="Z757" s="269"/>
      <c r="AA757" s="269"/>
      <c r="AB757" s="269"/>
      <c r="AC757" s="269"/>
      <c r="AD757" s="269"/>
      <c r="AE757" s="269"/>
      <c r="AF757" s="269"/>
      <c r="AG757" s="269"/>
      <c r="AH757" s="269"/>
      <c r="AI757" s="269"/>
      <c r="AJ757" s="269"/>
      <c r="AK757" s="269"/>
      <c r="AL757" s="269"/>
      <c r="AM757" s="269"/>
      <c r="AN757" s="269"/>
      <c r="AO757" s="269"/>
      <c r="AP757" s="269"/>
      <c r="AQ757" s="269"/>
      <c r="AR757" s="269"/>
    </row>
    <row r="758">
      <c r="A758" s="410"/>
      <c r="B758" s="410"/>
      <c r="C758" s="410"/>
      <c r="D758" s="410"/>
      <c r="E758" s="410"/>
      <c r="F758" s="410"/>
      <c r="H758" s="269"/>
      <c r="I758" s="269"/>
      <c r="J758" s="269"/>
      <c r="K758" s="269"/>
      <c r="L758" s="269"/>
      <c r="M758" s="269"/>
      <c r="N758" s="269"/>
      <c r="O758" s="269"/>
      <c r="P758" s="269"/>
      <c r="Q758" s="269"/>
      <c r="R758" s="269"/>
      <c r="S758" s="269"/>
      <c r="T758" s="269"/>
      <c r="U758" s="269"/>
      <c r="V758" s="269"/>
      <c r="W758" s="269"/>
      <c r="X758" s="269"/>
      <c r="Y758" s="269"/>
      <c r="Z758" s="269"/>
      <c r="AA758" s="269"/>
      <c r="AB758" s="269"/>
      <c r="AC758" s="269"/>
      <c r="AD758" s="269"/>
      <c r="AE758" s="269"/>
      <c r="AF758" s="269"/>
      <c r="AG758" s="269"/>
      <c r="AH758" s="269"/>
      <c r="AI758" s="269"/>
      <c r="AJ758" s="269"/>
      <c r="AK758" s="269"/>
      <c r="AL758" s="269"/>
      <c r="AM758" s="269"/>
      <c r="AN758" s="269"/>
      <c r="AO758" s="269"/>
      <c r="AP758" s="269"/>
      <c r="AQ758" s="269"/>
      <c r="AR758" s="269"/>
    </row>
    <row r="759">
      <c r="A759" s="410"/>
      <c r="B759" s="410"/>
      <c r="C759" s="410"/>
      <c r="D759" s="410"/>
      <c r="E759" s="410"/>
      <c r="F759" s="410"/>
      <c r="H759" s="269"/>
      <c r="I759" s="269"/>
      <c r="J759" s="269"/>
      <c r="K759" s="269"/>
      <c r="L759" s="269"/>
      <c r="M759" s="269"/>
      <c r="N759" s="269"/>
      <c r="O759" s="269"/>
      <c r="P759" s="269"/>
      <c r="Q759" s="269"/>
      <c r="R759" s="269"/>
      <c r="S759" s="269"/>
      <c r="T759" s="269"/>
      <c r="U759" s="269"/>
      <c r="V759" s="269"/>
      <c r="W759" s="269"/>
      <c r="X759" s="269"/>
      <c r="Y759" s="269"/>
      <c r="Z759" s="269"/>
      <c r="AA759" s="269"/>
      <c r="AB759" s="269"/>
      <c r="AC759" s="269"/>
      <c r="AD759" s="269"/>
      <c r="AE759" s="269"/>
      <c r="AF759" s="269"/>
      <c r="AG759" s="269"/>
      <c r="AH759" s="269"/>
      <c r="AI759" s="269"/>
      <c r="AJ759" s="269"/>
      <c r="AK759" s="269"/>
      <c r="AL759" s="269"/>
      <c r="AM759" s="269"/>
      <c r="AN759" s="269"/>
      <c r="AO759" s="269"/>
      <c r="AP759" s="269"/>
      <c r="AQ759" s="269"/>
      <c r="AR759" s="269"/>
    </row>
    <row r="760">
      <c r="A760" s="410"/>
      <c r="B760" s="410"/>
      <c r="C760" s="410"/>
      <c r="D760" s="410"/>
      <c r="E760" s="410"/>
      <c r="F760" s="410"/>
      <c r="H760" s="269"/>
      <c r="I760" s="269"/>
      <c r="J760" s="269"/>
      <c r="K760" s="269"/>
      <c r="L760" s="269"/>
      <c r="M760" s="269"/>
      <c r="N760" s="269"/>
      <c r="O760" s="269"/>
      <c r="P760" s="269"/>
      <c r="Q760" s="269"/>
      <c r="R760" s="269"/>
      <c r="S760" s="269"/>
      <c r="T760" s="269"/>
      <c r="U760" s="269"/>
      <c r="V760" s="269"/>
      <c r="W760" s="269"/>
      <c r="X760" s="269"/>
      <c r="Y760" s="269"/>
      <c r="Z760" s="269"/>
      <c r="AA760" s="269"/>
      <c r="AB760" s="269"/>
      <c r="AC760" s="269"/>
      <c r="AD760" s="269"/>
      <c r="AE760" s="269"/>
      <c r="AF760" s="269"/>
      <c r="AG760" s="269"/>
      <c r="AH760" s="269"/>
      <c r="AI760" s="269"/>
      <c r="AJ760" s="269"/>
      <c r="AK760" s="269"/>
      <c r="AL760" s="269"/>
      <c r="AM760" s="269"/>
      <c r="AN760" s="269"/>
      <c r="AO760" s="269"/>
      <c r="AP760" s="269"/>
      <c r="AQ760" s="269"/>
      <c r="AR760" s="269"/>
    </row>
    <row r="761">
      <c r="A761" s="410"/>
      <c r="B761" s="410"/>
      <c r="C761" s="410"/>
      <c r="D761" s="410"/>
      <c r="E761" s="410"/>
      <c r="F761" s="410"/>
      <c r="H761" s="269"/>
      <c r="I761" s="269"/>
      <c r="J761" s="269"/>
      <c r="K761" s="269"/>
      <c r="L761" s="269"/>
      <c r="M761" s="269"/>
      <c r="N761" s="269"/>
      <c r="O761" s="269"/>
      <c r="P761" s="269"/>
      <c r="Q761" s="269"/>
      <c r="R761" s="269"/>
      <c r="S761" s="269"/>
      <c r="T761" s="269"/>
      <c r="U761" s="269"/>
      <c r="V761" s="269"/>
      <c r="W761" s="269"/>
      <c r="X761" s="269"/>
      <c r="Y761" s="269"/>
      <c r="Z761" s="269"/>
      <c r="AA761" s="269"/>
      <c r="AB761" s="269"/>
      <c r="AC761" s="269"/>
      <c r="AD761" s="269"/>
      <c r="AE761" s="269"/>
      <c r="AF761" s="269"/>
      <c r="AG761" s="269"/>
      <c r="AH761" s="269"/>
      <c r="AI761" s="269"/>
      <c r="AJ761" s="269"/>
      <c r="AK761" s="269"/>
      <c r="AL761" s="269"/>
      <c r="AM761" s="269"/>
      <c r="AN761" s="269"/>
      <c r="AO761" s="269"/>
      <c r="AP761" s="269"/>
      <c r="AQ761" s="269"/>
      <c r="AR761" s="269"/>
    </row>
    <row r="762">
      <c r="A762" s="410"/>
      <c r="B762" s="410"/>
      <c r="C762" s="410"/>
      <c r="D762" s="410"/>
      <c r="E762" s="410"/>
      <c r="F762" s="410"/>
      <c r="H762" s="269"/>
      <c r="I762" s="269"/>
      <c r="J762" s="269"/>
      <c r="K762" s="269"/>
      <c r="L762" s="269"/>
      <c r="M762" s="269"/>
      <c r="N762" s="269"/>
      <c r="O762" s="269"/>
      <c r="P762" s="269"/>
      <c r="Q762" s="269"/>
      <c r="R762" s="269"/>
      <c r="S762" s="269"/>
      <c r="T762" s="269"/>
      <c r="U762" s="269"/>
      <c r="V762" s="269"/>
      <c r="W762" s="269"/>
      <c r="X762" s="269"/>
      <c r="Y762" s="269"/>
      <c r="Z762" s="269"/>
      <c r="AA762" s="269"/>
      <c r="AB762" s="269"/>
      <c r="AC762" s="269"/>
      <c r="AD762" s="269"/>
      <c r="AE762" s="269"/>
      <c r="AF762" s="269"/>
      <c r="AG762" s="269"/>
      <c r="AH762" s="269"/>
      <c r="AI762" s="269"/>
      <c r="AJ762" s="269"/>
      <c r="AK762" s="269"/>
      <c r="AL762" s="269"/>
      <c r="AM762" s="269"/>
      <c r="AN762" s="269"/>
      <c r="AO762" s="269"/>
      <c r="AP762" s="269"/>
      <c r="AQ762" s="269"/>
      <c r="AR762" s="269"/>
    </row>
    <row r="763">
      <c r="A763" s="410"/>
      <c r="B763" s="410"/>
      <c r="C763" s="410"/>
      <c r="D763" s="410"/>
      <c r="E763" s="410"/>
      <c r="F763" s="410"/>
      <c r="H763" s="269"/>
      <c r="I763" s="269"/>
      <c r="J763" s="269"/>
      <c r="K763" s="269"/>
      <c r="L763" s="269"/>
      <c r="M763" s="269"/>
      <c r="N763" s="269"/>
      <c r="O763" s="269"/>
      <c r="P763" s="269"/>
      <c r="Q763" s="269"/>
      <c r="R763" s="269"/>
      <c r="S763" s="269"/>
      <c r="T763" s="269"/>
      <c r="U763" s="269"/>
      <c r="V763" s="269"/>
      <c r="W763" s="269"/>
      <c r="X763" s="269"/>
      <c r="Y763" s="269"/>
      <c r="Z763" s="269"/>
      <c r="AA763" s="269"/>
      <c r="AB763" s="269"/>
      <c r="AC763" s="269"/>
      <c r="AD763" s="269"/>
      <c r="AE763" s="269"/>
      <c r="AF763" s="269"/>
      <c r="AG763" s="269"/>
      <c r="AH763" s="269"/>
      <c r="AI763" s="269"/>
      <c r="AJ763" s="269"/>
      <c r="AK763" s="269"/>
      <c r="AL763" s="269"/>
      <c r="AM763" s="269"/>
      <c r="AN763" s="269"/>
      <c r="AO763" s="269"/>
      <c r="AP763" s="269"/>
      <c r="AQ763" s="269"/>
      <c r="AR763" s="269"/>
    </row>
    <row r="764">
      <c r="A764" s="410"/>
      <c r="B764" s="410"/>
      <c r="C764" s="410"/>
      <c r="D764" s="410"/>
      <c r="E764" s="410"/>
      <c r="F764" s="410"/>
      <c r="H764" s="269"/>
      <c r="I764" s="269"/>
      <c r="J764" s="269"/>
      <c r="K764" s="269"/>
      <c r="L764" s="269"/>
      <c r="M764" s="269"/>
      <c r="N764" s="269"/>
      <c r="O764" s="269"/>
      <c r="P764" s="269"/>
      <c r="Q764" s="269"/>
      <c r="R764" s="269"/>
      <c r="S764" s="269"/>
      <c r="T764" s="269"/>
      <c r="U764" s="269"/>
      <c r="V764" s="269"/>
      <c r="W764" s="269"/>
      <c r="X764" s="269"/>
      <c r="Y764" s="269"/>
      <c r="Z764" s="269"/>
      <c r="AA764" s="269"/>
      <c r="AB764" s="269"/>
      <c r="AC764" s="269"/>
      <c r="AD764" s="269"/>
      <c r="AE764" s="269"/>
      <c r="AF764" s="269"/>
      <c r="AG764" s="269"/>
      <c r="AH764" s="269"/>
      <c r="AI764" s="269"/>
      <c r="AJ764" s="269"/>
      <c r="AK764" s="269"/>
      <c r="AL764" s="269"/>
      <c r="AM764" s="269"/>
      <c r="AN764" s="269"/>
      <c r="AO764" s="269"/>
      <c r="AP764" s="269"/>
      <c r="AQ764" s="269"/>
      <c r="AR764" s="269"/>
    </row>
    <row r="765">
      <c r="A765" s="410"/>
      <c r="B765" s="410"/>
      <c r="C765" s="410"/>
      <c r="D765" s="410"/>
      <c r="E765" s="410"/>
      <c r="F765" s="410"/>
      <c r="H765" s="269"/>
      <c r="I765" s="269"/>
      <c r="J765" s="269"/>
      <c r="K765" s="269"/>
      <c r="L765" s="269"/>
      <c r="M765" s="269"/>
      <c r="N765" s="269"/>
      <c r="O765" s="269"/>
      <c r="P765" s="269"/>
      <c r="Q765" s="269"/>
      <c r="R765" s="269"/>
      <c r="S765" s="269"/>
      <c r="T765" s="269"/>
      <c r="U765" s="269"/>
      <c r="V765" s="269"/>
      <c r="W765" s="269"/>
      <c r="X765" s="269"/>
      <c r="Y765" s="269"/>
      <c r="Z765" s="269"/>
      <c r="AA765" s="269"/>
      <c r="AB765" s="269"/>
      <c r="AC765" s="269"/>
      <c r="AD765" s="269"/>
      <c r="AE765" s="269"/>
      <c r="AF765" s="269"/>
      <c r="AG765" s="269"/>
      <c r="AH765" s="269"/>
      <c r="AI765" s="269"/>
      <c r="AJ765" s="269"/>
      <c r="AK765" s="269"/>
      <c r="AL765" s="269"/>
      <c r="AM765" s="269"/>
      <c r="AN765" s="269"/>
      <c r="AO765" s="269"/>
      <c r="AP765" s="269"/>
      <c r="AQ765" s="269"/>
      <c r="AR765" s="269"/>
    </row>
    <row r="766">
      <c r="A766" s="410"/>
      <c r="B766" s="410"/>
      <c r="C766" s="410"/>
      <c r="D766" s="410"/>
      <c r="E766" s="410"/>
      <c r="F766" s="410"/>
      <c r="H766" s="269"/>
      <c r="I766" s="269"/>
      <c r="J766" s="269"/>
      <c r="K766" s="269"/>
      <c r="L766" s="269"/>
      <c r="M766" s="269"/>
      <c r="N766" s="269"/>
      <c r="O766" s="269"/>
      <c r="P766" s="269"/>
      <c r="Q766" s="269"/>
      <c r="R766" s="269"/>
      <c r="S766" s="269"/>
      <c r="T766" s="269"/>
      <c r="U766" s="269"/>
      <c r="V766" s="269"/>
      <c r="W766" s="269"/>
      <c r="X766" s="269"/>
      <c r="Y766" s="269"/>
      <c r="Z766" s="269"/>
      <c r="AA766" s="269"/>
      <c r="AB766" s="269"/>
      <c r="AC766" s="269"/>
      <c r="AD766" s="269"/>
      <c r="AE766" s="269"/>
      <c r="AF766" s="269"/>
      <c r="AG766" s="269"/>
      <c r="AH766" s="269"/>
      <c r="AI766" s="269"/>
      <c r="AJ766" s="269"/>
      <c r="AK766" s="269"/>
      <c r="AL766" s="269"/>
      <c r="AM766" s="269"/>
      <c r="AN766" s="269"/>
      <c r="AO766" s="269"/>
      <c r="AP766" s="269"/>
      <c r="AQ766" s="269"/>
      <c r="AR766" s="269"/>
    </row>
    <row r="767">
      <c r="A767" s="410"/>
      <c r="B767" s="410"/>
      <c r="C767" s="410"/>
      <c r="D767" s="410"/>
      <c r="E767" s="410"/>
      <c r="F767" s="410"/>
      <c r="H767" s="269"/>
      <c r="I767" s="269"/>
      <c r="J767" s="269"/>
      <c r="K767" s="269"/>
      <c r="L767" s="269"/>
      <c r="M767" s="269"/>
      <c r="N767" s="269"/>
      <c r="O767" s="269"/>
      <c r="P767" s="269"/>
      <c r="Q767" s="269"/>
      <c r="R767" s="269"/>
      <c r="S767" s="269"/>
      <c r="T767" s="269"/>
      <c r="U767" s="269"/>
      <c r="V767" s="269"/>
      <c r="W767" s="269"/>
      <c r="X767" s="269"/>
      <c r="Y767" s="269"/>
      <c r="Z767" s="269"/>
      <c r="AA767" s="269"/>
      <c r="AB767" s="269"/>
      <c r="AC767" s="269"/>
      <c r="AD767" s="269"/>
      <c r="AE767" s="269"/>
      <c r="AF767" s="269"/>
      <c r="AG767" s="269"/>
      <c r="AH767" s="269"/>
      <c r="AI767" s="269"/>
      <c r="AJ767" s="269"/>
      <c r="AK767" s="269"/>
      <c r="AL767" s="269"/>
      <c r="AM767" s="269"/>
      <c r="AN767" s="269"/>
      <c r="AO767" s="269"/>
      <c r="AP767" s="269"/>
      <c r="AQ767" s="269"/>
      <c r="AR767" s="269"/>
    </row>
    <row r="768">
      <c r="A768" s="410"/>
      <c r="B768" s="410"/>
      <c r="C768" s="410"/>
      <c r="D768" s="410"/>
      <c r="E768" s="410"/>
      <c r="F768" s="410"/>
      <c r="H768" s="269"/>
      <c r="I768" s="269"/>
      <c r="J768" s="269"/>
      <c r="K768" s="269"/>
      <c r="L768" s="269"/>
      <c r="M768" s="269"/>
      <c r="N768" s="269"/>
      <c r="O768" s="269"/>
      <c r="P768" s="269"/>
      <c r="Q768" s="269"/>
      <c r="R768" s="269"/>
      <c r="S768" s="269"/>
      <c r="T768" s="269"/>
      <c r="U768" s="269"/>
      <c r="V768" s="269"/>
      <c r="W768" s="269"/>
      <c r="X768" s="269"/>
      <c r="Y768" s="269"/>
      <c r="Z768" s="269"/>
      <c r="AA768" s="269"/>
      <c r="AB768" s="269"/>
      <c r="AC768" s="269"/>
      <c r="AD768" s="269"/>
      <c r="AE768" s="269"/>
      <c r="AF768" s="269"/>
      <c r="AG768" s="269"/>
      <c r="AH768" s="269"/>
      <c r="AI768" s="269"/>
      <c r="AJ768" s="269"/>
      <c r="AK768" s="269"/>
      <c r="AL768" s="269"/>
      <c r="AM768" s="269"/>
      <c r="AN768" s="269"/>
      <c r="AO768" s="269"/>
      <c r="AP768" s="269"/>
      <c r="AQ768" s="269"/>
      <c r="AR768" s="269"/>
    </row>
    <row r="769">
      <c r="A769" s="410"/>
      <c r="B769" s="410"/>
      <c r="C769" s="410"/>
      <c r="D769" s="410"/>
      <c r="E769" s="410"/>
      <c r="F769" s="410"/>
      <c r="H769" s="269"/>
      <c r="I769" s="269"/>
      <c r="J769" s="269"/>
      <c r="K769" s="269"/>
      <c r="L769" s="269"/>
      <c r="M769" s="269"/>
      <c r="N769" s="269"/>
      <c r="O769" s="269"/>
      <c r="P769" s="269"/>
      <c r="Q769" s="269"/>
      <c r="R769" s="269"/>
      <c r="S769" s="269"/>
      <c r="T769" s="269"/>
      <c r="U769" s="269"/>
      <c r="V769" s="269"/>
      <c r="W769" s="269"/>
      <c r="X769" s="269"/>
      <c r="Y769" s="269"/>
      <c r="Z769" s="269"/>
      <c r="AA769" s="269"/>
      <c r="AB769" s="269"/>
      <c r="AC769" s="269"/>
      <c r="AD769" s="269"/>
      <c r="AE769" s="269"/>
      <c r="AF769" s="269"/>
      <c r="AG769" s="269"/>
      <c r="AH769" s="269"/>
      <c r="AI769" s="269"/>
      <c r="AJ769" s="269"/>
      <c r="AK769" s="269"/>
      <c r="AL769" s="269"/>
      <c r="AM769" s="269"/>
      <c r="AN769" s="269"/>
      <c r="AO769" s="269"/>
      <c r="AP769" s="269"/>
      <c r="AQ769" s="269"/>
      <c r="AR769" s="269"/>
    </row>
    <row r="770">
      <c r="A770" s="410"/>
      <c r="B770" s="410"/>
      <c r="C770" s="410"/>
      <c r="D770" s="410"/>
      <c r="E770" s="410"/>
      <c r="F770" s="410"/>
      <c r="H770" s="269"/>
      <c r="I770" s="269"/>
      <c r="J770" s="269"/>
      <c r="K770" s="269"/>
      <c r="L770" s="269"/>
      <c r="M770" s="269"/>
      <c r="N770" s="269"/>
      <c r="O770" s="269"/>
      <c r="P770" s="269"/>
      <c r="Q770" s="269"/>
      <c r="R770" s="269"/>
      <c r="S770" s="269"/>
      <c r="T770" s="269"/>
      <c r="U770" s="269"/>
      <c r="V770" s="269"/>
      <c r="W770" s="269"/>
      <c r="X770" s="269"/>
      <c r="Y770" s="269"/>
      <c r="Z770" s="269"/>
      <c r="AA770" s="269"/>
      <c r="AB770" s="269"/>
      <c r="AC770" s="269"/>
      <c r="AD770" s="269"/>
      <c r="AE770" s="269"/>
      <c r="AF770" s="269"/>
      <c r="AG770" s="269"/>
      <c r="AH770" s="269"/>
      <c r="AI770" s="269"/>
      <c r="AJ770" s="269"/>
      <c r="AK770" s="269"/>
      <c r="AL770" s="269"/>
      <c r="AM770" s="269"/>
      <c r="AN770" s="269"/>
      <c r="AO770" s="269"/>
      <c r="AP770" s="269"/>
      <c r="AQ770" s="269"/>
      <c r="AR770" s="269"/>
    </row>
    <row r="771">
      <c r="A771" s="410"/>
      <c r="B771" s="410"/>
      <c r="C771" s="410"/>
      <c r="D771" s="410"/>
      <c r="E771" s="410"/>
      <c r="F771" s="410"/>
      <c r="H771" s="269"/>
      <c r="I771" s="269"/>
      <c r="J771" s="269"/>
      <c r="K771" s="269"/>
      <c r="L771" s="269"/>
      <c r="M771" s="269"/>
      <c r="N771" s="269"/>
      <c r="O771" s="269"/>
      <c r="P771" s="269"/>
      <c r="Q771" s="269"/>
      <c r="R771" s="269"/>
      <c r="S771" s="269"/>
      <c r="T771" s="269"/>
      <c r="U771" s="269"/>
      <c r="V771" s="269"/>
      <c r="W771" s="269"/>
      <c r="X771" s="269"/>
      <c r="Y771" s="269"/>
      <c r="Z771" s="269"/>
      <c r="AA771" s="269"/>
      <c r="AB771" s="269"/>
      <c r="AC771" s="269"/>
      <c r="AD771" s="269"/>
      <c r="AE771" s="269"/>
      <c r="AF771" s="269"/>
      <c r="AG771" s="269"/>
      <c r="AH771" s="269"/>
      <c r="AI771" s="269"/>
      <c r="AJ771" s="269"/>
      <c r="AK771" s="269"/>
      <c r="AL771" s="269"/>
      <c r="AM771" s="269"/>
      <c r="AN771" s="269"/>
      <c r="AO771" s="269"/>
      <c r="AP771" s="269"/>
      <c r="AQ771" s="269"/>
      <c r="AR771" s="269"/>
    </row>
    <row r="772">
      <c r="A772" s="410"/>
      <c r="B772" s="410"/>
      <c r="C772" s="410"/>
      <c r="D772" s="410"/>
      <c r="E772" s="410"/>
      <c r="F772" s="410"/>
      <c r="H772" s="269"/>
      <c r="I772" s="269"/>
      <c r="J772" s="269"/>
      <c r="K772" s="269"/>
      <c r="L772" s="269"/>
      <c r="M772" s="269"/>
      <c r="N772" s="269"/>
      <c r="O772" s="269"/>
      <c r="P772" s="269"/>
      <c r="Q772" s="269"/>
      <c r="R772" s="269"/>
      <c r="S772" s="269"/>
      <c r="T772" s="269"/>
      <c r="U772" s="269"/>
      <c r="V772" s="269"/>
      <c r="W772" s="269"/>
      <c r="X772" s="269"/>
      <c r="Y772" s="269"/>
      <c r="Z772" s="269"/>
      <c r="AA772" s="269"/>
      <c r="AB772" s="269"/>
      <c r="AC772" s="269"/>
      <c r="AD772" s="269"/>
      <c r="AE772" s="269"/>
      <c r="AF772" s="269"/>
      <c r="AG772" s="269"/>
      <c r="AH772" s="269"/>
      <c r="AI772" s="269"/>
      <c r="AJ772" s="269"/>
      <c r="AK772" s="269"/>
      <c r="AL772" s="269"/>
      <c r="AM772" s="269"/>
      <c r="AN772" s="269"/>
      <c r="AO772" s="269"/>
      <c r="AP772" s="269"/>
      <c r="AQ772" s="269"/>
      <c r="AR772" s="269"/>
    </row>
    <row r="773">
      <c r="A773" s="410"/>
      <c r="B773" s="410"/>
      <c r="C773" s="410"/>
      <c r="D773" s="410"/>
      <c r="E773" s="410"/>
      <c r="F773" s="410"/>
      <c r="H773" s="269"/>
      <c r="I773" s="269"/>
      <c r="J773" s="269"/>
      <c r="K773" s="269"/>
      <c r="L773" s="269"/>
      <c r="M773" s="269"/>
      <c r="N773" s="269"/>
      <c r="O773" s="269"/>
      <c r="P773" s="269"/>
      <c r="Q773" s="269"/>
      <c r="R773" s="269"/>
      <c r="S773" s="269"/>
      <c r="T773" s="269"/>
      <c r="U773" s="269"/>
      <c r="V773" s="269"/>
      <c r="W773" s="269"/>
      <c r="X773" s="269"/>
      <c r="Y773" s="269"/>
      <c r="Z773" s="269"/>
      <c r="AA773" s="269"/>
      <c r="AB773" s="269"/>
      <c r="AC773" s="269"/>
      <c r="AD773" s="269"/>
      <c r="AE773" s="269"/>
      <c r="AF773" s="269"/>
      <c r="AG773" s="269"/>
      <c r="AH773" s="269"/>
      <c r="AI773" s="269"/>
      <c r="AJ773" s="269"/>
      <c r="AK773" s="269"/>
      <c r="AL773" s="269"/>
      <c r="AM773" s="269"/>
      <c r="AN773" s="269"/>
      <c r="AO773" s="269"/>
      <c r="AP773" s="269"/>
      <c r="AQ773" s="269"/>
      <c r="AR773" s="269"/>
    </row>
    <row r="774">
      <c r="A774" s="410"/>
      <c r="B774" s="410"/>
      <c r="C774" s="410"/>
      <c r="D774" s="410"/>
      <c r="E774" s="410"/>
      <c r="F774" s="410"/>
      <c r="H774" s="269"/>
      <c r="I774" s="269"/>
      <c r="J774" s="269"/>
      <c r="K774" s="269"/>
      <c r="L774" s="269"/>
      <c r="M774" s="269"/>
      <c r="N774" s="269"/>
      <c r="O774" s="269"/>
      <c r="P774" s="269"/>
      <c r="Q774" s="269"/>
      <c r="R774" s="269"/>
      <c r="S774" s="269"/>
      <c r="T774" s="269"/>
      <c r="U774" s="269"/>
      <c r="V774" s="269"/>
      <c r="W774" s="269"/>
      <c r="X774" s="269"/>
      <c r="Y774" s="269"/>
      <c r="Z774" s="269"/>
      <c r="AA774" s="269"/>
      <c r="AB774" s="269"/>
      <c r="AC774" s="269"/>
      <c r="AD774" s="269"/>
      <c r="AE774" s="269"/>
      <c r="AF774" s="269"/>
      <c r="AG774" s="269"/>
      <c r="AH774" s="269"/>
      <c r="AI774" s="269"/>
      <c r="AJ774" s="269"/>
      <c r="AK774" s="269"/>
      <c r="AL774" s="269"/>
      <c r="AM774" s="269"/>
      <c r="AN774" s="269"/>
      <c r="AO774" s="269"/>
      <c r="AP774" s="269"/>
      <c r="AQ774" s="269"/>
      <c r="AR774" s="269"/>
    </row>
    <row r="775">
      <c r="A775" s="410"/>
      <c r="B775" s="410"/>
      <c r="C775" s="410"/>
      <c r="D775" s="410"/>
      <c r="E775" s="410"/>
      <c r="F775" s="410"/>
      <c r="H775" s="269"/>
      <c r="I775" s="269"/>
      <c r="J775" s="269"/>
      <c r="K775" s="269"/>
      <c r="L775" s="269"/>
      <c r="M775" s="269"/>
      <c r="N775" s="269"/>
      <c r="O775" s="269"/>
      <c r="P775" s="269"/>
      <c r="Q775" s="269"/>
      <c r="R775" s="269"/>
      <c r="S775" s="269"/>
      <c r="T775" s="269"/>
      <c r="U775" s="269"/>
      <c r="V775" s="269"/>
      <c r="W775" s="269"/>
      <c r="X775" s="269"/>
      <c r="Y775" s="269"/>
      <c r="Z775" s="269"/>
      <c r="AA775" s="269"/>
      <c r="AB775" s="269"/>
      <c r="AC775" s="269"/>
      <c r="AD775" s="269"/>
      <c r="AE775" s="269"/>
      <c r="AF775" s="269"/>
      <c r="AG775" s="269"/>
      <c r="AH775" s="269"/>
      <c r="AI775" s="269"/>
      <c r="AJ775" s="269"/>
      <c r="AK775" s="269"/>
      <c r="AL775" s="269"/>
      <c r="AM775" s="269"/>
      <c r="AN775" s="269"/>
      <c r="AO775" s="269"/>
      <c r="AP775" s="269"/>
      <c r="AQ775" s="269"/>
      <c r="AR775" s="269"/>
    </row>
    <row r="776">
      <c r="A776" s="410"/>
      <c r="B776" s="410"/>
      <c r="C776" s="410"/>
      <c r="D776" s="410"/>
      <c r="E776" s="410"/>
      <c r="F776" s="410"/>
      <c r="H776" s="269"/>
      <c r="I776" s="269"/>
      <c r="J776" s="269"/>
      <c r="K776" s="269"/>
      <c r="L776" s="269"/>
      <c r="M776" s="269"/>
      <c r="N776" s="269"/>
      <c r="O776" s="269"/>
      <c r="P776" s="269"/>
      <c r="Q776" s="269"/>
      <c r="R776" s="269"/>
      <c r="S776" s="269"/>
      <c r="T776" s="269"/>
      <c r="U776" s="269"/>
      <c r="V776" s="269"/>
      <c r="W776" s="269"/>
      <c r="X776" s="269"/>
      <c r="Y776" s="269"/>
      <c r="Z776" s="269"/>
      <c r="AA776" s="269"/>
      <c r="AB776" s="269"/>
      <c r="AC776" s="269"/>
      <c r="AD776" s="269"/>
      <c r="AE776" s="269"/>
      <c r="AF776" s="269"/>
      <c r="AG776" s="269"/>
      <c r="AH776" s="269"/>
      <c r="AI776" s="269"/>
      <c r="AJ776" s="269"/>
      <c r="AK776" s="269"/>
      <c r="AL776" s="269"/>
      <c r="AM776" s="269"/>
      <c r="AN776" s="269"/>
      <c r="AO776" s="269"/>
      <c r="AP776" s="269"/>
      <c r="AQ776" s="269"/>
      <c r="AR776" s="269"/>
    </row>
    <row r="777">
      <c r="A777" s="410"/>
      <c r="B777" s="410"/>
      <c r="C777" s="410"/>
      <c r="D777" s="410"/>
      <c r="E777" s="410"/>
      <c r="F777" s="410"/>
      <c r="H777" s="269"/>
      <c r="I777" s="269"/>
      <c r="J777" s="269"/>
      <c r="K777" s="269"/>
      <c r="L777" s="269"/>
      <c r="M777" s="269"/>
      <c r="N777" s="269"/>
      <c r="O777" s="269"/>
      <c r="P777" s="269"/>
      <c r="Q777" s="269"/>
      <c r="R777" s="269"/>
      <c r="S777" s="269"/>
      <c r="T777" s="269"/>
      <c r="U777" s="269"/>
      <c r="V777" s="269"/>
      <c r="W777" s="269"/>
      <c r="X777" s="269"/>
      <c r="Y777" s="269"/>
      <c r="Z777" s="269"/>
      <c r="AA777" s="269"/>
      <c r="AB777" s="269"/>
      <c r="AC777" s="269"/>
      <c r="AD777" s="269"/>
      <c r="AE777" s="269"/>
      <c r="AF777" s="269"/>
      <c r="AG777" s="269"/>
      <c r="AH777" s="269"/>
      <c r="AI777" s="269"/>
      <c r="AJ777" s="269"/>
      <c r="AK777" s="269"/>
      <c r="AL777" s="269"/>
      <c r="AM777" s="269"/>
      <c r="AN777" s="269"/>
      <c r="AO777" s="269"/>
      <c r="AP777" s="269"/>
      <c r="AQ777" s="269"/>
      <c r="AR777" s="269"/>
    </row>
    <row r="778">
      <c r="A778" s="410"/>
      <c r="B778" s="410"/>
      <c r="C778" s="410"/>
      <c r="D778" s="410"/>
      <c r="E778" s="410"/>
      <c r="F778" s="410"/>
      <c r="H778" s="269"/>
      <c r="I778" s="269"/>
      <c r="J778" s="269"/>
      <c r="K778" s="269"/>
      <c r="L778" s="269"/>
      <c r="M778" s="269"/>
      <c r="N778" s="269"/>
      <c r="O778" s="269"/>
      <c r="P778" s="269"/>
      <c r="Q778" s="269"/>
      <c r="R778" s="269"/>
      <c r="S778" s="269"/>
      <c r="T778" s="269"/>
      <c r="U778" s="269"/>
      <c r="V778" s="269"/>
      <c r="W778" s="269"/>
      <c r="X778" s="269"/>
      <c r="Y778" s="269"/>
      <c r="Z778" s="269"/>
      <c r="AA778" s="269"/>
      <c r="AB778" s="269"/>
      <c r="AC778" s="269"/>
      <c r="AD778" s="269"/>
      <c r="AE778" s="269"/>
      <c r="AF778" s="269"/>
      <c r="AG778" s="269"/>
      <c r="AH778" s="269"/>
      <c r="AI778" s="269"/>
      <c r="AJ778" s="269"/>
      <c r="AK778" s="269"/>
      <c r="AL778" s="269"/>
      <c r="AM778" s="269"/>
      <c r="AN778" s="269"/>
      <c r="AO778" s="269"/>
      <c r="AP778" s="269"/>
      <c r="AQ778" s="269"/>
      <c r="AR778" s="269"/>
    </row>
    <row r="779">
      <c r="A779" s="410"/>
      <c r="B779" s="410"/>
      <c r="C779" s="410"/>
      <c r="D779" s="410"/>
      <c r="E779" s="410"/>
      <c r="F779" s="410"/>
      <c r="H779" s="269"/>
      <c r="I779" s="269"/>
      <c r="J779" s="269"/>
      <c r="K779" s="269"/>
      <c r="L779" s="269"/>
      <c r="M779" s="269"/>
      <c r="N779" s="269"/>
      <c r="O779" s="269"/>
      <c r="P779" s="269"/>
      <c r="Q779" s="269"/>
      <c r="R779" s="269"/>
      <c r="S779" s="269"/>
      <c r="T779" s="269"/>
      <c r="U779" s="269"/>
      <c r="V779" s="269"/>
      <c r="W779" s="269"/>
      <c r="X779" s="269"/>
      <c r="Y779" s="269"/>
      <c r="Z779" s="269"/>
      <c r="AA779" s="269"/>
      <c r="AB779" s="269"/>
      <c r="AC779" s="269"/>
      <c r="AD779" s="269"/>
      <c r="AE779" s="269"/>
      <c r="AF779" s="269"/>
      <c r="AG779" s="269"/>
      <c r="AH779" s="269"/>
      <c r="AI779" s="269"/>
      <c r="AJ779" s="269"/>
      <c r="AK779" s="269"/>
      <c r="AL779" s="269"/>
      <c r="AM779" s="269"/>
      <c r="AN779" s="269"/>
      <c r="AO779" s="269"/>
      <c r="AP779" s="269"/>
      <c r="AQ779" s="269"/>
      <c r="AR779" s="269"/>
    </row>
    <row r="780">
      <c r="A780" s="410"/>
      <c r="B780" s="410"/>
      <c r="C780" s="410"/>
      <c r="D780" s="410"/>
      <c r="E780" s="410"/>
      <c r="F780" s="410"/>
      <c r="H780" s="269"/>
      <c r="I780" s="269"/>
      <c r="J780" s="269"/>
      <c r="K780" s="269"/>
      <c r="L780" s="269"/>
      <c r="M780" s="269"/>
      <c r="N780" s="269"/>
      <c r="O780" s="269"/>
      <c r="P780" s="269"/>
      <c r="Q780" s="269"/>
      <c r="R780" s="269"/>
      <c r="S780" s="269"/>
      <c r="T780" s="269"/>
      <c r="U780" s="269"/>
      <c r="V780" s="269"/>
      <c r="W780" s="269"/>
      <c r="X780" s="269"/>
      <c r="Y780" s="269"/>
      <c r="Z780" s="269"/>
      <c r="AA780" s="269"/>
      <c r="AB780" s="269"/>
      <c r="AC780" s="269"/>
      <c r="AD780" s="269"/>
      <c r="AE780" s="269"/>
      <c r="AF780" s="269"/>
      <c r="AG780" s="269"/>
      <c r="AH780" s="269"/>
      <c r="AI780" s="269"/>
      <c r="AJ780" s="269"/>
      <c r="AK780" s="269"/>
      <c r="AL780" s="269"/>
      <c r="AM780" s="269"/>
      <c r="AN780" s="269"/>
      <c r="AO780" s="269"/>
      <c r="AP780" s="269"/>
      <c r="AQ780" s="269"/>
      <c r="AR780" s="269"/>
    </row>
    <row r="781">
      <c r="A781" s="410"/>
      <c r="B781" s="410"/>
      <c r="C781" s="410"/>
      <c r="D781" s="410"/>
      <c r="E781" s="410"/>
      <c r="F781" s="410"/>
      <c r="H781" s="269"/>
      <c r="I781" s="269"/>
      <c r="J781" s="269"/>
      <c r="K781" s="269"/>
      <c r="L781" s="269"/>
      <c r="M781" s="269"/>
      <c r="N781" s="269"/>
      <c r="O781" s="269"/>
      <c r="P781" s="269"/>
      <c r="Q781" s="269"/>
      <c r="R781" s="269"/>
      <c r="S781" s="269"/>
      <c r="T781" s="269"/>
      <c r="U781" s="269"/>
      <c r="V781" s="269"/>
      <c r="W781" s="269"/>
      <c r="X781" s="269"/>
      <c r="Y781" s="269"/>
      <c r="Z781" s="269"/>
      <c r="AA781" s="269"/>
      <c r="AB781" s="269"/>
      <c r="AC781" s="269"/>
      <c r="AD781" s="269"/>
      <c r="AE781" s="269"/>
      <c r="AF781" s="269"/>
      <c r="AG781" s="269"/>
      <c r="AH781" s="269"/>
      <c r="AI781" s="269"/>
      <c r="AJ781" s="269"/>
      <c r="AK781" s="269"/>
      <c r="AL781" s="269"/>
      <c r="AM781" s="269"/>
      <c r="AN781" s="269"/>
      <c r="AO781" s="269"/>
      <c r="AP781" s="269"/>
      <c r="AQ781" s="269"/>
      <c r="AR781" s="269"/>
    </row>
    <row r="782">
      <c r="A782" s="410"/>
      <c r="B782" s="410"/>
      <c r="C782" s="410"/>
      <c r="D782" s="410"/>
      <c r="E782" s="410"/>
      <c r="F782" s="410"/>
      <c r="H782" s="269"/>
      <c r="I782" s="269"/>
      <c r="J782" s="269"/>
      <c r="K782" s="269"/>
      <c r="L782" s="269"/>
      <c r="M782" s="269"/>
      <c r="N782" s="269"/>
      <c r="O782" s="269"/>
      <c r="P782" s="269"/>
      <c r="Q782" s="269"/>
      <c r="R782" s="269"/>
      <c r="S782" s="269"/>
      <c r="T782" s="269"/>
      <c r="U782" s="269"/>
      <c r="V782" s="269"/>
      <c r="W782" s="269"/>
      <c r="X782" s="269"/>
      <c r="Y782" s="269"/>
      <c r="Z782" s="269"/>
      <c r="AA782" s="269"/>
      <c r="AB782" s="269"/>
      <c r="AC782" s="269"/>
      <c r="AD782" s="269"/>
      <c r="AE782" s="269"/>
      <c r="AF782" s="269"/>
      <c r="AG782" s="269"/>
      <c r="AH782" s="269"/>
      <c r="AI782" s="269"/>
      <c r="AJ782" s="269"/>
      <c r="AK782" s="269"/>
      <c r="AL782" s="269"/>
      <c r="AM782" s="269"/>
      <c r="AN782" s="269"/>
      <c r="AO782" s="269"/>
      <c r="AP782" s="269"/>
      <c r="AQ782" s="269"/>
      <c r="AR782" s="269"/>
    </row>
    <row r="783">
      <c r="A783" s="410"/>
      <c r="B783" s="410"/>
      <c r="C783" s="410"/>
      <c r="D783" s="410"/>
      <c r="E783" s="410"/>
      <c r="F783" s="410"/>
      <c r="H783" s="269"/>
      <c r="I783" s="269"/>
      <c r="J783" s="269"/>
      <c r="K783" s="269"/>
      <c r="L783" s="269"/>
      <c r="M783" s="269"/>
      <c r="N783" s="269"/>
      <c r="O783" s="269"/>
      <c r="P783" s="269"/>
      <c r="Q783" s="269"/>
      <c r="R783" s="269"/>
      <c r="S783" s="269"/>
      <c r="T783" s="269"/>
      <c r="U783" s="269"/>
      <c r="V783" s="269"/>
      <c r="W783" s="269"/>
      <c r="X783" s="269"/>
      <c r="Y783" s="269"/>
      <c r="Z783" s="269"/>
      <c r="AA783" s="269"/>
      <c r="AB783" s="269"/>
      <c r="AC783" s="269"/>
      <c r="AD783" s="269"/>
      <c r="AE783" s="269"/>
      <c r="AF783" s="269"/>
      <c r="AG783" s="269"/>
      <c r="AH783" s="269"/>
      <c r="AI783" s="269"/>
      <c r="AJ783" s="269"/>
      <c r="AK783" s="269"/>
      <c r="AL783" s="269"/>
      <c r="AM783" s="269"/>
      <c r="AN783" s="269"/>
      <c r="AO783" s="269"/>
      <c r="AP783" s="269"/>
      <c r="AQ783" s="269"/>
      <c r="AR783" s="269"/>
    </row>
    <row r="784">
      <c r="A784" s="410"/>
      <c r="B784" s="410"/>
      <c r="C784" s="410"/>
      <c r="D784" s="410"/>
      <c r="E784" s="410"/>
      <c r="F784" s="410"/>
      <c r="H784" s="269"/>
      <c r="I784" s="269"/>
      <c r="J784" s="269"/>
      <c r="K784" s="269"/>
      <c r="L784" s="269"/>
      <c r="M784" s="269"/>
      <c r="N784" s="269"/>
      <c r="O784" s="269"/>
      <c r="P784" s="269"/>
      <c r="Q784" s="269"/>
      <c r="R784" s="269"/>
      <c r="S784" s="269"/>
      <c r="T784" s="269"/>
      <c r="U784" s="269"/>
      <c r="V784" s="269"/>
      <c r="W784" s="269"/>
      <c r="X784" s="269"/>
      <c r="Y784" s="269"/>
      <c r="Z784" s="269"/>
      <c r="AA784" s="269"/>
      <c r="AB784" s="269"/>
      <c r="AC784" s="269"/>
      <c r="AD784" s="269"/>
      <c r="AE784" s="269"/>
      <c r="AF784" s="269"/>
      <c r="AG784" s="269"/>
      <c r="AH784" s="269"/>
      <c r="AI784" s="269"/>
      <c r="AJ784" s="269"/>
      <c r="AK784" s="269"/>
      <c r="AL784" s="269"/>
      <c r="AM784" s="269"/>
      <c r="AN784" s="269"/>
      <c r="AO784" s="269"/>
      <c r="AP784" s="269"/>
      <c r="AQ784" s="269"/>
      <c r="AR784" s="269"/>
    </row>
    <row r="785">
      <c r="A785" s="410"/>
      <c r="B785" s="410"/>
      <c r="C785" s="410"/>
      <c r="D785" s="410"/>
      <c r="E785" s="410"/>
      <c r="F785" s="410"/>
      <c r="H785" s="269"/>
      <c r="I785" s="269"/>
      <c r="J785" s="269"/>
      <c r="K785" s="269"/>
      <c r="L785" s="269"/>
      <c r="M785" s="269"/>
      <c r="N785" s="269"/>
      <c r="O785" s="269"/>
      <c r="P785" s="269"/>
      <c r="Q785" s="269"/>
      <c r="R785" s="269"/>
      <c r="S785" s="269"/>
      <c r="T785" s="269"/>
      <c r="U785" s="269"/>
      <c r="V785" s="269"/>
      <c r="W785" s="269"/>
      <c r="X785" s="269"/>
      <c r="Y785" s="269"/>
      <c r="Z785" s="269"/>
      <c r="AA785" s="269"/>
      <c r="AB785" s="269"/>
      <c r="AC785" s="269"/>
      <c r="AD785" s="269"/>
      <c r="AE785" s="269"/>
      <c r="AF785" s="269"/>
      <c r="AG785" s="269"/>
      <c r="AH785" s="269"/>
      <c r="AI785" s="269"/>
      <c r="AJ785" s="269"/>
      <c r="AK785" s="269"/>
      <c r="AL785" s="269"/>
      <c r="AM785" s="269"/>
      <c r="AN785" s="269"/>
      <c r="AO785" s="269"/>
      <c r="AP785" s="269"/>
      <c r="AQ785" s="269"/>
      <c r="AR785" s="269"/>
    </row>
    <row r="786">
      <c r="A786" s="410"/>
      <c r="B786" s="410"/>
      <c r="C786" s="410"/>
      <c r="D786" s="410"/>
      <c r="E786" s="410"/>
      <c r="F786" s="410"/>
      <c r="H786" s="269"/>
      <c r="I786" s="269"/>
      <c r="J786" s="269"/>
      <c r="K786" s="269"/>
      <c r="L786" s="269"/>
      <c r="M786" s="269"/>
      <c r="N786" s="269"/>
      <c r="O786" s="269"/>
      <c r="P786" s="269"/>
      <c r="Q786" s="269"/>
      <c r="R786" s="269"/>
      <c r="S786" s="269"/>
      <c r="T786" s="269"/>
      <c r="U786" s="269"/>
      <c r="V786" s="269"/>
      <c r="W786" s="269"/>
      <c r="X786" s="269"/>
      <c r="Y786" s="269"/>
      <c r="Z786" s="269"/>
      <c r="AA786" s="269"/>
      <c r="AB786" s="269"/>
      <c r="AC786" s="269"/>
      <c r="AD786" s="269"/>
      <c r="AE786" s="269"/>
      <c r="AF786" s="269"/>
      <c r="AG786" s="269"/>
      <c r="AH786" s="269"/>
      <c r="AI786" s="269"/>
      <c r="AJ786" s="269"/>
      <c r="AK786" s="269"/>
      <c r="AL786" s="269"/>
      <c r="AM786" s="269"/>
      <c r="AN786" s="269"/>
      <c r="AO786" s="269"/>
      <c r="AP786" s="269"/>
      <c r="AQ786" s="269"/>
      <c r="AR786" s="269"/>
    </row>
    <row r="787">
      <c r="A787" s="410"/>
      <c r="B787" s="410"/>
      <c r="C787" s="410"/>
      <c r="D787" s="410"/>
      <c r="E787" s="410"/>
      <c r="F787" s="410"/>
      <c r="H787" s="269"/>
      <c r="I787" s="269"/>
      <c r="J787" s="269"/>
      <c r="K787" s="269"/>
      <c r="L787" s="269"/>
      <c r="M787" s="269"/>
      <c r="N787" s="269"/>
      <c r="O787" s="269"/>
      <c r="P787" s="269"/>
      <c r="Q787" s="269"/>
      <c r="R787" s="269"/>
      <c r="S787" s="269"/>
      <c r="T787" s="269"/>
      <c r="U787" s="269"/>
      <c r="V787" s="269"/>
      <c r="W787" s="269"/>
      <c r="X787" s="269"/>
      <c r="Y787" s="269"/>
      <c r="Z787" s="269"/>
      <c r="AA787" s="269"/>
      <c r="AB787" s="269"/>
      <c r="AC787" s="269"/>
      <c r="AD787" s="269"/>
      <c r="AE787" s="269"/>
      <c r="AF787" s="269"/>
      <c r="AG787" s="269"/>
      <c r="AH787" s="269"/>
      <c r="AI787" s="269"/>
      <c r="AJ787" s="269"/>
      <c r="AK787" s="269"/>
      <c r="AL787" s="269"/>
      <c r="AM787" s="269"/>
      <c r="AN787" s="269"/>
      <c r="AO787" s="269"/>
      <c r="AP787" s="269"/>
      <c r="AQ787" s="269"/>
      <c r="AR787" s="269"/>
    </row>
    <row r="788">
      <c r="A788" s="410"/>
      <c r="B788" s="410"/>
      <c r="C788" s="410"/>
      <c r="D788" s="410"/>
      <c r="E788" s="410"/>
      <c r="F788" s="410"/>
      <c r="H788" s="269"/>
      <c r="I788" s="269"/>
      <c r="J788" s="269"/>
      <c r="K788" s="269"/>
      <c r="L788" s="269"/>
      <c r="M788" s="269"/>
      <c r="N788" s="269"/>
      <c r="O788" s="269"/>
      <c r="P788" s="269"/>
      <c r="Q788" s="269"/>
      <c r="R788" s="269"/>
      <c r="S788" s="269"/>
      <c r="T788" s="269"/>
      <c r="U788" s="269"/>
      <c r="V788" s="269"/>
      <c r="W788" s="269"/>
      <c r="X788" s="269"/>
      <c r="Y788" s="269"/>
      <c r="Z788" s="269"/>
      <c r="AA788" s="269"/>
      <c r="AB788" s="269"/>
      <c r="AC788" s="269"/>
      <c r="AD788" s="269"/>
      <c r="AE788" s="269"/>
      <c r="AF788" s="269"/>
      <c r="AG788" s="269"/>
      <c r="AH788" s="269"/>
      <c r="AI788" s="269"/>
      <c r="AJ788" s="269"/>
      <c r="AK788" s="269"/>
      <c r="AL788" s="269"/>
      <c r="AM788" s="269"/>
      <c r="AN788" s="269"/>
      <c r="AO788" s="269"/>
      <c r="AP788" s="269"/>
      <c r="AQ788" s="269"/>
      <c r="AR788" s="269"/>
    </row>
    <row r="789">
      <c r="A789" s="410"/>
      <c r="B789" s="410"/>
      <c r="C789" s="410"/>
      <c r="D789" s="410"/>
      <c r="E789" s="410"/>
      <c r="F789" s="410"/>
      <c r="H789" s="269"/>
      <c r="I789" s="269"/>
      <c r="J789" s="269"/>
      <c r="K789" s="269"/>
      <c r="L789" s="269"/>
      <c r="M789" s="269"/>
      <c r="N789" s="269"/>
      <c r="O789" s="269"/>
      <c r="P789" s="269"/>
      <c r="Q789" s="269"/>
      <c r="R789" s="269"/>
      <c r="S789" s="269"/>
      <c r="T789" s="269"/>
      <c r="U789" s="269"/>
      <c r="V789" s="269"/>
      <c r="W789" s="269"/>
      <c r="X789" s="269"/>
      <c r="Y789" s="269"/>
      <c r="Z789" s="269"/>
      <c r="AA789" s="269"/>
      <c r="AB789" s="269"/>
      <c r="AC789" s="269"/>
      <c r="AD789" s="269"/>
      <c r="AE789" s="269"/>
      <c r="AF789" s="269"/>
      <c r="AG789" s="269"/>
      <c r="AH789" s="269"/>
      <c r="AI789" s="269"/>
      <c r="AJ789" s="269"/>
      <c r="AK789" s="269"/>
      <c r="AL789" s="269"/>
      <c r="AM789" s="269"/>
      <c r="AN789" s="269"/>
      <c r="AO789" s="269"/>
      <c r="AP789" s="269"/>
      <c r="AQ789" s="269"/>
      <c r="AR789" s="269"/>
    </row>
    <row r="790">
      <c r="A790" s="410"/>
      <c r="B790" s="410"/>
      <c r="C790" s="410"/>
      <c r="D790" s="410"/>
      <c r="E790" s="410"/>
      <c r="F790" s="410"/>
      <c r="H790" s="269"/>
      <c r="I790" s="269"/>
      <c r="J790" s="269"/>
      <c r="K790" s="269"/>
      <c r="L790" s="269"/>
      <c r="M790" s="269"/>
      <c r="N790" s="269"/>
      <c r="O790" s="269"/>
      <c r="P790" s="269"/>
      <c r="Q790" s="269"/>
      <c r="R790" s="269"/>
      <c r="S790" s="269"/>
      <c r="T790" s="269"/>
      <c r="U790" s="269"/>
      <c r="V790" s="269"/>
      <c r="W790" s="269"/>
      <c r="X790" s="269"/>
      <c r="Y790" s="269"/>
      <c r="Z790" s="269"/>
      <c r="AA790" s="269"/>
      <c r="AB790" s="269"/>
      <c r="AC790" s="269"/>
      <c r="AD790" s="269"/>
      <c r="AE790" s="269"/>
      <c r="AF790" s="269"/>
      <c r="AG790" s="269"/>
      <c r="AH790" s="269"/>
      <c r="AI790" s="269"/>
      <c r="AJ790" s="269"/>
      <c r="AK790" s="269"/>
      <c r="AL790" s="269"/>
      <c r="AM790" s="269"/>
      <c r="AN790" s="269"/>
      <c r="AO790" s="269"/>
      <c r="AP790" s="269"/>
      <c r="AQ790" s="269"/>
      <c r="AR790" s="269"/>
    </row>
    <row r="791">
      <c r="A791" s="410"/>
      <c r="B791" s="410"/>
      <c r="C791" s="410"/>
      <c r="D791" s="410"/>
      <c r="E791" s="410"/>
      <c r="F791" s="410"/>
      <c r="H791" s="269"/>
      <c r="I791" s="269"/>
      <c r="J791" s="269"/>
      <c r="K791" s="269"/>
      <c r="L791" s="269"/>
      <c r="M791" s="269"/>
      <c r="N791" s="269"/>
      <c r="O791" s="269"/>
      <c r="P791" s="269"/>
      <c r="Q791" s="269"/>
      <c r="R791" s="269"/>
      <c r="S791" s="269"/>
      <c r="T791" s="269"/>
      <c r="U791" s="269"/>
      <c r="V791" s="269"/>
      <c r="W791" s="269"/>
      <c r="X791" s="269"/>
      <c r="Y791" s="269"/>
      <c r="Z791" s="269"/>
      <c r="AA791" s="269"/>
      <c r="AB791" s="269"/>
      <c r="AC791" s="269"/>
      <c r="AD791" s="269"/>
      <c r="AE791" s="269"/>
      <c r="AF791" s="269"/>
      <c r="AG791" s="269"/>
      <c r="AH791" s="269"/>
      <c r="AI791" s="269"/>
      <c r="AJ791" s="269"/>
      <c r="AK791" s="269"/>
      <c r="AL791" s="269"/>
      <c r="AM791" s="269"/>
      <c r="AN791" s="269"/>
      <c r="AO791" s="269"/>
      <c r="AP791" s="269"/>
      <c r="AQ791" s="269"/>
      <c r="AR791" s="269"/>
    </row>
    <row r="792">
      <c r="A792" s="410"/>
      <c r="B792" s="410"/>
      <c r="C792" s="410"/>
      <c r="D792" s="410"/>
      <c r="E792" s="410"/>
      <c r="F792" s="410"/>
      <c r="H792" s="269"/>
      <c r="I792" s="269"/>
      <c r="J792" s="269"/>
      <c r="K792" s="269"/>
      <c r="L792" s="269"/>
      <c r="M792" s="269"/>
      <c r="N792" s="269"/>
      <c r="O792" s="269"/>
      <c r="P792" s="269"/>
      <c r="Q792" s="269"/>
      <c r="R792" s="269"/>
      <c r="S792" s="269"/>
      <c r="T792" s="269"/>
      <c r="U792" s="269"/>
      <c r="V792" s="269"/>
      <c r="W792" s="269"/>
      <c r="X792" s="269"/>
      <c r="Y792" s="269"/>
      <c r="Z792" s="269"/>
      <c r="AA792" s="269"/>
      <c r="AB792" s="269"/>
      <c r="AC792" s="269"/>
      <c r="AD792" s="269"/>
      <c r="AE792" s="269"/>
      <c r="AF792" s="269"/>
      <c r="AG792" s="269"/>
      <c r="AH792" s="269"/>
      <c r="AI792" s="269"/>
      <c r="AJ792" s="269"/>
      <c r="AK792" s="269"/>
      <c r="AL792" s="269"/>
      <c r="AM792" s="269"/>
      <c r="AN792" s="269"/>
      <c r="AO792" s="269"/>
      <c r="AP792" s="269"/>
      <c r="AQ792" s="269"/>
      <c r="AR792" s="269"/>
    </row>
    <row r="793">
      <c r="A793" s="410"/>
      <c r="B793" s="410"/>
      <c r="C793" s="410"/>
      <c r="D793" s="410"/>
      <c r="E793" s="410"/>
      <c r="F793" s="410"/>
      <c r="H793" s="269"/>
      <c r="I793" s="269"/>
      <c r="J793" s="269"/>
      <c r="K793" s="269"/>
      <c r="L793" s="269"/>
      <c r="M793" s="269"/>
      <c r="N793" s="269"/>
      <c r="O793" s="269"/>
      <c r="P793" s="269"/>
      <c r="Q793" s="269"/>
      <c r="R793" s="269"/>
      <c r="S793" s="269"/>
      <c r="T793" s="269"/>
      <c r="U793" s="269"/>
      <c r="V793" s="269"/>
      <c r="W793" s="269"/>
      <c r="X793" s="269"/>
      <c r="Y793" s="269"/>
      <c r="Z793" s="269"/>
      <c r="AA793" s="269"/>
      <c r="AB793" s="269"/>
      <c r="AC793" s="269"/>
      <c r="AD793" s="269"/>
      <c r="AE793" s="269"/>
      <c r="AF793" s="269"/>
      <c r="AG793" s="269"/>
      <c r="AH793" s="269"/>
      <c r="AI793" s="269"/>
      <c r="AJ793" s="269"/>
      <c r="AK793" s="269"/>
      <c r="AL793" s="269"/>
      <c r="AM793" s="269"/>
      <c r="AN793" s="269"/>
      <c r="AO793" s="269"/>
      <c r="AP793" s="269"/>
      <c r="AQ793" s="269"/>
      <c r="AR793" s="269"/>
    </row>
    <row r="794">
      <c r="A794" s="410"/>
      <c r="B794" s="410"/>
      <c r="C794" s="410"/>
      <c r="D794" s="410"/>
      <c r="E794" s="410"/>
      <c r="F794" s="410"/>
      <c r="H794" s="269"/>
      <c r="I794" s="269"/>
      <c r="J794" s="269"/>
      <c r="K794" s="269"/>
      <c r="L794" s="269"/>
      <c r="M794" s="269"/>
      <c r="N794" s="269"/>
      <c r="O794" s="269"/>
      <c r="P794" s="269"/>
      <c r="Q794" s="269"/>
      <c r="R794" s="269"/>
      <c r="S794" s="269"/>
      <c r="T794" s="269"/>
      <c r="U794" s="269"/>
      <c r="V794" s="269"/>
      <c r="W794" s="269"/>
      <c r="X794" s="269"/>
      <c r="Y794" s="269"/>
      <c r="Z794" s="269"/>
      <c r="AA794" s="269"/>
      <c r="AB794" s="269"/>
      <c r="AC794" s="269"/>
      <c r="AD794" s="269"/>
      <c r="AE794" s="269"/>
      <c r="AF794" s="269"/>
      <c r="AG794" s="269"/>
      <c r="AH794" s="269"/>
      <c r="AI794" s="269"/>
      <c r="AJ794" s="269"/>
      <c r="AK794" s="269"/>
      <c r="AL794" s="269"/>
      <c r="AM794" s="269"/>
      <c r="AN794" s="269"/>
      <c r="AO794" s="269"/>
      <c r="AP794" s="269"/>
      <c r="AQ794" s="269"/>
      <c r="AR794" s="269"/>
    </row>
    <row r="795">
      <c r="A795" s="410"/>
      <c r="B795" s="410"/>
      <c r="C795" s="410"/>
      <c r="D795" s="410"/>
      <c r="E795" s="410"/>
      <c r="F795" s="410"/>
      <c r="H795" s="269"/>
      <c r="I795" s="269"/>
      <c r="J795" s="269"/>
      <c r="K795" s="269"/>
      <c r="L795" s="269"/>
      <c r="M795" s="269"/>
      <c r="N795" s="269"/>
      <c r="O795" s="269"/>
      <c r="P795" s="269"/>
      <c r="Q795" s="269"/>
      <c r="R795" s="269"/>
      <c r="S795" s="269"/>
      <c r="T795" s="269"/>
      <c r="U795" s="269"/>
      <c r="V795" s="269"/>
      <c r="W795" s="269"/>
      <c r="X795" s="269"/>
      <c r="Y795" s="269"/>
      <c r="Z795" s="269"/>
      <c r="AA795" s="269"/>
      <c r="AB795" s="269"/>
      <c r="AC795" s="269"/>
      <c r="AD795" s="269"/>
      <c r="AE795" s="269"/>
      <c r="AF795" s="269"/>
      <c r="AG795" s="269"/>
      <c r="AH795" s="269"/>
      <c r="AI795" s="269"/>
      <c r="AJ795" s="269"/>
      <c r="AK795" s="269"/>
      <c r="AL795" s="269"/>
      <c r="AM795" s="269"/>
      <c r="AN795" s="269"/>
      <c r="AO795" s="269"/>
      <c r="AP795" s="269"/>
      <c r="AQ795" s="269"/>
      <c r="AR795" s="269"/>
    </row>
    <row r="796">
      <c r="A796" s="410"/>
      <c r="B796" s="410"/>
      <c r="C796" s="410"/>
      <c r="D796" s="410"/>
      <c r="E796" s="410"/>
      <c r="F796" s="410"/>
      <c r="H796" s="269"/>
      <c r="I796" s="269"/>
      <c r="J796" s="269"/>
      <c r="K796" s="269"/>
      <c r="L796" s="269"/>
      <c r="M796" s="269"/>
      <c r="N796" s="269"/>
      <c r="O796" s="269"/>
      <c r="P796" s="269"/>
      <c r="Q796" s="269"/>
      <c r="R796" s="269"/>
      <c r="S796" s="269"/>
      <c r="T796" s="269"/>
      <c r="U796" s="269"/>
      <c r="V796" s="269"/>
      <c r="W796" s="269"/>
      <c r="X796" s="269"/>
      <c r="Y796" s="269"/>
      <c r="Z796" s="269"/>
      <c r="AA796" s="269"/>
      <c r="AB796" s="269"/>
      <c r="AC796" s="269"/>
      <c r="AD796" s="269"/>
      <c r="AE796" s="269"/>
      <c r="AF796" s="269"/>
      <c r="AG796" s="269"/>
      <c r="AH796" s="269"/>
      <c r="AI796" s="269"/>
      <c r="AJ796" s="269"/>
      <c r="AK796" s="269"/>
      <c r="AL796" s="269"/>
      <c r="AM796" s="269"/>
      <c r="AN796" s="269"/>
      <c r="AO796" s="269"/>
      <c r="AP796" s="269"/>
      <c r="AQ796" s="269"/>
      <c r="AR796" s="269"/>
    </row>
    <row r="797">
      <c r="A797" s="410"/>
      <c r="B797" s="410"/>
      <c r="C797" s="410"/>
      <c r="D797" s="410"/>
      <c r="E797" s="410"/>
      <c r="F797" s="410"/>
      <c r="H797" s="269"/>
      <c r="I797" s="269"/>
      <c r="J797" s="269"/>
      <c r="K797" s="269"/>
      <c r="L797" s="269"/>
      <c r="M797" s="269"/>
      <c r="N797" s="269"/>
      <c r="O797" s="269"/>
      <c r="P797" s="269"/>
      <c r="Q797" s="269"/>
      <c r="R797" s="269"/>
      <c r="S797" s="269"/>
      <c r="T797" s="269"/>
      <c r="U797" s="269"/>
      <c r="V797" s="269"/>
      <c r="W797" s="269"/>
      <c r="X797" s="269"/>
      <c r="Y797" s="269"/>
      <c r="Z797" s="269"/>
      <c r="AA797" s="269"/>
      <c r="AB797" s="269"/>
      <c r="AC797" s="269"/>
      <c r="AD797" s="269"/>
      <c r="AE797" s="269"/>
      <c r="AF797" s="269"/>
      <c r="AG797" s="269"/>
      <c r="AH797" s="269"/>
      <c r="AI797" s="269"/>
      <c r="AJ797" s="269"/>
      <c r="AK797" s="269"/>
      <c r="AL797" s="269"/>
      <c r="AM797" s="269"/>
      <c r="AN797" s="269"/>
      <c r="AO797" s="269"/>
      <c r="AP797" s="269"/>
      <c r="AQ797" s="269"/>
      <c r="AR797" s="269"/>
    </row>
    <row r="798">
      <c r="A798" s="410"/>
      <c r="B798" s="410"/>
      <c r="C798" s="410"/>
      <c r="D798" s="410"/>
      <c r="E798" s="410"/>
      <c r="F798" s="410"/>
      <c r="H798" s="269"/>
      <c r="I798" s="269"/>
      <c r="J798" s="269"/>
      <c r="K798" s="269"/>
      <c r="L798" s="269"/>
      <c r="M798" s="269"/>
      <c r="N798" s="269"/>
      <c r="O798" s="269"/>
      <c r="P798" s="269"/>
      <c r="Q798" s="269"/>
      <c r="R798" s="269"/>
      <c r="S798" s="269"/>
      <c r="T798" s="269"/>
      <c r="U798" s="269"/>
      <c r="V798" s="269"/>
      <c r="W798" s="269"/>
      <c r="X798" s="269"/>
      <c r="Y798" s="269"/>
      <c r="Z798" s="269"/>
      <c r="AA798" s="269"/>
      <c r="AB798" s="269"/>
      <c r="AC798" s="269"/>
      <c r="AD798" s="269"/>
      <c r="AE798" s="269"/>
      <c r="AF798" s="269"/>
      <c r="AG798" s="269"/>
      <c r="AH798" s="269"/>
      <c r="AI798" s="269"/>
      <c r="AJ798" s="269"/>
      <c r="AK798" s="269"/>
      <c r="AL798" s="269"/>
      <c r="AM798" s="269"/>
      <c r="AN798" s="269"/>
      <c r="AO798" s="269"/>
      <c r="AP798" s="269"/>
      <c r="AQ798" s="269"/>
      <c r="AR798" s="269"/>
    </row>
    <row r="799">
      <c r="A799" s="410"/>
      <c r="B799" s="410"/>
      <c r="C799" s="410"/>
      <c r="D799" s="410"/>
      <c r="E799" s="410"/>
      <c r="F799" s="410"/>
      <c r="H799" s="269"/>
      <c r="I799" s="269"/>
      <c r="J799" s="269"/>
      <c r="K799" s="269"/>
      <c r="L799" s="269"/>
      <c r="M799" s="269"/>
      <c r="N799" s="269"/>
      <c r="O799" s="269"/>
      <c r="P799" s="269"/>
      <c r="Q799" s="269"/>
      <c r="R799" s="269"/>
      <c r="S799" s="269"/>
      <c r="T799" s="269"/>
      <c r="U799" s="269"/>
      <c r="V799" s="269"/>
      <c r="W799" s="269"/>
      <c r="X799" s="269"/>
      <c r="Y799" s="269"/>
      <c r="Z799" s="269"/>
      <c r="AA799" s="269"/>
      <c r="AB799" s="269"/>
      <c r="AC799" s="269"/>
      <c r="AD799" s="269"/>
      <c r="AE799" s="269"/>
      <c r="AF799" s="269"/>
      <c r="AG799" s="269"/>
      <c r="AH799" s="269"/>
      <c r="AI799" s="269"/>
      <c r="AJ799" s="269"/>
      <c r="AK799" s="269"/>
      <c r="AL799" s="269"/>
      <c r="AM799" s="269"/>
      <c r="AN799" s="269"/>
      <c r="AO799" s="269"/>
      <c r="AP799" s="269"/>
      <c r="AQ799" s="269"/>
      <c r="AR799" s="269"/>
    </row>
    <row r="800">
      <c r="A800" s="410"/>
      <c r="B800" s="410"/>
      <c r="C800" s="410"/>
      <c r="D800" s="410"/>
      <c r="E800" s="410"/>
      <c r="F800" s="410"/>
      <c r="H800" s="269"/>
      <c r="I800" s="269"/>
      <c r="J800" s="269"/>
      <c r="K800" s="269"/>
      <c r="L800" s="269"/>
      <c r="M800" s="269"/>
      <c r="N800" s="269"/>
      <c r="O800" s="269"/>
      <c r="P800" s="269"/>
      <c r="Q800" s="269"/>
      <c r="R800" s="269"/>
      <c r="S800" s="269"/>
      <c r="T800" s="269"/>
      <c r="U800" s="269"/>
      <c r="V800" s="269"/>
      <c r="W800" s="269"/>
      <c r="X800" s="269"/>
      <c r="Y800" s="269"/>
      <c r="Z800" s="269"/>
      <c r="AA800" s="269"/>
      <c r="AB800" s="269"/>
      <c r="AC800" s="269"/>
      <c r="AD800" s="269"/>
      <c r="AE800" s="269"/>
      <c r="AF800" s="269"/>
      <c r="AG800" s="269"/>
      <c r="AH800" s="269"/>
      <c r="AI800" s="269"/>
      <c r="AJ800" s="269"/>
      <c r="AK800" s="269"/>
      <c r="AL800" s="269"/>
      <c r="AM800" s="269"/>
      <c r="AN800" s="269"/>
      <c r="AO800" s="269"/>
      <c r="AP800" s="269"/>
      <c r="AQ800" s="269"/>
      <c r="AR800" s="269"/>
    </row>
    <row r="801">
      <c r="A801" s="410"/>
      <c r="B801" s="410"/>
      <c r="C801" s="410"/>
      <c r="D801" s="410"/>
      <c r="E801" s="410"/>
      <c r="F801" s="410"/>
      <c r="H801" s="269"/>
      <c r="I801" s="269"/>
      <c r="J801" s="269"/>
      <c r="K801" s="269"/>
      <c r="L801" s="269"/>
      <c r="M801" s="269"/>
      <c r="N801" s="269"/>
      <c r="O801" s="269"/>
      <c r="P801" s="269"/>
      <c r="Q801" s="269"/>
      <c r="R801" s="269"/>
      <c r="S801" s="269"/>
      <c r="T801" s="269"/>
      <c r="U801" s="269"/>
      <c r="V801" s="269"/>
      <c r="W801" s="269"/>
      <c r="X801" s="269"/>
      <c r="Y801" s="269"/>
      <c r="Z801" s="269"/>
      <c r="AA801" s="269"/>
      <c r="AB801" s="269"/>
      <c r="AC801" s="269"/>
      <c r="AD801" s="269"/>
      <c r="AE801" s="269"/>
      <c r="AF801" s="269"/>
      <c r="AG801" s="269"/>
      <c r="AH801" s="269"/>
      <c r="AI801" s="269"/>
      <c r="AJ801" s="269"/>
      <c r="AK801" s="269"/>
      <c r="AL801" s="269"/>
      <c r="AM801" s="269"/>
      <c r="AN801" s="269"/>
      <c r="AO801" s="269"/>
      <c r="AP801" s="269"/>
      <c r="AQ801" s="269"/>
      <c r="AR801" s="269"/>
    </row>
    <row r="802">
      <c r="A802" s="410"/>
      <c r="B802" s="410"/>
      <c r="C802" s="410"/>
      <c r="D802" s="410"/>
      <c r="E802" s="410"/>
      <c r="F802" s="410"/>
      <c r="H802" s="269"/>
      <c r="I802" s="269"/>
      <c r="J802" s="269"/>
      <c r="K802" s="269"/>
      <c r="L802" s="269"/>
      <c r="M802" s="269"/>
      <c r="N802" s="269"/>
      <c r="O802" s="269"/>
      <c r="P802" s="269"/>
      <c r="Q802" s="269"/>
      <c r="R802" s="269"/>
      <c r="S802" s="269"/>
      <c r="T802" s="269"/>
      <c r="U802" s="269"/>
      <c r="V802" s="269"/>
      <c r="W802" s="269"/>
      <c r="X802" s="269"/>
      <c r="Y802" s="269"/>
      <c r="Z802" s="269"/>
      <c r="AA802" s="269"/>
      <c r="AB802" s="269"/>
      <c r="AC802" s="269"/>
      <c r="AD802" s="269"/>
      <c r="AE802" s="269"/>
      <c r="AF802" s="269"/>
      <c r="AG802" s="269"/>
      <c r="AH802" s="269"/>
      <c r="AI802" s="269"/>
      <c r="AJ802" s="269"/>
      <c r="AK802" s="269"/>
      <c r="AL802" s="269"/>
      <c r="AM802" s="269"/>
      <c r="AN802" s="269"/>
      <c r="AO802" s="269"/>
      <c r="AP802" s="269"/>
      <c r="AQ802" s="269"/>
      <c r="AR802" s="269"/>
    </row>
    <row r="803">
      <c r="A803" s="410"/>
      <c r="B803" s="410"/>
      <c r="C803" s="410"/>
      <c r="D803" s="410"/>
      <c r="E803" s="410"/>
      <c r="F803" s="410"/>
      <c r="H803" s="269"/>
      <c r="I803" s="269"/>
      <c r="J803" s="269"/>
      <c r="K803" s="269"/>
      <c r="L803" s="269"/>
      <c r="M803" s="269"/>
      <c r="N803" s="269"/>
      <c r="O803" s="269"/>
      <c r="P803" s="269"/>
      <c r="Q803" s="269"/>
      <c r="R803" s="269"/>
      <c r="S803" s="269"/>
      <c r="T803" s="269"/>
      <c r="U803" s="269"/>
      <c r="V803" s="269"/>
      <c r="W803" s="269"/>
      <c r="X803" s="269"/>
      <c r="Y803" s="269"/>
      <c r="Z803" s="269"/>
      <c r="AA803" s="269"/>
      <c r="AB803" s="269"/>
      <c r="AC803" s="269"/>
      <c r="AD803" s="269"/>
      <c r="AE803" s="269"/>
      <c r="AF803" s="269"/>
      <c r="AG803" s="269"/>
      <c r="AH803" s="269"/>
      <c r="AI803" s="269"/>
      <c r="AJ803" s="269"/>
      <c r="AK803" s="269"/>
      <c r="AL803" s="269"/>
      <c r="AM803" s="269"/>
      <c r="AN803" s="269"/>
      <c r="AO803" s="269"/>
      <c r="AP803" s="269"/>
      <c r="AQ803" s="269"/>
      <c r="AR803" s="269"/>
    </row>
    <row r="804">
      <c r="A804" s="410"/>
      <c r="B804" s="410"/>
      <c r="C804" s="410"/>
      <c r="D804" s="410"/>
      <c r="E804" s="410"/>
      <c r="F804" s="410"/>
      <c r="H804" s="269"/>
      <c r="I804" s="269"/>
      <c r="J804" s="269"/>
      <c r="K804" s="269"/>
      <c r="L804" s="269"/>
      <c r="M804" s="269"/>
      <c r="N804" s="269"/>
      <c r="O804" s="269"/>
      <c r="P804" s="269"/>
      <c r="Q804" s="269"/>
      <c r="R804" s="269"/>
      <c r="S804" s="269"/>
      <c r="T804" s="269"/>
      <c r="U804" s="269"/>
      <c r="V804" s="269"/>
      <c r="W804" s="269"/>
      <c r="X804" s="269"/>
      <c r="Y804" s="269"/>
      <c r="Z804" s="269"/>
      <c r="AA804" s="269"/>
      <c r="AB804" s="269"/>
      <c r="AC804" s="269"/>
      <c r="AD804" s="269"/>
      <c r="AE804" s="269"/>
      <c r="AF804" s="269"/>
      <c r="AG804" s="269"/>
      <c r="AH804" s="269"/>
      <c r="AI804" s="269"/>
      <c r="AJ804" s="269"/>
      <c r="AK804" s="269"/>
      <c r="AL804" s="269"/>
      <c r="AM804" s="269"/>
      <c r="AN804" s="269"/>
      <c r="AO804" s="269"/>
      <c r="AP804" s="269"/>
      <c r="AQ804" s="269"/>
      <c r="AR804" s="269"/>
    </row>
    <row r="805">
      <c r="A805" s="410"/>
      <c r="B805" s="410"/>
      <c r="C805" s="410"/>
      <c r="D805" s="410"/>
      <c r="E805" s="410"/>
      <c r="F805" s="410"/>
      <c r="H805" s="269"/>
      <c r="I805" s="269"/>
      <c r="J805" s="269"/>
      <c r="K805" s="269"/>
      <c r="L805" s="269"/>
      <c r="M805" s="269"/>
      <c r="N805" s="269"/>
      <c r="O805" s="269"/>
      <c r="P805" s="269"/>
      <c r="Q805" s="269"/>
      <c r="R805" s="269"/>
      <c r="S805" s="269"/>
      <c r="T805" s="269"/>
      <c r="U805" s="269"/>
      <c r="V805" s="269"/>
      <c r="W805" s="269"/>
      <c r="X805" s="269"/>
      <c r="Y805" s="269"/>
      <c r="Z805" s="269"/>
      <c r="AA805" s="269"/>
      <c r="AB805" s="269"/>
      <c r="AC805" s="269"/>
      <c r="AD805" s="269"/>
      <c r="AE805" s="269"/>
      <c r="AF805" s="269"/>
      <c r="AG805" s="269"/>
      <c r="AH805" s="269"/>
      <c r="AI805" s="269"/>
      <c r="AJ805" s="269"/>
      <c r="AK805" s="269"/>
      <c r="AL805" s="269"/>
      <c r="AM805" s="269"/>
      <c r="AN805" s="269"/>
      <c r="AO805" s="269"/>
      <c r="AP805" s="269"/>
      <c r="AQ805" s="269"/>
      <c r="AR805" s="269"/>
    </row>
    <row r="806">
      <c r="A806" s="410"/>
      <c r="B806" s="410"/>
      <c r="C806" s="410"/>
      <c r="D806" s="410"/>
      <c r="E806" s="410"/>
      <c r="F806" s="410"/>
      <c r="H806" s="269"/>
      <c r="I806" s="269"/>
      <c r="J806" s="269"/>
      <c r="K806" s="269"/>
      <c r="L806" s="269"/>
      <c r="M806" s="269"/>
      <c r="N806" s="269"/>
      <c r="O806" s="269"/>
      <c r="P806" s="269"/>
      <c r="Q806" s="269"/>
      <c r="R806" s="269"/>
      <c r="S806" s="269"/>
      <c r="T806" s="269"/>
      <c r="U806" s="269"/>
      <c r="V806" s="269"/>
      <c r="W806" s="269"/>
      <c r="X806" s="269"/>
      <c r="Y806" s="269"/>
      <c r="Z806" s="269"/>
      <c r="AA806" s="269"/>
      <c r="AB806" s="269"/>
      <c r="AC806" s="269"/>
      <c r="AD806" s="269"/>
      <c r="AE806" s="269"/>
      <c r="AF806" s="269"/>
      <c r="AG806" s="269"/>
      <c r="AH806" s="269"/>
      <c r="AI806" s="269"/>
      <c r="AJ806" s="269"/>
      <c r="AK806" s="269"/>
      <c r="AL806" s="269"/>
      <c r="AM806" s="269"/>
      <c r="AN806" s="269"/>
      <c r="AO806" s="269"/>
      <c r="AP806" s="269"/>
      <c r="AQ806" s="269"/>
      <c r="AR806" s="269"/>
    </row>
    <row r="807">
      <c r="A807" s="410"/>
      <c r="B807" s="410"/>
      <c r="C807" s="410"/>
      <c r="D807" s="410"/>
      <c r="E807" s="410"/>
      <c r="F807" s="410"/>
      <c r="H807" s="269"/>
      <c r="I807" s="269"/>
      <c r="J807" s="269"/>
      <c r="K807" s="269"/>
      <c r="L807" s="269"/>
      <c r="M807" s="269"/>
      <c r="N807" s="269"/>
      <c r="O807" s="269"/>
      <c r="P807" s="269"/>
      <c r="Q807" s="269"/>
      <c r="R807" s="269"/>
      <c r="S807" s="269"/>
      <c r="T807" s="269"/>
      <c r="U807" s="269"/>
      <c r="V807" s="269"/>
      <c r="W807" s="269"/>
      <c r="X807" s="269"/>
      <c r="Y807" s="269"/>
      <c r="Z807" s="269"/>
      <c r="AA807" s="269"/>
      <c r="AB807" s="269"/>
      <c r="AC807" s="269"/>
      <c r="AD807" s="269"/>
      <c r="AE807" s="269"/>
      <c r="AF807" s="269"/>
      <c r="AG807" s="269"/>
      <c r="AH807" s="269"/>
      <c r="AI807" s="269"/>
      <c r="AJ807" s="269"/>
      <c r="AK807" s="269"/>
      <c r="AL807" s="269"/>
      <c r="AM807" s="269"/>
      <c r="AN807" s="269"/>
      <c r="AO807" s="269"/>
      <c r="AP807" s="269"/>
      <c r="AQ807" s="269"/>
      <c r="AR807" s="269"/>
    </row>
    <row r="808">
      <c r="A808" s="410"/>
      <c r="B808" s="410"/>
      <c r="C808" s="410"/>
      <c r="D808" s="410"/>
      <c r="E808" s="410"/>
      <c r="F808" s="410"/>
      <c r="H808" s="269"/>
      <c r="I808" s="269"/>
      <c r="J808" s="269"/>
      <c r="K808" s="269"/>
      <c r="L808" s="269"/>
      <c r="M808" s="269"/>
      <c r="N808" s="269"/>
      <c r="O808" s="269"/>
      <c r="P808" s="269"/>
      <c r="Q808" s="269"/>
      <c r="R808" s="269"/>
      <c r="S808" s="269"/>
      <c r="T808" s="269"/>
      <c r="U808" s="269"/>
      <c r="V808" s="269"/>
      <c r="W808" s="269"/>
      <c r="X808" s="269"/>
      <c r="Y808" s="269"/>
      <c r="Z808" s="269"/>
      <c r="AA808" s="269"/>
      <c r="AB808" s="269"/>
      <c r="AC808" s="269"/>
      <c r="AD808" s="269"/>
      <c r="AE808" s="269"/>
      <c r="AF808" s="269"/>
      <c r="AG808" s="269"/>
      <c r="AH808" s="269"/>
      <c r="AI808" s="269"/>
      <c r="AJ808" s="269"/>
      <c r="AK808" s="269"/>
      <c r="AL808" s="269"/>
      <c r="AM808" s="269"/>
      <c r="AN808" s="269"/>
      <c r="AO808" s="269"/>
      <c r="AP808" s="269"/>
      <c r="AQ808" s="269"/>
      <c r="AR808" s="269"/>
    </row>
    <row r="809">
      <c r="A809" s="410"/>
      <c r="B809" s="410"/>
      <c r="C809" s="410"/>
      <c r="D809" s="410"/>
      <c r="E809" s="410"/>
      <c r="F809" s="410"/>
      <c r="H809" s="269"/>
      <c r="I809" s="269"/>
      <c r="J809" s="269"/>
      <c r="K809" s="269"/>
      <c r="L809" s="269"/>
      <c r="M809" s="269"/>
      <c r="N809" s="269"/>
      <c r="O809" s="269"/>
      <c r="P809" s="269"/>
      <c r="Q809" s="269"/>
      <c r="R809" s="269"/>
      <c r="S809" s="269"/>
      <c r="T809" s="269"/>
      <c r="U809" s="269"/>
      <c r="V809" s="269"/>
      <c r="W809" s="269"/>
      <c r="X809" s="269"/>
      <c r="Y809" s="269"/>
      <c r="Z809" s="269"/>
      <c r="AA809" s="269"/>
      <c r="AB809" s="269"/>
      <c r="AC809" s="269"/>
      <c r="AD809" s="269"/>
      <c r="AE809" s="269"/>
      <c r="AF809" s="269"/>
      <c r="AG809" s="269"/>
      <c r="AH809" s="269"/>
      <c r="AI809" s="269"/>
      <c r="AJ809" s="269"/>
      <c r="AK809" s="269"/>
      <c r="AL809" s="269"/>
      <c r="AM809" s="269"/>
      <c r="AN809" s="269"/>
      <c r="AO809" s="269"/>
      <c r="AP809" s="269"/>
      <c r="AQ809" s="269"/>
      <c r="AR809" s="269"/>
    </row>
    <row r="810">
      <c r="A810" s="410"/>
      <c r="B810" s="410"/>
      <c r="C810" s="410"/>
      <c r="D810" s="410"/>
      <c r="E810" s="410"/>
      <c r="F810" s="410"/>
      <c r="H810" s="269"/>
      <c r="I810" s="269"/>
      <c r="J810" s="269"/>
      <c r="K810" s="269"/>
      <c r="L810" s="269"/>
      <c r="M810" s="269"/>
      <c r="N810" s="269"/>
      <c r="O810" s="269"/>
      <c r="P810" s="269"/>
      <c r="Q810" s="269"/>
      <c r="R810" s="269"/>
      <c r="S810" s="269"/>
      <c r="T810" s="269"/>
      <c r="U810" s="269"/>
      <c r="V810" s="269"/>
      <c r="W810" s="269"/>
      <c r="X810" s="269"/>
      <c r="Y810" s="269"/>
      <c r="Z810" s="269"/>
      <c r="AA810" s="269"/>
      <c r="AB810" s="269"/>
      <c r="AC810" s="269"/>
      <c r="AD810" s="269"/>
      <c r="AE810" s="269"/>
      <c r="AF810" s="269"/>
      <c r="AG810" s="269"/>
      <c r="AH810" s="269"/>
      <c r="AI810" s="269"/>
      <c r="AJ810" s="269"/>
      <c r="AK810" s="269"/>
      <c r="AL810" s="269"/>
      <c r="AM810" s="269"/>
      <c r="AN810" s="269"/>
      <c r="AO810" s="269"/>
      <c r="AP810" s="269"/>
      <c r="AQ810" s="269"/>
      <c r="AR810" s="269"/>
    </row>
    <row r="811">
      <c r="A811" s="410"/>
      <c r="B811" s="410"/>
      <c r="C811" s="410"/>
      <c r="D811" s="410"/>
      <c r="E811" s="410"/>
      <c r="F811" s="410"/>
      <c r="H811" s="269"/>
      <c r="I811" s="269"/>
      <c r="J811" s="269"/>
      <c r="K811" s="269"/>
      <c r="L811" s="269"/>
      <c r="M811" s="269"/>
      <c r="N811" s="269"/>
      <c r="O811" s="269"/>
      <c r="P811" s="269"/>
      <c r="Q811" s="269"/>
      <c r="R811" s="269"/>
      <c r="S811" s="269"/>
      <c r="T811" s="269"/>
      <c r="U811" s="269"/>
      <c r="V811" s="269"/>
      <c r="W811" s="269"/>
      <c r="X811" s="269"/>
      <c r="Y811" s="269"/>
      <c r="Z811" s="269"/>
      <c r="AA811" s="269"/>
      <c r="AB811" s="269"/>
      <c r="AC811" s="269"/>
      <c r="AD811" s="269"/>
      <c r="AE811" s="269"/>
      <c r="AF811" s="269"/>
      <c r="AG811" s="269"/>
      <c r="AH811" s="269"/>
      <c r="AI811" s="269"/>
      <c r="AJ811" s="269"/>
      <c r="AK811" s="269"/>
      <c r="AL811" s="269"/>
      <c r="AM811" s="269"/>
      <c r="AN811" s="269"/>
      <c r="AO811" s="269"/>
      <c r="AP811" s="269"/>
      <c r="AQ811" s="269"/>
      <c r="AR811" s="269"/>
    </row>
    <row r="812">
      <c r="A812" s="410"/>
      <c r="B812" s="410"/>
      <c r="C812" s="410"/>
      <c r="D812" s="410"/>
      <c r="E812" s="410"/>
      <c r="F812" s="410"/>
      <c r="H812" s="269"/>
      <c r="I812" s="269"/>
      <c r="J812" s="269"/>
      <c r="K812" s="269"/>
      <c r="L812" s="269"/>
      <c r="M812" s="269"/>
      <c r="N812" s="269"/>
      <c r="O812" s="269"/>
      <c r="P812" s="269"/>
      <c r="Q812" s="269"/>
      <c r="R812" s="269"/>
      <c r="S812" s="269"/>
      <c r="T812" s="269"/>
      <c r="U812" s="269"/>
      <c r="V812" s="269"/>
      <c r="W812" s="269"/>
      <c r="X812" s="269"/>
      <c r="Y812" s="269"/>
      <c r="Z812" s="269"/>
      <c r="AA812" s="269"/>
      <c r="AB812" s="269"/>
      <c r="AC812" s="269"/>
      <c r="AD812" s="269"/>
      <c r="AE812" s="269"/>
      <c r="AF812" s="269"/>
      <c r="AG812" s="269"/>
      <c r="AH812" s="269"/>
      <c r="AI812" s="269"/>
      <c r="AJ812" s="269"/>
      <c r="AK812" s="269"/>
      <c r="AL812" s="269"/>
      <c r="AM812" s="269"/>
      <c r="AN812" s="269"/>
      <c r="AO812" s="269"/>
      <c r="AP812" s="269"/>
      <c r="AQ812" s="269"/>
      <c r="AR812" s="269"/>
    </row>
    <row r="813">
      <c r="A813" s="410"/>
      <c r="B813" s="410"/>
      <c r="C813" s="410"/>
      <c r="D813" s="410"/>
      <c r="E813" s="410"/>
      <c r="F813" s="410"/>
      <c r="H813" s="269"/>
      <c r="I813" s="269"/>
      <c r="J813" s="269"/>
      <c r="K813" s="269"/>
      <c r="L813" s="269"/>
      <c r="M813" s="269"/>
      <c r="N813" s="269"/>
      <c r="O813" s="269"/>
      <c r="P813" s="269"/>
      <c r="Q813" s="269"/>
      <c r="R813" s="269"/>
      <c r="S813" s="269"/>
      <c r="T813" s="269"/>
      <c r="U813" s="269"/>
      <c r="V813" s="269"/>
      <c r="W813" s="269"/>
      <c r="X813" s="269"/>
      <c r="Y813" s="269"/>
      <c r="Z813" s="269"/>
      <c r="AA813" s="269"/>
      <c r="AB813" s="269"/>
      <c r="AC813" s="269"/>
      <c r="AD813" s="269"/>
      <c r="AE813" s="269"/>
      <c r="AF813" s="269"/>
      <c r="AG813" s="269"/>
      <c r="AH813" s="269"/>
      <c r="AI813" s="269"/>
      <c r="AJ813" s="269"/>
      <c r="AK813" s="269"/>
      <c r="AL813" s="269"/>
      <c r="AM813" s="269"/>
      <c r="AN813" s="269"/>
      <c r="AO813" s="269"/>
      <c r="AP813" s="269"/>
      <c r="AQ813" s="269"/>
      <c r="AR813" s="269"/>
    </row>
    <row r="814">
      <c r="A814" s="410"/>
      <c r="B814" s="410"/>
      <c r="C814" s="410"/>
      <c r="D814" s="410"/>
      <c r="E814" s="410"/>
      <c r="F814" s="410"/>
      <c r="H814" s="269"/>
      <c r="I814" s="269"/>
      <c r="J814" s="269"/>
      <c r="K814" s="269"/>
      <c r="L814" s="269"/>
      <c r="M814" s="269"/>
      <c r="N814" s="269"/>
      <c r="O814" s="269"/>
      <c r="P814" s="269"/>
      <c r="Q814" s="269"/>
      <c r="R814" s="269"/>
      <c r="S814" s="269"/>
      <c r="T814" s="269"/>
      <c r="U814" s="269"/>
      <c r="V814" s="269"/>
      <c r="W814" s="269"/>
      <c r="X814" s="269"/>
      <c r="Y814" s="269"/>
      <c r="Z814" s="269"/>
      <c r="AA814" s="269"/>
      <c r="AB814" s="269"/>
      <c r="AC814" s="269"/>
      <c r="AD814" s="269"/>
      <c r="AE814" s="269"/>
      <c r="AF814" s="269"/>
      <c r="AG814" s="269"/>
      <c r="AH814" s="269"/>
      <c r="AI814" s="269"/>
      <c r="AJ814" s="269"/>
      <c r="AK814" s="269"/>
      <c r="AL814" s="269"/>
      <c r="AM814" s="269"/>
      <c r="AN814" s="269"/>
      <c r="AO814" s="269"/>
      <c r="AP814" s="269"/>
      <c r="AQ814" s="269"/>
      <c r="AR814" s="269"/>
    </row>
    <row r="815">
      <c r="A815" s="410"/>
      <c r="B815" s="410"/>
      <c r="C815" s="410"/>
      <c r="D815" s="410"/>
      <c r="E815" s="410"/>
      <c r="F815" s="410"/>
      <c r="H815" s="269"/>
      <c r="I815" s="269"/>
      <c r="J815" s="269"/>
      <c r="K815" s="269"/>
      <c r="L815" s="269"/>
      <c r="M815" s="269"/>
      <c r="N815" s="269"/>
      <c r="O815" s="269"/>
      <c r="P815" s="269"/>
      <c r="Q815" s="269"/>
      <c r="R815" s="269"/>
      <c r="S815" s="269"/>
      <c r="T815" s="269"/>
      <c r="U815" s="269"/>
      <c r="V815" s="269"/>
      <c r="W815" s="269"/>
      <c r="X815" s="269"/>
      <c r="Y815" s="269"/>
      <c r="Z815" s="269"/>
      <c r="AA815" s="269"/>
      <c r="AB815" s="269"/>
      <c r="AC815" s="269"/>
      <c r="AD815" s="269"/>
      <c r="AE815" s="269"/>
      <c r="AF815" s="269"/>
      <c r="AG815" s="269"/>
      <c r="AH815" s="269"/>
      <c r="AI815" s="269"/>
      <c r="AJ815" s="269"/>
      <c r="AK815" s="269"/>
      <c r="AL815" s="269"/>
      <c r="AM815" s="269"/>
      <c r="AN815" s="269"/>
      <c r="AO815" s="269"/>
      <c r="AP815" s="269"/>
      <c r="AQ815" s="269"/>
      <c r="AR815" s="269"/>
    </row>
    <row r="816">
      <c r="A816" s="410"/>
      <c r="B816" s="410"/>
      <c r="C816" s="410"/>
      <c r="D816" s="410"/>
      <c r="E816" s="410"/>
      <c r="F816" s="410"/>
      <c r="H816" s="269"/>
      <c r="I816" s="269"/>
      <c r="J816" s="269"/>
      <c r="K816" s="269"/>
      <c r="L816" s="269"/>
      <c r="M816" s="269"/>
      <c r="N816" s="269"/>
      <c r="O816" s="269"/>
      <c r="P816" s="269"/>
      <c r="Q816" s="269"/>
      <c r="R816" s="269"/>
      <c r="S816" s="269"/>
      <c r="T816" s="269"/>
      <c r="U816" s="269"/>
      <c r="V816" s="269"/>
      <c r="W816" s="269"/>
      <c r="X816" s="269"/>
      <c r="Y816" s="269"/>
      <c r="Z816" s="269"/>
      <c r="AA816" s="269"/>
      <c r="AB816" s="269"/>
      <c r="AC816" s="269"/>
      <c r="AD816" s="269"/>
      <c r="AE816" s="269"/>
      <c r="AF816" s="269"/>
      <c r="AG816" s="269"/>
      <c r="AH816" s="269"/>
      <c r="AI816" s="269"/>
      <c r="AJ816" s="269"/>
      <c r="AK816" s="269"/>
      <c r="AL816" s="269"/>
      <c r="AM816" s="269"/>
      <c r="AN816" s="269"/>
      <c r="AO816" s="269"/>
      <c r="AP816" s="269"/>
      <c r="AQ816" s="269"/>
      <c r="AR816" s="269"/>
    </row>
    <row r="817">
      <c r="A817" s="410"/>
      <c r="B817" s="410"/>
      <c r="C817" s="410"/>
      <c r="D817" s="410"/>
      <c r="E817" s="410"/>
      <c r="F817" s="410"/>
      <c r="H817" s="269"/>
      <c r="I817" s="269"/>
      <c r="J817" s="269"/>
      <c r="K817" s="269"/>
      <c r="L817" s="269"/>
      <c r="M817" s="269"/>
      <c r="N817" s="269"/>
      <c r="O817" s="269"/>
      <c r="P817" s="269"/>
      <c r="Q817" s="269"/>
      <c r="R817" s="269"/>
      <c r="S817" s="269"/>
      <c r="T817" s="269"/>
      <c r="U817" s="269"/>
      <c r="V817" s="269"/>
      <c r="W817" s="269"/>
      <c r="X817" s="269"/>
      <c r="Y817" s="269"/>
      <c r="Z817" s="269"/>
      <c r="AA817" s="269"/>
      <c r="AB817" s="269"/>
      <c r="AC817" s="269"/>
      <c r="AD817" s="269"/>
      <c r="AE817" s="269"/>
      <c r="AF817" s="269"/>
      <c r="AG817" s="269"/>
      <c r="AH817" s="269"/>
      <c r="AI817" s="269"/>
      <c r="AJ817" s="269"/>
      <c r="AK817" s="269"/>
      <c r="AL817" s="269"/>
      <c r="AM817" s="269"/>
      <c r="AN817" s="269"/>
      <c r="AO817" s="269"/>
      <c r="AP817" s="269"/>
      <c r="AQ817" s="269"/>
      <c r="AR817" s="269"/>
    </row>
    <row r="818">
      <c r="A818" s="410"/>
      <c r="B818" s="410"/>
      <c r="C818" s="410"/>
      <c r="D818" s="410"/>
      <c r="E818" s="410"/>
      <c r="F818" s="410"/>
      <c r="H818" s="269"/>
      <c r="I818" s="269"/>
      <c r="J818" s="269"/>
      <c r="K818" s="269"/>
      <c r="L818" s="269"/>
      <c r="M818" s="269"/>
      <c r="N818" s="269"/>
      <c r="O818" s="269"/>
      <c r="P818" s="269"/>
      <c r="Q818" s="269"/>
      <c r="R818" s="269"/>
      <c r="S818" s="269"/>
      <c r="T818" s="269"/>
      <c r="U818" s="269"/>
      <c r="V818" s="269"/>
      <c r="W818" s="269"/>
      <c r="X818" s="269"/>
      <c r="Y818" s="269"/>
      <c r="Z818" s="269"/>
      <c r="AA818" s="269"/>
      <c r="AB818" s="269"/>
      <c r="AC818" s="269"/>
      <c r="AD818" s="269"/>
      <c r="AE818" s="269"/>
      <c r="AF818" s="269"/>
      <c r="AG818" s="269"/>
      <c r="AH818" s="269"/>
      <c r="AI818" s="269"/>
      <c r="AJ818" s="269"/>
      <c r="AK818" s="269"/>
      <c r="AL818" s="269"/>
      <c r="AM818" s="269"/>
      <c r="AN818" s="269"/>
      <c r="AO818" s="269"/>
      <c r="AP818" s="269"/>
      <c r="AQ818" s="269"/>
      <c r="AR818" s="269"/>
    </row>
    <row r="819">
      <c r="A819" s="410"/>
      <c r="B819" s="410"/>
      <c r="C819" s="410"/>
      <c r="D819" s="410"/>
      <c r="E819" s="410"/>
      <c r="F819" s="410"/>
      <c r="H819" s="269"/>
      <c r="I819" s="269"/>
      <c r="J819" s="269"/>
      <c r="K819" s="269"/>
      <c r="L819" s="269"/>
      <c r="M819" s="269"/>
      <c r="N819" s="269"/>
      <c r="O819" s="269"/>
      <c r="P819" s="269"/>
      <c r="Q819" s="269"/>
      <c r="R819" s="269"/>
      <c r="S819" s="269"/>
      <c r="T819" s="269"/>
      <c r="U819" s="269"/>
      <c r="V819" s="269"/>
      <c r="W819" s="269"/>
      <c r="X819" s="269"/>
      <c r="Y819" s="269"/>
      <c r="Z819" s="269"/>
      <c r="AA819" s="269"/>
      <c r="AB819" s="269"/>
      <c r="AC819" s="269"/>
      <c r="AD819" s="269"/>
      <c r="AE819" s="269"/>
      <c r="AF819" s="269"/>
      <c r="AG819" s="269"/>
      <c r="AH819" s="269"/>
      <c r="AI819" s="269"/>
      <c r="AJ819" s="269"/>
      <c r="AK819" s="269"/>
      <c r="AL819" s="269"/>
      <c r="AM819" s="269"/>
      <c r="AN819" s="269"/>
      <c r="AO819" s="269"/>
      <c r="AP819" s="269"/>
      <c r="AQ819" s="269"/>
      <c r="AR819" s="269"/>
    </row>
    <row r="820">
      <c r="A820" s="410"/>
      <c r="B820" s="410"/>
      <c r="C820" s="410"/>
      <c r="D820" s="410"/>
      <c r="E820" s="410"/>
      <c r="F820" s="410"/>
      <c r="H820" s="269"/>
      <c r="I820" s="269"/>
      <c r="J820" s="269"/>
      <c r="K820" s="269"/>
      <c r="L820" s="269"/>
      <c r="M820" s="269"/>
      <c r="N820" s="269"/>
      <c r="O820" s="269"/>
      <c r="P820" s="269"/>
      <c r="Q820" s="269"/>
      <c r="R820" s="269"/>
      <c r="S820" s="269"/>
      <c r="T820" s="269"/>
      <c r="U820" s="269"/>
      <c r="V820" s="269"/>
      <c r="W820" s="269"/>
      <c r="X820" s="269"/>
      <c r="Y820" s="269"/>
      <c r="Z820" s="269"/>
      <c r="AA820" s="269"/>
      <c r="AB820" s="269"/>
      <c r="AC820" s="269"/>
      <c r="AD820" s="269"/>
      <c r="AE820" s="269"/>
      <c r="AF820" s="269"/>
      <c r="AG820" s="269"/>
      <c r="AH820" s="269"/>
      <c r="AI820" s="269"/>
      <c r="AJ820" s="269"/>
      <c r="AK820" s="269"/>
      <c r="AL820" s="269"/>
      <c r="AM820" s="269"/>
      <c r="AN820" s="269"/>
      <c r="AO820" s="269"/>
      <c r="AP820" s="269"/>
      <c r="AQ820" s="269"/>
      <c r="AR820" s="269"/>
    </row>
    <row r="821">
      <c r="A821" s="410"/>
      <c r="B821" s="410"/>
      <c r="C821" s="410"/>
      <c r="D821" s="410"/>
      <c r="E821" s="410"/>
      <c r="F821" s="410"/>
      <c r="H821" s="269"/>
      <c r="I821" s="269"/>
      <c r="J821" s="269"/>
      <c r="K821" s="269"/>
      <c r="L821" s="269"/>
      <c r="M821" s="269"/>
      <c r="N821" s="269"/>
      <c r="O821" s="269"/>
      <c r="P821" s="269"/>
      <c r="Q821" s="269"/>
      <c r="R821" s="269"/>
      <c r="S821" s="269"/>
      <c r="T821" s="269"/>
      <c r="U821" s="269"/>
      <c r="V821" s="269"/>
      <c r="W821" s="269"/>
      <c r="X821" s="269"/>
      <c r="Y821" s="269"/>
      <c r="Z821" s="269"/>
      <c r="AA821" s="269"/>
      <c r="AB821" s="269"/>
      <c r="AC821" s="269"/>
      <c r="AD821" s="269"/>
      <c r="AE821" s="269"/>
      <c r="AF821" s="269"/>
      <c r="AG821" s="269"/>
      <c r="AH821" s="269"/>
      <c r="AI821" s="269"/>
      <c r="AJ821" s="269"/>
      <c r="AK821" s="269"/>
      <c r="AL821" s="269"/>
      <c r="AM821" s="269"/>
      <c r="AN821" s="269"/>
      <c r="AO821" s="269"/>
      <c r="AP821" s="269"/>
      <c r="AQ821" s="269"/>
      <c r="AR821" s="269"/>
    </row>
    <row r="822">
      <c r="A822" s="410"/>
      <c r="B822" s="410"/>
      <c r="C822" s="410"/>
      <c r="D822" s="410"/>
      <c r="E822" s="410"/>
      <c r="F822" s="410"/>
      <c r="H822" s="269"/>
      <c r="I822" s="269"/>
      <c r="J822" s="269"/>
      <c r="K822" s="269"/>
      <c r="L822" s="269"/>
      <c r="M822" s="269"/>
      <c r="N822" s="269"/>
      <c r="O822" s="269"/>
      <c r="P822" s="269"/>
      <c r="Q822" s="269"/>
      <c r="R822" s="269"/>
      <c r="S822" s="269"/>
      <c r="T822" s="269"/>
      <c r="U822" s="269"/>
      <c r="V822" s="269"/>
      <c r="W822" s="269"/>
      <c r="X822" s="269"/>
      <c r="Y822" s="269"/>
      <c r="Z822" s="269"/>
      <c r="AA822" s="269"/>
      <c r="AB822" s="269"/>
      <c r="AC822" s="269"/>
      <c r="AD822" s="269"/>
      <c r="AE822" s="269"/>
      <c r="AF822" s="269"/>
      <c r="AG822" s="269"/>
      <c r="AH822" s="269"/>
      <c r="AI822" s="269"/>
      <c r="AJ822" s="269"/>
      <c r="AK822" s="269"/>
      <c r="AL822" s="269"/>
      <c r="AM822" s="269"/>
      <c r="AN822" s="269"/>
      <c r="AO822" s="269"/>
      <c r="AP822" s="269"/>
      <c r="AQ822" s="269"/>
      <c r="AR822" s="269"/>
    </row>
    <row r="823">
      <c r="A823" s="410"/>
      <c r="B823" s="410"/>
      <c r="C823" s="410"/>
      <c r="D823" s="410"/>
      <c r="E823" s="410"/>
      <c r="F823" s="410"/>
      <c r="H823" s="269"/>
      <c r="I823" s="269"/>
      <c r="J823" s="269"/>
      <c r="K823" s="269"/>
      <c r="L823" s="269"/>
      <c r="M823" s="269"/>
      <c r="N823" s="269"/>
      <c r="O823" s="269"/>
      <c r="P823" s="269"/>
      <c r="Q823" s="269"/>
      <c r="R823" s="269"/>
      <c r="S823" s="269"/>
      <c r="T823" s="269"/>
      <c r="U823" s="269"/>
      <c r="V823" s="269"/>
      <c r="W823" s="269"/>
      <c r="X823" s="269"/>
      <c r="Y823" s="269"/>
      <c r="Z823" s="269"/>
      <c r="AA823" s="269"/>
      <c r="AB823" s="269"/>
      <c r="AC823" s="269"/>
      <c r="AD823" s="269"/>
      <c r="AE823" s="269"/>
      <c r="AF823" s="269"/>
      <c r="AG823" s="269"/>
      <c r="AH823" s="269"/>
      <c r="AI823" s="269"/>
      <c r="AJ823" s="269"/>
      <c r="AK823" s="269"/>
      <c r="AL823" s="269"/>
      <c r="AM823" s="269"/>
      <c r="AN823" s="269"/>
      <c r="AO823" s="269"/>
      <c r="AP823" s="269"/>
      <c r="AQ823" s="269"/>
      <c r="AR823" s="269"/>
    </row>
    <row r="824">
      <c r="A824" s="410"/>
      <c r="B824" s="410"/>
      <c r="C824" s="410"/>
      <c r="D824" s="410"/>
      <c r="E824" s="410"/>
      <c r="F824" s="410"/>
      <c r="H824" s="269"/>
      <c r="I824" s="269"/>
      <c r="J824" s="269"/>
      <c r="K824" s="269"/>
      <c r="L824" s="269"/>
      <c r="M824" s="269"/>
      <c r="N824" s="269"/>
      <c r="O824" s="269"/>
      <c r="P824" s="269"/>
      <c r="Q824" s="269"/>
      <c r="R824" s="269"/>
      <c r="S824" s="269"/>
      <c r="T824" s="269"/>
      <c r="U824" s="269"/>
      <c r="V824" s="269"/>
      <c r="W824" s="269"/>
      <c r="X824" s="269"/>
      <c r="Y824" s="269"/>
      <c r="Z824" s="269"/>
      <c r="AA824" s="269"/>
      <c r="AB824" s="269"/>
      <c r="AC824" s="269"/>
      <c r="AD824" s="269"/>
      <c r="AE824" s="269"/>
      <c r="AF824" s="269"/>
      <c r="AG824" s="269"/>
      <c r="AH824" s="269"/>
      <c r="AI824" s="269"/>
      <c r="AJ824" s="269"/>
      <c r="AK824" s="269"/>
      <c r="AL824" s="269"/>
      <c r="AM824" s="269"/>
      <c r="AN824" s="269"/>
      <c r="AO824" s="269"/>
      <c r="AP824" s="269"/>
      <c r="AQ824" s="269"/>
      <c r="AR824" s="269"/>
    </row>
    <row r="825">
      <c r="A825" s="410"/>
      <c r="B825" s="410"/>
      <c r="C825" s="410"/>
      <c r="D825" s="410"/>
      <c r="E825" s="410"/>
      <c r="F825" s="410"/>
      <c r="H825" s="269"/>
      <c r="I825" s="269"/>
      <c r="J825" s="269"/>
      <c r="K825" s="269"/>
      <c r="L825" s="269"/>
      <c r="M825" s="269"/>
      <c r="N825" s="269"/>
      <c r="O825" s="269"/>
      <c r="P825" s="269"/>
      <c r="Q825" s="269"/>
      <c r="R825" s="269"/>
      <c r="S825" s="269"/>
      <c r="T825" s="269"/>
      <c r="U825" s="269"/>
      <c r="V825" s="269"/>
      <c r="W825" s="269"/>
      <c r="X825" s="269"/>
      <c r="Y825" s="269"/>
      <c r="Z825" s="269"/>
      <c r="AA825" s="269"/>
      <c r="AB825" s="269"/>
      <c r="AC825" s="269"/>
      <c r="AD825" s="269"/>
      <c r="AE825" s="269"/>
      <c r="AF825" s="269"/>
      <c r="AG825" s="269"/>
      <c r="AH825" s="269"/>
      <c r="AI825" s="269"/>
      <c r="AJ825" s="269"/>
      <c r="AK825" s="269"/>
      <c r="AL825" s="269"/>
      <c r="AM825" s="269"/>
      <c r="AN825" s="269"/>
      <c r="AO825" s="269"/>
      <c r="AP825" s="269"/>
      <c r="AQ825" s="269"/>
      <c r="AR825" s="269"/>
    </row>
    <row r="826">
      <c r="A826" s="410"/>
      <c r="B826" s="410"/>
      <c r="C826" s="410"/>
      <c r="D826" s="410"/>
      <c r="E826" s="410"/>
      <c r="F826" s="410"/>
      <c r="H826" s="269"/>
      <c r="I826" s="269"/>
      <c r="J826" s="269"/>
      <c r="K826" s="269"/>
      <c r="L826" s="269"/>
      <c r="M826" s="269"/>
      <c r="N826" s="269"/>
      <c r="O826" s="269"/>
      <c r="P826" s="269"/>
      <c r="Q826" s="269"/>
      <c r="R826" s="269"/>
      <c r="S826" s="269"/>
      <c r="T826" s="269"/>
      <c r="U826" s="269"/>
      <c r="V826" s="269"/>
      <c r="W826" s="269"/>
      <c r="X826" s="269"/>
      <c r="Y826" s="269"/>
      <c r="Z826" s="269"/>
      <c r="AA826" s="269"/>
      <c r="AB826" s="269"/>
      <c r="AC826" s="269"/>
      <c r="AD826" s="269"/>
      <c r="AE826" s="269"/>
      <c r="AF826" s="269"/>
      <c r="AG826" s="269"/>
      <c r="AH826" s="269"/>
      <c r="AI826" s="269"/>
      <c r="AJ826" s="269"/>
      <c r="AK826" s="269"/>
      <c r="AL826" s="269"/>
      <c r="AM826" s="269"/>
      <c r="AN826" s="269"/>
      <c r="AO826" s="269"/>
      <c r="AP826" s="269"/>
      <c r="AQ826" s="269"/>
      <c r="AR826" s="269"/>
    </row>
    <row r="827">
      <c r="A827" s="410"/>
      <c r="B827" s="410"/>
      <c r="C827" s="410"/>
      <c r="D827" s="410"/>
      <c r="E827" s="410"/>
      <c r="F827" s="410"/>
      <c r="H827" s="269"/>
      <c r="I827" s="269"/>
      <c r="J827" s="269"/>
      <c r="K827" s="269"/>
      <c r="L827" s="269"/>
      <c r="M827" s="269"/>
      <c r="N827" s="269"/>
      <c r="O827" s="269"/>
      <c r="P827" s="269"/>
      <c r="Q827" s="269"/>
      <c r="R827" s="269"/>
      <c r="S827" s="269"/>
      <c r="T827" s="269"/>
      <c r="U827" s="269"/>
      <c r="V827" s="269"/>
      <c r="W827" s="269"/>
      <c r="X827" s="269"/>
      <c r="Y827" s="269"/>
      <c r="Z827" s="269"/>
      <c r="AA827" s="269"/>
      <c r="AB827" s="269"/>
      <c r="AC827" s="269"/>
      <c r="AD827" s="269"/>
      <c r="AE827" s="269"/>
      <c r="AF827" s="269"/>
      <c r="AG827" s="269"/>
      <c r="AH827" s="269"/>
      <c r="AI827" s="269"/>
      <c r="AJ827" s="269"/>
      <c r="AK827" s="269"/>
      <c r="AL827" s="269"/>
      <c r="AM827" s="269"/>
      <c r="AN827" s="269"/>
      <c r="AO827" s="269"/>
      <c r="AP827" s="269"/>
      <c r="AQ827" s="269"/>
      <c r="AR827" s="269"/>
    </row>
    <row r="828">
      <c r="A828" s="410"/>
      <c r="B828" s="410"/>
      <c r="C828" s="410"/>
      <c r="D828" s="410"/>
      <c r="E828" s="410"/>
      <c r="F828" s="410"/>
      <c r="H828" s="269"/>
      <c r="I828" s="269"/>
      <c r="J828" s="269"/>
      <c r="K828" s="269"/>
      <c r="L828" s="269"/>
      <c r="M828" s="269"/>
      <c r="N828" s="269"/>
      <c r="O828" s="269"/>
      <c r="P828" s="269"/>
      <c r="Q828" s="269"/>
      <c r="R828" s="269"/>
      <c r="S828" s="269"/>
      <c r="T828" s="269"/>
      <c r="U828" s="269"/>
      <c r="V828" s="269"/>
      <c r="W828" s="269"/>
      <c r="X828" s="269"/>
      <c r="Y828" s="269"/>
      <c r="Z828" s="269"/>
      <c r="AA828" s="269"/>
      <c r="AB828" s="269"/>
      <c r="AC828" s="269"/>
      <c r="AD828" s="269"/>
      <c r="AE828" s="269"/>
      <c r="AF828" s="269"/>
      <c r="AG828" s="269"/>
      <c r="AH828" s="269"/>
      <c r="AI828" s="269"/>
      <c r="AJ828" s="269"/>
      <c r="AK828" s="269"/>
      <c r="AL828" s="269"/>
      <c r="AM828" s="269"/>
      <c r="AN828" s="269"/>
      <c r="AO828" s="269"/>
      <c r="AP828" s="269"/>
      <c r="AQ828" s="269"/>
      <c r="AR828" s="269"/>
    </row>
    <row r="829">
      <c r="A829" s="410"/>
      <c r="B829" s="410"/>
      <c r="C829" s="410"/>
      <c r="D829" s="410"/>
      <c r="E829" s="410"/>
      <c r="F829" s="410"/>
      <c r="H829" s="269"/>
      <c r="I829" s="269"/>
      <c r="J829" s="269"/>
      <c r="K829" s="269"/>
      <c r="L829" s="269"/>
      <c r="M829" s="269"/>
      <c r="N829" s="269"/>
      <c r="O829" s="269"/>
      <c r="P829" s="269"/>
      <c r="Q829" s="269"/>
      <c r="R829" s="269"/>
      <c r="S829" s="269"/>
      <c r="T829" s="269"/>
      <c r="U829" s="269"/>
      <c r="V829" s="269"/>
      <c r="W829" s="269"/>
      <c r="X829" s="269"/>
      <c r="Y829" s="269"/>
      <c r="Z829" s="269"/>
      <c r="AA829" s="269"/>
      <c r="AB829" s="269"/>
      <c r="AC829" s="269"/>
      <c r="AD829" s="269"/>
      <c r="AE829" s="269"/>
      <c r="AF829" s="269"/>
      <c r="AG829" s="269"/>
      <c r="AH829" s="269"/>
      <c r="AI829" s="269"/>
      <c r="AJ829" s="269"/>
      <c r="AK829" s="269"/>
      <c r="AL829" s="269"/>
      <c r="AM829" s="269"/>
      <c r="AN829" s="269"/>
      <c r="AO829" s="269"/>
      <c r="AP829" s="269"/>
      <c r="AQ829" s="269"/>
      <c r="AR829" s="269"/>
    </row>
    <row r="830">
      <c r="A830" s="410"/>
      <c r="B830" s="410"/>
      <c r="C830" s="410"/>
      <c r="D830" s="410"/>
      <c r="E830" s="410"/>
      <c r="F830" s="410"/>
      <c r="H830" s="269"/>
      <c r="I830" s="269"/>
      <c r="J830" s="269"/>
      <c r="K830" s="269"/>
      <c r="L830" s="269"/>
      <c r="M830" s="269"/>
      <c r="N830" s="269"/>
      <c r="O830" s="269"/>
      <c r="P830" s="269"/>
      <c r="Q830" s="269"/>
      <c r="R830" s="269"/>
      <c r="S830" s="269"/>
      <c r="T830" s="269"/>
      <c r="U830" s="269"/>
      <c r="V830" s="269"/>
      <c r="W830" s="269"/>
      <c r="X830" s="269"/>
      <c r="Y830" s="269"/>
      <c r="Z830" s="269"/>
      <c r="AA830" s="269"/>
      <c r="AB830" s="269"/>
      <c r="AC830" s="269"/>
      <c r="AD830" s="269"/>
      <c r="AE830" s="269"/>
      <c r="AF830" s="269"/>
      <c r="AG830" s="269"/>
      <c r="AH830" s="269"/>
      <c r="AI830" s="269"/>
      <c r="AJ830" s="269"/>
      <c r="AK830" s="269"/>
      <c r="AL830" s="269"/>
      <c r="AM830" s="269"/>
      <c r="AN830" s="269"/>
      <c r="AO830" s="269"/>
      <c r="AP830" s="269"/>
      <c r="AQ830" s="269"/>
      <c r="AR830" s="269"/>
    </row>
    <row r="831">
      <c r="A831" s="410"/>
      <c r="B831" s="410"/>
      <c r="C831" s="410"/>
      <c r="D831" s="410"/>
      <c r="E831" s="410"/>
      <c r="F831" s="410"/>
      <c r="H831" s="269"/>
      <c r="I831" s="269"/>
      <c r="J831" s="269"/>
      <c r="K831" s="269"/>
      <c r="L831" s="269"/>
      <c r="M831" s="269"/>
      <c r="N831" s="269"/>
      <c r="O831" s="269"/>
      <c r="P831" s="269"/>
      <c r="Q831" s="269"/>
      <c r="R831" s="269"/>
      <c r="S831" s="269"/>
      <c r="T831" s="269"/>
      <c r="U831" s="269"/>
      <c r="V831" s="269"/>
      <c r="W831" s="269"/>
      <c r="X831" s="269"/>
      <c r="Y831" s="269"/>
      <c r="Z831" s="269"/>
      <c r="AA831" s="269"/>
      <c r="AB831" s="269"/>
      <c r="AC831" s="269"/>
      <c r="AD831" s="269"/>
      <c r="AE831" s="269"/>
      <c r="AF831" s="269"/>
      <c r="AG831" s="269"/>
      <c r="AH831" s="269"/>
      <c r="AI831" s="269"/>
      <c r="AJ831" s="269"/>
      <c r="AK831" s="269"/>
      <c r="AL831" s="269"/>
      <c r="AM831" s="269"/>
      <c r="AN831" s="269"/>
      <c r="AO831" s="269"/>
      <c r="AP831" s="269"/>
      <c r="AQ831" s="269"/>
      <c r="AR831" s="269"/>
    </row>
    <row r="832">
      <c r="A832" s="410"/>
      <c r="B832" s="410"/>
      <c r="C832" s="410"/>
      <c r="D832" s="410"/>
      <c r="E832" s="410"/>
      <c r="F832" s="410"/>
      <c r="H832" s="269"/>
      <c r="I832" s="269"/>
      <c r="J832" s="269"/>
      <c r="K832" s="269"/>
      <c r="L832" s="269"/>
      <c r="M832" s="269"/>
      <c r="N832" s="269"/>
      <c r="O832" s="269"/>
      <c r="P832" s="269"/>
      <c r="Q832" s="269"/>
      <c r="R832" s="269"/>
      <c r="S832" s="269"/>
      <c r="T832" s="269"/>
      <c r="U832" s="269"/>
      <c r="V832" s="269"/>
      <c r="W832" s="269"/>
      <c r="X832" s="269"/>
      <c r="Y832" s="269"/>
      <c r="Z832" s="269"/>
      <c r="AA832" s="269"/>
      <c r="AB832" s="269"/>
      <c r="AC832" s="269"/>
      <c r="AD832" s="269"/>
      <c r="AE832" s="269"/>
      <c r="AF832" s="269"/>
      <c r="AG832" s="269"/>
      <c r="AH832" s="269"/>
      <c r="AI832" s="269"/>
      <c r="AJ832" s="269"/>
      <c r="AK832" s="269"/>
      <c r="AL832" s="269"/>
      <c r="AM832" s="269"/>
      <c r="AN832" s="269"/>
      <c r="AO832" s="269"/>
      <c r="AP832" s="269"/>
      <c r="AQ832" s="269"/>
      <c r="AR832" s="269"/>
    </row>
    <row r="833">
      <c r="A833" s="410"/>
      <c r="B833" s="410"/>
      <c r="C833" s="410"/>
      <c r="D833" s="410"/>
      <c r="E833" s="410"/>
      <c r="F833" s="410"/>
      <c r="H833" s="269"/>
      <c r="I833" s="269"/>
      <c r="J833" s="269"/>
      <c r="K833" s="269"/>
      <c r="L833" s="269"/>
      <c r="M833" s="269"/>
      <c r="N833" s="269"/>
      <c r="O833" s="269"/>
      <c r="P833" s="269"/>
      <c r="Q833" s="269"/>
      <c r="R833" s="269"/>
      <c r="S833" s="269"/>
      <c r="T833" s="269"/>
      <c r="U833" s="269"/>
      <c r="V833" s="269"/>
      <c r="W833" s="269"/>
      <c r="X833" s="269"/>
      <c r="Y833" s="269"/>
      <c r="Z833" s="269"/>
      <c r="AA833" s="269"/>
      <c r="AB833" s="269"/>
      <c r="AC833" s="269"/>
      <c r="AD833" s="269"/>
      <c r="AE833" s="269"/>
      <c r="AF833" s="269"/>
      <c r="AG833" s="269"/>
      <c r="AH833" s="269"/>
      <c r="AI833" s="269"/>
      <c r="AJ833" s="269"/>
      <c r="AK833" s="269"/>
      <c r="AL833" s="269"/>
      <c r="AM833" s="269"/>
      <c r="AN833" s="269"/>
      <c r="AO833" s="269"/>
      <c r="AP833" s="269"/>
      <c r="AQ833" s="269"/>
      <c r="AR833" s="269"/>
    </row>
    <row r="834">
      <c r="A834" s="410"/>
      <c r="B834" s="410"/>
      <c r="C834" s="410"/>
      <c r="D834" s="410"/>
      <c r="E834" s="410"/>
      <c r="F834" s="410"/>
      <c r="H834" s="269"/>
      <c r="I834" s="269"/>
      <c r="J834" s="269"/>
      <c r="K834" s="269"/>
      <c r="L834" s="269"/>
      <c r="M834" s="269"/>
      <c r="N834" s="269"/>
      <c r="O834" s="269"/>
      <c r="P834" s="269"/>
      <c r="Q834" s="269"/>
      <c r="R834" s="269"/>
      <c r="S834" s="269"/>
      <c r="T834" s="269"/>
      <c r="U834" s="269"/>
      <c r="V834" s="269"/>
      <c r="W834" s="269"/>
      <c r="X834" s="269"/>
      <c r="Y834" s="269"/>
      <c r="Z834" s="269"/>
      <c r="AA834" s="269"/>
      <c r="AB834" s="269"/>
      <c r="AC834" s="269"/>
      <c r="AD834" s="269"/>
      <c r="AE834" s="269"/>
      <c r="AF834" s="269"/>
      <c r="AG834" s="269"/>
      <c r="AH834" s="269"/>
      <c r="AI834" s="269"/>
      <c r="AJ834" s="269"/>
      <c r="AK834" s="269"/>
      <c r="AL834" s="269"/>
      <c r="AM834" s="269"/>
      <c r="AN834" s="269"/>
      <c r="AO834" s="269"/>
      <c r="AP834" s="269"/>
      <c r="AQ834" s="269"/>
      <c r="AR834" s="269"/>
    </row>
    <row r="835">
      <c r="A835" s="410"/>
      <c r="B835" s="410"/>
      <c r="C835" s="410"/>
      <c r="D835" s="410"/>
      <c r="E835" s="410"/>
      <c r="F835" s="410"/>
      <c r="H835" s="269"/>
      <c r="I835" s="269"/>
      <c r="J835" s="269"/>
      <c r="K835" s="269"/>
      <c r="L835" s="269"/>
      <c r="M835" s="269"/>
      <c r="N835" s="269"/>
      <c r="O835" s="269"/>
      <c r="P835" s="269"/>
      <c r="Q835" s="269"/>
      <c r="R835" s="269"/>
      <c r="S835" s="269"/>
      <c r="T835" s="269"/>
      <c r="U835" s="269"/>
      <c r="V835" s="269"/>
      <c r="W835" s="269"/>
      <c r="X835" s="269"/>
      <c r="Y835" s="269"/>
      <c r="Z835" s="269"/>
      <c r="AA835" s="269"/>
      <c r="AB835" s="269"/>
      <c r="AC835" s="269"/>
      <c r="AD835" s="269"/>
      <c r="AE835" s="269"/>
      <c r="AF835" s="269"/>
      <c r="AG835" s="269"/>
      <c r="AH835" s="269"/>
      <c r="AI835" s="269"/>
      <c r="AJ835" s="269"/>
      <c r="AK835" s="269"/>
      <c r="AL835" s="269"/>
      <c r="AM835" s="269"/>
      <c r="AN835" s="269"/>
      <c r="AO835" s="269"/>
      <c r="AP835" s="269"/>
      <c r="AQ835" s="269"/>
      <c r="AR835" s="269"/>
    </row>
    <row r="836">
      <c r="A836" s="410"/>
      <c r="B836" s="410"/>
      <c r="C836" s="410"/>
      <c r="D836" s="410"/>
      <c r="E836" s="410"/>
      <c r="F836" s="410"/>
      <c r="H836" s="269"/>
      <c r="I836" s="269"/>
      <c r="J836" s="269"/>
      <c r="K836" s="269"/>
      <c r="L836" s="269"/>
      <c r="M836" s="269"/>
      <c r="N836" s="269"/>
      <c r="O836" s="269"/>
      <c r="P836" s="269"/>
      <c r="Q836" s="269"/>
      <c r="R836" s="269"/>
      <c r="S836" s="269"/>
      <c r="T836" s="269"/>
      <c r="U836" s="269"/>
      <c r="V836" s="269"/>
      <c r="W836" s="269"/>
      <c r="X836" s="269"/>
      <c r="Y836" s="269"/>
      <c r="Z836" s="269"/>
      <c r="AA836" s="269"/>
      <c r="AB836" s="269"/>
      <c r="AC836" s="269"/>
      <c r="AD836" s="269"/>
      <c r="AE836" s="269"/>
      <c r="AF836" s="269"/>
      <c r="AG836" s="269"/>
      <c r="AH836" s="269"/>
      <c r="AI836" s="269"/>
      <c r="AJ836" s="269"/>
      <c r="AK836" s="269"/>
      <c r="AL836" s="269"/>
      <c r="AM836" s="269"/>
      <c r="AN836" s="269"/>
      <c r="AO836" s="269"/>
      <c r="AP836" s="269"/>
      <c r="AQ836" s="269"/>
      <c r="AR836" s="269"/>
    </row>
    <row r="837">
      <c r="A837" s="410"/>
      <c r="B837" s="410"/>
      <c r="C837" s="410"/>
      <c r="D837" s="410"/>
      <c r="E837" s="410"/>
      <c r="F837" s="410"/>
      <c r="H837" s="269"/>
      <c r="I837" s="269"/>
      <c r="J837" s="269"/>
      <c r="K837" s="269"/>
      <c r="L837" s="269"/>
      <c r="M837" s="269"/>
      <c r="N837" s="269"/>
      <c r="O837" s="269"/>
      <c r="P837" s="269"/>
      <c r="Q837" s="269"/>
      <c r="R837" s="269"/>
      <c r="S837" s="269"/>
      <c r="T837" s="269"/>
      <c r="U837" s="269"/>
      <c r="V837" s="269"/>
      <c r="W837" s="269"/>
      <c r="X837" s="269"/>
      <c r="Y837" s="269"/>
      <c r="Z837" s="269"/>
      <c r="AA837" s="269"/>
      <c r="AB837" s="269"/>
      <c r="AC837" s="269"/>
      <c r="AD837" s="269"/>
      <c r="AE837" s="269"/>
      <c r="AF837" s="269"/>
      <c r="AG837" s="269"/>
      <c r="AH837" s="269"/>
      <c r="AI837" s="269"/>
      <c r="AJ837" s="269"/>
      <c r="AK837" s="269"/>
      <c r="AL837" s="269"/>
      <c r="AM837" s="269"/>
      <c r="AN837" s="269"/>
      <c r="AO837" s="269"/>
      <c r="AP837" s="269"/>
      <c r="AQ837" s="269"/>
      <c r="AR837" s="269"/>
    </row>
    <row r="838">
      <c r="A838" s="410"/>
      <c r="B838" s="410"/>
      <c r="C838" s="410"/>
      <c r="D838" s="410"/>
      <c r="E838" s="410"/>
      <c r="F838" s="410"/>
      <c r="H838" s="269"/>
      <c r="I838" s="269"/>
      <c r="J838" s="269"/>
      <c r="K838" s="269"/>
      <c r="L838" s="269"/>
      <c r="M838" s="269"/>
      <c r="N838" s="269"/>
      <c r="O838" s="269"/>
      <c r="P838" s="269"/>
      <c r="Q838" s="269"/>
      <c r="R838" s="269"/>
      <c r="S838" s="269"/>
      <c r="T838" s="269"/>
      <c r="U838" s="269"/>
      <c r="V838" s="269"/>
      <c r="W838" s="269"/>
      <c r="X838" s="269"/>
      <c r="Y838" s="269"/>
      <c r="Z838" s="269"/>
      <c r="AA838" s="269"/>
      <c r="AB838" s="269"/>
      <c r="AC838" s="269"/>
      <c r="AD838" s="269"/>
      <c r="AE838" s="269"/>
      <c r="AF838" s="269"/>
      <c r="AG838" s="269"/>
      <c r="AH838" s="269"/>
      <c r="AI838" s="269"/>
      <c r="AJ838" s="269"/>
      <c r="AK838" s="269"/>
      <c r="AL838" s="269"/>
      <c r="AM838" s="269"/>
      <c r="AN838" s="269"/>
      <c r="AO838" s="269"/>
      <c r="AP838" s="269"/>
      <c r="AQ838" s="269"/>
      <c r="AR838" s="269"/>
    </row>
    <row r="839">
      <c r="A839" s="410"/>
      <c r="B839" s="410"/>
      <c r="C839" s="410"/>
      <c r="D839" s="410"/>
      <c r="E839" s="410"/>
      <c r="F839" s="410"/>
      <c r="H839" s="269"/>
      <c r="I839" s="269"/>
      <c r="J839" s="269"/>
      <c r="K839" s="269"/>
      <c r="L839" s="269"/>
      <c r="M839" s="269"/>
      <c r="N839" s="269"/>
      <c r="O839" s="269"/>
      <c r="P839" s="269"/>
      <c r="Q839" s="269"/>
      <c r="R839" s="269"/>
      <c r="S839" s="269"/>
      <c r="T839" s="269"/>
      <c r="U839" s="269"/>
      <c r="V839" s="269"/>
      <c r="W839" s="269"/>
      <c r="X839" s="269"/>
      <c r="Y839" s="269"/>
      <c r="Z839" s="269"/>
      <c r="AA839" s="269"/>
      <c r="AB839" s="269"/>
      <c r="AC839" s="269"/>
      <c r="AD839" s="269"/>
      <c r="AE839" s="269"/>
      <c r="AF839" s="269"/>
      <c r="AG839" s="269"/>
      <c r="AH839" s="269"/>
      <c r="AI839" s="269"/>
      <c r="AJ839" s="269"/>
      <c r="AK839" s="269"/>
      <c r="AL839" s="269"/>
      <c r="AM839" s="269"/>
      <c r="AN839" s="269"/>
      <c r="AO839" s="269"/>
      <c r="AP839" s="269"/>
      <c r="AQ839" s="269"/>
      <c r="AR839" s="269"/>
    </row>
    <row r="840">
      <c r="A840" s="410"/>
      <c r="B840" s="410"/>
      <c r="C840" s="410"/>
      <c r="D840" s="410"/>
      <c r="E840" s="410"/>
      <c r="F840" s="410"/>
      <c r="H840" s="269"/>
      <c r="I840" s="269"/>
      <c r="J840" s="269"/>
      <c r="K840" s="269"/>
      <c r="L840" s="269"/>
      <c r="M840" s="269"/>
      <c r="N840" s="269"/>
      <c r="O840" s="269"/>
      <c r="P840" s="269"/>
      <c r="Q840" s="269"/>
      <c r="R840" s="269"/>
      <c r="S840" s="269"/>
      <c r="T840" s="269"/>
      <c r="U840" s="269"/>
      <c r="V840" s="269"/>
      <c r="W840" s="269"/>
      <c r="X840" s="269"/>
      <c r="Y840" s="269"/>
      <c r="Z840" s="269"/>
      <c r="AA840" s="269"/>
      <c r="AB840" s="269"/>
      <c r="AC840" s="269"/>
      <c r="AD840" s="269"/>
      <c r="AE840" s="269"/>
      <c r="AF840" s="269"/>
      <c r="AG840" s="269"/>
      <c r="AH840" s="269"/>
      <c r="AI840" s="269"/>
      <c r="AJ840" s="269"/>
      <c r="AK840" s="269"/>
      <c r="AL840" s="269"/>
      <c r="AM840" s="269"/>
      <c r="AN840" s="269"/>
      <c r="AO840" s="269"/>
      <c r="AP840" s="269"/>
      <c r="AQ840" s="269"/>
      <c r="AR840" s="269"/>
    </row>
    <row r="841">
      <c r="A841" s="410"/>
      <c r="B841" s="410"/>
      <c r="C841" s="410"/>
      <c r="D841" s="410"/>
      <c r="E841" s="410"/>
      <c r="F841" s="410"/>
      <c r="H841" s="269"/>
      <c r="I841" s="269"/>
      <c r="J841" s="269"/>
      <c r="K841" s="269"/>
      <c r="L841" s="269"/>
      <c r="M841" s="269"/>
      <c r="N841" s="269"/>
      <c r="O841" s="269"/>
      <c r="P841" s="269"/>
      <c r="Q841" s="269"/>
      <c r="R841" s="269"/>
      <c r="S841" s="269"/>
      <c r="T841" s="269"/>
      <c r="U841" s="269"/>
      <c r="V841" s="269"/>
      <c r="W841" s="269"/>
      <c r="X841" s="269"/>
      <c r="Y841" s="269"/>
      <c r="Z841" s="269"/>
      <c r="AA841" s="269"/>
      <c r="AB841" s="269"/>
      <c r="AC841" s="269"/>
      <c r="AD841" s="269"/>
      <c r="AE841" s="269"/>
      <c r="AF841" s="269"/>
      <c r="AG841" s="269"/>
      <c r="AH841" s="269"/>
      <c r="AI841" s="269"/>
      <c r="AJ841" s="269"/>
      <c r="AK841" s="269"/>
      <c r="AL841" s="269"/>
      <c r="AM841" s="269"/>
      <c r="AN841" s="269"/>
      <c r="AO841" s="269"/>
      <c r="AP841" s="269"/>
      <c r="AQ841" s="269"/>
      <c r="AR841" s="269"/>
    </row>
    <row r="842">
      <c r="A842" s="410"/>
      <c r="B842" s="410"/>
      <c r="C842" s="410"/>
      <c r="D842" s="410"/>
      <c r="E842" s="410"/>
      <c r="F842" s="410"/>
      <c r="H842" s="269"/>
      <c r="I842" s="269"/>
      <c r="J842" s="269"/>
      <c r="K842" s="269"/>
      <c r="L842" s="269"/>
      <c r="M842" s="269"/>
      <c r="N842" s="269"/>
      <c r="O842" s="269"/>
      <c r="P842" s="269"/>
      <c r="Q842" s="269"/>
      <c r="R842" s="269"/>
      <c r="S842" s="269"/>
      <c r="T842" s="269"/>
      <c r="U842" s="269"/>
      <c r="V842" s="269"/>
      <c r="W842" s="269"/>
      <c r="X842" s="269"/>
      <c r="Y842" s="269"/>
      <c r="Z842" s="269"/>
      <c r="AA842" s="269"/>
      <c r="AB842" s="269"/>
      <c r="AC842" s="269"/>
      <c r="AD842" s="269"/>
      <c r="AE842" s="269"/>
      <c r="AF842" s="269"/>
      <c r="AG842" s="269"/>
      <c r="AH842" s="269"/>
      <c r="AI842" s="269"/>
      <c r="AJ842" s="269"/>
      <c r="AK842" s="269"/>
      <c r="AL842" s="269"/>
      <c r="AM842" s="269"/>
      <c r="AN842" s="269"/>
      <c r="AO842" s="269"/>
      <c r="AP842" s="269"/>
      <c r="AQ842" s="269"/>
      <c r="AR842" s="269"/>
    </row>
    <row r="843">
      <c r="A843" s="410"/>
      <c r="B843" s="410"/>
      <c r="C843" s="410"/>
      <c r="D843" s="410"/>
      <c r="E843" s="410"/>
      <c r="F843" s="410"/>
      <c r="H843" s="269"/>
      <c r="I843" s="269"/>
      <c r="J843" s="269"/>
      <c r="K843" s="269"/>
      <c r="L843" s="269"/>
      <c r="M843" s="269"/>
      <c r="N843" s="269"/>
      <c r="O843" s="269"/>
      <c r="P843" s="269"/>
      <c r="Q843" s="269"/>
      <c r="R843" s="269"/>
      <c r="S843" s="269"/>
      <c r="T843" s="269"/>
      <c r="U843" s="269"/>
      <c r="V843" s="269"/>
      <c r="W843" s="269"/>
      <c r="X843" s="269"/>
      <c r="Y843" s="269"/>
      <c r="Z843" s="269"/>
      <c r="AA843" s="269"/>
      <c r="AB843" s="269"/>
      <c r="AC843" s="269"/>
      <c r="AD843" s="269"/>
      <c r="AE843" s="269"/>
      <c r="AF843" s="269"/>
      <c r="AG843" s="269"/>
      <c r="AH843" s="269"/>
      <c r="AI843" s="269"/>
      <c r="AJ843" s="269"/>
      <c r="AK843" s="269"/>
      <c r="AL843" s="269"/>
      <c r="AM843" s="269"/>
      <c r="AN843" s="269"/>
      <c r="AO843" s="269"/>
      <c r="AP843" s="269"/>
      <c r="AQ843" s="269"/>
      <c r="AR843" s="269"/>
    </row>
    <row r="844">
      <c r="A844" s="410"/>
      <c r="B844" s="410"/>
      <c r="C844" s="410"/>
      <c r="D844" s="410"/>
      <c r="E844" s="410"/>
      <c r="F844" s="410"/>
      <c r="H844" s="269"/>
      <c r="I844" s="269"/>
      <c r="J844" s="269"/>
      <c r="K844" s="269"/>
      <c r="L844" s="269"/>
      <c r="M844" s="269"/>
      <c r="N844" s="269"/>
      <c r="O844" s="269"/>
      <c r="P844" s="269"/>
      <c r="Q844" s="269"/>
      <c r="R844" s="269"/>
      <c r="S844" s="269"/>
      <c r="T844" s="269"/>
      <c r="U844" s="269"/>
      <c r="V844" s="269"/>
      <c r="W844" s="269"/>
      <c r="X844" s="269"/>
      <c r="Y844" s="269"/>
      <c r="Z844" s="269"/>
      <c r="AA844" s="269"/>
      <c r="AB844" s="269"/>
      <c r="AC844" s="269"/>
      <c r="AD844" s="269"/>
      <c r="AE844" s="269"/>
      <c r="AF844" s="269"/>
      <c r="AG844" s="269"/>
      <c r="AH844" s="269"/>
      <c r="AI844" s="269"/>
      <c r="AJ844" s="269"/>
      <c r="AK844" s="269"/>
      <c r="AL844" s="269"/>
      <c r="AM844" s="269"/>
      <c r="AN844" s="269"/>
      <c r="AO844" s="269"/>
      <c r="AP844" s="269"/>
      <c r="AQ844" s="269"/>
      <c r="AR844" s="269"/>
    </row>
    <row r="845">
      <c r="A845" s="410"/>
      <c r="B845" s="410"/>
      <c r="C845" s="410"/>
      <c r="D845" s="410"/>
      <c r="E845" s="410"/>
      <c r="F845" s="410"/>
      <c r="H845" s="269"/>
      <c r="I845" s="269"/>
      <c r="J845" s="269"/>
      <c r="K845" s="269"/>
      <c r="L845" s="269"/>
      <c r="M845" s="269"/>
      <c r="N845" s="269"/>
      <c r="O845" s="269"/>
      <c r="P845" s="269"/>
      <c r="Q845" s="269"/>
      <c r="R845" s="269"/>
      <c r="S845" s="269"/>
      <c r="T845" s="269"/>
      <c r="U845" s="269"/>
      <c r="V845" s="269"/>
      <c r="W845" s="269"/>
      <c r="X845" s="269"/>
      <c r="Y845" s="269"/>
      <c r="Z845" s="269"/>
      <c r="AA845" s="269"/>
      <c r="AB845" s="269"/>
      <c r="AC845" s="269"/>
      <c r="AD845" s="269"/>
      <c r="AE845" s="269"/>
      <c r="AF845" s="269"/>
      <c r="AG845" s="269"/>
      <c r="AH845" s="269"/>
      <c r="AI845" s="269"/>
      <c r="AJ845" s="269"/>
      <c r="AK845" s="269"/>
      <c r="AL845" s="269"/>
      <c r="AM845" s="269"/>
      <c r="AN845" s="269"/>
      <c r="AO845" s="269"/>
      <c r="AP845" s="269"/>
      <c r="AQ845" s="269"/>
      <c r="AR845" s="269"/>
    </row>
    <row r="846">
      <c r="A846" s="410"/>
      <c r="B846" s="410"/>
      <c r="C846" s="410"/>
      <c r="D846" s="410"/>
      <c r="E846" s="410"/>
      <c r="F846" s="410"/>
      <c r="H846" s="269"/>
      <c r="I846" s="269"/>
      <c r="J846" s="269"/>
      <c r="K846" s="269"/>
      <c r="L846" s="269"/>
      <c r="M846" s="269"/>
      <c r="N846" s="269"/>
      <c r="O846" s="269"/>
      <c r="P846" s="269"/>
      <c r="Q846" s="269"/>
      <c r="R846" s="269"/>
      <c r="S846" s="269"/>
      <c r="T846" s="269"/>
      <c r="U846" s="269"/>
      <c r="V846" s="269"/>
      <c r="W846" s="269"/>
      <c r="X846" s="269"/>
      <c r="Y846" s="269"/>
      <c r="Z846" s="269"/>
      <c r="AA846" s="269"/>
      <c r="AB846" s="269"/>
      <c r="AC846" s="269"/>
      <c r="AD846" s="269"/>
      <c r="AE846" s="269"/>
      <c r="AF846" s="269"/>
      <c r="AG846" s="269"/>
      <c r="AH846" s="269"/>
      <c r="AI846" s="269"/>
      <c r="AJ846" s="269"/>
      <c r="AK846" s="269"/>
      <c r="AL846" s="269"/>
      <c r="AM846" s="269"/>
      <c r="AN846" s="269"/>
      <c r="AO846" s="269"/>
      <c r="AP846" s="269"/>
      <c r="AQ846" s="269"/>
      <c r="AR846" s="269"/>
    </row>
    <row r="847">
      <c r="A847" s="410"/>
      <c r="B847" s="410"/>
      <c r="C847" s="410"/>
      <c r="D847" s="410"/>
      <c r="E847" s="410"/>
      <c r="F847" s="410"/>
      <c r="H847" s="269"/>
      <c r="I847" s="269"/>
      <c r="J847" s="269"/>
      <c r="K847" s="269"/>
      <c r="L847" s="269"/>
      <c r="M847" s="269"/>
      <c r="N847" s="269"/>
      <c r="O847" s="269"/>
      <c r="P847" s="269"/>
      <c r="Q847" s="269"/>
      <c r="R847" s="269"/>
      <c r="S847" s="269"/>
      <c r="T847" s="269"/>
      <c r="U847" s="269"/>
      <c r="V847" s="269"/>
      <c r="W847" s="269"/>
      <c r="X847" s="269"/>
      <c r="Y847" s="269"/>
      <c r="Z847" s="269"/>
      <c r="AA847" s="269"/>
      <c r="AB847" s="269"/>
      <c r="AC847" s="269"/>
      <c r="AD847" s="269"/>
      <c r="AE847" s="269"/>
      <c r="AF847" s="269"/>
      <c r="AG847" s="269"/>
      <c r="AH847" s="269"/>
      <c r="AI847" s="269"/>
      <c r="AJ847" s="269"/>
      <c r="AK847" s="269"/>
      <c r="AL847" s="269"/>
      <c r="AM847" s="269"/>
      <c r="AN847" s="269"/>
      <c r="AO847" s="269"/>
      <c r="AP847" s="269"/>
      <c r="AQ847" s="269"/>
      <c r="AR847" s="269"/>
    </row>
    <row r="848">
      <c r="A848" s="410"/>
      <c r="B848" s="410"/>
      <c r="C848" s="410"/>
      <c r="D848" s="410"/>
      <c r="E848" s="410"/>
      <c r="F848" s="410"/>
      <c r="H848" s="269"/>
      <c r="I848" s="269"/>
      <c r="J848" s="269"/>
      <c r="K848" s="269"/>
      <c r="L848" s="269"/>
      <c r="M848" s="269"/>
      <c r="N848" s="269"/>
      <c r="O848" s="269"/>
      <c r="P848" s="269"/>
      <c r="Q848" s="269"/>
      <c r="R848" s="269"/>
      <c r="S848" s="269"/>
      <c r="T848" s="269"/>
      <c r="U848" s="269"/>
      <c r="V848" s="269"/>
      <c r="W848" s="269"/>
      <c r="X848" s="269"/>
      <c r="Y848" s="269"/>
      <c r="Z848" s="269"/>
      <c r="AA848" s="269"/>
      <c r="AB848" s="269"/>
      <c r="AC848" s="269"/>
      <c r="AD848" s="269"/>
      <c r="AE848" s="269"/>
      <c r="AF848" s="269"/>
      <c r="AG848" s="269"/>
      <c r="AH848" s="269"/>
      <c r="AI848" s="269"/>
      <c r="AJ848" s="269"/>
      <c r="AK848" s="269"/>
      <c r="AL848" s="269"/>
      <c r="AM848" s="269"/>
      <c r="AN848" s="269"/>
      <c r="AO848" s="269"/>
      <c r="AP848" s="269"/>
      <c r="AQ848" s="269"/>
      <c r="AR848" s="269"/>
    </row>
    <row r="849">
      <c r="A849" s="410"/>
      <c r="B849" s="410"/>
      <c r="C849" s="410"/>
      <c r="D849" s="410"/>
      <c r="E849" s="410"/>
      <c r="F849" s="410"/>
      <c r="H849" s="269"/>
      <c r="I849" s="269"/>
      <c r="J849" s="269"/>
      <c r="K849" s="269"/>
      <c r="L849" s="269"/>
      <c r="M849" s="269"/>
      <c r="N849" s="269"/>
      <c r="O849" s="269"/>
      <c r="P849" s="269"/>
      <c r="Q849" s="269"/>
      <c r="R849" s="269"/>
      <c r="S849" s="269"/>
      <c r="T849" s="269"/>
      <c r="U849" s="269"/>
      <c r="V849" s="269"/>
      <c r="W849" s="269"/>
      <c r="X849" s="269"/>
      <c r="Y849" s="269"/>
      <c r="Z849" s="269"/>
      <c r="AA849" s="269"/>
      <c r="AB849" s="269"/>
      <c r="AC849" s="269"/>
      <c r="AD849" s="269"/>
      <c r="AE849" s="269"/>
      <c r="AF849" s="269"/>
      <c r="AG849" s="269"/>
      <c r="AH849" s="269"/>
      <c r="AI849" s="269"/>
      <c r="AJ849" s="269"/>
      <c r="AK849" s="269"/>
      <c r="AL849" s="269"/>
      <c r="AM849" s="269"/>
      <c r="AN849" s="269"/>
      <c r="AO849" s="269"/>
      <c r="AP849" s="269"/>
      <c r="AQ849" s="269"/>
      <c r="AR849" s="269"/>
    </row>
    <row r="850">
      <c r="A850" s="410"/>
      <c r="B850" s="410"/>
      <c r="C850" s="410"/>
      <c r="D850" s="410"/>
      <c r="E850" s="410"/>
      <c r="F850" s="410"/>
      <c r="H850" s="269"/>
      <c r="I850" s="269"/>
      <c r="J850" s="269"/>
      <c r="K850" s="269"/>
      <c r="L850" s="269"/>
      <c r="M850" s="269"/>
      <c r="N850" s="269"/>
      <c r="O850" s="269"/>
      <c r="P850" s="269"/>
      <c r="Q850" s="269"/>
      <c r="R850" s="269"/>
      <c r="S850" s="269"/>
      <c r="T850" s="269"/>
      <c r="U850" s="269"/>
      <c r="V850" s="269"/>
      <c r="W850" s="269"/>
      <c r="X850" s="269"/>
      <c r="Y850" s="269"/>
      <c r="Z850" s="269"/>
      <c r="AA850" s="269"/>
      <c r="AB850" s="269"/>
      <c r="AC850" s="269"/>
      <c r="AD850" s="269"/>
      <c r="AE850" s="269"/>
      <c r="AF850" s="269"/>
      <c r="AG850" s="269"/>
      <c r="AH850" s="269"/>
      <c r="AI850" s="269"/>
      <c r="AJ850" s="269"/>
      <c r="AK850" s="269"/>
      <c r="AL850" s="269"/>
      <c r="AM850" s="269"/>
      <c r="AN850" s="269"/>
      <c r="AO850" s="269"/>
      <c r="AP850" s="269"/>
      <c r="AQ850" s="269"/>
      <c r="AR850" s="269"/>
    </row>
    <row r="851">
      <c r="A851" s="410"/>
      <c r="B851" s="410"/>
      <c r="C851" s="410"/>
      <c r="D851" s="410"/>
      <c r="E851" s="410"/>
      <c r="F851" s="410"/>
      <c r="H851" s="269"/>
      <c r="I851" s="269"/>
      <c r="J851" s="269"/>
      <c r="K851" s="269"/>
      <c r="L851" s="269"/>
      <c r="M851" s="269"/>
      <c r="N851" s="269"/>
      <c r="O851" s="269"/>
      <c r="P851" s="269"/>
      <c r="Q851" s="269"/>
      <c r="R851" s="269"/>
      <c r="S851" s="269"/>
      <c r="T851" s="269"/>
      <c r="U851" s="269"/>
      <c r="V851" s="269"/>
      <c r="W851" s="269"/>
      <c r="X851" s="269"/>
      <c r="Y851" s="269"/>
      <c r="Z851" s="269"/>
      <c r="AA851" s="269"/>
      <c r="AB851" s="269"/>
      <c r="AC851" s="269"/>
      <c r="AD851" s="269"/>
      <c r="AE851" s="269"/>
      <c r="AF851" s="269"/>
      <c r="AG851" s="269"/>
      <c r="AH851" s="269"/>
      <c r="AI851" s="269"/>
      <c r="AJ851" s="269"/>
      <c r="AK851" s="269"/>
      <c r="AL851" s="269"/>
      <c r="AM851" s="269"/>
      <c r="AN851" s="269"/>
      <c r="AO851" s="269"/>
      <c r="AP851" s="269"/>
      <c r="AQ851" s="269"/>
      <c r="AR851" s="269"/>
    </row>
    <row r="852">
      <c r="A852" s="410"/>
      <c r="B852" s="410"/>
      <c r="C852" s="410"/>
      <c r="D852" s="410"/>
      <c r="E852" s="410"/>
      <c r="F852" s="410"/>
      <c r="H852" s="269"/>
      <c r="I852" s="269"/>
      <c r="J852" s="269"/>
      <c r="K852" s="269"/>
      <c r="L852" s="269"/>
      <c r="M852" s="269"/>
      <c r="N852" s="269"/>
      <c r="O852" s="269"/>
      <c r="P852" s="269"/>
      <c r="Q852" s="269"/>
      <c r="R852" s="269"/>
      <c r="S852" s="269"/>
      <c r="T852" s="269"/>
      <c r="U852" s="269"/>
      <c r="V852" s="269"/>
      <c r="W852" s="269"/>
      <c r="X852" s="269"/>
      <c r="Y852" s="269"/>
      <c r="Z852" s="269"/>
      <c r="AA852" s="269"/>
      <c r="AB852" s="269"/>
      <c r="AC852" s="269"/>
      <c r="AD852" s="269"/>
      <c r="AE852" s="269"/>
      <c r="AF852" s="269"/>
      <c r="AG852" s="269"/>
      <c r="AH852" s="269"/>
      <c r="AI852" s="269"/>
      <c r="AJ852" s="269"/>
      <c r="AK852" s="269"/>
      <c r="AL852" s="269"/>
      <c r="AM852" s="269"/>
      <c r="AN852" s="269"/>
      <c r="AO852" s="269"/>
      <c r="AP852" s="269"/>
      <c r="AQ852" s="269"/>
      <c r="AR852" s="269"/>
    </row>
    <row r="853">
      <c r="A853" s="410"/>
      <c r="B853" s="410"/>
      <c r="C853" s="410"/>
      <c r="D853" s="410"/>
      <c r="E853" s="410"/>
      <c r="F853" s="410"/>
      <c r="H853" s="269"/>
      <c r="I853" s="269"/>
      <c r="J853" s="269"/>
      <c r="K853" s="269"/>
      <c r="L853" s="269"/>
      <c r="M853" s="269"/>
      <c r="N853" s="269"/>
      <c r="O853" s="269"/>
      <c r="P853" s="269"/>
      <c r="Q853" s="269"/>
      <c r="R853" s="269"/>
      <c r="S853" s="269"/>
      <c r="T853" s="269"/>
      <c r="U853" s="269"/>
      <c r="V853" s="269"/>
      <c r="W853" s="269"/>
      <c r="X853" s="269"/>
      <c r="Y853" s="269"/>
      <c r="Z853" s="269"/>
      <c r="AA853" s="269"/>
      <c r="AB853" s="269"/>
      <c r="AC853" s="269"/>
      <c r="AD853" s="269"/>
      <c r="AE853" s="269"/>
      <c r="AF853" s="269"/>
      <c r="AG853" s="269"/>
      <c r="AH853" s="269"/>
      <c r="AI853" s="269"/>
      <c r="AJ853" s="269"/>
      <c r="AK853" s="269"/>
      <c r="AL853" s="269"/>
      <c r="AM853" s="269"/>
      <c r="AN853" s="269"/>
      <c r="AO853" s="269"/>
      <c r="AP853" s="269"/>
      <c r="AQ853" s="269"/>
      <c r="AR853" s="269"/>
    </row>
    <row r="854">
      <c r="A854" s="410"/>
      <c r="B854" s="410"/>
      <c r="C854" s="410"/>
      <c r="D854" s="410"/>
      <c r="E854" s="410"/>
      <c r="F854" s="410"/>
      <c r="H854" s="269"/>
      <c r="I854" s="269"/>
      <c r="J854" s="269"/>
      <c r="K854" s="269"/>
      <c r="L854" s="269"/>
      <c r="M854" s="269"/>
      <c r="N854" s="269"/>
      <c r="O854" s="269"/>
      <c r="P854" s="269"/>
      <c r="Q854" s="269"/>
      <c r="R854" s="269"/>
      <c r="S854" s="269"/>
      <c r="T854" s="269"/>
      <c r="U854" s="269"/>
      <c r="V854" s="269"/>
      <c r="W854" s="269"/>
      <c r="X854" s="269"/>
      <c r="Y854" s="269"/>
      <c r="Z854" s="269"/>
      <c r="AA854" s="269"/>
      <c r="AB854" s="269"/>
      <c r="AC854" s="269"/>
      <c r="AD854" s="269"/>
      <c r="AE854" s="269"/>
      <c r="AF854" s="269"/>
      <c r="AG854" s="269"/>
      <c r="AH854" s="269"/>
      <c r="AI854" s="269"/>
      <c r="AJ854" s="269"/>
      <c r="AK854" s="269"/>
      <c r="AL854" s="269"/>
      <c r="AM854" s="269"/>
      <c r="AN854" s="269"/>
      <c r="AO854" s="269"/>
      <c r="AP854" s="269"/>
      <c r="AQ854" s="269"/>
      <c r="AR854" s="269"/>
    </row>
    <row r="855">
      <c r="A855" s="410"/>
      <c r="B855" s="410"/>
      <c r="C855" s="410"/>
      <c r="D855" s="410"/>
      <c r="E855" s="410"/>
      <c r="F855" s="410"/>
      <c r="H855" s="269"/>
      <c r="I855" s="269"/>
      <c r="J855" s="269"/>
      <c r="K855" s="269"/>
      <c r="L855" s="269"/>
      <c r="M855" s="269"/>
      <c r="N855" s="269"/>
      <c r="O855" s="269"/>
      <c r="P855" s="269"/>
      <c r="Q855" s="269"/>
      <c r="R855" s="269"/>
      <c r="S855" s="269"/>
      <c r="T855" s="269"/>
      <c r="U855" s="269"/>
      <c r="V855" s="269"/>
      <c r="W855" s="269"/>
      <c r="X855" s="269"/>
      <c r="Y855" s="269"/>
      <c r="Z855" s="269"/>
      <c r="AA855" s="269"/>
      <c r="AB855" s="269"/>
      <c r="AC855" s="269"/>
      <c r="AD855" s="269"/>
      <c r="AE855" s="269"/>
      <c r="AF855" s="269"/>
      <c r="AG855" s="269"/>
      <c r="AH855" s="269"/>
      <c r="AI855" s="269"/>
      <c r="AJ855" s="269"/>
      <c r="AK855" s="269"/>
      <c r="AL855" s="269"/>
      <c r="AM855" s="269"/>
      <c r="AN855" s="269"/>
      <c r="AO855" s="269"/>
      <c r="AP855" s="269"/>
      <c r="AQ855" s="269"/>
      <c r="AR855" s="269"/>
    </row>
    <row r="856">
      <c r="A856" s="410"/>
      <c r="B856" s="410"/>
      <c r="C856" s="410"/>
      <c r="D856" s="410"/>
      <c r="E856" s="410"/>
      <c r="F856" s="410"/>
      <c r="H856" s="269"/>
      <c r="I856" s="269"/>
      <c r="J856" s="269"/>
      <c r="K856" s="269"/>
      <c r="L856" s="269"/>
      <c r="M856" s="269"/>
      <c r="N856" s="269"/>
      <c r="O856" s="269"/>
      <c r="P856" s="269"/>
      <c r="Q856" s="269"/>
      <c r="R856" s="269"/>
      <c r="S856" s="269"/>
      <c r="T856" s="269"/>
      <c r="U856" s="269"/>
      <c r="V856" s="269"/>
      <c r="W856" s="269"/>
      <c r="X856" s="269"/>
      <c r="Y856" s="269"/>
      <c r="Z856" s="269"/>
      <c r="AA856" s="269"/>
      <c r="AB856" s="269"/>
      <c r="AC856" s="269"/>
      <c r="AD856" s="269"/>
      <c r="AE856" s="269"/>
      <c r="AF856" s="269"/>
      <c r="AG856" s="269"/>
      <c r="AH856" s="269"/>
      <c r="AI856" s="269"/>
      <c r="AJ856" s="269"/>
      <c r="AK856" s="269"/>
      <c r="AL856" s="269"/>
      <c r="AM856" s="269"/>
      <c r="AN856" s="269"/>
      <c r="AO856" s="269"/>
      <c r="AP856" s="269"/>
      <c r="AQ856" s="269"/>
      <c r="AR856" s="269"/>
    </row>
    <row r="857">
      <c r="A857" s="410"/>
      <c r="B857" s="410"/>
      <c r="C857" s="410"/>
      <c r="D857" s="410"/>
      <c r="E857" s="410"/>
      <c r="F857" s="410"/>
      <c r="H857" s="269"/>
      <c r="I857" s="269"/>
      <c r="J857" s="269"/>
      <c r="K857" s="269"/>
      <c r="L857" s="269"/>
      <c r="M857" s="269"/>
      <c r="N857" s="269"/>
      <c r="O857" s="269"/>
      <c r="P857" s="269"/>
      <c r="Q857" s="269"/>
      <c r="R857" s="269"/>
      <c r="S857" s="269"/>
      <c r="T857" s="269"/>
      <c r="U857" s="269"/>
      <c r="V857" s="269"/>
      <c r="W857" s="269"/>
      <c r="X857" s="269"/>
      <c r="Y857" s="269"/>
      <c r="Z857" s="269"/>
      <c r="AA857" s="269"/>
      <c r="AB857" s="269"/>
      <c r="AC857" s="269"/>
      <c r="AD857" s="269"/>
      <c r="AE857" s="269"/>
      <c r="AF857" s="269"/>
      <c r="AG857" s="269"/>
      <c r="AH857" s="269"/>
      <c r="AI857" s="269"/>
      <c r="AJ857" s="269"/>
      <c r="AK857" s="269"/>
      <c r="AL857" s="269"/>
      <c r="AM857" s="269"/>
      <c r="AN857" s="269"/>
      <c r="AO857" s="269"/>
      <c r="AP857" s="269"/>
      <c r="AQ857" s="269"/>
      <c r="AR857" s="269"/>
    </row>
    <row r="858">
      <c r="A858" s="410"/>
      <c r="B858" s="410"/>
      <c r="C858" s="410"/>
      <c r="D858" s="410"/>
      <c r="E858" s="410"/>
      <c r="F858" s="410"/>
      <c r="H858" s="269"/>
      <c r="I858" s="269"/>
      <c r="J858" s="269"/>
      <c r="K858" s="269"/>
      <c r="L858" s="269"/>
      <c r="M858" s="269"/>
      <c r="N858" s="269"/>
      <c r="O858" s="269"/>
      <c r="P858" s="269"/>
      <c r="Q858" s="269"/>
      <c r="R858" s="269"/>
      <c r="S858" s="269"/>
      <c r="T858" s="269"/>
      <c r="U858" s="269"/>
      <c r="V858" s="269"/>
      <c r="W858" s="269"/>
      <c r="X858" s="269"/>
      <c r="Y858" s="269"/>
      <c r="Z858" s="269"/>
      <c r="AA858" s="269"/>
      <c r="AB858" s="269"/>
      <c r="AC858" s="269"/>
      <c r="AD858" s="269"/>
      <c r="AE858" s="269"/>
      <c r="AF858" s="269"/>
      <c r="AG858" s="269"/>
      <c r="AH858" s="269"/>
      <c r="AI858" s="269"/>
      <c r="AJ858" s="269"/>
      <c r="AK858" s="269"/>
      <c r="AL858" s="269"/>
      <c r="AM858" s="269"/>
      <c r="AN858" s="269"/>
      <c r="AO858" s="269"/>
      <c r="AP858" s="269"/>
      <c r="AQ858" s="269"/>
      <c r="AR858" s="269"/>
    </row>
    <row r="859">
      <c r="A859" s="410"/>
      <c r="B859" s="410"/>
      <c r="C859" s="410"/>
      <c r="D859" s="410"/>
      <c r="E859" s="410"/>
      <c r="F859" s="410"/>
      <c r="H859" s="269"/>
      <c r="I859" s="269"/>
      <c r="J859" s="269"/>
      <c r="K859" s="269"/>
      <c r="L859" s="269"/>
      <c r="M859" s="269"/>
      <c r="N859" s="269"/>
      <c r="O859" s="269"/>
      <c r="P859" s="269"/>
      <c r="Q859" s="269"/>
      <c r="R859" s="269"/>
      <c r="S859" s="269"/>
      <c r="T859" s="269"/>
      <c r="U859" s="269"/>
      <c r="V859" s="269"/>
      <c r="W859" s="269"/>
      <c r="X859" s="269"/>
      <c r="Y859" s="269"/>
      <c r="Z859" s="269"/>
      <c r="AA859" s="269"/>
      <c r="AB859" s="269"/>
      <c r="AC859" s="269"/>
      <c r="AD859" s="269"/>
      <c r="AE859" s="269"/>
      <c r="AF859" s="269"/>
      <c r="AG859" s="269"/>
      <c r="AH859" s="269"/>
      <c r="AI859" s="269"/>
      <c r="AJ859" s="269"/>
      <c r="AK859" s="269"/>
      <c r="AL859" s="269"/>
      <c r="AM859" s="269"/>
      <c r="AN859" s="269"/>
      <c r="AO859" s="269"/>
      <c r="AP859" s="269"/>
      <c r="AQ859" s="269"/>
      <c r="AR859" s="269"/>
    </row>
    <row r="860">
      <c r="A860" s="410"/>
      <c r="B860" s="410"/>
      <c r="C860" s="410"/>
      <c r="D860" s="410"/>
      <c r="E860" s="410"/>
      <c r="F860" s="410"/>
      <c r="H860" s="269"/>
      <c r="I860" s="269"/>
      <c r="J860" s="269"/>
      <c r="K860" s="269"/>
      <c r="L860" s="269"/>
      <c r="M860" s="269"/>
      <c r="N860" s="269"/>
      <c r="O860" s="269"/>
      <c r="P860" s="269"/>
      <c r="Q860" s="269"/>
      <c r="R860" s="269"/>
      <c r="S860" s="269"/>
      <c r="T860" s="269"/>
      <c r="U860" s="269"/>
      <c r="V860" s="269"/>
      <c r="W860" s="269"/>
      <c r="X860" s="269"/>
      <c r="Y860" s="269"/>
      <c r="Z860" s="269"/>
      <c r="AA860" s="269"/>
      <c r="AB860" s="269"/>
      <c r="AC860" s="269"/>
      <c r="AD860" s="269"/>
      <c r="AE860" s="269"/>
      <c r="AF860" s="269"/>
      <c r="AG860" s="269"/>
      <c r="AH860" s="269"/>
      <c r="AI860" s="269"/>
      <c r="AJ860" s="269"/>
      <c r="AK860" s="269"/>
      <c r="AL860" s="269"/>
      <c r="AM860" s="269"/>
      <c r="AN860" s="269"/>
      <c r="AO860" s="269"/>
      <c r="AP860" s="269"/>
      <c r="AQ860" s="269"/>
      <c r="AR860" s="269"/>
    </row>
    <row r="861">
      <c r="A861" s="410"/>
      <c r="B861" s="410"/>
      <c r="C861" s="410"/>
      <c r="D861" s="410"/>
      <c r="E861" s="410"/>
      <c r="F861" s="410"/>
      <c r="H861" s="269"/>
      <c r="I861" s="269"/>
      <c r="J861" s="269"/>
      <c r="K861" s="269"/>
      <c r="L861" s="269"/>
      <c r="M861" s="269"/>
      <c r="N861" s="269"/>
      <c r="O861" s="269"/>
      <c r="P861" s="269"/>
      <c r="Q861" s="269"/>
      <c r="R861" s="269"/>
      <c r="S861" s="269"/>
      <c r="T861" s="269"/>
      <c r="U861" s="269"/>
      <c r="V861" s="269"/>
      <c r="W861" s="269"/>
      <c r="X861" s="269"/>
      <c r="Y861" s="269"/>
      <c r="Z861" s="269"/>
      <c r="AA861" s="269"/>
      <c r="AB861" s="269"/>
      <c r="AC861" s="269"/>
      <c r="AD861" s="269"/>
      <c r="AE861" s="269"/>
      <c r="AF861" s="269"/>
      <c r="AG861" s="269"/>
      <c r="AH861" s="269"/>
      <c r="AI861" s="269"/>
      <c r="AJ861" s="269"/>
      <c r="AK861" s="269"/>
      <c r="AL861" s="269"/>
      <c r="AM861" s="269"/>
      <c r="AN861" s="269"/>
      <c r="AO861" s="269"/>
      <c r="AP861" s="269"/>
      <c r="AQ861" s="269"/>
      <c r="AR861" s="269"/>
    </row>
    <row r="862">
      <c r="A862" s="410"/>
      <c r="B862" s="410"/>
      <c r="C862" s="410"/>
      <c r="D862" s="410"/>
      <c r="E862" s="410"/>
      <c r="F862" s="410"/>
      <c r="H862" s="269"/>
      <c r="I862" s="269"/>
      <c r="J862" s="269"/>
      <c r="K862" s="269"/>
      <c r="L862" s="269"/>
      <c r="M862" s="269"/>
      <c r="N862" s="269"/>
      <c r="O862" s="269"/>
      <c r="P862" s="269"/>
      <c r="Q862" s="269"/>
      <c r="R862" s="269"/>
      <c r="S862" s="269"/>
      <c r="T862" s="269"/>
      <c r="U862" s="269"/>
      <c r="V862" s="269"/>
      <c r="W862" s="269"/>
      <c r="X862" s="269"/>
      <c r="Y862" s="269"/>
      <c r="Z862" s="269"/>
      <c r="AA862" s="269"/>
      <c r="AB862" s="269"/>
      <c r="AC862" s="269"/>
      <c r="AD862" s="269"/>
      <c r="AE862" s="269"/>
      <c r="AF862" s="269"/>
      <c r="AG862" s="269"/>
      <c r="AH862" s="269"/>
      <c r="AI862" s="269"/>
      <c r="AJ862" s="269"/>
      <c r="AK862" s="269"/>
      <c r="AL862" s="269"/>
      <c r="AM862" s="269"/>
      <c r="AN862" s="269"/>
      <c r="AO862" s="269"/>
      <c r="AP862" s="269"/>
      <c r="AQ862" s="269"/>
      <c r="AR862" s="269"/>
    </row>
    <row r="863">
      <c r="A863" s="410"/>
      <c r="B863" s="410"/>
      <c r="C863" s="410"/>
      <c r="D863" s="410"/>
      <c r="E863" s="410"/>
      <c r="F863" s="410"/>
      <c r="H863" s="269"/>
      <c r="I863" s="269"/>
      <c r="J863" s="269"/>
      <c r="K863" s="269"/>
      <c r="L863" s="269"/>
      <c r="M863" s="269"/>
      <c r="N863" s="269"/>
      <c r="O863" s="269"/>
      <c r="P863" s="269"/>
      <c r="Q863" s="269"/>
      <c r="R863" s="269"/>
      <c r="S863" s="269"/>
      <c r="T863" s="269"/>
      <c r="U863" s="269"/>
      <c r="V863" s="269"/>
      <c r="W863" s="269"/>
      <c r="X863" s="269"/>
      <c r="Y863" s="269"/>
      <c r="Z863" s="269"/>
      <c r="AA863" s="269"/>
      <c r="AB863" s="269"/>
      <c r="AC863" s="269"/>
      <c r="AD863" s="269"/>
      <c r="AE863" s="269"/>
      <c r="AF863" s="269"/>
      <c r="AG863" s="269"/>
      <c r="AH863" s="269"/>
      <c r="AI863" s="269"/>
      <c r="AJ863" s="269"/>
      <c r="AK863" s="269"/>
      <c r="AL863" s="269"/>
      <c r="AM863" s="269"/>
      <c r="AN863" s="269"/>
      <c r="AO863" s="269"/>
      <c r="AP863" s="269"/>
      <c r="AQ863" s="269"/>
      <c r="AR863" s="269"/>
    </row>
    <row r="864">
      <c r="A864" s="410"/>
      <c r="B864" s="410"/>
      <c r="C864" s="410"/>
      <c r="D864" s="410"/>
      <c r="E864" s="410"/>
      <c r="F864" s="410"/>
      <c r="H864" s="269"/>
      <c r="I864" s="269"/>
      <c r="J864" s="269"/>
      <c r="K864" s="269"/>
      <c r="L864" s="269"/>
      <c r="M864" s="269"/>
      <c r="N864" s="269"/>
      <c r="O864" s="269"/>
      <c r="P864" s="269"/>
      <c r="Q864" s="269"/>
      <c r="R864" s="269"/>
      <c r="S864" s="269"/>
      <c r="T864" s="269"/>
      <c r="U864" s="269"/>
      <c r="V864" s="269"/>
      <c r="W864" s="269"/>
      <c r="X864" s="269"/>
      <c r="Y864" s="269"/>
      <c r="Z864" s="269"/>
      <c r="AA864" s="269"/>
      <c r="AB864" s="269"/>
      <c r="AC864" s="269"/>
      <c r="AD864" s="269"/>
      <c r="AE864" s="269"/>
      <c r="AF864" s="269"/>
      <c r="AG864" s="269"/>
      <c r="AH864" s="269"/>
      <c r="AI864" s="269"/>
      <c r="AJ864" s="269"/>
      <c r="AK864" s="269"/>
      <c r="AL864" s="269"/>
      <c r="AM864" s="269"/>
      <c r="AN864" s="269"/>
      <c r="AO864" s="269"/>
      <c r="AP864" s="269"/>
      <c r="AQ864" s="269"/>
      <c r="AR864" s="269"/>
    </row>
    <row r="865">
      <c r="A865" s="410"/>
      <c r="B865" s="410"/>
      <c r="C865" s="410"/>
      <c r="D865" s="410"/>
      <c r="E865" s="410"/>
      <c r="F865" s="410"/>
      <c r="H865" s="269"/>
      <c r="I865" s="269"/>
      <c r="J865" s="269"/>
      <c r="K865" s="269"/>
      <c r="L865" s="269"/>
      <c r="M865" s="269"/>
      <c r="N865" s="269"/>
      <c r="O865" s="269"/>
      <c r="P865" s="269"/>
      <c r="Q865" s="269"/>
      <c r="R865" s="269"/>
      <c r="S865" s="269"/>
      <c r="T865" s="269"/>
      <c r="U865" s="269"/>
      <c r="V865" s="269"/>
      <c r="W865" s="269"/>
      <c r="X865" s="269"/>
      <c r="Y865" s="269"/>
      <c r="Z865" s="269"/>
      <c r="AA865" s="269"/>
      <c r="AB865" s="269"/>
      <c r="AC865" s="269"/>
      <c r="AD865" s="269"/>
      <c r="AE865" s="269"/>
      <c r="AF865" s="269"/>
      <c r="AG865" s="269"/>
      <c r="AH865" s="269"/>
      <c r="AI865" s="269"/>
      <c r="AJ865" s="269"/>
      <c r="AK865" s="269"/>
      <c r="AL865" s="269"/>
      <c r="AM865" s="269"/>
      <c r="AN865" s="269"/>
      <c r="AO865" s="269"/>
      <c r="AP865" s="269"/>
      <c r="AQ865" s="269"/>
      <c r="AR865" s="269"/>
    </row>
    <row r="866">
      <c r="A866" s="410"/>
      <c r="B866" s="410"/>
      <c r="C866" s="410"/>
      <c r="D866" s="410"/>
      <c r="E866" s="410"/>
      <c r="F866" s="410"/>
      <c r="H866" s="269"/>
      <c r="I866" s="269"/>
      <c r="J866" s="269"/>
      <c r="K866" s="269"/>
      <c r="L866" s="269"/>
      <c r="M866" s="269"/>
      <c r="N866" s="269"/>
      <c r="O866" s="269"/>
      <c r="P866" s="269"/>
      <c r="Q866" s="269"/>
      <c r="R866" s="269"/>
      <c r="S866" s="269"/>
      <c r="T866" s="269"/>
      <c r="U866" s="269"/>
      <c r="V866" s="269"/>
      <c r="W866" s="269"/>
      <c r="X866" s="269"/>
      <c r="Y866" s="269"/>
      <c r="Z866" s="269"/>
      <c r="AA866" s="269"/>
      <c r="AB866" s="269"/>
      <c r="AC866" s="269"/>
      <c r="AD866" s="269"/>
      <c r="AE866" s="269"/>
      <c r="AF866" s="269"/>
      <c r="AG866" s="269"/>
      <c r="AH866" s="269"/>
      <c r="AI866" s="269"/>
      <c r="AJ866" s="269"/>
      <c r="AK866" s="269"/>
      <c r="AL866" s="269"/>
      <c r="AM866" s="269"/>
      <c r="AN866" s="269"/>
      <c r="AO866" s="269"/>
      <c r="AP866" s="269"/>
      <c r="AQ866" s="269"/>
      <c r="AR866" s="269"/>
    </row>
    <row r="867">
      <c r="A867" s="410"/>
      <c r="B867" s="410"/>
      <c r="C867" s="410"/>
      <c r="D867" s="410"/>
      <c r="E867" s="410"/>
      <c r="F867" s="410"/>
      <c r="H867" s="269"/>
      <c r="I867" s="269"/>
      <c r="J867" s="269"/>
      <c r="K867" s="269"/>
      <c r="L867" s="269"/>
      <c r="M867" s="269"/>
      <c r="N867" s="269"/>
      <c r="O867" s="269"/>
      <c r="P867" s="269"/>
      <c r="Q867" s="269"/>
      <c r="R867" s="269"/>
      <c r="S867" s="269"/>
      <c r="T867" s="269"/>
      <c r="U867" s="269"/>
      <c r="V867" s="269"/>
      <c r="W867" s="269"/>
      <c r="X867" s="269"/>
      <c r="Y867" s="269"/>
      <c r="Z867" s="269"/>
      <c r="AA867" s="269"/>
      <c r="AB867" s="269"/>
      <c r="AC867" s="269"/>
      <c r="AD867" s="269"/>
      <c r="AE867" s="269"/>
      <c r="AF867" s="269"/>
      <c r="AG867" s="269"/>
      <c r="AH867" s="269"/>
      <c r="AI867" s="269"/>
      <c r="AJ867" s="269"/>
      <c r="AK867" s="269"/>
      <c r="AL867" s="269"/>
      <c r="AM867" s="269"/>
      <c r="AN867" s="269"/>
      <c r="AO867" s="269"/>
      <c r="AP867" s="269"/>
      <c r="AQ867" s="269"/>
      <c r="AR867" s="269"/>
    </row>
    <row r="868">
      <c r="A868" s="410"/>
      <c r="B868" s="410"/>
      <c r="C868" s="410"/>
      <c r="D868" s="410"/>
      <c r="E868" s="410"/>
      <c r="F868" s="410"/>
      <c r="H868" s="269"/>
      <c r="I868" s="269"/>
      <c r="J868" s="269"/>
      <c r="K868" s="269"/>
      <c r="L868" s="269"/>
      <c r="M868" s="269"/>
      <c r="N868" s="269"/>
      <c r="O868" s="269"/>
      <c r="P868" s="269"/>
      <c r="Q868" s="269"/>
      <c r="R868" s="269"/>
      <c r="S868" s="269"/>
      <c r="T868" s="269"/>
      <c r="U868" s="269"/>
      <c r="V868" s="269"/>
      <c r="W868" s="269"/>
      <c r="X868" s="269"/>
      <c r="Y868" s="269"/>
      <c r="Z868" s="269"/>
      <c r="AA868" s="269"/>
      <c r="AB868" s="269"/>
      <c r="AC868" s="269"/>
      <c r="AD868" s="269"/>
      <c r="AE868" s="269"/>
      <c r="AF868" s="269"/>
      <c r="AG868" s="269"/>
      <c r="AH868" s="269"/>
      <c r="AI868" s="269"/>
      <c r="AJ868" s="269"/>
      <c r="AK868" s="269"/>
      <c r="AL868" s="269"/>
      <c r="AM868" s="269"/>
      <c r="AN868" s="269"/>
      <c r="AO868" s="269"/>
      <c r="AP868" s="269"/>
      <c r="AQ868" s="269"/>
      <c r="AR868" s="269"/>
    </row>
    <row r="869">
      <c r="A869" s="410"/>
      <c r="B869" s="410"/>
      <c r="C869" s="410"/>
      <c r="D869" s="410"/>
      <c r="E869" s="410"/>
      <c r="F869" s="410"/>
      <c r="H869" s="269"/>
      <c r="I869" s="269"/>
      <c r="J869" s="269"/>
      <c r="K869" s="269"/>
      <c r="L869" s="269"/>
      <c r="M869" s="269"/>
      <c r="N869" s="269"/>
      <c r="O869" s="269"/>
      <c r="P869" s="269"/>
      <c r="Q869" s="269"/>
      <c r="R869" s="269"/>
      <c r="S869" s="269"/>
      <c r="T869" s="269"/>
      <c r="U869" s="269"/>
      <c r="V869" s="269"/>
      <c r="W869" s="269"/>
      <c r="X869" s="269"/>
      <c r="Y869" s="269"/>
      <c r="Z869" s="269"/>
      <c r="AA869" s="269"/>
      <c r="AB869" s="269"/>
      <c r="AC869" s="269"/>
      <c r="AD869" s="269"/>
      <c r="AE869" s="269"/>
      <c r="AF869" s="269"/>
      <c r="AG869" s="269"/>
      <c r="AH869" s="269"/>
      <c r="AI869" s="269"/>
      <c r="AJ869" s="269"/>
      <c r="AK869" s="269"/>
      <c r="AL869" s="269"/>
      <c r="AM869" s="269"/>
      <c r="AN869" s="269"/>
      <c r="AO869" s="269"/>
      <c r="AP869" s="269"/>
      <c r="AQ869" s="269"/>
      <c r="AR869" s="269"/>
    </row>
    <row r="870">
      <c r="A870" s="410"/>
      <c r="B870" s="410"/>
      <c r="C870" s="410"/>
      <c r="D870" s="410"/>
      <c r="E870" s="410"/>
      <c r="F870" s="410"/>
      <c r="H870" s="269"/>
      <c r="I870" s="269"/>
      <c r="J870" s="269"/>
      <c r="K870" s="269"/>
      <c r="L870" s="269"/>
      <c r="M870" s="269"/>
      <c r="N870" s="269"/>
      <c r="O870" s="269"/>
      <c r="P870" s="269"/>
      <c r="Q870" s="269"/>
      <c r="R870" s="269"/>
      <c r="S870" s="269"/>
      <c r="T870" s="269"/>
      <c r="U870" s="269"/>
      <c r="V870" s="269"/>
      <c r="W870" s="269"/>
      <c r="X870" s="269"/>
      <c r="Y870" s="269"/>
      <c r="Z870" s="269"/>
      <c r="AA870" s="269"/>
      <c r="AB870" s="269"/>
      <c r="AC870" s="269"/>
      <c r="AD870" s="269"/>
      <c r="AE870" s="269"/>
      <c r="AF870" s="269"/>
      <c r="AG870" s="269"/>
      <c r="AH870" s="269"/>
      <c r="AI870" s="269"/>
      <c r="AJ870" s="269"/>
      <c r="AK870" s="269"/>
      <c r="AL870" s="269"/>
      <c r="AM870" s="269"/>
      <c r="AN870" s="269"/>
      <c r="AO870" s="269"/>
      <c r="AP870" s="269"/>
      <c r="AQ870" s="269"/>
      <c r="AR870" s="269"/>
    </row>
    <row r="871">
      <c r="A871" s="410"/>
      <c r="B871" s="410"/>
      <c r="C871" s="410"/>
      <c r="D871" s="410"/>
      <c r="E871" s="410"/>
      <c r="F871" s="410"/>
      <c r="H871" s="269"/>
      <c r="I871" s="269"/>
      <c r="J871" s="269"/>
      <c r="K871" s="269"/>
      <c r="L871" s="269"/>
      <c r="M871" s="269"/>
      <c r="N871" s="269"/>
      <c r="O871" s="269"/>
      <c r="P871" s="269"/>
      <c r="Q871" s="269"/>
      <c r="R871" s="269"/>
      <c r="S871" s="269"/>
      <c r="T871" s="269"/>
      <c r="U871" s="269"/>
      <c r="V871" s="269"/>
      <c r="W871" s="269"/>
      <c r="X871" s="269"/>
      <c r="Y871" s="269"/>
      <c r="Z871" s="269"/>
      <c r="AA871" s="269"/>
      <c r="AB871" s="269"/>
      <c r="AC871" s="269"/>
      <c r="AD871" s="269"/>
      <c r="AE871" s="269"/>
      <c r="AF871" s="269"/>
      <c r="AG871" s="269"/>
      <c r="AH871" s="269"/>
      <c r="AI871" s="269"/>
      <c r="AJ871" s="269"/>
      <c r="AK871" s="269"/>
      <c r="AL871" s="269"/>
      <c r="AM871" s="269"/>
      <c r="AN871" s="269"/>
      <c r="AO871" s="269"/>
      <c r="AP871" s="269"/>
      <c r="AQ871" s="269"/>
      <c r="AR871" s="269"/>
    </row>
    <row r="872">
      <c r="A872" s="410"/>
      <c r="B872" s="410"/>
      <c r="C872" s="410"/>
      <c r="D872" s="410"/>
      <c r="E872" s="410"/>
      <c r="F872" s="410"/>
      <c r="H872" s="269"/>
      <c r="I872" s="269"/>
      <c r="J872" s="269"/>
      <c r="K872" s="269"/>
      <c r="L872" s="269"/>
      <c r="M872" s="269"/>
      <c r="N872" s="269"/>
      <c r="O872" s="269"/>
      <c r="P872" s="269"/>
      <c r="Q872" s="269"/>
      <c r="R872" s="269"/>
      <c r="S872" s="269"/>
      <c r="T872" s="269"/>
      <c r="U872" s="269"/>
      <c r="V872" s="269"/>
      <c r="W872" s="269"/>
      <c r="X872" s="269"/>
      <c r="Y872" s="269"/>
      <c r="Z872" s="269"/>
      <c r="AA872" s="269"/>
      <c r="AB872" s="269"/>
      <c r="AC872" s="269"/>
      <c r="AD872" s="269"/>
      <c r="AE872" s="269"/>
      <c r="AF872" s="269"/>
      <c r="AG872" s="269"/>
      <c r="AH872" s="269"/>
      <c r="AI872" s="269"/>
      <c r="AJ872" s="269"/>
      <c r="AK872" s="269"/>
      <c r="AL872" s="269"/>
      <c r="AM872" s="269"/>
      <c r="AN872" s="269"/>
      <c r="AO872" s="269"/>
      <c r="AP872" s="269"/>
      <c r="AQ872" s="269"/>
      <c r="AR872" s="269"/>
    </row>
    <row r="873">
      <c r="A873" s="410"/>
      <c r="B873" s="410"/>
      <c r="C873" s="410"/>
      <c r="D873" s="410"/>
      <c r="E873" s="410"/>
      <c r="F873" s="410"/>
      <c r="H873" s="269"/>
      <c r="I873" s="269"/>
      <c r="J873" s="269"/>
      <c r="K873" s="269"/>
      <c r="L873" s="269"/>
      <c r="M873" s="269"/>
      <c r="N873" s="269"/>
      <c r="O873" s="269"/>
      <c r="P873" s="269"/>
      <c r="Q873" s="269"/>
      <c r="R873" s="269"/>
      <c r="S873" s="269"/>
      <c r="T873" s="269"/>
      <c r="U873" s="269"/>
      <c r="V873" s="269"/>
      <c r="W873" s="269"/>
      <c r="X873" s="269"/>
      <c r="Y873" s="269"/>
      <c r="Z873" s="269"/>
      <c r="AA873" s="269"/>
      <c r="AB873" s="269"/>
      <c r="AC873" s="269"/>
      <c r="AD873" s="269"/>
      <c r="AE873" s="269"/>
      <c r="AF873" s="269"/>
      <c r="AG873" s="269"/>
      <c r="AH873" s="269"/>
      <c r="AI873" s="269"/>
      <c r="AJ873" s="269"/>
      <c r="AK873" s="269"/>
      <c r="AL873" s="269"/>
      <c r="AM873" s="269"/>
      <c r="AN873" s="269"/>
      <c r="AO873" s="269"/>
      <c r="AP873" s="269"/>
      <c r="AQ873" s="269"/>
      <c r="AR873" s="269"/>
    </row>
    <row r="874">
      <c r="A874" s="410"/>
      <c r="B874" s="410"/>
      <c r="C874" s="410"/>
      <c r="D874" s="410"/>
      <c r="E874" s="410"/>
      <c r="F874" s="410"/>
      <c r="H874" s="269"/>
      <c r="I874" s="269"/>
      <c r="J874" s="269"/>
      <c r="K874" s="269"/>
      <c r="L874" s="269"/>
      <c r="M874" s="269"/>
      <c r="N874" s="269"/>
      <c r="O874" s="269"/>
      <c r="P874" s="269"/>
      <c r="Q874" s="269"/>
      <c r="R874" s="269"/>
      <c r="S874" s="269"/>
      <c r="T874" s="269"/>
      <c r="U874" s="269"/>
      <c r="V874" s="269"/>
      <c r="W874" s="269"/>
      <c r="X874" s="269"/>
      <c r="Y874" s="269"/>
      <c r="Z874" s="269"/>
      <c r="AA874" s="269"/>
      <c r="AB874" s="269"/>
      <c r="AC874" s="269"/>
      <c r="AD874" s="269"/>
      <c r="AE874" s="269"/>
      <c r="AF874" s="269"/>
      <c r="AG874" s="269"/>
      <c r="AH874" s="269"/>
      <c r="AI874" s="269"/>
      <c r="AJ874" s="269"/>
      <c r="AK874" s="269"/>
      <c r="AL874" s="269"/>
      <c r="AM874" s="269"/>
      <c r="AN874" s="269"/>
      <c r="AO874" s="269"/>
      <c r="AP874" s="269"/>
      <c r="AQ874" s="269"/>
      <c r="AR874" s="269"/>
    </row>
    <row r="875">
      <c r="A875" s="410"/>
      <c r="B875" s="410"/>
      <c r="C875" s="410"/>
      <c r="D875" s="410"/>
      <c r="E875" s="410"/>
      <c r="F875" s="410"/>
      <c r="H875" s="269"/>
      <c r="I875" s="269"/>
      <c r="J875" s="269"/>
      <c r="K875" s="269"/>
      <c r="L875" s="269"/>
      <c r="M875" s="269"/>
      <c r="N875" s="269"/>
      <c r="O875" s="269"/>
      <c r="P875" s="269"/>
      <c r="Q875" s="269"/>
      <c r="R875" s="269"/>
      <c r="S875" s="269"/>
      <c r="T875" s="269"/>
      <c r="U875" s="269"/>
      <c r="V875" s="269"/>
      <c r="W875" s="269"/>
      <c r="X875" s="269"/>
      <c r="Y875" s="269"/>
      <c r="Z875" s="269"/>
      <c r="AA875" s="269"/>
      <c r="AB875" s="269"/>
      <c r="AC875" s="269"/>
      <c r="AD875" s="269"/>
      <c r="AE875" s="269"/>
      <c r="AF875" s="269"/>
      <c r="AG875" s="269"/>
      <c r="AH875" s="269"/>
      <c r="AI875" s="269"/>
      <c r="AJ875" s="269"/>
      <c r="AK875" s="269"/>
      <c r="AL875" s="269"/>
      <c r="AM875" s="269"/>
      <c r="AN875" s="269"/>
      <c r="AO875" s="269"/>
      <c r="AP875" s="269"/>
      <c r="AQ875" s="269"/>
      <c r="AR875" s="269"/>
    </row>
    <row r="876">
      <c r="A876" s="410"/>
      <c r="B876" s="410"/>
      <c r="C876" s="410"/>
      <c r="D876" s="410"/>
      <c r="E876" s="410"/>
      <c r="F876" s="410"/>
      <c r="H876" s="269"/>
      <c r="I876" s="269"/>
      <c r="J876" s="269"/>
      <c r="K876" s="269"/>
      <c r="L876" s="269"/>
      <c r="M876" s="269"/>
      <c r="N876" s="269"/>
      <c r="O876" s="269"/>
      <c r="P876" s="269"/>
      <c r="Q876" s="269"/>
      <c r="R876" s="269"/>
      <c r="S876" s="269"/>
      <c r="T876" s="269"/>
      <c r="U876" s="269"/>
      <c r="V876" s="269"/>
      <c r="W876" s="269"/>
      <c r="X876" s="269"/>
      <c r="Y876" s="269"/>
      <c r="Z876" s="269"/>
      <c r="AA876" s="269"/>
      <c r="AB876" s="269"/>
      <c r="AC876" s="269"/>
      <c r="AD876" s="269"/>
      <c r="AE876" s="269"/>
      <c r="AF876" s="269"/>
      <c r="AG876" s="269"/>
      <c r="AH876" s="269"/>
      <c r="AI876" s="269"/>
      <c r="AJ876" s="269"/>
      <c r="AK876" s="269"/>
      <c r="AL876" s="269"/>
      <c r="AM876" s="269"/>
      <c r="AN876" s="269"/>
      <c r="AO876" s="269"/>
      <c r="AP876" s="269"/>
      <c r="AQ876" s="269"/>
      <c r="AR876" s="269"/>
    </row>
    <row r="877">
      <c r="A877" s="410"/>
      <c r="B877" s="410"/>
      <c r="C877" s="410"/>
      <c r="D877" s="410"/>
      <c r="E877" s="410"/>
      <c r="F877" s="410"/>
      <c r="H877" s="269"/>
      <c r="I877" s="269"/>
      <c r="J877" s="269"/>
      <c r="K877" s="269"/>
      <c r="L877" s="269"/>
      <c r="M877" s="269"/>
      <c r="N877" s="269"/>
      <c r="O877" s="269"/>
      <c r="P877" s="269"/>
      <c r="Q877" s="269"/>
      <c r="R877" s="269"/>
      <c r="S877" s="269"/>
      <c r="T877" s="269"/>
      <c r="U877" s="269"/>
      <c r="V877" s="269"/>
      <c r="W877" s="269"/>
      <c r="X877" s="269"/>
      <c r="Y877" s="269"/>
      <c r="Z877" s="269"/>
      <c r="AA877" s="269"/>
      <c r="AB877" s="269"/>
      <c r="AC877" s="269"/>
      <c r="AD877" s="269"/>
      <c r="AE877" s="269"/>
      <c r="AF877" s="269"/>
      <c r="AG877" s="269"/>
      <c r="AH877" s="269"/>
      <c r="AI877" s="269"/>
      <c r="AJ877" s="269"/>
      <c r="AK877" s="269"/>
      <c r="AL877" s="269"/>
      <c r="AM877" s="269"/>
      <c r="AN877" s="269"/>
      <c r="AO877" s="269"/>
      <c r="AP877" s="269"/>
      <c r="AQ877" s="269"/>
      <c r="AR877" s="269"/>
    </row>
    <row r="878">
      <c r="A878" s="410"/>
      <c r="B878" s="410"/>
      <c r="C878" s="410"/>
      <c r="D878" s="410"/>
      <c r="E878" s="410"/>
      <c r="F878" s="410"/>
      <c r="H878" s="269"/>
      <c r="I878" s="269"/>
      <c r="J878" s="269"/>
      <c r="K878" s="269"/>
      <c r="L878" s="269"/>
      <c r="M878" s="269"/>
      <c r="N878" s="269"/>
      <c r="O878" s="269"/>
      <c r="P878" s="269"/>
      <c r="Q878" s="269"/>
      <c r="R878" s="269"/>
      <c r="S878" s="269"/>
      <c r="T878" s="269"/>
      <c r="U878" s="269"/>
      <c r="V878" s="269"/>
      <c r="W878" s="269"/>
      <c r="X878" s="269"/>
      <c r="Y878" s="269"/>
      <c r="Z878" s="269"/>
      <c r="AA878" s="269"/>
      <c r="AB878" s="269"/>
      <c r="AC878" s="269"/>
      <c r="AD878" s="269"/>
      <c r="AE878" s="269"/>
      <c r="AF878" s="269"/>
      <c r="AG878" s="269"/>
      <c r="AH878" s="269"/>
      <c r="AI878" s="269"/>
      <c r="AJ878" s="269"/>
      <c r="AK878" s="269"/>
      <c r="AL878" s="269"/>
      <c r="AM878" s="269"/>
      <c r="AN878" s="269"/>
      <c r="AO878" s="269"/>
      <c r="AP878" s="269"/>
      <c r="AQ878" s="269"/>
      <c r="AR878" s="269"/>
    </row>
    <row r="879">
      <c r="A879" s="410"/>
      <c r="B879" s="410"/>
      <c r="C879" s="410"/>
      <c r="D879" s="410"/>
      <c r="E879" s="410"/>
      <c r="F879" s="410"/>
      <c r="H879" s="269"/>
      <c r="I879" s="269"/>
      <c r="J879" s="269"/>
      <c r="K879" s="269"/>
      <c r="L879" s="269"/>
      <c r="M879" s="269"/>
      <c r="N879" s="269"/>
      <c r="O879" s="269"/>
      <c r="P879" s="269"/>
      <c r="Q879" s="269"/>
      <c r="R879" s="269"/>
      <c r="S879" s="269"/>
      <c r="T879" s="269"/>
      <c r="U879" s="269"/>
      <c r="V879" s="269"/>
      <c r="W879" s="269"/>
      <c r="X879" s="269"/>
      <c r="Y879" s="269"/>
      <c r="Z879" s="269"/>
      <c r="AA879" s="269"/>
      <c r="AB879" s="269"/>
      <c r="AC879" s="269"/>
      <c r="AD879" s="269"/>
      <c r="AE879" s="269"/>
      <c r="AF879" s="269"/>
      <c r="AG879" s="269"/>
      <c r="AH879" s="269"/>
      <c r="AI879" s="269"/>
      <c r="AJ879" s="269"/>
      <c r="AK879" s="269"/>
      <c r="AL879" s="269"/>
      <c r="AM879" s="269"/>
      <c r="AN879" s="269"/>
      <c r="AO879" s="269"/>
      <c r="AP879" s="269"/>
      <c r="AQ879" s="269"/>
      <c r="AR879" s="269"/>
    </row>
    <row r="880">
      <c r="A880" s="410"/>
      <c r="B880" s="410"/>
      <c r="C880" s="410"/>
      <c r="D880" s="410"/>
      <c r="E880" s="410"/>
      <c r="F880" s="410"/>
      <c r="H880" s="269"/>
      <c r="I880" s="269"/>
      <c r="J880" s="269"/>
      <c r="K880" s="269"/>
      <c r="L880" s="269"/>
      <c r="M880" s="269"/>
      <c r="N880" s="269"/>
      <c r="O880" s="269"/>
      <c r="P880" s="269"/>
      <c r="Q880" s="269"/>
      <c r="R880" s="269"/>
      <c r="S880" s="269"/>
      <c r="T880" s="269"/>
      <c r="U880" s="269"/>
      <c r="V880" s="269"/>
      <c r="W880" s="269"/>
      <c r="X880" s="269"/>
      <c r="Y880" s="269"/>
      <c r="Z880" s="269"/>
      <c r="AA880" s="269"/>
      <c r="AB880" s="269"/>
      <c r="AC880" s="269"/>
      <c r="AD880" s="269"/>
      <c r="AE880" s="269"/>
      <c r="AF880" s="269"/>
      <c r="AG880" s="269"/>
      <c r="AH880" s="269"/>
      <c r="AI880" s="269"/>
      <c r="AJ880" s="269"/>
      <c r="AK880" s="269"/>
      <c r="AL880" s="269"/>
      <c r="AM880" s="269"/>
      <c r="AN880" s="269"/>
      <c r="AO880" s="269"/>
      <c r="AP880" s="269"/>
      <c r="AQ880" s="269"/>
      <c r="AR880" s="269"/>
    </row>
    <row r="881">
      <c r="A881" s="410"/>
      <c r="B881" s="410"/>
      <c r="C881" s="410"/>
      <c r="D881" s="410"/>
      <c r="E881" s="410"/>
      <c r="F881" s="410"/>
      <c r="H881" s="269"/>
      <c r="I881" s="269"/>
      <c r="J881" s="269"/>
      <c r="K881" s="269"/>
      <c r="L881" s="269"/>
      <c r="M881" s="269"/>
      <c r="N881" s="269"/>
      <c r="O881" s="269"/>
      <c r="P881" s="269"/>
      <c r="Q881" s="269"/>
      <c r="R881" s="269"/>
      <c r="S881" s="269"/>
      <c r="T881" s="269"/>
      <c r="U881" s="269"/>
      <c r="V881" s="269"/>
      <c r="W881" s="269"/>
      <c r="X881" s="269"/>
      <c r="Y881" s="269"/>
      <c r="Z881" s="269"/>
      <c r="AA881" s="269"/>
      <c r="AB881" s="269"/>
      <c r="AC881" s="269"/>
      <c r="AD881" s="269"/>
      <c r="AE881" s="269"/>
      <c r="AF881" s="269"/>
      <c r="AG881" s="269"/>
      <c r="AH881" s="269"/>
      <c r="AI881" s="269"/>
      <c r="AJ881" s="269"/>
      <c r="AK881" s="269"/>
      <c r="AL881" s="269"/>
      <c r="AM881" s="269"/>
      <c r="AN881" s="269"/>
      <c r="AO881" s="269"/>
      <c r="AP881" s="269"/>
      <c r="AQ881" s="269"/>
      <c r="AR881" s="269"/>
    </row>
    <row r="882">
      <c r="A882" s="410"/>
      <c r="B882" s="410"/>
      <c r="C882" s="410"/>
      <c r="D882" s="410"/>
      <c r="E882" s="410"/>
      <c r="F882" s="410"/>
      <c r="H882" s="269"/>
      <c r="I882" s="269"/>
      <c r="J882" s="269"/>
      <c r="K882" s="269"/>
      <c r="L882" s="269"/>
      <c r="M882" s="269"/>
      <c r="N882" s="269"/>
      <c r="O882" s="269"/>
      <c r="P882" s="269"/>
      <c r="Q882" s="269"/>
      <c r="R882" s="269"/>
      <c r="S882" s="269"/>
      <c r="T882" s="269"/>
      <c r="U882" s="269"/>
      <c r="V882" s="269"/>
      <c r="W882" s="269"/>
      <c r="X882" s="269"/>
      <c r="Y882" s="269"/>
      <c r="Z882" s="269"/>
      <c r="AA882" s="269"/>
      <c r="AB882" s="269"/>
      <c r="AC882" s="269"/>
      <c r="AD882" s="269"/>
      <c r="AE882" s="269"/>
      <c r="AF882" s="269"/>
      <c r="AG882" s="269"/>
      <c r="AH882" s="269"/>
      <c r="AI882" s="269"/>
      <c r="AJ882" s="269"/>
      <c r="AK882" s="269"/>
      <c r="AL882" s="269"/>
      <c r="AM882" s="269"/>
      <c r="AN882" s="269"/>
      <c r="AO882" s="269"/>
      <c r="AP882" s="269"/>
      <c r="AQ882" s="269"/>
      <c r="AR882" s="269"/>
    </row>
    <row r="883">
      <c r="A883" s="410"/>
      <c r="B883" s="410"/>
      <c r="C883" s="410"/>
      <c r="D883" s="410"/>
      <c r="E883" s="410"/>
      <c r="F883" s="410"/>
      <c r="H883" s="269"/>
      <c r="I883" s="269"/>
      <c r="J883" s="269"/>
      <c r="K883" s="269"/>
      <c r="L883" s="269"/>
      <c r="M883" s="269"/>
      <c r="N883" s="269"/>
      <c r="O883" s="269"/>
      <c r="P883" s="269"/>
      <c r="Q883" s="269"/>
      <c r="R883" s="269"/>
      <c r="S883" s="269"/>
      <c r="T883" s="269"/>
      <c r="U883" s="269"/>
      <c r="V883" s="269"/>
      <c r="W883" s="269"/>
      <c r="X883" s="269"/>
      <c r="Y883" s="269"/>
      <c r="Z883" s="269"/>
      <c r="AA883" s="269"/>
      <c r="AB883" s="269"/>
      <c r="AC883" s="269"/>
      <c r="AD883" s="269"/>
      <c r="AE883" s="269"/>
      <c r="AF883" s="269"/>
      <c r="AG883" s="269"/>
      <c r="AH883" s="269"/>
      <c r="AI883" s="269"/>
      <c r="AJ883" s="269"/>
      <c r="AK883" s="269"/>
      <c r="AL883" s="269"/>
      <c r="AM883" s="269"/>
      <c r="AN883" s="269"/>
      <c r="AO883" s="269"/>
      <c r="AP883" s="269"/>
      <c r="AQ883" s="269"/>
      <c r="AR883" s="269"/>
    </row>
    <row r="884">
      <c r="A884" s="410"/>
      <c r="B884" s="410"/>
      <c r="C884" s="410"/>
      <c r="D884" s="410"/>
      <c r="E884" s="410"/>
      <c r="F884" s="410"/>
      <c r="H884" s="269"/>
      <c r="I884" s="269"/>
      <c r="J884" s="269"/>
      <c r="K884" s="269"/>
      <c r="L884" s="269"/>
      <c r="M884" s="269"/>
      <c r="N884" s="269"/>
      <c r="O884" s="269"/>
      <c r="P884" s="269"/>
      <c r="Q884" s="269"/>
      <c r="R884" s="269"/>
      <c r="S884" s="269"/>
      <c r="T884" s="269"/>
      <c r="U884" s="269"/>
      <c r="V884" s="269"/>
      <c r="W884" s="269"/>
      <c r="X884" s="269"/>
      <c r="Y884" s="269"/>
      <c r="Z884" s="269"/>
      <c r="AA884" s="269"/>
      <c r="AB884" s="269"/>
      <c r="AC884" s="269"/>
      <c r="AD884" s="269"/>
      <c r="AE884" s="269"/>
      <c r="AF884" s="269"/>
      <c r="AG884" s="269"/>
      <c r="AH884" s="269"/>
      <c r="AI884" s="269"/>
      <c r="AJ884" s="269"/>
      <c r="AK884" s="269"/>
      <c r="AL884" s="269"/>
      <c r="AM884" s="269"/>
      <c r="AN884" s="269"/>
      <c r="AO884" s="269"/>
      <c r="AP884" s="269"/>
      <c r="AQ884" s="269"/>
      <c r="AR884" s="269"/>
    </row>
    <row r="885">
      <c r="A885" s="410"/>
      <c r="B885" s="410"/>
      <c r="C885" s="410"/>
      <c r="D885" s="410"/>
      <c r="E885" s="410"/>
      <c r="F885" s="410"/>
      <c r="H885" s="269"/>
      <c r="I885" s="269"/>
      <c r="J885" s="269"/>
      <c r="K885" s="269"/>
      <c r="L885" s="269"/>
      <c r="M885" s="269"/>
      <c r="N885" s="269"/>
      <c r="O885" s="269"/>
      <c r="P885" s="269"/>
      <c r="Q885" s="269"/>
      <c r="R885" s="269"/>
      <c r="S885" s="269"/>
      <c r="T885" s="269"/>
      <c r="U885" s="269"/>
      <c r="V885" s="269"/>
      <c r="W885" s="269"/>
      <c r="X885" s="269"/>
      <c r="Y885" s="269"/>
      <c r="Z885" s="269"/>
      <c r="AA885" s="269"/>
      <c r="AB885" s="269"/>
      <c r="AC885" s="269"/>
      <c r="AD885" s="269"/>
      <c r="AE885" s="269"/>
      <c r="AF885" s="269"/>
      <c r="AG885" s="269"/>
      <c r="AH885" s="269"/>
      <c r="AI885" s="269"/>
      <c r="AJ885" s="269"/>
      <c r="AK885" s="269"/>
      <c r="AL885" s="269"/>
      <c r="AM885" s="269"/>
      <c r="AN885" s="269"/>
      <c r="AO885" s="269"/>
      <c r="AP885" s="269"/>
      <c r="AQ885" s="269"/>
      <c r="AR885" s="269"/>
    </row>
    <row r="886">
      <c r="A886" s="410"/>
      <c r="B886" s="410"/>
      <c r="C886" s="410"/>
      <c r="D886" s="410"/>
      <c r="E886" s="410"/>
      <c r="F886" s="410"/>
      <c r="H886" s="269"/>
      <c r="I886" s="269"/>
      <c r="J886" s="269"/>
      <c r="K886" s="269"/>
      <c r="L886" s="269"/>
      <c r="M886" s="269"/>
      <c r="N886" s="269"/>
      <c r="O886" s="269"/>
      <c r="P886" s="269"/>
      <c r="Q886" s="269"/>
      <c r="R886" s="269"/>
      <c r="S886" s="269"/>
      <c r="T886" s="269"/>
      <c r="U886" s="269"/>
      <c r="V886" s="269"/>
      <c r="W886" s="269"/>
      <c r="X886" s="269"/>
      <c r="Y886" s="269"/>
      <c r="Z886" s="269"/>
      <c r="AA886" s="269"/>
      <c r="AB886" s="269"/>
      <c r="AC886" s="269"/>
      <c r="AD886" s="269"/>
      <c r="AE886" s="269"/>
      <c r="AF886" s="269"/>
      <c r="AG886" s="269"/>
      <c r="AH886" s="269"/>
      <c r="AI886" s="269"/>
      <c r="AJ886" s="269"/>
      <c r="AK886" s="269"/>
      <c r="AL886" s="269"/>
      <c r="AM886" s="269"/>
      <c r="AN886" s="269"/>
      <c r="AO886" s="269"/>
      <c r="AP886" s="269"/>
      <c r="AQ886" s="269"/>
      <c r="AR886" s="269"/>
    </row>
    <row r="887">
      <c r="A887" s="410"/>
      <c r="B887" s="410"/>
      <c r="C887" s="410"/>
      <c r="D887" s="410"/>
      <c r="E887" s="410"/>
      <c r="F887" s="410"/>
      <c r="H887" s="269"/>
      <c r="I887" s="269"/>
      <c r="J887" s="269"/>
      <c r="K887" s="269"/>
      <c r="L887" s="269"/>
      <c r="M887" s="269"/>
      <c r="N887" s="269"/>
      <c r="O887" s="269"/>
      <c r="P887" s="269"/>
      <c r="Q887" s="269"/>
      <c r="R887" s="269"/>
      <c r="S887" s="269"/>
      <c r="T887" s="269"/>
      <c r="U887" s="269"/>
      <c r="V887" s="269"/>
      <c r="W887" s="269"/>
      <c r="X887" s="269"/>
      <c r="Y887" s="269"/>
      <c r="Z887" s="269"/>
      <c r="AA887" s="269"/>
      <c r="AB887" s="269"/>
      <c r="AC887" s="269"/>
      <c r="AD887" s="269"/>
      <c r="AE887" s="269"/>
      <c r="AF887" s="269"/>
      <c r="AG887" s="269"/>
      <c r="AH887" s="269"/>
      <c r="AI887" s="269"/>
      <c r="AJ887" s="269"/>
      <c r="AK887" s="269"/>
      <c r="AL887" s="269"/>
      <c r="AM887" s="269"/>
      <c r="AN887" s="269"/>
      <c r="AO887" s="269"/>
      <c r="AP887" s="269"/>
      <c r="AQ887" s="269"/>
      <c r="AR887" s="269"/>
    </row>
    <row r="888">
      <c r="A888" s="410"/>
      <c r="B888" s="410"/>
      <c r="C888" s="410"/>
      <c r="D888" s="410"/>
      <c r="E888" s="410"/>
      <c r="F888" s="410"/>
      <c r="H888" s="269"/>
      <c r="I888" s="269"/>
      <c r="J888" s="269"/>
      <c r="K888" s="269"/>
      <c r="L888" s="269"/>
      <c r="M888" s="269"/>
      <c r="N888" s="269"/>
      <c r="O888" s="269"/>
      <c r="P888" s="269"/>
      <c r="Q888" s="269"/>
      <c r="R888" s="269"/>
      <c r="S888" s="269"/>
      <c r="T888" s="269"/>
      <c r="U888" s="269"/>
      <c r="V888" s="269"/>
      <c r="W888" s="269"/>
      <c r="X888" s="269"/>
      <c r="Y888" s="269"/>
      <c r="Z888" s="269"/>
      <c r="AA888" s="269"/>
      <c r="AB888" s="269"/>
      <c r="AC888" s="269"/>
      <c r="AD888" s="269"/>
      <c r="AE888" s="269"/>
      <c r="AF888" s="269"/>
      <c r="AG888" s="269"/>
      <c r="AH888" s="269"/>
      <c r="AI888" s="269"/>
      <c r="AJ888" s="269"/>
      <c r="AK888" s="269"/>
      <c r="AL888" s="269"/>
      <c r="AM888" s="269"/>
      <c r="AN888" s="269"/>
      <c r="AO888" s="269"/>
      <c r="AP888" s="269"/>
      <c r="AQ888" s="269"/>
      <c r="AR888" s="269"/>
    </row>
    <row r="889">
      <c r="A889" s="410"/>
      <c r="B889" s="410"/>
      <c r="C889" s="410"/>
      <c r="D889" s="410"/>
      <c r="E889" s="410"/>
      <c r="F889" s="410"/>
      <c r="H889" s="269"/>
      <c r="I889" s="269"/>
      <c r="J889" s="269"/>
      <c r="K889" s="269"/>
      <c r="L889" s="269"/>
      <c r="M889" s="269"/>
      <c r="N889" s="269"/>
      <c r="O889" s="269"/>
      <c r="P889" s="269"/>
      <c r="Q889" s="269"/>
      <c r="R889" s="269"/>
      <c r="S889" s="269"/>
      <c r="T889" s="269"/>
      <c r="U889" s="269"/>
      <c r="V889" s="269"/>
      <c r="W889" s="269"/>
      <c r="X889" s="269"/>
      <c r="Y889" s="269"/>
      <c r="Z889" s="269"/>
      <c r="AA889" s="269"/>
      <c r="AB889" s="269"/>
      <c r="AC889" s="269"/>
      <c r="AD889" s="269"/>
      <c r="AE889" s="269"/>
      <c r="AF889" s="269"/>
      <c r="AG889" s="269"/>
      <c r="AH889" s="269"/>
      <c r="AI889" s="269"/>
      <c r="AJ889" s="269"/>
      <c r="AK889" s="269"/>
      <c r="AL889" s="269"/>
      <c r="AM889" s="269"/>
      <c r="AN889" s="269"/>
      <c r="AO889" s="269"/>
      <c r="AP889" s="269"/>
      <c r="AQ889" s="269"/>
      <c r="AR889" s="269"/>
    </row>
    <row r="890">
      <c r="A890" s="410"/>
      <c r="B890" s="410"/>
      <c r="C890" s="410"/>
      <c r="D890" s="410"/>
      <c r="E890" s="410"/>
      <c r="F890" s="410"/>
      <c r="H890" s="269"/>
      <c r="I890" s="269"/>
      <c r="J890" s="269"/>
      <c r="K890" s="269"/>
      <c r="L890" s="269"/>
      <c r="M890" s="269"/>
      <c r="N890" s="269"/>
      <c r="O890" s="269"/>
      <c r="P890" s="269"/>
      <c r="Q890" s="269"/>
      <c r="R890" s="269"/>
      <c r="S890" s="269"/>
      <c r="T890" s="269"/>
      <c r="U890" s="269"/>
      <c r="V890" s="269"/>
      <c r="W890" s="269"/>
      <c r="X890" s="269"/>
      <c r="Y890" s="269"/>
      <c r="Z890" s="269"/>
      <c r="AA890" s="269"/>
      <c r="AB890" s="269"/>
      <c r="AC890" s="269"/>
      <c r="AD890" s="269"/>
      <c r="AE890" s="269"/>
      <c r="AF890" s="269"/>
      <c r="AG890" s="269"/>
      <c r="AH890" s="269"/>
      <c r="AI890" s="269"/>
      <c r="AJ890" s="269"/>
      <c r="AK890" s="269"/>
      <c r="AL890" s="269"/>
      <c r="AM890" s="269"/>
      <c r="AN890" s="269"/>
      <c r="AO890" s="269"/>
      <c r="AP890" s="269"/>
      <c r="AQ890" s="269"/>
      <c r="AR890" s="269"/>
    </row>
    <row r="891">
      <c r="A891" s="410"/>
      <c r="B891" s="410"/>
      <c r="C891" s="410"/>
      <c r="D891" s="410"/>
      <c r="E891" s="410"/>
      <c r="F891" s="410"/>
      <c r="H891" s="269"/>
      <c r="I891" s="269"/>
      <c r="J891" s="269"/>
      <c r="K891" s="269"/>
      <c r="L891" s="269"/>
      <c r="M891" s="269"/>
      <c r="N891" s="269"/>
      <c r="O891" s="269"/>
      <c r="P891" s="269"/>
      <c r="Q891" s="269"/>
      <c r="R891" s="269"/>
      <c r="S891" s="269"/>
      <c r="T891" s="269"/>
      <c r="U891" s="269"/>
      <c r="V891" s="269"/>
      <c r="W891" s="269"/>
      <c r="X891" s="269"/>
      <c r="Y891" s="269"/>
      <c r="Z891" s="269"/>
      <c r="AA891" s="269"/>
      <c r="AB891" s="269"/>
      <c r="AC891" s="269"/>
      <c r="AD891" s="269"/>
      <c r="AE891" s="269"/>
      <c r="AF891" s="269"/>
      <c r="AG891" s="269"/>
      <c r="AH891" s="269"/>
      <c r="AI891" s="269"/>
      <c r="AJ891" s="269"/>
      <c r="AK891" s="269"/>
      <c r="AL891" s="269"/>
      <c r="AM891" s="269"/>
      <c r="AN891" s="269"/>
      <c r="AO891" s="269"/>
      <c r="AP891" s="269"/>
      <c r="AQ891" s="269"/>
      <c r="AR891" s="269"/>
    </row>
    <row r="892">
      <c r="A892" s="410"/>
      <c r="B892" s="410"/>
      <c r="C892" s="410"/>
      <c r="D892" s="410"/>
      <c r="E892" s="410"/>
      <c r="F892" s="410"/>
      <c r="H892" s="269"/>
      <c r="I892" s="269"/>
      <c r="J892" s="269"/>
      <c r="K892" s="269"/>
      <c r="L892" s="269"/>
      <c r="M892" s="269"/>
      <c r="N892" s="269"/>
      <c r="O892" s="269"/>
      <c r="P892" s="269"/>
      <c r="Q892" s="269"/>
      <c r="R892" s="269"/>
      <c r="S892" s="269"/>
      <c r="T892" s="269"/>
      <c r="U892" s="269"/>
      <c r="V892" s="269"/>
      <c r="W892" s="269"/>
      <c r="X892" s="269"/>
      <c r="Y892" s="269"/>
      <c r="Z892" s="269"/>
      <c r="AA892" s="269"/>
      <c r="AB892" s="269"/>
      <c r="AC892" s="269"/>
      <c r="AD892" s="269"/>
      <c r="AE892" s="269"/>
      <c r="AF892" s="269"/>
      <c r="AG892" s="269"/>
      <c r="AH892" s="269"/>
      <c r="AI892" s="269"/>
      <c r="AJ892" s="269"/>
      <c r="AK892" s="269"/>
      <c r="AL892" s="269"/>
      <c r="AM892" s="269"/>
      <c r="AN892" s="269"/>
      <c r="AO892" s="269"/>
      <c r="AP892" s="269"/>
      <c r="AQ892" s="269"/>
      <c r="AR892" s="269"/>
    </row>
    <row r="893">
      <c r="A893" s="410"/>
      <c r="B893" s="410"/>
      <c r="C893" s="410"/>
      <c r="D893" s="410"/>
      <c r="E893" s="410"/>
      <c r="F893" s="410"/>
      <c r="H893" s="269"/>
      <c r="I893" s="269"/>
      <c r="J893" s="269"/>
      <c r="K893" s="269"/>
      <c r="L893" s="269"/>
      <c r="M893" s="269"/>
      <c r="N893" s="269"/>
      <c r="O893" s="269"/>
      <c r="P893" s="269"/>
      <c r="Q893" s="269"/>
      <c r="R893" s="269"/>
      <c r="S893" s="269"/>
      <c r="T893" s="269"/>
      <c r="U893" s="269"/>
      <c r="V893" s="269"/>
      <c r="W893" s="269"/>
      <c r="X893" s="269"/>
      <c r="Y893" s="269"/>
      <c r="Z893" s="269"/>
      <c r="AA893" s="269"/>
      <c r="AB893" s="269"/>
      <c r="AC893" s="269"/>
      <c r="AD893" s="269"/>
      <c r="AE893" s="269"/>
      <c r="AF893" s="269"/>
      <c r="AG893" s="269"/>
      <c r="AH893" s="269"/>
      <c r="AI893" s="269"/>
      <c r="AJ893" s="269"/>
      <c r="AK893" s="269"/>
      <c r="AL893" s="269"/>
      <c r="AM893" s="269"/>
      <c r="AN893" s="269"/>
      <c r="AO893" s="269"/>
      <c r="AP893" s="269"/>
      <c r="AQ893" s="269"/>
      <c r="AR893" s="269"/>
    </row>
    <row r="894">
      <c r="A894" s="410"/>
      <c r="B894" s="410"/>
      <c r="C894" s="410"/>
      <c r="D894" s="410"/>
      <c r="E894" s="410"/>
      <c r="F894" s="410"/>
      <c r="H894" s="269"/>
      <c r="I894" s="269"/>
      <c r="J894" s="269"/>
      <c r="K894" s="269"/>
      <c r="L894" s="269"/>
      <c r="M894" s="269"/>
      <c r="N894" s="269"/>
      <c r="O894" s="269"/>
      <c r="P894" s="269"/>
      <c r="Q894" s="269"/>
      <c r="R894" s="269"/>
      <c r="S894" s="269"/>
      <c r="T894" s="269"/>
      <c r="U894" s="269"/>
      <c r="V894" s="269"/>
      <c r="W894" s="269"/>
      <c r="X894" s="269"/>
      <c r="Y894" s="269"/>
      <c r="Z894" s="269"/>
      <c r="AA894" s="269"/>
      <c r="AB894" s="269"/>
      <c r="AC894" s="269"/>
      <c r="AD894" s="269"/>
      <c r="AE894" s="269"/>
      <c r="AF894" s="269"/>
      <c r="AG894" s="269"/>
      <c r="AH894" s="269"/>
      <c r="AI894" s="269"/>
      <c r="AJ894" s="269"/>
      <c r="AK894" s="269"/>
      <c r="AL894" s="269"/>
      <c r="AM894" s="269"/>
      <c r="AN894" s="269"/>
      <c r="AO894" s="269"/>
      <c r="AP894" s="269"/>
      <c r="AQ894" s="269"/>
      <c r="AR894" s="269"/>
    </row>
    <row r="895">
      <c r="A895" s="410"/>
      <c r="B895" s="410"/>
      <c r="C895" s="410"/>
      <c r="D895" s="410"/>
      <c r="E895" s="410"/>
      <c r="F895" s="410"/>
      <c r="H895" s="269"/>
      <c r="I895" s="269"/>
      <c r="J895" s="269"/>
      <c r="K895" s="269"/>
      <c r="L895" s="269"/>
      <c r="M895" s="269"/>
      <c r="N895" s="269"/>
      <c r="O895" s="269"/>
      <c r="P895" s="269"/>
      <c r="Q895" s="269"/>
      <c r="R895" s="269"/>
      <c r="S895" s="269"/>
      <c r="T895" s="269"/>
      <c r="U895" s="269"/>
      <c r="V895" s="269"/>
      <c r="W895" s="269"/>
      <c r="X895" s="269"/>
      <c r="Y895" s="269"/>
      <c r="Z895" s="269"/>
      <c r="AA895" s="269"/>
      <c r="AB895" s="269"/>
      <c r="AC895" s="269"/>
      <c r="AD895" s="269"/>
      <c r="AE895" s="269"/>
      <c r="AF895" s="269"/>
      <c r="AG895" s="269"/>
      <c r="AH895" s="269"/>
      <c r="AI895" s="269"/>
      <c r="AJ895" s="269"/>
      <c r="AK895" s="269"/>
      <c r="AL895" s="269"/>
      <c r="AM895" s="269"/>
      <c r="AN895" s="269"/>
      <c r="AO895" s="269"/>
      <c r="AP895" s="269"/>
      <c r="AQ895" s="269"/>
      <c r="AR895" s="269"/>
    </row>
    <row r="896">
      <c r="A896" s="410"/>
      <c r="B896" s="410"/>
      <c r="C896" s="410"/>
      <c r="D896" s="410"/>
      <c r="E896" s="410"/>
      <c r="F896" s="410"/>
      <c r="H896" s="269"/>
      <c r="I896" s="269"/>
      <c r="J896" s="269"/>
      <c r="K896" s="269"/>
      <c r="L896" s="269"/>
      <c r="M896" s="269"/>
      <c r="N896" s="269"/>
      <c r="O896" s="269"/>
      <c r="P896" s="269"/>
      <c r="Q896" s="269"/>
      <c r="R896" s="269"/>
      <c r="S896" s="269"/>
      <c r="T896" s="269"/>
      <c r="U896" s="269"/>
      <c r="V896" s="269"/>
      <c r="W896" s="269"/>
      <c r="X896" s="269"/>
      <c r="Y896" s="269"/>
      <c r="Z896" s="269"/>
      <c r="AA896" s="269"/>
      <c r="AB896" s="269"/>
      <c r="AC896" s="269"/>
      <c r="AD896" s="269"/>
      <c r="AE896" s="269"/>
      <c r="AF896" s="269"/>
      <c r="AG896" s="269"/>
      <c r="AH896" s="269"/>
      <c r="AI896" s="269"/>
      <c r="AJ896" s="269"/>
      <c r="AK896" s="269"/>
      <c r="AL896" s="269"/>
      <c r="AM896" s="269"/>
      <c r="AN896" s="269"/>
      <c r="AO896" s="269"/>
      <c r="AP896" s="269"/>
      <c r="AQ896" s="269"/>
      <c r="AR896" s="269"/>
    </row>
    <row r="897">
      <c r="A897" s="410"/>
      <c r="B897" s="410"/>
      <c r="C897" s="410"/>
      <c r="D897" s="410"/>
      <c r="E897" s="410"/>
      <c r="F897" s="410"/>
      <c r="H897" s="269"/>
      <c r="I897" s="269"/>
      <c r="J897" s="269"/>
      <c r="K897" s="269"/>
      <c r="L897" s="269"/>
      <c r="M897" s="269"/>
      <c r="N897" s="269"/>
      <c r="O897" s="269"/>
      <c r="P897" s="269"/>
      <c r="Q897" s="269"/>
      <c r="R897" s="269"/>
      <c r="S897" s="269"/>
      <c r="T897" s="269"/>
      <c r="U897" s="269"/>
      <c r="V897" s="269"/>
      <c r="W897" s="269"/>
      <c r="X897" s="269"/>
      <c r="Y897" s="269"/>
      <c r="Z897" s="269"/>
      <c r="AA897" s="269"/>
      <c r="AB897" s="269"/>
      <c r="AC897" s="269"/>
      <c r="AD897" s="269"/>
      <c r="AE897" s="269"/>
      <c r="AF897" s="269"/>
      <c r="AG897" s="269"/>
      <c r="AH897" s="269"/>
      <c r="AI897" s="269"/>
      <c r="AJ897" s="269"/>
      <c r="AK897" s="269"/>
      <c r="AL897" s="269"/>
      <c r="AM897" s="269"/>
      <c r="AN897" s="269"/>
      <c r="AO897" s="269"/>
      <c r="AP897" s="269"/>
      <c r="AQ897" s="269"/>
      <c r="AR897" s="269"/>
    </row>
    <row r="898">
      <c r="A898" s="410"/>
      <c r="B898" s="410"/>
      <c r="C898" s="410"/>
      <c r="D898" s="410"/>
      <c r="E898" s="410"/>
      <c r="F898" s="410"/>
      <c r="H898" s="269"/>
      <c r="I898" s="269"/>
      <c r="J898" s="269"/>
      <c r="K898" s="269"/>
      <c r="L898" s="269"/>
      <c r="M898" s="269"/>
      <c r="N898" s="269"/>
      <c r="O898" s="269"/>
      <c r="P898" s="269"/>
      <c r="Q898" s="269"/>
      <c r="R898" s="269"/>
      <c r="S898" s="269"/>
      <c r="T898" s="269"/>
      <c r="U898" s="269"/>
      <c r="V898" s="269"/>
      <c r="W898" s="269"/>
      <c r="X898" s="269"/>
      <c r="Y898" s="269"/>
      <c r="Z898" s="269"/>
      <c r="AA898" s="269"/>
      <c r="AB898" s="269"/>
      <c r="AC898" s="269"/>
      <c r="AD898" s="269"/>
      <c r="AE898" s="269"/>
      <c r="AF898" s="269"/>
      <c r="AG898" s="269"/>
      <c r="AH898" s="269"/>
      <c r="AI898" s="269"/>
      <c r="AJ898" s="269"/>
      <c r="AK898" s="269"/>
      <c r="AL898" s="269"/>
      <c r="AM898" s="269"/>
      <c r="AN898" s="269"/>
      <c r="AO898" s="269"/>
      <c r="AP898" s="269"/>
      <c r="AQ898" s="269"/>
      <c r="AR898" s="269"/>
    </row>
    <row r="899">
      <c r="A899" s="410"/>
      <c r="B899" s="410"/>
      <c r="C899" s="410"/>
      <c r="D899" s="410"/>
      <c r="E899" s="410"/>
      <c r="F899" s="410"/>
      <c r="H899" s="269"/>
      <c r="I899" s="269"/>
      <c r="J899" s="269"/>
      <c r="K899" s="269"/>
      <c r="L899" s="269"/>
      <c r="M899" s="269"/>
      <c r="N899" s="269"/>
      <c r="O899" s="269"/>
      <c r="P899" s="269"/>
      <c r="Q899" s="269"/>
      <c r="R899" s="269"/>
      <c r="S899" s="269"/>
      <c r="T899" s="269"/>
      <c r="U899" s="269"/>
      <c r="V899" s="269"/>
      <c r="W899" s="269"/>
      <c r="X899" s="269"/>
      <c r="Y899" s="269"/>
      <c r="Z899" s="269"/>
      <c r="AA899" s="269"/>
      <c r="AB899" s="269"/>
      <c r="AC899" s="269"/>
      <c r="AD899" s="269"/>
      <c r="AE899" s="269"/>
      <c r="AF899" s="269"/>
      <c r="AG899" s="269"/>
      <c r="AH899" s="269"/>
      <c r="AI899" s="269"/>
      <c r="AJ899" s="269"/>
      <c r="AK899" s="269"/>
      <c r="AL899" s="269"/>
      <c r="AM899" s="269"/>
      <c r="AN899" s="269"/>
      <c r="AO899" s="269"/>
      <c r="AP899" s="269"/>
      <c r="AQ899" s="269"/>
      <c r="AR899" s="269"/>
    </row>
    <row r="900">
      <c r="A900" s="410"/>
      <c r="B900" s="410"/>
      <c r="C900" s="410"/>
      <c r="D900" s="410"/>
      <c r="E900" s="410"/>
      <c r="F900" s="410"/>
      <c r="H900" s="269"/>
      <c r="I900" s="269"/>
      <c r="J900" s="269"/>
      <c r="K900" s="269"/>
      <c r="L900" s="269"/>
      <c r="M900" s="269"/>
      <c r="N900" s="269"/>
      <c r="O900" s="269"/>
      <c r="P900" s="269"/>
      <c r="Q900" s="269"/>
      <c r="R900" s="269"/>
      <c r="S900" s="269"/>
      <c r="T900" s="269"/>
      <c r="U900" s="269"/>
      <c r="V900" s="269"/>
      <c r="W900" s="269"/>
      <c r="X900" s="269"/>
      <c r="Y900" s="269"/>
      <c r="Z900" s="269"/>
      <c r="AA900" s="269"/>
      <c r="AB900" s="269"/>
      <c r="AC900" s="269"/>
      <c r="AD900" s="269"/>
      <c r="AE900" s="269"/>
      <c r="AF900" s="269"/>
      <c r="AG900" s="269"/>
      <c r="AH900" s="269"/>
      <c r="AI900" s="269"/>
      <c r="AJ900" s="269"/>
      <c r="AK900" s="269"/>
      <c r="AL900" s="269"/>
      <c r="AM900" s="269"/>
      <c r="AN900" s="269"/>
      <c r="AO900" s="269"/>
      <c r="AP900" s="269"/>
      <c r="AQ900" s="269"/>
      <c r="AR900" s="269"/>
    </row>
    <row r="901">
      <c r="A901" s="410"/>
      <c r="B901" s="410"/>
      <c r="C901" s="410"/>
      <c r="D901" s="410"/>
      <c r="E901" s="410"/>
      <c r="F901" s="410"/>
      <c r="H901" s="269"/>
      <c r="I901" s="269"/>
      <c r="J901" s="269"/>
      <c r="K901" s="269"/>
      <c r="L901" s="269"/>
      <c r="M901" s="269"/>
      <c r="N901" s="269"/>
      <c r="O901" s="269"/>
      <c r="P901" s="269"/>
      <c r="Q901" s="269"/>
      <c r="R901" s="269"/>
      <c r="S901" s="269"/>
      <c r="T901" s="269"/>
      <c r="U901" s="269"/>
      <c r="V901" s="269"/>
      <c r="W901" s="269"/>
      <c r="X901" s="269"/>
      <c r="Y901" s="269"/>
      <c r="Z901" s="269"/>
      <c r="AA901" s="269"/>
      <c r="AB901" s="269"/>
      <c r="AC901" s="269"/>
      <c r="AD901" s="269"/>
      <c r="AE901" s="269"/>
      <c r="AF901" s="269"/>
      <c r="AG901" s="269"/>
      <c r="AH901" s="269"/>
      <c r="AI901" s="269"/>
      <c r="AJ901" s="269"/>
      <c r="AK901" s="269"/>
      <c r="AL901" s="269"/>
      <c r="AM901" s="269"/>
      <c r="AN901" s="269"/>
      <c r="AO901" s="269"/>
      <c r="AP901" s="269"/>
      <c r="AQ901" s="269"/>
      <c r="AR901" s="269"/>
    </row>
    <row r="902">
      <c r="A902" s="410"/>
      <c r="B902" s="410"/>
      <c r="C902" s="410"/>
      <c r="D902" s="410"/>
      <c r="E902" s="410"/>
      <c r="F902" s="410"/>
      <c r="H902" s="269"/>
      <c r="I902" s="269"/>
      <c r="J902" s="269"/>
      <c r="K902" s="269"/>
      <c r="L902" s="269"/>
      <c r="M902" s="269"/>
      <c r="N902" s="269"/>
      <c r="O902" s="269"/>
      <c r="P902" s="269"/>
      <c r="Q902" s="269"/>
      <c r="R902" s="269"/>
      <c r="S902" s="269"/>
      <c r="T902" s="269"/>
      <c r="U902" s="269"/>
      <c r="V902" s="269"/>
      <c r="W902" s="269"/>
      <c r="X902" s="269"/>
      <c r="Y902" s="269"/>
      <c r="Z902" s="269"/>
      <c r="AA902" s="269"/>
      <c r="AB902" s="269"/>
      <c r="AC902" s="269"/>
      <c r="AD902" s="269"/>
      <c r="AE902" s="269"/>
      <c r="AF902" s="269"/>
      <c r="AG902" s="269"/>
      <c r="AH902" s="269"/>
      <c r="AI902" s="269"/>
      <c r="AJ902" s="269"/>
      <c r="AK902" s="269"/>
      <c r="AL902" s="269"/>
      <c r="AM902" s="269"/>
      <c r="AN902" s="269"/>
      <c r="AO902" s="269"/>
      <c r="AP902" s="269"/>
      <c r="AQ902" s="269"/>
      <c r="AR902" s="269"/>
    </row>
    <row r="903">
      <c r="A903" s="410"/>
      <c r="B903" s="410"/>
      <c r="C903" s="410"/>
      <c r="D903" s="410"/>
      <c r="E903" s="410"/>
      <c r="F903" s="410"/>
      <c r="H903" s="269"/>
      <c r="I903" s="269"/>
      <c r="J903" s="269"/>
      <c r="K903" s="269"/>
      <c r="L903" s="269"/>
      <c r="M903" s="269"/>
      <c r="N903" s="269"/>
      <c r="O903" s="269"/>
      <c r="P903" s="269"/>
      <c r="Q903" s="269"/>
      <c r="R903" s="269"/>
      <c r="S903" s="269"/>
      <c r="T903" s="269"/>
      <c r="U903" s="269"/>
      <c r="V903" s="269"/>
      <c r="W903" s="269"/>
      <c r="X903" s="269"/>
      <c r="Y903" s="269"/>
      <c r="Z903" s="269"/>
      <c r="AA903" s="269"/>
      <c r="AB903" s="269"/>
      <c r="AC903" s="269"/>
      <c r="AD903" s="269"/>
      <c r="AE903" s="269"/>
      <c r="AF903" s="269"/>
      <c r="AG903" s="269"/>
      <c r="AH903" s="269"/>
      <c r="AI903" s="269"/>
      <c r="AJ903" s="269"/>
      <c r="AK903" s="269"/>
      <c r="AL903" s="269"/>
      <c r="AM903" s="269"/>
      <c r="AN903" s="269"/>
      <c r="AO903" s="269"/>
      <c r="AP903" s="269"/>
      <c r="AQ903" s="269"/>
      <c r="AR903" s="269"/>
    </row>
    <row r="904">
      <c r="A904" s="410"/>
      <c r="B904" s="410"/>
      <c r="C904" s="410"/>
      <c r="D904" s="410"/>
      <c r="E904" s="410"/>
      <c r="F904" s="410"/>
      <c r="H904" s="269"/>
      <c r="I904" s="269"/>
      <c r="J904" s="269"/>
      <c r="K904" s="269"/>
      <c r="L904" s="269"/>
      <c r="M904" s="269"/>
      <c r="N904" s="269"/>
      <c r="O904" s="269"/>
      <c r="P904" s="269"/>
      <c r="Q904" s="269"/>
      <c r="R904" s="269"/>
      <c r="S904" s="269"/>
      <c r="T904" s="269"/>
      <c r="U904" s="269"/>
      <c r="V904" s="269"/>
      <c r="W904" s="269"/>
      <c r="X904" s="269"/>
      <c r="Y904" s="269"/>
      <c r="Z904" s="269"/>
      <c r="AA904" s="269"/>
      <c r="AB904" s="269"/>
      <c r="AC904" s="269"/>
      <c r="AD904" s="269"/>
      <c r="AE904" s="269"/>
      <c r="AF904" s="269"/>
      <c r="AG904" s="269"/>
      <c r="AH904" s="269"/>
      <c r="AI904" s="269"/>
      <c r="AJ904" s="269"/>
      <c r="AK904" s="269"/>
      <c r="AL904" s="269"/>
      <c r="AM904" s="269"/>
      <c r="AN904" s="269"/>
      <c r="AO904" s="269"/>
      <c r="AP904" s="269"/>
      <c r="AQ904" s="269"/>
      <c r="AR904" s="269"/>
    </row>
    <row r="905">
      <c r="A905" s="410"/>
      <c r="B905" s="410"/>
      <c r="C905" s="410"/>
      <c r="D905" s="410"/>
      <c r="E905" s="410"/>
      <c r="F905" s="410"/>
      <c r="H905" s="269"/>
      <c r="I905" s="269"/>
      <c r="J905" s="269"/>
      <c r="K905" s="269"/>
      <c r="L905" s="269"/>
      <c r="M905" s="269"/>
      <c r="N905" s="269"/>
      <c r="O905" s="269"/>
      <c r="P905" s="269"/>
      <c r="Q905" s="269"/>
      <c r="R905" s="269"/>
      <c r="S905" s="269"/>
      <c r="T905" s="269"/>
      <c r="U905" s="269"/>
      <c r="V905" s="269"/>
      <c r="W905" s="269"/>
      <c r="X905" s="269"/>
      <c r="Y905" s="269"/>
      <c r="Z905" s="269"/>
      <c r="AA905" s="269"/>
      <c r="AB905" s="269"/>
      <c r="AC905" s="269"/>
      <c r="AD905" s="269"/>
      <c r="AE905" s="269"/>
      <c r="AF905" s="269"/>
      <c r="AG905" s="269"/>
      <c r="AH905" s="269"/>
      <c r="AI905" s="269"/>
      <c r="AJ905" s="269"/>
      <c r="AK905" s="269"/>
      <c r="AL905" s="269"/>
      <c r="AM905" s="269"/>
      <c r="AN905" s="269"/>
      <c r="AO905" s="269"/>
      <c r="AP905" s="269"/>
      <c r="AQ905" s="269"/>
      <c r="AR905" s="269"/>
    </row>
    <row r="906">
      <c r="A906" s="410"/>
      <c r="B906" s="410"/>
      <c r="C906" s="410"/>
      <c r="D906" s="410"/>
      <c r="E906" s="410"/>
      <c r="F906" s="410"/>
      <c r="H906" s="269"/>
      <c r="I906" s="269"/>
      <c r="J906" s="269"/>
      <c r="K906" s="269"/>
      <c r="L906" s="269"/>
      <c r="M906" s="269"/>
      <c r="N906" s="269"/>
      <c r="O906" s="269"/>
      <c r="P906" s="269"/>
      <c r="Q906" s="269"/>
      <c r="R906" s="269"/>
      <c r="S906" s="269"/>
      <c r="T906" s="269"/>
      <c r="U906" s="269"/>
      <c r="V906" s="269"/>
      <c r="W906" s="269"/>
      <c r="X906" s="269"/>
      <c r="Y906" s="269"/>
      <c r="Z906" s="269"/>
      <c r="AA906" s="269"/>
      <c r="AB906" s="269"/>
      <c r="AC906" s="269"/>
      <c r="AD906" s="269"/>
      <c r="AE906" s="269"/>
      <c r="AF906" s="269"/>
      <c r="AG906" s="269"/>
      <c r="AH906" s="269"/>
      <c r="AI906" s="269"/>
      <c r="AJ906" s="269"/>
      <c r="AK906" s="269"/>
      <c r="AL906" s="269"/>
      <c r="AM906" s="269"/>
      <c r="AN906" s="269"/>
      <c r="AO906" s="269"/>
      <c r="AP906" s="269"/>
      <c r="AQ906" s="269"/>
      <c r="AR906" s="269"/>
    </row>
    <row r="907">
      <c r="A907" s="410"/>
      <c r="B907" s="410"/>
      <c r="C907" s="410"/>
      <c r="D907" s="410"/>
      <c r="E907" s="410"/>
      <c r="F907" s="410"/>
      <c r="H907" s="269"/>
      <c r="I907" s="269"/>
      <c r="J907" s="269"/>
      <c r="K907" s="269"/>
      <c r="L907" s="269"/>
      <c r="M907" s="269"/>
      <c r="N907" s="269"/>
      <c r="O907" s="269"/>
      <c r="P907" s="269"/>
      <c r="Q907" s="269"/>
      <c r="R907" s="269"/>
      <c r="S907" s="269"/>
      <c r="T907" s="269"/>
      <c r="U907" s="269"/>
      <c r="V907" s="269"/>
      <c r="W907" s="269"/>
      <c r="X907" s="269"/>
      <c r="Y907" s="269"/>
      <c r="Z907" s="269"/>
      <c r="AA907" s="269"/>
      <c r="AB907" s="269"/>
      <c r="AC907" s="269"/>
      <c r="AD907" s="269"/>
      <c r="AE907" s="269"/>
      <c r="AF907" s="269"/>
      <c r="AG907" s="269"/>
      <c r="AH907" s="269"/>
      <c r="AI907" s="269"/>
      <c r="AJ907" s="269"/>
      <c r="AK907" s="269"/>
      <c r="AL907" s="269"/>
      <c r="AM907" s="269"/>
      <c r="AN907" s="269"/>
      <c r="AO907" s="269"/>
      <c r="AP907" s="269"/>
      <c r="AQ907" s="269"/>
      <c r="AR907" s="269"/>
    </row>
    <row r="908">
      <c r="A908" s="410"/>
      <c r="B908" s="410"/>
      <c r="C908" s="410"/>
      <c r="D908" s="410"/>
      <c r="E908" s="410"/>
      <c r="F908" s="410"/>
      <c r="H908" s="269"/>
      <c r="I908" s="269"/>
      <c r="J908" s="269"/>
      <c r="K908" s="269"/>
      <c r="L908" s="269"/>
      <c r="M908" s="269"/>
      <c r="N908" s="269"/>
      <c r="O908" s="269"/>
      <c r="P908" s="269"/>
      <c r="Q908" s="269"/>
      <c r="R908" s="269"/>
      <c r="S908" s="269"/>
      <c r="T908" s="269"/>
      <c r="U908" s="269"/>
      <c r="V908" s="269"/>
      <c r="W908" s="269"/>
      <c r="X908" s="269"/>
      <c r="Y908" s="269"/>
      <c r="Z908" s="269"/>
      <c r="AA908" s="269"/>
      <c r="AB908" s="269"/>
      <c r="AC908" s="269"/>
      <c r="AD908" s="269"/>
      <c r="AE908" s="269"/>
      <c r="AF908" s="269"/>
      <c r="AG908" s="269"/>
      <c r="AH908" s="269"/>
      <c r="AI908" s="269"/>
      <c r="AJ908" s="269"/>
      <c r="AK908" s="269"/>
      <c r="AL908" s="269"/>
      <c r="AM908" s="269"/>
      <c r="AN908" s="269"/>
      <c r="AO908" s="269"/>
      <c r="AP908" s="269"/>
      <c r="AQ908" s="269"/>
      <c r="AR908" s="269"/>
    </row>
    <row r="909">
      <c r="A909" s="410"/>
      <c r="B909" s="410"/>
      <c r="C909" s="410"/>
      <c r="D909" s="410"/>
      <c r="E909" s="410"/>
      <c r="F909" s="410"/>
      <c r="H909" s="269"/>
      <c r="I909" s="269"/>
      <c r="J909" s="269"/>
      <c r="K909" s="269"/>
      <c r="L909" s="269"/>
      <c r="M909" s="269"/>
      <c r="N909" s="269"/>
      <c r="O909" s="269"/>
      <c r="P909" s="269"/>
      <c r="Q909" s="269"/>
      <c r="R909" s="269"/>
      <c r="S909" s="269"/>
      <c r="T909" s="269"/>
      <c r="U909" s="269"/>
      <c r="V909" s="269"/>
      <c r="W909" s="269"/>
      <c r="X909" s="269"/>
      <c r="Y909" s="269"/>
      <c r="Z909" s="269"/>
      <c r="AA909" s="269"/>
      <c r="AB909" s="269"/>
      <c r="AC909" s="269"/>
      <c r="AD909" s="269"/>
      <c r="AE909" s="269"/>
      <c r="AF909" s="269"/>
      <c r="AG909" s="269"/>
      <c r="AH909" s="269"/>
      <c r="AI909" s="269"/>
      <c r="AJ909" s="269"/>
      <c r="AK909" s="269"/>
      <c r="AL909" s="269"/>
      <c r="AM909" s="269"/>
      <c r="AN909" s="269"/>
      <c r="AO909" s="269"/>
      <c r="AP909" s="269"/>
      <c r="AQ909" s="269"/>
      <c r="AR909" s="269"/>
    </row>
    <row r="910">
      <c r="A910" s="410"/>
      <c r="B910" s="410"/>
      <c r="C910" s="410"/>
      <c r="D910" s="410"/>
      <c r="E910" s="410"/>
      <c r="F910" s="410"/>
      <c r="H910" s="269"/>
      <c r="I910" s="269"/>
      <c r="J910" s="269"/>
      <c r="K910" s="269"/>
      <c r="L910" s="269"/>
      <c r="M910" s="269"/>
      <c r="N910" s="269"/>
      <c r="O910" s="269"/>
      <c r="P910" s="269"/>
      <c r="Q910" s="269"/>
      <c r="R910" s="269"/>
      <c r="S910" s="269"/>
      <c r="T910" s="269"/>
      <c r="U910" s="269"/>
      <c r="V910" s="269"/>
      <c r="W910" s="269"/>
      <c r="X910" s="269"/>
      <c r="Y910" s="269"/>
      <c r="Z910" s="269"/>
      <c r="AA910" s="269"/>
      <c r="AB910" s="269"/>
      <c r="AC910" s="269"/>
      <c r="AD910" s="269"/>
      <c r="AE910" s="269"/>
      <c r="AF910" s="269"/>
      <c r="AG910" s="269"/>
      <c r="AH910" s="269"/>
      <c r="AI910" s="269"/>
      <c r="AJ910" s="269"/>
      <c r="AK910" s="269"/>
      <c r="AL910" s="269"/>
      <c r="AM910" s="269"/>
      <c r="AN910" s="269"/>
      <c r="AO910" s="269"/>
      <c r="AP910" s="269"/>
      <c r="AQ910" s="269"/>
      <c r="AR910" s="269"/>
    </row>
    <row r="911">
      <c r="A911" s="410"/>
      <c r="B911" s="410"/>
      <c r="C911" s="410"/>
      <c r="D911" s="410"/>
      <c r="E911" s="410"/>
      <c r="F911" s="410"/>
      <c r="H911" s="269"/>
      <c r="I911" s="269"/>
      <c r="J911" s="269"/>
      <c r="K911" s="269"/>
      <c r="L911" s="269"/>
      <c r="M911" s="269"/>
      <c r="N911" s="269"/>
      <c r="O911" s="269"/>
      <c r="P911" s="269"/>
      <c r="Q911" s="269"/>
      <c r="R911" s="269"/>
      <c r="S911" s="269"/>
      <c r="T911" s="269"/>
      <c r="U911" s="269"/>
      <c r="V911" s="269"/>
      <c r="W911" s="269"/>
      <c r="X911" s="269"/>
      <c r="Y911" s="269"/>
      <c r="Z911" s="269"/>
      <c r="AA911" s="269"/>
      <c r="AB911" s="269"/>
      <c r="AC911" s="269"/>
      <c r="AD911" s="269"/>
      <c r="AE911" s="269"/>
      <c r="AF911" s="269"/>
      <c r="AG911" s="269"/>
      <c r="AH911" s="269"/>
      <c r="AI911" s="269"/>
      <c r="AJ911" s="269"/>
      <c r="AK911" s="269"/>
      <c r="AL911" s="269"/>
      <c r="AM911" s="269"/>
      <c r="AN911" s="269"/>
      <c r="AO911" s="269"/>
      <c r="AP911" s="269"/>
      <c r="AQ911" s="269"/>
      <c r="AR911" s="269"/>
    </row>
    <row r="912">
      <c r="A912" s="410"/>
      <c r="B912" s="410"/>
      <c r="C912" s="410"/>
      <c r="D912" s="410"/>
      <c r="E912" s="410"/>
      <c r="F912" s="410"/>
      <c r="H912" s="269"/>
      <c r="I912" s="269"/>
      <c r="J912" s="269"/>
      <c r="K912" s="269"/>
      <c r="L912" s="269"/>
      <c r="M912" s="269"/>
      <c r="N912" s="269"/>
      <c r="O912" s="269"/>
      <c r="P912" s="269"/>
      <c r="Q912" s="269"/>
      <c r="R912" s="269"/>
      <c r="S912" s="269"/>
      <c r="T912" s="269"/>
      <c r="U912" s="269"/>
      <c r="V912" s="269"/>
      <c r="W912" s="269"/>
      <c r="X912" s="269"/>
      <c r="Y912" s="269"/>
      <c r="Z912" s="269"/>
      <c r="AA912" s="269"/>
      <c r="AB912" s="269"/>
      <c r="AC912" s="269"/>
      <c r="AD912" s="269"/>
      <c r="AE912" s="269"/>
      <c r="AF912" s="269"/>
      <c r="AG912" s="269"/>
      <c r="AH912" s="269"/>
      <c r="AI912" s="269"/>
      <c r="AJ912" s="269"/>
      <c r="AK912" s="269"/>
      <c r="AL912" s="269"/>
      <c r="AM912" s="269"/>
      <c r="AN912" s="269"/>
      <c r="AO912" s="269"/>
      <c r="AP912" s="269"/>
      <c r="AQ912" s="269"/>
      <c r="AR912" s="269"/>
    </row>
    <row r="913">
      <c r="A913" s="410"/>
      <c r="B913" s="410"/>
      <c r="C913" s="410"/>
      <c r="D913" s="410"/>
      <c r="E913" s="410"/>
      <c r="F913" s="410"/>
      <c r="H913" s="269"/>
      <c r="I913" s="269"/>
      <c r="J913" s="269"/>
      <c r="K913" s="269"/>
      <c r="L913" s="269"/>
      <c r="M913" s="269"/>
      <c r="N913" s="269"/>
      <c r="O913" s="269"/>
      <c r="P913" s="269"/>
      <c r="Q913" s="269"/>
      <c r="R913" s="269"/>
      <c r="S913" s="269"/>
      <c r="T913" s="269"/>
      <c r="U913" s="269"/>
      <c r="V913" s="269"/>
      <c r="W913" s="269"/>
      <c r="X913" s="269"/>
      <c r="Y913" s="269"/>
      <c r="Z913" s="269"/>
      <c r="AA913" s="269"/>
      <c r="AB913" s="269"/>
      <c r="AC913" s="269"/>
      <c r="AD913" s="269"/>
      <c r="AE913" s="269"/>
      <c r="AF913" s="269"/>
      <c r="AG913" s="269"/>
      <c r="AH913" s="269"/>
      <c r="AI913" s="269"/>
      <c r="AJ913" s="269"/>
      <c r="AK913" s="269"/>
      <c r="AL913" s="269"/>
      <c r="AM913" s="269"/>
      <c r="AN913" s="269"/>
      <c r="AO913" s="269"/>
      <c r="AP913" s="269"/>
      <c r="AQ913" s="269"/>
      <c r="AR913" s="269"/>
    </row>
    <row r="914">
      <c r="A914" s="410"/>
      <c r="B914" s="410"/>
      <c r="C914" s="410"/>
      <c r="D914" s="410"/>
      <c r="E914" s="410"/>
      <c r="F914" s="410"/>
      <c r="H914" s="269"/>
      <c r="I914" s="269"/>
      <c r="J914" s="269"/>
      <c r="K914" s="269"/>
      <c r="L914" s="269"/>
      <c r="M914" s="269"/>
      <c r="N914" s="269"/>
      <c r="O914" s="269"/>
      <c r="P914" s="269"/>
      <c r="Q914" s="269"/>
      <c r="R914" s="269"/>
      <c r="S914" s="269"/>
      <c r="T914" s="269"/>
      <c r="U914" s="269"/>
      <c r="V914" s="269"/>
      <c r="W914" s="269"/>
      <c r="X914" s="269"/>
      <c r="Y914" s="269"/>
      <c r="Z914" s="269"/>
      <c r="AA914" s="269"/>
      <c r="AB914" s="269"/>
      <c r="AC914" s="269"/>
      <c r="AD914" s="269"/>
      <c r="AE914" s="269"/>
      <c r="AF914" s="269"/>
      <c r="AG914" s="269"/>
      <c r="AH914" s="269"/>
      <c r="AI914" s="269"/>
      <c r="AJ914" s="269"/>
      <c r="AK914" s="269"/>
      <c r="AL914" s="269"/>
      <c r="AM914" s="269"/>
      <c r="AN914" s="269"/>
      <c r="AO914" s="269"/>
      <c r="AP914" s="269"/>
      <c r="AQ914" s="269"/>
      <c r="AR914" s="269"/>
    </row>
    <row r="915">
      <c r="A915" s="410"/>
      <c r="B915" s="410"/>
      <c r="C915" s="410"/>
      <c r="D915" s="410"/>
      <c r="E915" s="410"/>
      <c r="F915" s="410"/>
      <c r="H915" s="269"/>
      <c r="I915" s="269"/>
      <c r="J915" s="269"/>
      <c r="K915" s="269"/>
      <c r="L915" s="269"/>
      <c r="M915" s="269"/>
      <c r="N915" s="269"/>
      <c r="O915" s="269"/>
      <c r="P915" s="269"/>
      <c r="Q915" s="269"/>
      <c r="R915" s="269"/>
      <c r="S915" s="269"/>
      <c r="T915" s="269"/>
      <c r="U915" s="269"/>
      <c r="V915" s="269"/>
      <c r="W915" s="269"/>
      <c r="X915" s="269"/>
      <c r="Y915" s="269"/>
      <c r="Z915" s="269"/>
      <c r="AA915" s="269"/>
      <c r="AB915" s="269"/>
      <c r="AC915" s="269"/>
      <c r="AD915" s="269"/>
      <c r="AE915" s="269"/>
      <c r="AF915" s="269"/>
      <c r="AG915" s="269"/>
      <c r="AH915" s="269"/>
      <c r="AI915" s="269"/>
      <c r="AJ915" s="269"/>
      <c r="AK915" s="269"/>
      <c r="AL915" s="269"/>
      <c r="AM915" s="269"/>
      <c r="AN915" s="269"/>
      <c r="AO915" s="269"/>
      <c r="AP915" s="269"/>
      <c r="AQ915" s="269"/>
      <c r="AR915" s="269"/>
    </row>
    <row r="916">
      <c r="A916" s="410"/>
      <c r="B916" s="410"/>
      <c r="C916" s="410"/>
      <c r="D916" s="410"/>
      <c r="E916" s="410"/>
      <c r="F916" s="410"/>
      <c r="H916" s="269"/>
      <c r="I916" s="269"/>
      <c r="J916" s="269"/>
      <c r="K916" s="269"/>
      <c r="L916" s="269"/>
      <c r="M916" s="269"/>
      <c r="N916" s="269"/>
      <c r="O916" s="269"/>
      <c r="P916" s="269"/>
      <c r="Q916" s="269"/>
      <c r="R916" s="269"/>
      <c r="S916" s="269"/>
      <c r="T916" s="269"/>
      <c r="U916" s="269"/>
      <c r="V916" s="269"/>
      <c r="W916" s="269"/>
      <c r="X916" s="269"/>
      <c r="Y916" s="269"/>
      <c r="Z916" s="269"/>
      <c r="AA916" s="269"/>
      <c r="AB916" s="269"/>
      <c r="AC916" s="269"/>
      <c r="AD916" s="269"/>
      <c r="AE916" s="269"/>
      <c r="AF916" s="269"/>
      <c r="AG916" s="269"/>
      <c r="AH916" s="269"/>
      <c r="AI916" s="269"/>
      <c r="AJ916" s="269"/>
      <c r="AK916" s="269"/>
      <c r="AL916" s="269"/>
      <c r="AM916" s="269"/>
      <c r="AN916" s="269"/>
      <c r="AO916" s="269"/>
      <c r="AP916" s="269"/>
      <c r="AQ916" s="269"/>
      <c r="AR916" s="269"/>
    </row>
    <row r="917">
      <c r="A917" s="410"/>
      <c r="B917" s="410"/>
      <c r="C917" s="410"/>
      <c r="D917" s="410"/>
      <c r="E917" s="410"/>
      <c r="F917" s="410"/>
      <c r="H917" s="269"/>
      <c r="I917" s="269"/>
      <c r="J917" s="269"/>
      <c r="K917" s="269"/>
      <c r="L917" s="269"/>
      <c r="M917" s="269"/>
      <c r="N917" s="269"/>
      <c r="O917" s="269"/>
      <c r="P917" s="269"/>
      <c r="Q917" s="269"/>
      <c r="R917" s="269"/>
      <c r="S917" s="269"/>
      <c r="T917" s="269"/>
      <c r="U917" s="269"/>
      <c r="V917" s="269"/>
      <c r="W917" s="269"/>
      <c r="X917" s="269"/>
      <c r="Y917" s="269"/>
      <c r="Z917" s="269"/>
      <c r="AA917" s="269"/>
      <c r="AB917" s="269"/>
      <c r="AC917" s="269"/>
      <c r="AD917" s="269"/>
      <c r="AE917" s="269"/>
      <c r="AF917" s="269"/>
      <c r="AG917" s="269"/>
      <c r="AH917" s="269"/>
      <c r="AI917" s="269"/>
      <c r="AJ917" s="269"/>
      <c r="AK917" s="269"/>
      <c r="AL917" s="269"/>
      <c r="AM917" s="269"/>
      <c r="AN917" s="269"/>
      <c r="AO917" s="269"/>
      <c r="AP917" s="269"/>
      <c r="AQ917" s="269"/>
      <c r="AR917" s="269"/>
    </row>
    <row r="918">
      <c r="A918" s="410"/>
      <c r="B918" s="410"/>
      <c r="C918" s="410"/>
      <c r="D918" s="410"/>
      <c r="E918" s="410"/>
      <c r="F918" s="410"/>
      <c r="H918" s="269"/>
      <c r="I918" s="269"/>
      <c r="J918" s="269"/>
      <c r="K918" s="269"/>
      <c r="L918" s="269"/>
      <c r="M918" s="269"/>
      <c r="N918" s="269"/>
      <c r="O918" s="269"/>
      <c r="P918" s="269"/>
      <c r="Q918" s="269"/>
      <c r="R918" s="269"/>
      <c r="S918" s="269"/>
      <c r="T918" s="269"/>
      <c r="U918" s="269"/>
      <c r="V918" s="269"/>
      <c r="W918" s="269"/>
      <c r="X918" s="269"/>
      <c r="Y918" s="269"/>
      <c r="Z918" s="269"/>
      <c r="AA918" s="269"/>
      <c r="AB918" s="269"/>
      <c r="AC918" s="269"/>
      <c r="AD918" s="269"/>
      <c r="AE918" s="269"/>
      <c r="AF918" s="269"/>
      <c r="AG918" s="269"/>
      <c r="AH918" s="269"/>
      <c r="AI918" s="269"/>
      <c r="AJ918" s="269"/>
      <c r="AK918" s="269"/>
      <c r="AL918" s="269"/>
      <c r="AM918" s="269"/>
      <c r="AN918" s="269"/>
      <c r="AO918" s="269"/>
      <c r="AP918" s="269"/>
      <c r="AQ918" s="269"/>
      <c r="AR918" s="269"/>
    </row>
    <row r="919">
      <c r="A919" s="410"/>
      <c r="B919" s="410"/>
      <c r="C919" s="410"/>
      <c r="D919" s="410"/>
      <c r="E919" s="410"/>
      <c r="F919" s="410"/>
      <c r="H919" s="269"/>
      <c r="I919" s="269"/>
      <c r="J919" s="269"/>
      <c r="K919" s="269"/>
      <c r="L919" s="269"/>
      <c r="M919" s="269"/>
      <c r="N919" s="269"/>
      <c r="O919" s="269"/>
      <c r="P919" s="269"/>
      <c r="Q919" s="269"/>
      <c r="R919" s="269"/>
      <c r="S919" s="269"/>
      <c r="T919" s="269"/>
      <c r="U919" s="269"/>
      <c r="V919" s="269"/>
      <c r="W919" s="269"/>
      <c r="X919" s="269"/>
      <c r="Y919" s="269"/>
      <c r="Z919" s="269"/>
      <c r="AA919" s="269"/>
      <c r="AB919" s="269"/>
      <c r="AC919" s="269"/>
      <c r="AD919" s="269"/>
      <c r="AE919" s="269"/>
      <c r="AF919" s="269"/>
      <c r="AG919" s="269"/>
      <c r="AH919" s="269"/>
      <c r="AI919" s="269"/>
      <c r="AJ919" s="269"/>
      <c r="AK919" s="269"/>
      <c r="AL919" s="269"/>
      <c r="AM919" s="269"/>
      <c r="AN919" s="269"/>
      <c r="AO919" s="269"/>
      <c r="AP919" s="269"/>
      <c r="AQ919" s="269"/>
      <c r="AR919" s="269"/>
    </row>
    <row r="920">
      <c r="A920" s="410"/>
      <c r="B920" s="410"/>
      <c r="C920" s="410"/>
      <c r="D920" s="410"/>
      <c r="E920" s="410"/>
      <c r="F920" s="410"/>
      <c r="H920" s="269"/>
      <c r="I920" s="269"/>
      <c r="J920" s="269"/>
      <c r="K920" s="269"/>
      <c r="L920" s="269"/>
      <c r="M920" s="269"/>
      <c r="N920" s="269"/>
      <c r="O920" s="269"/>
      <c r="P920" s="269"/>
      <c r="Q920" s="269"/>
      <c r="R920" s="269"/>
      <c r="S920" s="269"/>
      <c r="T920" s="269"/>
      <c r="U920" s="269"/>
      <c r="V920" s="269"/>
      <c r="W920" s="269"/>
      <c r="X920" s="269"/>
      <c r="Y920" s="269"/>
      <c r="Z920" s="269"/>
      <c r="AA920" s="269"/>
      <c r="AB920" s="269"/>
      <c r="AC920" s="269"/>
      <c r="AD920" s="269"/>
      <c r="AE920" s="269"/>
      <c r="AF920" s="269"/>
      <c r="AG920" s="269"/>
      <c r="AH920" s="269"/>
      <c r="AI920" s="269"/>
      <c r="AJ920" s="269"/>
      <c r="AK920" s="269"/>
      <c r="AL920" s="269"/>
      <c r="AM920" s="269"/>
      <c r="AN920" s="269"/>
      <c r="AO920" s="269"/>
      <c r="AP920" s="269"/>
      <c r="AQ920" s="269"/>
      <c r="AR920" s="269"/>
    </row>
    <row r="921">
      <c r="A921" s="410"/>
      <c r="B921" s="410"/>
      <c r="C921" s="410"/>
      <c r="D921" s="410"/>
      <c r="E921" s="410"/>
      <c r="F921" s="410"/>
      <c r="H921" s="269"/>
      <c r="I921" s="269"/>
      <c r="J921" s="269"/>
      <c r="K921" s="269"/>
      <c r="L921" s="269"/>
      <c r="M921" s="269"/>
      <c r="N921" s="269"/>
      <c r="O921" s="269"/>
      <c r="P921" s="269"/>
      <c r="Q921" s="269"/>
      <c r="R921" s="269"/>
      <c r="S921" s="269"/>
      <c r="T921" s="269"/>
      <c r="U921" s="269"/>
      <c r="V921" s="269"/>
      <c r="W921" s="269"/>
      <c r="X921" s="269"/>
      <c r="Y921" s="269"/>
      <c r="Z921" s="269"/>
      <c r="AA921" s="269"/>
      <c r="AB921" s="269"/>
      <c r="AC921" s="269"/>
      <c r="AD921" s="269"/>
      <c r="AE921" s="269"/>
      <c r="AF921" s="269"/>
      <c r="AG921" s="269"/>
      <c r="AH921" s="269"/>
      <c r="AI921" s="269"/>
      <c r="AJ921" s="269"/>
      <c r="AK921" s="269"/>
      <c r="AL921" s="269"/>
      <c r="AM921" s="269"/>
      <c r="AN921" s="269"/>
      <c r="AO921" s="269"/>
      <c r="AP921" s="269"/>
      <c r="AQ921" s="269"/>
      <c r="AR921" s="269"/>
    </row>
    <row r="922">
      <c r="A922" s="410"/>
      <c r="B922" s="410"/>
      <c r="C922" s="410"/>
      <c r="D922" s="410"/>
      <c r="E922" s="410"/>
      <c r="F922" s="410"/>
      <c r="H922" s="269"/>
      <c r="I922" s="269"/>
      <c r="J922" s="269"/>
      <c r="K922" s="269"/>
      <c r="L922" s="269"/>
      <c r="M922" s="269"/>
      <c r="N922" s="269"/>
      <c r="O922" s="269"/>
      <c r="P922" s="269"/>
      <c r="Q922" s="269"/>
      <c r="R922" s="269"/>
      <c r="S922" s="269"/>
      <c r="T922" s="269"/>
      <c r="U922" s="269"/>
      <c r="V922" s="269"/>
      <c r="W922" s="269"/>
      <c r="X922" s="269"/>
      <c r="Y922" s="269"/>
      <c r="Z922" s="269"/>
      <c r="AA922" s="269"/>
      <c r="AB922" s="269"/>
      <c r="AC922" s="269"/>
      <c r="AD922" s="269"/>
      <c r="AE922" s="269"/>
      <c r="AF922" s="269"/>
      <c r="AG922" s="269"/>
      <c r="AH922" s="269"/>
      <c r="AI922" s="269"/>
      <c r="AJ922" s="269"/>
      <c r="AK922" s="269"/>
      <c r="AL922" s="269"/>
      <c r="AM922" s="269"/>
      <c r="AN922" s="269"/>
      <c r="AO922" s="269"/>
      <c r="AP922" s="269"/>
      <c r="AQ922" s="269"/>
      <c r="AR922" s="269"/>
    </row>
    <row r="923">
      <c r="A923" s="410"/>
      <c r="B923" s="410"/>
      <c r="C923" s="410"/>
      <c r="D923" s="410"/>
      <c r="E923" s="410"/>
      <c r="F923" s="410"/>
      <c r="H923" s="269"/>
      <c r="I923" s="269"/>
      <c r="J923" s="269"/>
      <c r="K923" s="269"/>
      <c r="L923" s="269"/>
      <c r="M923" s="269"/>
      <c r="N923" s="269"/>
      <c r="O923" s="269"/>
      <c r="P923" s="269"/>
      <c r="Q923" s="269"/>
      <c r="R923" s="269"/>
      <c r="S923" s="269"/>
      <c r="T923" s="269"/>
      <c r="U923" s="269"/>
      <c r="V923" s="269"/>
      <c r="W923" s="269"/>
      <c r="X923" s="269"/>
      <c r="Y923" s="269"/>
      <c r="Z923" s="269"/>
      <c r="AA923" s="269"/>
      <c r="AB923" s="269"/>
      <c r="AC923" s="269"/>
      <c r="AD923" s="269"/>
      <c r="AE923" s="269"/>
      <c r="AF923" s="269"/>
      <c r="AG923" s="269"/>
      <c r="AH923" s="269"/>
      <c r="AI923" s="269"/>
      <c r="AJ923" s="269"/>
      <c r="AK923" s="269"/>
      <c r="AL923" s="269"/>
      <c r="AM923" s="269"/>
      <c r="AN923" s="269"/>
      <c r="AO923" s="269"/>
      <c r="AP923" s="269"/>
      <c r="AQ923" s="269"/>
      <c r="AR923" s="269"/>
    </row>
    <row r="924">
      <c r="A924" s="410"/>
      <c r="B924" s="410"/>
      <c r="C924" s="410"/>
      <c r="D924" s="410"/>
      <c r="E924" s="410"/>
      <c r="F924" s="410"/>
      <c r="H924" s="269"/>
      <c r="I924" s="269"/>
      <c r="J924" s="269"/>
      <c r="K924" s="269"/>
      <c r="L924" s="269"/>
      <c r="M924" s="269"/>
      <c r="N924" s="269"/>
      <c r="O924" s="269"/>
      <c r="P924" s="269"/>
      <c r="Q924" s="269"/>
      <c r="R924" s="269"/>
      <c r="S924" s="269"/>
      <c r="T924" s="269"/>
      <c r="U924" s="269"/>
      <c r="V924" s="269"/>
      <c r="W924" s="269"/>
      <c r="X924" s="269"/>
      <c r="Y924" s="269"/>
      <c r="Z924" s="269"/>
      <c r="AA924" s="269"/>
      <c r="AB924" s="269"/>
      <c r="AC924" s="269"/>
      <c r="AD924" s="269"/>
      <c r="AE924" s="269"/>
      <c r="AF924" s="269"/>
      <c r="AG924" s="269"/>
      <c r="AH924" s="269"/>
      <c r="AI924" s="269"/>
      <c r="AJ924" s="269"/>
      <c r="AK924" s="269"/>
      <c r="AL924" s="269"/>
      <c r="AM924" s="269"/>
      <c r="AN924" s="269"/>
      <c r="AO924" s="269"/>
      <c r="AP924" s="269"/>
      <c r="AQ924" s="269"/>
      <c r="AR924" s="269"/>
    </row>
    <row r="925">
      <c r="A925" s="410"/>
      <c r="B925" s="410"/>
      <c r="C925" s="410"/>
      <c r="D925" s="410"/>
      <c r="E925" s="410"/>
      <c r="F925" s="410"/>
      <c r="H925" s="269"/>
      <c r="I925" s="269"/>
      <c r="J925" s="269"/>
      <c r="K925" s="269"/>
      <c r="L925" s="269"/>
      <c r="M925" s="269"/>
      <c r="N925" s="269"/>
      <c r="O925" s="269"/>
      <c r="P925" s="269"/>
      <c r="Q925" s="269"/>
      <c r="R925" s="269"/>
      <c r="S925" s="269"/>
      <c r="T925" s="269"/>
      <c r="U925" s="269"/>
      <c r="V925" s="269"/>
      <c r="W925" s="269"/>
      <c r="X925" s="269"/>
      <c r="Y925" s="269"/>
      <c r="Z925" s="269"/>
      <c r="AA925" s="269"/>
      <c r="AB925" s="269"/>
      <c r="AC925" s="269"/>
      <c r="AD925" s="269"/>
      <c r="AE925" s="269"/>
      <c r="AF925" s="269"/>
      <c r="AG925" s="269"/>
      <c r="AH925" s="269"/>
      <c r="AI925" s="269"/>
      <c r="AJ925" s="269"/>
      <c r="AK925" s="269"/>
      <c r="AL925" s="269"/>
      <c r="AM925" s="269"/>
      <c r="AN925" s="269"/>
      <c r="AO925" s="269"/>
      <c r="AP925" s="269"/>
      <c r="AQ925" s="269"/>
      <c r="AR925" s="269"/>
    </row>
    <row r="926">
      <c r="A926" s="410"/>
      <c r="B926" s="410"/>
      <c r="C926" s="410"/>
      <c r="D926" s="410"/>
      <c r="E926" s="410"/>
      <c r="F926" s="410"/>
      <c r="H926" s="269"/>
      <c r="I926" s="269"/>
      <c r="J926" s="269"/>
      <c r="K926" s="269"/>
      <c r="L926" s="269"/>
      <c r="M926" s="269"/>
      <c r="N926" s="269"/>
      <c r="O926" s="269"/>
      <c r="P926" s="269"/>
      <c r="Q926" s="269"/>
      <c r="R926" s="269"/>
      <c r="S926" s="269"/>
      <c r="T926" s="269"/>
      <c r="U926" s="269"/>
      <c r="V926" s="269"/>
      <c r="W926" s="269"/>
      <c r="X926" s="269"/>
      <c r="Y926" s="269"/>
      <c r="Z926" s="269"/>
      <c r="AA926" s="269"/>
      <c r="AB926" s="269"/>
      <c r="AC926" s="269"/>
      <c r="AD926" s="269"/>
      <c r="AE926" s="269"/>
      <c r="AF926" s="269"/>
      <c r="AG926" s="269"/>
      <c r="AH926" s="269"/>
      <c r="AI926" s="269"/>
      <c r="AJ926" s="269"/>
      <c r="AK926" s="269"/>
      <c r="AL926" s="269"/>
      <c r="AM926" s="269"/>
      <c r="AN926" s="269"/>
      <c r="AO926" s="269"/>
      <c r="AP926" s="269"/>
      <c r="AQ926" s="269"/>
      <c r="AR926" s="269"/>
    </row>
    <row r="927">
      <c r="A927" s="410"/>
      <c r="B927" s="410"/>
      <c r="C927" s="410"/>
      <c r="D927" s="410"/>
      <c r="E927" s="410"/>
      <c r="F927" s="410"/>
      <c r="H927" s="269"/>
      <c r="I927" s="269"/>
      <c r="J927" s="269"/>
      <c r="K927" s="269"/>
      <c r="L927" s="269"/>
      <c r="M927" s="269"/>
      <c r="N927" s="269"/>
      <c r="O927" s="269"/>
      <c r="P927" s="269"/>
      <c r="Q927" s="269"/>
      <c r="R927" s="269"/>
      <c r="S927" s="269"/>
      <c r="T927" s="269"/>
      <c r="U927" s="269"/>
      <c r="V927" s="269"/>
      <c r="W927" s="269"/>
      <c r="X927" s="269"/>
      <c r="Y927" s="269"/>
      <c r="Z927" s="269"/>
      <c r="AA927" s="269"/>
      <c r="AB927" s="269"/>
      <c r="AC927" s="269"/>
      <c r="AD927" s="269"/>
      <c r="AE927" s="269"/>
      <c r="AF927" s="269"/>
      <c r="AG927" s="269"/>
      <c r="AH927" s="269"/>
      <c r="AI927" s="269"/>
      <c r="AJ927" s="269"/>
      <c r="AK927" s="269"/>
      <c r="AL927" s="269"/>
      <c r="AM927" s="269"/>
      <c r="AN927" s="269"/>
      <c r="AO927" s="269"/>
      <c r="AP927" s="269"/>
      <c r="AQ927" s="269"/>
      <c r="AR927" s="269"/>
    </row>
    <row r="928">
      <c r="A928" s="410"/>
      <c r="B928" s="410"/>
      <c r="C928" s="410"/>
      <c r="D928" s="410"/>
      <c r="E928" s="410"/>
      <c r="F928" s="410"/>
      <c r="H928" s="269"/>
      <c r="I928" s="269"/>
      <c r="J928" s="269"/>
      <c r="K928" s="269"/>
      <c r="L928" s="269"/>
      <c r="M928" s="269"/>
      <c r="N928" s="269"/>
      <c r="O928" s="269"/>
      <c r="P928" s="269"/>
      <c r="Q928" s="269"/>
      <c r="R928" s="269"/>
      <c r="S928" s="269"/>
      <c r="T928" s="269"/>
      <c r="U928" s="269"/>
      <c r="V928" s="269"/>
      <c r="W928" s="269"/>
      <c r="X928" s="269"/>
      <c r="Y928" s="269"/>
      <c r="Z928" s="269"/>
      <c r="AA928" s="269"/>
      <c r="AB928" s="269"/>
      <c r="AC928" s="269"/>
      <c r="AD928" s="269"/>
      <c r="AE928" s="269"/>
      <c r="AF928" s="269"/>
      <c r="AG928" s="269"/>
      <c r="AH928" s="269"/>
      <c r="AI928" s="269"/>
      <c r="AJ928" s="269"/>
      <c r="AK928" s="269"/>
      <c r="AL928" s="269"/>
      <c r="AM928" s="269"/>
      <c r="AN928" s="269"/>
      <c r="AO928" s="269"/>
      <c r="AP928" s="269"/>
      <c r="AQ928" s="269"/>
      <c r="AR928" s="269"/>
    </row>
    <row r="929">
      <c r="A929" s="410"/>
      <c r="B929" s="410"/>
      <c r="C929" s="410"/>
      <c r="D929" s="410"/>
      <c r="E929" s="410"/>
      <c r="F929" s="410"/>
      <c r="H929" s="269"/>
      <c r="I929" s="269"/>
      <c r="J929" s="269"/>
      <c r="K929" s="269"/>
      <c r="L929" s="269"/>
      <c r="M929" s="269"/>
      <c r="N929" s="269"/>
      <c r="O929" s="269"/>
      <c r="P929" s="269"/>
      <c r="Q929" s="269"/>
      <c r="R929" s="269"/>
      <c r="S929" s="269"/>
      <c r="T929" s="269"/>
      <c r="U929" s="269"/>
      <c r="V929" s="269"/>
      <c r="W929" s="269"/>
      <c r="X929" s="269"/>
      <c r="Y929" s="269"/>
      <c r="Z929" s="269"/>
      <c r="AA929" s="269"/>
      <c r="AB929" s="269"/>
      <c r="AC929" s="269"/>
      <c r="AD929" s="269"/>
      <c r="AE929" s="269"/>
      <c r="AF929" s="269"/>
      <c r="AG929" s="269"/>
      <c r="AH929" s="269"/>
      <c r="AI929" s="269"/>
      <c r="AJ929" s="269"/>
      <c r="AK929" s="269"/>
      <c r="AL929" s="269"/>
      <c r="AM929" s="269"/>
      <c r="AN929" s="269"/>
      <c r="AO929" s="269"/>
      <c r="AP929" s="269"/>
      <c r="AQ929" s="269"/>
      <c r="AR929" s="269"/>
    </row>
    <row r="930">
      <c r="A930" s="410"/>
      <c r="B930" s="410"/>
      <c r="C930" s="410"/>
      <c r="D930" s="410"/>
      <c r="E930" s="410"/>
      <c r="F930" s="410"/>
      <c r="H930" s="269"/>
      <c r="I930" s="269"/>
      <c r="J930" s="269"/>
      <c r="K930" s="269"/>
      <c r="L930" s="269"/>
      <c r="M930" s="269"/>
      <c r="N930" s="269"/>
      <c r="O930" s="269"/>
      <c r="P930" s="269"/>
      <c r="Q930" s="269"/>
      <c r="R930" s="269"/>
      <c r="S930" s="269"/>
      <c r="T930" s="269"/>
      <c r="U930" s="269"/>
      <c r="V930" s="269"/>
      <c r="W930" s="269"/>
      <c r="X930" s="269"/>
      <c r="Y930" s="269"/>
      <c r="Z930" s="269"/>
      <c r="AA930" s="269"/>
      <c r="AB930" s="269"/>
      <c r="AC930" s="269"/>
      <c r="AD930" s="269"/>
      <c r="AE930" s="269"/>
      <c r="AF930" s="269"/>
      <c r="AG930" s="269"/>
      <c r="AH930" s="269"/>
      <c r="AI930" s="269"/>
      <c r="AJ930" s="269"/>
      <c r="AK930" s="269"/>
      <c r="AL930" s="269"/>
      <c r="AM930" s="269"/>
      <c r="AN930" s="269"/>
      <c r="AO930" s="269"/>
      <c r="AP930" s="269"/>
      <c r="AQ930" s="269"/>
      <c r="AR930" s="269"/>
    </row>
    <row r="931">
      <c r="A931" s="410"/>
      <c r="B931" s="410"/>
      <c r="C931" s="410"/>
      <c r="D931" s="410"/>
      <c r="E931" s="410"/>
      <c r="F931" s="410"/>
      <c r="H931" s="269"/>
      <c r="I931" s="269"/>
      <c r="J931" s="269"/>
      <c r="K931" s="269"/>
      <c r="L931" s="269"/>
      <c r="M931" s="269"/>
      <c r="N931" s="269"/>
      <c r="O931" s="269"/>
      <c r="P931" s="269"/>
      <c r="Q931" s="269"/>
      <c r="R931" s="269"/>
      <c r="S931" s="269"/>
      <c r="T931" s="269"/>
      <c r="U931" s="269"/>
      <c r="V931" s="269"/>
      <c r="W931" s="269"/>
      <c r="X931" s="269"/>
      <c r="Y931" s="269"/>
      <c r="Z931" s="269"/>
      <c r="AA931" s="269"/>
      <c r="AB931" s="269"/>
      <c r="AC931" s="269"/>
      <c r="AD931" s="269"/>
      <c r="AE931" s="269"/>
      <c r="AF931" s="269"/>
      <c r="AG931" s="269"/>
      <c r="AH931" s="269"/>
      <c r="AI931" s="269"/>
      <c r="AJ931" s="269"/>
      <c r="AK931" s="269"/>
      <c r="AL931" s="269"/>
      <c r="AM931" s="269"/>
      <c r="AN931" s="269"/>
      <c r="AO931" s="269"/>
      <c r="AP931" s="269"/>
      <c r="AQ931" s="269"/>
      <c r="AR931" s="269"/>
    </row>
    <row r="932">
      <c r="A932" s="410"/>
      <c r="B932" s="410"/>
      <c r="C932" s="410"/>
      <c r="D932" s="410"/>
      <c r="E932" s="410"/>
      <c r="F932" s="410"/>
      <c r="H932" s="269"/>
      <c r="I932" s="269"/>
      <c r="J932" s="269"/>
      <c r="K932" s="269"/>
      <c r="L932" s="269"/>
      <c r="M932" s="269"/>
      <c r="N932" s="269"/>
      <c r="O932" s="269"/>
      <c r="P932" s="269"/>
      <c r="Q932" s="269"/>
      <c r="R932" s="269"/>
      <c r="S932" s="269"/>
      <c r="T932" s="269"/>
      <c r="U932" s="269"/>
      <c r="V932" s="269"/>
      <c r="W932" s="269"/>
      <c r="X932" s="269"/>
      <c r="Y932" s="269"/>
      <c r="Z932" s="269"/>
      <c r="AA932" s="269"/>
      <c r="AB932" s="269"/>
      <c r="AC932" s="269"/>
      <c r="AD932" s="269"/>
      <c r="AE932" s="269"/>
      <c r="AF932" s="269"/>
      <c r="AG932" s="269"/>
      <c r="AH932" s="269"/>
      <c r="AI932" s="269"/>
      <c r="AJ932" s="269"/>
      <c r="AK932" s="269"/>
      <c r="AL932" s="269"/>
      <c r="AM932" s="269"/>
      <c r="AN932" s="269"/>
      <c r="AO932" s="269"/>
      <c r="AP932" s="269"/>
      <c r="AQ932" s="269"/>
      <c r="AR932" s="269"/>
    </row>
    <row r="933">
      <c r="A933" s="410"/>
      <c r="B933" s="410"/>
      <c r="C933" s="410"/>
      <c r="D933" s="410"/>
      <c r="E933" s="410"/>
      <c r="F933" s="410"/>
      <c r="H933" s="269"/>
      <c r="I933" s="269"/>
      <c r="J933" s="269"/>
      <c r="K933" s="269"/>
      <c r="L933" s="269"/>
      <c r="M933" s="269"/>
      <c r="N933" s="269"/>
      <c r="O933" s="269"/>
      <c r="P933" s="269"/>
      <c r="Q933" s="269"/>
      <c r="R933" s="269"/>
      <c r="S933" s="269"/>
      <c r="T933" s="269"/>
      <c r="U933" s="269"/>
      <c r="V933" s="269"/>
      <c r="W933" s="269"/>
      <c r="X933" s="269"/>
      <c r="Y933" s="269"/>
      <c r="Z933" s="269"/>
      <c r="AA933" s="269"/>
      <c r="AB933" s="269"/>
      <c r="AC933" s="269"/>
      <c r="AD933" s="269"/>
      <c r="AE933" s="269"/>
      <c r="AF933" s="269"/>
      <c r="AG933" s="269"/>
      <c r="AH933" s="269"/>
      <c r="AI933" s="269"/>
      <c r="AJ933" s="269"/>
      <c r="AK933" s="269"/>
      <c r="AL933" s="269"/>
      <c r="AM933" s="269"/>
      <c r="AN933" s="269"/>
      <c r="AO933" s="269"/>
      <c r="AP933" s="269"/>
      <c r="AQ933" s="269"/>
      <c r="AR933" s="269"/>
    </row>
    <row r="934">
      <c r="A934" s="410"/>
      <c r="B934" s="410"/>
      <c r="C934" s="410"/>
      <c r="D934" s="410"/>
      <c r="E934" s="410"/>
      <c r="F934" s="410"/>
      <c r="H934" s="269"/>
      <c r="I934" s="269"/>
      <c r="J934" s="269"/>
      <c r="K934" s="269"/>
      <c r="L934" s="269"/>
      <c r="M934" s="269"/>
      <c r="N934" s="269"/>
      <c r="O934" s="269"/>
      <c r="P934" s="269"/>
      <c r="Q934" s="269"/>
      <c r="R934" s="269"/>
      <c r="S934" s="269"/>
      <c r="T934" s="269"/>
      <c r="U934" s="269"/>
      <c r="V934" s="269"/>
      <c r="W934" s="269"/>
      <c r="X934" s="269"/>
      <c r="Y934" s="269"/>
      <c r="Z934" s="269"/>
      <c r="AA934" s="269"/>
      <c r="AB934" s="269"/>
      <c r="AC934" s="269"/>
      <c r="AD934" s="269"/>
      <c r="AE934" s="269"/>
      <c r="AF934" s="269"/>
      <c r="AG934" s="269"/>
      <c r="AH934" s="269"/>
      <c r="AI934" s="269"/>
      <c r="AJ934" s="269"/>
      <c r="AK934" s="269"/>
      <c r="AL934" s="269"/>
      <c r="AM934" s="269"/>
      <c r="AN934" s="269"/>
      <c r="AO934" s="269"/>
      <c r="AP934" s="269"/>
      <c r="AQ934" s="269"/>
      <c r="AR934" s="269"/>
    </row>
    <row r="935">
      <c r="A935" s="410"/>
      <c r="B935" s="410"/>
      <c r="C935" s="410"/>
      <c r="D935" s="410"/>
      <c r="E935" s="410"/>
      <c r="F935" s="410"/>
      <c r="H935" s="269"/>
      <c r="I935" s="269"/>
      <c r="J935" s="269"/>
      <c r="K935" s="269"/>
      <c r="L935" s="269"/>
      <c r="M935" s="269"/>
      <c r="N935" s="269"/>
      <c r="O935" s="269"/>
      <c r="P935" s="269"/>
      <c r="Q935" s="269"/>
      <c r="R935" s="269"/>
      <c r="S935" s="269"/>
      <c r="T935" s="269"/>
      <c r="U935" s="269"/>
      <c r="V935" s="269"/>
      <c r="W935" s="269"/>
      <c r="X935" s="269"/>
      <c r="Y935" s="269"/>
      <c r="Z935" s="269"/>
      <c r="AA935" s="269"/>
      <c r="AB935" s="269"/>
      <c r="AC935" s="269"/>
      <c r="AD935" s="269"/>
      <c r="AE935" s="269"/>
      <c r="AF935" s="269"/>
      <c r="AG935" s="269"/>
      <c r="AH935" s="269"/>
      <c r="AI935" s="269"/>
      <c r="AJ935" s="269"/>
      <c r="AK935" s="269"/>
      <c r="AL935" s="269"/>
      <c r="AM935" s="269"/>
      <c r="AN935" s="269"/>
      <c r="AO935" s="269"/>
      <c r="AP935" s="269"/>
      <c r="AQ935" s="269"/>
      <c r="AR935" s="269"/>
    </row>
    <row r="936">
      <c r="A936" s="410"/>
      <c r="B936" s="410"/>
      <c r="C936" s="410"/>
      <c r="D936" s="410"/>
      <c r="E936" s="410"/>
      <c r="F936" s="410"/>
      <c r="H936" s="269"/>
      <c r="I936" s="269"/>
      <c r="J936" s="269"/>
      <c r="K936" s="269"/>
      <c r="L936" s="269"/>
      <c r="M936" s="269"/>
      <c r="N936" s="269"/>
      <c r="O936" s="269"/>
      <c r="P936" s="269"/>
      <c r="Q936" s="269"/>
      <c r="R936" s="269"/>
      <c r="S936" s="269"/>
      <c r="T936" s="269"/>
      <c r="U936" s="269"/>
      <c r="V936" s="269"/>
      <c r="W936" s="269"/>
      <c r="X936" s="269"/>
      <c r="Y936" s="269"/>
      <c r="Z936" s="269"/>
      <c r="AA936" s="269"/>
      <c r="AB936" s="269"/>
      <c r="AC936" s="269"/>
      <c r="AD936" s="269"/>
      <c r="AE936" s="269"/>
      <c r="AF936" s="269"/>
      <c r="AG936" s="269"/>
      <c r="AH936" s="269"/>
      <c r="AI936" s="269"/>
      <c r="AJ936" s="269"/>
      <c r="AK936" s="269"/>
      <c r="AL936" s="269"/>
      <c r="AM936" s="269"/>
      <c r="AN936" s="269"/>
      <c r="AO936" s="269"/>
      <c r="AP936" s="269"/>
      <c r="AQ936" s="269"/>
      <c r="AR936" s="269"/>
    </row>
    <row r="937">
      <c r="A937" s="410"/>
      <c r="B937" s="410"/>
      <c r="C937" s="410"/>
      <c r="D937" s="410"/>
      <c r="E937" s="410"/>
      <c r="F937" s="410"/>
      <c r="H937" s="269"/>
      <c r="I937" s="269"/>
      <c r="J937" s="269"/>
      <c r="K937" s="269"/>
      <c r="L937" s="269"/>
      <c r="M937" s="269"/>
      <c r="N937" s="269"/>
      <c r="O937" s="269"/>
      <c r="P937" s="269"/>
      <c r="Q937" s="269"/>
      <c r="R937" s="269"/>
      <c r="S937" s="269"/>
      <c r="T937" s="269"/>
      <c r="U937" s="269"/>
      <c r="V937" s="269"/>
      <c r="W937" s="269"/>
      <c r="X937" s="269"/>
      <c r="Y937" s="269"/>
      <c r="Z937" s="269"/>
      <c r="AA937" s="269"/>
      <c r="AB937" s="269"/>
      <c r="AC937" s="269"/>
      <c r="AD937" s="269"/>
      <c r="AE937" s="269"/>
      <c r="AF937" s="269"/>
      <c r="AG937" s="269"/>
      <c r="AH937" s="269"/>
      <c r="AI937" s="269"/>
      <c r="AJ937" s="269"/>
      <c r="AK937" s="269"/>
      <c r="AL937" s="269"/>
      <c r="AM937" s="269"/>
      <c r="AN937" s="269"/>
      <c r="AO937" s="269"/>
      <c r="AP937" s="269"/>
      <c r="AQ937" s="269"/>
      <c r="AR937" s="269"/>
    </row>
    <row r="938">
      <c r="A938" s="410"/>
      <c r="B938" s="410"/>
      <c r="C938" s="410"/>
      <c r="D938" s="410"/>
      <c r="E938" s="410"/>
      <c r="F938" s="410"/>
      <c r="H938" s="269"/>
      <c r="I938" s="269"/>
      <c r="J938" s="269"/>
      <c r="K938" s="269"/>
      <c r="L938" s="269"/>
      <c r="M938" s="269"/>
      <c r="N938" s="269"/>
      <c r="O938" s="269"/>
      <c r="P938" s="269"/>
      <c r="Q938" s="269"/>
      <c r="R938" s="269"/>
      <c r="S938" s="269"/>
      <c r="T938" s="269"/>
      <c r="U938" s="269"/>
      <c r="V938" s="269"/>
      <c r="W938" s="269"/>
      <c r="X938" s="269"/>
      <c r="Y938" s="269"/>
      <c r="Z938" s="269"/>
      <c r="AA938" s="269"/>
      <c r="AB938" s="269"/>
      <c r="AC938" s="269"/>
      <c r="AD938" s="269"/>
      <c r="AE938" s="269"/>
      <c r="AF938" s="269"/>
      <c r="AG938" s="269"/>
      <c r="AH938" s="269"/>
      <c r="AI938" s="269"/>
      <c r="AJ938" s="269"/>
      <c r="AK938" s="269"/>
      <c r="AL938" s="269"/>
      <c r="AM938" s="269"/>
      <c r="AN938" s="269"/>
      <c r="AO938" s="269"/>
      <c r="AP938" s="269"/>
      <c r="AQ938" s="269"/>
      <c r="AR938" s="269"/>
    </row>
    <row r="939">
      <c r="A939" s="410"/>
      <c r="B939" s="410"/>
      <c r="C939" s="410"/>
      <c r="D939" s="410"/>
      <c r="E939" s="410"/>
      <c r="F939" s="410"/>
      <c r="H939" s="269"/>
      <c r="I939" s="269"/>
      <c r="J939" s="269"/>
      <c r="K939" s="269"/>
      <c r="L939" s="269"/>
      <c r="M939" s="269"/>
      <c r="N939" s="269"/>
      <c r="O939" s="269"/>
      <c r="P939" s="269"/>
      <c r="Q939" s="269"/>
      <c r="R939" s="269"/>
      <c r="S939" s="269"/>
      <c r="T939" s="269"/>
      <c r="U939" s="269"/>
      <c r="V939" s="269"/>
      <c r="W939" s="269"/>
      <c r="X939" s="269"/>
      <c r="Y939" s="269"/>
      <c r="Z939" s="269"/>
      <c r="AA939" s="269"/>
      <c r="AB939" s="269"/>
      <c r="AC939" s="269"/>
      <c r="AD939" s="269"/>
      <c r="AE939" s="269"/>
      <c r="AF939" s="269"/>
      <c r="AG939" s="269"/>
      <c r="AH939" s="269"/>
      <c r="AI939" s="269"/>
      <c r="AJ939" s="269"/>
      <c r="AK939" s="269"/>
      <c r="AL939" s="269"/>
      <c r="AM939" s="269"/>
      <c r="AN939" s="269"/>
      <c r="AO939" s="269"/>
      <c r="AP939" s="269"/>
      <c r="AQ939" s="269"/>
      <c r="AR939" s="269"/>
    </row>
    <row r="940">
      <c r="A940" s="410"/>
      <c r="B940" s="410"/>
      <c r="C940" s="410"/>
      <c r="D940" s="410"/>
      <c r="E940" s="410"/>
      <c r="F940" s="410"/>
      <c r="H940" s="269"/>
      <c r="I940" s="269"/>
      <c r="J940" s="269"/>
      <c r="K940" s="269"/>
      <c r="L940" s="269"/>
      <c r="M940" s="269"/>
      <c r="N940" s="269"/>
      <c r="O940" s="269"/>
      <c r="P940" s="269"/>
      <c r="Q940" s="269"/>
      <c r="R940" s="269"/>
      <c r="S940" s="269"/>
      <c r="T940" s="269"/>
      <c r="U940" s="269"/>
      <c r="V940" s="269"/>
      <c r="W940" s="269"/>
      <c r="X940" s="269"/>
      <c r="Y940" s="269"/>
      <c r="Z940" s="269"/>
      <c r="AA940" s="269"/>
      <c r="AB940" s="269"/>
      <c r="AC940" s="269"/>
      <c r="AD940" s="269"/>
      <c r="AE940" s="269"/>
      <c r="AF940" s="269"/>
      <c r="AG940" s="269"/>
      <c r="AH940" s="269"/>
      <c r="AI940" s="269"/>
      <c r="AJ940" s="269"/>
      <c r="AK940" s="269"/>
      <c r="AL940" s="269"/>
      <c r="AM940" s="269"/>
      <c r="AN940" s="269"/>
      <c r="AO940" s="269"/>
      <c r="AP940" s="269"/>
      <c r="AQ940" s="269"/>
      <c r="AR940" s="269"/>
    </row>
    <row r="941">
      <c r="A941" s="410"/>
      <c r="B941" s="410"/>
      <c r="C941" s="410"/>
      <c r="D941" s="410"/>
      <c r="E941" s="410"/>
      <c r="F941" s="410"/>
      <c r="H941" s="269"/>
      <c r="I941" s="269"/>
      <c r="J941" s="269"/>
      <c r="K941" s="269"/>
      <c r="L941" s="269"/>
      <c r="M941" s="269"/>
      <c r="N941" s="269"/>
      <c r="O941" s="269"/>
      <c r="P941" s="269"/>
      <c r="Q941" s="269"/>
      <c r="R941" s="269"/>
      <c r="S941" s="269"/>
      <c r="T941" s="269"/>
      <c r="U941" s="269"/>
      <c r="V941" s="269"/>
      <c r="W941" s="269"/>
      <c r="X941" s="269"/>
      <c r="Y941" s="269"/>
      <c r="Z941" s="269"/>
      <c r="AA941" s="269"/>
      <c r="AB941" s="269"/>
      <c r="AC941" s="269"/>
      <c r="AD941" s="269"/>
      <c r="AE941" s="269"/>
      <c r="AF941" s="269"/>
      <c r="AG941" s="269"/>
      <c r="AH941" s="269"/>
      <c r="AI941" s="269"/>
      <c r="AJ941" s="269"/>
      <c r="AK941" s="269"/>
      <c r="AL941" s="269"/>
      <c r="AM941" s="269"/>
      <c r="AN941" s="269"/>
      <c r="AO941" s="269"/>
      <c r="AP941" s="269"/>
      <c r="AQ941" s="269"/>
      <c r="AR941" s="269"/>
    </row>
    <row r="942">
      <c r="A942" s="410"/>
      <c r="B942" s="410"/>
      <c r="C942" s="410"/>
      <c r="D942" s="410"/>
      <c r="E942" s="410"/>
      <c r="F942" s="410"/>
      <c r="H942" s="269"/>
      <c r="I942" s="269"/>
      <c r="J942" s="269"/>
      <c r="K942" s="269"/>
      <c r="L942" s="269"/>
      <c r="M942" s="269"/>
      <c r="N942" s="269"/>
      <c r="O942" s="269"/>
      <c r="P942" s="269"/>
      <c r="Q942" s="269"/>
      <c r="R942" s="269"/>
      <c r="S942" s="269"/>
      <c r="T942" s="269"/>
      <c r="U942" s="269"/>
      <c r="V942" s="269"/>
      <c r="W942" s="269"/>
      <c r="X942" s="269"/>
      <c r="Y942" s="269"/>
      <c r="Z942" s="269"/>
      <c r="AA942" s="269"/>
      <c r="AB942" s="269"/>
      <c r="AC942" s="269"/>
      <c r="AD942" s="269"/>
      <c r="AE942" s="269"/>
      <c r="AF942" s="269"/>
      <c r="AG942" s="269"/>
      <c r="AH942" s="269"/>
      <c r="AI942" s="269"/>
      <c r="AJ942" s="269"/>
      <c r="AK942" s="269"/>
      <c r="AL942" s="269"/>
      <c r="AM942" s="269"/>
      <c r="AN942" s="269"/>
      <c r="AO942" s="269"/>
      <c r="AP942" s="269"/>
      <c r="AQ942" s="269"/>
      <c r="AR942" s="269"/>
    </row>
    <row r="943">
      <c r="A943" s="410"/>
      <c r="B943" s="410"/>
      <c r="C943" s="410"/>
      <c r="D943" s="410"/>
      <c r="E943" s="410"/>
      <c r="F943" s="410"/>
      <c r="H943" s="269"/>
      <c r="I943" s="269"/>
      <c r="J943" s="269"/>
      <c r="K943" s="269"/>
      <c r="L943" s="269"/>
      <c r="M943" s="269"/>
      <c r="N943" s="269"/>
      <c r="O943" s="269"/>
      <c r="P943" s="269"/>
      <c r="Q943" s="269"/>
      <c r="R943" s="269"/>
      <c r="S943" s="269"/>
      <c r="T943" s="269"/>
      <c r="U943" s="269"/>
      <c r="V943" s="269"/>
      <c r="W943" s="269"/>
      <c r="X943" s="269"/>
      <c r="Y943" s="269"/>
      <c r="Z943" s="269"/>
      <c r="AA943" s="269"/>
      <c r="AB943" s="269"/>
      <c r="AC943" s="269"/>
      <c r="AD943" s="269"/>
      <c r="AE943" s="269"/>
      <c r="AF943" s="269"/>
      <c r="AG943" s="269"/>
      <c r="AH943" s="269"/>
      <c r="AI943" s="269"/>
      <c r="AJ943" s="269"/>
      <c r="AK943" s="269"/>
      <c r="AL943" s="269"/>
      <c r="AM943" s="269"/>
      <c r="AN943" s="269"/>
      <c r="AO943" s="269"/>
      <c r="AP943" s="269"/>
      <c r="AQ943" s="269"/>
      <c r="AR943" s="269"/>
    </row>
    <row r="944">
      <c r="A944" s="410"/>
      <c r="B944" s="410"/>
      <c r="C944" s="410"/>
      <c r="D944" s="410"/>
      <c r="E944" s="410"/>
      <c r="F944" s="410"/>
      <c r="H944" s="269"/>
      <c r="I944" s="269"/>
      <c r="J944" s="269"/>
      <c r="K944" s="269"/>
      <c r="L944" s="269"/>
      <c r="M944" s="269"/>
      <c r="N944" s="269"/>
      <c r="O944" s="269"/>
      <c r="P944" s="269"/>
      <c r="Q944" s="269"/>
      <c r="R944" s="269"/>
      <c r="S944" s="269"/>
      <c r="T944" s="269"/>
      <c r="U944" s="269"/>
      <c r="V944" s="269"/>
      <c r="W944" s="269"/>
      <c r="X944" s="269"/>
      <c r="Y944" s="269"/>
      <c r="Z944" s="269"/>
      <c r="AA944" s="269"/>
      <c r="AB944" s="269"/>
      <c r="AC944" s="269"/>
      <c r="AD944" s="269"/>
      <c r="AE944" s="269"/>
      <c r="AF944" s="269"/>
      <c r="AG944" s="269"/>
      <c r="AH944" s="269"/>
      <c r="AI944" s="269"/>
      <c r="AJ944" s="269"/>
      <c r="AK944" s="269"/>
      <c r="AL944" s="269"/>
      <c r="AM944" s="269"/>
      <c r="AN944" s="269"/>
      <c r="AO944" s="269"/>
      <c r="AP944" s="269"/>
      <c r="AQ944" s="269"/>
      <c r="AR944" s="269"/>
    </row>
    <row r="945">
      <c r="A945" s="410"/>
      <c r="B945" s="410"/>
      <c r="C945" s="410"/>
      <c r="D945" s="410"/>
      <c r="E945" s="410"/>
      <c r="F945" s="410"/>
      <c r="H945" s="269"/>
      <c r="I945" s="269"/>
      <c r="J945" s="269"/>
      <c r="K945" s="269"/>
      <c r="L945" s="269"/>
      <c r="M945" s="269"/>
      <c r="N945" s="269"/>
      <c r="O945" s="269"/>
      <c r="P945" s="269"/>
      <c r="Q945" s="269"/>
      <c r="R945" s="269"/>
      <c r="S945" s="269"/>
      <c r="T945" s="269"/>
      <c r="U945" s="269"/>
      <c r="V945" s="269"/>
      <c r="W945" s="269"/>
      <c r="X945" s="269"/>
      <c r="Y945" s="269"/>
      <c r="Z945" s="269"/>
      <c r="AA945" s="269"/>
      <c r="AB945" s="269"/>
      <c r="AC945" s="269"/>
      <c r="AD945" s="269"/>
      <c r="AE945" s="269"/>
      <c r="AF945" s="269"/>
      <c r="AG945" s="269"/>
      <c r="AH945" s="269"/>
      <c r="AI945" s="269"/>
      <c r="AJ945" s="269"/>
      <c r="AK945" s="269"/>
      <c r="AL945" s="269"/>
      <c r="AM945" s="269"/>
      <c r="AN945" s="269"/>
      <c r="AO945" s="269"/>
      <c r="AP945" s="269"/>
      <c r="AQ945" s="269"/>
      <c r="AR945" s="269"/>
    </row>
    <row r="946">
      <c r="A946" s="410"/>
      <c r="B946" s="410"/>
      <c r="C946" s="410"/>
      <c r="D946" s="410"/>
      <c r="E946" s="410"/>
      <c r="F946" s="410"/>
      <c r="H946" s="269"/>
      <c r="I946" s="269"/>
      <c r="J946" s="269"/>
      <c r="K946" s="269"/>
      <c r="L946" s="269"/>
      <c r="M946" s="269"/>
      <c r="N946" s="269"/>
      <c r="O946" s="269"/>
      <c r="P946" s="269"/>
      <c r="Q946" s="269"/>
      <c r="R946" s="269"/>
      <c r="S946" s="269"/>
      <c r="T946" s="269"/>
      <c r="U946" s="269"/>
      <c r="V946" s="269"/>
      <c r="W946" s="269"/>
      <c r="X946" s="269"/>
      <c r="Y946" s="269"/>
      <c r="Z946" s="269"/>
      <c r="AA946" s="269"/>
      <c r="AB946" s="269"/>
      <c r="AC946" s="269"/>
      <c r="AD946" s="269"/>
      <c r="AE946" s="269"/>
      <c r="AF946" s="269"/>
      <c r="AG946" s="269"/>
      <c r="AH946" s="269"/>
      <c r="AI946" s="269"/>
      <c r="AJ946" s="269"/>
      <c r="AK946" s="269"/>
      <c r="AL946" s="269"/>
      <c r="AM946" s="269"/>
      <c r="AN946" s="269"/>
      <c r="AO946" s="269"/>
      <c r="AP946" s="269"/>
      <c r="AQ946" s="269"/>
      <c r="AR946" s="269"/>
    </row>
    <row r="947">
      <c r="A947" s="410"/>
      <c r="B947" s="410"/>
      <c r="C947" s="410"/>
      <c r="D947" s="410"/>
      <c r="E947" s="410"/>
      <c r="F947" s="410"/>
      <c r="H947" s="269"/>
      <c r="I947" s="269"/>
      <c r="J947" s="269"/>
      <c r="K947" s="269"/>
      <c r="L947" s="269"/>
      <c r="M947" s="269"/>
      <c r="N947" s="269"/>
      <c r="O947" s="269"/>
      <c r="P947" s="269"/>
      <c r="Q947" s="269"/>
      <c r="R947" s="269"/>
      <c r="S947" s="269"/>
      <c r="T947" s="269"/>
      <c r="U947" s="269"/>
      <c r="V947" s="269"/>
      <c r="W947" s="269"/>
      <c r="X947" s="269"/>
      <c r="Y947" s="269"/>
      <c r="Z947" s="269"/>
      <c r="AA947" s="269"/>
      <c r="AB947" s="269"/>
      <c r="AC947" s="269"/>
      <c r="AD947" s="269"/>
      <c r="AE947" s="269"/>
      <c r="AF947" s="269"/>
      <c r="AG947" s="269"/>
      <c r="AH947" s="269"/>
      <c r="AI947" s="269"/>
      <c r="AJ947" s="269"/>
      <c r="AK947" s="269"/>
      <c r="AL947" s="269"/>
      <c r="AM947" s="269"/>
      <c r="AN947" s="269"/>
      <c r="AO947" s="269"/>
      <c r="AP947" s="269"/>
      <c r="AQ947" s="269"/>
      <c r="AR947" s="269"/>
    </row>
    <row r="948">
      <c r="A948" s="410"/>
      <c r="B948" s="410"/>
      <c r="C948" s="410"/>
      <c r="D948" s="410"/>
      <c r="E948" s="410"/>
      <c r="F948" s="410"/>
      <c r="H948" s="269"/>
      <c r="I948" s="269"/>
      <c r="J948" s="269"/>
      <c r="K948" s="269"/>
      <c r="L948" s="269"/>
      <c r="M948" s="269"/>
      <c r="N948" s="269"/>
      <c r="O948" s="269"/>
      <c r="P948" s="269"/>
      <c r="Q948" s="269"/>
      <c r="R948" s="269"/>
      <c r="S948" s="269"/>
      <c r="T948" s="269"/>
      <c r="U948" s="269"/>
      <c r="V948" s="269"/>
      <c r="W948" s="269"/>
      <c r="X948" s="269"/>
      <c r="Y948" s="269"/>
      <c r="Z948" s="269"/>
      <c r="AA948" s="269"/>
      <c r="AB948" s="269"/>
      <c r="AC948" s="269"/>
      <c r="AD948" s="269"/>
      <c r="AE948" s="269"/>
      <c r="AF948" s="269"/>
      <c r="AG948" s="269"/>
      <c r="AH948" s="269"/>
      <c r="AI948" s="269"/>
      <c r="AJ948" s="269"/>
      <c r="AK948" s="269"/>
      <c r="AL948" s="269"/>
      <c r="AM948" s="269"/>
      <c r="AN948" s="269"/>
      <c r="AO948" s="269"/>
      <c r="AP948" s="269"/>
      <c r="AQ948" s="269"/>
      <c r="AR948" s="269"/>
    </row>
    <row r="949">
      <c r="A949" s="410"/>
      <c r="B949" s="410"/>
      <c r="C949" s="410"/>
      <c r="D949" s="410"/>
      <c r="E949" s="410"/>
      <c r="F949" s="410"/>
      <c r="H949" s="269"/>
      <c r="I949" s="269"/>
      <c r="J949" s="269"/>
      <c r="K949" s="269"/>
      <c r="L949" s="269"/>
      <c r="M949" s="269"/>
      <c r="N949" s="269"/>
      <c r="O949" s="269"/>
      <c r="P949" s="269"/>
      <c r="Q949" s="269"/>
      <c r="R949" s="269"/>
      <c r="S949" s="269"/>
      <c r="T949" s="269"/>
      <c r="U949" s="269"/>
      <c r="V949" s="269"/>
      <c r="W949" s="269"/>
      <c r="X949" s="269"/>
      <c r="Y949" s="269"/>
      <c r="Z949" s="269"/>
      <c r="AA949" s="269"/>
      <c r="AB949" s="269"/>
      <c r="AC949" s="269"/>
      <c r="AD949" s="269"/>
      <c r="AE949" s="269"/>
      <c r="AF949" s="269"/>
      <c r="AG949" s="269"/>
      <c r="AH949" s="269"/>
      <c r="AI949" s="269"/>
      <c r="AJ949" s="269"/>
      <c r="AK949" s="269"/>
      <c r="AL949" s="269"/>
      <c r="AM949" s="269"/>
      <c r="AN949" s="269"/>
      <c r="AO949" s="269"/>
      <c r="AP949" s="269"/>
      <c r="AQ949" s="269"/>
      <c r="AR949" s="269"/>
    </row>
    <row r="950">
      <c r="A950" s="410"/>
      <c r="B950" s="410"/>
      <c r="C950" s="410"/>
      <c r="D950" s="410"/>
      <c r="E950" s="410"/>
      <c r="F950" s="410"/>
      <c r="H950" s="269"/>
      <c r="I950" s="269"/>
      <c r="J950" s="269"/>
      <c r="K950" s="269"/>
      <c r="L950" s="269"/>
      <c r="M950" s="269"/>
      <c r="N950" s="269"/>
      <c r="O950" s="269"/>
      <c r="P950" s="269"/>
      <c r="Q950" s="269"/>
      <c r="R950" s="269"/>
      <c r="S950" s="269"/>
      <c r="T950" s="269"/>
      <c r="U950" s="269"/>
      <c r="V950" s="269"/>
      <c r="W950" s="269"/>
      <c r="X950" s="269"/>
      <c r="Y950" s="269"/>
      <c r="Z950" s="269"/>
      <c r="AA950" s="269"/>
      <c r="AB950" s="269"/>
      <c r="AC950" s="269"/>
      <c r="AD950" s="269"/>
      <c r="AE950" s="269"/>
      <c r="AF950" s="269"/>
      <c r="AG950" s="269"/>
      <c r="AH950" s="269"/>
      <c r="AI950" s="269"/>
      <c r="AJ950" s="269"/>
      <c r="AK950" s="269"/>
      <c r="AL950" s="269"/>
      <c r="AM950" s="269"/>
      <c r="AN950" s="269"/>
      <c r="AO950" s="269"/>
      <c r="AP950" s="269"/>
      <c r="AQ950" s="269"/>
      <c r="AR950" s="269"/>
    </row>
    <row r="951">
      <c r="A951" s="410"/>
      <c r="B951" s="410"/>
      <c r="C951" s="410"/>
      <c r="D951" s="410"/>
      <c r="E951" s="410"/>
      <c r="F951" s="410"/>
      <c r="H951" s="269"/>
      <c r="I951" s="269"/>
      <c r="J951" s="269"/>
      <c r="K951" s="269"/>
      <c r="L951" s="269"/>
      <c r="M951" s="269"/>
      <c r="N951" s="269"/>
      <c r="O951" s="269"/>
      <c r="P951" s="269"/>
      <c r="Q951" s="269"/>
      <c r="R951" s="269"/>
      <c r="S951" s="269"/>
      <c r="T951" s="269"/>
      <c r="U951" s="269"/>
      <c r="V951" s="269"/>
      <c r="W951" s="269"/>
      <c r="X951" s="269"/>
      <c r="Y951" s="269"/>
      <c r="Z951" s="269"/>
      <c r="AA951" s="269"/>
      <c r="AB951" s="269"/>
      <c r="AC951" s="269"/>
      <c r="AD951" s="269"/>
      <c r="AE951" s="269"/>
      <c r="AF951" s="269"/>
      <c r="AG951" s="269"/>
      <c r="AH951" s="269"/>
      <c r="AI951" s="269"/>
      <c r="AJ951" s="269"/>
      <c r="AK951" s="269"/>
      <c r="AL951" s="269"/>
      <c r="AM951" s="269"/>
      <c r="AN951" s="269"/>
      <c r="AO951" s="269"/>
      <c r="AP951" s="269"/>
      <c r="AQ951" s="269"/>
      <c r="AR951" s="269"/>
    </row>
    <row r="952">
      <c r="A952" s="410"/>
      <c r="B952" s="410"/>
      <c r="C952" s="410"/>
      <c r="D952" s="410"/>
      <c r="E952" s="410"/>
      <c r="F952" s="410"/>
      <c r="H952" s="269"/>
      <c r="I952" s="269"/>
      <c r="J952" s="269"/>
      <c r="K952" s="269"/>
      <c r="L952" s="269"/>
      <c r="M952" s="269"/>
      <c r="N952" s="269"/>
      <c r="O952" s="269"/>
      <c r="P952" s="269"/>
      <c r="Q952" s="269"/>
      <c r="R952" s="269"/>
      <c r="S952" s="269"/>
      <c r="T952" s="269"/>
      <c r="U952" s="269"/>
      <c r="V952" s="269"/>
      <c r="W952" s="269"/>
      <c r="X952" s="269"/>
      <c r="Y952" s="269"/>
      <c r="Z952" s="269"/>
      <c r="AA952" s="269"/>
      <c r="AB952" s="269"/>
      <c r="AC952" s="269"/>
      <c r="AD952" s="269"/>
      <c r="AE952" s="269"/>
      <c r="AF952" s="269"/>
      <c r="AG952" s="269"/>
      <c r="AH952" s="269"/>
      <c r="AI952" s="269"/>
      <c r="AJ952" s="269"/>
      <c r="AK952" s="269"/>
      <c r="AL952" s="269"/>
      <c r="AM952" s="269"/>
      <c r="AN952" s="269"/>
      <c r="AO952" s="269"/>
      <c r="AP952" s="269"/>
      <c r="AQ952" s="269"/>
      <c r="AR952" s="269"/>
    </row>
    <row r="953">
      <c r="A953" s="410"/>
      <c r="B953" s="410"/>
      <c r="C953" s="410"/>
      <c r="D953" s="410"/>
      <c r="E953" s="410"/>
      <c r="F953" s="410"/>
      <c r="H953" s="269"/>
      <c r="I953" s="269"/>
      <c r="J953" s="269"/>
      <c r="K953" s="269"/>
      <c r="L953" s="269"/>
      <c r="M953" s="269"/>
      <c r="N953" s="269"/>
      <c r="O953" s="269"/>
      <c r="P953" s="269"/>
      <c r="Q953" s="269"/>
      <c r="R953" s="269"/>
      <c r="S953" s="269"/>
      <c r="T953" s="269"/>
      <c r="U953" s="269"/>
      <c r="V953" s="269"/>
      <c r="W953" s="269"/>
      <c r="X953" s="269"/>
      <c r="Y953" s="269"/>
      <c r="Z953" s="269"/>
      <c r="AA953" s="269"/>
      <c r="AB953" s="269"/>
      <c r="AC953" s="269"/>
      <c r="AD953" s="269"/>
      <c r="AE953" s="269"/>
      <c r="AF953" s="269"/>
      <c r="AG953" s="269"/>
      <c r="AH953" s="269"/>
      <c r="AI953" s="269"/>
      <c r="AJ953" s="269"/>
      <c r="AK953" s="269"/>
      <c r="AL953" s="269"/>
      <c r="AM953" s="269"/>
      <c r="AN953" s="269"/>
      <c r="AO953" s="269"/>
      <c r="AP953" s="269"/>
      <c r="AQ953" s="269"/>
      <c r="AR953" s="269"/>
    </row>
    <row r="954">
      <c r="A954" s="410"/>
      <c r="B954" s="410"/>
      <c r="C954" s="410"/>
      <c r="D954" s="410"/>
      <c r="E954" s="410"/>
      <c r="F954" s="410"/>
      <c r="H954" s="269"/>
      <c r="I954" s="269"/>
      <c r="J954" s="269"/>
      <c r="K954" s="269"/>
      <c r="L954" s="269"/>
      <c r="M954" s="269"/>
      <c r="N954" s="269"/>
      <c r="O954" s="269"/>
      <c r="P954" s="269"/>
      <c r="Q954" s="269"/>
      <c r="R954" s="269"/>
      <c r="S954" s="269"/>
      <c r="T954" s="269"/>
      <c r="U954" s="269"/>
      <c r="V954" s="269"/>
      <c r="W954" s="269"/>
      <c r="X954" s="269"/>
      <c r="Y954" s="269"/>
      <c r="Z954" s="269"/>
      <c r="AA954" s="269"/>
      <c r="AB954" s="269"/>
      <c r="AC954" s="269"/>
      <c r="AD954" s="269"/>
      <c r="AE954" s="269"/>
      <c r="AF954" s="269"/>
      <c r="AG954" s="269"/>
      <c r="AH954" s="269"/>
      <c r="AI954" s="269"/>
      <c r="AJ954" s="269"/>
      <c r="AK954" s="269"/>
      <c r="AL954" s="269"/>
      <c r="AM954" s="269"/>
      <c r="AN954" s="269"/>
      <c r="AO954" s="269"/>
      <c r="AP954" s="269"/>
      <c r="AQ954" s="269"/>
      <c r="AR954" s="269"/>
    </row>
    <row r="955">
      <c r="A955" s="410"/>
      <c r="B955" s="410"/>
      <c r="C955" s="410"/>
      <c r="D955" s="410"/>
      <c r="E955" s="410"/>
      <c r="F955" s="410"/>
      <c r="H955" s="269"/>
      <c r="I955" s="269"/>
      <c r="J955" s="269"/>
      <c r="K955" s="269"/>
      <c r="L955" s="269"/>
      <c r="M955" s="269"/>
      <c r="N955" s="269"/>
      <c r="O955" s="269"/>
      <c r="P955" s="269"/>
      <c r="Q955" s="269"/>
      <c r="R955" s="269"/>
      <c r="S955" s="269"/>
      <c r="T955" s="269"/>
      <c r="U955" s="269"/>
      <c r="V955" s="269"/>
      <c r="W955" s="269"/>
      <c r="X955" s="269"/>
      <c r="Y955" s="269"/>
      <c r="Z955" s="269"/>
      <c r="AA955" s="269"/>
      <c r="AB955" s="269"/>
      <c r="AC955" s="269"/>
      <c r="AD955" s="269"/>
      <c r="AE955" s="269"/>
      <c r="AF955" s="269"/>
      <c r="AG955" s="269"/>
      <c r="AH955" s="269"/>
      <c r="AI955" s="269"/>
      <c r="AJ955" s="269"/>
      <c r="AK955" s="269"/>
      <c r="AL955" s="269"/>
      <c r="AM955" s="269"/>
      <c r="AN955" s="269"/>
      <c r="AO955" s="269"/>
      <c r="AP955" s="269"/>
      <c r="AQ955" s="269"/>
      <c r="AR955" s="269"/>
    </row>
    <row r="956">
      <c r="A956" s="410"/>
      <c r="B956" s="410"/>
      <c r="C956" s="410"/>
      <c r="D956" s="410"/>
      <c r="E956" s="410"/>
      <c r="F956" s="410"/>
      <c r="H956" s="269"/>
      <c r="I956" s="269"/>
      <c r="J956" s="269"/>
      <c r="K956" s="269"/>
      <c r="L956" s="269"/>
      <c r="M956" s="269"/>
      <c r="N956" s="269"/>
      <c r="O956" s="269"/>
      <c r="P956" s="269"/>
      <c r="Q956" s="269"/>
      <c r="R956" s="269"/>
      <c r="S956" s="269"/>
      <c r="T956" s="269"/>
      <c r="U956" s="269"/>
      <c r="V956" s="269"/>
      <c r="W956" s="269"/>
      <c r="X956" s="269"/>
      <c r="Y956" s="269"/>
      <c r="Z956" s="269"/>
      <c r="AA956" s="269"/>
      <c r="AB956" s="269"/>
      <c r="AC956" s="269"/>
      <c r="AD956" s="269"/>
      <c r="AE956" s="269"/>
      <c r="AF956" s="269"/>
      <c r="AG956" s="269"/>
      <c r="AH956" s="269"/>
      <c r="AI956" s="269"/>
      <c r="AJ956" s="269"/>
      <c r="AK956" s="269"/>
      <c r="AL956" s="269"/>
      <c r="AM956" s="269"/>
      <c r="AN956" s="269"/>
      <c r="AO956" s="269"/>
      <c r="AP956" s="269"/>
      <c r="AQ956" s="269"/>
      <c r="AR956" s="269"/>
    </row>
    <row r="957">
      <c r="A957" s="410"/>
      <c r="B957" s="410"/>
      <c r="C957" s="410"/>
      <c r="D957" s="410"/>
      <c r="E957" s="410"/>
      <c r="F957" s="410"/>
      <c r="H957" s="269"/>
      <c r="I957" s="269"/>
      <c r="J957" s="269"/>
      <c r="K957" s="269"/>
      <c r="L957" s="269"/>
      <c r="M957" s="269"/>
      <c r="N957" s="269"/>
      <c r="O957" s="269"/>
      <c r="P957" s="269"/>
      <c r="Q957" s="269"/>
      <c r="R957" s="269"/>
      <c r="S957" s="269"/>
      <c r="T957" s="269"/>
      <c r="U957" s="269"/>
      <c r="V957" s="269"/>
      <c r="W957" s="269"/>
      <c r="X957" s="269"/>
      <c r="Y957" s="269"/>
      <c r="Z957" s="269"/>
      <c r="AA957" s="269"/>
      <c r="AB957" s="269"/>
      <c r="AC957" s="269"/>
      <c r="AD957" s="269"/>
      <c r="AE957" s="269"/>
      <c r="AF957" s="269"/>
      <c r="AG957" s="269"/>
      <c r="AH957" s="269"/>
      <c r="AI957" s="269"/>
      <c r="AJ957" s="269"/>
      <c r="AK957" s="269"/>
      <c r="AL957" s="269"/>
      <c r="AM957" s="269"/>
      <c r="AN957" s="269"/>
      <c r="AO957" s="269"/>
      <c r="AP957" s="269"/>
      <c r="AQ957" s="269"/>
      <c r="AR957" s="269"/>
    </row>
    <row r="958">
      <c r="A958" s="410"/>
      <c r="B958" s="410"/>
      <c r="C958" s="410"/>
      <c r="D958" s="410"/>
      <c r="E958" s="410"/>
      <c r="F958" s="410"/>
      <c r="H958" s="269"/>
      <c r="I958" s="269"/>
      <c r="J958" s="269"/>
      <c r="K958" s="269"/>
      <c r="L958" s="269"/>
      <c r="M958" s="269"/>
      <c r="N958" s="269"/>
      <c r="O958" s="269"/>
      <c r="P958" s="269"/>
      <c r="Q958" s="269"/>
      <c r="R958" s="269"/>
      <c r="S958" s="269"/>
      <c r="T958" s="269"/>
      <c r="U958" s="269"/>
      <c r="V958" s="269"/>
      <c r="W958" s="269"/>
      <c r="X958" s="269"/>
      <c r="Y958" s="269"/>
      <c r="Z958" s="269"/>
      <c r="AA958" s="269"/>
      <c r="AB958" s="269"/>
      <c r="AC958" s="269"/>
      <c r="AD958" s="269"/>
      <c r="AE958" s="269"/>
      <c r="AF958" s="269"/>
      <c r="AG958" s="269"/>
      <c r="AH958" s="269"/>
      <c r="AI958" s="269"/>
      <c r="AJ958" s="269"/>
      <c r="AK958" s="269"/>
      <c r="AL958" s="269"/>
      <c r="AM958" s="269"/>
      <c r="AN958" s="269"/>
      <c r="AO958" s="269"/>
      <c r="AP958" s="269"/>
      <c r="AQ958" s="269"/>
      <c r="AR958" s="269"/>
    </row>
    <row r="959">
      <c r="A959" s="410"/>
      <c r="B959" s="410"/>
      <c r="C959" s="410"/>
      <c r="D959" s="410"/>
      <c r="E959" s="410"/>
      <c r="F959" s="410"/>
      <c r="H959" s="269"/>
      <c r="I959" s="269"/>
      <c r="J959" s="269"/>
      <c r="K959" s="269"/>
      <c r="L959" s="269"/>
      <c r="M959" s="269"/>
      <c r="N959" s="269"/>
      <c r="O959" s="269"/>
      <c r="P959" s="269"/>
      <c r="Q959" s="269"/>
      <c r="R959" s="269"/>
      <c r="S959" s="269"/>
      <c r="T959" s="269"/>
      <c r="U959" s="269"/>
      <c r="V959" s="269"/>
      <c r="W959" s="269"/>
      <c r="X959" s="269"/>
      <c r="Y959" s="269"/>
      <c r="Z959" s="269"/>
      <c r="AA959" s="269"/>
      <c r="AB959" s="269"/>
      <c r="AC959" s="269"/>
      <c r="AD959" s="269"/>
      <c r="AE959" s="269"/>
      <c r="AF959" s="269"/>
      <c r="AG959" s="269"/>
      <c r="AH959" s="269"/>
      <c r="AI959" s="269"/>
      <c r="AJ959" s="269"/>
      <c r="AK959" s="269"/>
      <c r="AL959" s="269"/>
      <c r="AM959" s="269"/>
      <c r="AN959" s="269"/>
      <c r="AO959" s="269"/>
      <c r="AP959" s="269"/>
      <c r="AQ959" s="269"/>
      <c r="AR959" s="269"/>
    </row>
    <row r="960">
      <c r="A960" s="410"/>
      <c r="B960" s="410"/>
      <c r="C960" s="410"/>
      <c r="D960" s="410"/>
      <c r="E960" s="410"/>
      <c r="F960" s="410"/>
      <c r="H960" s="269"/>
      <c r="I960" s="269"/>
      <c r="J960" s="269"/>
      <c r="K960" s="269"/>
      <c r="L960" s="269"/>
      <c r="M960" s="269"/>
      <c r="N960" s="269"/>
      <c r="O960" s="269"/>
      <c r="P960" s="269"/>
      <c r="Q960" s="269"/>
      <c r="R960" s="269"/>
      <c r="S960" s="269"/>
      <c r="T960" s="269"/>
      <c r="U960" s="269"/>
      <c r="V960" s="269"/>
      <c r="W960" s="269"/>
      <c r="X960" s="269"/>
      <c r="Y960" s="269"/>
      <c r="Z960" s="269"/>
      <c r="AA960" s="269"/>
      <c r="AB960" s="269"/>
      <c r="AC960" s="269"/>
      <c r="AD960" s="269"/>
      <c r="AE960" s="269"/>
      <c r="AF960" s="269"/>
      <c r="AG960" s="269"/>
      <c r="AH960" s="269"/>
      <c r="AI960" s="269"/>
      <c r="AJ960" s="269"/>
      <c r="AK960" s="269"/>
      <c r="AL960" s="269"/>
      <c r="AM960" s="269"/>
      <c r="AN960" s="269"/>
      <c r="AO960" s="269"/>
      <c r="AP960" s="269"/>
      <c r="AQ960" s="269"/>
      <c r="AR960" s="269"/>
    </row>
    <row r="961">
      <c r="A961" s="410"/>
      <c r="B961" s="410"/>
      <c r="C961" s="410"/>
      <c r="D961" s="410"/>
      <c r="E961" s="410"/>
      <c r="F961" s="410"/>
      <c r="H961" s="269"/>
      <c r="I961" s="269"/>
      <c r="J961" s="269"/>
      <c r="K961" s="269"/>
      <c r="L961" s="269"/>
      <c r="M961" s="269"/>
      <c r="N961" s="269"/>
      <c r="O961" s="269"/>
      <c r="P961" s="269"/>
      <c r="Q961" s="269"/>
      <c r="R961" s="269"/>
      <c r="S961" s="269"/>
      <c r="T961" s="269"/>
      <c r="U961" s="269"/>
      <c r="V961" s="269"/>
      <c r="W961" s="269"/>
      <c r="X961" s="269"/>
      <c r="Y961" s="269"/>
      <c r="Z961" s="269"/>
      <c r="AA961" s="269"/>
      <c r="AB961" s="269"/>
      <c r="AC961" s="269"/>
      <c r="AD961" s="269"/>
      <c r="AE961" s="269"/>
      <c r="AF961" s="269"/>
      <c r="AG961" s="269"/>
      <c r="AH961" s="269"/>
      <c r="AI961" s="269"/>
      <c r="AJ961" s="269"/>
      <c r="AK961" s="269"/>
      <c r="AL961" s="269"/>
      <c r="AM961" s="269"/>
      <c r="AN961" s="269"/>
      <c r="AO961" s="269"/>
      <c r="AP961" s="269"/>
      <c r="AQ961" s="269"/>
      <c r="AR961" s="269"/>
    </row>
    <row r="962">
      <c r="A962" s="410"/>
      <c r="B962" s="410"/>
      <c r="C962" s="410"/>
      <c r="D962" s="410"/>
      <c r="E962" s="410"/>
      <c r="F962" s="410"/>
      <c r="H962" s="269"/>
      <c r="I962" s="269"/>
      <c r="J962" s="269"/>
      <c r="K962" s="269"/>
      <c r="L962" s="269"/>
      <c r="M962" s="269"/>
      <c r="N962" s="269"/>
      <c r="O962" s="269"/>
      <c r="P962" s="269"/>
      <c r="Q962" s="269"/>
      <c r="R962" s="269"/>
      <c r="S962" s="269"/>
      <c r="T962" s="269"/>
      <c r="U962" s="269"/>
      <c r="V962" s="269"/>
      <c r="W962" s="269"/>
      <c r="X962" s="269"/>
      <c r="Y962" s="269"/>
      <c r="Z962" s="269"/>
      <c r="AA962" s="269"/>
      <c r="AB962" s="269"/>
      <c r="AC962" s="269"/>
      <c r="AD962" s="269"/>
      <c r="AE962" s="269"/>
      <c r="AF962" s="269"/>
      <c r="AG962" s="269"/>
      <c r="AH962" s="269"/>
      <c r="AI962" s="269"/>
      <c r="AJ962" s="269"/>
      <c r="AK962" s="269"/>
      <c r="AL962" s="269"/>
      <c r="AM962" s="269"/>
      <c r="AN962" s="269"/>
      <c r="AO962" s="269"/>
      <c r="AP962" s="269"/>
      <c r="AQ962" s="269"/>
      <c r="AR962" s="269"/>
    </row>
    <row r="963">
      <c r="A963" s="410"/>
      <c r="B963" s="410"/>
      <c r="C963" s="410"/>
      <c r="D963" s="410"/>
      <c r="E963" s="410"/>
      <c r="F963" s="410"/>
      <c r="H963" s="269"/>
      <c r="I963" s="269"/>
      <c r="J963" s="269"/>
      <c r="K963" s="269"/>
      <c r="L963" s="269"/>
      <c r="M963" s="269"/>
      <c r="N963" s="269"/>
      <c r="O963" s="269"/>
      <c r="P963" s="269"/>
      <c r="Q963" s="269"/>
      <c r="R963" s="269"/>
      <c r="S963" s="269"/>
      <c r="T963" s="269"/>
      <c r="U963" s="269"/>
      <c r="V963" s="269"/>
      <c r="W963" s="269"/>
      <c r="X963" s="269"/>
      <c r="Y963" s="269"/>
      <c r="Z963" s="269"/>
      <c r="AA963" s="269"/>
      <c r="AB963" s="269"/>
      <c r="AC963" s="269"/>
      <c r="AD963" s="269"/>
      <c r="AE963" s="269"/>
      <c r="AF963" s="269"/>
      <c r="AG963" s="269"/>
      <c r="AH963" s="269"/>
      <c r="AI963" s="269"/>
      <c r="AJ963" s="269"/>
      <c r="AK963" s="269"/>
      <c r="AL963" s="269"/>
      <c r="AM963" s="269"/>
      <c r="AN963" s="269"/>
      <c r="AO963" s="269"/>
      <c r="AP963" s="269"/>
      <c r="AQ963" s="269"/>
      <c r="AR963" s="269"/>
    </row>
    <row r="964">
      <c r="A964" s="410"/>
      <c r="B964" s="410"/>
      <c r="C964" s="410"/>
      <c r="D964" s="410"/>
      <c r="E964" s="410"/>
      <c r="F964" s="410"/>
      <c r="H964" s="269"/>
      <c r="I964" s="269"/>
      <c r="J964" s="269"/>
      <c r="K964" s="269"/>
      <c r="L964" s="269"/>
      <c r="M964" s="269"/>
      <c r="N964" s="269"/>
      <c r="O964" s="269"/>
      <c r="P964" s="269"/>
      <c r="Q964" s="269"/>
      <c r="R964" s="269"/>
      <c r="S964" s="269"/>
      <c r="T964" s="269"/>
      <c r="U964" s="269"/>
      <c r="V964" s="269"/>
      <c r="W964" s="269"/>
      <c r="X964" s="269"/>
      <c r="Y964" s="269"/>
      <c r="Z964" s="269"/>
      <c r="AA964" s="269"/>
      <c r="AB964" s="269"/>
      <c r="AC964" s="269"/>
      <c r="AD964" s="269"/>
      <c r="AE964" s="269"/>
      <c r="AF964" s="269"/>
      <c r="AG964" s="269"/>
      <c r="AH964" s="269"/>
      <c r="AI964" s="269"/>
      <c r="AJ964" s="269"/>
      <c r="AK964" s="269"/>
      <c r="AL964" s="269"/>
      <c r="AM964" s="269"/>
      <c r="AN964" s="269"/>
      <c r="AO964" s="269"/>
      <c r="AP964" s="269"/>
      <c r="AQ964" s="269"/>
      <c r="AR964" s="269"/>
    </row>
    <row r="965">
      <c r="A965" s="410"/>
      <c r="B965" s="410"/>
      <c r="C965" s="410"/>
      <c r="D965" s="410"/>
      <c r="E965" s="410"/>
      <c r="F965" s="410"/>
      <c r="H965" s="269"/>
      <c r="I965" s="269"/>
      <c r="J965" s="269"/>
      <c r="K965" s="269"/>
      <c r="L965" s="269"/>
      <c r="M965" s="269"/>
      <c r="N965" s="269"/>
      <c r="O965" s="269"/>
      <c r="P965" s="269"/>
      <c r="Q965" s="269"/>
      <c r="R965" s="269"/>
      <c r="S965" s="269"/>
      <c r="T965" s="269"/>
      <c r="U965" s="269"/>
      <c r="V965" s="269"/>
      <c r="W965" s="269"/>
      <c r="X965" s="269"/>
      <c r="Y965" s="269"/>
      <c r="Z965" s="269"/>
      <c r="AA965" s="269"/>
      <c r="AB965" s="269"/>
      <c r="AC965" s="269"/>
      <c r="AD965" s="269"/>
      <c r="AE965" s="269"/>
      <c r="AF965" s="269"/>
      <c r="AG965" s="269"/>
      <c r="AH965" s="269"/>
      <c r="AI965" s="269"/>
      <c r="AJ965" s="269"/>
      <c r="AK965" s="269"/>
      <c r="AL965" s="269"/>
      <c r="AM965" s="269"/>
      <c r="AN965" s="269"/>
      <c r="AO965" s="269"/>
      <c r="AP965" s="269"/>
      <c r="AQ965" s="269"/>
      <c r="AR965" s="269"/>
    </row>
    <row r="966">
      <c r="A966" s="410"/>
      <c r="B966" s="410"/>
      <c r="C966" s="410"/>
      <c r="D966" s="410"/>
      <c r="E966" s="410"/>
      <c r="F966" s="410"/>
      <c r="H966" s="269"/>
      <c r="I966" s="269"/>
      <c r="J966" s="269"/>
      <c r="K966" s="269"/>
      <c r="L966" s="269"/>
      <c r="M966" s="269"/>
      <c r="N966" s="269"/>
      <c r="O966" s="269"/>
      <c r="P966" s="269"/>
      <c r="Q966" s="269"/>
      <c r="R966" s="269"/>
      <c r="S966" s="269"/>
      <c r="T966" s="269"/>
      <c r="U966" s="269"/>
      <c r="V966" s="269"/>
      <c r="W966" s="269"/>
      <c r="X966" s="269"/>
      <c r="Y966" s="269"/>
      <c r="Z966" s="269"/>
      <c r="AA966" s="269"/>
      <c r="AB966" s="269"/>
      <c r="AC966" s="269"/>
      <c r="AD966" s="269"/>
      <c r="AE966" s="269"/>
      <c r="AF966" s="269"/>
      <c r="AG966" s="269"/>
      <c r="AH966" s="269"/>
      <c r="AI966" s="269"/>
      <c r="AJ966" s="269"/>
      <c r="AK966" s="269"/>
      <c r="AL966" s="269"/>
      <c r="AM966" s="269"/>
      <c r="AN966" s="269"/>
      <c r="AO966" s="269"/>
      <c r="AP966" s="269"/>
      <c r="AQ966" s="269"/>
      <c r="AR966" s="269"/>
    </row>
    <row r="967">
      <c r="A967" s="410"/>
      <c r="B967" s="410"/>
      <c r="C967" s="410"/>
      <c r="D967" s="410"/>
      <c r="E967" s="410"/>
      <c r="F967" s="410"/>
      <c r="H967" s="269"/>
      <c r="I967" s="269"/>
      <c r="J967" s="269"/>
      <c r="K967" s="269"/>
      <c r="L967" s="269"/>
      <c r="M967" s="269"/>
      <c r="N967" s="269"/>
      <c r="O967" s="269"/>
      <c r="P967" s="269"/>
      <c r="Q967" s="269"/>
      <c r="R967" s="269"/>
      <c r="S967" s="269"/>
      <c r="T967" s="269"/>
      <c r="U967" s="269"/>
      <c r="V967" s="269"/>
      <c r="W967" s="269"/>
      <c r="X967" s="269"/>
      <c r="Y967" s="269"/>
      <c r="Z967" s="269"/>
      <c r="AA967" s="269"/>
      <c r="AB967" s="269"/>
      <c r="AC967" s="269"/>
      <c r="AD967" s="269"/>
      <c r="AE967" s="269"/>
      <c r="AF967" s="269"/>
      <c r="AG967" s="269"/>
      <c r="AH967" s="269"/>
      <c r="AI967" s="269"/>
      <c r="AJ967" s="269"/>
      <c r="AK967" s="269"/>
      <c r="AL967" s="269"/>
      <c r="AM967" s="269"/>
      <c r="AN967" s="269"/>
      <c r="AO967" s="269"/>
      <c r="AP967" s="269"/>
      <c r="AQ967" s="269"/>
      <c r="AR967" s="269"/>
    </row>
    <row r="968">
      <c r="A968" s="410"/>
      <c r="B968" s="410"/>
      <c r="C968" s="410"/>
      <c r="D968" s="410"/>
      <c r="E968" s="410"/>
      <c r="F968" s="410"/>
      <c r="H968" s="269"/>
      <c r="I968" s="269"/>
      <c r="J968" s="269"/>
      <c r="K968" s="269"/>
      <c r="L968" s="269"/>
      <c r="M968" s="269"/>
      <c r="N968" s="269"/>
      <c r="O968" s="269"/>
      <c r="P968" s="269"/>
      <c r="Q968" s="269"/>
      <c r="R968" s="269"/>
      <c r="S968" s="269"/>
      <c r="T968" s="269"/>
      <c r="U968" s="269"/>
      <c r="V968" s="269"/>
      <c r="W968" s="269"/>
      <c r="X968" s="269"/>
      <c r="Y968" s="269"/>
      <c r="Z968" s="269"/>
      <c r="AA968" s="269"/>
      <c r="AB968" s="269"/>
      <c r="AC968" s="269"/>
      <c r="AD968" s="269"/>
      <c r="AE968" s="269"/>
      <c r="AF968" s="269"/>
      <c r="AG968" s="269"/>
      <c r="AH968" s="269"/>
      <c r="AI968" s="269"/>
      <c r="AJ968" s="269"/>
      <c r="AK968" s="269"/>
      <c r="AL968" s="269"/>
      <c r="AM968" s="269"/>
      <c r="AN968" s="269"/>
      <c r="AO968" s="269"/>
      <c r="AP968" s="269"/>
      <c r="AQ968" s="269"/>
      <c r="AR968" s="269"/>
    </row>
    <row r="969">
      <c r="A969" s="410"/>
      <c r="B969" s="410"/>
      <c r="C969" s="410"/>
      <c r="D969" s="410"/>
      <c r="E969" s="410"/>
      <c r="F969" s="410"/>
      <c r="H969" s="269"/>
      <c r="I969" s="269"/>
      <c r="J969" s="269"/>
      <c r="K969" s="269"/>
      <c r="L969" s="269"/>
      <c r="M969" s="269"/>
      <c r="N969" s="269"/>
      <c r="O969" s="269"/>
      <c r="P969" s="269"/>
      <c r="Q969" s="269"/>
      <c r="R969" s="269"/>
      <c r="S969" s="269"/>
      <c r="T969" s="269"/>
      <c r="U969" s="269"/>
      <c r="V969" s="269"/>
      <c r="W969" s="269"/>
      <c r="X969" s="269"/>
      <c r="Y969" s="269"/>
      <c r="Z969" s="269"/>
      <c r="AA969" s="269"/>
      <c r="AB969" s="269"/>
      <c r="AC969" s="269"/>
      <c r="AD969" s="269"/>
      <c r="AE969" s="269"/>
      <c r="AF969" s="269"/>
      <c r="AG969" s="269"/>
      <c r="AH969" s="269"/>
      <c r="AI969" s="269"/>
      <c r="AJ969" s="269"/>
      <c r="AK969" s="269"/>
      <c r="AL969" s="269"/>
      <c r="AM969" s="269"/>
      <c r="AN969" s="269"/>
      <c r="AO969" s="269"/>
      <c r="AP969" s="269"/>
      <c r="AQ969" s="269"/>
      <c r="AR969" s="269"/>
    </row>
    <row r="970">
      <c r="A970" s="410"/>
      <c r="B970" s="410"/>
      <c r="C970" s="410"/>
      <c r="D970" s="410"/>
      <c r="E970" s="410"/>
      <c r="F970" s="410"/>
      <c r="H970" s="269"/>
      <c r="I970" s="269"/>
      <c r="J970" s="269"/>
      <c r="K970" s="269"/>
      <c r="L970" s="269"/>
      <c r="M970" s="269"/>
      <c r="N970" s="269"/>
      <c r="O970" s="269"/>
      <c r="P970" s="269"/>
      <c r="Q970" s="269"/>
      <c r="R970" s="269"/>
      <c r="S970" s="269"/>
      <c r="T970" s="269"/>
      <c r="U970" s="269"/>
      <c r="V970" s="269"/>
      <c r="W970" s="269"/>
      <c r="X970" s="269"/>
      <c r="Y970" s="269"/>
      <c r="Z970" s="269"/>
      <c r="AA970" s="269"/>
      <c r="AB970" s="269"/>
      <c r="AC970" s="269"/>
      <c r="AD970" s="269"/>
      <c r="AE970" s="269"/>
      <c r="AF970" s="269"/>
      <c r="AG970" s="269"/>
      <c r="AH970" s="269"/>
      <c r="AI970" s="269"/>
      <c r="AJ970" s="269"/>
      <c r="AK970" s="269"/>
      <c r="AL970" s="269"/>
      <c r="AM970" s="269"/>
      <c r="AN970" s="269"/>
      <c r="AO970" s="269"/>
      <c r="AP970" s="269"/>
      <c r="AQ970" s="269"/>
      <c r="AR970" s="269"/>
    </row>
    <row r="971">
      <c r="A971" s="410"/>
      <c r="B971" s="410"/>
      <c r="C971" s="410"/>
      <c r="D971" s="410"/>
      <c r="E971" s="410"/>
      <c r="F971" s="410"/>
      <c r="H971" s="269"/>
      <c r="I971" s="269"/>
      <c r="J971" s="269"/>
      <c r="K971" s="269"/>
      <c r="L971" s="269"/>
      <c r="M971" s="269"/>
      <c r="N971" s="269"/>
      <c r="O971" s="269"/>
      <c r="P971" s="269"/>
      <c r="Q971" s="269"/>
      <c r="R971" s="269"/>
      <c r="S971" s="269"/>
      <c r="T971" s="269"/>
      <c r="U971" s="269"/>
      <c r="V971" s="269"/>
      <c r="W971" s="269"/>
      <c r="X971" s="269"/>
      <c r="Y971" s="269"/>
      <c r="Z971" s="269"/>
      <c r="AA971" s="269"/>
      <c r="AB971" s="269"/>
      <c r="AC971" s="269"/>
      <c r="AD971" s="269"/>
      <c r="AE971" s="269"/>
      <c r="AF971" s="269"/>
      <c r="AG971" s="269"/>
      <c r="AH971" s="269"/>
      <c r="AI971" s="269"/>
      <c r="AJ971" s="269"/>
      <c r="AK971" s="269"/>
      <c r="AL971" s="269"/>
      <c r="AM971" s="269"/>
      <c r="AN971" s="269"/>
      <c r="AO971" s="269"/>
      <c r="AP971" s="269"/>
      <c r="AQ971" s="269"/>
      <c r="AR971" s="269"/>
    </row>
    <row r="972">
      <c r="A972" s="410"/>
      <c r="B972" s="410"/>
      <c r="C972" s="410"/>
      <c r="D972" s="410"/>
      <c r="E972" s="410"/>
      <c r="F972" s="410"/>
      <c r="H972" s="269"/>
      <c r="I972" s="269"/>
      <c r="J972" s="269"/>
      <c r="K972" s="269"/>
      <c r="L972" s="269"/>
      <c r="M972" s="269"/>
      <c r="N972" s="269"/>
      <c r="O972" s="269"/>
      <c r="P972" s="269"/>
      <c r="Q972" s="269"/>
      <c r="R972" s="269"/>
      <c r="S972" s="269"/>
      <c r="T972" s="269"/>
      <c r="U972" s="269"/>
      <c r="V972" s="269"/>
      <c r="W972" s="269"/>
      <c r="X972" s="269"/>
      <c r="Y972" s="269"/>
      <c r="Z972" s="269"/>
      <c r="AA972" s="269"/>
      <c r="AB972" s="269"/>
      <c r="AC972" s="269"/>
      <c r="AD972" s="269"/>
      <c r="AE972" s="269"/>
      <c r="AF972" s="269"/>
      <c r="AG972" s="269"/>
      <c r="AH972" s="269"/>
      <c r="AI972" s="269"/>
      <c r="AJ972" s="269"/>
      <c r="AK972" s="269"/>
      <c r="AL972" s="269"/>
      <c r="AM972" s="269"/>
      <c r="AN972" s="269"/>
      <c r="AO972" s="269"/>
      <c r="AP972" s="269"/>
      <c r="AQ972" s="269"/>
      <c r="AR972" s="269"/>
    </row>
    <row r="973">
      <c r="A973" s="410"/>
      <c r="B973" s="410"/>
      <c r="C973" s="410"/>
      <c r="D973" s="410"/>
      <c r="E973" s="410"/>
      <c r="F973" s="410"/>
      <c r="H973" s="269"/>
      <c r="I973" s="269"/>
      <c r="J973" s="269"/>
      <c r="K973" s="269"/>
      <c r="L973" s="269"/>
      <c r="M973" s="269"/>
      <c r="N973" s="269"/>
      <c r="O973" s="269"/>
      <c r="P973" s="269"/>
      <c r="Q973" s="269"/>
      <c r="R973" s="269"/>
      <c r="S973" s="269"/>
      <c r="T973" s="269"/>
      <c r="U973" s="269"/>
      <c r="V973" s="269"/>
      <c r="W973" s="269"/>
      <c r="X973" s="269"/>
      <c r="Y973" s="269"/>
      <c r="Z973" s="269"/>
      <c r="AA973" s="269"/>
      <c r="AB973" s="269"/>
      <c r="AC973" s="269"/>
      <c r="AD973" s="269"/>
      <c r="AE973" s="269"/>
      <c r="AF973" s="269"/>
      <c r="AG973" s="269"/>
      <c r="AH973" s="269"/>
      <c r="AI973" s="269"/>
      <c r="AJ973" s="269"/>
      <c r="AK973" s="269"/>
      <c r="AL973" s="269"/>
      <c r="AM973" s="269"/>
      <c r="AN973" s="269"/>
      <c r="AO973" s="269"/>
      <c r="AP973" s="269"/>
      <c r="AQ973" s="269"/>
      <c r="AR973" s="269"/>
    </row>
    <row r="974">
      <c r="A974" s="410"/>
      <c r="B974" s="410"/>
      <c r="C974" s="410"/>
      <c r="D974" s="410"/>
      <c r="E974" s="410"/>
      <c r="F974" s="410"/>
      <c r="H974" s="269"/>
      <c r="I974" s="269"/>
      <c r="J974" s="269"/>
      <c r="K974" s="269"/>
      <c r="L974" s="269"/>
      <c r="M974" s="269"/>
      <c r="N974" s="269"/>
      <c r="O974" s="269"/>
      <c r="P974" s="269"/>
      <c r="Q974" s="269"/>
      <c r="R974" s="269"/>
      <c r="S974" s="269"/>
      <c r="T974" s="269"/>
      <c r="U974" s="269"/>
      <c r="V974" s="269"/>
      <c r="W974" s="269"/>
      <c r="X974" s="269"/>
      <c r="Y974" s="269"/>
      <c r="Z974" s="269"/>
      <c r="AA974" s="269"/>
      <c r="AB974" s="269"/>
      <c r="AC974" s="269"/>
      <c r="AD974" s="269"/>
      <c r="AE974" s="269"/>
      <c r="AF974" s="269"/>
      <c r="AG974" s="269"/>
      <c r="AH974" s="269"/>
      <c r="AI974" s="269"/>
      <c r="AJ974" s="269"/>
      <c r="AK974" s="269"/>
      <c r="AL974" s="269"/>
      <c r="AM974" s="269"/>
      <c r="AN974" s="269"/>
      <c r="AO974" s="269"/>
      <c r="AP974" s="269"/>
      <c r="AQ974" s="269"/>
      <c r="AR974" s="269"/>
    </row>
    <row r="975">
      <c r="A975" s="410"/>
      <c r="B975" s="410"/>
      <c r="C975" s="410"/>
      <c r="D975" s="410"/>
      <c r="E975" s="410"/>
      <c r="F975" s="410"/>
      <c r="H975" s="269"/>
      <c r="I975" s="269"/>
      <c r="J975" s="269"/>
      <c r="K975" s="269"/>
      <c r="L975" s="269"/>
      <c r="M975" s="269"/>
      <c r="N975" s="269"/>
      <c r="O975" s="269"/>
      <c r="P975" s="269"/>
      <c r="Q975" s="269"/>
      <c r="R975" s="269"/>
      <c r="S975" s="269"/>
      <c r="T975" s="269"/>
      <c r="U975" s="269"/>
      <c r="V975" s="269"/>
      <c r="W975" s="269"/>
      <c r="X975" s="269"/>
      <c r="Y975" s="269"/>
      <c r="Z975" s="269"/>
      <c r="AA975" s="269"/>
      <c r="AB975" s="269"/>
      <c r="AC975" s="269"/>
      <c r="AD975" s="269"/>
      <c r="AE975" s="269"/>
      <c r="AF975" s="269"/>
      <c r="AG975" s="269"/>
      <c r="AH975" s="269"/>
      <c r="AI975" s="269"/>
      <c r="AJ975" s="269"/>
      <c r="AK975" s="269"/>
      <c r="AL975" s="269"/>
      <c r="AM975" s="269"/>
      <c r="AN975" s="269"/>
      <c r="AO975" s="269"/>
      <c r="AP975" s="269"/>
      <c r="AQ975" s="269"/>
      <c r="AR975" s="269"/>
    </row>
    <row r="976">
      <c r="A976" s="410"/>
      <c r="B976" s="410"/>
      <c r="C976" s="410"/>
      <c r="D976" s="410"/>
      <c r="E976" s="410"/>
      <c r="F976" s="410"/>
      <c r="H976" s="269"/>
      <c r="I976" s="269"/>
      <c r="J976" s="269"/>
      <c r="K976" s="269"/>
      <c r="L976" s="269"/>
      <c r="M976" s="269"/>
      <c r="N976" s="269"/>
      <c r="O976" s="269"/>
      <c r="P976" s="269"/>
      <c r="Q976" s="269"/>
      <c r="R976" s="269"/>
      <c r="S976" s="269"/>
      <c r="T976" s="269"/>
      <c r="U976" s="269"/>
      <c r="V976" s="269"/>
      <c r="W976" s="269"/>
      <c r="X976" s="269"/>
      <c r="Y976" s="269"/>
      <c r="Z976" s="269"/>
      <c r="AA976" s="269"/>
      <c r="AB976" s="269"/>
      <c r="AC976" s="269"/>
      <c r="AD976" s="269"/>
      <c r="AE976" s="269"/>
      <c r="AF976" s="269"/>
      <c r="AG976" s="269"/>
      <c r="AH976" s="269"/>
      <c r="AI976" s="269"/>
      <c r="AJ976" s="269"/>
      <c r="AK976" s="269"/>
      <c r="AL976" s="269"/>
      <c r="AM976" s="269"/>
      <c r="AN976" s="269"/>
      <c r="AO976" s="269"/>
      <c r="AP976" s="269"/>
      <c r="AQ976" s="269"/>
      <c r="AR976" s="269"/>
    </row>
    <row r="977">
      <c r="A977" s="410"/>
      <c r="B977" s="410"/>
      <c r="C977" s="410"/>
      <c r="D977" s="410"/>
      <c r="E977" s="410"/>
      <c r="F977" s="410"/>
      <c r="H977" s="269"/>
      <c r="I977" s="269"/>
      <c r="J977" s="269"/>
      <c r="K977" s="269"/>
      <c r="L977" s="269"/>
      <c r="M977" s="269"/>
      <c r="N977" s="269"/>
      <c r="O977" s="269"/>
      <c r="P977" s="269"/>
      <c r="Q977" s="269"/>
      <c r="R977" s="269"/>
      <c r="S977" s="269"/>
      <c r="T977" s="269"/>
      <c r="U977" s="269"/>
      <c r="V977" s="269"/>
      <c r="W977" s="269"/>
      <c r="X977" s="269"/>
      <c r="Y977" s="269"/>
      <c r="Z977" s="269"/>
      <c r="AA977" s="269"/>
      <c r="AB977" s="269"/>
      <c r="AC977" s="269"/>
      <c r="AD977" s="269"/>
      <c r="AE977" s="269"/>
      <c r="AF977" s="269"/>
      <c r="AG977" s="269"/>
      <c r="AH977" s="269"/>
      <c r="AI977" s="269"/>
      <c r="AJ977" s="269"/>
      <c r="AK977" s="269"/>
      <c r="AL977" s="269"/>
      <c r="AM977" s="269"/>
      <c r="AN977" s="269"/>
      <c r="AO977" s="269"/>
      <c r="AP977" s="269"/>
      <c r="AQ977" s="269"/>
      <c r="AR977" s="269"/>
    </row>
    <row r="978">
      <c r="A978" s="410"/>
      <c r="B978" s="410"/>
      <c r="C978" s="410"/>
      <c r="D978" s="410"/>
      <c r="E978" s="410"/>
      <c r="F978" s="410"/>
      <c r="H978" s="269"/>
      <c r="I978" s="269"/>
      <c r="J978" s="269"/>
      <c r="K978" s="269"/>
      <c r="L978" s="269"/>
      <c r="M978" s="269"/>
      <c r="N978" s="269"/>
      <c r="O978" s="269"/>
      <c r="P978" s="269"/>
      <c r="Q978" s="269"/>
      <c r="R978" s="269"/>
      <c r="S978" s="269"/>
      <c r="T978" s="269"/>
      <c r="U978" s="269"/>
      <c r="V978" s="269"/>
      <c r="W978" s="269"/>
      <c r="X978" s="269"/>
      <c r="Y978" s="269"/>
      <c r="Z978" s="269"/>
      <c r="AA978" s="269"/>
      <c r="AB978" s="269"/>
      <c r="AC978" s="269"/>
      <c r="AD978" s="269"/>
      <c r="AE978" s="269"/>
      <c r="AF978" s="269"/>
      <c r="AG978" s="269"/>
      <c r="AH978" s="269"/>
      <c r="AI978" s="269"/>
      <c r="AJ978" s="269"/>
      <c r="AK978" s="269"/>
      <c r="AL978" s="269"/>
      <c r="AM978" s="269"/>
      <c r="AN978" s="269"/>
      <c r="AO978" s="269"/>
      <c r="AP978" s="269"/>
      <c r="AQ978" s="269"/>
      <c r="AR978" s="269"/>
    </row>
    <row r="979">
      <c r="A979" s="410"/>
      <c r="B979" s="410"/>
      <c r="C979" s="410"/>
      <c r="D979" s="410"/>
      <c r="E979" s="410"/>
      <c r="F979" s="410"/>
      <c r="H979" s="269"/>
      <c r="I979" s="269"/>
      <c r="J979" s="269"/>
      <c r="K979" s="269"/>
      <c r="L979" s="269"/>
      <c r="M979" s="269"/>
      <c r="N979" s="269"/>
      <c r="O979" s="269"/>
      <c r="P979" s="269"/>
      <c r="Q979" s="269"/>
      <c r="R979" s="269"/>
      <c r="S979" s="269"/>
      <c r="T979" s="269"/>
      <c r="U979" s="269"/>
      <c r="V979" s="269"/>
      <c r="W979" s="269"/>
      <c r="X979" s="269"/>
      <c r="Y979" s="269"/>
      <c r="Z979" s="269"/>
      <c r="AA979" s="269"/>
      <c r="AB979" s="269"/>
      <c r="AC979" s="269"/>
      <c r="AD979" s="269"/>
      <c r="AE979" s="269"/>
      <c r="AF979" s="269"/>
      <c r="AG979" s="269"/>
      <c r="AH979" s="269"/>
      <c r="AI979" s="269"/>
      <c r="AJ979" s="269"/>
      <c r="AK979" s="269"/>
      <c r="AL979" s="269"/>
      <c r="AM979" s="269"/>
      <c r="AN979" s="269"/>
      <c r="AO979" s="269"/>
      <c r="AP979" s="269"/>
      <c r="AQ979" s="269"/>
      <c r="AR979" s="269"/>
    </row>
    <row r="980">
      <c r="A980" s="410"/>
      <c r="B980" s="410"/>
      <c r="C980" s="410"/>
      <c r="D980" s="410"/>
      <c r="E980" s="410"/>
      <c r="F980" s="410"/>
      <c r="H980" s="269"/>
      <c r="I980" s="269"/>
      <c r="J980" s="269"/>
      <c r="K980" s="269"/>
      <c r="L980" s="269"/>
      <c r="M980" s="269"/>
      <c r="N980" s="269"/>
      <c r="O980" s="269"/>
      <c r="P980" s="269"/>
      <c r="Q980" s="269"/>
      <c r="R980" s="269"/>
      <c r="S980" s="269"/>
      <c r="T980" s="269"/>
      <c r="U980" s="269"/>
      <c r="V980" s="269"/>
      <c r="W980" s="269"/>
      <c r="X980" s="269"/>
      <c r="Y980" s="269"/>
      <c r="Z980" s="269"/>
      <c r="AA980" s="269"/>
      <c r="AB980" s="269"/>
      <c r="AC980" s="269"/>
      <c r="AD980" s="269"/>
      <c r="AE980" s="269"/>
      <c r="AF980" s="269"/>
      <c r="AG980" s="269"/>
      <c r="AH980" s="269"/>
      <c r="AI980" s="269"/>
      <c r="AJ980" s="269"/>
      <c r="AK980" s="269"/>
      <c r="AL980" s="269"/>
      <c r="AM980" s="269"/>
      <c r="AN980" s="269"/>
      <c r="AO980" s="269"/>
      <c r="AP980" s="269"/>
      <c r="AQ980" s="269"/>
      <c r="AR980" s="269"/>
    </row>
    <row r="981">
      <c r="A981" s="410"/>
      <c r="B981" s="410"/>
      <c r="C981" s="410"/>
      <c r="D981" s="410"/>
      <c r="E981" s="410"/>
      <c r="F981" s="410"/>
      <c r="H981" s="269"/>
      <c r="I981" s="269"/>
      <c r="J981" s="269"/>
      <c r="K981" s="269"/>
      <c r="L981" s="269"/>
      <c r="M981" s="269"/>
      <c r="N981" s="269"/>
      <c r="O981" s="269"/>
      <c r="P981" s="269"/>
      <c r="Q981" s="269"/>
      <c r="R981" s="269"/>
      <c r="S981" s="269"/>
      <c r="T981" s="269"/>
      <c r="U981" s="269"/>
      <c r="V981" s="269"/>
      <c r="W981" s="269"/>
      <c r="X981" s="269"/>
      <c r="Y981" s="269"/>
      <c r="Z981" s="269"/>
      <c r="AA981" s="269"/>
      <c r="AB981" s="269"/>
      <c r="AC981" s="269"/>
      <c r="AD981" s="269"/>
      <c r="AE981" s="269"/>
      <c r="AF981" s="269"/>
      <c r="AG981" s="269"/>
      <c r="AH981" s="269"/>
      <c r="AI981" s="269"/>
      <c r="AJ981" s="269"/>
      <c r="AK981" s="269"/>
      <c r="AL981" s="269"/>
      <c r="AM981" s="269"/>
      <c r="AN981" s="269"/>
      <c r="AO981" s="269"/>
      <c r="AP981" s="269"/>
      <c r="AQ981" s="269"/>
      <c r="AR981" s="269"/>
    </row>
    <row r="982">
      <c r="A982" s="410"/>
      <c r="B982" s="410"/>
      <c r="C982" s="410"/>
      <c r="D982" s="410"/>
      <c r="E982" s="410"/>
      <c r="F982" s="410"/>
      <c r="H982" s="269"/>
      <c r="I982" s="269"/>
      <c r="J982" s="269"/>
      <c r="K982" s="269"/>
      <c r="L982" s="269"/>
      <c r="M982" s="269"/>
      <c r="N982" s="269"/>
      <c r="O982" s="269"/>
      <c r="P982" s="269"/>
      <c r="Q982" s="269"/>
      <c r="R982" s="269"/>
      <c r="S982" s="269"/>
      <c r="T982" s="269"/>
      <c r="U982" s="269"/>
      <c r="V982" s="269"/>
      <c r="W982" s="269"/>
      <c r="X982" s="269"/>
      <c r="Y982" s="269"/>
      <c r="Z982" s="269"/>
      <c r="AA982" s="269"/>
      <c r="AB982" s="269"/>
      <c r="AC982" s="269"/>
      <c r="AD982" s="269"/>
      <c r="AE982" s="269"/>
      <c r="AF982" s="269"/>
      <c r="AG982" s="269"/>
      <c r="AH982" s="269"/>
      <c r="AI982" s="269"/>
      <c r="AJ982" s="269"/>
      <c r="AK982" s="269"/>
      <c r="AL982" s="269"/>
      <c r="AM982" s="269"/>
      <c r="AN982" s="269"/>
      <c r="AO982" s="269"/>
      <c r="AP982" s="269"/>
      <c r="AQ982" s="269"/>
      <c r="AR982" s="269"/>
    </row>
    <row r="983">
      <c r="A983" s="410"/>
      <c r="B983" s="410"/>
      <c r="C983" s="410"/>
      <c r="D983" s="410"/>
      <c r="E983" s="410"/>
      <c r="F983" s="410"/>
      <c r="H983" s="269"/>
      <c r="I983" s="269"/>
      <c r="J983" s="269"/>
      <c r="K983" s="269"/>
      <c r="L983" s="269"/>
      <c r="M983" s="269"/>
      <c r="N983" s="269"/>
      <c r="O983" s="269"/>
      <c r="P983" s="269"/>
      <c r="Q983" s="269"/>
      <c r="R983" s="269"/>
      <c r="S983" s="269"/>
      <c r="T983" s="269"/>
      <c r="U983" s="269"/>
      <c r="V983" s="269"/>
      <c r="W983" s="269"/>
      <c r="X983" s="269"/>
      <c r="Y983" s="269"/>
      <c r="Z983" s="269"/>
      <c r="AA983" s="269"/>
      <c r="AB983" s="269"/>
      <c r="AC983" s="269"/>
      <c r="AD983" s="269"/>
      <c r="AE983" s="269"/>
      <c r="AF983" s="269"/>
      <c r="AG983" s="269"/>
      <c r="AH983" s="269"/>
      <c r="AI983" s="269"/>
      <c r="AJ983" s="269"/>
      <c r="AK983" s="269"/>
      <c r="AL983" s="269"/>
      <c r="AM983" s="269"/>
      <c r="AN983" s="269"/>
      <c r="AO983" s="269"/>
      <c r="AP983" s="269"/>
      <c r="AQ983" s="269"/>
      <c r="AR983" s="269"/>
    </row>
    <row r="984">
      <c r="A984" s="410"/>
      <c r="B984" s="410"/>
      <c r="C984" s="410"/>
      <c r="D984" s="410"/>
      <c r="E984" s="410"/>
      <c r="F984" s="410"/>
      <c r="H984" s="269"/>
      <c r="I984" s="269"/>
      <c r="J984" s="269"/>
      <c r="K984" s="269"/>
      <c r="L984" s="269"/>
      <c r="M984" s="269"/>
      <c r="N984" s="269"/>
      <c r="O984" s="269"/>
      <c r="P984" s="269"/>
      <c r="Q984" s="269"/>
      <c r="R984" s="269"/>
      <c r="S984" s="269"/>
      <c r="T984" s="269"/>
      <c r="U984" s="269"/>
      <c r="V984" s="269"/>
      <c r="W984" s="269"/>
      <c r="X984" s="269"/>
      <c r="Y984" s="269"/>
      <c r="Z984" s="269"/>
      <c r="AA984" s="269"/>
      <c r="AB984" s="269"/>
      <c r="AC984" s="269"/>
      <c r="AD984" s="269"/>
      <c r="AE984" s="269"/>
      <c r="AF984" s="269"/>
      <c r="AG984" s="269"/>
      <c r="AH984" s="269"/>
      <c r="AI984" s="269"/>
      <c r="AJ984" s="269"/>
      <c r="AK984" s="269"/>
      <c r="AL984" s="269"/>
      <c r="AM984" s="269"/>
      <c r="AN984" s="269"/>
      <c r="AO984" s="269"/>
      <c r="AP984" s="269"/>
      <c r="AQ984" s="269"/>
      <c r="AR984" s="269"/>
    </row>
    <row r="985">
      <c r="A985" s="410"/>
      <c r="B985" s="410"/>
      <c r="C985" s="410"/>
      <c r="D985" s="410"/>
      <c r="E985" s="410"/>
      <c r="F985" s="410"/>
      <c r="H985" s="269"/>
      <c r="I985" s="269"/>
      <c r="J985" s="269"/>
      <c r="K985" s="269"/>
      <c r="L985" s="269"/>
      <c r="M985" s="269"/>
      <c r="N985" s="269"/>
      <c r="O985" s="269"/>
      <c r="P985" s="269"/>
      <c r="Q985" s="269"/>
      <c r="R985" s="269"/>
      <c r="S985" s="269"/>
      <c r="T985" s="269"/>
      <c r="U985" s="269"/>
      <c r="V985" s="269"/>
      <c r="W985" s="269"/>
      <c r="X985" s="269"/>
      <c r="Y985" s="269"/>
      <c r="Z985" s="269"/>
      <c r="AA985" s="269"/>
      <c r="AB985" s="269"/>
      <c r="AC985" s="269"/>
      <c r="AD985" s="269"/>
      <c r="AE985" s="269"/>
      <c r="AF985" s="269"/>
      <c r="AG985" s="269"/>
      <c r="AH985" s="269"/>
      <c r="AI985" s="269"/>
      <c r="AJ985" s="269"/>
      <c r="AK985" s="269"/>
      <c r="AL985" s="269"/>
      <c r="AM985" s="269"/>
      <c r="AN985" s="269"/>
      <c r="AO985" s="269"/>
      <c r="AP985" s="269"/>
      <c r="AQ985" s="269"/>
      <c r="AR985" s="269"/>
    </row>
    <row r="986">
      <c r="A986" s="410"/>
      <c r="B986" s="410"/>
      <c r="C986" s="410"/>
      <c r="D986" s="410"/>
      <c r="E986" s="410"/>
      <c r="F986" s="410"/>
      <c r="H986" s="269"/>
      <c r="I986" s="269"/>
      <c r="J986" s="269"/>
      <c r="K986" s="269"/>
      <c r="L986" s="269"/>
      <c r="M986" s="269"/>
      <c r="N986" s="269"/>
      <c r="O986" s="269"/>
      <c r="P986" s="269"/>
      <c r="Q986" s="269"/>
      <c r="R986" s="269"/>
      <c r="S986" s="269"/>
      <c r="T986" s="269"/>
      <c r="U986" s="269"/>
      <c r="V986" s="269"/>
      <c r="W986" s="269"/>
      <c r="X986" s="269"/>
      <c r="Y986" s="269"/>
      <c r="Z986" s="269"/>
      <c r="AA986" s="269"/>
      <c r="AB986" s="269"/>
      <c r="AC986" s="269"/>
      <c r="AD986" s="269"/>
      <c r="AE986" s="269"/>
      <c r="AF986" s="269"/>
      <c r="AG986" s="269"/>
      <c r="AH986" s="269"/>
      <c r="AI986" s="269"/>
      <c r="AJ986" s="269"/>
      <c r="AK986" s="269"/>
      <c r="AL986" s="269"/>
      <c r="AM986" s="269"/>
      <c r="AN986" s="269"/>
      <c r="AO986" s="269"/>
      <c r="AP986" s="269"/>
      <c r="AQ986" s="269"/>
      <c r="AR986" s="269"/>
    </row>
    <row r="987">
      <c r="A987" s="410"/>
      <c r="B987" s="410"/>
      <c r="C987" s="410"/>
      <c r="D987" s="410"/>
      <c r="E987" s="410"/>
      <c r="F987" s="410"/>
      <c r="H987" s="269"/>
      <c r="I987" s="269"/>
      <c r="J987" s="269"/>
      <c r="K987" s="269"/>
      <c r="L987" s="269"/>
      <c r="M987" s="269"/>
      <c r="N987" s="269"/>
      <c r="O987" s="269"/>
      <c r="P987" s="269"/>
      <c r="Q987" s="269"/>
      <c r="R987" s="269"/>
      <c r="S987" s="269"/>
      <c r="T987" s="269"/>
      <c r="U987" s="269"/>
      <c r="V987" s="269"/>
      <c r="W987" s="269"/>
      <c r="X987" s="269"/>
      <c r="Y987" s="269"/>
      <c r="Z987" s="269"/>
      <c r="AA987" s="269"/>
      <c r="AB987" s="269"/>
      <c r="AC987" s="269"/>
      <c r="AD987" s="269"/>
      <c r="AE987" s="269"/>
      <c r="AF987" s="269"/>
      <c r="AG987" s="269"/>
      <c r="AH987" s="269"/>
      <c r="AI987" s="269"/>
      <c r="AJ987" s="269"/>
      <c r="AK987" s="269"/>
      <c r="AL987" s="269"/>
      <c r="AM987" s="269"/>
      <c r="AN987" s="269"/>
      <c r="AO987" s="269"/>
      <c r="AP987" s="269"/>
      <c r="AQ987" s="269"/>
      <c r="AR987" s="269"/>
    </row>
    <row r="988">
      <c r="A988" s="410"/>
      <c r="B988" s="410"/>
      <c r="C988" s="410"/>
      <c r="D988" s="410"/>
      <c r="E988" s="410"/>
      <c r="F988" s="410"/>
      <c r="H988" s="269"/>
      <c r="I988" s="269"/>
      <c r="J988" s="269"/>
      <c r="K988" s="269"/>
      <c r="L988" s="269"/>
      <c r="M988" s="269"/>
      <c r="N988" s="269"/>
      <c r="O988" s="269"/>
      <c r="P988" s="269"/>
      <c r="Q988" s="269"/>
      <c r="R988" s="269"/>
      <c r="S988" s="269"/>
      <c r="T988" s="269"/>
      <c r="U988" s="269"/>
      <c r="V988" s="269"/>
      <c r="W988" s="269"/>
      <c r="X988" s="269"/>
      <c r="Y988" s="269"/>
      <c r="Z988" s="269"/>
      <c r="AA988" s="269"/>
      <c r="AB988" s="269"/>
      <c r="AC988" s="269"/>
      <c r="AD988" s="269"/>
      <c r="AE988" s="269"/>
      <c r="AF988" s="269"/>
      <c r="AG988" s="269"/>
      <c r="AH988" s="269"/>
      <c r="AI988" s="269"/>
      <c r="AJ988" s="269"/>
      <c r="AK988" s="269"/>
      <c r="AL988" s="269"/>
      <c r="AM988" s="269"/>
      <c r="AN988" s="269"/>
      <c r="AO988" s="269"/>
      <c r="AP988" s="269"/>
      <c r="AQ988" s="269"/>
      <c r="AR988" s="269"/>
    </row>
    <row r="989">
      <c r="A989" s="410"/>
      <c r="B989" s="410"/>
      <c r="C989" s="410"/>
      <c r="D989" s="410"/>
      <c r="E989" s="410"/>
      <c r="F989" s="410"/>
      <c r="H989" s="269"/>
      <c r="I989" s="269"/>
      <c r="J989" s="269"/>
      <c r="K989" s="269"/>
      <c r="L989" s="269"/>
      <c r="M989" s="269"/>
      <c r="N989" s="269"/>
      <c r="O989" s="269"/>
      <c r="P989" s="269"/>
      <c r="Q989" s="269"/>
      <c r="R989" s="269"/>
      <c r="S989" s="269"/>
      <c r="T989" s="269"/>
      <c r="U989" s="269"/>
      <c r="V989" s="269"/>
      <c r="W989" s="269"/>
      <c r="X989" s="269"/>
      <c r="Y989" s="269"/>
      <c r="Z989" s="269"/>
      <c r="AA989" s="269"/>
      <c r="AB989" s="269"/>
      <c r="AC989" s="269"/>
      <c r="AD989" s="269"/>
      <c r="AE989" s="269"/>
      <c r="AF989" s="269"/>
      <c r="AG989" s="269"/>
      <c r="AH989" s="269"/>
      <c r="AI989" s="269"/>
      <c r="AJ989" s="269"/>
      <c r="AK989" s="269"/>
      <c r="AL989" s="269"/>
      <c r="AM989" s="269"/>
      <c r="AN989" s="269"/>
      <c r="AO989" s="269"/>
      <c r="AP989" s="269"/>
      <c r="AQ989" s="269"/>
      <c r="AR989" s="269"/>
    </row>
    <row r="990">
      <c r="A990" s="410"/>
      <c r="B990" s="410"/>
      <c r="C990" s="410"/>
      <c r="D990" s="410"/>
      <c r="E990" s="410"/>
      <c r="F990" s="410"/>
      <c r="H990" s="269"/>
      <c r="I990" s="269"/>
      <c r="J990" s="269"/>
      <c r="K990" s="269"/>
      <c r="L990" s="269"/>
      <c r="M990" s="269"/>
      <c r="N990" s="269"/>
      <c r="O990" s="269"/>
      <c r="P990" s="269"/>
      <c r="Q990" s="269"/>
      <c r="R990" s="269"/>
      <c r="S990" s="269"/>
      <c r="T990" s="269"/>
      <c r="U990" s="269"/>
      <c r="V990" s="269"/>
      <c r="W990" s="269"/>
      <c r="X990" s="269"/>
      <c r="Y990" s="269"/>
      <c r="Z990" s="269"/>
      <c r="AA990" s="269"/>
      <c r="AB990" s="269"/>
      <c r="AC990" s="269"/>
      <c r="AD990" s="269"/>
      <c r="AE990" s="269"/>
      <c r="AF990" s="269"/>
      <c r="AG990" s="269"/>
      <c r="AH990" s="269"/>
      <c r="AI990" s="269"/>
      <c r="AJ990" s="269"/>
      <c r="AK990" s="269"/>
      <c r="AL990" s="269"/>
      <c r="AM990" s="269"/>
      <c r="AN990" s="269"/>
      <c r="AO990" s="269"/>
      <c r="AP990" s="269"/>
      <c r="AQ990" s="269"/>
      <c r="AR990" s="269"/>
    </row>
    <row r="991">
      <c r="A991" s="410"/>
      <c r="B991" s="410"/>
      <c r="C991" s="410"/>
      <c r="D991" s="410"/>
      <c r="E991" s="410"/>
      <c r="F991" s="410"/>
      <c r="H991" s="269"/>
      <c r="I991" s="269"/>
      <c r="J991" s="269"/>
      <c r="K991" s="269"/>
      <c r="L991" s="269"/>
      <c r="M991" s="269"/>
      <c r="N991" s="269"/>
      <c r="O991" s="269"/>
      <c r="P991" s="269"/>
      <c r="Q991" s="269"/>
      <c r="R991" s="269"/>
      <c r="S991" s="269"/>
      <c r="T991" s="269"/>
      <c r="U991" s="269"/>
      <c r="V991" s="269"/>
      <c r="W991" s="269"/>
      <c r="X991" s="269"/>
      <c r="Y991" s="269"/>
      <c r="Z991" s="269"/>
      <c r="AA991" s="269"/>
      <c r="AB991" s="269"/>
      <c r="AC991" s="269"/>
      <c r="AD991" s="269"/>
      <c r="AE991" s="269"/>
      <c r="AF991" s="269"/>
      <c r="AG991" s="269"/>
      <c r="AH991" s="269"/>
      <c r="AI991" s="269"/>
      <c r="AJ991" s="269"/>
      <c r="AK991" s="269"/>
      <c r="AL991" s="269"/>
      <c r="AM991" s="269"/>
      <c r="AN991" s="269"/>
      <c r="AO991" s="269"/>
      <c r="AP991" s="269"/>
      <c r="AQ991" s="269"/>
      <c r="AR991" s="269"/>
    </row>
    <row r="992">
      <c r="A992" s="410"/>
      <c r="B992" s="410"/>
      <c r="C992" s="410"/>
      <c r="D992" s="410"/>
      <c r="E992" s="410"/>
      <c r="F992" s="410"/>
      <c r="H992" s="269"/>
      <c r="I992" s="269"/>
      <c r="J992" s="269"/>
      <c r="K992" s="269"/>
      <c r="L992" s="269"/>
      <c r="M992" s="269"/>
      <c r="N992" s="269"/>
      <c r="O992" s="269"/>
      <c r="P992" s="269"/>
      <c r="Q992" s="269"/>
      <c r="R992" s="269"/>
      <c r="S992" s="269"/>
      <c r="T992" s="269"/>
      <c r="U992" s="269"/>
      <c r="V992" s="269"/>
      <c r="W992" s="269"/>
      <c r="X992" s="269"/>
      <c r="Y992" s="269"/>
      <c r="Z992" s="269"/>
      <c r="AA992" s="269"/>
      <c r="AB992" s="269"/>
      <c r="AC992" s="269"/>
      <c r="AD992" s="269"/>
      <c r="AE992" s="269"/>
      <c r="AF992" s="269"/>
      <c r="AG992" s="269"/>
      <c r="AH992" s="269"/>
      <c r="AI992" s="269"/>
      <c r="AJ992" s="269"/>
      <c r="AK992" s="269"/>
      <c r="AL992" s="269"/>
      <c r="AM992" s="269"/>
      <c r="AN992" s="269"/>
      <c r="AO992" s="269"/>
      <c r="AP992" s="269"/>
      <c r="AQ992" s="269"/>
      <c r="AR992" s="269"/>
    </row>
    <row r="993">
      <c r="A993" s="410"/>
      <c r="B993" s="410"/>
      <c r="C993" s="410"/>
      <c r="D993" s="410"/>
      <c r="E993" s="410"/>
      <c r="F993" s="410"/>
      <c r="H993" s="269"/>
      <c r="I993" s="269"/>
      <c r="J993" s="269"/>
      <c r="K993" s="269"/>
      <c r="L993" s="269"/>
      <c r="M993" s="269"/>
      <c r="N993" s="269"/>
      <c r="O993" s="269"/>
      <c r="P993" s="269"/>
      <c r="Q993" s="269"/>
      <c r="R993" s="269"/>
      <c r="S993" s="269"/>
      <c r="T993" s="269"/>
      <c r="U993" s="269"/>
      <c r="V993" s="269"/>
      <c r="W993" s="269"/>
      <c r="X993" s="269"/>
      <c r="Y993" s="269"/>
      <c r="Z993" s="269"/>
      <c r="AA993" s="269"/>
      <c r="AB993" s="269"/>
      <c r="AC993" s="269"/>
      <c r="AD993" s="269"/>
      <c r="AE993" s="269"/>
      <c r="AF993" s="269"/>
      <c r="AG993" s="269"/>
      <c r="AH993" s="269"/>
      <c r="AI993" s="269"/>
      <c r="AJ993" s="269"/>
      <c r="AK993" s="269"/>
      <c r="AL993" s="269"/>
      <c r="AM993" s="269"/>
      <c r="AN993" s="269"/>
      <c r="AO993" s="269"/>
      <c r="AP993" s="269"/>
      <c r="AQ993" s="269"/>
      <c r="AR993" s="269"/>
    </row>
    <row r="994">
      <c r="A994" s="410"/>
      <c r="B994" s="410"/>
      <c r="C994" s="410"/>
      <c r="D994" s="410"/>
      <c r="E994" s="410"/>
      <c r="F994" s="410"/>
      <c r="H994" s="269"/>
      <c r="I994" s="269"/>
      <c r="J994" s="269"/>
      <c r="K994" s="269"/>
      <c r="L994" s="269"/>
      <c r="M994" s="269"/>
      <c r="N994" s="269"/>
      <c r="O994" s="269"/>
      <c r="P994" s="269"/>
      <c r="Q994" s="269"/>
      <c r="R994" s="269"/>
      <c r="S994" s="269"/>
      <c r="T994" s="269"/>
      <c r="U994" s="269"/>
      <c r="V994" s="269"/>
      <c r="W994" s="269"/>
      <c r="X994" s="269"/>
      <c r="Y994" s="269"/>
      <c r="Z994" s="269"/>
      <c r="AA994" s="269"/>
      <c r="AB994" s="269"/>
      <c r="AC994" s="269"/>
      <c r="AD994" s="269"/>
      <c r="AE994" s="269"/>
      <c r="AF994" s="269"/>
      <c r="AG994" s="269"/>
      <c r="AH994" s="269"/>
      <c r="AI994" s="269"/>
      <c r="AJ994" s="269"/>
      <c r="AK994" s="269"/>
      <c r="AL994" s="269"/>
      <c r="AM994" s="269"/>
      <c r="AN994" s="269"/>
      <c r="AO994" s="269"/>
      <c r="AP994" s="269"/>
      <c r="AQ994" s="269"/>
      <c r="AR994" s="269"/>
    </row>
    <row r="995">
      <c r="A995" s="410"/>
      <c r="B995" s="410"/>
      <c r="C995" s="410"/>
      <c r="D995" s="410"/>
      <c r="E995" s="410"/>
      <c r="F995" s="410"/>
      <c r="H995" s="269"/>
      <c r="I995" s="269"/>
      <c r="J995" s="269"/>
      <c r="K995" s="269"/>
      <c r="L995" s="269"/>
      <c r="M995" s="269"/>
      <c r="N995" s="269"/>
      <c r="O995" s="269"/>
      <c r="P995" s="269"/>
      <c r="Q995" s="269"/>
      <c r="R995" s="269"/>
      <c r="S995" s="269"/>
      <c r="T995" s="269"/>
      <c r="U995" s="269"/>
      <c r="V995" s="269"/>
      <c r="W995" s="269"/>
      <c r="X995" s="269"/>
      <c r="Y995" s="269"/>
      <c r="Z995" s="269"/>
      <c r="AA995" s="269"/>
      <c r="AB995" s="269"/>
      <c r="AC995" s="269"/>
      <c r="AD995" s="269"/>
      <c r="AE995" s="269"/>
      <c r="AF995" s="269"/>
      <c r="AG995" s="269"/>
      <c r="AH995" s="269"/>
      <c r="AI995" s="269"/>
      <c r="AJ995" s="269"/>
      <c r="AK995" s="269"/>
      <c r="AL995" s="269"/>
      <c r="AM995" s="269"/>
      <c r="AN995" s="269"/>
      <c r="AO995" s="269"/>
      <c r="AP995" s="269"/>
      <c r="AQ995" s="269"/>
      <c r="AR995" s="269"/>
    </row>
    <row r="996">
      <c r="A996" s="410"/>
      <c r="B996" s="410"/>
      <c r="C996" s="410"/>
      <c r="D996" s="410"/>
      <c r="E996" s="410"/>
      <c r="F996" s="410"/>
      <c r="H996" s="269"/>
      <c r="I996" s="269"/>
      <c r="J996" s="269"/>
      <c r="K996" s="269"/>
      <c r="L996" s="269"/>
      <c r="M996" s="269"/>
      <c r="N996" s="269"/>
      <c r="O996" s="269"/>
      <c r="P996" s="269"/>
      <c r="Q996" s="269"/>
      <c r="R996" s="269"/>
      <c r="S996" s="269"/>
      <c r="T996" s="269"/>
      <c r="U996" s="269"/>
      <c r="V996" s="269"/>
      <c r="W996" s="269"/>
      <c r="X996" s="269"/>
      <c r="Y996" s="269"/>
      <c r="Z996" s="269"/>
      <c r="AA996" s="269"/>
      <c r="AB996" s="269"/>
      <c r="AC996" s="269"/>
      <c r="AD996" s="269"/>
      <c r="AE996" s="269"/>
      <c r="AF996" s="269"/>
      <c r="AG996" s="269"/>
      <c r="AH996" s="269"/>
      <c r="AI996" s="269"/>
      <c r="AJ996" s="269"/>
      <c r="AK996" s="269"/>
      <c r="AL996" s="269"/>
      <c r="AM996" s="269"/>
      <c r="AN996" s="269"/>
      <c r="AO996" s="269"/>
      <c r="AP996" s="269"/>
      <c r="AQ996" s="269"/>
      <c r="AR996" s="269"/>
    </row>
    <row r="997">
      <c r="A997" s="410"/>
      <c r="B997" s="410"/>
      <c r="C997" s="410"/>
      <c r="D997" s="410"/>
      <c r="E997" s="410"/>
      <c r="F997" s="410"/>
      <c r="H997" s="269"/>
      <c r="I997" s="269"/>
      <c r="J997" s="269"/>
      <c r="K997" s="269"/>
      <c r="L997" s="269"/>
      <c r="M997" s="269"/>
      <c r="N997" s="269"/>
      <c r="O997" s="269"/>
      <c r="P997" s="269"/>
      <c r="Q997" s="269"/>
      <c r="R997" s="269"/>
      <c r="S997" s="269"/>
      <c r="T997" s="269"/>
      <c r="U997" s="269"/>
      <c r="V997" s="269"/>
      <c r="W997" s="269"/>
      <c r="X997" s="269"/>
      <c r="Y997" s="269"/>
      <c r="Z997" s="269"/>
      <c r="AA997" s="269"/>
      <c r="AB997" s="269"/>
      <c r="AC997" s="269"/>
      <c r="AD997" s="269"/>
      <c r="AE997" s="269"/>
      <c r="AF997" s="269"/>
      <c r="AG997" s="269"/>
      <c r="AH997" s="269"/>
      <c r="AI997" s="269"/>
      <c r="AJ997" s="269"/>
      <c r="AK997" s="269"/>
      <c r="AL997" s="269"/>
      <c r="AM997" s="269"/>
      <c r="AN997" s="269"/>
      <c r="AO997" s="269"/>
      <c r="AP997" s="269"/>
      <c r="AQ997" s="269"/>
      <c r="AR997" s="269"/>
    </row>
    <row r="998">
      <c r="A998" s="410"/>
      <c r="B998" s="410"/>
      <c r="C998" s="410"/>
      <c r="D998" s="410"/>
      <c r="E998" s="410"/>
      <c r="F998" s="410"/>
      <c r="H998" s="269"/>
      <c r="I998" s="269"/>
      <c r="J998" s="269"/>
      <c r="K998" s="269"/>
      <c r="L998" s="269"/>
      <c r="M998" s="269"/>
      <c r="N998" s="269"/>
      <c r="O998" s="269"/>
      <c r="P998" s="269"/>
      <c r="Q998" s="269"/>
      <c r="R998" s="269"/>
      <c r="S998" s="269"/>
      <c r="T998" s="269"/>
      <c r="U998" s="269"/>
      <c r="V998" s="269"/>
      <c r="W998" s="269"/>
      <c r="X998" s="269"/>
      <c r="Y998" s="269"/>
      <c r="Z998" s="269"/>
      <c r="AA998" s="269"/>
      <c r="AB998" s="269"/>
      <c r="AC998" s="269"/>
      <c r="AD998" s="269"/>
      <c r="AE998" s="269"/>
      <c r="AF998" s="269"/>
      <c r="AG998" s="269"/>
      <c r="AH998" s="269"/>
      <c r="AI998" s="269"/>
      <c r="AJ998" s="269"/>
      <c r="AK998" s="269"/>
      <c r="AL998" s="269"/>
      <c r="AM998" s="269"/>
      <c r="AN998" s="269"/>
      <c r="AO998" s="269"/>
      <c r="AP998" s="269"/>
      <c r="AQ998" s="269"/>
      <c r="AR998" s="269"/>
    </row>
    <row r="999">
      <c r="A999" s="410"/>
      <c r="B999" s="410"/>
      <c r="C999" s="410"/>
      <c r="D999" s="410"/>
      <c r="E999" s="410"/>
      <c r="F999" s="410"/>
      <c r="H999" s="269"/>
      <c r="I999" s="269"/>
      <c r="J999" s="269"/>
      <c r="K999" s="269"/>
      <c r="L999" s="269"/>
      <c r="M999" s="269"/>
      <c r="N999" s="269"/>
      <c r="O999" s="269"/>
      <c r="P999" s="269"/>
      <c r="Q999" s="269"/>
      <c r="R999" s="269"/>
      <c r="S999" s="269"/>
      <c r="T999" s="269"/>
      <c r="U999" s="269"/>
      <c r="V999" s="269"/>
      <c r="W999" s="269"/>
      <c r="X999" s="269"/>
      <c r="Y999" s="269"/>
      <c r="Z999" s="269"/>
      <c r="AA999" s="269"/>
      <c r="AB999" s="269"/>
      <c r="AC999" s="269"/>
      <c r="AD999" s="269"/>
      <c r="AE999" s="269"/>
      <c r="AF999" s="269"/>
      <c r="AG999" s="269"/>
      <c r="AH999" s="269"/>
      <c r="AI999" s="269"/>
      <c r="AJ999" s="269"/>
      <c r="AK999" s="269"/>
      <c r="AL999" s="269"/>
      <c r="AM999" s="269"/>
      <c r="AN999" s="269"/>
      <c r="AO999" s="269"/>
      <c r="AP999" s="269"/>
      <c r="AQ999" s="269"/>
      <c r="AR999" s="269"/>
    </row>
    <row r="1000">
      <c r="A1000" s="410"/>
      <c r="B1000" s="410"/>
      <c r="C1000" s="410"/>
      <c r="D1000" s="410"/>
      <c r="E1000" s="410"/>
      <c r="F1000" s="410"/>
      <c r="H1000" s="269"/>
      <c r="I1000" s="269"/>
      <c r="J1000" s="269"/>
      <c r="K1000" s="269"/>
      <c r="L1000" s="269"/>
      <c r="M1000" s="269"/>
      <c r="N1000" s="269"/>
      <c r="O1000" s="269"/>
      <c r="P1000" s="269"/>
      <c r="Q1000" s="269"/>
      <c r="R1000" s="269"/>
      <c r="S1000" s="269"/>
      <c r="T1000" s="269"/>
      <c r="U1000" s="269"/>
      <c r="V1000" s="269"/>
      <c r="W1000" s="269"/>
      <c r="X1000" s="269"/>
      <c r="Y1000" s="269"/>
      <c r="Z1000" s="269"/>
      <c r="AA1000" s="269"/>
      <c r="AB1000" s="269"/>
      <c r="AC1000" s="269"/>
      <c r="AD1000" s="269"/>
      <c r="AE1000" s="269"/>
      <c r="AF1000" s="269"/>
      <c r="AG1000" s="269"/>
      <c r="AH1000" s="269"/>
      <c r="AI1000" s="269"/>
      <c r="AJ1000" s="269"/>
      <c r="AK1000" s="269"/>
      <c r="AL1000" s="269"/>
      <c r="AM1000" s="269"/>
      <c r="AN1000" s="269"/>
      <c r="AO1000" s="269"/>
      <c r="AP1000" s="269"/>
      <c r="AQ1000" s="269"/>
      <c r="AR1000" s="269"/>
    </row>
    <row r="1001">
      <c r="A1001" s="410"/>
      <c r="B1001" s="410"/>
      <c r="C1001" s="410"/>
      <c r="D1001" s="410"/>
      <c r="E1001" s="410"/>
      <c r="F1001" s="410"/>
      <c r="H1001" s="269"/>
      <c r="I1001" s="269"/>
      <c r="J1001" s="269"/>
      <c r="K1001" s="269"/>
      <c r="L1001" s="269"/>
      <c r="M1001" s="269"/>
      <c r="N1001" s="269"/>
      <c r="O1001" s="269"/>
      <c r="P1001" s="269"/>
      <c r="Q1001" s="269"/>
      <c r="R1001" s="269"/>
      <c r="S1001" s="269"/>
      <c r="T1001" s="269"/>
      <c r="U1001" s="269"/>
      <c r="V1001" s="269"/>
      <c r="W1001" s="269"/>
      <c r="X1001" s="269"/>
      <c r="Y1001" s="269"/>
      <c r="Z1001" s="269"/>
      <c r="AA1001" s="269"/>
      <c r="AB1001" s="269"/>
      <c r="AC1001" s="269"/>
      <c r="AD1001" s="269"/>
      <c r="AE1001" s="269"/>
      <c r="AF1001" s="269"/>
      <c r="AG1001" s="269"/>
      <c r="AH1001" s="269"/>
      <c r="AI1001" s="269"/>
      <c r="AJ1001" s="269"/>
      <c r="AK1001" s="269"/>
      <c r="AL1001" s="269"/>
      <c r="AM1001" s="269"/>
      <c r="AN1001" s="269"/>
      <c r="AO1001" s="269"/>
      <c r="AP1001" s="269"/>
      <c r="AQ1001" s="269"/>
      <c r="AR1001" s="269"/>
    </row>
    <row r="1002">
      <c r="A1002" s="410"/>
      <c r="B1002" s="410"/>
      <c r="C1002" s="410"/>
      <c r="D1002" s="410"/>
      <c r="E1002" s="410"/>
      <c r="F1002" s="410"/>
      <c r="H1002" s="269"/>
      <c r="I1002" s="269"/>
      <c r="J1002" s="269"/>
      <c r="K1002" s="269"/>
      <c r="L1002" s="269"/>
      <c r="M1002" s="269"/>
      <c r="N1002" s="269"/>
      <c r="O1002" s="269"/>
      <c r="P1002" s="269"/>
      <c r="Q1002" s="269"/>
      <c r="R1002" s="269"/>
      <c r="S1002" s="269"/>
      <c r="T1002" s="269"/>
      <c r="U1002" s="269"/>
      <c r="V1002" s="269"/>
      <c r="W1002" s="269"/>
      <c r="X1002" s="269"/>
      <c r="Y1002" s="269"/>
      <c r="Z1002" s="269"/>
      <c r="AA1002" s="269"/>
      <c r="AB1002" s="269"/>
      <c r="AC1002" s="269"/>
      <c r="AD1002" s="269"/>
      <c r="AE1002" s="269"/>
      <c r="AF1002" s="269"/>
      <c r="AG1002" s="269"/>
      <c r="AH1002" s="269"/>
      <c r="AI1002" s="269"/>
      <c r="AJ1002" s="269"/>
      <c r="AK1002" s="269"/>
      <c r="AL1002" s="269"/>
      <c r="AM1002" s="269"/>
      <c r="AN1002" s="269"/>
      <c r="AO1002" s="269"/>
      <c r="AP1002" s="269"/>
      <c r="AQ1002" s="269"/>
      <c r="AR1002" s="269"/>
    </row>
    <row r="1003">
      <c r="A1003" s="410"/>
      <c r="B1003" s="410"/>
      <c r="C1003" s="410"/>
      <c r="D1003" s="410"/>
      <c r="E1003" s="410"/>
      <c r="F1003" s="410"/>
      <c r="H1003" s="269"/>
      <c r="I1003" s="269"/>
      <c r="J1003" s="269"/>
      <c r="K1003" s="269"/>
      <c r="L1003" s="269"/>
      <c r="M1003" s="269"/>
      <c r="N1003" s="269"/>
      <c r="O1003" s="269"/>
      <c r="P1003" s="269"/>
      <c r="Q1003" s="269"/>
      <c r="R1003" s="269"/>
      <c r="S1003" s="269"/>
      <c r="T1003" s="269"/>
      <c r="U1003" s="269"/>
      <c r="V1003" s="269"/>
      <c r="W1003" s="269"/>
      <c r="X1003" s="269"/>
      <c r="Y1003" s="269"/>
      <c r="Z1003" s="269"/>
      <c r="AA1003" s="269"/>
      <c r="AB1003" s="269"/>
      <c r="AC1003" s="269"/>
      <c r="AD1003" s="269"/>
      <c r="AE1003" s="269"/>
      <c r="AF1003" s="269"/>
      <c r="AG1003" s="269"/>
      <c r="AH1003" s="269"/>
      <c r="AI1003" s="269"/>
      <c r="AJ1003" s="269"/>
      <c r="AK1003" s="269"/>
      <c r="AL1003" s="269"/>
      <c r="AM1003" s="269"/>
      <c r="AN1003" s="269"/>
      <c r="AO1003" s="269"/>
      <c r="AP1003" s="269"/>
      <c r="AQ1003" s="269"/>
      <c r="AR1003" s="269"/>
    </row>
    <row r="1004">
      <c r="A1004" s="410"/>
      <c r="B1004" s="410"/>
      <c r="C1004" s="410"/>
      <c r="D1004" s="410"/>
      <c r="E1004" s="410"/>
      <c r="F1004" s="410"/>
      <c r="H1004" s="269"/>
      <c r="I1004" s="269"/>
      <c r="J1004" s="269"/>
      <c r="K1004" s="269"/>
      <c r="L1004" s="269"/>
      <c r="M1004" s="269"/>
      <c r="N1004" s="269"/>
      <c r="O1004" s="269"/>
      <c r="P1004" s="269"/>
      <c r="Q1004" s="269"/>
      <c r="R1004" s="269"/>
      <c r="S1004" s="269"/>
      <c r="T1004" s="269"/>
      <c r="U1004" s="269"/>
      <c r="V1004" s="269"/>
      <c r="W1004" s="269"/>
      <c r="X1004" s="269"/>
      <c r="Y1004" s="269"/>
      <c r="Z1004" s="269"/>
      <c r="AA1004" s="269"/>
      <c r="AB1004" s="269"/>
      <c r="AC1004" s="269"/>
      <c r="AD1004" s="269"/>
      <c r="AE1004" s="269"/>
      <c r="AF1004" s="269"/>
      <c r="AG1004" s="269"/>
      <c r="AH1004" s="269"/>
      <c r="AI1004" s="269"/>
      <c r="AJ1004" s="269"/>
      <c r="AK1004" s="269"/>
      <c r="AL1004" s="269"/>
      <c r="AM1004" s="269"/>
      <c r="AN1004" s="269"/>
      <c r="AO1004" s="269"/>
      <c r="AP1004" s="269"/>
      <c r="AQ1004" s="269"/>
      <c r="AR1004" s="269"/>
    </row>
    <row r="1005">
      <c r="A1005" s="410"/>
      <c r="B1005" s="410"/>
      <c r="C1005" s="410"/>
      <c r="D1005" s="410"/>
      <c r="E1005" s="410"/>
      <c r="F1005" s="410"/>
      <c r="H1005" s="269"/>
      <c r="I1005" s="269"/>
      <c r="J1005" s="269"/>
      <c r="K1005" s="269"/>
      <c r="L1005" s="269"/>
      <c r="M1005" s="269"/>
      <c r="N1005" s="269"/>
      <c r="O1005" s="269"/>
      <c r="P1005" s="269"/>
      <c r="Q1005" s="269"/>
      <c r="R1005" s="269"/>
      <c r="S1005" s="269"/>
      <c r="T1005" s="269"/>
      <c r="U1005" s="269"/>
      <c r="V1005" s="269"/>
      <c r="W1005" s="269"/>
      <c r="X1005" s="269"/>
      <c r="Y1005" s="269"/>
      <c r="Z1005" s="269"/>
      <c r="AA1005" s="269"/>
      <c r="AB1005" s="269"/>
      <c r="AC1005" s="269"/>
      <c r="AD1005" s="269"/>
      <c r="AE1005" s="269"/>
      <c r="AF1005" s="269"/>
      <c r="AG1005" s="269"/>
      <c r="AH1005" s="269"/>
      <c r="AI1005" s="269"/>
      <c r="AJ1005" s="269"/>
      <c r="AK1005" s="269"/>
      <c r="AL1005" s="269"/>
      <c r="AM1005" s="269"/>
      <c r="AN1005" s="269"/>
      <c r="AO1005" s="269"/>
      <c r="AP1005" s="269"/>
      <c r="AQ1005" s="269"/>
      <c r="AR1005" s="269"/>
    </row>
    <row r="1006">
      <c r="A1006" s="410"/>
      <c r="B1006" s="410"/>
      <c r="C1006" s="410"/>
      <c r="D1006" s="410"/>
      <c r="E1006" s="410"/>
      <c r="F1006" s="410"/>
      <c r="H1006" s="269"/>
      <c r="I1006" s="269"/>
      <c r="J1006" s="269"/>
      <c r="K1006" s="269"/>
      <c r="L1006" s="269"/>
      <c r="M1006" s="269"/>
      <c r="N1006" s="269"/>
      <c r="O1006" s="269"/>
      <c r="P1006" s="269"/>
      <c r="Q1006" s="269"/>
      <c r="R1006" s="269"/>
      <c r="S1006" s="269"/>
      <c r="T1006" s="269"/>
      <c r="U1006" s="269"/>
      <c r="V1006" s="269"/>
      <c r="W1006" s="269"/>
      <c r="X1006" s="269"/>
      <c r="Y1006" s="269"/>
      <c r="Z1006" s="269"/>
      <c r="AA1006" s="269"/>
      <c r="AB1006" s="269"/>
      <c r="AC1006" s="269"/>
      <c r="AD1006" s="269"/>
      <c r="AE1006" s="269"/>
      <c r="AF1006" s="269"/>
      <c r="AG1006" s="269"/>
      <c r="AH1006" s="269"/>
      <c r="AI1006" s="269"/>
      <c r="AJ1006" s="269"/>
      <c r="AK1006" s="269"/>
      <c r="AL1006" s="269"/>
      <c r="AM1006" s="269"/>
      <c r="AN1006" s="269"/>
      <c r="AO1006" s="269"/>
      <c r="AP1006" s="269"/>
      <c r="AQ1006" s="269"/>
      <c r="AR1006" s="269"/>
    </row>
    <row r="1007">
      <c r="A1007" s="410"/>
      <c r="B1007" s="410"/>
      <c r="C1007" s="410"/>
      <c r="D1007" s="410"/>
      <c r="E1007" s="410"/>
      <c r="F1007" s="410"/>
      <c r="H1007" s="269"/>
      <c r="I1007" s="269"/>
      <c r="J1007" s="269"/>
      <c r="K1007" s="269"/>
      <c r="L1007" s="269"/>
      <c r="M1007" s="269"/>
      <c r="N1007" s="269"/>
      <c r="O1007" s="269"/>
      <c r="P1007" s="269"/>
      <c r="Q1007" s="269"/>
      <c r="R1007" s="269"/>
      <c r="S1007" s="269"/>
      <c r="T1007" s="269"/>
      <c r="U1007" s="269"/>
      <c r="V1007" s="269"/>
      <c r="W1007" s="269"/>
      <c r="X1007" s="269"/>
      <c r="Y1007" s="269"/>
      <c r="Z1007" s="269"/>
      <c r="AA1007" s="269"/>
      <c r="AB1007" s="269"/>
      <c r="AC1007" s="269"/>
      <c r="AD1007" s="269"/>
      <c r="AE1007" s="269"/>
      <c r="AF1007" s="269"/>
      <c r="AG1007" s="269"/>
      <c r="AH1007" s="269"/>
      <c r="AI1007" s="269"/>
      <c r="AJ1007" s="269"/>
      <c r="AK1007" s="269"/>
      <c r="AL1007" s="269"/>
      <c r="AM1007" s="269"/>
      <c r="AN1007" s="269"/>
      <c r="AO1007" s="269"/>
      <c r="AP1007" s="269"/>
      <c r="AQ1007" s="269"/>
      <c r="AR1007" s="269"/>
    </row>
    <row r="1008">
      <c r="A1008" s="410"/>
      <c r="B1008" s="410"/>
      <c r="C1008" s="410"/>
      <c r="D1008" s="410"/>
      <c r="E1008" s="410"/>
      <c r="F1008" s="410"/>
      <c r="H1008" s="269"/>
      <c r="I1008" s="269"/>
      <c r="J1008" s="269"/>
      <c r="K1008" s="269"/>
      <c r="L1008" s="269"/>
      <c r="M1008" s="269"/>
      <c r="N1008" s="269"/>
      <c r="O1008" s="269"/>
      <c r="P1008" s="269"/>
      <c r="Q1008" s="269"/>
      <c r="R1008" s="269"/>
      <c r="S1008" s="269"/>
      <c r="T1008" s="269"/>
      <c r="U1008" s="269"/>
      <c r="V1008" s="269"/>
      <c r="W1008" s="269"/>
      <c r="X1008" s="269"/>
      <c r="Y1008" s="269"/>
      <c r="Z1008" s="269"/>
      <c r="AA1008" s="269"/>
      <c r="AB1008" s="269"/>
      <c r="AC1008" s="269"/>
      <c r="AD1008" s="269"/>
      <c r="AE1008" s="269"/>
      <c r="AF1008" s="269"/>
      <c r="AG1008" s="269"/>
      <c r="AH1008" s="269"/>
      <c r="AI1008" s="269"/>
      <c r="AJ1008" s="269"/>
      <c r="AK1008" s="269"/>
      <c r="AL1008" s="269"/>
      <c r="AM1008" s="269"/>
      <c r="AN1008" s="269"/>
      <c r="AO1008" s="269"/>
      <c r="AP1008" s="269"/>
      <c r="AQ1008" s="269"/>
      <c r="AR1008" s="269"/>
    </row>
    <row r="1009">
      <c r="A1009" s="410"/>
      <c r="B1009" s="410"/>
      <c r="C1009" s="410"/>
      <c r="D1009" s="410"/>
      <c r="E1009" s="410"/>
      <c r="F1009" s="410"/>
      <c r="H1009" s="269"/>
      <c r="I1009" s="269"/>
      <c r="J1009" s="269"/>
      <c r="K1009" s="269"/>
      <c r="L1009" s="269"/>
      <c r="M1009" s="269"/>
      <c r="N1009" s="269"/>
      <c r="O1009" s="269"/>
      <c r="P1009" s="269"/>
      <c r="Q1009" s="269"/>
      <c r="R1009" s="269"/>
      <c r="S1009" s="269"/>
      <c r="T1009" s="269"/>
      <c r="U1009" s="269"/>
      <c r="V1009" s="269"/>
      <c r="W1009" s="269"/>
      <c r="X1009" s="269"/>
      <c r="Y1009" s="269"/>
      <c r="Z1009" s="269"/>
      <c r="AA1009" s="269"/>
      <c r="AB1009" s="269"/>
      <c r="AC1009" s="269"/>
      <c r="AD1009" s="269"/>
      <c r="AE1009" s="269"/>
      <c r="AF1009" s="269"/>
      <c r="AG1009" s="269"/>
      <c r="AH1009" s="269"/>
      <c r="AI1009" s="269"/>
      <c r="AJ1009" s="269"/>
      <c r="AK1009" s="269"/>
      <c r="AL1009" s="269"/>
      <c r="AM1009" s="269"/>
      <c r="AN1009" s="269"/>
      <c r="AO1009" s="269"/>
      <c r="AP1009" s="269"/>
      <c r="AQ1009" s="269"/>
      <c r="AR1009" s="269"/>
    </row>
    <row r="1010">
      <c r="A1010" s="410"/>
      <c r="B1010" s="410"/>
      <c r="C1010" s="410"/>
      <c r="D1010" s="410"/>
      <c r="E1010" s="410"/>
      <c r="F1010" s="410"/>
      <c r="H1010" s="269"/>
      <c r="I1010" s="269"/>
      <c r="J1010" s="269"/>
      <c r="K1010" s="269"/>
      <c r="L1010" s="269"/>
      <c r="M1010" s="269"/>
      <c r="N1010" s="269"/>
      <c r="O1010" s="269"/>
      <c r="P1010" s="269"/>
      <c r="Q1010" s="269"/>
      <c r="R1010" s="269"/>
      <c r="S1010" s="269"/>
      <c r="T1010" s="269"/>
      <c r="U1010" s="269"/>
      <c r="V1010" s="269"/>
      <c r="W1010" s="269"/>
      <c r="X1010" s="269"/>
      <c r="Y1010" s="269"/>
      <c r="Z1010" s="269"/>
      <c r="AA1010" s="269"/>
      <c r="AB1010" s="269"/>
      <c r="AC1010" s="269"/>
      <c r="AD1010" s="269"/>
      <c r="AE1010" s="269"/>
      <c r="AF1010" s="269"/>
      <c r="AG1010" s="269"/>
      <c r="AH1010" s="269"/>
      <c r="AI1010" s="269"/>
      <c r="AJ1010" s="269"/>
      <c r="AK1010" s="269"/>
      <c r="AL1010" s="269"/>
      <c r="AM1010" s="269"/>
      <c r="AN1010" s="269"/>
      <c r="AO1010" s="269"/>
      <c r="AP1010" s="269"/>
      <c r="AQ1010" s="269"/>
      <c r="AR1010" s="269"/>
    </row>
    <row r="1011">
      <c r="A1011" s="410"/>
      <c r="B1011" s="410"/>
      <c r="C1011" s="410"/>
      <c r="D1011" s="410"/>
      <c r="E1011" s="410"/>
      <c r="F1011" s="410"/>
      <c r="H1011" s="269"/>
      <c r="I1011" s="269"/>
      <c r="J1011" s="269"/>
      <c r="K1011" s="269"/>
      <c r="L1011" s="269"/>
      <c r="M1011" s="269"/>
      <c r="N1011" s="269"/>
      <c r="O1011" s="269"/>
      <c r="P1011" s="269"/>
      <c r="Q1011" s="269"/>
      <c r="R1011" s="269"/>
      <c r="S1011" s="269"/>
      <c r="T1011" s="269"/>
      <c r="U1011" s="269"/>
      <c r="V1011" s="269"/>
      <c r="W1011" s="269"/>
      <c r="X1011" s="269"/>
      <c r="Y1011" s="269"/>
      <c r="Z1011" s="269"/>
      <c r="AA1011" s="269"/>
      <c r="AB1011" s="269"/>
      <c r="AC1011" s="269"/>
      <c r="AD1011" s="269"/>
      <c r="AE1011" s="269"/>
      <c r="AF1011" s="269"/>
      <c r="AG1011" s="269"/>
      <c r="AH1011" s="269"/>
      <c r="AI1011" s="269"/>
      <c r="AJ1011" s="269"/>
      <c r="AK1011" s="269"/>
      <c r="AL1011" s="269"/>
      <c r="AM1011" s="269"/>
      <c r="AN1011" s="269"/>
      <c r="AO1011" s="269"/>
      <c r="AP1011" s="269"/>
      <c r="AQ1011" s="269"/>
      <c r="AR1011" s="269"/>
    </row>
    <row r="1012">
      <c r="A1012" s="410"/>
      <c r="B1012" s="410"/>
      <c r="C1012" s="410"/>
      <c r="D1012" s="410"/>
      <c r="E1012" s="410"/>
      <c r="F1012" s="410"/>
      <c r="H1012" s="269"/>
      <c r="I1012" s="269"/>
      <c r="J1012" s="269"/>
      <c r="K1012" s="269"/>
      <c r="L1012" s="269"/>
      <c r="M1012" s="269"/>
      <c r="N1012" s="269"/>
      <c r="O1012" s="269"/>
      <c r="P1012" s="269"/>
      <c r="Q1012" s="269"/>
      <c r="R1012" s="269"/>
      <c r="S1012" s="269"/>
      <c r="T1012" s="269"/>
      <c r="U1012" s="269"/>
      <c r="V1012" s="269"/>
      <c r="W1012" s="269"/>
      <c r="X1012" s="269"/>
      <c r="Y1012" s="269"/>
      <c r="Z1012" s="269"/>
      <c r="AA1012" s="269"/>
      <c r="AB1012" s="269"/>
      <c r="AC1012" s="269"/>
      <c r="AD1012" s="269"/>
      <c r="AE1012" s="269"/>
      <c r="AF1012" s="269"/>
      <c r="AG1012" s="269"/>
      <c r="AH1012" s="269"/>
      <c r="AI1012" s="269"/>
      <c r="AJ1012" s="269"/>
      <c r="AK1012" s="269"/>
      <c r="AL1012" s="269"/>
      <c r="AM1012" s="269"/>
      <c r="AN1012" s="269"/>
      <c r="AO1012" s="269"/>
      <c r="AP1012" s="269"/>
      <c r="AQ1012" s="269"/>
      <c r="AR1012" s="269"/>
    </row>
    <row r="1013">
      <c r="A1013" s="410"/>
      <c r="B1013" s="410"/>
      <c r="C1013" s="410"/>
      <c r="D1013" s="410"/>
      <c r="E1013" s="410"/>
      <c r="F1013" s="410"/>
      <c r="H1013" s="269"/>
      <c r="I1013" s="269"/>
      <c r="J1013" s="269"/>
      <c r="K1013" s="269"/>
      <c r="L1013" s="269"/>
      <c r="M1013" s="269"/>
      <c r="N1013" s="269"/>
      <c r="O1013" s="269"/>
      <c r="P1013" s="269"/>
      <c r="Q1013" s="269"/>
      <c r="R1013" s="269"/>
      <c r="S1013" s="269"/>
      <c r="T1013" s="269"/>
      <c r="U1013" s="269"/>
      <c r="V1013" s="269"/>
      <c r="W1013" s="269"/>
      <c r="X1013" s="269"/>
      <c r="Y1013" s="269"/>
      <c r="Z1013" s="269"/>
      <c r="AA1013" s="269"/>
      <c r="AB1013" s="269"/>
      <c r="AC1013" s="269"/>
      <c r="AD1013" s="269"/>
      <c r="AE1013" s="269"/>
      <c r="AF1013" s="269"/>
      <c r="AG1013" s="269"/>
      <c r="AH1013" s="269"/>
      <c r="AI1013" s="269"/>
      <c r="AJ1013" s="269"/>
      <c r="AK1013" s="269"/>
      <c r="AL1013" s="269"/>
      <c r="AM1013" s="269"/>
      <c r="AN1013" s="269"/>
      <c r="AO1013" s="269"/>
      <c r="AP1013" s="269"/>
      <c r="AQ1013" s="269"/>
      <c r="AR1013" s="269"/>
    </row>
    <row r="1014">
      <c r="A1014" s="410"/>
      <c r="B1014" s="410"/>
      <c r="C1014" s="410"/>
      <c r="D1014" s="410"/>
      <c r="E1014" s="410"/>
      <c r="F1014" s="410"/>
      <c r="H1014" s="269"/>
      <c r="I1014" s="269"/>
      <c r="J1014" s="269"/>
      <c r="K1014" s="269"/>
      <c r="L1014" s="269"/>
      <c r="M1014" s="269"/>
      <c r="N1014" s="269"/>
      <c r="O1014" s="269"/>
      <c r="P1014" s="269"/>
      <c r="Q1014" s="269"/>
      <c r="R1014" s="269"/>
      <c r="S1014" s="269"/>
      <c r="T1014" s="269"/>
      <c r="U1014" s="269"/>
      <c r="V1014" s="269"/>
      <c r="W1014" s="269"/>
      <c r="X1014" s="269"/>
      <c r="Y1014" s="269"/>
      <c r="Z1014" s="269"/>
      <c r="AA1014" s="269"/>
      <c r="AB1014" s="269"/>
      <c r="AC1014" s="269"/>
      <c r="AD1014" s="269"/>
      <c r="AE1014" s="269"/>
      <c r="AF1014" s="269"/>
      <c r="AG1014" s="269"/>
      <c r="AH1014" s="269"/>
      <c r="AI1014" s="269"/>
      <c r="AJ1014" s="269"/>
      <c r="AK1014" s="269"/>
      <c r="AL1014" s="269"/>
      <c r="AM1014" s="269"/>
      <c r="AN1014" s="269"/>
      <c r="AO1014" s="269"/>
      <c r="AP1014" s="269"/>
      <c r="AQ1014" s="269"/>
      <c r="AR1014" s="269"/>
    </row>
    <row r="1015">
      <c r="A1015" s="410"/>
      <c r="B1015" s="410"/>
      <c r="C1015" s="410"/>
      <c r="D1015" s="410"/>
      <c r="E1015" s="410"/>
      <c r="F1015" s="410"/>
      <c r="H1015" s="269"/>
      <c r="I1015" s="269"/>
      <c r="J1015" s="269"/>
      <c r="K1015" s="269"/>
      <c r="L1015" s="269"/>
      <c r="M1015" s="269"/>
      <c r="N1015" s="269"/>
      <c r="O1015" s="269"/>
      <c r="P1015" s="269"/>
      <c r="Q1015" s="269"/>
      <c r="R1015" s="269"/>
      <c r="S1015" s="269"/>
      <c r="T1015" s="269"/>
      <c r="U1015" s="269"/>
      <c r="V1015" s="269"/>
      <c r="W1015" s="269"/>
      <c r="X1015" s="269"/>
      <c r="Y1015" s="269"/>
      <c r="Z1015" s="269"/>
      <c r="AA1015" s="269"/>
      <c r="AB1015" s="269"/>
      <c r="AC1015" s="269"/>
      <c r="AD1015" s="269"/>
      <c r="AE1015" s="269"/>
      <c r="AF1015" s="269"/>
      <c r="AG1015" s="269"/>
      <c r="AH1015" s="269"/>
      <c r="AI1015" s="269"/>
      <c r="AJ1015" s="269"/>
      <c r="AK1015" s="269"/>
      <c r="AL1015" s="269"/>
      <c r="AM1015" s="269"/>
      <c r="AN1015" s="269"/>
      <c r="AO1015" s="269"/>
      <c r="AP1015" s="269"/>
      <c r="AQ1015" s="269"/>
      <c r="AR1015" s="269"/>
    </row>
    <row r="1016">
      <c r="A1016" s="410"/>
      <c r="B1016" s="410"/>
      <c r="C1016" s="410"/>
      <c r="D1016" s="410"/>
      <c r="E1016" s="410"/>
      <c r="F1016" s="410"/>
      <c r="H1016" s="269"/>
      <c r="I1016" s="269"/>
      <c r="J1016" s="269"/>
      <c r="K1016" s="269"/>
      <c r="L1016" s="269"/>
      <c r="M1016" s="269"/>
      <c r="N1016" s="269"/>
      <c r="O1016" s="269"/>
      <c r="P1016" s="269"/>
      <c r="Q1016" s="269"/>
      <c r="R1016" s="269"/>
      <c r="S1016" s="269"/>
      <c r="T1016" s="269"/>
      <c r="U1016" s="269"/>
      <c r="V1016" s="269"/>
      <c r="W1016" s="269"/>
      <c r="X1016" s="269"/>
      <c r="Y1016" s="269"/>
      <c r="Z1016" s="269"/>
      <c r="AA1016" s="269"/>
      <c r="AB1016" s="269"/>
      <c r="AC1016" s="269"/>
      <c r="AD1016" s="269"/>
      <c r="AE1016" s="269"/>
      <c r="AF1016" s="269"/>
      <c r="AG1016" s="269"/>
      <c r="AH1016" s="269"/>
      <c r="AI1016" s="269"/>
      <c r="AJ1016" s="269"/>
      <c r="AK1016" s="269"/>
      <c r="AL1016" s="269"/>
      <c r="AM1016" s="269"/>
      <c r="AN1016" s="269"/>
      <c r="AO1016" s="269"/>
      <c r="AP1016" s="269"/>
      <c r="AQ1016" s="269"/>
      <c r="AR1016" s="269"/>
    </row>
    <row r="1017">
      <c r="A1017" s="410"/>
      <c r="B1017" s="410"/>
      <c r="C1017" s="410"/>
      <c r="D1017" s="410"/>
      <c r="E1017" s="410"/>
      <c r="F1017" s="410"/>
      <c r="H1017" s="269"/>
      <c r="I1017" s="269"/>
      <c r="J1017" s="269"/>
      <c r="K1017" s="269"/>
      <c r="L1017" s="269"/>
      <c r="M1017" s="269"/>
      <c r="N1017" s="269"/>
      <c r="O1017" s="269"/>
      <c r="P1017" s="269"/>
      <c r="Q1017" s="269"/>
      <c r="R1017" s="269"/>
      <c r="S1017" s="269"/>
      <c r="T1017" s="269"/>
      <c r="U1017" s="269"/>
      <c r="V1017" s="269"/>
      <c r="W1017" s="269"/>
      <c r="X1017" s="269"/>
      <c r="Y1017" s="269"/>
      <c r="Z1017" s="269"/>
      <c r="AA1017" s="269"/>
      <c r="AB1017" s="269"/>
      <c r="AC1017" s="269"/>
      <c r="AD1017" s="269"/>
      <c r="AE1017" s="269"/>
      <c r="AF1017" s="269"/>
      <c r="AG1017" s="269"/>
      <c r="AH1017" s="269"/>
      <c r="AI1017" s="269"/>
      <c r="AJ1017" s="269"/>
      <c r="AK1017" s="269"/>
      <c r="AL1017" s="269"/>
      <c r="AM1017" s="269"/>
      <c r="AN1017" s="269"/>
      <c r="AO1017" s="269"/>
      <c r="AP1017" s="269"/>
      <c r="AQ1017" s="269"/>
      <c r="AR1017" s="269"/>
    </row>
    <row r="1018">
      <c r="A1018" s="410"/>
      <c r="B1018" s="410"/>
      <c r="C1018" s="410"/>
      <c r="D1018" s="410"/>
      <c r="E1018" s="410"/>
      <c r="F1018" s="410"/>
      <c r="H1018" s="269"/>
      <c r="I1018" s="269"/>
      <c r="J1018" s="269"/>
      <c r="K1018" s="269"/>
      <c r="L1018" s="269"/>
      <c r="M1018" s="269"/>
      <c r="N1018" s="269"/>
      <c r="O1018" s="269"/>
      <c r="P1018" s="269"/>
      <c r="Q1018" s="269"/>
      <c r="R1018" s="269"/>
      <c r="S1018" s="269"/>
      <c r="T1018" s="269"/>
      <c r="U1018" s="269"/>
      <c r="V1018" s="269"/>
      <c r="W1018" s="269"/>
      <c r="X1018" s="269"/>
      <c r="Y1018" s="269"/>
      <c r="Z1018" s="269"/>
      <c r="AA1018" s="269"/>
      <c r="AB1018" s="269"/>
      <c r="AC1018" s="269"/>
      <c r="AD1018" s="269"/>
      <c r="AE1018" s="269"/>
      <c r="AF1018" s="269"/>
      <c r="AG1018" s="269"/>
      <c r="AH1018" s="269"/>
      <c r="AI1018" s="269"/>
      <c r="AJ1018" s="269"/>
      <c r="AK1018" s="269"/>
      <c r="AL1018" s="269"/>
      <c r="AM1018" s="269"/>
      <c r="AN1018" s="269"/>
      <c r="AO1018" s="269"/>
      <c r="AP1018" s="269"/>
      <c r="AQ1018" s="269"/>
      <c r="AR1018" s="269"/>
    </row>
    <row r="1019">
      <c r="A1019" s="410"/>
      <c r="B1019" s="410"/>
      <c r="C1019" s="410"/>
      <c r="D1019" s="410"/>
      <c r="E1019" s="410"/>
      <c r="F1019" s="410"/>
      <c r="H1019" s="269"/>
      <c r="I1019" s="269"/>
      <c r="J1019" s="269"/>
      <c r="K1019" s="269"/>
      <c r="L1019" s="269"/>
      <c r="M1019" s="269"/>
      <c r="N1019" s="269"/>
      <c r="O1019" s="269"/>
      <c r="P1019" s="269"/>
      <c r="Q1019" s="269"/>
      <c r="R1019" s="269"/>
      <c r="S1019" s="269"/>
      <c r="T1019" s="269"/>
      <c r="U1019" s="269"/>
      <c r="V1019" s="269"/>
      <c r="W1019" s="269"/>
      <c r="X1019" s="269"/>
      <c r="Y1019" s="269"/>
      <c r="Z1019" s="269"/>
      <c r="AA1019" s="269"/>
      <c r="AB1019" s="269"/>
      <c r="AC1019" s="269"/>
      <c r="AD1019" s="269"/>
      <c r="AE1019" s="269"/>
      <c r="AF1019" s="269"/>
      <c r="AG1019" s="269"/>
      <c r="AH1019" s="269"/>
      <c r="AI1019" s="269"/>
      <c r="AJ1019" s="269"/>
      <c r="AK1019" s="269"/>
      <c r="AL1019" s="269"/>
      <c r="AM1019" s="269"/>
      <c r="AN1019" s="269"/>
      <c r="AO1019" s="269"/>
      <c r="AP1019" s="269"/>
      <c r="AQ1019" s="269"/>
      <c r="AR1019" s="269"/>
    </row>
    <row r="1020">
      <c r="A1020" s="410"/>
      <c r="B1020" s="410"/>
      <c r="C1020" s="410"/>
      <c r="D1020" s="410"/>
      <c r="E1020" s="410"/>
      <c r="F1020" s="410"/>
      <c r="H1020" s="269"/>
      <c r="I1020" s="269"/>
      <c r="J1020" s="269"/>
      <c r="K1020" s="269"/>
      <c r="L1020" s="269"/>
      <c r="M1020" s="269"/>
      <c r="N1020" s="269"/>
      <c r="O1020" s="269"/>
      <c r="P1020" s="269"/>
      <c r="Q1020" s="269"/>
      <c r="R1020" s="269"/>
      <c r="S1020" s="269"/>
      <c r="T1020" s="269"/>
      <c r="U1020" s="269"/>
      <c r="V1020" s="269"/>
      <c r="W1020" s="269"/>
      <c r="X1020" s="269"/>
      <c r="Y1020" s="269"/>
      <c r="Z1020" s="269"/>
      <c r="AA1020" s="269"/>
      <c r="AB1020" s="269"/>
      <c r="AC1020" s="269"/>
      <c r="AD1020" s="269"/>
      <c r="AE1020" s="269"/>
      <c r="AF1020" s="269"/>
      <c r="AG1020" s="269"/>
      <c r="AH1020" s="269"/>
      <c r="AI1020" s="269"/>
      <c r="AJ1020" s="269"/>
      <c r="AK1020" s="269"/>
      <c r="AL1020" s="269"/>
      <c r="AM1020" s="269"/>
      <c r="AN1020" s="269"/>
      <c r="AO1020" s="269"/>
      <c r="AP1020" s="269"/>
      <c r="AQ1020" s="269"/>
      <c r="AR1020" s="269"/>
    </row>
    <row r="1021">
      <c r="A1021" s="410"/>
      <c r="B1021" s="410"/>
      <c r="C1021" s="410"/>
      <c r="D1021" s="410"/>
      <c r="E1021" s="410"/>
      <c r="F1021" s="410"/>
      <c r="H1021" s="269"/>
      <c r="I1021" s="269"/>
      <c r="J1021" s="269"/>
      <c r="K1021" s="269"/>
      <c r="L1021" s="269"/>
      <c r="M1021" s="269"/>
      <c r="N1021" s="269"/>
      <c r="O1021" s="269"/>
      <c r="P1021" s="269"/>
      <c r="Q1021" s="269"/>
      <c r="R1021" s="269"/>
      <c r="S1021" s="269"/>
      <c r="T1021" s="269"/>
      <c r="U1021" s="269"/>
      <c r="V1021" s="269"/>
      <c r="W1021" s="269"/>
      <c r="X1021" s="269"/>
      <c r="Y1021" s="269"/>
      <c r="Z1021" s="269"/>
      <c r="AA1021" s="269"/>
      <c r="AB1021" s="269"/>
      <c r="AC1021" s="269"/>
      <c r="AD1021" s="269"/>
      <c r="AE1021" s="269"/>
      <c r="AF1021" s="269"/>
      <c r="AG1021" s="269"/>
      <c r="AH1021" s="269"/>
      <c r="AI1021" s="269"/>
      <c r="AJ1021" s="269"/>
      <c r="AK1021" s="269"/>
      <c r="AL1021" s="269"/>
      <c r="AM1021" s="269"/>
      <c r="AN1021" s="269"/>
      <c r="AO1021" s="269"/>
      <c r="AP1021" s="269"/>
      <c r="AQ1021" s="269"/>
      <c r="AR1021" s="269"/>
    </row>
    <row r="1022">
      <c r="A1022" s="410"/>
      <c r="B1022" s="410"/>
      <c r="C1022" s="410"/>
      <c r="D1022" s="410"/>
      <c r="E1022" s="410"/>
      <c r="F1022" s="410"/>
      <c r="H1022" s="269"/>
      <c r="I1022" s="269"/>
      <c r="J1022" s="269"/>
      <c r="K1022" s="269"/>
      <c r="L1022" s="269"/>
      <c r="M1022" s="269"/>
      <c r="N1022" s="269"/>
      <c r="O1022" s="269"/>
      <c r="P1022" s="269"/>
      <c r="Q1022" s="269"/>
      <c r="R1022" s="269"/>
      <c r="S1022" s="269"/>
      <c r="T1022" s="269"/>
      <c r="U1022" s="269"/>
      <c r="V1022" s="269"/>
      <c r="W1022" s="269"/>
      <c r="X1022" s="269"/>
      <c r="Y1022" s="269"/>
      <c r="Z1022" s="269"/>
      <c r="AA1022" s="269"/>
      <c r="AB1022" s="269"/>
      <c r="AC1022" s="269"/>
      <c r="AD1022" s="269"/>
      <c r="AE1022" s="269"/>
      <c r="AF1022" s="269"/>
      <c r="AG1022" s="269"/>
      <c r="AH1022" s="269"/>
      <c r="AI1022" s="269"/>
      <c r="AJ1022" s="269"/>
      <c r="AK1022" s="269"/>
      <c r="AL1022" s="269"/>
      <c r="AM1022" s="269"/>
      <c r="AN1022" s="269"/>
      <c r="AO1022" s="269"/>
      <c r="AP1022" s="269"/>
      <c r="AQ1022" s="269"/>
      <c r="AR1022" s="269"/>
    </row>
    <row r="1023">
      <c r="A1023" s="410"/>
      <c r="B1023" s="410"/>
      <c r="C1023" s="410"/>
      <c r="D1023" s="410"/>
      <c r="E1023" s="410"/>
      <c r="F1023" s="410"/>
      <c r="H1023" s="269"/>
      <c r="I1023" s="269"/>
      <c r="J1023" s="269"/>
      <c r="K1023" s="269"/>
      <c r="L1023" s="269"/>
      <c r="M1023" s="269"/>
      <c r="N1023" s="269"/>
      <c r="O1023" s="269"/>
      <c r="P1023" s="269"/>
      <c r="Q1023" s="269"/>
      <c r="R1023" s="269"/>
      <c r="S1023" s="269"/>
      <c r="T1023" s="269"/>
      <c r="U1023" s="269"/>
      <c r="V1023" s="269"/>
      <c r="W1023" s="269"/>
      <c r="X1023" s="269"/>
      <c r="Y1023" s="269"/>
      <c r="Z1023" s="269"/>
      <c r="AA1023" s="269"/>
      <c r="AB1023" s="269"/>
      <c r="AC1023" s="269"/>
      <c r="AD1023" s="269"/>
      <c r="AE1023" s="269"/>
      <c r="AF1023" s="269"/>
      <c r="AG1023" s="269"/>
      <c r="AH1023" s="269"/>
      <c r="AI1023" s="269"/>
      <c r="AJ1023" s="269"/>
      <c r="AK1023" s="269"/>
      <c r="AL1023" s="269"/>
      <c r="AM1023" s="269"/>
      <c r="AN1023" s="269"/>
      <c r="AO1023" s="269"/>
      <c r="AP1023" s="269"/>
      <c r="AQ1023" s="269"/>
      <c r="AR1023" s="269"/>
    </row>
    <row r="1024">
      <c r="A1024" s="410"/>
      <c r="B1024" s="410"/>
      <c r="C1024" s="410"/>
      <c r="D1024" s="410"/>
      <c r="E1024" s="410"/>
      <c r="F1024" s="410"/>
      <c r="H1024" s="269"/>
      <c r="I1024" s="269"/>
      <c r="J1024" s="269"/>
      <c r="K1024" s="269"/>
      <c r="L1024" s="269"/>
      <c r="M1024" s="269"/>
      <c r="N1024" s="269"/>
      <c r="O1024" s="269"/>
      <c r="P1024" s="269"/>
      <c r="Q1024" s="269"/>
      <c r="R1024" s="269"/>
      <c r="S1024" s="269"/>
      <c r="T1024" s="269"/>
      <c r="U1024" s="269"/>
      <c r="V1024" s="269"/>
      <c r="W1024" s="269"/>
      <c r="X1024" s="269"/>
      <c r="Y1024" s="269"/>
      <c r="Z1024" s="269"/>
      <c r="AA1024" s="269"/>
      <c r="AB1024" s="269"/>
      <c r="AC1024" s="269"/>
      <c r="AD1024" s="269"/>
      <c r="AE1024" s="269"/>
      <c r="AF1024" s="269"/>
      <c r="AG1024" s="269"/>
      <c r="AH1024" s="269"/>
      <c r="AI1024" s="269"/>
      <c r="AJ1024" s="269"/>
      <c r="AK1024" s="269"/>
      <c r="AL1024" s="269"/>
      <c r="AM1024" s="269"/>
      <c r="AN1024" s="269"/>
      <c r="AO1024" s="269"/>
      <c r="AP1024" s="269"/>
      <c r="AQ1024" s="269"/>
      <c r="AR1024" s="269"/>
    </row>
    <row r="1025">
      <c r="A1025" s="410"/>
      <c r="B1025" s="410"/>
      <c r="C1025" s="410"/>
      <c r="D1025" s="410"/>
      <c r="E1025" s="410"/>
      <c r="F1025" s="410"/>
      <c r="H1025" s="269"/>
      <c r="I1025" s="269"/>
      <c r="J1025" s="269"/>
      <c r="K1025" s="269"/>
      <c r="L1025" s="269"/>
      <c r="M1025" s="269"/>
      <c r="N1025" s="269"/>
      <c r="O1025" s="269"/>
      <c r="P1025" s="269"/>
      <c r="Q1025" s="269"/>
      <c r="R1025" s="269"/>
      <c r="S1025" s="269"/>
      <c r="T1025" s="269"/>
      <c r="U1025" s="269"/>
      <c r="V1025" s="269"/>
      <c r="W1025" s="269"/>
      <c r="X1025" s="269"/>
      <c r="Y1025" s="269"/>
      <c r="Z1025" s="269"/>
      <c r="AA1025" s="269"/>
      <c r="AB1025" s="269"/>
      <c r="AC1025" s="269"/>
      <c r="AD1025" s="269"/>
      <c r="AE1025" s="269"/>
      <c r="AF1025" s="269"/>
      <c r="AG1025" s="269"/>
      <c r="AH1025" s="269"/>
      <c r="AI1025" s="269"/>
      <c r="AJ1025" s="269"/>
      <c r="AK1025" s="269"/>
      <c r="AL1025" s="269"/>
      <c r="AM1025" s="269"/>
      <c r="AN1025" s="269"/>
      <c r="AO1025" s="269"/>
      <c r="AP1025" s="269"/>
      <c r="AQ1025" s="269"/>
      <c r="AR1025" s="269"/>
    </row>
    <row r="1026">
      <c r="A1026" s="410"/>
      <c r="B1026" s="410"/>
      <c r="C1026" s="410"/>
      <c r="D1026" s="410"/>
      <c r="E1026" s="410"/>
      <c r="F1026" s="410"/>
      <c r="H1026" s="269"/>
      <c r="I1026" s="269"/>
      <c r="J1026" s="269"/>
      <c r="K1026" s="269"/>
      <c r="L1026" s="269"/>
      <c r="M1026" s="269"/>
      <c r="N1026" s="269"/>
      <c r="O1026" s="269"/>
      <c r="P1026" s="269"/>
      <c r="Q1026" s="269"/>
      <c r="R1026" s="269"/>
      <c r="S1026" s="269"/>
      <c r="T1026" s="269"/>
      <c r="U1026" s="269"/>
      <c r="V1026" s="269"/>
      <c r="W1026" s="269"/>
      <c r="X1026" s="269"/>
      <c r="Y1026" s="269"/>
      <c r="Z1026" s="269"/>
      <c r="AA1026" s="269"/>
      <c r="AB1026" s="269"/>
      <c r="AC1026" s="269"/>
      <c r="AD1026" s="269"/>
      <c r="AE1026" s="269"/>
      <c r="AF1026" s="269"/>
      <c r="AG1026" s="269"/>
      <c r="AH1026" s="269"/>
      <c r="AI1026" s="269"/>
      <c r="AJ1026" s="269"/>
      <c r="AK1026" s="269"/>
      <c r="AL1026" s="269"/>
      <c r="AM1026" s="269"/>
      <c r="AN1026" s="269"/>
      <c r="AO1026" s="269"/>
      <c r="AP1026" s="269"/>
      <c r="AQ1026" s="269"/>
      <c r="AR1026" s="269"/>
    </row>
    <row r="1027">
      <c r="A1027" s="410"/>
      <c r="B1027" s="410"/>
      <c r="C1027" s="410"/>
      <c r="D1027" s="410"/>
      <c r="E1027" s="410"/>
      <c r="F1027" s="410"/>
      <c r="H1027" s="269"/>
      <c r="I1027" s="269"/>
      <c r="J1027" s="269"/>
      <c r="K1027" s="269"/>
      <c r="L1027" s="269"/>
      <c r="M1027" s="269"/>
      <c r="N1027" s="269"/>
      <c r="O1027" s="269"/>
      <c r="P1027" s="269"/>
      <c r="Q1027" s="269"/>
      <c r="R1027" s="269"/>
      <c r="S1027" s="269"/>
      <c r="T1027" s="269"/>
      <c r="U1027" s="269"/>
      <c r="V1027" s="269"/>
      <c r="W1027" s="269"/>
      <c r="X1027" s="269"/>
      <c r="Y1027" s="269"/>
      <c r="Z1027" s="269"/>
      <c r="AA1027" s="269"/>
      <c r="AB1027" s="269"/>
      <c r="AC1027" s="269"/>
      <c r="AD1027" s="269"/>
      <c r="AE1027" s="269"/>
      <c r="AF1027" s="269"/>
      <c r="AG1027" s="269"/>
      <c r="AH1027" s="269"/>
      <c r="AI1027" s="269"/>
      <c r="AJ1027" s="269"/>
      <c r="AK1027" s="269"/>
      <c r="AL1027" s="269"/>
      <c r="AM1027" s="269"/>
      <c r="AN1027" s="269"/>
      <c r="AO1027" s="269"/>
      <c r="AP1027" s="269"/>
      <c r="AQ1027" s="269"/>
      <c r="AR1027" s="269"/>
    </row>
    <row r="1028">
      <c r="A1028" s="410"/>
      <c r="B1028" s="410"/>
      <c r="C1028" s="410"/>
      <c r="D1028" s="410"/>
      <c r="E1028" s="410"/>
      <c r="F1028" s="410"/>
      <c r="H1028" s="269"/>
      <c r="I1028" s="269"/>
      <c r="J1028" s="269"/>
      <c r="K1028" s="269"/>
      <c r="L1028" s="269"/>
      <c r="M1028" s="269"/>
      <c r="N1028" s="269"/>
      <c r="O1028" s="269"/>
      <c r="P1028" s="269"/>
      <c r="Q1028" s="269"/>
      <c r="R1028" s="269"/>
      <c r="S1028" s="269"/>
      <c r="T1028" s="269"/>
      <c r="U1028" s="269"/>
      <c r="V1028" s="269"/>
      <c r="W1028" s="269"/>
      <c r="X1028" s="269"/>
      <c r="Y1028" s="269"/>
      <c r="Z1028" s="269"/>
      <c r="AA1028" s="269"/>
      <c r="AB1028" s="269"/>
      <c r="AC1028" s="269"/>
      <c r="AD1028" s="269"/>
      <c r="AE1028" s="269"/>
      <c r="AF1028" s="269"/>
      <c r="AG1028" s="269"/>
      <c r="AH1028" s="269"/>
      <c r="AI1028" s="269"/>
      <c r="AJ1028" s="269"/>
      <c r="AK1028" s="269"/>
      <c r="AL1028" s="269"/>
      <c r="AM1028" s="269"/>
      <c r="AN1028" s="269"/>
      <c r="AO1028" s="269"/>
      <c r="AP1028" s="269"/>
      <c r="AQ1028" s="269"/>
      <c r="AR1028" s="269"/>
    </row>
    <row r="1029">
      <c r="A1029" s="410"/>
      <c r="B1029" s="410"/>
      <c r="C1029" s="410"/>
      <c r="D1029" s="410"/>
      <c r="E1029" s="410"/>
      <c r="F1029" s="410"/>
      <c r="H1029" s="269"/>
      <c r="I1029" s="269"/>
      <c r="J1029" s="269"/>
      <c r="K1029" s="269"/>
      <c r="L1029" s="269"/>
      <c r="M1029" s="269"/>
      <c r="N1029" s="269"/>
      <c r="O1029" s="269"/>
      <c r="P1029" s="269"/>
      <c r="Q1029" s="269"/>
      <c r="R1029" s="269"/>
      <c r="S1029" s="269"/>
      <c r="T1029" s="269"/>
      <c r="U1029" s="269"/>
      <c r="V1029" s="269"/>
      <c r="W1029" s="269"/>
      <c r="X1029" s="269"/>
      <c r="Y1029" s="269"/>
      <c r="Z1029" s="269"/>
      <c r="AA1029" s="269"/>
      <c r="AB1029" s="269"/>
      <c r="AC1029" s="269"/>
      <c r="AD1029" s="269"/>
      <c r="AE1029" s="269"/>
      <c r="AF1029" s="269"/>
      <c r="AG1029" s="269"/>
      <c r="AH1029" s="269"/>
      <c r="AI1029" s="269"/>
      <c r="AJ1029" s="269"/>
      <c r="AK1029" s="269"/>
      <c r="AL1029" s="269"/>
      <c r="AM1029" s="269"/>
      <c r="AN1029" s="269"/>
      <c r="AO1029" s="269"/>
      <c r="AP1029" s="269"/>
      <c r="AQ1029" s="269"/>
      <c r="AR1029" s="269"/>
    </row>
    <row r="1030">
      <c r="A1030" s="410"/>
      <c r="B1030" s="410"/>
      <c r="C1030" s="410"/>
      <c r="D1030" s="410"/>
      <c r="E1030" s="410"/>
      <c r="F1030" s="410"/>
      <c r="H1030" s="269"/>
      <c r="I1030" s="269"/>
      <c r="J1030" s="269"/>
      <c r="K1030" s="269"/>
      <c r="L1030" s="269"/>
      <c r="M1030" s="269"/>
      <c r="N1030" s="269"/>
      <c r="O1030" s="269"/>
      <c r="P1030" s="269"/>
      <c r="Q1030" s="269"/>
      <c r="R1030" s="269"/>
      <c r="S1030" s="269"/>
      <c r="T1030" s="269"/>
      <c r="U1030" s="269"/>
      <c r="V1030" s="269"/>
      <c r="W1030" s="269"/>
      <c r="X1030" s="269"/>
      <c r="Y1030" s="269"/>
      <c r="Z1030" s="269"/>
      <c r="AA1030" s="269"/>
      <c r="AB1030" s="269"/>
      <c r="AC1030" s="269"/>
      <c r="AD1030" s="269"/>
      <c r="AE1030" s="269"/>
      <c r="AF1030" s="269"/>
      <c r="AG1030" s="269"/>
      <c r="AH1030" s="269"/>
      <c r="AI1030" s="269"/>
      <c r="AJ1030" s="269"/>
      <c r="AK1030" s="269"/>
      <c r="AL1030" s="269"/>
      <c r="AM1030" s="269"/>
      <c r="AN1030" s="269"/>
      <c r="AO1030" s="269"/>
      <c r="AP1030" s="269"/>
      <c r="AQ1030" s="269"/>
      <c r="AR1030" s="269"/>
    </row>
    <row r="1031">
      <c r="A1031" s="410"/>
      <c r="B1031" s="410"/>
      <c r="C1031" s="410"/>
      <c r="D1031" s="410"/>
      <c r="E1031" s="410"/>
      <c r="F1031" s="410"/>
      <c r="H1031" s="269"/>
      <c r="I1031" s="269"/>
      <c r="J1031" s="269"/>
      <c r="K1031" s="269"/>
      <c r="L1031" s="269"/>
      <c r="M1031" s="269"/>
      <c r="N1031" s="269"/>
      <c r="O1031" s="269"/>
      <c r="P1031" s="269"/>
      <c r="Q1031" s="269"/>
      <c r="R1031" s="269"/>
      <c r="S1031" s="269"/>
      <c r="T1031" s="269"/>
      <c r="U1031" s="269"/>
      <c r="V1031" s="269"/>
      <c r="W1031" s="269"/>
      <c r="X1031" s="269"/>
      <c r="Y1031" s="269"/>
      <c r="Z1031" s="269"/>
      <c r="AA1031" s="269"/>
      <c r="AB1031" s="269"/>
      <c r="AC1031" s="269"/>
      <c r="AD1031" s="269"/>
      <c r="AE1031" s="269"/>
      <c r="AF1031" s="269"/>
      <c r="AG1031" s="269"/>
      <c r="AH1031" s="269"/>
      <c r="AI1031" s="269"/>
      <c r="AJ1031" s="269"/>
      <c r="AK1031" s="269"/>
      <c r="AL1031" s="269"/>
      <c r="AM1031" s="269"/>
      <c r="AN1031" s="269"/>
      <c r="AO1031" s="269"/>
      <c r="AP1031" s="269"/>
      <c r="AQ1031" s="269"/>
      <c r="AR1031" s="269"/>
    </row>
    <row r="1032">
      <c r="A1032" s="410"/>
      <c r="B1032" s="410"/>
      <c r="C1032" s="410"/>
      <c r="D1032" s="410"/>
      <c r="E1032" s="410"/>
      <c r="F1032" s="410"/>
      <c r="H1032" s="269"/>
      <c r="I1032" s="269"/>
      <c r="J1032" s="269"/>
      <c r="K1032" s="269"/>
      <c r="L1032" s="269"/>
      <c r="M1032" s="269"/>
      <c r="N1032" s="269"/>
      <c r="O1032" s="269"/>
      <c r="P1032" s="269"/>
      <c r="Q1032" s="269"/>
      <c r="R1032" s="269"/>
      <c r="S1032" s="269"/>
      <c r="T1032" s="269"/>
      <c r="U1032" s="269"/>
      <c r="V1032" s="269"/>
      <c r="W1032" s="269"/>
      <c r="X1032" s="269"/>
      <c r="Y1032" s="269"/>
      <c r="Z1032" s="269"/>
      <c r="AA1032" s="269"/>
      <c r="AB1032" s="269"/>
      <c r="AC1032" s="269"/>
      <c r="AD1032" s="269"/>
      <c r="AE1032" s="269"/>
      <c r="AF1032" s="269"/>
      <c r="AG1032" s="269"/>
      <c r="AH1032" s="269"/>
      <c r="AI1032" s="269"/>
      <c r="AJ1032" s="269"/>
      <c r="AK1032" s="269"/>
      <c r="AL1032" s="269"/>
      <c r="AM1032" s="269"/>
      <c r="AN1032" s="269"/>
      <c r="AO1032" s="269"/>
      <c r="AP1032" s="269"/>
      <c r="AQ1032" s="269"/>
      <c r="AR1032" s="269"/>
    </row>
    <row r="1033">
      <c r="A1033" s="410"/>
      <c r="B1033" s="410"/>
      <c r="C1033" s="410"/>
      <c r="D1033" s="410"/>
      <c r="E1033" s="410"/>
      <c r="F1033" s="410"/>
      <c r="H1033" s="269"/>
      <c r="I1033" s="269"/>
      <c r="J1033" s="269"/>
      <c r="K1033" s="269"/>
      <c r="L1033" s="269"/>
      <c r="M1033" s="269"/>
      <c r="N1033" s="269"/>
      <c r="O1033" s="269"/>
      <c r="P1033" s="269"/>
      <c r="Q1033" s="269"/>
      <c r="R1033" s="269"/>
      <c r="S1033" s="269"/>
      <c r="T1033" s="269"/>
      <c r="U1033" s="269"/>
      <c r="V1033" s="269"/>
      <c r="W1033" s="269"/>
      <c r="X1033" s="269"/>
      <c r="Y1033" s="269"/>
      <c r="Z1033" s="269"/>
      <c r="AA1033" s="269"/>
      <c r="AB1033" s="269"/>
      <c r="AC1033" s="269"/>
      <c r="AD1033" s="269"/>
      <c r="AE1033" s="269"/>
      <c r="AF1033" s="269"/>
      <c r="AG1033" s="269"/>
      <c r="AH1033" s="269"/>
      <c r="AI1033" s="269"/>
      <c r="AJ1033" s="269"/>
      <c r="AK1033" s="269"/>
      <c r="AL1033" s="269"/>
      <c r="AM1033" s="269"/>
      <c r="AN1033" s="269"/>
      <c r="AO1033" s="269"/>
      <c r="AP1033" s="269"/>
      <c r="AQ1033" s="269"/>
      <c r="AR1033" s="269"/>
    </row>
    <row r="1034">
      <c r="A1034" s="410"/>
      <c r="B1034" s="410"/>
      <c r="C1034" s="410"/>
      <c r="D1034" s="410"/>
      <c r="E1034" s="410"/>
      <c r="F1034" s="410"/>
      <c r="H1034" s="269"/>
      <c r="I1034" s="269"/>
      <c r="J1034" s="269"/>
      <c r="K1034" s="269"/>
      <c r="L1034" s="269"/>
      <c r="M1034" s="269"/>
      <c r="N1034" s="269"/>
      <c r="O1034" s="269"/>
      <c r="P1034" s="269"/>
      <c r="Q1034" s="269"/>
      <c r="R1034" s="269"/>
      <c r="S1034" s="269"/>
      <c r="T1034" s="269"/>
      <c r="U1034" s="269"/>
      <c r="V1034" s="269"/>
      <c r="W1034" s="269"/>
      <c r="X1034" s="269"/>
      <c r="Y1034" s="269"/>
      <c r="Z1034" s="269"/>
      <c r="AA1034" s="269"/>
      <c r="AB1034" s="269"/>
      <c r="AC1034" s="269"/>
      <c r="AD1034" s="269"/>
      <c r="AE1034" s="269"/>
      <c r="AF1034" s="269"/>
      <c r="AG1034" s="269"/>
      <c r="AH1034" s="269"/>
      <c r="AI1034" s="269"/>
      <c r="AJ1034" s="269"/>
      <c r="AK1034" s="269"/>
      <c r="AL1034" s="269"/>
      <c r="AM1034" s="269"/>
      <c r="AN1034" s="269"/>
      <c r="AO1034" s="269"/>
      <c r="AP1034" s="269"/>
      <c r="AQ1034" s="269"/>
      <c r="AR1034" s="269"/>
    </row>
    <row r="1035">
      <c r="A1035" s="410"/>
      <c r="B1035" s="410"/>
      <c r="C1035" s="410"/>
      <c r="D1035" s="410"/>
      <c r="E1035" s="410"/>
      <c r="F1035" s="410"/>
      <c r="H1035" s="269"/>
      <c r="I1035" s="269"/>
      <c r="J1035" s="269"/>
      <c r="K1035" s="269"/>
      <c r="L1035" s="269"/>
      <c r="M1035" s="269"/>
      <c r="N1035" s="269"/>
      <c r="O1035" s="269"/>
      <c r="P1035" s="269"/>
      <c r="Q1035" s="269"/>
      <c r="R1035" s="269"/>
      <c r="S1035" s="269"/>
      <c r="T1035" s="269"/>
      <c r="U1035" s="269"/>
      <c r="V1035" s="269"/>
      <c r="W1035" s="269"/>
      <c r="X1035" s="269"/>
      <c r="Y1035" s="269"/>
      <c r="Z1035" s="269"/>
      <c r="AA1035" s="269"/>
      <c r="AB1035" s="269"/>
      <c r="AC1035" s="269"/>
      <c r="AD1035" s="269"/>
      <c r="AE1035" s="269"/>
      <c r="AF1035" s="269"/>
      <c r="AG1035" s="269"/>
      <c r="AH1035" s="269"/>
      <c r="AI1035" s="269"/>
      <c r="AJ1035" s="269"/>
      <c r="AK1035" s="269"/>
      <c r="AL1035" s="269"/>
      <c r="AM1035" s="269"/>
      <c r="AN1035" s="269"/>
      <c r="AO1035" s="269"/>
      <c r="AP1035" s="269"/>
      <c r="AQ1035" s="269"/>
      <c r="AR1035" s="269"/>
    </row>
    <row r="1036">
      <c r="A1036" s="410"/>
      <c r="B1036" s="410"/>
      <c r="C1036" s="410"/>
      <c r="D1036" s="410"/>
      <c r="E1036" s="410"/>
      <c r="F1036" s="410"/>
      <c r="H1036" s="269"/>
      <c r="I1036" s="269"/>
      <c r="J1036" s="269"/>
      <c r="K1036" s="269"/>
      <c r="L1036" s="269"/>
      <c r="M1036" s="269"/>
      <c r="N1036" s="269"/>
      <c r="O1036" s="269"/>
      <c r="P1036" s="269"/>
      <c r="Q1036" s="269"/>
      <c r="R1036" s="269"/>
      <c r="S1036" s="269"/>
      <c r="T1036" s="269"/>
      <c r="U1036" s="269"/>
      <c r="V1036" s="269"/>
      <c r="W1036" s="269"/>
      <c r="X1036" s="269"/>
      <c r="Y1036" s="269"/>
      <c r="Z1036" s="269"/>
      <c r="AA1036" s="269"/>
      <c r="AB1036" s="269"/>
      <c r="AC1036" s="269"/>
      <c r="AD1036" s="269"/>
      <c r="AE1036" s="269"/>
      <c r="AF1036" s="269"/>
      <c r="AG1036" s="269"/>
      <c r="AH1036" s="269"/>
      <c r="AI1036" s="269"/>
      <c r="AJ1036" s="269"/>
      <c r="AK1036" s="269"/>
      <c r="AL1036" s="269"/>
      <c r="AM1036" s="269"/>
      <c r="AN1036" s="269"/>
      <c r="AO1036" s="269"/>
      <c r="AP1036" s="269"/>
      <c r="AQ1036" s="269"/>
      <c r="AR1036" s="269"/>
    </row>
    <row r="1037">
      <c r="A1037" s="410"/>
      <c r="B1037" s="410"/>
      <c r="C1037" s="410"/>
      <c r="D1037" s="410"/>
      <c r="E1037" s="410"/>
      <c r="F1037" s="410"/>
      <c r="H1037" s="269"/>
      <c r="I1037" s="269"/>
      <c r="J1037" s="269"/>
      <c r="K1037" s="269"/>
      <c r="L1037" s="269"/>
      <c r="M1037" s="269"/>
      <c r="N1037" s="269"/>
      <c r="O1037" s="269"/>
      <c r="P1037" s="269"/>
      <c r="Q1037" s="269"/>
      <c r="R1037" s="269"/>
      <c r="S1037" s="269"/>
      <c r="T1037" s="269"/>
      <c r="U1037" s="269"/>
      <c r="V1037" s="269"/>
      <c r="W1037" s="269"/>
      <c r="X1037" s="269"/>
      <c r="Y1037" s="269"/>
      <c r="Z1037" s="269"/>
      <c r="AA1037" s="269"/>
      <c r="AB1037" s="269"/>
      <c r="AC1037" s="269"/>
      <c r="AD1037" s="269"/>
      <c r="AE1037" s="269"/>
      <c r="AF1037" s="269"/>
      <c r="AG1037" s="269"/>
      <c r="AH1037" s="269"/>
      <c r="AI1037" s="269"/>
      <c r="AJ1037" s="269"/>
      <c r="AK1037" s="269"/>
      <c r="AL1037" s="269"/>
      <c r="AM1037" s="269"/>
      <c r="AN1037" s="269"/>
      <c r="AO1037" s="269"/>
      <c r="AP1037" s="269"/>
      <c r="AQ1037" s="269"/>
      <c r="AR1037" s="269"/>
    </row>
    <row r="1038">
      <c r="A1038" s="410"/>
      <c r="B1038" s="410"/>
      <c r="C1038" s="410"/>
      <c r="D1038" s="410"/>
      <c r="E1038" s="410"/>
      <c r="F1038" s="410"/>
      <c r="H1038" s="269"/>
      <c r="I1038" s="269"/>
      <c r="J1038" s="269"/>
      <c r="K1038" s="269"/>
      <c r="L1038" s="269"/>
      <c r="M1038" s="269"/>
      <c r="N1038" s="269"/>
      <c r="O1038" s="269"/>
      <c r="P1038" s="269"/>
      <c r="Q1038" s="269"/>
      <c r="R1038" s="269"/>
      <c r="S1038" s="269"/>
      <c r="T1038" s="269"/>
      <c r="U1038" s="269"/>
      <c r="V1038" s="269"/>
      <c r="W1038" s="269"/>
      <c r="X1038" s="269"/>
      <c r="Y1038" s="269"/>
      <c r="Z1038" s="269"/>
      <c r="AA1038" s="269"/>
      <c r="AB1038" s="269"/>
      <c r="AC1038" s="269"/>
      <c r="AD1038" s="269"/>
      <c r="AE1038" s="269"/>
      <c r="AF1038" s="269"/>
      <c r="AG1038" s="269"/>
      <c r="AH1038" s="269"/>
      <c r="AI1038" s="269"/>
      <c r="AJ1038" s="269"/>
      <c r="AK1038" s="269"/>
      <c r="AL1038" s="269"/>
      <c r="AM1038" s="269"/>
      <c r="AN1038" s="269"/>
      <c r="AO1038" s="269"/>
      <c r="AP1038" s="269"/>
      <c r="AQ1038" s="269"/>
      <c r="AR1038" s="269"/>
    </row>
    <row r="1039">
      <c r="A1039" s="410"/>
      <c r="B1039" s="410"/>
      <c r="C1039" s="410"/>
      <c r="D1039" s="410"/>
      <c r="E1039" s="410"/>
      <c r="F1039" s="410"/>
      <c r="H1039" s="269"/>
      <c r="I1039" s="269"/>
      <c r="J1039" s="269"/>
      <c r="K1039" s="269"/>
      <c r="L1039" s="269"/>
      <c r="M1039" s="269"/>
      <c r="N1039" s="269"/>
      <c r="O1039" s="269"/>
      <c r="P1039" s="269"/>
      <c r="Q1039" s="269"/>
      <c r="R1039" s="269"/>
      <c r="S1039" s="269"/>
      <c r="T1039" s="269"/>
      <c r="U1039" s="269"/>
      <c r="V1039" s="269"/>
      <c r="W1039" s="269"/>
      <c r="X1039" s="269"/>
      <c r="Y1039" s="269"/>
      <c r="Z1039" s="269"/>
      <c r="AA1039" s="269"/>
      <c r="AB1039" s="269"/>
      <c r="AC1039" s="269"/>
      <c r="AD1039" s="269"/>
      <c r="AE1039" s="269"/>
      <c r="AF1039" s="269"/>
      <c r="AG1039" s="269"/>
      <c r="AH1039" s="269"/>
      <c r="AI1039" s="269"/>
      <c r="AJ1039" s="269"/>
      <c r="AK1039" s="269"/>
      <c r="AL1039" s="269"/>
      <c r="AM1039" s="269"/>
      <c r="AN1039" s="269"/>
      <c r="AO1039" s="269"/>
      <c r="AP1039" s="269"/>
      <c r="AQ1039" s="269"/>
      <c r="AR1039" s="269"/>
    </row>
    <row r="1040">
      <c r="A1040" s="410"/>
      <c r="B1040" s="410"/>
      <c r="C1040" s="410"/>
      <c r="D1040" s="410"/>
      <c r="E1040" s="410"/>
      <c r="F1040" s="410"/>
      <c r="H1040" s="269"/>
      <c r="I1040" s="269"/>
      <c r="J1040" s="269"/>
      <c r="K1040" s="269"/>
      <c r="L1040" s="269"/>
      <c r="M1040" s="269"/>
      <c r="N1040" s="269"/>
      <c r="O1040" s="269"/>
      <c r="P1040" s="269"/>
      <c r="Q1040" s="269"/>
      <c r="R1040" s="269"/>
      <c r="S1040" s="269"/>
      <c r="T1040" s="269"/>
      <c r="U1040" s="269"/>
      <c r="V1040" s="269"/>
      <c r="W1040" s="269"/>
      <c r="X1040" s="269"/>
      <c r="Y1040" s="269"/>
      <c r="Z1040" s="269"/>
      <c r="AA1040" s="269"/>
      <c r="AB1040" s="269"/>
      <c r="AC1040" s="269"/>
      <c r="AD1040" s="269"/>
      <c r="AE1040" s="269"/>
      <c r="AF1040" s="269"/>
      <c r="AG1040" s="269"/>
      <c r="AH1040" s="269"/>
      <c r="AI1040" s="269"/>
      <c r="AJ1040" s="269"/>
      <c r="AK1040" s="269"/>
      <c r="AL1040" s="269"/>
      <c r="AM1040" s="269"/>
      <c r="AN1040" s="269"/>
      <c r="AO1040" s="269"/>
      <c r="AP1040" s="269"/>
      <c r="AQ1040" s="269"/>
      <c r="AR1040" s="269"/>
    </row>
    <row r="1041">
      <c r="A1041" s="410"/>
      <c r="B1041" s="410"/>
      <c r="C1041" s="410"/>
      <c r="D1041" s="410"/>
      <c r="E1041" s="410"/>
      <c r="F1041" s="410"/>
      <c r="H1041" s="269"/>
      <c r="I1041" s="269"/>
      <c r="J1041" s="269"/>
      <c r="K1041" s="269"/>
      <c r="L1041" s="269"/>
      <c r="M1041" s="269"/>
      <c r="N1041" s="269"/>
      <c r="O1041" s="269"/>
      <c r="P1041" s="269"/>
      <c r="Q1041" s="269"/>
      <c r="R1041" s="269"/>
      <c r="S1041" s="269"/>
      <c r="T1041" s="269"/>
      <c r="U1041" s="269"/>
      <c r="V1041" s="269"/>
      <c r="W1041" s="269"/>
      <c r="X1041" s="269"/>
      <c r="Y1041" s="269"/>
      <c r="Z1041" s="269"/>
      <c r="AA1041" s="269"/>
      <c r="AB1041" s="269"/>
      <c r="AC1041" s="269"/>
      <c r="AD1041" s="269"/>
      <c r="AE1041" s="269"/>
      <c r="AF1041" s="269"/>
      <c r="AG1041" s="269"/>
      <c r="AH1041" s="269"/>
      <c r="AI1041" s="269"/>
      <c r="AJ1041" s="269"/>
      <c r="AK1041" s="269"/>
      <c r="AL1041" s="269"/>
      <c r="AM1041" s="269"/>
      <c r="AN1041" s="269"/>
      <c r="AO1041" s="269"/>
      <c r="AP1041" s="269"/>
      <c r="AQ1041" s="269"/>
      <c r="AR1041" s="269"/>
    </row>
    <row r="1042">
      <c r="A1042" s="410"/>
      <c r="B1042" s="410"/>
      <c r="C1042" s="410"/>
      <c r="D1042" s="410"/>
      <c r="E1042" s="410"/>
      <c r="F1042" s="410"/>
      <c r="H1042" s="269"/>
      <c r="I1042" s="269"/>
      <c r="J1042" s="269"/>
      <c r="K1042" s="269"/>
      <c r="L1042" s="269"/>
      <c r="M1042" s="269"/>
      <c r="N1042" s="269"/>
      <c r="O1042" s="269"/>
      <c r="P1042" s="269"/>
      <c r="Q1042" s="269"/>
      <c r="R1042" s="269"/>
      <c r="S1042" s="269"/>
      <c r="T1042" s="269"/>
      <c r="U1042" s="269"/>
      <c r="V1042" s="269"/>
      <c r="W1042" s="269"/>
      <c r="X1042" s="269"/>
      <c r="Y1042" s="269"/>
      <c r="Z1042" s="269"/>
      <c r="AA1042" s="269"/>
      <c r="AB1042" s="269"/>
      <c r="AC1042" s="269"/>
      <c r="AD1042" s="269"/>
      <c r="AE1042" s="269"/>
      <c r="AF1042" s="269"/>
      <c r="AG1042" s="269"/>
      <c r="AH1042" s="269"/>
      <c r="AI1042" s="269"/>
      <c r="AJ1042" s="269"/>
      <c r="AK1042" s="269"/>
      <c r="AL1042" s="269"/>
      <c r="AM1042" s="269"/>
      <c r="AN1042" s="269"/>
      <c r="AO1042" s="269"/>
      <c r="AP1042" s="269"/>
      <c r="AQ1042" s="269"/>
      <c r="AR1042" s="269"/>
    </row>
    <row r="1043">
      <c r="A1043" s="410"/>
      <c r="B1043" s="410"/>
      <c r="C1043" s="410"/>
      <c r="D1043" s="410"/>
      <c r="E1043" s="410"/>
      <c r="F1043" s="410"/>
      <c r="H1043" s="269"/>
      <c r="I1043" s="269"/>
      <c r="J1043" s="269"/>
      <c r="K1043" s="269"/>
      <c r="L1043" s="269"/>
      <c r="M1043" s="269"/>
      <c r="N1043" s="269"/>
      <c r="O1043" s="269"/>
      <c r="P1043" s="269"/>
      <c r="Q1043" s="269"/>
      <c r="R1043" s="269"/>
      <c r="S1043" s="269"/>
      <c r="T1043" s="269"/>
      <c r="U1043" s="269"/>
      <c r="V1043" s="269"/>
      <c r="W1043" s="269"/>
      <c r="X1043" s="269"/>
      <c r="Y1043" s="269"/>
      <c r="Z1043" s="269"/>
      <c r="AA1043" s="269"/>
      <c r="AB1043" s="269"/>
      <c r="AC1043" s="269"/>
      <c r="AD1043" s="269"/>
      <c r="AE1043" s="269"/>
      <c r="AF1043" s="269"/>
      <c r="AG1043" s="269"/>
      <c r="AH1043" s="269"/>
      <c r="AI1043" s="269"/>
      <c r="AJ1043" s="269"/>
      <c r="AK1043" s="269"/>
      <c r="AL1043" s="269"/>
      <c r="AM1043" s="269"/>
      <c r="AN1043" s="269"/>
      <c r="AO1043" s="269"/>
      <c r="AP1043" s="269"/>
      <c r="AQ1043" s="269"/>
      <c r="AR1043" s="269"/>
    </row>
    <row r="1044">
      <c r="A1044" s="410"/>
      <c r="B1044" s="410"/>
      <c r="C1044" s="410"/>
      <c r="D1044" s="410"/>
      <c r="E1044" s="410"/>
      <c r="F1044" s="410"/>
      <c r="H1044" s="269"/>
      <c r="I1044" s="269"/>
      <c r="J1044" s="269"/>
      <c r="K1044" s="269"/>
      <c r="L1044" s="269"/>
      <c r="M1044" s="269"/>
      <c r="N1044" s="269"/>
      <c r="O1044" s="269"/>
      <c r="P1044" s="269"/>
      <c r="Q1044" s="269"/>
      <c r="R1044" s="269"/>
      <c r="S1044" s="269"/>
      <c r="T1044" s="269"/>
      <c r="U1044" s="269"/>
      <c r="V1044" s="269"/>
      <c r="W1044" s="269"/>
      <c r="X1044" s="269"/>
      <c r="Y1044" s="269"/>
      <c r="Z1044" s="269"/>
      <c r="AA1044" s="269"/>
      <c r="AB1044" s="269"/>
      <c r="AC1044" s="269"/>
      <c r="AD1044" s="269"/>
      <c r="AE1044" s="269"/>
      <c r="AF1044" s="269"/>
      <c r="AG1044" s="269"/>
      <c r="AH1044" s="269"/>
      <c r="AI1044" s="269"/>
      <c r="AJ1044" s="269"/>
      <c r="AK1044" s="269"/>
      <c r="AL1044" s="269"/>
      <c r="AM1044" s="269"/>
      <c r="AN1044" s="269"/>
      <c r="AO1044" s="269"/>
      <c r="AP1044" s="269"/>
      <c r="AQ1044" s="269"/>
      <c r="AR1044" s="269"/>
    </row>
    <row r="1045">
      <c r="A1045" s="410"/>
      <c r="B1045" s="410"/>
      <c r="C1045" s="410"/>
      <c r="D1045" s="410"/>
      <c r="E1045" s="410"/>
      <c r="F1045" s="410"/>
      <c r="H1045" s="269"/>
      <c r="I1045" s="269"/>
      <c r="J1045" s="269"/>
      <c r="K1045" s="269"/>
      <c r="L1045" s="269"/>
      <c r="M1045" s="269"/>
      <c r="N1045" s="269"/>
      <c r="O1045" s="269"/>
      <c r="P1045" s="269"/>
      <c r="Q1045" s="269"/>
      <c r="R1045" s="269"/>
      <c r="S1045" s="269"/>
      <c r="T1045" s="269"/>
      <c r="U1045" s="269"/>
      <c r="V1045" s="269"/>
      <c r="W1045" s="269"/>
      <c r="X1045" s="269"/>
      <c r="Y1045" s="269"/>
      <c r="Z1045" s="269"/>
      <c r="AA1045" s="269"/>
      <c r="AB1045" s="269"/>
      <c r="AC1045" s="269"/>
      <c r="AD1045" s="269"/>
      <c r="AE1045" s="269"/>
      <c r="AF1045" s="269"/>
      <c r="AG1045" s="269"/>
      <c r="AH1045" s="269"/>
      <c r="AI1045" s="269"/>
      <c r="AJ1045" s="269"/>
      <c r="AK1045" s="269"/>
      <c r="AL1045" s="269"/>
      <c r="AM1045" s="269"/>
      <c r="AN1045" s="269"/>
      <c r="AO1045" s="269"/>
      <c r="AP1045" s="269"/>
      <c r="AQ1045" s="269"/>
      <c r="AR1045" s="269"/>
    </row>
    <row r="1046">
      <c r="A1046" s="410"/>
      <c r="B1046" s="410"/>
      <c r="C1046" s="410"/>
      <c r="D1046" s="410"/>
      <c r="E1046" s="410"/>
      <c r="F1046" s="410"/>
      <c r="H1046" s="269"/>
      <c r="I1046" s="269"/>
      <c r="J1046" s="269"/>
      <c r="K1046" s="269"/>
      <c r="L1046" s="269"/>
      <c r="M1046" s="269"/>
      <c r="N1046" s="269"/>
      <c r="O1046" s="269"/>
      <c r="P1046" s="269"/>
      <c r="Q1046" s="269"/>
      <c r="R1046" s="269"/>
      <c r="S1046" s="269"/>
      <c r="T1046" s="269"/>
      <c r="U1046" s="269"/>
      <c r="V1046" s="269"/>
      <c r="W1046" s="269"/>
      <c r="X1046" s="269"/>
      <c r="Y1046" s="269"/>
      <c r="Z1046" s="269"/>
      <c r="AA1046" s="269"/>
      <c r="AB1046" s="269"/>
      <c r="AC1046" s="269"/>
      <c r="AD1046" s="269"/>
      <c r="AE1046" s="269"/>
      <c r="AF1046" s="269"/>
      <c r="AG1046" s="269"/>
      <c r="AH1046" s="269"/>
      <c r="AI1046" s="269"/>
      <c r="AJ1046" s="269"/>
      <c r="AK1046" s="269"/>
      <c r="AL1046" s="269"/>
      <c r="AM1046" s="269"/>
      <c r="AN1046" s="269"/>
      <c r="AO1046" s="269"/>
      <c r="AP1046" s="269"/>
      <c r="AQ1046" s="269"/>
      <c r="AR1046" s="269"/>
    </row>
    <row r="1047">
      <c r="A1047" s="410"/>
      <c r="B1047" s="410"/>
      <c r="C1047" s="410"/>
      <c r="D1047" s="410"/>
      <c r="E1047" s="410"/>
      <c r="F1047" s="410"/>
      <c r="H1047" s="269"/>
      <c r="I1047" s="269"/>
      <c r="J1047" s="269"/>
      <c r="K1047" s="269"/>
      <c r="L1047" s="269"/>
      <c r="M1047" s="269"/>
      <c r="N1047" s="269"/>
      <c r="O1047" s="269"/>
      <c r="P1047" s="269"/>
      <c r="Q1047" s="269"/>
      <c r="R1047" s="269"/>
      <c r="S1047" s="269"/>
      <c r="T1047" s="269"/>
      <c r="U1047" s="269"/>
      <c r="V1047" s="269"/>
      <c r="W1047" s="269"/>
      <c r="X1047" s="269"/>
      <c r="Y1047" s="269"/>
      <c r="Z1047" s="269"/>
      <c r="AA1047" s="269"/>
      <c r="AB1047" s="269"/>
      <c r="AC1047" s="269"/>
      <c r="AD1047" s="269"/>
      <c r="AE1047" s="269"/>
      <c r="AF1047" s="269"/>
      <c r="AG1047" s="269"/>
      <c r="AH1047" s="269"/>
      <c r="AI1047" s="269"/>
      <c r="AJ1047" s="269"/>
      <c r="AK1047" s="269"/>
      <c r="AL1047" s="269"/>
      <c r="AM1047" s="269"/>
      <c r="AN1047" s="269"/>
      <c r="AO1047" s="269"/>
      <c r="AP1047" s="269"/>
      <c r="AQ1047" s="269"/>
      <c r="AR1047" s="269"/>
    </row>
    <row r="1048">
      <c r="A1048" s="410"/>
      <c r="B1048" s="410"/>
      <c r="C1048" s="410"/>
      <c r="D1048" s="410"/>
      <c r="E1048" s="410"/>
      <c r="F1048" s="410"/>
      <c r="H1048" s="269"/>
      <c r="I1048" s="269"/>
      <c r="J1048" s="269"/>
      <c r="K1048" s="269"/>
      <c r="L1048" s="269"/>
      <c r="M1048" s="269"/>
      <c r="N1048" s="269"/>
      <c r="O1048" s="269"/>
      <c r="P1048" s="269"/>
      <c r="Q1048" s="269"/>
      <c r="R1048" s="269"/>
      <c r="S1048" s="269"/>
      <c r="T1048" s="269"/>
      <c r="U1048" s="269"/>
      <c r="V1048" s="269"/>
      <c r="W1048" s="269"/>
      <c r="X1048" s="269"/>
      <c r="Y1048" s="269"/>
      <c r="Z1048" s="269"/>
      <c r="AA1048" s="269"/>
      <c r="AB1048" s="269"/>
      <c r="AC1048" s="269"/>
      <c r="AD1048" s="269"/>
      <c r="AE1048" s="269"/>
      <c r="AF1048" s="269"/>
      <c r="AG1048" s="269"/>
      <c r="AH1048" s="269"/>
      <c r="AI1048" s="269"/>
      <c r="AJ1048" s="269"/>
      <c r="AK1048" s="269"/>
      <c r="AL1048" s="269"/>
      <c r="AM1048" s="269"/>
      <c r="AN1048" s="269"/>
      <c r="AO1048" s="269"/>
      <c r="AP1048" s="269"/>
      <c r="AQ1048" s="269"/>
      <c r="AR1048" s="269"/>
    </row>
    <row r="1049">
      <c r="A1049" s="410"/>
      <c r="B1049" s="410"/>
      <c r="C1049" s="410"/>
      <c r="D1049" s="410"/>
      <c r="E1049" s="410"/>
      <c r="F1049" s="410"/>
      <c r="H1049" s="269"/>
      <c r="I1049" s="269"/>
      <c r="J1049" s="269"/>
      <c r="K1049" s="269"/>
      <c r="L1049" s="269"/>
      <c r="M1049" s="269"/>
      <c r="N1049" s="269"/>
      <c r="O1049" s="269"/>
      <c r="P1049" s="269"/>
      <c r="Q1049" s="269"/>
      <c r="R1049" s="269"/>
      <c r="S1049" s="269"/>
      <c r="T1049" s="269"/>
      <c r="U1049" s="269"/>
      <c r="V1049" s="269"/>
      <c r="W1049" s="269"/>
      <c r="X1049" s="269"/>
      <c r="Y1049" s="269"/>
      <c r="Z1049" s="269"/>
      <c r="AA1049" s="269"/>
      <c r="AB1049" s="269"/>
      <c r="AC1049" s="269"/>
      <c r="AD1049" s="269"/>
      <c r="AE1049" s="269"/>
      <c r="AF1049" s="269"/>
      <c r="AG1049" s="269"/>
      <c r="AH1049" s="269"/>
      <c r="AI1049" s="269"/>
      <c r="AJ1049" s="269"/>
      <c r="AK1049" s="269"/>
      <c r="AL1049" s="269"/>
      <c r="AM1049" s="269"/>
      <c r="AN1049" s="269"/>
      <c r="AO1049" s="269"/>
      <c r="AP1049" s="269"/>
      <c r="AQ1049" s="269"/>
      <c r="AR1049" s="269"/>
    </row>
    <row r="1050">
      <c r="A1050" s="410"/>
      <c r="B1050" s="410"/>
      <c r="C1050" s="410"/>
      <c r="D1050" s="410"/>
      <c r="E1050" s="410"/>
      <c r="F1050" s="410"/>
      <c r="H1050" s="269"/>
      <c r="I1050" s="269"/>
      <c r="J1050" s="269"/>
      <c r="K1050" s="269"/>
      <c r="L1050" s="269"/>
      <c r="M1050" s="269"/>
      <c r="N1050" s="269"/>
      <c r="O1050" s="269"/>
      <c r="P1050" s="269"/>
      <c r="Q1050" s="269"/>
      <c r="R1050" s="269"/>
      <c r="S1050" s="269"/>
      <c r="T1050" s="269"/>
      <c r="U1050" s="269"/>
      <c r="V1050" s="269"/>
      <c r="W1050" s="269"/>
      <c r="X1050" s="269"/>
      <c r="Y1050" s="269"/>
      <c r="Z1050" s="269"/>
      <c r="AA1050" s="269"/>
      <c r="AB1050" s="269"/>
      <c r="AC1050" s="269"/>
      <c r="AD1050" s="269"/>
      <c r="AE1050" s="269"/>
      <c r="AF1050" s="269"/>
      <c r="AG1050" s="269"/>
      <c r="AH1050" s="269"/>
      <c r="AI1050" s="269"/>
      <c r="AJ1050" s="269"/>
      <c r="AK1050" s="269"/>
      <c r="AL1050" s="269"/>
      <c r="AM1050" s="269"/>
      <c r="AN1050" s="269"/>
      <c r="AO1050" s="269"/>
      <c r="AP1050" s="269"/>
      <c r="AQ1050" s="269"/>
      <c r="AR1050" s="269"/>
    </row>
    <row r="1051">
      <c r="A1051" s="410"/>
      <c r="B1051" s="410"/>
      <c r="C1051" s="410"/>
      <c r="D1051" s="410"/>
      <c r="E1051" s="410"/>
      <c r="F1051" s="410"/>
      <c r="H1051" s="269"/>
      <c r="I1051" s="269"/>
      <c r="J1051" s="269"/>
      <c r="K1051" s="269"/>
      <c r="L1051" s="269"/>
      <c r="M1051" s="269"/>
      <c r="N1051" s="269"/>
      <c r="O1051" s="269"/>
      <c r="P1051" s="269"/>
      <c r="Q1051" s="269"/>
      <c r="R1051" s="269"/>
      <c r="S1051" s="269"/>
      <c r="T1051" s="269"/>
      <c r="U1051" s="269"/>
      <c r="V1051" s="269"/>
      <c r="W1051" s="269"/>
      <c r="X1051" s="269"/>
      <c r="Y1051" s="269"/>
      <c r="Z1051" s="269"/>
      <c r="AA1051" s="269"/>
      <c r="AB1051" s="269"/>
      <c r="AC1051" s="269"/>
      <c r="AD1051" s="269"/>
      <c r="AE1051" s="269"/>
      <c r="AF1051" s="269"/>
      <c r="AG1051" s="269"/>
      <c r="AH1051" s="269"/>
      <c r="AI1051" s="269"/>
      <c r="AJ1051" s="269"/>
      <c r="AK1051" s="269"/>
      <c r="AL1051" s="269"/>
      <c r="AM1051" s="269"/>
      <c r="AN1051" s="269"/>
      <c r="AO1051" s="269"/>
      <c r="AP1051" s="269"/>
      <c r="AQ1051" s="269"/>
      <c r="AR1051" s="269"/>
    </row>
    <row r="1052">
      <c r="A1052" s="410"/>
      <c r="B1052" s="410"/>
      <c r="C1052" s="410"/>
      <c r="D1052" s="410"/>
      <c r="E1052" s="410"/>
      <c r="F1052" s="410"/>
      <c r="H1052" s="269"/>
      <c r="I1052" s="269"/>
      <c r="J1052" s="269"/>
      <c r="K1052" s="269"/>
      <c r="L1052" s="269"/>
      <c r="M1052" s="269"/>
      <c r="N1052" s="269"/>
      <c r="O1052" s="269"/>
      <c r="P1052" s="269"/>
      <c r="Q1052" s="269"/>
      <c r="R1052" s="269"/>
      <c r="S1052" s="269"/>
      <c r="T1052" s="269"/>
      <c r="U1052" s="269"/>
      <c r="V1052" s="269"/>
      <c r="W1052" s="269"/>
      <c r="X1052" s="269"/>
      <c r="Y1052" s="269"/>
      <c r="Z1052" s="269"/>
      <c r="AA1052" s="269"/>
      <c r="AB1052" s="269"/>
      <c r="AC1052" s="269"/>
      <c r="AD1052" s="269"/>
      <c r="AE1052" s="269"/>
      <c r="AF1052" s="269"/>
      <c r="AG1052" s="269"/>
      <c r="AH1052" s="269"/>
      <c r="AI1052" s="269"/>
      <c r="AJ1052" s="269"/>
      <c r="AK1052" s="269"/>
      <c r="AL1052" s="269"/>
      <c r="AM1052" s="269"/>
      <c r="AN1052" s="269"/>
      <c r="AO1052" s="269"/>
      <c r="AP1052" s="269"/>
      <c r="AQ1052" s="269"/>
      <c r="AR1052" s="269"/>
    </row>
    <row r="1053">
      <c r="A1053" s="410"/>
      <c r="B1053" s="410"/>
      <c r="C1053" s="410"/>
      <c r="D1053" s="410"/>
      <c r="E1053" s="410"/>
      <c r="F1053" s="410"/>
      <c r="H1053" s="269"/>
      <c r="I1053" s="269"/>
      <c r="J1053" s="269"/>
      <c r="K1053" s="269"/>
      <c r="L1053" s="269"/>
      <c r="M1053" s="269"/>
      <c r="N1053" s="269"/>
      <c r="O1053" s="269"/>
      <c r="P1053" s="269"/>
      <c r="Q1053" s="269"/>
      <c r="R1053" s="269"/>
      <c r="S1053" s="269"/>
      <c r="T1053" s="269"/>
      <c r="U1053" s="269"/>
      <c r="V1053" s="269"/>
      <c r="W1053" s="269"/>
      <c r="X1053" s="269"/>
      <c r="Y1053" s="269"/>
      <c r="Z1053" s="269"/>
      <c r="AA1053" s="269"/>
      <c r="AB1053" s="269"/>
      <c r="AC1053" s="269"/>
      <c r="AD1053" s="269"/>
      <c r="AE1053" s="269"/>
      <c r="AF1053" s="269"/>
      <c r="AG1053" s="269"/>
      <c r="AH1053" s="269"/>
      <c r="AI1053" s="269"/>
      <c r="AJ1053" s="269"/>
      <c r="AK1053" s="269"/>
      <c r="AL1053" s="269"/>
      <c r="AM1053" s="269"/>
      <c r="AN1053" s="269"/>
      <c r="AO1053" s="269"/>
      <c r="AP1053" s="269"/>
      <c r="AQ1053" s="269"/>
      <c r="AR1053" s="269"/>
    </row>
    <row r="1054">
      <c r="A1054" s="410"/>
      <c r="B1054" s="410"/>
      <c r="C1054" s="410"/>
      <c r="D1054" s="410"/>
      <c r="E1054" s="410"/>
      <c r="F1054" s="410"/>
      <c r="H1054" s="269"/>
      <c r="I1054" s="269"/>
      <c r="J1054" s="269"/>
      <c r="K1054" s="269"/>
      <c r="L1054" s="269"/>
      <c r="M1054" s="269"/>
      <c r="N1054" s="269"/>
      <c r="O1054" s="269"/>
      <c r="P1054" s="269"/>
      <c r="Q1054" s="269"/>
      <c r="R1054" s="269"/>
      <c r="S1054" s="269"/>
      <c r="T1054" s="269"/>
      <c r="U1054" s="269"/>
      <c r="V1054" s="269"/>
      <c r="W1054" s="269"/>
      <c r="X1054" s="269"/>
      <c r="Y1054" s="269"/>
      <c r="Z1054" s="269"/>
      <c r="AA1054" s="269"/>
      <c r="AB1054" s="269"/>
      <c r="AC1054" s="269"/>
      <c r="AD1054" s="269"/>
      <c r="AE1054" s="269"/>
      <c r="AF1054" s="269"/>
      <c r="AG1054" s="269"/>
      <c r="AH1054" s="269"/>
      <c r="AI1054" s="269"/>
      <c r="AJ1054" s="269"/>
      <c r="AK1054" s="269"/>
      <c r="AL1054" s="269"/>
      <c r="AM1054" s="269"/>
      <c r="AN1054" s="269"/>
      <c r="AO1054" s="269"/>
      <c r="AP1054" s="269"/>
      <c r="AQ1054" s="269"/>
      <c r="AR1054" s="269"/>
    </row>
    <row r="1055">
      <c r="A1055" s="410"/>
      <c r="B1055" s="410"/>
      <c r="C1055" s="410"/>
      <c r="D1055" s="410"/>
      <c r="E1055" s="410"/>
      <c r="F1055" s="410"/>
      <c r="H1055" s="269"/>
      <c r="I1055" s="269"/>
      <c r="J1055" s="269"/>
      <c r="K1055" s="269"/>
      <c r="L1055" s="269"/>
      <c r="M1055" s="269"/>
      <c r="N1055" s="269"/>
      <c r="O1055" s="269"/>
      <c r="P1055" s="269"/>
      <c r="Q1055" s="269"/>
      <c r="R1055" s="269"/>
      <c r="S1055" s="269"/>
      <c r="T1055" s="269"/>
      <c r="U1055" s="269"/>
      <c r="V1055" s="269"/>
      <c r="W1055" s="269"/>
      <c r="X1055" s="269"/>
      <c r="Y1055" s="269"/>
      <c r="Z1055" s="269"/>
      <c r="AA1055" s="269"/>
      <c r="AB1055" s="269"/>
      <c r="AC1055" s="269"/>
      <c r="AD1055" s="269"/>
      <c r="AE1055" s="269"/>
      <c r="AF1055" s="269"/>
      <c r="AG1055" s="269"/>
      <c r="AH1055" s="269"/>
      <c r="AI1055" s="269"/>
      <c r="AJ1055" s="269"/>
      <c r="AK1055" s="269"/>
      <c r="AL1055" s="269"/>
      <c r="AM1055" s="269"/>
      <c r="AN1055" s="269"/>
      <c r="AO1055" s="269"/>
      <c r="AP1055" s="269"/>
      <c r="AQ1055" s="269"/>
      <c r="AR1055" s="269"/>
    </row>
    <row r="1056">
      <c r="A1056" s="410"/>
      <c r="B1056" s="410"/>
      <c r="C1056" s="410"/>
      <c r="D1056" s="410"/>
      <c r="E1056" s="410"/>
      <c r="F1056" s="410"/>
      <c r="H1056" s="269"/>
      <c r="I1056" s="269"/>
      <c r="J1056" s="269"/>
      <c r="K1056" s="269"/>
      <c r="L1056" s="269"/>
      <c r="M1056" s="269"/>
      <c r="N1056" s="269"/>
      <c r="O1056" s="269"/>
      <c r="P1056" s="269"/>
      <c r="Q1056" s="269"/>
      <c r="R1056" s="269"/>
      <c r="S1056" s="269"/>
      <c r="T1056" s="269"/>
      <c r="U1056" s="269"/>
      <c r="V1056" s="269"/>
      <c r="W1056" s="269"/>
      <c r="X1056" s="269"/>
      <c r="Y1056" s="269"/>
      <c r="Z1056" s="269"/>
      <c r="AA1056" s="269"/>
      <c r="AB1056" s="269"/>
      <c r="AC1056" s="269"/>
      <c r="AD1056" s="269"/>
      <c r="AE1056" s="269"/>
      <c r="AF1056" s="269"/>
      <c r="AG1056" s="269"/>
      <c r="AH1056" s="269"/>
      <c r="AI1056" s="269"/>
      <c r="AJ1056" s="269"/>
      <c r="AK1056" s="269"/>
      <c r="AL1056" s="269"/>
      <c r="AM1056" s="269"/>
      <c r="AN1056" s="269"/>
      <c r="AO1056" s="269"/>
      <c r="AP1056" s="269"/>
      <c r="AQ1056" s="269"/>
      <c r="AR1056" s="269"/>
    </row>
    <row r="1057">
      <c r="A1057" s="410"/>
      <c r="B1057" s="410"/>
      <c r="C1057" s="410"/>
      <c r="D1057" s="410"/>
      <c r="E1057" s="410"/>
      <c r="F1057" s="410"/>
      <c r="H1057" s="269"/>
      <c r="I1057" s="269"/>
      <c r="J1057" s="269"/>
      <c r="K1057" s="269"/>
      <c r="L1057" s="269"/>
      <c r="M1057" s="269"/>
      <c r="N1057" s="269"/>
      <c r="O1057" s="269"/>
      <c r="P1057" s="269"/>
      <c r="Q1057" s="269"/>
      <c r="R1057" s="269"/>
      <c r="S1057" s="269"/>
      <c r="T1057" s="269"/>
      <c r="U1057" s="269"/>
      <c r="V1057" s="269"/>
      <c r="W1057" s="269"/>
      <c r="X1057" s="269"/>
      <c r="Y1057" s="269"/>
      <c r="Z1057" s="269"/>
      <c r="AA1057" s="269"/>
      <c r="AB1057" s="269"/>
      <c r="AC1057" s="269"/>
      <c r="AD1057" s="269"/>
      <c r="AE1057" s="269"/>
      <c r="AF1057" s="269"/>
      <c r="AG1057" s="269"/>
      <c r="AH1057" s="269"/>
      <c r="AI1057" s="269"/>
      <c r="AJ1057" s="269"/>
      <c r="AK1057" s="269"/>
      <c r="AL1057" s="269"/>
      <c r="AM1057" s="269"/>
      <c r="AN1057" s="269"/>
      <c r="AO1057" s="269"/>
      <c r="AP1057" s="269"/>
      <c r="AQ1057" s="269"/>
      <c r="AR1057" s="269"/>
    </row>
    <row r="1058">
      <c r="A1058" s="410"/>
      <c r="B1058" s="410"/>
      <c r="C1058" s="410"/>
      <c r="D1058" s="410"/>
      <c r="E1058" s="410"/>
      <c r="F1058" s="410"/>
      <c r="H1058" s="269"/>
      <c r="I1058" s="269"/>
      <c r="J1058" s="269"/>
      <c r="K1058" s="269"/>
      <c r="L1058" s="269"/>
      <c r="M1058" s="269"/>
      <c r="N1058" s="269"/>
      <c r="O1058" s="269"/>
      <c r="P1058" s="269"/>
      <c r="Q1058" s="269"/>
      <c r="R1058" s="269"/>
      <c r="S1058" s="269"/>
      <c r="T1058" s="269"/>
      <c r="U1058" s="269"/>
      <c r="V1058" s="269"/>
      <c r="W1058" s="269"/>
      <c r="X1058" s="269"/>
      <c r="Y1058" s="269"/>
      <c r="Z1058" s="269"/>
      <c r="AA1058" s="269"/>
      <c r="AB1058" s="269"/>
      <c r="AC1058" s="269"/>
      <c r="AD1058" s="269"/>
      <c r="AE1058" s="269"/>
      <c r="AF1058" s="269"/>
      <c r="AG1058" s="269"/>
      <c r="AH1058" s="269"/>
      <c r="AI1058" s="269"/>
      <c r="AJ1058" s="269"/>
      <c r="AK1058" s="269"/>
      <c r="AL1058" s="269"/>
      <c r="AM1058" s="269"/>
      <c r="AN1058" s="269"/>
      <c r="AO1058" s="269"/>
      <c r="AP1058" s="269"/>
      <c r="AQ1058" s="269"/>
      <c r="AR1058" s="269"/>
    </row>
    <row r="1059">
      <c r="A1059" s="410"/>
      <c r="B1059" s="410"/>
      <c r="C1059" s="410"/>
      <c r="D1059" s="410"/>
      <c r="E1059" s="410"/>
      <c r="F1059" s="410"/>
      <c r="H1059" s="269"/>
      <c r="I1059" s="269"/>
      <c r="J1059" s="269"/>
      <c r="K1059" s="269"/>
      <c r="L1059" s="269"/>
      <c r="M1059" s="269"/>
      <c r="N1059" s="269"/>
      <c r="O1059" s="269"/>
      <c r="P1059" s="269"/>
      <c r="Q1059" s="269"/>
      <c r="R1059" s="269"/>
      <c r="S1059" s="269"/>
      <c r="T1059" s="269"/>
      <c r="U1059" s="269"/>
      <c r="V1059" s="269"/>
      <c r="W1059" s="269"/>
      <c r="X1059" s="269"/>
      <c r="Y1059" s="269"/>
      <c r="Z1059" s="269"/>
      <c r="AA1059" s="269"/>
      <c r="AB1059" s="269"/>
      <c r="AC1059" s="269"/>
      <c r="AD1059" s="269"/>
      <c r="AE1059" s="269"/>
      <c r="AF1059" s="269"/>
      <c r="AG1059" s="269"/>
      <c r="AH1059" s="269"/>
      <c r="AI1059" s="269"/>
      <c r="AJ1059" s="269"/>
      <c r="AK1059" s="269"/>
      <c r="AL1059" s="269"/>
      <c r="AM1059" s="269"/>
      <c r="AN1059" s="269"/>
      <c r="AO1059" s="269"/>
      <c r="AP1059" s="269"/>
      <c r="AQ1059" s="269"/>
      <c r="AR1059" s="269"/>
    </row>
    <row r="1060">
      <c r="A1060" s="410"/>
      <c r="B1060" s="410"/>
      <c r="C1060" s="410"/>
      <c r="D1060" s="410"/>
      <c r="E1060" s="410"/>
      <c r="F1060" s="410"/>
      <c r="H1060" s="269"/>
      <c r="I1060" s="269"/>
      <c r="J1060" s="269"/>
      <c r="K1060" s="269"/>
      <c r="L1060" s="269"/>
      <c r="M1060" s="269"/>
      <c r="N1060" s="269"/>
      <c r="O1060" s="269"/>
      <c r="P1060" s="269"/>
      <c r="Q1060" s="269"/>
      <c r="R1060" s="269"/>
      <c r="S1060" s="269"/>
      <c r="T1060" s="269"/>
      <c r="U1060" s="269"/>
      <c r="V1060" s="269"/>
      <c r="W1060" s="269"/>
      <c r="X1060" s="269"/>
      <c r="Y1060" s="269"/>
      <c r="Z1060" s="269"/>
      <c r="AA1060" s="269"/>
      <c r="AB1060" s="269"/>
      <c r="AC1060" s="269"/>
      <c r="AD1060" s="269"/>
      <c r="AE1060" s="269"/>
      <c r="AF1060" s="269"/>
      <c r="AG1060" s="269"/>
      <c r="AH1060" s="269"/>
      <c r="AI1060" s="269"/>
      <c r="AJ1060" s="269"/>
      <c r="AK1060" s="269"/>
      <c r="AL1060" s="269"/>
      <c r="AM1060" s="269"/>
      <c r="AN1060" s="269"/>
      <c r="AO1060" s="269"/>
      <c r="AP1060" s="269"/>
      <c r="AQ1060" s="269"/>
      <c r="AR1060" s="269"/>
    </row>
    <row r="1061">
      <c r="A1061" s="410"/>
      <c r="B1061" s="410"/>
      <c r="C1061" s="410"/>
      <c r="D1061" s="410"/>
      <c r="E1061" s="410"/>
      <c r="F1061" s="410"/>
      <c r="H1061" s="269"/>
      <c r="I1061" s="269"/>
      <c r="J1061" s="269"/>
      <c r="K1061" s="269"/>
      <c r="L1061" s="269"/>
      <c r="M1061" s="269"/>
      <c r="N1061" s="269"/>
      <c r="O1061" s="269"/>
      <c r="P1061" s="269"/>
      <c r="Q1061" s="269"/>
      <c r="R1061" s="269"/>
      <c r="S1061" s="269"/>
      <c r="T1061" s="269"/>
      <c r="U1061" s="269"/>
      <c r="V1061" s="269"/>
      <c r="W1061" s="269"/>
      <c r="X1061" s="269"/>
      <c r="Y1061" s="269"/>
      <c r="Z1061" s="269"/>
      <c r="AA1061" s="269"/>
      <c r="AB1061" s="269"/>
      <c r="AC1061" s="269"/>
      <c r="AD1061" s="269"/>
      <c r="AE1061" s="269"/>
      <c r="AF1061" s="269"/>
      <c r="AG1061" s="269"/>
      <c r="AH1061" s="269"/>
      <c r="AI1061" s="269"/>
      <c r="AJ1061" s="269"/>
      <c r="AK1061" s="269"/>
      <c r="AL1061" s="269"/>
      <c r="AM1061" s="269"/>
      <c r="AN1061" s="269"/>
      <c r="AO1061" s="269"/>
      <c r="AP1061" s="269"/>
      <c r="AQ1061" s="269"/>
      <c r="AR1061" s="269"/>
    </row>
    <row r="1062">
      <c r="A1062" s="410"/>
      <c r="B1062" s="410"/>
      <c r="C1062" s="410"/>
      <c r="D1062" s="410"/>
      <c r="E1062" s="410"/>
      <c r="F1062" s="410"/>
      <c r="H1062" s="269"/>
      <c r="I1062" s="269"/>
      <c r="J1062" s="269"/>
      <c r="K1062" s="269"/>
      <c r="L1062" s="269"/>
      <c r="M1062" s="269"/>
      <c r="N1062" s="269"/>
      <c r="O1062" s="269"/>
      <c r="P1062" s="269"/>
      <c r="Q1062" s="269"/>
      <c r="R1062" s="269"/>
      <c r="S1062" s="269"/>
      <c r="T1062" s="269"/>
      <c r="U1062" s="269"/>
      <c r="V1062" s="269"/>
      <c r="W1062" s="269"/>
      <c r="X1062" s="269"/>
      <c r="Y1062" s="269"/>
      <c r="Z1062" s="269"/>
      <c r="AA1062" s="269"/>
      <c r="AB1062" s="269"/>
      <c r="AC1062" s="269"/>
      <c r="AD1062" s="269"/>
      <c r="AE1062" s="269"/>
      <c r="AF1062" s="269"/>
      <c r="AG1062" s="269"/>
      <c r="AH1062" s="269"/>
      <c r="AI1062" s="269"/>
      <c r="AJ1062" s="269"/>
      <c r="AK1062" s="269"/>
      <c r="AL1062" s="269"/>
      <c r="AM1062" s="269"/>
      <c r="AN1062" s="269"/>
      <c r="AO1062" s="269"/>
      <c r="AP1062" s="269"/>
      <c r="AQ1062" s="269"/>
      <c r="AR1062" s="269"/>
    </row>
    <row r="1063">
      <c r="A1063" s="410"/>
      <c r="B1063" s="410"/>
      <c r="C1063" s="410"/>
      <c r="D1063" s="410"/>
      <c r="E1063" s="410"/>
      <c r="F1063" s="410"/>
      <c r="H1063" s="269"/>
      <c r="I1063" s="269"/>
      <c r="J1063" s="269"/>
      <c r="K1063" s="269"/>
      <c r="L1063" s="269"/>
      <c r="M1063" s="269"/>
      <c r="N1063" s="269"/>
      <c r="O1063" s="269"/>
      <c r="P1063" s="269"/>
      <c r="Q1063" s="269"/>
      <c r="R1063" s="269"/>
      <c r="S1063" s="269"/>
      <c r="T1063" s="269"/>
      <c r="U1063" s="269"/>
      <c r="V1063" s="269"/>
      <c r="W1063" s="269"/>
      <c r="X1063" s="269"/>
      <c r="Y1063" s="269"/>
      <c r="Z1063" s="269"/>
      <c r="AA1063" s="269"/>
      <c r="AB1063" s="269"/>
      <c r="AC1063" s="269"/>
      <c r="AD1063" s="269"/>
      <c r="AE1063" s="269"/>
      <c r="AF1063" s="269"/>
      <c r="AG1063" s="269"/>
      <c r="AH1063" s="269"/>
      <c r="AI1063" s="269"/>
      <c r="AJ1063" s="269"/>
      <c r="AK1063" s="269"/>
      <c r="AL1063" s="269"/>
      <c r="AM1063" s="269"/>
      <c r="AN1063" s="269"/>
      <c r="AO1063" s="269"/>
      <c r="AP1063" s="269"/>
      <c r="AQ1063" s="269"/>
      <c r="AR1063" s="269"/>
    </row>
    <row r="1064">
      <c r="A1064" s="410"/>
      <c r="B1064" s="410"/>
      <c r="C1064" s="410"/>
      <c r="D1064" s="410"/>
      <c r="E1064" s="410"/>
      <c r="F1064" s="410"/>
      <c r="H1064" s="269"/>
      <c r="I1064" s="269"/>
      <c r="J1064" s="269"/>
      <c r="K1064" s="269"/>
      <c r="L1064" s="269"/>
      <c r="M1064" s="269"/>
      <c r="N1064" s="269"/>
      <c r="O1064" s="269"/>
      <c r="P1064" s="269"/>
      <c r="Q1064" s="269"/>
      <c r="R1064" s="269"/>
      <c r="S1064" s="269"/>
      <c r="T1064" s="269"/>
      <c r="U1064" s="269"/>
      <c r="V1064" s="269"/>
      <c r="W1064" s="269"/>
      <c r="X1064" s="269"/>
      <c r="Y1064" s="269"/>
      <c r="Z1064" s="269"/>
      <c r="AA1064" s="269"/>
      <c r="AB1064" s="269"/>
      <c r="AC1064" s="269"/>
      <c r="AD1064" s="269"/>
      <c r="AE1064" s="269"/>
      <c r="AF1064" s="269"/>
      <c r="AG1064" s="269"/>
      <c r="AH1064" s="269"/>
      <c r="AI1064" s="269"/>
      <c r="AJ1064" s="269"/>
      <c r="AK1064" s="269"/>
      <c r="AL1064" s="269"/>
      <c r="AM1064" s="269"/>
      <c r="AN1064" s="269"/>
      <c r="AO1064" s="269"/>
      <c r="AP1064" s="269"/>
      <c r="AQ1064" s="269"/>
      <c r="AR1064" s="269"/>
    </row>
    <row r="1065">
      <c r="A1065" s="410"/>
      <c r="B1065" s="410"/>
      <c r="C1065" s="410"/>
      <c r="D1065" s="410"/>
      <c r="E1065" s="410"/>
      <c r="F1065" s="410"/>
      <c r="H1065" s="269"/>
      <c r="I1065" s="269"/>
      <c r="J1065" s="269"/>
      <c r="K1065" s="269"/>
      <c r="L1065" s="269"/>
      <c r="M1065" s="269"/>
      <c r="N1065" s="269"/>
      <c r="O1065" s="269"/>
      <c r="P1065" s="269"/>
      <c r="Q1065" s="269"/>
      <c r="R1065" s="269"/>
      <c r="S1065" s="269"/>
      <c r="T1065" s="269"/>
      <c r="U1065" s="269"/>
      <c r="V1065" s="269"/>
      <c r="W1065" s="269"/>
      <c r="X1065" s="269"/>
      <c r="Y1065" s="269"/>
      <c r="Z1065" s="269"/>
      <c r="AA1065" s="269"/>
      <c r="AB1065" s="269"/>
      <c r="AC1065" s="269"/>
      <c r="AD1065" s="269"/>
      <c r="AE1065" s="269"/>
      <c r="AF1065" s="269"/>
      <c r="AG1065" s="269"/>
      <c r="AH1065" s="269"/>
      <c r="AI1065" s="269"/>
      <c r="AJ1065" s="269"/>
      <c r="AK1065" s="269"/>
      <c r="AL1065" s="269"/>
      <c r="AM1065" s="269"/>
      <c r="AN1065" s="269"/>
      <c r="AO1065" s="269"/>
      <c r="AP1065" s="269"/>
      <c r="AQ1065" s="269"/>
      <c r="AR1065" s="269"/>
    </row>
    <row r="1066">
      <c r="A1066" s="410"/>
      <c r="B1066" s="410"/>
      <c r="C1066" s="410"/>
      <c r="D1066" s="410"/>
      <c r="E1066" s="410"/>
      <c r="F1066" s="410"/>
      <c r="H1066" s="269"/>
      <c r="I1066" s="269"/>
      <c r="J1066" s="269"/>
      <c r="K1066" s="269"/>
      <c r="L1066" s="269"/>
      <c r="M1066" s="269"/>
      <c r="N1066" s="269"/>
      <c r="O1066" s="269"/>
      <c r="P1066" s="269"/>
      <c r="Q1066" s="269"/>
      <c r="R1066" s="269"/>
      <c r="S1066" s="269"/>
      <c r="T1066" s="269"/>
      <c r="U1066" s="269"/>
      <c r="V1066" s="269"/>
      <c r="W1066" s="269"/>
      <c r="X1066" s="269"/>
      <c r="Y1066" s="269"/>
      <c r="Z1066" s="269"/>
      <c r="AA1066" s="269"/>
      <c r="AB1066" s="269"/>
      <c r="AC1066" s="269"/>
      <c r="AD1066" s="269"/>
      <c r="AE1066" s="269"/>
      <c r="AF1066" s="269"/>
      <c r="AG1066" s="269"/>
      <c r="AH1066" s="269"/>
      <c r="AI1066" s="269"/>
      <c r="AJ1066" s="269"/>
      <c r="AK1066" s="269"/>
      <c r="AL1066" s="269"/>
      <c r="AM1066" s="269"/>
      <c r="AN1066" s="269"/>
      <c r="AO1066" s="269"/>
      <c r="AP1066" s="269"/>
      <c r="AQ1066" s="269"/>
      <c r="AR1066" s="269"/>
    </row>
    <row r="1067">
      <c r="A1067" s="410"/>
      <c r="B1067" s="410"/>
      <c r="C1067" s="410"/>
      <c r="D1067" s="410"/>
      <c r="E1067" s="410"/>
      <c r="F1067" s="410"/>
      <c r="H1067" s="269"/>
      <c r="I1067" s="269"/>
      <c r="J1067" s="269"/>
      <c r="K1067" s="269"/>
      <c r="L1067" s="269"/>
      <c r="M1067" s="269"/>
      <c r="N1067" s="269"/>
      <c r="O1067" s="269"/>
      <c r="P1067" s="269"/>
      <c r="Q1067" s="269"/>
      <c r="R1067" s="269"/>
      <c r="S1067" s="269"/>
      <c r="T1067" s="269"/>
      <c r="U1067" s="269"/>
      <c r="V1067" s="269"/>
      <c r="W1067" s="269"/>
      <c r="X1067" s="269"/>
      <c r="Y1067" s="269"/>
      <c r="Z1067" s="269"/>
      <c r="AA1067" s="269"/>
      <c r="AB1067" s="269"/>
      <c r="AC1067" s="269"/>
      <c r="AD1067" s="269"/>
      <c r="AE1067" s="269"/>
      <c r="AF1067" s="269"/>
      <c r="AG1067" s="269"/>
      <c r="AH1067" s="269"/>
      <c r="AI1067" s="269"/>
      <c r="AJ1067" s="269"/>
      <c r="AK1067" s="269"/>
      <c r="AL1067" s="269"/>
      <c r="AM1067" s="269"/>
      <c r="AN1067" s="269"/>
      <c r="AO1067" s="269"/>
      <c r="AP1067" s="269"/>
      <c r="AQ1067" s="269"/>
      <c r="AR1067" s="269"/>
    </row>
    <row r="1068">
      <c r="A1068" s="410"/>
      <c r="B1068" s="410"/>
      <c r="C1068" s="410"/>
      <c r="D1068" s="410"/>
      <c r="E1068" s="410"/>
      <c r="F1068" s="410"/>
      <c r="H1068" s="269"/>
      <c r="I1068" s="269"/>
      <c r="J1068" s="269"/>
      <c r="K1068" s="269"/>
      <c r="L1068" s="269"/>
      <c r="M1068" s="269"/>
      <c r="N1068" s="269"/>
      <c r="O1068" s="269"/>
      <c r="P1068" s="269"/>
      <c r="Q1068" s="269"/>
      <c r="R1068" s="269"/>
      <c r="S1068" s="269"/>
      <c r="T1068" s="269"/>
      <c r="U1068" s="269"/>
      <c r="V1068" s="269"/>
      <c r="W1068" s="269"/>
      <c r="X1068" s="269"/>
      <c r="Y1068" s="269"/>
      <c r="Z1068" s="269"/>
      <c r="AA1068" s="269"/>
      <c r="AB1068" s="269"/>
      <c r="AC1068" s="269"/>
      <c r="AD1068" s="269"/>
      <c r="AE1068" s="269"/>
      <c r="AF1068" s="269"/>
      <c r="AG1068" s="269"/>
      <c r="AH1068" s="269"/>
      <c r="AI1068" s="269"/>
      <c r="AJ1068" s="269"/>
      <c r="AK1068" s="269"/>
      <c r="AL1068" s="269"/>
      <c r="AM1068" s="269"/>
      <c r="AN1068" s="269"/>
      <c r="AO1068" s="269"/>
      <c r="AP1068" s="269"/>
      <c r="AQ1068" s="269"/>
      <c r="AR1068" s="269"/>
    </row>
    <row r="1069">
      <c r="A1069" s="410"/>
      <c r="B1069" s="410"/>
      <c r="C1069" s="410"/>
      <c r="D1069" s="410"/>
      <c r="E1069" s="410"/>
      <c r="F1069" s="410"/>
      <c r="H1069" s="269"/>
      <c r="I1069" s="269"/>
      <c r="J1069" s="269"/>
      <c r="K1069" s="269"/>
      <c r="L1069" s="269"/>
      <c r="M1069" s="269"/>
      <c r="N1069" s="269"/>
      <c r="O1069" s="269"/>
      <c r="P1069" s="269"/>
      <c r="Q1069" s="269"/>
      <c r="R1069" s="269"/>
      <c r="S1069" s="269"/>
      <c r="T1069" s="269"/>
      <c r="U1069" s="269"/>
      <c r="V1069" s="269"/>
      <c r="W1069" s="269"/>
      <c r="X1069" s="269"/>
      <c r="Y1069" s="269"/>
      <c r="Z1069" s="269"/>
      <c r="AA1069" s="269"/>
      <c r="AB1069" s="269"/>
      <c r="AC1069" s="269"/>
      <c r="AD1069" s="269"/>
      <c r="AE1069" s="269"/>
      <c r="AF1069" s="269"/>
      <c r="AG1069" s="269"/>
      <c r="AH1069" s="269"/>
      <c r="AI1069" s="269"/>
      <c r="AJ1069" s="269"/>
      <c r="AK1069" s="269"/>
      <c r="AL1069" s="269"/>
      <c r="AM1069" s="269"/>
      <c r="AN1069" s="269"/>
      <c r="AO1069" s="269"/>
      <c r="AP1069" s="269"/>
      <c r="AQ1069" s="269"/>
      <c r="AR1069" s="269"/>
    </row>
    <row r="1070">
      <c r="A1070" s="410"/>
      <c r="B1070" s="410"/>
      <c r="C1070" s="410"/>
      <c r="D1070" s="410"/>
      <c r="E1070" s="410"/>
      <c r="F1070" s="410"/>
      <c r="H1070" s="269"/>
      <c r="I1070" s="269"/>
      <c r="J1070" s="269"/>
      <c r="K1070" s="269"/>
      <c r="L1070" s="269"/>
      <c r="M1070" s="269"/>
      <c r="N1070" s="269"/>
      <c r="O1070" s="269"/>
      <c r="P1070" s="269"/>
      <c r="Q1070" s="269"/>
      <c r="R1070" s="269"/>
      <c r="S1070" s="269"/>
      <c r="T1070" s="269"/>
      <c r="U1070" s="269"/>
      <c r="V1070" s="269"/>
      <c r="W1070" s="269"/>
      <c r="X1070" s="269"/>
      <c r="Y1070" s="269"/>
      <c r="Z1070" s="269"/>
      <c r="AA1070" s="269"/>
      <c r="AB1070" s="269"/>
      <c r="AC1070" s="269"/>
      <c r="AD1070" s="269"/>
      <c r="AE1070" s="269"/>
      <c r="AF1070" s="269"/>
      <c r="AG1070" s="269"/>
      <c r="AH1070" s="269"/>
      <c r="AI1070" s="269"/>
      <c r="AJ1070" s="269"/>
      <c r="AK1070" s="269"/>
      <c r="AL1070" s="269"/>
      <c r="AM1070" s="269"/>
      <c r="AN1070" s="269"/>
      <c r="AO1070" s="269"/>
      <c r="AP1070" s="269"/>
      <c r="AQ1070" s="269"/>
      <c r="AR1070" s="269"/>
    </row>
    <row r="1071">
      <c r="A1071" s="410"/>
      <c r="B1071" s="410"/>
      <c r="C1071" s="410"/>
      <c r="D1071" s="410"/>
      <c r="E1071" s="410"/>
      <c r="F1071" s="410"/>
      <c r="H1071" s="269"/>
      <c r="I1071" s="269"/>
      <c r="J1071" s="269"/>
      <c r="K1071" s="269"/>
      <c r="L1071" s="269"/>
      <c r="M1071" s="269"/>
      <c r="N1071" s="269"/>
      <c r="O1071" s="269"/>
      <c r="P1071" s="269"/>
      <c r="Q1071" s="269"/>
      <c r="R1071" s="269"/>
      <c r="S1071" s="269"/>
      <c r="T1071" s="269"/>
      <c r="U1071" s="269"/>
      <c r="V1071" s="269"/>
      <c r="W1071" s="269"/>
      <c r="X1071" s="269"/>
      <c r="Y1071" s="269"/>
      <c r="Z1071" s="269"/>
      <c r="AA1071" s="269"/>
      <c r="AB1071" s="269"/>
      <c r="AC1071" s="269"/>
      <c r="AD1071" s="269"/>
      <c r="AE1071" s="269"/>
      <c r="AF1071" s="269"/>
      <c r="AG1071" s="269"/>
      <c r="AH1071" s="269"/>
      <c r="AI1071" s="269"/>
      <c r="AJ1071" s="269"/>
      <c r="AK1071" s="269"/>
      <c r="AL1071" s="269"/>
      <c r="AM1071" s="269"/>
      <c r="AN1071" s="269"/>
      <c r="AO1071" s="269"/>
      <c r="AP1071" s="269"/>
      <c r="AQ1071" s="269"/>
      <c r="AR1071" s="269"/>
    </row>
    <row r="1072">
      <c r="A1072" s="410"/>
      <c r="B1072" s="410"/>
      <c r="C1072" s="410"/>
      <c r="D1072" s="410"/>
      <c r="E1072" s="410"/>
      <c r="F1072" s="410"/>
      <c r="H1072" s="269"/>
      <c r="I1072" s="269"/>
      <c r="J1072" s="269"/>
      <c r="K1072" s="269"/>
      <c r="L1072" s="269"/>
      <c r="M1072" s="269"/>
      <c r="N1072" s="269"/>
      <c r="O1072" s="269"/>
      <c r="P1072" s="269"/>
      <c r="Q1072" s="269"/>
      <c r="R1072" s="269"/>
      <c r="S1072" s="269"/>
      <c r="T1072" s="269"/>
      <c r="U1072" s="269"/>
      <c r="V1072" s="269"/>
      <c r="W1072" s="269"/>
      <c r="X1072" s="269"/>
      <c r="Y1072" s="269"/>
      <c r="Z1072" s="269"/>
      <c r="AA1072" s="269"/>
      <c r="AB1072" s="269"/>
      <c r="AC1072" s="269"/>
      <c r="AD1072" s="269"/>
      <c r="AE1072" s="269"/>
      <c r="AF1072" s="269"/>
      <c r="AG1072" s="269"/>
      <c r="AH1072" s="269"/>
      <c r="AI1072" s="269"/>
      <c r="AJ1072" s="269"/>
      <c r="AK1072" s="269"/>
      <c r="AL1072" s="269"/>
      <c r="AM1072" s="269"/>
      <c r="AN1072" s="269"/>
      <c r="AO1072" s="269"/>
      <c r="AP1072" s="269"/>
      <c r="AQ1072" s="269"/>
      <c r="AR1072" s="269"/>
    </row>
    <row r="1073">
      <c r="A1073" s="410"/>
      <c r="B1073" s="410"/>
      <c r="C1073" s="410"/>
      <c r="D1073" s="410"/>
      <c r="E1073" s="410"/>
      <c r="F1073" s="410"/>
      <c r="H1073" s="269"/>
      <c r="I1073" s="269"/>
      <c r="J1073" s="269"/>
      <c r="K1073" s="269"/>
      <c r="L1073" s="269"/>
      <c r="M1073" s="269"/>
      <c r="N1073" s="269"/>
      <c r="O1073" s="269"/>
      <c r="P1073" s="269"/>
      <c r="Q1073" s="269"/>
      <c r="R1073" s="269"/>
      <c r="S1073" s="269"/>
      <c r="T1073" s="269"/>
      <c r="U1073" s="269"/>
      <c r="V1073" s="269"/>
      <c r="W1073" s="269"/>
      <c r="X1073" s="269"/>
      <c r="Y1073" s="269"/>
      <c r="Z1073" s="269"/>
      <c r="AA1073" s="269"/>
      <c r="AB1073" s="269"/>
      <c r="AC1073" s="269"/>
      <c r="AD1073" s="269"/>
      <c r="AE1073" s="269"/>
      <c r="AF1073" s="269"/>
      <c r="AG1073" s="269"/>
      <c r="AH1073" s="269"/>
      <c r="AI1073" s="269"/>
      <c r="AJ1073" s="269"/>
      <c r="AK1073" s="269"/>
      <c r="AL1073" s="269"/>
      <c r="AM1073" s="269"/>
      <c r="AN1073" s="269"/>
      <c r="AO1073" s="269"/>
      <c r="AP1073" s="269"/>
      <c r="AQ1073" s="269"/>
      <c r="AR1073" s="269"/>
    </row>
    <row r="1074">
      <c r="A1074" s="410"/>
      <c r="B1074" s="410"/>
      <c r="C1074" s="410"/>
      <c r="D1074" s="410"/>
      <c r="E1074" s="410"/>
      <c r="F1074" s="410"/>
      <c r="H1074" s="269"/>
      <c r="I1074" s="269"/>
      <c r="J1074" s="269"/>
      <c r="K1074" s="269"/>
      <c r="L1074" s="269"/>
      <c r="M1074" s="269"/>
      <c r="N1074" s="269"/>
      <c r="O1074" s="269"/>
      <c r="P1074" s="269"/>
      <c r="Q1074" s="269"/>
      <c r="R1074" s="269"/>
      <c r="S1074" s="269"/>
      <c r="T1074" s="269"/>
      <c r="U1074" s="269"/>
      <c r="V1074" s="269"/>
      <c r="W1074" s="269"/>
      <c r="X1074" s="269"/>
      <c r="Y1074" s="269"/>
      <c r="Z1074" s="269"/>
      <c r="AA1074" s="269"/>
      <c r="AB1074" s="269"/>
      <c r="AC1074" s="269"/>
      <c r="AD1074" s="269"/>
      <c r="AE1074" s="269"/>
      <c r="AF1074" s="269"/>
      <c r="AG1074" s="269"/>
      <c r="AH1074" s="269"/>
      <c r="AI1074" s="269"/>
      <c r="AJ1074" s="269"/>
      <c r="AK1074" s="269"/>
      <c r="AL1074" s="269"/>
      <c r="AM1074" s="269"/>
      <c r="AN1074" s="269"/>
      <c r="AO1074" s="269"/>
      <c r="AP1074" s="269"/>
      <c r="AQ1074" s="269"/>
      <c r="AR1074" s="269"/>
    </row>
    <row r="1075">
      <c r="A1075" s="410"/>
      <c r="B1075" s="410"/>
      <c r="C1075" s="410"/>
      <c r="D1075" s="410"/>
      <c r="E1075" s="410"/>
      <c r="F1075" s="410"/>
      <c r="H1075" s="269"/>
      <c r="I1075" s="269"/>
      <c r="J1075" s="269"/>
      <c r="K1075" s="269"/>
      <c r="L1075" s="269"/>
      <c r="M1075" s="269"/>
      <c r="N1075" s="269"/>
      <c r="O1075" s="269"/>
      <c r="P1075" s="269"/>
      <c r="Q1075" s="269"/>
      <c r="R1075" s="269"/>
      <c r="S1075" s="269"/>
      <c r="T1075" s="269"/>
      <c r="U1075" s="269"/>
      <c r="V1075" s="269"/>
      <c r="W1075" s="269"/>
      <c r="X1075" s="269"/>
      <c r="Y1075" s="269"/>
      <c r="Z1075" s="269"/>
      <c r="AA1075" s="269"/>
      <c r="AB1075" s="269"/>
      <c r="AC1075" s="269"/>
      <c r="AD1075" s="269"/>
      <c r="AE1075" s="269"/>
      <c r="AF1075" s="269"/>
      <c r="AG1075" s="269"/>
      <c r="AH1075" s="269"/>
      <c r="AI1075" s="269"/>
      <c r="AJ1075" s="269"/>
      <c r="AK1075" s="269"/>
      <c r="AL1075" s="269"/>
      <c r="AM1075" s="269"/>
      <c r="AN1075" s="269"/>
      <c r="AO1075" s="269"/>
      <c r="AP1075" s="269"/>
      <c r="AQ1075" s="269"/>
      <c r="AR1075" s="269"/>
    </row>
    <row r="1076">
      <c r="A1076" s="410"/>
      <c r="B1076" s="410"/>
      <c r="C1076" s="410"/>
      <c r="D1076" s="410"/>
      <c r="E1076" s="410"/>
      <c r="F1076" s="410"/>
      <c r="H1076" s="269"/>
      <c r="I1076" s="269"/>
      <c r="J1076" s="269"/>
      <c r="K1076" s="269"/>
      <c r="L1076" s="269"/>
      <c r="M1076" s="269"/>
      <c r="N1076" s="269"/>
      <c r="O1076" s="269"/>
      <c r="P1076" s="269"/>
      <c r="Q1076" s="269"/>
      <c r="R1076" s="269"/>
      <c r="S1076" s="269"/>
      <c r="T1076" s="269"/>
      <c r="U1076" s="269"/>
      <c r="V1076" s="269"/>
      <c r="W1076" s="269"/>
      <c r="X1076" s="269"/>
      <c r="Y1076" s="269"/>
      <c r="Z1076" s="269"/>
      <c r="AA1076" s="269"/>
      <c r="AB1076" s="269"/>
      <c r="AC1076" s="269"/>
      <c r="AD1076" s="269"/>
      <c r="AE1076" s="269"/>
      <c r="AF1076" s="269"/>
      <c r="AG1076" s="269"/>
      <c r="AH1076" s="269"/>
      <c r="AI1076" s="269"/>
      <c r="AJ1076" s="269"/>
      <c r="AK1076" s="269"/>
      <c r="AL1076" s="269"/>
      <c r="AM1076" s="269"/>
      <c r="AN1076" s="269"/>
      <c r="AO1076" s="269"/>
      <c r="AP1076" s="269"/>
      <c r="AQ1076" s="269"/>
      <c r="AR1076" s="269"/>
    </row>
    <row r="1077">
      <c r="A1077" s="410"/>
      <c r="B1077" s="410"/>
      <c r="C1077" s="410"/>
      <c r="D1077" s="410"/>
      <c r="E1077" s="410"/>
      <c r="F1077" s="410"/>
      <c r="H1077" s="269"/>
      <c r="I1077" s="269"/>
      <c r="J1077" s="269"/>
      <c r="K1077" s="269"/>
      <c r="L1077" s="269"/>
      <c r="M1077" s="269"/>
      <c r="N1077" s="269"/>
      <c r="O1077" s="269"/>
      <c r="P1077" s="269"/>
      <c r="Q1077" s="269"/>
      <c r="R1077" s="269"/>
      <c r="S1077" s="269"/>
      <c r="T1077" s="269"/>
      <c r="U1077" s="269"/>
      <c r="V1077" s="269"/>
      <c r="W1077" s="269"/>
      <c r="X1077" s="269"/>
      <c r="Y1077" s="269"/>
      <c r="Z1077" s="269"/>
      <c r="AA1077" s="269"/>
      <c r="AB1077" s="269"/>
      <c r="AC1077" s="269"/>
      <c r="AD1077" s="269"/>
      <c r="AE1077" s="269"/>
      <c r="AF1077" s="269"/>
      <c r="AG1077" s="269"/>
      <c r="AH1077" s="269"/>
      <c r="AI1077" s="269"/>
      <c r="AJ1077" s="269"/>
      <c r="AK1077" s="269"/>
      <c r="AL1077" s="269"/>
      <c r="AM1077" s="269"/>
      <c r="AN1077" s="269"/>
      <c r="AO1077" s="269"/>
      <c r="AP1077" s="269"/>
      <c r="AQ1077" s="269"/>
      <c r="AR1077" s="269"/>
    </row>
    <row r="1078">
      <c r="A1078" s="410"/>
      <c r="B1078" s="410"/>
      <c r="C1078" s="410"/>
      <c r="D1078" s="410"/>
      <c r="E1078" s="410"/>
      <c r="F1078" s="410"/>
      <c r="H1078" s="269"/>
      <c r="I1078" s="269"/>
      <c r="J1078" s="269"/>
      <c r="K1078" s="269"/>
      <c r="L1078" s="269"/>
      <c r="M1078" s="269"/>
      <c r="N1078" s="269"/>
      <c r="O1078" s="269"/>
      <c r="P1078" s="269"/>
      <c r="Q1078" s="269"/>
      <c r="R1078" s="269"/>
      <c r="S1078" s="269"/>
      <c r="T1078" s="269"/>
      <c r="U1078" s="269"/>
      <c r="V1078" s="269"/>
      <c r="W1078" s="269"/>
      <c r="X1078" s="269"/>
      <c r="Y1078" s="269"/>
      <c r="Z1078" s="269"/>
      <c r="AA1078" s="269"/>
      <c r="AB1078" s="269"/>
      <c r="AC1078" s="269"/>
      <c r="AD1078" s="269"/>
      <c r="AE1078" s="269"/>
      <c r="AF1078" s="269"/>
      <c r="AG1078" s="269"/>
      <c r="AH1078" s="269"/>
      <c r="AI1078" s="269"/>
      <c r="AJ1078" s="269"/>
      <c r="AK1078" s="269"/>
      <c r="AL1078" s="269"/>
      <c r="AM1078" s="269"/>
      <c r="AN1078" s="269"/>
      <c r="AO1078" s="269"/>
      <c r="AP1078" s="269"/>
      <c r="AQ1078" s="269"/>
      <c r="AR1078" s="269"/>
    </row>
    <row r="1079">
      <c r="A1079" s="410"/>
      <c r="B1079" s="410"/>
      <c r="C1079" s="410"/>
      <c r="D1079" s="410"/>
      <c r="E1079" s="410"/>
      <c r="F1079" s="410"/>
      <c r="H1079" s="269"/>
      <c r="I1079" s="269"/>
      <c r="J1079" s="269"/>
      <c r="K1079" s="269"/>
      <c r="L1079" s="269"/>
      <c r="M1079" s="269"/>
      <c r="N1079" s="269"/>
      <c r="O1079" s="269"/>
      <c r="P1079" s="269"/>
      <c r="Q1079" s="269"/>
      <c r="R1079" s="269"/>
      <c r="S1079" s="269"/>
      <c r="T1079" s="269"/>
      <c r="U1079" s="269"/>
      <c r="V1079" s="269"/>
      <c r="W1079" s="269"/>
      <c r="X1079" s="269"/>
      <c r="Y1079" s="269"/>
      <c r="Z1079" s="269"/>
      <c r="AA1079" s="269"/>
      <c r="AB1079" s="269"/>
      <c r="AC1079" s="269"/>
      <c r="AD1079" s="269"/>
      <c r="AE1079" s="269"/>
      <c r="AF1079" s="269"/>
      <c r="AG1079" s="269"/>
      <c r="AH1079" s="269"/>
      <c r="AI1079" s="269"/>
      <c r="AJ1079" s="269"/>
      <c r="AK1079" s="269"/>
      <c r="AL1079" s="269"/>
      <c r="AM1079" s="269"/>
      <c r="AN1079" s="269"/>
      <c r="AO1079" s="269"/>
      <c r="AP1079" s="269"/>
      <c r="AQ1079" s="269"/>
      <c r="AR1079" s="269"/>
    </row>
    <row r="1080">
      <c r="A1080" s="410"/>
      <c r="B1080" s="410"/>
      <c r="C1080" s="410"/>
      <c r="D1080" s="410"/>
      <c r="E1080" s="410"/>
      <c r="F1080" s="410"/>
      <c r="H1080" s="269"/>
      <c r="I1080" s="269"/>
      <c r="J1080" s="269"/>
      <c r="K1080" s="269"/>
      <c r="L1080" s="269"/>
      <c r="M1080" s="269"/>
      <c r="N1080" s="269"/>
      <c r="O1080" s="269"/>
      <c r="P1080" s="269"/>
      <c r="Q1080" s="269"/>
      <c r="R1080" s="269"/>
      <c r="S1080" s="269"/>
      <c r="T1080" s="269"/>
      <c r="U1080" s="269"/>
      <c r="V1080" s="269"/>
      <c r="W1080" s="269"/>
      <c r="X1080" s="269"/>
      <c r="Y1080" s="269"/>
      <c r="Z1080" s="269"/>
      <c r="AA1080" s="269"/>
      <c r="AB1080" s="269"/>
      <c r="AC1080" s="269"/>
      <c r="AD1080" s="269"/>
      <c r="AE1080" s="269"/>
      <c r="AF1080" s="269"/>
      <c r="AG1080" s="269"/>
      <c r="AH1080" s="269"/>
      <c r="AI1080" s="269"/>
      <c r="AJ1080" s="269"/>
      <c r="AK1080" s="269"/>
      <c r="AL1080" s="269"/>
      <c r="AM1080" s="269"/>
      <c r="AN1080" s="269"/>
      <c r="AO1080" s="269"/>
      <c r="AP1080" s="269"/>
      <c r="AQ1080" s="269"/>
      <c r="AR1080" s="269"/>
    </row>
    <row r="1081">
      <c r="A1081" s="410"/>
      <c r="B1081" s="410"/>
      <c r="C1081" s="410"/>
      <c r="D1081" s="410"/>
      <c r="E1081" s="410"/>
      <c r="F1081" s="410"/>
      <c r="H1081" s="269"/>
      <c r="I1081" s="269"/>
      <c r="J1081" s="269"/>
      <c r="K1081" s="269"/>
      <c r="L1081" s="269"/>
      <c r="M1081" s="269"/>
      <c r="N1081" s="269"/>
      <c r="O1081" s="269"/>
      <c r="P1081" s="269"/>
      <c r="Q1081" s="269"/>
      <c r="R1081" s="269"/>
      <c r="S1081" s="269"/>
      <c r="T1081" s="269"/>
      <c r="U1081" s="269"/>
      <c r="V1081" s="269"/>
      <c r="W1081" s="269"/>
      <c r="X1081" s="269"/>
      <c r="Y1081" s="269"/>
      <c r="Z1081" s="269"/>
      <c r="AA1081" s="269"/>
      <c r="AB1081" s="269"/>
      <c r="AC1081" s="269"/>
      <c r="AD1081" s="269"/>
      <c r="AE1081" s="269"/>
      <c r="AF1081" s="269"/>
      <c r="AG1081" s="269"/>
      <c r="AH1081" s="269"/>
      <c r="AI1081" s="269"/>
      <c r="AJ1081" s="269"/>
      <c r="AK1081" s="269"/>
      <c r="AL1081" s="269"/>
      <c r="AM1081" s="269"/>
      <c r="AN1081" s="269"/>
      <c r="AO1081" s="269"/>
      <c r="AP1081" s="269"/>
      <c r="AQ1081" s="269"/>
      <c r="AR1081" s="269"/>
    </row>
    <row r="1082">
      <c r="A1082" s="410"/>
      <c r="B1082" s="410"/>
      <c r="C1082" s="410"/>
      <c r="D1082" s="410"/>
      <c r="E1082" s="410"/>
      <c r="F1082" s="410"/>
      <c r="H1082" s="269"/>
      <c r="I1082" s="269"/>
      <c r="J1082" s="269"/>
      <c r="K1082" s="269"/>
      <c r="L1082" s="269"/>
      <c r="M1082" s="269"/>
      <c r="N1082" s="269"/>
      <c r="O1082" s="269"/>
      <c r="P1082" s="269"/>
      <c r="Q1082" s="269"/>
      <c r="R1082" s="269"/>
      <c r="S1082" s="269"/>
      <c r="T1082" s="269"/>
      <c r="U1082" s="269"/>
      <c r="V1082" s="269"/>
      <c r="W1082" s="269"/>
      <c r="X1082" s="269"/>
      <c r="Y1082" s="269"/>
      <c r="Z1082" s="269"/>
      <c r="AA1082" s="269"/>
      <c r="AB1082" s="269"/>
      <c r="AC1082" s="269"/>
      <c r="AD1082" s="269"/>
      <c r="AE1082" s="269"/>
      <c r="AF1082" s="269"/>
      <c r="AG1082" s="269"/>
      <c r="AH1082" s="269"/>
      <c r="AI1082" s="269"/>
      <c r="AJ1082" s="269"/>
      <c r="AK1082" s="269"/>
      <c r="AL1082" s="269"/>
      <c r="AM1082" s="269"/>
      <c r="AN1082" s="269"/>
      <c r="AO1082" s="269"/>
      <c r="AP1082" s="269"/>
      <c r="AQ1082" s="269"/>
      <c r="AR1082" s="269"/>
    </row>
    <row r="1083">
      <c r="A1083" s="410"/>
      <c r="B1083" s="410"/>
      <c r="C1083" s="410"/>
      <c r="D1083" s="410"/>
      <c r="E1083" s="410"/>
      <c r="F1083" s="410"/>
      <c r="H1083" s="269"/>
      <c r="I1083" s="269"/>
      <c r="J1083" s="269"/>
      <c r="K1083" s="269"/>
      <c r="L1083" s="269"/>
      <c r="M1083" s="269"/>
      <c r="N1083" s="269"/>
      <c r="O1083" s="269"/>
      <c r="P1083" s="269"/>
      <c r="Q1083" s="269"/>
      <c r="R1083" s="269"/>
      <c r="S1083" s="269"/>
      <c r="T1083" s="269"/>
      <c r="U1083" s="269"/>
      <c r="V1083" s="269"/>
      <c r="W1083" s="269"/>
      <c r="X1083" s="269"/>
      <c r="Y1083" s="269"/>
      <c r="Z1083" s="269"/>
      <c r="AA1083" s="269"/>
      <c r="AB1083" s="269"/>
      <c r="AC1083" s="269"/>
      <c r="AD1083" s="269"/>
      <c r="AE1083" s="269"/>
      <c r="AF1083" s="269"/>
      <c r="AG1083" s="269"/>
      <c r="AH1083" s="269"/>
      <c r="AI1083" s="269"/>
      <c r="AJ1083" s="269"/>
      <c r="AK1083" s="269"/>
      <c r="AL1083" s="269"/>
      <c r="AM1083" s="269"/>
      <c r="AN1083" s="269"/>
      <c r="AO1083" s="269"/>
      <c r="AP1083" s="269"/>
      <c r="AQ1083" s="269"/>
      <c r="AR1083" s="269"/>
    </row>
    <row r="1084">
      <c r="A1084" s="410"/>
      <c r="B1084" s="410"/>
      <c r="C1084" s="410"/>
      <c r="D1084" s="410"/>
      <c r="E1084" s="410"/>
      <c r="F1084" s="410"/>
      <c r="H1084" s="269"/>
      <c r="I1084" s="269"/>
      <c r="J1084" s="269"/>
      <c r="K1084" s="269"/>
      <c r="L1084" s="269"/>
      <c r="M1084" s="269"/>
      <c r="N1084" s="269"/>
      <c r="O1084" s="269"/>
      <c r="P1084" s="269"/>
      <c r="Q1084" s="269"/>
      <c r="R1084" s="269"/>
      <c r="S1084" s="269"/>
      <c r="T1084" s="269"/>
      <c r="U1084" s="269"/>
      <c r="V1084" s="269"/>
      <c r="W1084" s="269"/>
      <c r="X1084" s="269"/>
      <c r="Y1084" s="269"/>
      <c r="Z1084" s="269"/>
      <c r="AA1084" s="269"/>
      <c r="AB1084" s="269"/>
      <c r="AC1084" s="269"/>
      <c r="AD1084" s="269"/>
      <c r="AE1084" s="269"/>
      <c r="AF1084" s="269"/>
      <c r="AG1084" s="269"/>
      <c r="AH1084" s="269"/>
      <c r="AI1084" s="269"/>
      <c r="AJ1084" s="269"/>
      <c r="AK1084" s="269"/>
      <c r="AL1084" s="269"/>
      <c r="AM1084" s="269"/>
      <c r="AN1084" s="269"/>
      <c r="AO1084" s="269"/>
      <c r="AP1084" s="269"/>
      <c r="AQ1084" s="269"/>
      <c r="AR1084" s="269"/>
    </row>
    <row r="1085">
      <c r="A1085" s="410"/>
      <c r="B1085" s="410"/>
      <c r="C1085" s="410"/>
      <c r="D1085" s="410"/>
      <c r="E1085" s="410"/>
      <c r="F1085" s="410"/>
      <c r="H1085" s="269"/>
      <c r="I1085" s="269"/>
      <c r="J1085" s="269"/>
      <c r="K1085" s="269"/>
      <c r="L1085" s="269"/>
      <c r="M1085" s="269"/>
      <c r="N1085" s="269"/>
      <c r="O1085" s="269"/>
      <c r="P1085" s="269"/>
      <c r="Q1085" s="269"/>
      <c r="R1085" s="269"/>
      <c r="S1085" s="269"/>
      <c r="T1085" s="269"/>
      <c r="U1085" s="269"/>
      <c r="V1085" s="269"/>
      <c r="W1085" s="269"/>
      <c r="X1085" s="269"/>
      <c r="Y1085" s="269"/>
      <c r="Z1085" s="269"/>
      <c r="AA1085" s="269"/>
      <c r="AB1085" s="269"/>
      <c r="AC1085" s="269"/>
      <c r="AD1085" s="269"/>
      <c r="AE1085" s="269"/>
      <c r="AF1085" s="269"/>
      <c r="AG1085" s="269"/>
      <c r="AH1085" s="269"/>
      <c r="AI1085" s="269"/>
      <c r="AJ1085" s="269"/>
      <c r="AK1085" s="269"/>
      <c r="AL1085" s="269"/>
      <c r="AM1085" s="269"/>
      <c r="AN1085" s="269"/>
      <c r="AO1085" s="269"/>
      <c r="AP1085" s="269"/>
      <c r="AQ1085" s="269"/>
      <c r="AR1085" s="269"/>
    </row>
    <row r="1086">
      <c r="A1086" s="410"/>
      <c r="B1086" s="410"/>
      <c r="C1086" s="410"/>
      <c r="D1086" s="410"/>
      <c r="E1086" s="410"/>
      <c r="F1086" s="410"/>
      <c r="H1086" s="269"/>
      <c r="I1086" s="269"/>
      <c r="J1086" s="269"/>
      <c r="K1086" s="269"/>
      <c r="L1086" s="269"/>
      <c r="M1086" s="269"/>
      <c r="N1086" s="269"/>
      <c r="O1086" s="269"/>
      <c r="P1086" s="269"/>
      <c r="Q1086" s="269"/>
      <c r="R1086" s="269"/>
      <c r="S1086" s="269"/>
      <c r="T1086" s="269"/>
      <c r="U1086" s="269"/>
      <c r="V1086" s="269"/>
      <c r="W1086" s="269"/>
      <c r="X1086" s="269"/>
      <c r="Y1086" s="269"/>
      <c r="Z1086" s="269"/>
      <c r="AA1086" s="269"/>
      <c r="AB1086" s="269"/>
      <c r="AC1086" s="269"/>
      <c r="AD1086" s="269"/>
      <c r="AE1086" s="269"/>
      <c r="AF1086" s="269"/>
      <c r="AG1086" s="269"/>
      <c r="AH1086" s="269"/>
      <c r="AI1086" s="269"/>
      <c r="AJ1086" s="269"/>
      <c r="AK1086" s="269"/>
      <c r="AL1086" s="269"/>
      <c r="AM1086" s="269"/>
      <c r="AN1086" s="269"/>
      <c r="AO1086" s="269"/>
      <c r="AP1086" s="269"/>
      <c r="AQ1086" s="269"/>
      <c r="AR1086" s="269"/>
    </row>
    <row r="1087">
      <c r="A1087" s="410"/>
      <c r="B1087" s="410"/>
      <c r="C1087" s="410"/>
      <c r="D1087" s="410"/>
      <c r="E1087" s="410"/>
      <c r="F1087" s="410"/>
      <c r="H1087" s="269"/>
      <c r="I1087" s="269"/>
      <c r="J1087" s="269"/>
      <c r="K1087" s="269"/>
      <c r="L1087" s="269"/>
      <c r="M1087" s="269"/>
      <c r="N1087" s="269"/>
      <c r="O1087" s="269"/>
      <c r="P1087" s="269"/>
      <c r="Q1087" s="269"/>
      <c r="R1087" s="269"/>
      <c r="S1087" s="269"/>
      <c r="T1087" s="269"/>
      <c r="U1087" s="269"/>
      <c r="V1087" s="269"/>
      <c r="W1087" s="269"/>
      <c r="X1087" s="269"/>
      <c r="Y1087" s="269"/>
      <c r="Z1087" s="269"/>
      <c r="AA1087" s="269"/>
      <c r="AB1087" s="269"/>
      <c r="AC1087" s="269"/>
      <c r="AD1087" s="269"/>
      <c r="AE1087" s="269"/>
      <c r="AF1087" s="269"/>
      <c r="AG1087" s="269"/>
      <c r="AH1087" s="269"/>
      <c r="AI1087" s="269"/>
      <c r="AJ1087" s="269"/>
      <c r="AK1087" s="269"/>
      <c r="AL1087" s="269"/>
      <c r="AM1087" s="269"/>
      <c r="AN1087" s="269"/>
      <c r="AO1087" s="269"/>
      <c r="AP1087" s="269"/>
      <c r="AQ1087" s="269"/>
      <c r="AR1087" s="269"/>
    </row>
    <row r="1088">
      <c r="A1088" s="410"/>
      <c r="B1088" s="410"/>
      <c r="C1088" s="410"/>
      <c r="D1088" s="410"/>
      <c r="E1088" s="410"/>
      <c r="F1088" s="410"/>
      <c r="H1088" s="269"/>
      <c r="I1088" s="269"/>
      <c r="J1088" s="269"/>
      <c r="K1088" s="269"/>
      <c r="L1088" s="269"/>
      <c r="M1088" s="269"/>
      <c r="N1088" s="269"/>
      <c r="O1088" s="269"/>
      <c r="P1088" s="269"/>
      <c r="Q1088" s="269"/>
      <c r="R1088" s="269"/>
      <c r="S1088" s="269"/>
      <c r="T1088" s="269"/>
      <c r="U1088" s="269"/>
      <c r="V1088" s="269"/>
      <c r="W1088" s="269"/>
      <c r="X1088" s="269"/>
      <c r="Y1088" s="269"/>
      <c r="Z1088" s="269"/>
      <c r="AA1088" s="269"/>
      <c r="AB1088" s="269"/>
      <c r="AC1088" s="269"/>
      <c r="AD1088" s="269"/>
      <c r="AE1088" s="269"/>
      <c r="AF1088" s="269"/>
      <c r="AG1088" s="269"/>
      <c r="AH1088" s="269"/>
      <c r="AI1088" s="269"/>
      <c r="AJ1088" s="269"/>
      <c r="AK1088" s="269"/>
      <c r="AL1088" s="269"/>
      <c r="AM1088" s="269"/>
      <c r="AN1088" s="269"/>
      <c r="AO1088" s="269"/>
      <c r="AP1088" s="269"/>
      <c r="AQ1088" s="269"/>
      <c r="AR1088" s="269"/>
    </row>
    <row r="1089">
      <c r="A1089" s="410"/>
      <c r="B1089" s="410"/>
      <c r="C1089" s="410"/>
      <c r="D1089" s="410"/>
      <c r="E1089" s="410"/>
      <c r="F1089" s="410"/>
      <c r="H1089" s="269"/>
      <c r="I1089" s="269"/>
      <c r="J1089" s="269"/>
      <c r="K1089" s="269"/>
      <c r="L1089" s="269"/>
      <c r="M1089" s="269"/>
      <c r="N1089" s="269"/>
      <c r="O1089" s="269"/>
      <c r="P1089" s="269"/>
      <c r="Q1089" s="269"/>
      <c r="R1089" s="269"/>
      <c r="S1089" s="269"/>
      <c r="T1089" s="269"/>
      <c r="U1089" s="269"/>
      <c r="V1089" s="269"/>
      <c r="W1089" s="269"/>
      <c r="X1089" s="269"/>
      <c r="Y1089" s="269"/>
      <c r="Z1089" s="269"/>
      <c r="AA1089" s="269"/>
      <c r="AB1089" s="269"/>
      <c r="AC1089" s="269"/>
      <c r="AD1089" s="269"/>
      <c r="AE1089" s="269"/>
      <c r="AF1089" s="269"/>
      <c r="AG1089" s="269"/>
      <c r="AH1089" s="269"/>
      <c r="AI1089" s="269"/>
      <c r="AJ1089" s="269"/>
      <c r="AK1089" s="269"/>
      <c r="AL1089" s="269"/>
      <c r="AM1089" s="269"/>
      <c r="AN1089" s="269"/>
      <c r="AO1089" s="269"/>
      <c r="AP1089" s="269"/>
      <c r="AQ1089" s="269"/>
      <c r="AR1089" s="269"/>
    </row>
    <row r="1090">
      <c r="A1090" s="410"/>
      <c r="B1090" s="410"/>
      <c r="C1090" s="410"/>
      <c r="D1090" s="410"/>
      <c r="E1090" s="410"/>
      <c r="F1090" s="410"/>
      <c r="H1090" s="269"/>
      <c r="I1090" s="269"/>
      <c r="J1090" s="269"/>
      <c r="K1090" s="269"/>
      <c r="L1090" s="269"/>
      <c r="M1090" s="269"/>
      <c r="N1090" s="269"/>
      <c r="O1090" s="269"/>
      <c r="P1090" s="269"/>
      <c r="Q1090" s="269"/>
      <c r="R1090" s="269"/>
      <c r="S1090" s="269"/>
      <c r="T1090" s="269"/>
      <c r="U1090" s="269"/>
      <c r="V1090" s="269"/>
      <c r="W1090" s="269"/>
      <c r="X1090" s="269"/>
      <c r="Y1090" s="269"/>
      <c r="Z1090" s="269"/>
      <c r="AA1090" s="269"/>
      <c r="AB1090" s="269"/>
      <c r="AC1090" s="269"/>
      <c r="AD1090" s="269"/>
      <c r="AE1090" s="269"/>
      <c r="AF1090" s="269"/>
      <c r="AG1090" s="269"/>
      <c r="AH1090" s="269"/>
      <c r="AI1090" s="269"/>
      <c r="AJ1090" s="269"/>
      <c r="AK1090" s="269"/>
      <c r="AL1090" s="269"/>
      <c r="AM1090" s="269"/>
      <c r="AN1090" s="269"/>
      <c r="AO1090" s="269"/>
      <c r="AP1090" s="269"/>
      <c r="AQ1090" s="269"/>
      <c r="AR1090" s="269"/>
    </row>
    <row r="1091">
      <c r="A1091" s="410"/>
      <c r="B1091" s="410"/>
      <c r="C1091" s="410"/>
      <c r="D1091" s="410"/>
      <c r="E1091" s="410"/>
      <c r="F1091" s="410"/>
      <c r="H1091" s="269"/>
      <c r="I1091" s="269"/>
      <c r="J1091" s="269"/>
      <c r="K1091" s="269"/>
      <c r="L1091" s="269"/>
      <c r="M1091" s="269"/>
      <c r="N1091" s="269"/>
      <c r="O1091" s="269"/>
      <c r="P1091" s="269"/>
      <c r="Q1091" s="269"/>
      <c r="R1091" s="269"/>
      <c r="S1091" s="269"/>
      <c r="T1091" s="269"/>
      <c r="U1091" s="269"/>
      <c r="V1091" s="269"/>
      <c r="W1091" s="269"/>
      <c r="X1091" s="269"/>
      <c r="Y1091" s="269"/>
      <c r="Z1091" s="269"/>
      <c r="AA1091" s="269"/>
      <c r="AB1091" s="269"/>
      <c r="AC1091" s="269"/>
      <c r="AD1091" s="269"/>
      <c r="AE1091" s="269"/>
      <c r="AF1091" s="269"/>
      <c r="AG1091" s="269"/>
      <c r="AH1091" s="269"/>
      <c r="AI1091" s="269"/>
      <c r="AJ1091" s="269"/>
      <c r="AK1091" s="269"/>
      <c r="AL1091" s="269"/>
      <c r="AM1091" s="269"/>
      <c r="AN1091" s="269"/>
      <c r="AO1091" s="269"/>
      <c r="AP1091" s="269"/>
      <c r="AQ1091" s="269"/>
      <c r="AR1091" s="269"/>
    </row>
    <row r="1092">
      <c r="A1092" s="410"/>
      <c r="B1092" s="410"/>
      <c r="C1092" s="410"/>
      <c r="D1092" s="410"/>
      <c r="E1092" s="410"/>
      <c r="F1092" s="410"/>
      <c r="H1092" s="269"/>
      <c r="I1092" s="269"/>
      <c r="J1092" s="269"/>
      <c r="K1092" s="269"/>
      <c r="L1092" s="269"/>
      <c r="M1092" s="269"/>
      <c r="N1092" s="269"/>
      <c r="O1092" s="269"/>
      <c r="P1092" s="269"/>
      <c r="Q1092" s="269"/>
      <c r="R1092" s="269"/>
      <c r="S1092" s="269"/>
      <c r="T1092" s="269"/>
      <c r="U1092" s="269"/>
      <c r="V1092" s="269"/>
      <c r="W1092" s="269"/>
      <c r="X1092" s="269"/>
      <c r="Y1092" s="269"/>
      <c r="Z1092" s="269"/>
      <c r="AA1092" s="269"/>
      <c r="AB1092" s="269"/>
      <c r="AC1092" s="269"/>
      <c r="AD1092" s="269"/>
      <c r="AE1092" s="269"/>
      <c r="AF1092" s="269"/>
      <c r="AG1092" s="269"/>
      <c r="AH1092" s="269"/>
      <c r="AI1092" s="269"/>
      <c r="AJ1092" s="269"/>
      <c r="AK1092" s="269"/>
      <c r="AL1092" s="269"/>
      <c r="AM1092" s="269"/>
      <c r="AN1092" s="269"/>
      <c r="AO1092" s="269"/>
      <c r="AP1092" s="269"/>
      <c r="AQ1092" s="269"/>
      <c r="AR1092" s="269"/>
    </row>
    <row r="1093">
      <c r="A1093" s="410"/>
      <c r="B1093" s="410"/>
      <c r="C1093" s="410"/>
      <c r="D1093" s="410"/>
      <c r="E1093" s="410"/>
      <c r="F1093" s="410"/>
      <c r="H1093" s="269"/>
      <c r="I1093" s="269"/>
      <c r="J1093" s="269"/>
      <c r="K1093" s="269"/>
      <c r="L1093" s="269"/>
      <c r="M1093" s="269"/>
      <c r="N1093" s="269"/>
      <c r="O1093" s="269"/>
      <c r="P1093" s="269"/>
      <c r="Q1093" s="269"/>
      <c r="R1093" s="269"/>
      <c r="S1093" s="269"/>
      <c r="T1093" s="269"/>
      <c r="U1093" s="269"/>
      <c r="V1093" s="269"/>
      <c r="W1093" s="269"/>
      <c r="X1093" s="269"/>
      <c r="Y1093" s="269"/>
      <c r="Z1093" s="269"/>
      <c r="AA1093" s="269"/>
      <c r="AB1093" s="269"/>
      <c r="AC1093" s="269"/>
      <c r="AD1093" s="269"/>
      <c r="AE1093" s="269"/>
      <c r="AF1093" s="269"/>
      <c r="AG1093" s="269"/>
      <c r="AH1093" s="269"/>
      <c r="AI1093" s="269"/>
      <c r="AJ1093" s="269"/>
      <c r="AK1093" s="269"/>
      <c r="AL1093" s="269"/>
      <c r="AM1093" s="269"/>
      <c r="AN1093" s="269"/>
      <c r="AO1093" s="269"/>
      <c r="AP1093" s="269"/>
      <c r="AQ1093" s="269"/>
      <c r="AR1093" s="269"/>
    </row>
    <row r="1094">
      <c r="A1094" s="410"/>
      <c r="B1094" s="410"/>
      <c r="C1094" s="410"/>
      <c r="D1094" s="410"/>
      <c r="E1094" s="410"/>
      <c r="F1094" s="410"/>
      <c r="H1094" s="269"/>
      <c r="I1094" s="269"/>
      <c r="J1094" s="269"/>
      <c r="K1094" s="269"/>
      <c r="L1094" s="269"/>
      <c r="M1094" s="269"/>
      <c r="N1094" s="269"/>
      <c r="O1094" s="269"/>
      <c r="P1094" s="269"/>
      <c r="Q1094" s="269"/>
      <c r="R1094" s="269"/>
      <c r="S1094" s="269"/>
      <c r="T1094" s="269"/>
      <c r="U1094" s="269"/>
      <c r="V1094" s="269"/>
      <c r="W1094" s="269"/>
      <c r="X1094" s="269"/>
      <c r="Y1094" s="269"/>
      <c r="Z1094" s="269"/>
      <c r="AA1094" s="269"/>
      <c r="AB1094" s="269"/>
      <c r="AC1094" s="269"/>
      <c r="AD1094" s="269"/>
      <c r="AE1094" s="269"/>
      <c r="AF1094" s="269"/>
      <c r="AG1094" s="269"/>
      <c r="AH1094" s="269"/>
      <c r="AI1094" s="269"/>
      <c r="AJ1094" s="269"/>
      <c r="AK1094" s="269"/>
      <c r="AL1094" s="269"/>
      <c r="AM1094" s="269"/>
      <c r="AN1094" s="269"/>
      <c r="AO1094" s="269"/>
      <c r="AP1094" s="269"/>
      <c r="AQ1094" s="269"/>
      <c r="AR1094" s="269"/>
    </row>
    <row r="1095">
      <c r="A1095" s="410"/>
      <c r="B1095" s="410"/>
      <c r="C1095" s="410"/>
      <c r="D1095" s="410"/>
      <c r="E1095" s="410"/>
      <c r="F1095" s="410"/>
      <c r="H1095" s="269"/>
      <c r="I1095" s="269"/>
      <c r="J1095" s="269"/>
      <c r="K1095" s="269"/>
      <c r="L1095" s="269"/>
      <c r="M1095" s="269"/>
      <c r="N1095" s="269"/>
      <c r="O1095" s="269"/>
      <c r="P1095" s="269"/>
      <c r="Q1095" s="269"/>
      <c r="R1095" s="269"/>
      <c r="S1095" s="269"/>
      <c r="T1095" s="269"/>
      <c r="U1095" s="269"/>
      <c r="V1095" s="269"/>
      <c r="W1095" s="269"/>
      <c r="X1095" s="269"/>
      <c r="Y1095" s="269"/>
      <c r="Z1095" s="269"/>
      <c r="AA1095" s="269"/>
      <c r="AB1095" s="269"/>
      <c r="AC1095" s="269"/>
      <c r="AD1095" s="269"/>
      <c r="AE1095" s="269"/>
      <c r="AF1095" s="269"/>
      <c r="AG1095" s="269"/>
      <c r="AH1095" s="269"/>
      <c r="AI1095" s="269"/>
      <c r="AJ1095" s="269"/>
      <c r="AK1095" s="269"/>
      <c r="AL1095" s="269"/>
      <c r="AM1095" s="269"/>
      <c r="AN1095" s="269"/>
      <c r="AO1095" s="269"/>
      <c r="AP1095" s="269"/>
      <c r="AQ1095" s="269"/>
      <c r="AR1095" s="269"/>
    </row>
    <row r="1096">
      <c r="A1096" s="410"/>
      <c r="B1096" s="410"/>
      <c r="C1096" s="410"/>
      <c r="D1096" s="410"/>
      <c r="E1096" s="410"/>
      <c r="F1096" s="410"/>
      <c r="H1096" s="269"/>
      <c r="I1096" s="269"/>
      <c r="J1096" s="269"/>
      <c r="K1096" s="269"/>
      <c r="L1096" s="269"/>
      <c r="M1096" s="269"/>
      <c r="N1096" s="269"/>
      <c r="O1096" s="269"/>
      <c r="P1096" s="269"/>
      <c r="Q1096" s="269"/>
      <c r="R1096" s="269"/>
      <c r="S1096" s="269"/>
      <c r="T1096" s="269"/>
      <c r="U1096" s="269"/>
      <c r="V1096" s="269"/>
      <c r="W1096" s="269"/>
      <c r="X1096" s="269"/>
      <c r="Y1096" s="269"/>
      <c r="Z1096" s="269"/>
      <c r="AA1096" s="269"/>
      <c r="AB1096" s="269"/>
      <c r="AC1096" s="269"/>
      <c r="AD1096" s="269"/>
      <c r="AE1096" s="269"/>
      <c r="AF1096" s="269"/>
      <c r="AG1096" s="269"/>
      <c r="AH1096" s="269"/>
      <c r="AI1096" s="269"/>
      <c r="AJ1096" s="269"/>
      <c r="AK1096" s="269"/>
      <c r="AL1096" s="269"/>
      <c r="AM1096" s="269"/>
      <c r="AN1096" s="269"/>
      <c r="AO1096" s="269"/>
      <c r="AP1096" s="269"/>
      <c r="AQ1096" s="269"/>
      <c r="AR1096" s="269"/>
    </row>
    <row r="1097">
      <c r="A1097" s="410"/>
      <c r="B1097" s="410"/>
      <c r="C1097" s="410"/>
      <c r="D1097" s="410"/>
      <c r="E1097" s="410"/>
      <c r="F1097" s="410"/>
      <c r="H1097" s="269"/>
      <c r="I1097" s="269"/>
      <c r="J1097" s="269"/>
      <c r="K1097" s="269"/>
      <c r="L1097" s="269"/>
      <c r="M1097" s="269"/>
      <c r="N1097" s="269"/>
      <c r="O1097" s="269"/>
      <c r="P1097" s="269"/>
      <c r="Q1097" s="269"/>
      <c r="R1097" s="269"/>
      <c r="S1097" s="269"/>
      <c r="T1097" s="269"/>
      <c r="U1097" s="269"/>
      <c r="V1097" s="269"/>
      <c r="W1097" s="269"/>
      <c r="X1097" s="269"/>
      <c r="Y1097" s="269"/>
      <c r="Z1097" s="269"/>
      <c r="AA1097" s="269"/>
      <c r="AB1097" s="269"/>
      <c r="AC1097" s="269"/>
      <c r="AD1097" s="269"/>
      <c r="AE1097" s="269"/>
      <c r="AF1097" s="269"/>
      <c r="AG1097" s="269"/>
      <c r="AH1097" s="269"/>
      <c r="AI1097" s="269"/>
      <c r="AJ1097" s="269"/>
      <c r="AK1097" s="269"/>
      <c r="AL1097" s="269"/>
      <c r="AM1097" s="269"/>
      <c r="AN1097" s="269"/>
      <c r="AO1097" s="269"/>
      <c r="AP1097" s="269"/>
      <c r="AQ1097" s="269"/>
      <c r="AR1097" s="269"/>
    </row>
    <row r="1098">
      <c r="A1098" s="410"/>
      <c r="B1098" s="410"/>
      <c r="C1098" s="410"/>
      <c r="D1098" s="410"/>
      <c r="E1098" s="410"/>
      <c r="F1098" s="410"/>
      <c r="H1098" s="269"/>
      <c r="I1098" s="269"/>
      <c r="J1098" s="269"/>
      <c r="K1098" s="269"/>
      <c r="L1098" s="269"/>
      <c r="M1098" s="269"/>
      <c r="N1098" s="269"/>
      <c r="O1098" s="269"/>
      <c r="P1098" s="269"/>
      <c r="Q1098" s="269"/>
      <c r="R1098" s="269"/>
      <c r="S1098" s="269"/>
      <c r="T1098" s="269"/>
      <c r="U1098" s="269"/>
      <c r="V1098" s="269"/>
      <c r="W1098" s="269"/>
      <c r="X1098" s="269"/>
      <c r="Y1098" s="269"/>
      <c r="Z1098" s="269"/>
      <c r="AA1098" s="269"/>
      <c r="AB1098" s="269"/>
      <c r="AC1098" s="269"/>
      <c r="AD1098" s="269"/>
      <c r="AE1098" s="269"/>
      <c r="AF1098" s="269"/>
      <c r="AG1098" s="269"/>
      <c r="AH1098" s="269"/>
      <c r="AI1098" s="269"/>
      <c r="AJ1098" s="269"/>
      <c r="AK1098" s="269"/>
      <c r="AL1098" s="269"/>
      <c r="AM1098" s="269"/>
      <c r="AN1098" s="269"/>
      <c r="AO1098" s="269"/>
      <c r="AP1098" s="269"/>
      <c r="AQ1098" s="269"/>
      <c r="AR1098" s="269"/>
    </row>
    <row r="1099">
      <c r="A1099" s="410"/>
      <c r="B1099" s="410"/>
      <c r="C1099" s="410"/>
      <c r="D1099" s="410"/>
      <c r="E1099" s="410"/>
      <c r="F1099" s="410"/>
      <c r="H1099" s="269"/>
      <c r="I1099" s="269"/>
      <c r="J1099" s="269"/>
      <c r="K1099" s="269"/>
      <c r="L1099" s="269"/>
      <c r="M1099" s="269"/>
      <c r="N1099" s="269"/>
      <c r="O1099" s="269"/>
      <c r="P1099" s="269"/>
      <c r="Q1099" s="269"/>
      <c r="R1099" s="269"/>
      <c r="S1099" s="269"/>
      <c r="T1099" s="269"/>
      <c r="U1099" s="269"/>
      <c r="V1099" s="269"/>
      <c r="W1099" s="269"/>
      <c r="X1099" s="269"/>
      <c r="Y1099" s="269"/>
      <c r="Z1099" s="269"/>
      <c r="AA1099" s="269"/>
      <c r="AB1099" s="269"/>
      <c r="AC1099" s="269"/>
      <c r="AD1099" s="269"/>
      <c r="AE1099" s="269"/>
      <c r="AF1099" s="269"/>
      <c r="AG1099" s="269"/>
      <c r="AH1099" s="269"/>
      <c r="AI1099" s="269"/>
      <c r="AJ1099" s="269"/>
      <c r="AK1099" s="269"/>
      <c r="AL1099" s="269"/>
      <c r="AM1099" s="269"/>
      <c r="AN1099" s="269"/>
      <c r="AO1099" s="269"/>
      <c r="AP1099" s="269"/>
      <c r="AQ1099" s="269"/>
      <c r="AR1099" s="269"/>
    </row>
    <row r="1100">
      <c r="A1100" s="410"/>
      <c r="B1100" s="410"/>
      <c r="C1100" s="410"/>
      <c r="D1100" s="410"/>
      <c r="E1100" s="410"/>
      <c r="F1100" s="410"/>
      <c r="H1100" s="269"/>
      <c r="I1100" s="269"/>
      <c r="J1100" s="269"/>
      <c r="K1100" s="269"/>
      <c r="L1100" s="269"/>
      <c r="M1100" s="269"/>
      <c r="N1100" s="269"/>
      <c r="O1100" s="269"/>
      <c r="P1100" s="269"/>
      <c r="Q1100" s="269"/>
      <c r="R1100" s="269"/>
      <c r="S1100" s="269"/>
      <c r="T1100" s="269"/>
      <c r="U1100" s="269"/>
      <c r="V1100" s="269"/>
      <c r="W1100" s="269"/>
      <c r="X1100" s="269"/>
      <c r="Y1100" s="269"/>
      <c r="Z1100" s="269"/>
      <c r="AA1100" s="269"/>
      <c r="AB1100" s="269"/>
      <c r="AC1100" s="269"/>
      <c r="AD1100" s="269"/>
      <c r="AE1100" s="269"/>
      <c r="AF1100" s="269"/>
      <c r="AG1100" s="269"/>
      <c r="AH1100" s="269"/>
      <c r="AI1100" s="269"/>
      <c r="AJ1100" s="269"/>
      <c r="AK1100" s="269"/>
      <c r="AL1100" s="269"/>
      <c r="AM1100" s="269"/>
      <c r="AN1100" s="269"/>
      <c r="AO1100" s="269"/>
      <c r="AP1100" s="269"/>
      <c r="AQ1100" s="269"/>
      <c r="AR1100" s="269"/>
    </row>
    <row r="1101">
      <c r="A1101" s="410"/>
      <c r="B1101" s="410"/>
      <c r="C1101" s="410"/>
      <c r="D1101" s="410"/>
      <c r="E1101" s="410"/>
      <c r="F1101" s="410"/>
      <c r="H1101" s="269"/>
      <c r="I1101" s="269"/>
      <c r="J1101" s="269"/>
      <c r="K1101" s="269"/>
      <c r="L1101" s="269"/>
      <c r="M1101" s="269"/>
      <c r="N1101" s="269"/>
      <c r="O1101" s="269"/>
      <c r="P1101" s="269"/>
      <c r="Q1101" s="269"/>
      <c r="R1101" s="269"/>
      <c r="S1101" s="269"/>
      <c r="T1101" s="269"/>
      <c r="U1101" s="269"/>
      <c r="V1101" s="269"/>
      <c r="W1101" s="269"/>
      <c r="X1101" s="269"/>
      <c r="Y1101" s="269"/>
      <c r="Z1101" s="269"/>
      <c r="AA1101" s="269"/>
      <c r="AB1101" s="269"/>
      <c r="AC1101" s="269"/>
      <c r="AD1101" s="269"/>
      <c r="AE1101" s="269"/>
      <c r="AF1101" s="269"/>
      <c r="AG1101" s="269"/>
      <c r="AH1101" s="269"/>
      <c r="AI1101" s="269"/>
      <c r="AJ1101" s="269"/>
      <c r="AK1101" s="269"/>
      <c r="AL1101" s="269"/>
      <c r="AM1101" s="269"/>
      <c r="AN1101" s="269"/>
      <c r="AO1101" s="269"/>
      <c r="AP1101" s="269"/>
      <c r="AQ1101" s="269"/>
      <c r="AR1101" s="269"/>
    </row>
    <row r="1102">
      <c r="A1102" s="410"/>
      <c r="B1102" s="410"/>
      <c r="C1102" s="410"/>
      <c r="D1102" s="410"/>
      <c r="E1102" s="410"/>
      <c r="F1102" s="410"/>
      <c r="H1102" s="269"/>
      <c r="I1102" s="269"/>
      <c r="J1102" s="269"/>
      <c r="K1102" s="269"/>
      <c r="L1102" s="269"/>
      <c r="M1102" s="269"/>
      <c r="N1102" s="269"/>
      <c r="O1102" s="269"/>
      <c r="P1102" s="269"/>
      <c r="Q1102" s="269"/>
      <c r="R1102" s="269"/>
      <c r="S1102" s="269"/>
      <c r="T1102" s="269"/>
      <c r="U1102" s="269"/>
      <c r="V1102" s="269"/>
      <c r="W1102" s="269"/>
      <c r="X1102" s="269"/>
      <c r="Y1102" s="269"/>
      <c r="Z1102" s="269"/>
      <c r="AA1102" s="269"/>
      <c r="AB1102" s="269"/>
      <c r="AC1102" s="269"/>
      <c r="AD1102" s="269"/>
      <c r="AE1102" s="269"/>
      <c r="AF1102" s="269"/>
      <c r="AG1102" s="269"/>
      <c r="AH1102" s="269"/>
      <c r="AI1102" s="269"/>
      <c r="AJ1102" s="269"/>
      <c r="AK1102" s="269"/>
      <c r="AL1102" s="269"/>
      <c r="AM1102" s="269"/>
      <c r="AN1102" s="269"/>
      <c r="AO1102" s="269"/>
      <c r="AP1102" s="269"/>
      <c r="AQ1102" s="269"/>
      <c r="AR1102" s="269"/>
    </row>
    <row r="1103">
      <c r="A1103" s="410"/>
      <c r="B1103" s="410"/>
      <c r="C1103" s="410"/>
      <c r="D1103" s="410"/>
      <c r="E1103" s="410"/>
      <c r="F1103" s="410"/>
      <c r="H1103" s="269"/>
      <c r="I1103" s="269"/>
      <c r="J1103" s="269"/>
      <c r="K1103" s="269"/>
      <c r="L1103" s="269"/>
      <c r="M1103" s="269"/>
      <c r="N1103" s="269"/>
      <c r="O1103" s="269"/>
      <c r="P1103" s="269"/>
      <c r="Q1103" s="269"/>
      <c r="R1103" s="269"/>
      <c r="S1103" s="269"/>
      <c r="T1103" s="269"/>
      <c r="U1103" s="269"/>
      <c r="V1103" s="269"/>
      <c r="W1103" s="269"/>
      <c r="X1103" s="269"/>
      <c r="Y1103" s="269"/>
      <c r="Z1103" s="269"/>
      <c r="AA1103" s="269"/>
      <c r="AB1103" s="269"/>
      <c r="AC1103" s="269"/>
      <c r="AD1103" s="269"/>
      <c r="AE1103" s="269"/>
      <c r="AF1103" s="269"/>
      <c r="AG1103" s="269"/>
      <c r="AH1103" s="269"/>
      <c r="AI1103" s="269"/>
      <c r="AJ1103" s="269"/>
      <c r="AK1103" s="269"/>
      <c r="AL1103" s="269"/>
      <c r="AM1103" s="269"/>
      <c r="AN1103" s="269"/>
      <c r="AO1103" s="269"/>
      <c r="AP1103" s="269"/>
      <c r="AQ1103" s="269"/>
      <c r="AR1103" s="269"/>
    </row>
    <row r="1104">
      <c r="A1104" s="410"/>
      <c r="B1104" s="410"/>
      <c r="C1104" s="410"/>
      <c r="D1104" s="410"/>
      <c r="E1104" s="410"/>
      <c r="F1104" s="410"/>
      <c r="H1104" s="269"/>
      <c r="I1104" s="269"/>
      <c r="J1104" s="269"/>
      <c r="K1104" s="269"/>
      <c r="L1104" s="269"/>
      <c r="M1104" s="269"/>
      <c r="N1104" s="269"/>
      <c r="O1104" s="269"/>
      <c r="P1104" s="269"/>
      <c r="Q1104" s="269"/>
      <c r="R1104" s="269"/>
      <c r="S1104" s="269"/>
      <c r="T1104" s="269"/>
      <c r="U1104" s="269"/>
      <c r="V1104" s="269"/>
      <c r="W1104" s="269"/>
      <c r="X1104" s="269"/>
      <c r="Y1104" s="269"/>
      <c r="Z1104" s="269"/>
      <c r="AA1104" s="269"/>
      <c r="AB1104" s="269"/>
      <c r="AC1104" s="269"/>
      <c r="AD1104" s="269"/>
      <c r="AE1104" s="269"/>
      <c r="AF1104" s="269"/>
      <c r="AG1104" s="269"/>
      <c r="AH1104" s="269"/>
      <c r="AI1104" s="269"/>
      <c r="AJ1104" s="269"/>
      <c r="AK1104" s="269"/>
      <c r="AL1104" s="269"/>
      <c r="AM1104" s="269"/>
      <c r="AN1104" s="269"/>
      <c r="AO1104" s="269"/>
      <c r="AP1104" s="269"/>
      <c r="AQ1104" s="269"/>
      <c r="AR1104" s="269"/>
    </row>
    <row r="1105">
      <c r="A1105" s="410"/>
      <c r="B1105" s="410"/>
      <c r="C1105" s="410"/>
      <c r="D1105" s="410"/>
      <c r="E1105" s="410"/>
      <c r="F1105" s="410"/>
      <c r="H1105" s="269"/>
      <c r="I1105" s="269"/>
      <c r="J1105" s="269"/>
      <c r="K1105" s="269"/>
      <c r="L1105" s="269"/>
      <c r="M1105" s="269"/>
      <c r="N1105" s="269"/>
      <c r="O1105" s="269"/>
      <c r="P1105" s="269"/>
      <c r="Q1105" s="269"/>
      <c r="R1105" s="269"/>
      <c r="S1105" s="269"/>
      <c r="T1105" s="269"/>
      <c r="U1105" s="269"/>
      <c r="V1105" s="269"/>
      <c r="W1105" s="269"/>
      <c r="X1105" s="269"/>
      <c r="Y1105" s="269"/>
      <c r="Z1105" s="269"/>
      <c r="AA1105" s="269"/>
      <c r="AB1105" s="269"/>
      <c r="AC1105" s="269"/>
      <c r="AD1105" s="269"/>
      <c r="AE1105" s="269"/>
      <c r="AF1105" s="269"/>
      <c r="AG1105" s="269"/>
      <c r="AH1105" s="269"/>
      <c r="AI1105" s="269"/>
      <c r="AJ1105" s="269"/>
      <c r="AK1105" s="269"/>
      <c r="AL1105" s="269"/>
      <c r="AM1105" s="269"/>
      <c r="AN1105" s="269"/>
      <c r="AO1105" s="269"/>
      <c r="AP1105" s="269"/>
      <c r="AQ1105" s="269"/>
      <c r="AR1105" s="269"/>
    </row>
    <row r="1106">
      <c r="A1106" s="410"/>
      <c r="B1106" s="410"/>
      <c r="C1106" s="410"/>
      <c r="D1106" s="410"/>
      <c r="E1106" s="410"/>
      <c r="F1106" s="410"/>
      <c r="H1106" s="269"/>
      <c r="I1106" s="269"/>
      <c r="J1106" s="269"/>
      <c r="K1106" s="269"/>
      <c r="L1106" s="269"/>
      <c r="M1106" s="269"/>
      <c r="N1106" s="269"/>
      <c r="O1106" s="269"/>
      <c r="P1106" s="269"/>
      <c r="Q1106" s="269"/>
      <c r="R1106" s="269"/>
      <c r="S1106" s="269"/>
      <c r="T1106" s="269"/>
      <c r="U1106" s="269"/>
      <c r="V1106" s="269"/>
      <c r="W1106" s="269"/>
      <c r="X1106" s="269"/>
      <c r="Y1106" s="269"/>
      <c r="Z1106" s="269"/>
      <c r="AA1106" s="269"/>
      <c r="AB1106" s="269"/>
      <c r="AC1106" s="269"/>
      <c r="AD1106" s="269"/>
      <c r="AE1106" s="269"/>
      <c r="AF1106" s="269"/>
      <c r="AG1106" s="269"/>
      <c r="AH1106" s="269"/>
      <c r="AI1106" s="269"/>
      <c r="AJ1106" s="269"/>
      <c r="AK1106" s="269"/>
      <c r="AL1106" s="269"/>
      <c r="AM1106" s="269"/>
      <c r="AN1106" s="269"/>
      <c r="AO1106" s="269"/>
      <c r="AP1106" s="269"/>
      <c r="AQ1106" s="269"/>
      <c r="AR1106" s="269"/>
    </row>
    <row r="1107">
      <c r="A1107" s="410"/>
      <c r="B1107" s="410"/>
      <c r="C1107" s="410"/>
      <c r="D1107" s="410"/>
      <c r="E1107" s="410"/>
      <c r="F1107" s="410"/>
      <c r="H1107" s="269"/>
      <c r="I1107" s="269"/>
      <c r="J1107" s="269"/>
      <c r="K1107" s="269"/>
      <c r="L1107" s="269"/>
      <c r="M1107" s="269"/>
      <c r="N1107" s="269"/>
      <c r="O1107" s="269"/>
      <c r="P1107" s="269"/>
      <c r="Q1107" s="269"/>
      <c r="R1107" s="269"/>
      <c r="S1107" s="269"/>
      <c r="T1107" s="269"/>
      <c r="U1107" s="269"/>
      <c r="V1107" s="269"/>
      <c r="W1107" s="269"/>
      <c r="X1107" s="269"/>
      <c r="Y1107" s="269"/>
      <c r="Z1107" s="269"/>
      <c r="AA1107" s="269"/>
      <c r="AB1107" s="269"/>
      <c r="AC1107" s="269"/>
      <c r="AD1107" s="269"/>
      <c r="AE1107" s="269"/>
      <c r="AF1107" s="269"/>
      <c r="AG1107" s="269"/>
      <c r="AH1107" s="269"/>
      <c r="AI1107" s="269"/>
      <c r="AJ1107" s="269"/>
      <c r="AK1107" s="269"/>
      <c r="AL1107" s="269"/>
      <c r="AM1107" s="269"/>
      <c r="AN1107" s="269"/>
      <c r="AO1107" s="269"/>
      <c r="AP1107" s="269"/>
      <c r="AQ1107" s="269"/>
      <c r="AR1107" s="269"/>
    </row>
    <row r="1108">
      <c r="A1108" s="410"/>
      <c r="B1108" s="410"/>
      <c r="C1108" s="410"/>
      <c r="D1108" s="410"/>
      <c r="E1108" s="410"/>
      <c r="F1108" s="410"/>
      <c r="H1108" s="269"/>
      <c r="I1108" s="269"/>
      <c r="J1108" s="269"/>
      <c r="K1108" s="269"/>
      <c r="L1108" s="269"/>
      <c r="M1108" s="269"/>
      <c r="N1108" s="269"/>
      <c r="O1108" s="269"/>
      <c r="P1108" s="269"/>
      <c r="Q1108" s="269"/>
      <c r="R1108" s="269"/>
      <c r="S1108" s="269"/>
      <c r="T1108" s="269"/>
      <c r="U1108" s="269"/>
      <c r="V1108" s="269"/>
      <c r="W1108" s="269"/>
      <c r="X1108" s="269"/>
      <c r="Y1108" s="269"/>
      <c r="Z1108" s="269"/>
      <c r="AA1108" s="269"/>
      <c r="AB1108" s="269"/>
      <c r="AC1108" s="269"/>
      <c r="AD1108" s="269"/>
      <c r="AE1108" s="269"/>
      <c r="AF1108" s="269"/>
      <c r="AG1108" s="269"/>
      <c r="AH1108" s="269"/>
      <c r="AI1108" s="269"/>
      <c r="AJ1108" s="269"/>
      <c r="AK1108" s="269"/>
      <c r="AL1108" s="269"/>
      <c r="AM1108" s="269"/>
      <c r="AN1108" s="269"/>
      <c r="AO1108" s="269"/>
      <c r="AP1108" s="269"/>
      <c r="AQ1108" s="269"/>
      <c r="AR1108" s="269"/>
    </row>
    <row r="1109">
      <c r="A1109" s="410"/>
      <c r="B1109" s="410"/>
      <c r="C1109" s="410"/>
      <c r="D1109" s="410"/>
      <c r="E1109" s="410"/>
      <c r="F1109" s="410"/>
      <c r="H1109" s="269"/>
      <c r="I1109" s="269"/>
      <c r="J1109" s="269"/>
      <c r="K1109" s="269"/>
      <c r="L1109" s="269"/>
      <c r="M1109" s="269"/>
      <c r="N1109" s="269"/>
      <c r="O1109" s="269"/>
      <c r="P1109" s="269"/>
      <c r="Q1109" s="269"/>
      <c r="R1109" s="269"/>
      <c r="S1109" s="269"/>
      <c r="T1109" s="269"/>
      <c r="U1109" s="269"/>
      <c r="V1109" s="269"/>
      <c r="W1109" s="269"/>
      <c r="X1109" s="269"/>
      <c r="Y1109" s="269"/>
      <c r="Z1109" s="269"/>
      <c r="AA1109" s="269"/>
      <c r="AB1109" s="269"/>
      <c r="AC1109" s="269"/>
      <c r="AD1109" s="269"/>
      <c r="AE1109" s="269"/>
      <c r="AF1109" s="269"/>
      <c r="AG1109" s="269"/>
      <c r="AH1109" s="269"/>
      <c r="AI1109" s="269"/>
      <c r="AJ1109" s="269"/>
      <c r="AK1109" s="269"/>
      <c r="AL1109" s="269"/>
      <c r="AM1109" s="269"/>
      <c r="AN1109" s="269"/>
      <c r="AO1109" s="269"/>
      <c r="AP1109" s="269"/>
      <c r="AQ1109" s="269"/>
      <c r="AR1109" s="269"/>
    </row>
    <row r="1110">
      <c r="A1110" s="410"/>
      <c r="B1110" s="410"/>
      <c r="C1110" s="410"/>
      <c r="D1110" s="410"/>
      <c r="E1110" s="410"/>
      <c r="F1110" s="410"/>
      <c r="H1110" s="269"/>
      <c r="I1110" s="269"/>
      <c r="J1110" s="269"/>
      <c r="K1110" s="269"/>
      <c r="L1110" s="269"/>
      <c r="M1110" s="269"/>
      <c r="N1110" s="269"/>
      <c r="O1110" s="269"/>
      <c r="P1110" s="269"/>
      <c r="Q1110" s="269"/>
      <c r="R1110" s="269"/>
      <c r="S1110" s="269"/>
      <c r="T1110" s="269"/>
      <c r="U1110" s="269"/>
      <c r="V1110" s="269"/>
      <c r="W1110" s="269"/>
      <c r="X1110" s="269"/>
      <c r="Y1110" s="269"/>
      <c r="Z1110" s="269"/>
      <c r="AA1110" s="269"/>
      <c r="AB1110" s="269"/>
      <c r="AC1110" s="269"/>
      <c r="AD1110" s="269"/>
      <c r="AE1110" s="269"/>
      <c r="AF1110" s="269"/>
      <c r="AG1110" s="269"/>
      <c r="AH1110" s="269"/>
      <c r="AI1110" s="269"/>
      <c r="AJ1110" s="269"/>
      <c r="AK1110" s="269"/>
      <c r="AL1110" s="269"/>
      <c r="AM1110" s="269"/>
      <c r="AN1110" s="269"/>
      <c r="AO1110" s="269"/>
      <c r="AP1110" s="269"/>
      <c r="AQ1110" s="269"/>
      <c r="AR1110" s="269"/>
    </row>
    <row r="1111">
      <c r="A1111" s="410"/>
      <c r="B1111" s="410"/>
      <c r="C1111" s="410"/>
      <c r="D1111" s="410"/>
      <c r="E1111" s="410"/>
      <c r="F1111" s="410"/>
      <c r="H1111" s="269"/>
      <c r="I1111" s="269"/>
      <c r="J1111" s="269"/>
      <c r="K1111" s="269"/>
      <c r="L1111" s="269"/>
      <c r="M1111" s="269"/>
      <c r="N1111" s="269"/>
      <c r="O1111" s="269"/>
      <c r="P1111" s="269"/>
      <c r="Q1111" s="269"/>
      <c r="R1111" s="269"/>
      <c r="S1111" s="269"/>
      <c r="T1111" s="269"/>
      <c r="U1111" s="269"/>
      <c r="V1111" s="269"/>
      <c r="W1111" s="269"/>
      <c r="X1111" s="269"/>
      <c r="Y1111" s="269"/>
      <c r="Z1111" s="269"/>
      <c r="AA1111" s="269"/>
      <c r="AB1111" s="269"/>
      <c r="AC1111" s="269"/>
      <c r="AD1111" s="269"/>
      <c r="AE1111" s="269"/>
      <c r="AF1111" s="269"/>
      <c r="AG1111" s="269"/>
      <c r="AH1111" s="269"/>
      <c r="AI1111" s="269"/>
      <c r="AJ1111" s="269"/>
      <c r="AK1111" s="269"/>
      <c r="AL1111" s="269"/>
      <c r="AM1111" s="269"/>
      <c r="AN1111" s="269"/>
      <c r="AO1111" s="269"/>
      <c r="AP1111" s="269"/>
      <c r="AQ1111" s="269"/>
      <c r="AR1111" s="269"/>
    </row>
    <row r="1112">
      <c r="A1112" s="410"/>
      <c r="B1112" s="410"/>
      <c r="C1112" s="410"/>
      <c r="D1112" s="410"/>
      <c r="E1112" s="410"/>
      <c r="F1112" s="410"/>
      <c r="H1112" s="269"/>
      <c r="I1112" s="269"/>
      <c r="J1112" s="269"/>
      <c r="K1112" s="269"/>
      <c r="L1112" s="269"/>
      <c r="M1112" s="269"/>
      <c r="N1112" s="269"/>
      <c r="O1112" s="269"/>
      <c r="P1112" s="269"/>
      <c r="Q1112" s="269"/>
      <c r="R1112" s="269"/>
      <c r="S1112" s="269"/>
      <c r="T1112" s="269"/>
      <c r="U1112" s="269"/>
      <c r="V1112" s="269"/>
      <c r="W1112" s="269"/>
      <c r="X1112" s="269"/>
      <c r="Y1112" s="269"/>
      <c r="Z1112" s="269"/>
      <c r="AA1112" s="269"/>
      <c r="AB1112" s="269"/>
      <c r="AC1112" s="269"/>
      <c r="AD1112" s="269"/>
      <c r="AE1112" s="269"/>
      <c r="AF1112" s="269"/>
      <c r="AG1112" s="269"/>
      <c r="AH1112" s="269"/>
      <c r="AI1112" s="269"/>
      <c r="AJ1112" s="269"/>
      <c r="AK1112" s="269"/>
      <c r="AL1112" s="269"/>
      <c r="AM1112" s="269"/>
      <c r="AN1112" s="269"/>
      <c r="AO1112" s="269"/>
      <c r="AP1112" s="269"/>
      <c r="AQ1112" s="269"/>
      <c r="AR1112" s="269"/>
    </row>
    <row r="1113">
      <c r="A1113" s="410"/>
      <c r="B1113" s="410"/>
      <c r="C1113" s="410"/>
      <c r="D1113" s="410"/>
      <c r="E1113" s="410"/>
      <c r="F1113" s="410"/>
      <c r="H1113" s="269"/>
      <c r="I1113" s="269"/>
      <c r="J1113" s="269"/>
      <c r="K1113" s="269"/>
      <c r="L1113" s="269"/>
      <c r="M1113" s="269"/>
      <c r="N1113" s="269"/>
      <c r="O1113" s="269"/>
      <c r="P1113" s="269"/>
      <c r="Q1113" s="269"/>
      <c r="R1113" s="269"/>
      <c r="S1113" s="269"/>
      <c r="T1113" s="269"/>
      <c r="U1113" s="269"/>
      <c r="V1113" s="269"/>
      <c r="W1113" s="269"/>
      <c r="X1113" s="269"/>
      <c r="Y1113" s="269"/>
      <c r="Z1113" s="269"/>
      <c r="AA1113" s="269"/>
      <c r="AB1113" s="269"/>
      <c r="AC1113" s="269"/>
      <c r="AD1113" s="269"/>
      <c r="AE1113" s="269"/>
      <c r="AF1113" s="269"/>
      <c r="AG1113" s="269"/>
      <c r="AH1113" s="269"/>
      <c r="AI1113" s="269"/>
      <c r="AJ1113" s="269"/>
      <c r="AK1113" s="269"/>
      <c r="AL1113" s="269"/>
      <c r="AM1113" s="269"/>
      <c r="AN1113" s="269"/>
      <c r="AO1113" s="269"/>
      <c r="AP1113" s="269"/>
      <c r="AQ1113" s="269"/>
      <c r="AR1113" s="269"/>
    </row>
    <row r="1114">
      <c r="A1114" s="410"/>
      <c r="B1114" s="410"/>
      <c r="C1114" s="410"/>
      <c r="D1114" s="410"/>
      <c r="E1114" s="410"/>
      <c r="F1114" s="410"/>
      <c r="H1114" s="269"/>
      <c r="I1114" s="269"/>
      <c r="J1114" s="269"/>
      <c r="K1114" s="269"/>
      <c r="L1114" s="269"/>
      <c r="M1114" s="269"/>
      <c r="N1114" s="269"/>
      <c r="O1114" s="269"/>
      <c r="P1114" s="269"/>
      <c r="Q1114" s="269"/>
      <c r="R1114" s="269"/>
      <c r="S1114" s="269"/>
      <c r="T1114" s="269"/>
      <c r="U1114" s="269"/>
      <c r="V1114" s="269"/>
      <c r="W1114" s="269"/>
      <c r="X1114" s="269"/>
      <c r="Y1114" s="269"/>
      <c r="Z1114" s="269"/>
      <c r="AA1114" s="269"/>
      <c r="AB1114" s="269"/>
      <c r="AC1114" s="269"/>
      <c r="AD1114" s="269"/>
      <c r="AE1114" s="269"/>
      <c r="AF1114" s="269"/>
      <c r="AG1114" s="269"/>
      <c r="AH1114" s="269"/>
      <c r="AI1114" s="269"/>
      <c r="AJ1114" s="269"/>
      <c r="AK1114" s="269"/>
      <c r="AL1114" s="269"/>
      <c r="AM1114" s="269"/>
      <c r="AN1114" s="269"/>
      <c r="AO1114" s="269"/>
      <c r="AP1114" s="269"/>
      <c r="AQ1114" s="269"/>
      <c r="AR1114" s="269"/>
    </row>
    <row r="1115">
      <c r="A1115" s="410"/>
      <c r="B1115" s="410"/>
      <c r="C1115" s="410"/>
      <c r="D1115" s="410"/>
      <c r="E1115" s="410"/>
      <c r="F1115" s="410"/>
      <c r="H1115" s="269"/>
      <c r="I1115" s="269"/>
      <c r="J1115" s="269"/>
      <c r="K1115" s="269"/>
      <c r="L1115" s="269"/>
      <c r="M1115" s="269"/>
      <c r="N1115" s="269"/>
      <c r="O1115" s="269"/>
      <c r="P1115" s="269"/>
      <c r="Q1115" s="269"/>
      <c r="R1115" s="269"/>
      <c r="S1115" s="269"/>
      <c r="T1115" s="269"/>
      <c r="U1115" s="269"/>
      <c r="V1115" s="269"/>
      <c r="W1115" s="269"/>
      <c r="X1115" s="269"/>
      <c r="Y1115" s="269"/>
      <c r="Z1115" s="269"/>
      <c r="AA1115" s="269"/>
      <c r="AB1115" s="269"/>
      <c r="AC1115" s="269"/>
      <c r="AD1115" s="269"/>
      <c r="AE1115" s="269"/>
      <c r="AF1115" s="269"/>
      <c r="AG1115" s="269"/>
      <c r="AH1115" s="269"/>
      <c r="AI1115" s="269"/>
      <c r="AJ1115" s="269"/>
      <c r="AK1115" s="269"/>
      <c r="AL1115" s="269"/>
      <c r="AM1115" s="269"/>
      <c r="AN1115" s="269"/>
      <c r="AO1115" s="269"/>
      <c r="AP1115" s="269"/>
      <c r="AQ1115" s="269"/>
      <c r="AR1115" s="269"/>
    </row>
    <row r="1116">
      <c r="A1116" s="410"/>
      <c r="B1116" s="410"/>
      <c r="C1116" s="410"/>
      <c r="D1116" s="410"/>
      <c r="E1116" s="410"/>
      <c r="F1116" s="410"/>
      <c r="H1116" s="269"/>
      <c r="I1116" s="269"/>
      <c r="J1116" s="269"/>
      <c r="K1116" s="269"/>
      <c r="L1116" s="269"/>
      <c r="M1116" s="269"/>
      <c r="N1116" s="269"/>
      <c r="O1116" s="269"/>
      <c r="P1116" s="269"/>
      <c r="Q1116" s="269"/>
      <c r="R1116" s="269"/>
      <c r="S1116" s="269"/>
      <c r="T1116" s="269"/>
      <c r="U1116" s="269"/>
      <c r="V1116" s="269"/>
      <c r="W1116" s="269"/>
      <c r="X1116" s="269"/>
      <c r="Y1116" s="269"/>
      <c r="Z1116" s="269"/>
      <c r="AA1116" s="269"/>
      <c r="AB1116" s="269"/>
      <c r="AC1116" s="269"/>
      <c r="AD1116" s="269"/>
      <c r="AE1116" s="269"/>
      <c r="AF1116" s="269"/>
      <c r="AG1116" s="269"/>
      <c r="AH1116" s="269"/>
      <c r="AI1116" s="269"/>
      <c r="AJ1116" s="269"/>
      <c r="AK1116" s="269"/>
      <c r="AL1116" s="269"/>
      <c r="AM1116" s="269"/>
      <c r="AN1116" s="269"/>
      <c r="AO1116" s="269"/>
      <c r="AP1116" s="269"/>
      <c r="AQ1116" s="269"/>
      <c r="AR1116" s="269"/>
    </row>
    <row r="1117">
      <c r="A1117" s="410"/>
      <c r="B1117" s="410"/>
      <c r="C1117" s="410"/>
      <c r="D1117" s="410"/>
      <c r="E1117" s="410"/>
      <c r="F1117" s="410"/>
      <c r="H1117" s="269"/>
      <c r="I1117" s="269"/>
      <c r="J1117" s="269"/>
      <c r="K1117" s="269"/>
      <c r="L1117" s="269"/>
      <c r="M1117" s="269"/>
      <c r="N1117" s="269"/>
      <c r="O1117" s="269"/>
      <c r="P1117" s="269"/>
      <c r="Q1117" s="269"/>
      <c r="R1117" s="269"/>
      <c r="S1117" s="269"/>
      <c r="T1117" s="269"/>
      <c r="U1117" s="269"/>
      <c r="V1117" s="269"/>
      <c r="W1117" s="269"/>
      <c r="X1117" s="269"/>
      <c r="Y1117" s="269"/>
      <c r="Z1117" s="269"/>
      <c r="AA1117" s="269"/>
      <c r="AB1117" s="269"/>
      <c r="AC1117" s="269"/>
      <c r="AD1117" s="269"/>
      <c r="AE1117" s="269"/>
      <c r="AF1117" s="269"/>
      <c r="AG1117" s="269"/>
      <c r="AH1117" s="269"/>
      <c r="AI1117" s="269"/>
      <c r="AJ1117" s="269"/>
      <c r="AK1117" s="269"/>
      <c r="AL1117" s="269"/>
      <c r="AM1117" s="269"/>
      <c r="AN1117" s="269"/>
      <c r="AO1117" s="269"/>
      <c r="AP1117" s="269"/>
      <c r="AQ1117" s="269"/>
      <c r="AR1117" s="269"/>
    </row>
    <row r="1118">
      <c r="A1118" s="410"/>
      <c r="B1118" s="410"/>
      <c r="C1118" s="410"/>
      <c r="D1118" s="410"/>
      <c r="E1118" s="410"/>
      <c r="F1118" s="410"/>
      <c r="H1118" s="269"/>
      <c r="I1118" s="269"/>
      <c r="J1118" s="269"/>
      <c r="K1118" s="269"/>
      <c r="L1118" s="269"/>
      <c r="M1118" s="269"/>
      <c r="N1118" s="269"/>
      <c r="O1118" s="269"/>
      <c r="P1118" s="269"/>
      <c r="Q1118" s="269"/>
      <c r="R1118" s="269"/>
      <c r="S1118" s="269"/>
      <c r="T1118" s="269"/>
      <c r="U1118" s="269"/>
      <c r="V1118" s="269"/>
      <c r="W1118" s="269"/>
      <c r="X1118" s="269"/>
      <c r="Y1118" s="269"/>
      <c r="Z1118" s="269"/>
      <c r="AA1118" s="269"/>
      <c r="AB1118" s="269"/>
      <c r="AC1118" s="269"/>
      <c r="AD1118" s="269"/>
      <c r="AE1118" s="269"/>
      <c r="AF1118" s="269"/>
      <c r="AG1118" s="269"/>
      <c r="AH1118" s="269"/>
      <c r="AI1118" s="269"/>
      <c r="AJ1118" s="269"/>
      <c r="AK1118" s="269"/>
      <c r="AL1118" s="269"/>
      <c r="AM1118" s="269"/>
      <c r="AN1118" s="269"/>
      <c r="AO1118" s="269"/>
      <c r="AP1118" s="269"/>
      <c r="AQ1118" s="269"/>
      <c r="AR1118" s="269"/>
    </row>
    <row r="1119">
      <c r="A1119" s="410"/>
      <c r="B1119" s="410"/>
      <c r="C1119" s="410"/>
      <c r="D1119" s="410"/>
      <c r="E1119" s="410"/>
      <c r="F1119" s="410"/>
      <c r="H1119" s="269"/>
      <c r="I1119" s="269"/>
      <c r="J1119" s="269"/>
      <c r="K1119" s="269"/>
      <c r="L1119" s="269"/>
      <c r="M1119" s="269"/>
      <c r="N1119" s="269"/>
      <c r="O1119" s="269"/>
      <c r="P1119" s="269"/>
      <c r="Q1119" s="269"/>
      <c r="R1119" s="269"/>
      <c r="S1119" s="269"/>
      <c r="T1119" s="269"/>
      <c r="U1119" s="269"/>
      <c r="V1119" s="269"/>
      <c r="W1119" s="269"/>
      <c r="X1119" s="269"/>
      <c r="Y1119" s="269"/>
      <c r="Z1119" s="269"/>
      <c r="AA1119" s="269"/>
      <c r="AB1119" s="269"/>
      <c r="AC1119" s="269"/>
      <c r="AD1119" s="269"/>
      <c r="AE1119" s="269"/>
      <c r="AF1119" s="269"/>
      <c r="AG1119" s="269"/>
      <c r="AH1119" s="269"/>
      <c r="AI1119" s="269"/>
      <c r="AJ1119" s="269"/>
      <c r="AK1119" s="269"/>
      <c r="AL1119" s="269"/>
      <c r="AM1119" s="269"/>
      <c r="AN1119" s="269"/>
      <c r="AO1119" s="269"/>
      <c r="AP1119" s="269"/>
      <c r="AQ1119" s="269"/>
      <c r="AR1119" s="269"/>
    </row>
    <row r="1120">
      <c r="A1120" s="410"/>
      <c r="B1120" s="410"/>
      <c r="C1120" s="410"/>
      <c r="D1120" s="410"/>
      <c r="E1120" s="410"/>
      <c r="F1120" s="410"/>
      <c r="H1120" s="269"/>
      <c r="I1120" s="269"/>
      <c r="J1120" s="269"/>
      <c r="K1120" s="269"/>
      <c r="L1120" s="269"/>
      <c r="M1120" s="269"/>
      <c r="N1120" s="269"/>
      <c r="O1120" s="269"/>
      <c r="P1120" s="269"/>
      <c r="Q1120" s="269"/>
      <c r="R1120" s="269"/>
      <c r="S1120" s="269"/>
      <c r="T1120" s="269"/>
      <c r="U1120" s="269"/>
      <c r="V1120" s="269"/>
      <c r="W1120" s="269"/>
      <c r="X1120" s="269"/>
      <c r="Y1120" s="269"/>
      <c r="Z1120" s="269"/>
      <c r="AA1120" s="269"/>
      <c r="AB1120" s="269"/>
      <c r="AC1120" s="269"/>
      <c r="AD1120" s="269"/>
      <c r="AE1120" s="269"/>
      <c r="AF1120" s="269"/>
      <c r="AG1120" s="269"/>
      <c r="AH1120" s="269"/>
      <c r="AI1120" s="269"/>
      <c r="AJ1120" s="269"/>
      <c r="AK1120" s="269"/>
      <c r="AL1120" s="269"/>
      <c r="AM1120" s="269"/>
      <c r="AN1120" s="269"/>
      <c r="AO1120" s="269"/>
      <c r="AP1120" s="269"/>
      <c r="AQ1120" s="269"/>
      <c r="AR1120" s="269"/>
    </row>
    <row r="1121">
      <c r="A1121" s="410"/>
      <c r="B1121" s="410"/>
      <c r="C1121" s="410"/>
      <c r="D1121" s="410"/>
      <c r="E1121" s="410"/>
      <c r="F1121" s="410"/>
      <c r="H1121" s="269"/>
      <c r="I1121" s="269"/>
      <c r="J1121" s="269"/>
      <c r="K1121" s="269"/>
      <c r="L1121" s="269"/>
      <c r="M1121" s="269"/>
      <c r="N1121" s="269"/>
      <c r="O1121" s="269"/>
      <c r="P1121" s="269"/>
      <c r="Q1121" s="269"/>
      <c r="R1121" s="269"/>
      <c r="S1121" s="269"/>
      <c r="T1121" s="269"/>
      <c r="U1121" s="269"/>
      <c r="V1121" s="269"/>
      <c r="W1121" s="269"/>
      <c r="X1121" s="269"/>
      <c r="Y1121" s="269"/>
      <c r="Z1121" s="269"/>
      <c r="AA1121" s="269"/>
      <c r="AB1121" s="269"/>
      <c r="AC1121" s="269"/>
      <c r="AD1121" s="269"/>
      <c r="AE1121" s="269"/>
      <c r="AF1121" s="269"/>
      <c r="AG1121" s="269"/>
      <c r="AH1121" s="269"/>
      <c r="AI1121" s="269"/>
      <c r="AJ1121" s="269"/>
      <c r="AK1121" s="269"/>
      <c r="AL1121" s="269"/>
      <c r="AM1121" s="269"/>
      <c r="AN1121" s="269"/>
      <c r="AO1121" s="269"/>
      <c r="AP1121" s="269"/>
      <c r="AQ1121" s="269"/>
      <c r="AR1121" s="269"/>
    </row>
    <row r="1122">
      <c r="A1122" s="410"/>
      <c r="B1122" s="410"/>
      <c r="C1122" s="410"/>
      <c r="D1122" s="410"/>
      <c r="E1122" s="410"/>
      <c r="F1122" s="410"/>
      <c r="H1122" s="269"/>
      <c r="I1122" s="269"/>
      <c r="J1122" s="269"/>
      <c r="K1122" s="269"/>
      <c r="L1122" s="269"/>
      <c r="M1122" s="269"/>
      <c r="N1122" s="269"/>
      <c r="O1122" s="269"/>
      <c r="P1122" s="269"/>
      <c r="Q1122" s="269"/>
      <c r="R1122" s="269"/>
      <c r="S1122" s="269"/>
      <c r="T1122" s="269"/>
      <c r="U1122" s="269"/>
      <c r="V1122" s="269"/>
      <c r="W1122" s="269"/>
      <c r="X1122" s="269"/>
      <c r="Y1122" s="269"/>
      <c r="Z1122" s="269"/>
      <c r="AA1122" s="269"/>
      <c r="AB1122" s="269"/>
      <c r="AC1122" s="269"/>
      <c r="AD1122" s="269"/>
      <c r="AE1122" s="269"/>
      <c r="AF1122" s="269"/>
      <c r="AG1122" s="269"/>
      <c r="AH1122" s="269"/>
      <c r="AI1122" s="269"/>
      <c r="AJ1122" s="269"/>
      <c r="AK1122" s="269"/>
      <c r="AL1122" s="269"/>
      <c r="AM1122" s="269"/>
      <c r="AN1122" s="269"/>
      <c r="AO1122" s="269"/>
      <c r="AP1122" s="269"/>
      <c r="AQ1122" s="269"/>
      <c r="AR1122" s="269"/>
    </row>
    <row r="1123">
      <c r="A1123" s="410"/>
      <c r="B1123" s="410"/>
      <c r="C1123" s="410"/>
      <c r="D1123" s="410"/>
      <c r="E1123" s="410"/>
      <c r="F1123" s="410"/>
      <c r="H1123" s="269"/>
      <c r="I1123" s="269"/>
      <c r="J1123" s="269"/>
      <c r="K1123" s="269"/>
      <c r="L1123" s="269"/>
      <c r="M1123" s="269"/>
      <c r="N1123" s="269"/>
      <c r="O1123" s="269"/>
      <c r="P1123" s="269"/>
      <c r="Q1123" s="269"/>
      <c r="R1123" s="269"/>
      <c r="S1123" s="269"/>
      <c r="T1123" s="269"/>
      <c r="U1123" s="269"/>
      <c r="V1123" s="269"/>
      <c r="W1123" s="269"/>
      <c r="X1123" s="269"/>
      <c r="Y1123" s="269"/>
      <c r="Z1123" s="269"/>
      <c r="AA1123" s="269"/>
      <c r="AB1123" s="269"/>
      <c r="AC1123" s="269"/>
      <c r="AD1123" s="269"/>
      <c r="AE1123" s="269"/>
      <c r="AF1123" s="269"/>
      <c r="AG1123" s="269"/>
      <c r="AH1123" s="269"/>
      <c r="AI1123" s="269"/>
      <c r="AJ1123" s="269"/>
      <c r="AK1123" s="269"/>
      <c r="AL1123" s="269"/>
      <c r="AM1123" s="269"/>
      <c r="AN1123" s="269"/>
      <c r="AO1123" s="269"/>
      <c r="AP1123" s="269"/>
      <c r="AQ1123" s="269"/>
      <c r="AR1123" s="269"/>
    </row>
    <row r="1124">
      <c r="A1124" s="410"/>
      <c r="B1124" s="410"/>
      <c r="C1124" s="410"/>
      <c r="D1124" s="410"/>
      <c r="E1124" s="410"/>
      <c r="F1124" s="410"/>
      <c r="H1124" s="269"/>
      <c r="I1124" s="269"/>
      <c r="J1124" s="269"/>
      <c r="K1124" s="269"/>
      <c r="L1124" s="269"/>
      <c r="M1124" s="269"/>
      <c r="N1124" s="269"/>
      <c r="O1124" s="269"/>
      <c r="P1124" s="269"/>
      <c r="Q1124" s="269"/>
      <c r="R1124" s="269"/>
      <c r="S1124" s="269"/>
      <c r="T1124" s="269"/>
      <c r="U1124" s="269"/>
      <c r="V1124" s="269"/>
      <c r="W1124" s="269"/>
      <c r="X1124" s="269"/>
      <c r="Y1124" s="269"/>
      <c r="Z1124" s="269"/>
      <c r="AA1124" s="269"/>
      <c r="AB1124" s="269"/>
      <c r="AC1124" s="269"/>
      <c r="AD1124" s="269"/>
      <c r="AE1124" s="269"/>
      <c r="AF1124" s="269"/>
      <c r="AG1124" s="269"/>
      <c r="AH1124" s="269"/>
      <c r="AI1124" s="269"/>
      <c r="AJ1124" s="269"/>
      <c r="AK1124" s="269"/>
      <c r="AL1124" s="269"/>
      <c r="AM1124" s="269"/>
      <c r="AN1124" s="269"/>
      <c r="AO1124" s="269"/>
      <c r="AP1124" s="269"/>
      <c r="AQ1124" s="269"/>
      <c r="AR1124" s="269"/>
    </row>
    <row r="1125">
      <c r="A1125" s="410"/>
      <c r="B1125" s="410"/>
      <c r="C1125" s="410"/>
      <c r="D1125" s="410"/>
      <c r="E1125" s="410"/>
      <c r="F1125" s="410"/>
      <c r="H1125" s="269"/>
      <c r="I1125" s="269"/>
      <c r="J1125" s="269"/>
      <c r="K1125" s="269"/>
      <c r="L1125" s="269"/>
      <c r="M1125" s="269"/>
      <c r="N1125" s="269"/>
      <c r="O1125" s="269"/>
      <c r="P1125" s="269"/>
      <c r="Q1125" s="269"/>
      <c r="R1125" s="269"/>
      <c r="S1125" s="269"/>
      <c r="T1125" s="269"/>
      <c r="U1125" s="269"/>
      <c r="V1125" s="269"/>
      <c r="W1125" s="269"/>
      <c r="X1125" s="269"/>
      <c r="Y1125" s="269"/>
      <c r="Z1125" s="269"/>
      <c r="AA1125" s="269"/>
      <c r="AB1125" s="269"/>
      <c r="AC1125" s="269"/>
      <c r="AD1125" s="269"/>
      <c r="AE1125" s="269"/>
      <c r="AF1125" s="269"/>
      <c r="AG1125" s="269"/>
      <c r="AH1125" s="269"/>
      <c r="AI1125" s="269"/>
      <c r="AJ1125" s="269"/>
      <c r="AK1125" s="269"/>
      <c r="AL1125" s="269"/>
      <c r="AM1125" s="269"/>
      <c r="AN1125" s="269"/>
      <c r="AO1125" s="269"/>
      <c r="AP1125" s="269"/>
      <c r="AQ1125" s="269"/>
      <c r="AR1125" s="269"/>
    </row>
    <row r="1126">
      <c r="A1126" s="410"/>
      <c r="B1126" s="410"/>
      <c r="C1126" s="410"/>
      <c r="D1126" s="410"/>
      <c r="E1126" s="410"/>
      <c r="F1126" s="410"/>
      <c r="H1126" s="269"/>
      <c r="I1126" s="269"/>
      <c r="J1126" s="269"/>
      <c r="K1126" s="269"/>
      <c r="L1126" s="269"/>
      <c r="M1126" s="269"/>
      <c r="N1126" s="269"/>
      <c r="O1126" s="269"/>
      <c r="P1126" s="269"/>
      <c r="Q1126" s="269"/>
      <c r="R1126" s="269"/>
      <c r="S1126" s="269"/>
      <c r="T1126" s="269"/>
      <c r="U1126" s="269"/>
      <c r="V1126" s="269"/>
      <c r="W1126" s="269"/>
      <c r="X1126" s="269"/>
      <c r="Y1126" s="269"/>
      <c r="Z1126" s="269"/>
      <c r="AA1126" s="269"/>
      <c r="AB1126" s="269"/>
      <c r="AC1126" s="269"/>
      <c r="AD1126" s="269"/>
      <c r="AE1126" s="269"/>
      <c r="AF1126" s="269"/>
      <c r="AG1126" s="269"/>
      <c r="AH1126" s="269"/>
      <c r="AI1126" s="269"/>
      <c r="AJ1126" s="269"/>
      <c r="AK1126" s="269"/>
      <c r="AL1126" s="269"/>
      <c r="AM1126" s="269"/>
      <c r="AN1126" s="269"/>
      <c r="AO1126" s="269"/>
      <c r="AP1126" s="269"/>
      <c r="AQ1126" s="269"/>
      <c r="AR1126" s="269"/>
    </row>
    <row r="1127">
      <c r="A1127" s="410"/>
      <c r="B1127" s="410"/>
      <c r="C1127" s="410"/>
      <c r="D1127" s="410"/>
      <c r="E1127" s="410"/>
      <c r="F1127" s="410"/>
      <c r="H1127" s="269"/>
      <c r="I1127" s="269"/>
      <c r="J1127" s="269"/>
      <c r="K1127" s="269"/>
      <c r="L1127" s="269"/>
      <c r="M1127" s="269"/>
      <c r="N1127" s="269"/>
      <c r="O1127" s="269"/>
      <c r="P1127" s="269"/>
      <c r="Q1127" s="269"/>
      <c r="R1127" s="269"/>
      <c r="S1127" s="269"/>
      <c r="T1127" s="269"/>
      <c r="U1127" s="269"/>
      <c r="V1127" s="269"/>
      <c r="W1127" s="269"/>
      <c r="X1127" s="269"/>
      <c r="Y1127" s="269"/>
      <c r="Z1127" s="269"/>
      <c r="AA1127" s="269"/>
      <c r="AB1127" s="269"/>
      <c r="AC1127" s="269"/>
      <c r="AD1127" s="269"/>
      <c r="AE1127" s="269"/>
      <c r="AF1127" s="269"/>
      <c r="AG1127" s="269"/>
      <c r="AH1127" s="269"/>
      <c r="AI1127" s="269"/>
      <c r="AJ1127" s="269"/>
      <c r="AK1127" s="269"/>
      <c r="AL1127" s="269"/>
      <c r="AM1127" s="269"/>
      <c r="AN1127" s="269"/>
      <c r="AO1127" s="269"/>
      <c r="AP1127" s="269"/>
      <c r="AQ1127" s="269"/>
      <c r="AR1127" s="269"/>
    </row>
    <row r="1128">
      <c r="A1128" s="410"/>
      <c r="B1128" s="410"/>
      <c r="C1128" s="410"/>
      <c r="D1128" s="410"/>
      <c r="E1128" s="410"/>
      <c r="F1128" s="410"/>
      <c r="H1128" s="269"/>
      <c r="I1128" s="269"/>
      <c r="J1128" s="269"/>
      <c r="K1128" s="269"/>
      <c r="L1128" s="269"/>
      <c r="M1128" s="269"/>
      <c r="N1128" s="269"/>
      <c r="O1128" s="269"/>
      <c r="P1128" s="269"/>
      <c r="Q1128" s="269"/>
      <c r="R1128" s="269"/>
      <c r="S1128" s="269"/>
      <c r="T1128" s="269"/>
      <c r="U1128" s="269"/>
      <c r="V1128" s="269"/>
      <c r="W1128" s="269"/>
      <c r="X1128" s="269"/>
      <c r="Y1128" s="269"/>
      <c r="Z1128" s="269"/>
      <c r="AA1128" s="269"/>
      <c r="AB1128" s="269"/>
      <c r="AC1128" s="269"/>
      <c r="AD1128" s="269"/>
      <c r="AE1128" s="269"/>
      <c r="AF1128" s="269"/>
      <c r="AG1128" s="269"/>
      <c r="AH1128" s="269"/>
      <c r="AI1128" s="269"/>
      <c r="AJ1128" s="269"/>
      <c r="AK1128" s="269"/>
      <c r="AL1128" s="269"/>
      <c r="AM1128" s="269"/>
      <c r="AN1128" s="269"/>
      <c r="AO1128" s="269"/>
      <c r="AP1128" s="269"/>
      <c r="AQ1128" s="269"/>
      <c r="AR1128" s="269"/>
    </row>
    <row r="1129">
      <c r="A1129" s="410"/>
      <c r="B1129" s="410"/>
      <c r="C1129" s="410"/>
      <c r="D1129" s="410"/>
      <c r="E1129" s="410"/>
      <c r="F1129" s="410"/>
      <c r="H1129" s="269"/>
      <c r="I1129" s="269"/>
      <c r="J1129" s="269"/>
      <c r="K1129" s="269"/>
      <c r="L1129" s="269"/>
      <c r="M1129" s="269"/>
      <c r="N1129" s="269"/>
      <c r="O1129" s="269"/>
      <c r="P1129" s="269"/>
      <c r="Q1129" s="269"/>
      <c r="R1129" s="269"/>
      <c r="S1129" s="269"/>
      <c r="T1129" s="269"/>
      <c r="U1129" s="269"/>
      <c r="V1129" s="269"/>
      <c r="W1129" s="269"/>
      <c r="X1129" s="269"/>
      <c r="Y1129" s="269"/>
      <c r="Z1129" s="269"/>
      <c r="AA1129" s="269"/>
      <c r="AB1129" s="269"/>
      <c r="AC1129" s="269"/>
      <c r="AD1129" s="269"/>
      <c r="AE1129" s="269"/>
      <c r="AF1129" s="269"/>
      <c r="AG1129" s="269"/>
      <c r="AH1129" s="269"/>
      <c r="AI1129" s="269"/>
      <c r="AJ1129" s="269"/>
      <c r="AK1129" s="269"/>
      <c r="AL1129" s="269"/>
      <c r="AM1129" s="269"/>
      <c r="AN1129" s="269"/>
      <c r="AO1129" s="269"/>
      <c r="AP1129" s="269"/>
      <c r="AQ1129" s="269"/>
      <c r="AR1129" s="269"/>
    </row>
    <row r="1130">
      <c r="A1130" s="410"/>
      <c r="B1130" s="410"/>
      <c r="C1130" s="410"/>
      <c r="D1130" s="410"/>
      <c r="E1130" s="410"/>
      <c r="F1130" s="410"/>
      <c r="H1130" s="269"/>
      <c r="I1130" s="269"/>
      <c r="J1130" s="269"/>
      <c r="K1130" s="269"/>
      <c r="L1130" s="269"/>
      <c r="M1130" s="269"/>
      <c r="N1130" s="269"/>
      <c r="O1130" s="269"/>
      <c r="P1130" s="269"/>
      <c r="Q1130" s="269"/>
      <c r="R1130" s="269"/>
      <c r="S1130" s="269"/>
      <c r="T1130" s="269"/>
      <c r="U1130" s="269"/>
      <c r="V1130" s="269"/>
      <c r="W1130" s="269"/>
      <c r="X1130" s="269"/>
      <c r="Y1130" s="269"/>
      <c r="Z1130" s="269"/>
      <c r="AA1130" s="269"/>
      <c r="AB1130" s="269"/>
      <c r="AC1130" s="269"/>
      <c r="AD1130" s="269"/>
      <c r="AE1130" s="269"/>
      <c r="AF1130" s="269"/>
      <c r="AG1130" s="269"/>
      <c r="AH1130" s="269"/>
      <c r="AI1130" s="269"/>
      <c r="AJ1130" s="269"/>
      <c r="AK1130" s="269"/>
      <c r="AL1130" s="269"/>
      <c r="AM1130" s="269"/>
      <c r="AN1130" s="269"/>
      <c r="AO1130" s="269"/>
      <c r="AP1130" s="269"/>
      <c r="AQ1130" s="269"/>
      <c r="AR1130" s="269"/>
    </row>
    <row r="1131">
      <c r="A1131" s="410"/>
      <c r="B1131" s="410"/>
      <c r="C1131" s="410"/>
      <c r="D1131" s="410"/>
      <c r="E1131" s="410"/>
      <c r="F1131" s="410"/>
      <c r="H1131" s="269"/>
      <c r="I1131" s="269"/>
      <c r="J1131" s="269"/>
      <c r="K1131" s="269"/>
      <c r="L1131" s="269"/>
      <c r="M1131" s="269"/>
      <c r="N1131" s="269"/>
      <c r="O1131" s="269"/>
      <c r="P1131" s="269"/>
      <c r="Q1131" s="269"/>
      <c r="R1131" s="269"/>
      <c r="S1131" s="269"/>
      <c r="T1131" s="269"/>
      <c r="U1131" s="269"/>
      <c r="V1131" s="269"/>
      <c r="W1131" s="269"/>
      <c r="X1131" s="269"/>
      <c r="Y1131" s="269"/>
      <c r="Z1131" s="269"/>
      <c r="AA1131" s="269"/>
      <c r="AB1131" s="269"/>
      <c r="AC1131" s="269"/>
      <c r="AD1131" s="269"/>
      <c r="AE1131" s="269"/>
      <c r="AF1131" s="269"/>
      <c r="AG1131" s="269"/>
      <c r="AH1131" s="269"/>
      <c r="AI1131" s="269"/>
      <c r="AJ1131" s="269"/>
      <c r="AK1131" s="269"/>
      <c r="AL1131" s="269"/>
      <c r="AM1131" s="269"/>
      <c r="AN1131" s="269"/>
      <c r="AO1131" s="269"/>
      <c r="AP1131" s="269"/>
      <c r="AQ1131" s="269"/>
      <c r="AR1131" s="269"/>
    </row>
    <row r="1132">
      <c r="A1132" s="410"/>
      <c r="B1132" s="410"/>
      <c r="C1132" s="410"/>
      <c r="D1132" s="410"/>
      <c r="E1132" s="410"/>
      <c r="F1132" s="410"/>
      <c r="H1132" s="269"/>
      <c r="I1132" s="269"/>
      <c r="J1132" s="269"/>
      <c r="K1132" s="269"/>
      <c r="L1132" s="269"/>
      <c r="M1132" s="269"/>
      <c r="N1132" s="269"/>
      <c r="O1132" s="269"/>
      <c r="P1132" s="269"/>
      <c r="Q1132" s="269"/>
      <c r="R1132" s="269"/>
      <c r="S1132" s="269"/>
      <c r="T1132" s="269"/>
      <c r="U1132" s="269"/>
      <c r="V1132" s="269"/>
      <c r="W1132" s="269"/>
      <c r="X1132" s="269"/>
      <c r="Y1132" s="269"/>
      <c r="Z1132" s="269"/>
      <c r="AA1132" s="269"/>
      <c r="AB1132" s="269"/>
      <c r="AC1132" s="269"/>
      <c r="AD1132" s="269"/>
      <c r="AE1132" s="269"/>
      <c r="AF1132" s="269"/>
      <c r="AG1132" s="269"/>
      <c r="AH1132" s="269"/>
      <c r="AI1132" s="269"/>
      <c r="AJ1132" s="269"/>
      <c r="AK1132" s="269"/>
      <c r="AL1132" s="269"/>
      <c r="AM1132" s="269"/>
      <c r="AN1132" s="269"/>
      <c r="AO1132" s="269"/>
      <c r="AP1132" s="269"/>
      <c r="AQ1132" s="269"/>
      <c r="AR1132" s="269"/>
    </row>
    <row r="1133">
      <c r="A1133" s="410"/>
      <c r="B1133" s="410"/>
      <c r="C1133" s="410"/>
      <c r="D1133" s="410"/>
      <c r="E1133" s="410"/>
      <c r="F1133" s="410"/>
      <c r="H1133" s="269"/>
      <c r="I1133" s="269"/>
      <c r="J1133" s="269"/>
      <c r="K1133" s="269"/>
      <c r="L1133" s="269"/>
      <c r="M1133" s="269"/>
      <c r="N1133" s="269"/>
      <c r="O1133" s="269"/>
      <c r="P1133" s="269"/>
      <c r="Q1133" s="269"/>
      <c r="R1133" s="269"/>
      <c r="S1133" s="269"/>
      <c r="T1133" s="269"/>
      <c r="U1133" s="269"/>
      <c r="V1133" s="269"/>
      <c r="W1133" s="269"/>
      <c r="X1133" s="269"/>
      <c r="Y1133" s="269"/>
      <c r="Z1133" s="269"/>
      <c r="AA1133" s="269"/>
      <c r="AB1133" s="269"/>
      <c r="AC1133" s="269"/>
      <c r="AD1133" s="269"/>
      <c r="AE1133" s="269"/>
      <c r="AF1133" s="269"/>
      <c r="AG1133" s="269"/>
      <c r="AH1133" s="269"/>
      <c r="AI1133" s="269"/>
      <c r="AJ1133" s="269"/>
      <c r="AK1133" s="269"/>
      <c r="AL1133" s="269"/>
      <c r="AM1133" s="269"/>
      <c r="AN1133" s="269"/>
      <c r="AO1133" s="269"/>
      <c r="AP1133" s="269"/>
      <c r="AQ1133" s="269"/>
      <c r="AR1133" s="269"/>
    </row>
    <row r="1134">
      <c r="A1134" s="410"/>
      <c r="B1134" s="410"/>
      <c r="C1134" s="410"/>
      <c r="D1134" s="410"/>
      <c r="E1134" s="410"/>
      <c r="F1134" s="410"/>
      <c r="H1134" s="269"/>
      <c r="I1134" s="269"/>
      <c r="J1134" s="269"/>
      <c r="K1134" s="269"/>
      <c r="L1134" s="269"/>
      <c r="M1134" s="269"/>
      <c r="N1134" s="269"/>
      <c r="O1134" s="269"/>
      <c r="P1134" s="269"/>
      <c r="Q1134" s="269"/>
      <c r="R1134" s="269"/>
      <c r="S1134" s="269"/>
      <c r="T1134" s="269"/>
      <c r="U1134" s="269"/>
      <c r="V1134" s="269"/>
      <c r="W1134" s="269"/>
      <c r="X1134" s="269"/>
      <c r="Y1134" s="269"/>
      <c r="Z1134" s="269"/>
      <c r="AA1134" s="269"/>
      <c r="AB1134" s="269"/>
      <c r="AC1134" s="269"/>
      <c r="AD1134" s="269"/>
      <c r="AE1134" s="269"/>
      <c r="AF1134" s="269"/>
      <c r="AG1134" s="269"/>
      <c r="AH1134" s="269"/>
      <c r="AI1134" s="269"/>
      <c r="AJ1134" s="269"/>
      <c r="AK1134" s="269"/>
      <c r="AL1134" s="269"/>
      <c r="AM1134" s="269"/>
      <c r="AN1134" s="269"/>
      <c r="AO1134" s="269"/>
      <c r="AP1134" s="269"/>
      <c r="AQ1134" s="269"/>
      <c r="AR1134" s="269"/>
    </row>
    <row r="1135">
      <c r="A1135" s="410"/>
      <c r="B1135" s="410"/>
      <c r="C1135" s="410"/>
      <c r="D1135" s="410"/>
      <c r="E1135" s="410"/>
      <c r="F1135" s="410"/>
      <c r="H1135" s="269"/>
      <c r="I1135" s="269"/>
      <c r="J1135" s="269"/>
      <c r="K1135" s="269"/>
      <c r="L1135" s="269"/>
      <c r="M1135" s="269"/>
      <c r="N1135" s="269"/>
      <c r="O1135" s="269"/>
      <c r="P1135" s="269"/>
      <c r="Q1135" s="269"/>
      <c r="R1135" s="269"/>
      <c r="S1135" s="269"/>
      <c r="T1135" s="269"/>
      <c r="U1135" s="269"/>
      <c r="V1135" s="269"/>
      <c r="W1135" s="269"/>
      <c r="X1135" s="269"/>
      <c r="Y1135" s="269"/>
      <c r="Z1135" s="269"/>
      <c r="AA1135" s="269"/>
      <c r="AB1135" s="269"/>
      <c r="AC1135" s="269"/>
      <c r="AD1135" s="269"/>
      <c r="AE1135" s="269"/>
      <c r="AF1135" s="269"/>
      <c r="AG1135" s="269"/>
      <c r="AH1135" s="269"/>
      <c r="AI1135" s="269"/>
      <c r="AJ1135" s="269"/>
      <c r="AK1135" s="269"/>
      <c r="AL1135" s="269"/>
      <c r="AM1135" s="269"/>
      <c r="AN1135" s="269"/>
      <c r="AO1135" s="269"/>
      <c r="AP1135" s="269"/>
      <c r="AQ1135" s="269"/>
      <c r="AR1135" s="269"/>
    </row>
    <row r="1136">
      <c r="A1136" s="410"/>
      <c r="B1136" s="410"/>
      <c r="C1136" s="410"/>
      <c r="D1136" s="410"/>
      <c r="E1136" s="410"/>
      <c r="F1136" s="410"/>
      <c r="H1136" s="269"/>
      <c r="I1136" s="269"/>
      <c r="J1136" s="269"/>
      <c r="K1136" s="269"/>
      <c r="L1136" s="269"/>
      <c r="M1136" s="269"/>
      <c r="N1136" s="269"/>
      <c r="O1136" s="269"/>
      <c r="P1136" s="269"/>
      <c r="Q1136" s="269"/>
      <c r="R1136" s="269"/>
      <c r="S1136" s="269"/>
      <c r="T1136" s="269"/>
      <c r="U1136" s="269"/>
      <c r="V1136" s="269"/>
      <c r="W1136" s="269"/>
      <c r="X1136" s="269"/>
      <c r="Y1136" s="269"/>
      <c r="Z1136" s="269"/>
      <c r="AA1136" s="269"/>
      <c r="AB1136" s="269"/>
      <c r="AC1136" s="269"/>
      <c r="AD1136" s="269"/>
      <c r="AE1136" s="269"/>
      <c r="AF1136" s="269"/>
      <c r="AG1136" s="269"/>
      <c r="AH1136" s="269"/>
      <c r="AI1136" s="269"/>
      <c r="AJ1136" s="269"/>
      <c r="AK1136" s="269"/>
      <c r="AL1136" s="269"/>
      <c r="AM1136" s="269"/>
      <c r="AN1136" s="269"/>
      <c r="AO1136" s="269"/>
      <c r="AP1136" s="269"/>
      <c r="AQ1136" s="269"/>
      <c r="AR1136" s="269"/>
    </row>
    <row r="1137">
      <c r="A1137" s="410"/>
      <c r="B1137" s="410"/>
      <c r="C1137" s="410"/>
      <c r="D1137" s="410"/>
      <c r="E1137" s="410"/>
      <c r="F1137" s="410"/>
      <c r="H1137" s="269"/>
      <c r="I1137" s="269"/>
      <c r="J1137" s="269"/>
      <c r="K1137" s="269"/>
      <c r="L1137" s="269"/>
      <c r="M1137" s="269"/>
      <c r="N1137" s="269"/>
      <c r="O1137" s="269"/>
      <c r="P1137" s="269"/>
      <c r="Q1137" s="269"/>
      <c r="R1137" s="269"/>
      <c r="S1137" s="269"/>
      <c r="T1137" s="269"/>
      <c r="U1137" s="269"/>
      <c r="V1137" s="269"/>
      <c r="W1137" s="269"/>
      <c r="X1137" s="269"/>
      <c r="Y1137" s="269"/>
      <c r="Z1137" s="269"/>
      <c r="AA1137" s="269"/>
      <c r="AB1137" s="269"/>
      <c r="AC1137" s="269"/>
      <c r="AD1137" s="269"/>
      <c r="AE1137" s="269"/>
      <c r="AF1137" s="269"/>
      <c r="AG1137" s="269"/>
      <c r="AH1137" s="269"/>
      <c r="AI1137" s="269"/>
      <c r="AJ1137" s="269"/>
      <c r="AK1137" s="269"/>
      <c r="AL1137" s="269"/>
      <c r="AM1137" s="269"/>
      <c r="AN1137" s="269"/>
      <c r="AO1137" s="269"/>
      <c r="AP1137" s="269"/>
      <c r="AQ1137" s="269"/>
      <c r="AR1137" s="269"/>
    </row>
    <row r="1138">
      <c r="A1138" s="410"/>
      <c r="B1138" s="410"/>
      <c r="C1138" s="410"/>
      <c r="D1138" s="410"/>
      <c r="E1138" s="410"/>
      <c r="F1138" s="410"/>
      <c r="H1138" s="269"/>
      <c r="I1138" s="269"/>
      <c r="J1138" s="269"/>
      <c r="K1138" s="269"/>
      <c r="L1138" s="269"/>
      <c r="M1138" s="269"/>
      <c r="N1138" s="269"/>
      <c r="O1138" s="269"/>
      <c r="P1138" s="269"/>
      <c r="Q1138" s="269"/>
      <c r="R1138" s="269"/>
      <c r="S1138" s="269"/>
      <c r="T1138" s="269"/>
      <c r="U1138" s="269"/>
      <c r="V1138" s="269"/>
      <c r="W1138" s="269"/>
      <c r="X1138" s="269"/>
      <c r="Y1138" s="269"/>
      <c r="Z1138" s="269"/>
      <c r="AA1138" s="269"/>
      <c r="AB1138" s="269"/>
      <c r="AC1138" s="269"/>
      <c r="AD1138" s="269"/>
      <c r="AE1138" s="269"/>
      <c r="AF1138" s="269"/>
      <c r="AG1138" s="269"/>
      <c r="AH1138" s="269"/>
      <c r="AI1138" s="269"/>
      <c r="AJ1138" s="269"/>
      <c r="AK1138" s="269"/>
      <c r="AL1138" s="269"/>
      <c r="AM1138" s="269"/>
      <c r="AN1138" s="269"/>
      <c r="AO1138" s="269"/>
      <c r="AP1138" s="269"/>
      <c r="AQ1138" s="269"/>
      <c r="AR1138" s="269"/>
    </row>
    <row r="1139">
      <c r="A1139" s="410"/>
      <c r="B1139" s="410"/>
      <c r="C1139" s="410"/>
      <c r="D1139" s="410"/>
      <c r="E1139" s="410"/>
      <c r="F1139" s="410"/>
      <c r="H1139" s="269"/>
      <c r="I1139" s="269"/>
      <c r="J1139" s="269"/>
      <c r="K1139" s="269"/>
      <c r="L1139" s="269"/>
      <c r="M1139" s="269"/>
      <c r="N1139" s="269"/>
      <c r="O1139" s="269"/>
      <c r="P1139" s="269"/>
      <c r="Q1139" s="269"/>
      <c r="R1139" s="269"/>
      <c r="S1139" s="269"/>
      <c r="T1139" s="269"/>
      <c r="U1139" s="269"/>
      <c r="V1139" s="269"/>
      <c r="W1139" s="269"/>
      <c r="X1139" s="269"/>
      <c r="Y1139" s="269"/>
      <c r="Z1139" s="269"/>
      <c r="AA1139" s="269"/>
      <c r="AB1139" s="269"/>
      <c r="AC1139" s="269"/>
      <c r="AD1139" s="269"/>
      <c r="AE1139" s="269"/>
      <c r="AF1139" s="269"/>
      <c r="AG1139" s="269"/>
      <c r="AH1139" s="269"/>
      <c r="AI1139" s="269"/>
      <c r="AJ1139" s="269"/>
      <c r="AK1139" s="269"/>
      <c r="AL1139" s="269"/>
      <c r="AM1139" s="269"/>
      <c r="AN1139" s="269"/>
      <c r="AO1139" s="269"/>
      <c r="AP1139" s="269"/>
      <c r="AQ1139" s="269"/>
      <c r="AR1139" s="269"/>
    </row>
    <row r="1140">
      <c r="A1140" s="410"/>
      <c r="B1140" s="410"/>
      <c r="C1140" s="410"/>
      <c r="D1140" s="410"/>
      <c r="E1140" s="410"/>
      <c r="F1140" s="410"/>
      <c r="H1140" s="269"/>
      <c r="I1140" s="269"/>
      <c r="J1140" s="269"/>
      <c r="K1140" s="269"/>
      <c r="L1140" s="269"/>
      <c r="M1140" s="269"/>
      <c r="N1140" s="269"/>
      <c r="O1140" s="269"/>
      <c r="P1140" s="269"/>
      <c r="Q1140" s="269"/>
      <c r="R1140" s="269"/>
      <c r="S1140" s="269"/>
      <c r="T1140" s="269"/>
      <c r="U1140" s="269"/>
      <c r="V1140" s="269"/>
      <c r="W1140" s="269"/>
      <c r="X1140" s="269"/>
      <c r="Y1140" s="269"/>
      <c r="Z1140" s="269"/>
      <c r="AA1140" s="269"/>
      <c r="AB1140" s="269"/>
      <c r="AC1140" s="269"/>
      <c r="AD1140" s="269"/>
      <c r="AE1140" s="269"/>
      <c r="AF1140" s="269"/>
      <c r="AG1140" s="269"/>
      <c r="AH1140" s="269"/>
      <c r="AI1140" s="269"/>
      <c r="AJ1140" s="269"/>
      <c r="AK1140" s="269"/>
      <c r="AL1140" s="269"/>
      <c r="AM1140" s="269"/>
      <c r="AN1140" s="269"/>
      <c r="AO1140" s="269"/>
      <c r="AP1140" s="269"/>
      <c r="AQ1140" s="269"/>
      <c r="AR1140" s="269"/>
    </row>
    <row r="1141">
      <c r="A1141" s="410"/>
      <c r="B1141" s="410"/>
      <c r="C1141" s="410"/>
      <c r="D1141" s="410"/>
      <c r="E1141" s="410"/>
      <c r="F1141" s="410"/>
      <c r="H1141" s="269"/>
      <c r="I1141" s="269"/>
      <c r="J1141" s="269"/>
      <c r="K1141" s="269"/>
      <c r="L1141" s="269"/>
      <c r="M1141" s="269"/>
      <c r="N1141" s="269"/>
      <c r="O1141" s="269"/>
      <c r="P1141" s="269"/>
      <c r="Q1141" s="269"/>
      <c r="R1141" s="269"/>
      <c r="S1141" s="269"/>
      <c r="T1141" s="269"/>
      <c r="U1141" s="269"/>
      <c r="V1141" s="269"/>
      <c r="W1141" s="269"/>
      <c r="X1141" s="269"/>
      <c r="Y1141" s="269"/>
      <c r="Z1141" s="269"/>
      <c r="AA1141" s="269"/>
      <c r="AB1141" s="269"/>
      <c r="AC1141" s="269"/>
      <c r="AD1141" s="269"/>
      <c r="AE1141" s="269"/>
      <c r="AF1141" s="269"/>
      <c r="AG1141" s="269"/>
      <c r="AH1141" s="269"/>
      <c r="AI1141" s="269"/>
      <c r="AJ1141" s="269"/>
      <c r="AK1141" s="269"/>
      <c r="AL1141" s="269"/>
      <c r="AM1141" s="269"/>
      <c r="AN1141" s="269"/>
      <c r="AO1141" s="269"/>
      <c r="AP1141" s="269"/>
      <c r="AQ1141" s="269"/>
      <c r="AR1141" s="269"/>
    </row>
    <row r="1142">
      <c r="A1142" s="410"/>
      <c r="B1142" s="410"/>
      <c r="C1142" s="410"/>
      <c r="D1142" s="410"/>
      <c r="E1142" s="410"/>
      <c r="F1142" s="410"/>
      <c r="H1142" s="269"/>
      <c r="I1142" s="269"/>
      <c r="J1142" s="269"/>
      <c r="K1142" s="269"/>
      <c r="L1142" s="269"/>
      <c r="M1142" s="269"/>
      <c r="N1142" s="269"/>
      <c r="O1142" s="269"/>
      <c r="P1142" s="269"/>
      <c r="Q1142" s="269"/>
      <c r="R1142" s="269"/>
      <c r="S1142" s="269"/>
      <c r="T1142" s="269"/>
      <c r="U1142" s="269"/>
      <c r="V1142" s="269"/>
      <c r="W1142" s="269"/>
      <c r="X1142" s="269"/>
      <c r="Y1142" s="269"/>
      <c r="Z1142" s="269"/>
      <c r="AA1142" s="269"/>
      <c r="AB1142" s="269"/>
      <c r="AC1142" s="269"/>
      <c r="AD1142" s="269"/>
      <c r="AE1142" s="269"/>
      <c r="AF1142" s="269"/>
      <c r="AG1142" s="269"/>
      <c r="AH1142" s="269"/>
      <c r="AI1142" s="269"/>
      <c r="AJ1142" s="269"/>
      <c r="AK1142" s="269"/>
      <c r="AL1142" s="269"/>
      <c r="AM1142" s="269"/>
      <c r="AN1142" s="269"/>
      <c r="AO1142" s="269"/>
      <c r="AP1142" s="269"/>
      <c r="AQ1142" s="269"/>
      <c r="AR1142" s="269"/>
    </row>
    <row r="1143">
      <c r="A1143" s="410"/>
      <c r="B1143" s="410"/>
      <c r="C1143" s="410"/>
      <c r="D1143" s="410"/>
      <c r="E1143" s="410"/>
      <c r="F1143" s="410"/>
      <c r="H1143" s="269"/>
      <c r="I1143" s="269"/>
      <c r="J1143" s="269"/>
      <c r="K1143" s="269"/>
      <c r="L1143" s="269"/>
      <c r="M1143" s="269"/>
      <c r="N1143" s="269"/>
      <c r="O1143" s="269"/>
      <c r="P1143" s="269"/>
      <c r="Q1143" s="269"/>
      <c r="R1143" s="269"/>
      <c r="S1143" s="269"/>
      <c r="T1143" s="269"/>
      <c r="U1143" s="269"/>
      <c r="V1143" s="269"/>
      <c r="W1143" s="269"/>
      <c r="X1143" s="269"/>
      <c r="Y1143" s="269"/>
      <c r="Z1143" s="269"/>
      <c r="AA1143" s="269"/>
      <c r="AB1143" s="269"/>
      <c r="AC1143" s="269"/>
      <c r="AD1143" s="269"/>
      <c r="AE1143" s="269"/>
      <c r="AF1143" s="269"/>
      <c r="AG1143" s="269"/>
      <c r="AH1143" s="269"/>
      <c r="AI1143" s="269"/>
      <c r="AJ1143" s="269"/>
      <c r="AK1143" s="269"/>
      <c r="AL1143" s="269"/>
      <c r="AM1143" s="269"/>
      <c r="AN1143" s="269"/>
      <c r="AO1143" s="269"/>
      <c r="AP1143" s="269"/>
      <c r="AQ1143" s="269"/>
      <c r="AR1143" s="269"/>
    </row>
    <row r="1144">
      <c r="A1144" s="410"/>
      <c r="B1144" s="410"/>
      <c r="C1144" s="410"/>
      <c r="D1144" s="410"/>
      <c r="E1144" s="410"/>
      <c r="F1144" s="410"/>
      <c r="H1144" s="269"/>
      <c r="I1144" s="269"/>
      <c r="J1144" s="269"/>
      <c r="K1144" s="269"/>
      <c r="L1144" s="269"/>
      <c r="M1144" s="269"/>
      <c r="N1144" s="269"/>
      <c r="O1144" s="269"/>
      <c r="P1144" s="269"/>
      <c r="Q1144" s="269"/>
      <c r="R1144" s="269"/>
      <c r="S1144" s="269"/>
      <c r="T1144" s="269"/>
      <c r="U1144" s="269"/>
      <c r="V1144" s="269"/>
      <c r="W1144" s="269"/>
      <c r="X1144" s="269"/>
      <c r="Y1144" s="269"/>
      <c r="Z1144" s="269"/>
      <c r="AA1144" s="269"/>
      <c r="AB1144" s="269"/>
      <c r="AC1144" s="269"/>
      <c r="AD1144" s="269"/>
      <c r="AE1144" s="269"/>
      <c r="AF1144" s="269"/>
      <c r="AG1144" s="269"/>
      <c r="AH1144" s="269"/>
      <c r="AI1144" s="269"/>
      <c r="AJ1144" s="269"/>
      <c r="AK1144" s="269"/>
      <c r="AL1144" s="269"/>
      <c r="AM1144" s="269"/>
      <c r="AN1144" s="269"/>
      <c r="AO1144" s="269"/>
      <c r="AP1144" s="269"/>
      <c r="AQ1144" s="269"/>
      <c r="AR1144" s="269"/>
    </row>
    <row r="1145">
      <c r="A1145" s="410"/>
      <c r="B1145" s="410"/>
      <c r="C1145" s="410"/>
      <c r="D1145" s="410"/>
      <c r="E1145" s="410"/>
      <c r="F1145" s="410"/>
      <c r="H1145" s="269"/>
      <c r="I1145" s="269"/>
      <c r="J1145" s="269"/>
      <c r="K1145" s="269"/>
      <c r="L1145" s="269"/>
      <c r="M1145" s="269"/>
      <c r="N1145" s="269"/>
      <c r="O1145" s="269"/>
      <c r="P1145" s="269"/>
      <c r="Q1145" s="269"/>
      <c r="R1145" s="269"/>
      <c r="S1145" s="269"/>
      <c r="T1145" s="269"/>
      <c r="U1145" s="269"/>
      <c r="V1145" s="269"/>
      <c r="W1145" s="269"/>
      <c r="X1145" s="269"/>
      <c r="Y1145" s="269"/>
      <c r="Z1145" s="269"/>
      <c r="AA1145" s="269"/>
      <c r="AB1145" s="269"/>
      <c r="AC1145" s="269"/>
      <c r="AD1145" s="269"/>
      <c r="AE1145" s="269"/>
      <c r="AF1145" s="269"/>
      <c r="AG1145" s="269"/>
      <c r="AH1145" s="269"/>
      <c r="AI1145" s="269"/>
      <c r="AJ1145" s="269"/>
      <c r="AK1145" s="269"/>
      <c r="AL1145" s="269"/>
      <c r="AM1145" s="269"/>
      <c r="AN1145" s="269"/>
      <c r="AO1145" s="269"/>
      <c r="AP1145" s="269"/>
      <c r="AQ1145" s="269"/>
      <c r="AR1145" s="269"/>
    </row>
    <row r="1146">
      <c r="A1146" s="410"/>
      <c r="B1146" s="410"/>
      <c r="C1146" s="410"/>
      <c r="D1146" s="410"/>
      <c r="E1146" s="410"/>
      <c r="F1146" s="410"/>
      <c r="H1146" s="269"/>
      <c r="I1146" s="269"/>
      <c r="J1146" s="269"/>
      <c r="K1146" s="269"/>
      <c r="L1146" s="269"/>
      <c r="M1146" s="269"/>
      <c r="N1146" s="269"/>
      <c r="O1146" s="269"/>
      <c r="P1146" s="269"/>
      <c r="Q1146" s="269"/>
      <c r="R1146" s="269"/>
      <c r="S1146" s="269"/>
      <c r="T1146" s="269"/>
      <c r="U1146" s="269"/>
      <c r="V1146" s="269"/>
      <c r="W1146" s="269"/>
      <c r="X1146" s="269"/>
      <c r="Y1146" s="269"/>
      <c r="Z1146" s="269"/>
      <c r="AA1146" s="269"/>
      <c r="AB1146" s="269"/>
      <c r="AC1146" s="269"/>
      <c r="AD1146" s="269"/>
      <c r="AE1146" s="269"/>
      <c r="AF1146" s="269"/>
      <c r="AG1146" s="269"/>
      <c r="AH1146" s="269"/>
      <c r="AI1146" s="269"/>
      <c r="AJ1146" s="269"/>
      <c r="AK1146" s="269"/>
      <c r="AL1146" s="269"/>
      <c r="AM1146" s="269"/>
      <c r="AN1146" s="269"/>
      <c r="AO1146" s="269"/>
      <c r="AP1146" s="269"/>
      <c r="AQ1146" s="269"/>
      <c r="AR1146" s="269"/>
    </row>
    <row r="1147">
      <c r="A1147" s="410"/>
      <c r="B1147" s="410"/>
      <c r="C1147" s="410"/>
      <c r="D1147" s="410"/>
      <c r="E1147" s="410"/>
      <c r="F1147" s="410"/>
      <c r="H1147" s="269"/>
      <c r="I1147" s="269"/>
      <c r="J1147" s="269"/>
      <c r="K1147" s="269"/>
      <c r="L1147" s="269"/>
      <c r="M1147" s="269"/>
      <c r="N1147" s="269"/>
      <c r="O1147" s="269"/>
      <c r="P1147" s="269"/>
      <c r="Q1147" s="269"/>
      <c r="R1147" s="269"/>
      <c r="S1147" s="269"/>
      <c r="T1147" s="269"/>
      <c r="U1147" s="269"/>
      <c r="V1147" s="269"/>
      <c r="W1147" s="269"/>
      <c r="X1147" s="269"/>
      <c r="Y1147" s="269"/>
      <c r="Z1147" s="269"/>
      <c r="AA1147" s="269"/>
      <c r="AB1147" s="269"/>
      <c r="AC1147" s="269"/>
      <c r="AD1147" s="269"/>
      <c r="AE1147" s="269"/>
      <c r="AF1147" s="269"/>
      <c r="AG1147" s="269"/>
      <c r="AH1147" s="269"/>
      <c r="AI1147" s="269"/>
      <c r="AJ1147" s="269"/>
      <c r="AK1147" s="269"/>
      <c r="AL1147" s="269"/>
      <c r="AM1147" s="269"/>
      <c r="AN1147" s="269"/>
      <c r="AO1147" s="269"/>
      <c r="AP1147" s="269"/>
      <c r="AQ1147" s="269"/>
      <c r="AR1147" s="269"/>
    </row>
    <row r="1148">
      <c r="A1148" s="410"/>
      <c r="B1148" s="410"/>
      <c r="C1148" s="410"/>
      <c r="D1148" s="410"/>
      <c r="E1148" s="410"/>
      <c r="F1148" s="410"/>
      <c r="H1148" s="269"/>
      <c r="I1148" s="269"/>
      <c r="J1148" s="269"/>
      <c r="K1148" s="269"/>
      <c r="L1148" s="269"/>
      <c r="M1148" s="269"/>
      <c r="N1148" s="269"/>
      <c r="O1148" s="269"/>
      <c r="P1148" s="269"/>
      <c r="Q1148" s="269"/>
      <c r="R1148" s="269"/>
      <c r="S1148" s="269"/>
      <c r="T1148" s="269"/>
      <c r="U1148" s="269"/>
      <c r="V1148" s="269"/>
      <c r="W1148" s="269"/>
      <c r="X1148" s="269"/>
      <c r="Y1148" s="269"/>
      <c r="Z1148" s="269"/>
      <c r="AA1148" s="269"/>
      <c r="AB1148" s="269"/>
      <c r="AC1148" s="269"/>
      <c r="AD1148" s="269"/>
      <c r="AE1148" s="269"/>
      <c r="AF1148" s="269"/>
      <c r="AG1148" s="269"/>
      <c r="AH1148" s="269"/>
      <c r="AI1148" s="269"/>
      <c r="AJ1148" s="269"/>
      <c r="AK1148" s="269"/>
      <c r="AL1148" s="269"/>
      <c r="AM1148" s="269"/>
      <c r="AN1148" s="269"/>
      <c r="AO1148" s="269"/>
      <c r="AP1148" s="269"/>
      <c r="AQ1148" s="269"/>
      <c r="AR1148" s="269"/>
    </row>
    <row r="1149">
      <c r="A1149" s="410"/>
      <c r="B1149" s="410"/>
      <c r="C1149" s="410"/>
      <c r="D1149" s="410"/>
      <c r="E1149" s="410"/>
      <c r="F1149" s="410"/>
      <c r="H1149" s="269"/>
      <c r="I1149" s="269"/>
      <c r="J1149" s="269"/>
      <c r="K1149" s="269"/>
      <c r="L1149" s="269"/>
      <c r="M1149" s="269"/>
      <c r="N1149" s="269"/>
      <c r="O1149" s="269"/>
      <c r="P1149" s="269"/>
      <c r="Q1149" s="269"/>
      <c r="R1149" s="269"/>
      <c r="S1149" s="269"/>
      <c r="T1149" s="269"/>
      <c r="U1149" s="269"/>
      <c r="V1149" s="269"/>
      <c r="W1149" s="269"/>
      <c r="X1149" s="269"/>
      <c r="Y1149" s="269"/>
      <c r="Z1149" s="269"/>
      <c r="AA1149" s="269"/>
      <c r="AB1149" s="269"/>
      <c r="AC1149" s="269"/>
      <c r="AD1149" s="269"/>
      <c r="AE1149" s="269"/>
      <c r="AF1149" s="269"/>
      <c r="AG1149" s="269"/>
      <c r="AH1149" s="269"/>
      <c r="AI1149" s="269"/>
      <c r="AJ1149" s="269"/>
      <c r="AK1149" s="269"/>
      <c r="AL1149" s="269"/>
      <c r="AM1149" s="269"/>
      <c r="AN1149" s="269"/>
      <c r="AO1149" s="269"/>
      <c r="AP1149" s="269"/>
      <c r="AQ1149" s="269"/>
      <c r="AR1149" s="269"/>
    </row>
    <row r="1150">
      <c r="A1150" s="410"/>
      <c r="B1150" s="410"/>
      <c r="C1150" s="410"/>
      <c r="D1150" s="410"/>
      <c r="E1150" s="410"/>
      <c r="F1150" s="410"/>
      <c r="H1150" s="269"/>
      <c r="I1150" s="269"/>
      <c r="J1150" s="269"/>
      <c r="K1150" s="269"/>
      <c r="L1150" s="269"/>
      <c r="M1150" s="269"/>
      <c r="N1150" s="269"/>
      <c r="O1150" s="269"/>
      <c r="P1150" s="269"/>
      <c r="Q1150" s="269"/>
      <c r="R1150" s="269"/>
      <c r="S1150" s="269"/>
      <c r="T1150" s="269"/>
      <c r="U1150" s="269"/>
      <c r="V1150" s="269"/>
      <c r="W1150" s="269"/>
      <c r="X1150" s="269"/>
      <c r="Y1150" s="269"/>
      <c r="Z1150" s="269"/>
      <c r="AA1150" s="269"/>
      <c r="AB1150" s="269"/>
      <c r="AC1150" s="269"/>
      <c r="AD1150" s="269"/>
      <c r="AE1150" s="269"/>
      <c r="AF1150" s="269"/>
      <c r="AG1150" s="269"/>
      <c r="AH1150" s="269"/>
      <c r="AI1150" s="269"/>
      <c r="AJ1150" s="269"/>
      <c r="AK1150" s="269"/>
      <c r="AL1150" s="269"/>
      <c r="AM1150" s="269"/>
      <c r="AN1150" s="269"/>
      <c r="AO1150" s="269"/>
      <c r="AP1150" s="269"/>
      <c r="AQ1150" s="269"/>
      <c r="AR1150" s="269"/>
    </row>
    <row r="1151">
      <c r="A1151" s="410"/>
      <c r="B1151" s="410"/>
      <c r="C1151" s="410"/>
      <c r="D1151" s="410"/>
      <c r="E1151" s="410"/>
      <c r="F1151" s="410"/>
      <c r="H1151" s="269"/>
      <c r="I1151" s="269"/>
      <c r="J1151" s="269"/>
      <c r="K1151" s="269"/>
      <c r="L1151" s="269"/>
      <c r="M1151" s="269"/>
      <c r="N1151" s="269"/>
      <c r="O1151" s="269"/>
      <c r="P1151" s="269"/>
      <c r="Q1151" s="269"/>
      <c r="R1151" s="269"/>
      <c r="S1151" s="269"/>
      <c r="T1151" s="269"/>
      <c r="U1151" s="269"/>
      <c r="V1151" s="269"/>
      <c r="W1151" s="269"/>
      <c r="X1151" s="269"/>
      <c r="Y1151" s="269"/>
      <c r="Z1151" s="269"/>
      <c r="AA1151" s="269"/>
      <c r="AB1151" s="269"/>
      <c r="AC1151" s="269"/>
      <c r="AD1151" s="269"/>
      <c r="AE1151" s="269"/>
      <c r="AF1151" s="269"/>
      <c r="AG1151" s="269"/>
      <c r="AH1151" s="269"/>
      <c r="AI1151" s="269"/>
      <c r="AJ1151" s="269"/>
      <c r="AK1151" s="269"/>
      <c r="AL1151" s="269"/>
      <c r="AM1151" s="269"/>
      <c r="AN1151" s="269"/>
      <c r="AO1151" s="269"/>
      <c r="AP1151" s="269"/>
      <c r="AQ1151" s="269"/>
      <c r="AR1151" s="269"/>
    </row>
    <row r="1152">
      <c r="A1152" s="410"/>
      <c r="B1152" s="410"/>
      <c r="C1152" s="410"/>
      <c r="D1152" s="410"/>
      <c r="E1152" s="410"/>
      <c r="F1152" s="410"/>
      <c r="H1152" s="269"/>
      <c r="I1152" s="269"/>
      <c r="J1152" s="269"/>
      <c r="K1152" s="269"/>
      <c r="L1152" s="269"/>
      <c r="M1152" s="269"/>
      <c r="N1152" s="269"/>
      <c r="O1152" s="269"/>
      <c r="P1152" s="269"/>
      <c r="Q1152" s="269"/>
      <c r="R1152" s="269"/>
      <c r="S1152" s="269"/>
      <c r="T1152" s="269"/>
      <c r="U1152" s="269"/>
      <c r="V1152" s="269"/>
      <c r="W1152" s="269"/>
      <c r="X1152" s="269"/>
      <c r="Y1152" s="269"/>
      <c r="Z1152" s="269"/>
      <c r="AA1152" s="269"/>
      <c r="AB1152" s="269"/>
      <c r="AC1152" s="269"/>
      <c r="AD1152" s="269"/>
      <c r="AE1152" s="269"/>
      <c r="AF1152" s="269"/>
      <c r="AG1152" s="269"/>
      <c r="AH1152" s="269"/>
      <c r="AI1152" s="269"/>
      <c r="AJ1152" s="269"/>
      <c r="AK1152" s="269"/>
      <c r="AL1152" s="269"/>
      <c r="AM1152" s="269"/>
      <c r="AN1152" s="269"/>
      <c r="AO1152" s="269"/>
      <c r="AP1152" s="269"/>
      <c r="AQ1152" s="269"/>
      <c r="AR1152" s="269"/>
    </row>
    <row r="1153">
      <c r="A1153" s="410"/>
      <c r="B1153" s="410"/>
      <c r="C1153" s="410"/>
      <c r="D1153" s="410"/>
      <c r="E1153" s="410"/>
      <c r="F1153" s="410"/>
      <c r="H1153" s="269"/>
      <c r="I1153" s="269"/>
      <c r="J1153" s="269"/>
      <c r="K1153" s="269"/>
      <c r="L1153" s="269"/>
      <c r="M1153" s="269"/>
      <c r="N1153" s="269"/>
      <c r="O1153" s="269"/>
      <c r="P1153" s="269"/>
      <c r="Q1153" s="269"/>
      <c r="R1153" s="269"/>
      <c r="S1153" s="269"/>
      <c r="T1153" s="269"/>
      <c r="U1153" s="269"/>
      <c r="V1153" s="269"/>
      <c r="W1153" s="269"/>
      <c r="X1153" s="269"/>
      <c r="Y1153" s="269"/>
      <c r="Z1153" s="269"/>
      <c r="AA1153" s="269"/>
      <c r="AB1153" s="269"/>
      <c r="AC1153" s="269"/>
      <c r="AD1153" s="269"/>
      <c r="AE1153" s="269"/>
      <c r="AF1153" s="269"/>
      <c r="AG1153" s="269"/>
      <c r="AH1153" s="269"/>
      <c r="AI1153" s="269"/>
      <c r="AJ1153" s="269"/>
      <c r="AK1153" s="269"/>
      <c r="AL1153" s="269"/>
      <c r="AM1153" s="269"/>
      <c r="AN1153" s="269"/>
      <c r="AO1153" s="269"/>
      <c r="AP1153" s="269"/>
      <c r="AQ1153" s="269"/>
      <c r="AR1153" s="269"/>
    </row>
    <row r="1154">
      <c r="A1154" s="410"/>
      <c r="B1154" s="410"/>
      <c r="C1154" s="410"/>
      <c r="D1154" s="410"/>
      <c r="E1154" s="410"/>
      <c r="F1154" s="410"/>
      <c r="H1154" s="269"/>
      <c r="I1154" s="269"/>
      <c r="J1154" s="269"/>
      <c r="K1154" s="269"/>
      <c r="L1154" s="269"/>
      <c r="M1154" s="269"/>
      <c r="N1154" s="269"/>
      <c r="O1154" s="269"/>
      <c r="P1154" s="269"/>
      <c r="Q1154" s="269"/>
      <c r="R1154" s="269"/>
      <c r="S1154" s="269"/>
      <c r="T1154" s="269"/>
      <c r="U1154" s="269"/>
      <c r="V1154" s="269"/>
      <c r="W1154" s="269"/>
      <c r="X1154" s="269"/>
      <c r="Y1154" s="269"/>
      <c r="Z1154" s="269"/>
      <c r="AA1154" s="269"/>
      <c r="AB1154" s="269"/>
      <c r="AC1154" s="269"/>
      <c r="AD1154" s="269"/>
      <c r="AE1154" s="269"/>
      <c r="AF1154" s="269"/>
      <c r="AG1154" s="269"/>
      <c r="AH1154" s="269"/>
      <c r="AI1154" s="269"/>
      <c r="AJ1154" s="269"/>
      <c r="AK1154" s="269"/>
      <c r="AL1154" s="269"/>
      <c r="AM1154" s="269"/>
      <c r="AN1154" s="269"/>
      <c r="AO1154" s="269"/>
      <c r="AP1154" s="269"/>
      <c r="AQ1154" s="269"/>
      <c r="AR1154" s="269"/>
    </row>
    <row r="1155">
      <c r="A1155" s="410"/>
      <c r="B1155" s="410"/>
      <c r="C1155" s="410"/>
      <c r="D1155" s="410"/>
      <c r="E1155" s="410"/>
      <c r="F1155" s="410"/>
      <c r="H1155" s="269"/>
      <c r="I1155" s="269"/>
      <c r="J1155" s="269"/>
      <c r="K1155" s="269"/>
      <c r="L1155" s="269"/>
      <c r="M1155" s="269"/>
      <c r="N1155" s="269"/>
      <c r="O1155" s="269"/>
      <c r="P1155" s="269"/>
      <c r="Q1155" s="269"/>
      <c r="R1155" s="269"/>
      <c r="S1155" s="269"/>
      <c r="T1155" s="269"/>
      <c r="U1155" s="269"/>
      <c r="V1155" s="269"/>
      <c r="W1155" s="269"/>
      <c r="X1155" s="269"/>
      <c r="Y1155" s="269"/>
      <c r="Z1155" s="269"/>
      <c r="AA1155" s="269"/>
      <c r="AB1155" s="269"/>
      <c r="AC1155" s="269"/>
      <c r="AD1155" s="269"/>
      <c r="AE1155" s="269"/>
      <c r="AF1155" s="269"/>
      <c r="AG1155" s="269"/>
      <c r="AH1155" s="269"/>
      <c r="AI1155" s="269"/>
      <c r="AJ1155" s="269"/>
      <c r="AK1155" s="269"/>
      <c r="AL1155" s="269"/>
      <c r="AM1155" s="269"/>
      <c r="AN1155" s="269"/>
      <c r="AO1155" s="269"/>
      <c r="AP1155" s="269"/>
      <c r="AQ1155" s="269"/>
      <c r="AR1155" s="269"/>
    </row>
    <row r="1156">
      <c r="A1156" s="410"/>
      <c r="B1156" s="410"/>
      <c r="C1156" s="410"/>
      <c r="D1156" s="410"/>
      <c r="E1156" s="410"/>
      <c r="F1156" s="410"/>
      <c r="H1156" s="269"/>
      <c r="I1156" s="269"/>
      <c r="J1156" s="269"/>
      <c r="K1156" s="269"/>
      <c r="L1156" s="269"/>
      <c r="M1156" s="269"/>
      <c r="N1156" s="269"/>
      <c r="O1156" s="269"/>
      <c r="P1156" s="269"/>
      <c r="Q1156" s="269"/>
      <c r="R1156" s="269"/>
      <c r="S1156" s="269"/>
      <c r="T1156" s="269"/>
      <c r="U1156" s="269"/>
      <c r="V1156" s="269"/>
      <c r="W1156" s="269"/>
      <c r="X1156" s="269"/>
      <c r="Y1156" s="269"/>
      <c r="Z1156" s="269"/>
      <c r="AA1156" s="269"/>
      <c r="AB1156" s="269"/>
      <c r="AC1156" s="269"/>
      <c r="AD1156" s="269"/>
      <c r="AE1156" s="269"/>
      <c r="AF1156" s="269"/>
      <c r="AG1156" s="269"/>
      <c r="AH1156" s="269"/>
      <c r="AI1156" s="269"/>
      <c r="AJ1156" s="269"/>
      <c r="AK1156" s="269"/>
      <c r="AL1156" s="269"/>
      <c r="AM1156" s="269"/>
      <c r="AN1156" s="269"/>
      <c r="AO1156" s="269"/>
      <c r="AP1156" s="269"/>
      <c r="AQ1156" s="269"/>
      <c r="AR1156" s="269"/>
    </row>
    <row r="1157">
      <c r="A1157" s="410"/>
      <c r="B1157" s="410"/>
      <c r="C1157" s="410"/>
      <c r="D1157" s="410"/>
      <c r="E1157" s="410"/>
      <c r="F1157" s="410"/>
      <c r="H1157" s="269"/>
      <c r="I1157" s="269"/>
      <c r="J1157" s="269"/>
      <c r="K1157" s="269"/>
      <c r="L1157" s="269"/>
      <c r="M1157" s="269"/>
      <c r="N1157" s="269"/>
      <c r="O1157" s="269"/>
      <c r="P1157" s="269"/>
      <c r="Q1157" s="269"/>
      <c r="R1157" s="269"/>
      <c r="S1157" s="269"/>
      <c r="T1157" s="269"/>
      <c r="U1157" s="269"/>
      <c r="V1157" s="269"/>
      <c r="W1157" s="269"/>
      <c r="X1157" s="269"/>
      <c r="Y1157" s="269"/>
      <c r="Z1157" s="269"/>
      <c r="AA1157" s="269"/>
      <c r="AB1157" s="269"/>
      <c r="AC1157" s="269"/>
      <c r="AD1157" s="269"/>
      <c r="AE1157" s="269"/>
      <c r="AF1157" s="269"/>
      <c r="AG1157" s="269"/>
      <c r="AH1157" s="269"/>
      <c r="AI1157" s="269"/>
      <c r="AJ1157" s="269"/>
      <c r="AK1157" s="269"/>
      <c r="AL1157" s="269"/>
      <c r="AM1157" s="269"/>
      <c r="AN1157" s="269"/>
      <c r="AO1157" s="269"/>
      <c r="AP1157" s="269"/>
      <c r="AQ1157" s="269"/>
      <c r="AR1157" s="269"/>
    </row>
    <row r="1158">
      <c r="A1158" s="410"/>
      <c r="B1158" s="410"/>
      <c r="C1158" s="410"/>
      <c r="D1158" s="410"/>
      <c r="E1158" s="410"/>
      <c r="F1158" s="410"/>
      <c r="H1158" s="269"/>
      <c r="I1158" s="269"/>
      <c r="J1158" s="269"/>
      <c r="K1158" s="269"/>
      <c r="L1158" s="269"/>
      <c r="M1158" s="269"/>
      <c r="N1158" s="269"/>
      <c r="O1158" s="269"/>
      <c r="P1158" s="269"/>
      <c r="Q1158" s="269"/>
      <c r="R1158" s="269"/>
      <c r="S1158" s="269"/>
      <c r="T1158" s="269"/>
      <c r="U1158" s="269"/>
      <c r="V1158" s="269"/>
      <c r="W1158" s="269"/>
      <c r="X1158" s="269"/>
      <c r="Y1158" s="269"/>
      <c r="Z1158" s="269"/>
      <c r="AA1158" s="269"/>
      <c r="AB1158" s="269"/>
      <c r="AC1158" s="269"/>
      <c r="AD1158" s="269"/>
      <c r="AE1158" s="269"/>
      <c r="AF1158" s="269"/>
      <c r="AG1158" s="269"/>
      <c r="AH1158" s="269"/>
      <c r="AI1158" s="269"/>
      <c r="AJ1158" s="269"/>
      <c r="AK1158" s="269"/>
      <c r="AL1158" s="269"/>
      <c r="AM1158" s="269"/>
      <c r="AN1158" s="269"/>
      <c r="AO1158" s="269"/>
      <c r="AP1158" s="269"/>
      <c r="AQ1158" s="269"/>
      <c r="AR1158" s="269"/>
    </row>
    <row r="1159">
      <c r="A1159" s="410"/>
      <c r="B1159" s="410"/>
      <c r="C1159" s="410"/>
      <c r="D1159" s="410"/>
      <c r="E1159" s="410"/>
      <c r="F1159" s="410"/>
      <c r="H1159" s="269"/>
      <c r="I1159" s="269"/>
      <c r="J1159" s="269"/>
      <c r="K1159" s="269"/>
      <c r="L1159" s="269"/>
      <c r="M1159" s="269"/>
      <c r="N1159" s="269"/>
      <c r="O1159" s="269"/>
      <c r="P1159" s="269"/>
      <c r="Q1159" s="269"/>
      <c r="R1159" s="269"/>
      <c r="S1159" s="269"/>
      <c r="T1159" s="269"/>
      <c r="U1159" s="269"/>
      <c r="V1159" s="269"/>
      <c r="W1159" s="269"/>
      <c r="X1159" s="269"/>
      <c r="Y1159" s="269"/>
      <c r="Z1159" s="269"/>
      <c r="AA1159" s="269"/>
      <c r="AB1159" s="269"/>
      <c r="AC1159" s="269"/>
      <c r="AD1159" s="269"/>
      <c r="AE1159" s="269"/>
      <c r="AF1159" s="269"/>
      <c r="AG1159" s="269"/>
      <c r="AH1159" s="269"/>
      <c r="AI1159" s="269"/>
      <c r="AJ1159" s="269"/>
      <c r="AK1159" s="269"/>
      <c r="AL1159" s="269"/>
      <c r="AM1159" s="269"/>
      <c r="AN1159" s="269"/>
      <c r="AO1159" s="269"/>
      <c r="AP1159" s="269"/>
      <c r="AQ1159" s="269"/>
      <c r="AR1159" s="269"/>
    </row>
    <row r="1160">
      <c r="A1160" s="410"/>
      <c r="B1160" s="410"/>
      <c r="C1160" s="410"/>
      <c r="D1160" s="410"/>
      <c r="E1160" s="410"/>
      <c r="F1160" s="410"/>
      <c r="H1160" s="269"/>
      <c r="I1160" s="269"/>
      <c r="J1160" s="269"/>
      <c r="K1160" s="269"/>
      <c r="L1160" s="269"/>
      <c r="M1160" s="269"/>
      <c r="N1160" s="269"/>
      <c r="O1160" s="269"/>
      <c r="P1160" s="269"/>
      <c r="Q1160" s="269"/>
      <c r="R1160" s="269"/>
      <c r="S1160" s="269"/>
      <c r="T1160" s="269"/>
      <c r="U1160" s="269"/>
      <c r="V1160" s="269"/>
      <c r="W1160" s="269"/>
      <c r="X1160" s="269"/>
      <c r="Y1160" s="269"/>
      <c r="Z1160" s="269"/>
      <c r="AA1160" s="269"/>
      <c r="AB1160" s="269"/>
      <c r="AC1160" s="269"/>
      <c r="AD1160" s="269"/>
      <c r="AE1160" s="269"/>
      <c r="AF1160" s="269"/>
      <c r="AG1160" s="269"/>
      <c r="AH1160" s="269"/>
      <c r="AI1160" s="269"/>
      <c r="AJ1160" s="269"/>
      <c r="AK1160" s="269"/>
      <c r="AL1160" s="269"/>
      <c r="AM1160" s="269"/>
      <c r="AN1160" s="269"/>
      <c r="AO1160" s="269"/>
      <c r="AP1160" s="269"/>
      <c r="AQ1160" s="269"/>
      <c r="AR1160" s="269"/>
    </row>
    <row r="1161">
      <c r="A1161" s="410"/>
      <c r="B1161" s="410"/>
      <c r="C1161" s="410"/>
      <c r="D1161" s="410"/>
      <c r="E1161" s="410"/>
      <c r="F1161" s="410"/>
      <c r="H1161" s="269"/>
      <c r="I1161" s="269"/>
      <c r="J1161" s="269"/>
      <c r="K1161" s="269"/>
      <c r="L1161" s="269"/>
      <c r="M1161" s="269"/>
      <c r="N1161" s="269"/>
      <c r="O1161" s="269"/>
      <c r="P1161" s="269"/>
      <c r="Q1161" s="269"/>
      <c r="R1161" s="269"/>
      <c r="S1161" s="269"/>
      <c r="T1161" s="269"/>
      <c r="U1161" s="269"/>
      <c r="V1161" s="269"/>
      <c r="W1161" s="269"/>
      <c r="X1161" s="269"/>
      <c r="Y1161" s="269"/>
      <c r="Z1161" s="269"/>
      <c r="AA1161" s="269"/>
      <c r="AB1161" s="269"/>
      <c r="AC1161" s="269"/>
      <c r="AD1161" s="269"/>
      <c r="AE1161" s="269"/>
      <c r="AF1161" s="269"/>
      <c r="AG1161" s="269"/>
      <c r="AH1161" s="269"/>
      <c r="AI1161" s="269"/>
      <c r="AJ1161" s="269"/>
      <c r="AK1161" s="269"/>
      <c r="AL1161" s="269"/>
      <c r="AM1161" s="269"/>
      <c r="AN1161" s="269"/>
      <c r="AO1161" s="269"/>
      <c r="AP1161" s="269"/>
      <c r="AQ1161" s="269"/>
      <c r="AR1161" s="269"/>
    </row>
    <row r="1162">
      <c r="A1162" s="410"/>
      <c r="B1162" s="410"/>
      <c r="C1162" s="410"/>
      <c r="D1162" s="410"/>
      <c r="E1162" s="410"/>
      <c r="F1162" s="410"/>
      <c r="H1162" s="269"/>
      <c r="I1162" s="269"/>
      <c r="J1162" s="269"/>
      <c r="K1162" s="269"/>
      <c r="L1162" s="269"/>
      <c r="M1162" s="269"/>
      <c r="N1162" s="269"/>
      <c r="O1162" s="269"/>
      <c r="P1162" s="269"/>
      <c r="Q1162" s="269"/>
      <c r="R1162" s="269"/>
      <c r="S1162" s="269"/>
      <c r="T1162" s="269"/>
      <c r="U1162" s="269"/>
      <c r="V1162" s="269"/>
      <c r="W1162" s="269"/>
      <c r="X1162" s="269"/>
      <c r="Y1162" s="269"/>
      <c r="Z1162" s="269"/>
      <c r="AA1162" s="269"/>
      <c r="AB1162" s="269"/>
      <c r="AC1162" s="269"/>
      <c r="AD1162" s="269"/>
      <c r="AE1162" s="269"/>
      <c r="AF1162" s="269"/>
      <c r="AG1162" s="269"/>
      <c r="AH1162" s="269"/>
      <c r="AI1162" s="269"/>
      <c r="AJ1162" s="269"/>
      <c r="AK1162" s="269"/>
      <c r="AL1162" s="269"/>
      <c r="AM1162" s="269"/>
      <c r="AN1162" s="269"/>
      <c r="AO1162" s="269"/>
      <c r="AP1162" s="269"/>
      <c r="AQ1162" s="269"/>
      <c r="AR1162" s="269"/>
    </row>
    <row r="1163">
      <c r="A1163" s="410"/>
      <c r="B1163" s="410"/>
      <c r="C1163" s="410"/>
      <c r="D1163" s="410"/>
      <c r="E1163" s="410"/>
      <c r="F1163" s="410"/>
      <c r="H1163" s="269"/>
      <c r="I1163" s="269"/>
      <c r="J1163" s="269"/>
      <c r="K1163" s="269"/>
      <c r="L1163" s="269"/>
      <c r="M1163" s="269"/>
      <c r="N1163" s="269"/>
      <c r="O1163" s="269"/>
      <c r="P1163" s="269"/>
      <c r="Q1163" s="269"/>
      <c r="R1163" s="269"/>
      <c r="S1163" s="269"/>
      <c r="T1163" s="269"/>
      <c r="U1163" s="269"/>
      <c r="V1163" s="269"/>
      <c r="W1163" s="269"/>
      <c r="X1163" s="269"/>
      <c r="Y1163" s="269"/>
      <c r="Z1163" s="269"/>
      <c r="AA1163" s="269"/>
      <c r="AB1163" s="269"/>
      <c r="AC1163" s="269"/>
      <c r="AD1163" s="269"/>
      <c r="AE1163" s="269"/>
      <c r="AF1163" s="269"/>
      <c r="AG1163" s="269"/>
      <c r="AH1163" s="269"/>
      <c r="AI1163" s="269"/>
      <c r="AJ1163" s="269"/>
      <c r="AK1163" s="269"/>
      <c r="AL1163" s="269"/>
      <c r="AM1163" s="269"/>
      <c r="AN1163" s="269"/>
      <c r="AO1163" s="269"/>
      <c r="AP1163" s="269"/>
      <c r="AQ1163" s="269"/>
      <c r="AR1163" s="269"/>
    </row>
    <row r="1164">
      <c r="A1164" s="410"/>
      <c r="B1164" s="410"/>
      <c r="C1164" s="410"/>
      <c r="D1164" s="410"/>
      <c r="E1164" s="410"/>
      <c r="F1164" s="410"/>
      <c r="H1164" s="269"/>
      <c r="I1164" s="269"/>
      <c r="J1164" s="269"/>
      <c r="K1164" s="269"/>
      <c r="L1164" s="269"/>
      <c r="M1164" s="269"/>
      <c r="N1164" s="269"/>
      <c r="O1164" s="269"/>
      <c r="P1164" s="269"/>
      <c r="Q1164" s="269"/>
      <c r="R1164" s="269"/>
      <c r="S1164" s="269"/>
      <c r="T1164" s="269"/>
      <c r="U1164" s="269"/>
      <c r="V1164" s="269"/>
      <c r="W1164" s="269"/>
      <c r="X1164" s="269"/>
      <c r="Y1164" s="269"/>
      <c r="Z1164" s="269"/>
      <c r="AA1164" s="269"/>
      <c r="AB1164" s="269"/>
      <c r="AC1164" s="269"/>
      <c r="AD1164" s="269"/>
      <c r="AE1164" s="269"/>
      <c r="AF1164" s="269"/>
      <c r="AG1164" s="269"/>
      <c r="AH1164" s="269"/>
      <c r="AI1164" s="269"/>
      <c r="AJ1164" s="269"/>
      <c r="AK1164" s="269"/>
      <c r="AL1164" s="269"/>
      <c r="AM1164" s="269"/>
      <c r="AN1164" s="269"/>
      <c r="AO1164" s="269"/>
      <c r="AP1164" s="269"/>
      <c r="AQ1164" s="269"/>
      <c r="AR1164" s="269"/>
    </row>
    <row r="1165">
      <c r="A1165" s="410"/>
      <c r="B1165" s="410"/>
      <c r="C1165" s="410"/>
      <c r="D1165" s="410"/>
      <c r="E1165" s="410"/>
      <c r="F1165" s="410"/>
      <c r="H1165" s="269"/>
      <c r="I1165" s="269"/>
      <c r="J1165" s="269"/>
      <c r="K1165" s="269"/>
      <c r="L1165" s="269"/>
      <c r="M1165" s="269"/>
      <c r="N1165" s="269"/>
      <c r="O1165" s="269"/>
      <c r="P1165" s="269"/>
      <c r="Q1165" s="269"/>
      <c r="R1165" s="269"/>
      <c r="S1165" s="269"/>
      <c r="T1165" s="269"/>
      <c r="U1165" s="269"/>
      <c r="V1165" s="269"/>
      <c r="W1165" s="269"/>
      <c r="X1165" s="269"/>
      <c r="Y1165" s="269"/>
      <c r="Z1165" s="269"/>
      <c r="AA1165" s="269"/>
      <c r="AB1165" s="269"/>
      <c r="AC1165" s="269"/>
      <c r="AD1165" s="269"/>
      <c r="AE1165" s="269"/>
      <c r="AF1165" s="269"/>
      <c r="AG1165" s="269"/>
      <c r="AH1165" s="269"/>
      <c r="AI1165" s="269"/>
      <c r="AJ1165" s="269"/>
      <c r="AK1165" s="269"/>
      <c r="AL1165" s="269"/>
      <c r="AM1165" s="269"/>
      <c r="AN1165" s="269"/>
      <c r="AO1165" s="269"/>
      <c r="AP1165" s="269"/>
      <c r="AQ1165" s="269"/>
      <c r="AR1165" s="269"/>
    </row>
    <row r="1166">
      <c r="A1166" s="410"/>
      <c r="B1166" s="410"/>
      <c r="C1166" s="410"/>
      <c r="D1166" s="410"/>
      <c r="E1166" s="410"/>
      <c r="F1166" s="410"/>
      <c r="H1166" s="269"/>
      <c r="I1166" s="269"/>
      <c r="J1166" s="269"/>
      <c r="K1166" s="269"/>
      <c r="L1166" s="269"/>
      <c r="M1166" s="269"/>
      <c r="N1166" s="269"/>
      <c r="O1166" s="269"/>
      <c r="P1166" s="269"/>
      <c r="Q1166" s="269"/>
      <c r="R1166" s="269"/>
      <c r="S1166" s="269"/>
      <c r="T1166" s="269"/>
      <c r="U1166" s="269"/>
      <c r="V1166" s="269"/>
      <c r="W1166" s="269"/>
      <c r="X1166" s="269"/>
      <c r="Y1166" s="269"/>
      <c r="Z1166" s="269"/>
      <c r="AA1166" s="269"/>
      <c r="AB1166" s="269"/>
      <c r="AC1166" s="269"/>
      <c r="AD1166" s="269"/>
      <c r="AE1166" s="269"/>
      <c r="AF1166" s="269"/>
      <c r="AG1166" s="269"/>
      <c r="AH1166" s="269"/>
      <c r="AI1166" s="269"/>
      <c r="AJ1166" s="269"/>
      <c r="AK1166" s="269"/>
      <c r="AL1166" s="269"/>
      <c r="AM1166" s="269"/>
      <c r="AN1166" s="269"/>
      <c r="AO1166" s="269"/>
      <c r="AP1166" s="269"/>
      <c r="AQ1166" s="269"/>
      <c r="AR1166" s="269"/>
    </row>
    <row r="1167">
      <c r="A1167" s="410"/>
      <c r="B1167" s="410"/>
      <c r="C1167" s="410"/>
      <c r="D1167" s="410"/>
      <c r="E1167" s="410"/>
      <c r="F1167" s="410"/>
      <c r="H1167" s="269"/>
      <c r="I1167" s="269"/>
      <c r="J1167" s="269"/>
      <c r="K1167" s="269"/>
      <c r="L1167" s="269"/>
      <c r="M1167" s="269"/>
      <c r="N1167" s="269"/>
      <c r="O1167" s="269"/>
      <c r="P1167" s="269"/>
      <c r="Q1167" s="269"/>
      <c r="R1167" s="269"/>
      <c r="S1167" s="269"/>
      <c r="T1167" s="269"/>
      <c r="U1167" s="269"/>
      <c r="V1167" s="269"/>
      <c r="W1167" s="269"/>
      <c r="X1167" s="269"/>
      <c r="Y1167" s="269"/>
      <c r="Z1167" s="269"/>
      <c r="AA1167" s="269"/>
      <c r="AB1167" s="269"/>
      <c r="AC1167" s="269"/>
      <c r="AD1167" s="269"/>
      <c r="AE1167" s="269"/>
      <c r="AF1167" s="269"/>
      <c r="AG1167" s="269"/>
      <c r="AH1167" s="269"/>
      <c r="AI1167" s="269"/>
      <c r="AJ1167" s="269"/>
      <c r="AK1167" s="269"/>
      <c r="AL1167" s="269"/>
      <c r="AM1167" s="269"/>
      <c r="AN1167" s="269"/>
      <c r="AO1167" s="269"/>
      <c r="AP1167" s="269"/>
      <c r="AQ1167" s="269"/>
      <c r="AR1167" s="269"/>
    </row>
    <row r="1168">
      <c r="A1168" s="410"/>
      <c r="B1168" s="410"/>
      <c r="C1168" s="410"/>
      <c r="D1168" s="410"/>
      <c r="E1168" s="410"/>
      <c r="F1168" s="410"/>
      <c r="H1168" s="269"/>
      <c r="I1168" s="269"/>
      <c r="J1168" s="269"/>
      <c r="K1168" s="269"/>
      <c r="L1168" s="269"/>
      <c r="M1168" s="269"/>
      <c r="N1168" s="269"/>
      <c r="O1168" s="269"/>
      <c r="P1168" s="269"/>
      <c r="Q1168" s="269"/>
      <c r="R1168" s="269"/>
      <c r="S1168" s="269"/>
      <c r="T1168" s="269"/>
      <c r="U1168" s="269"/>
      <c r="V1168" s="269"/>
      <c r="W1168" s="269"/>
      <c r="X1168" s="269"/>
      <c r="Y1168" s="269"/>
      <c r="Z1168" s="269"/>
      <c r="AA1168" s="269"/>
      <c r="AB1168" s="269"/>
      <c r="AC1168" s="269"/>
      <c r="AD1168" s="269"/>
      <c r="AE1168" s="269"/>
      <c r="AF1168" s="269"/>
      <c r="AG1168" s="269"/>
      <c r="AH1168" s="269"/>
      <c r="AI1168" s="269"/>
      <c r="AJ1168" s="269"/>
      <c r="AK1168" s="269"/>
      <c r="AL1168" s="269"/>
      <c r="AM1168" s="269"/>
      <c r="AN1168" s="269"/>
      <c r="AO1168" s="269"/>
      <c r="AP1168" s="269"/>
      <c r="AQ1168" s="269"/>
      <c r="AR1168" s="269"/>
    </row>
    <row r="1169">
      <c r="A1169" s="410"/>
      <c r="B1169" s="410"/>
      <c r="C1169" s="410"/>
      <c r="D1169" s="410"/>
      <c r="E1169" s="410"/>
      <c r="F1169" s="410"/>
      <c r="H1169" s="269"/>
      <c r="I1169" s="269"/>
      <c r="J1169" s="269"/>
      <c r="K1169" s="269"/>
      <c r="L1169" s="269"/>
      <c r="M1169" s="269"/>
      <c r="N1169" s="269"/>
      <c r="O1169" s="269"/>
      <c r="P1169" s="269"/>
      <c r="Q1169" s="269"/>
      <c r="R1169" s="269"/>
      <c r="S1169" s="269"/>
      <c r="T1169" s="269"/>
      <c r="U1169" s="269"/>
      <c r="V1169" s="269"/>
      <c r="W1169" s="269"/>
      <c r="X1169" s="269"/>
      <c r="Y1169" s="269"/>
      <c r="Z1169" s="269"/>
      <c r="AA1169" s="269"/>
      <c r="AB1169" s="269"/>
      <c r="AC1169" s="269"/>
      <c r="AD1169" s="269"/>
      <c r="AE1169" s="269"/>
      <c r="AF1169" s="269"/>
      <c r="AG1169" s="269"/>
      <c r="AH1169" s="269"/>
      <c r="AI1169" s="269"/>
      <c r="AJ1169" s="269"/>
      <c r="AK1169" s="269"/>
      <c r="AL1169" s="269"/>
      <c r="AM1169" s="269"/>
      <c r="AN1169" s="269"/>
      <c r="AO1169" s="269"/>
      <c r="AP1169" s="269"/>
      <c r="AQ1169" s="269"/>
      <c r="AR1169" s="269"/>
    </row>
    <row r="1170">
      <c r="A1170" s="410"/>
      <c r="B1170" s="410"/>
      <c r="C1170" s="410"/>
      <c r="D1170" s="410"/>
      <c r="E1170" s="410"/>
      <c r="F1170" s="410"/>
      <c r="H1170" s="269"/>
      <c r="I1170" s="269"/>
      <c r="J1170" s="269"/>
      <c r="K1170" s="269"/>
      <c r="L1170" s="269"/>
      <c r="M1170" s="269"/>
      <c r="N1170" s="269"/>
      <c r="O1170" s="269"/>
      <c r="P1170" s="269"/>
      <c r="Q1170" s="269"/>
      <c r="R1170" s="269"/>
      <c r="S1170" s="269"/>
      <c r="T1170" s="269"/>
      <c r="U1170" s="269"/>
      <c r="V1170" s="269"/>
      <c r="W1170" s="269"/>
      <c r="X1170" s="269"/>
      <c r="Y1170" s="269"/>
      <c r="Z1170" s="269"/>
      <c r="AA1170" s="269"/>
      <c r="AB1170" s="269"/>
      <c r="AC1170" s="269"/>
      <c r="AD1170" s="269"/>
      <c r="AE1170" s="269"/>
      <c r="AF1170" s="269"/>
      <c r="AG1170" s="269"/>
      <c r="AH1170" s="269"/>
      <c r="AI1170" s="269"/>
      <c r="AJ1170" s="269"/>
      <c r="AK1170" s="269"/>
      <c r="AL1170" s="269"/>
      <c r="AM1170" s="269"/>
      <c r="AN1170" s="269"/>
      <c r="AO1170" s="269"/>
      <c r="AP1170" s="269"/>
      <c r="AQ1170" s="269"/>
      <c r="AR1170" s="269"/>
    </row>
    <row r="1171">
      <c r="A1171" s="410"/>
      <c r="B1171" s="410"/>
      <c r="C1171" s="410"/>
      <c r="D1171" s="410"/>
      <c r="E1171" s="410"/>
      <c r="F1171" s="410"/>
      <c r="H1171" s="269"/>
      <c r="I1171" s="269"/>
      <c r="J1171" s="269"/>
      <c r="K1171" s="269"/>
      <c r="L1171" s="269"/>
      <c r="M1171" s="269"/>
      <c r="N1171" s="269"/>
      <c r="O1171" s="269"/>
      <c r="P1171" s="269"/>
      <c r="Q1171" s="269"/>
      <c r="R1171" s="269"/>
      <c r="S1171" s="269"/>
      <c r="T1171" s="269"/>
      <c r="U1171" s="269"/>
      <c r="V1171" s="269"/>
      <c r="W1171" s="269"/>
      <c r="X1171" s="269"/>
      <c r="Y1171" s="269"/>
      <c r="Z1171" s="269"/>
      <c r="AA1171" s="269"/>
      <c r="AB1171" s="269"/>
      <c r="AC1171" s="269"/>
      <c r="AD1171" s="269"/>
      <c r="AE1171" s="269"/>
      <c r="AF1171" s="269"/>
      <c r="AG1171" s="269"/>
      <c r="AH1171" s="269"/>
      <c r="AI1171" s="269"/>
      <c r="AJ1171" s="269"/>
      <c r="AK1171" s="269"/>
      <c r="AL1171" s="269"/>
      <c r="AM1171" s="269"/>
      <c r="AN1171" s="269"/>
      <c r="AO1171" s="269"/>
      <c r="AP1171" s="269"/>
      <c r="AQ1171" s="269"/>
      <c r="AR1171" s="269"/>
    </row>
    <row r="1172">
      <c r="A1172" s="410"/>
      <c r="B1172" s="410"/>
      <c r="C1172" s="410"/>
      <c r="D1172" s="410"/>
      <c r="E1172" s="410"/>
      <c r="F1172" s="410"/>
      <c r="H1172" s="269"/>
      <c r="I1172" s="269"/>
      <c r="J1172" s="269"/>
      <c r="K1172" s="269"/>
      <c r="L1172" s="269"/>
      <c r="M1172" s="269"/>
      <c r="N1172" s="269"/>
      <c r="O1172" s="269"/>
      <c r="P1172" s="269"/>
      <c r="Q1172" s="269"/>
      <c r="R1172" s="269"/>
      <c r="S1172" s="269"/>
      <c r="T1172" s="269"/>
      <c r="U1172" s="269"/>
      <c r="V1172" s="269"/>
      <c r="W1172" s="269"/>
      <c r="X1172" s="269"/>
      <c r="Y1172" s="269"/>
      <c r="Z1172" s="269"/>
      <c r="AA1172" s="269"/>
      <c r="AB1172" s="269"/>
      <c r="AC1172" s="269"/>
      <c r="AD1172" s="269"/>
      <c r="AE1172" s="269"/>
      <c r="AF1172" s="269"/>
      <c r="AG1172" s="269"/>
      <c r="AH1172" s="269"/>
      <c r="AI1172" s="269"/>
      <c r="AJ1172" s="269"/>
      <c r="AK1172" s="269"/>
      <c r="AL1172" s="269"/>
      <c r="AM1172" s="269"/>
      <c r="AN1172" s="269"/>
      <c r="AO1172" s="269"/>
      <c r="AP1172" s="269"/>
      <c r="AQ1172" s="269"/>
      <c r="AR1172" s="269"/>
    </row>
    <row r="1173">
      <c r="A1173" s="410"/>
      <c r="B1173" s="410"/>
      <c r="C1173" s="410"/>
      <c r="D1173" s="410"/>
      <c r="E1173" s="410"/>
      <c r="F1173" s="410"/>
      <c r="H1173" s="269"/>
      <c r="I1173" s="269"/>
      <c r="J1173" s="269"/>
      <c r="K1173" s="269"/>
      <c r="L1173" s="269"/>
      <c r="M1173" s="269"/>
      <c r="N1173" s="269"/>
      <c r="O1173" s="269"/>
      <c r="P1173" s="269"/>
      <c r="Q1173" s="269"/>
      <c r="R1173" s="269"/>
      <c r="S1173" s="269"/>
      <c r="T1173" s="269"/>
      <c r="U1173" s="269"/>
      <c r="V1173" s="269"/>
      <c r="W1173" s="269"/>
      <c r="X1173" s="269"/>
      <c r="Y1173" s="269"/>
      <c r="Z1173" s="269"/>
      <c r="AA1173" s="269"/>
      <c r="AB1173" s="269"/>
      <c r="AC1173" s="269"/>
      <c r="AD1173" s="269"/>
      <c r="AE1173" s="269"/>
      <c r="AF1173" s="269"/>
      <c r="AG1173" s="269"/>
      <c r="AH1173" s="269"/>
      <c r="AI1173" s="269"/>
      <c r="AJ1173" s="269"/>
      <c r="AK1173" s="269"/>
      <c r="AL1173" s="269"/>
      <c r="AM1173" s="269"/>
      <c r="AN1173" s="269"/>
      <c r="AO1173" s="269"/>
      <c r="AP1173" s="269"/>
      <c r="AQ1173" s="269"/>
      <c r="AR1173" s="269"/>
    </row>
    <row r="1174">
      <c r="A1174" s="410"/>
      <c r="B1174" s="410"/>
      <c r="C1174" s="410"/>
      <c r="D1174" s="410"/>
      <c r="E1174" s="410"/>
      <c r="F1174" s="410"/>
      <c r="H1174" s="269"/>
      <c r="I1174" s="269"/>
      <c r="J1174" s="269"/>
      <c r="K1174" s="269"/>
      <c r="L1174" s="269"/>
      <c r="M1174" s="269"/>
      <c r="N1174" s="269"/>
      <c r="O1174" s="269"/>
      <c r="P1174" s="269"/>
      <c r="Q1174" s="269"/>
      <c r="R1174" s="269"/>
      <c r="S1174" s="269"/>
      <c r="T1174" s="269"/>
      <c r="U1174" s="269"/>
      <c r="V1174" s="269"/>
      <c r="W1174" s="269"/>
      <c r="X1174" s="269"/>
      <c r="Y1174" s="269"/>
      <c r="Z1174" s="269"/>
      <c r="AA1174" s="269"/>
      <c r="AB1174" s="269"/>
      <c r="AC1174" s="269"/>
      <c r="AD1174" s="269"/>
      <c r="AE1174" s="269"/>
      <c r="AF1174" s="269"/>
      <c r="AG1174" s="269"/>
      <c r="AH1174" s="269"/>
      <c r="AI1174" s="269"/>
      <c r="AJ1174" s="269"/>
      <c r="AK1174" s="269"/>
      <c r="AL1174" s="269"/>
      <c r="AM1174" s="269"/>
      <c r="AN1174" s="269"/>
      <c r="AO1174" s="269"/>
      <c r="AP1174" s="269"/>
      <c r="AQ1174" s="269"/>
      <c r="AR1174" s="269"/>
    </row>
    <row r="1175">
      <c r="A1175" s="410"/>
      <c r="B1175" s="410"/>
      <c r="C1175" s="410"/>
      <c r="D1175" s="410"/>
      <c r="E1175" s="410"/>
      <c r="F1175" s="410"/>
      <c r="H1175" s="269"/>
      <c r="I1175" s="269"/>
      <c r="J1175" s="269"/>
      <c r="K1175" s="269"/>
      <c r="L1175" s="269"/>
      <c r="M1175" s="269"/>
      <c r="N1175" s="269"/>
      <c r="O1175" s="269"/>
      <c r="P1175" s="269"/>
      <c r="Q1175" s="269"/>
      <c r="R1175" s="269"/>
      <c r="S1175" s="269"/>
      <c r="T1175" s="269"/>
      <c r="U1175" s="269"/>
      <c r="V1175" s="269"/>
      <c r="W1175" s="269"/>
      <c r="X1175" s="269"/>
      <c r="Y1175" s="269"/>
      <c r="Z1175" s="269"/>
      <c r="AA1175" s="269"/>
      <c r="AB1175" s="269"/>
      <c r="AC1175" s="269"/>
      <c r="AD1175" s="269"/>
      <c r="AE1175" s="269"/>
      <c r="AF1175" s="269"/>
      <c r="AG1175" s="269"/>
      <c r="AH1175" s="269"/>
      <c r="AI1175" s="269"/>
      <c r="AJ1175" s="269"/>
      <c r="AK1175" s="269"/>
      <c r="AL1175" s="269"/>
      <c r="AM1175" s="269"/>
      <c r="AN1175" s="269"/>
      <c r="AO1175" s="269"/>
      <c r="AP1175" s="269"/>
      <c r="AQ1175" s="269"/>
      <c r="AR1175" s="269"/>
    </row>
    <row r="1176">
      <c r="A1176" s="410"/>
      <c r="B1176" s="410"/>
      <c r="C1176" s="410"/>
      <c r="D1176" s="410"/>
      <c r="E1176" s="410"/>
      <c r="F1176" s="410"/>
      <c r="H1176" s="269"/>
      <c r="I1176" s="269"/>
      <c r="J1176" s="269"/>
      <c r="K1176" s="269"/>
      <c r="L1176" s="269"/>
      <c r="M1176" s="269"/>
      <c r="N1176" s="269"/>
      <c r="O1176" s="269"/>
      <c r="P1176" s="269"/>
      <c r="Q1176" s="269"/>
      <c r="R1176" s="269"/>
      <c r="S1176" s="269"/>
      <c r="T1176" s="269"/>
      <c r="U1176" s="269"/>
      <c r="V1176" s="269"/>
      <c r="W1176" s="269"/>
      <c r="X1176" s="269"/>
      <c r="Y1176" s="269"/>
      <c r="Z1176" s="269"/>
      <c r="AA1176" s="269"/>
      <c r="AB1176" s="269"/>
      <c r="AC1176" s="269"/>
      <c r="AD1176" s="269"/>
      <c r="AE1176" s="269"/>
      <c r="AF1176" s="269"/>
      <c r="AG1176" s="269"/>
      <c r="AH1176" s="269"/>
      <c r="AI1176" s="269"/>
      <c r="AJ1176" s="269"/>
      <c r="AK1176" s="269"/>
      <c r="AL1176" s="269"/>
      <c r="AM1176" s="269"/>
      <c r="AN1176" s="269"/>
      <c r="AO1176" s="269"/>
      <c r="AP1176" s="269"/>
      <c r="AQ1176" s="269"/>
      <c r="AR1176" s="269"/>
    </row>
    <row r="1177">
      <c r="A1177" s="410"/>
      <c r="B1177" s="410"/>
      <c r="C1177" s="410"/>
      <c r="D1177" s="410"/>
      <c r="E1177" s="410"/>
      <c r="F1177" s="410"/>
      <c r="H1177" s="269"/>
      <c r="I1177" s="269"/>
      <c r="J1177" s="269"/>
      <c r="K1177" s="269"/>
      <c r="L1177" s="269"/>
      <c r="M1177" s="269"/>
      <c r="N1177" s="269"/>
      <c r="O1177" s="269"/>
      <c r="P1177" s="269"/>
      <c r="Q1177" s="269"/>
      <c r="R1177" s="269"/>
      <c r="S1177" s="269"/>
      <c r="T1177" s="269"/>
      <c r="U1177" s="269"/>
      <c r="V1177" s="269"/>
      <c r="W1177" s="269"/>
      <c r="X1177" s="269"/>
      <c r="Y1177" s="269"/>
      <c r="Z1177" s="269"/>
      <c r="AA1177" s="269"/>
      <c r="AB1177" s="269"/>
      <c r="AC1177" s="269"/>
      <c r="AD1177" s="269"/>
      <c r="AE1177" s="269"/>
      <c r="AF1177" s="269"/>
      <c r="AG1177" s="269"/>
      <c r="AH1177" s="269"/>
      <c r="AI1177" s="269"/>
      <c r="AJ1177" s="269"/>
      <c r="AK1177" s="269"/>
      <c r="AL1177" s="269"/>
      <c r="AM1177" s="269"/>
      <c r="AN1177" s="269"/>
      <c r="AO1177" s="269"/>
      <c r="AP1177" s="269"/>
      <c r="AQ1177" s="269"/>
      <c r="AR1177" s="269"/>
    </row>
    <row r="1178">
      <c r="A1178" s="410"/>
      <c r="B1178" s="410"/>
      <c r="C1178" s="410"/>
      <c r="D1178" s="410"/>
      <c r="E1178" s="410"/>
      <c r="F1178" s="410"/>
      <c r="H1178" s="269"/>
      <c r="I1178" s="269"/>
      <c r="J1178" s="269"/>
      <c r="K1178" s="269"/>
      <c r="L1178" s="269"/>
      <c r="M1178" s="269"/>
      <c r="N1178" s="269"/>
      <c r="O1178" s="269"/>
      <c r="P1178" s="269"/>
      <c r="Q1178" s="269"/>
      <c r="R1178" s="269"/>
      <c r="S1178" s="269"/>
      <c r="T1178" s="269"/>
      <c r="U1178" s="269"/>
      <c r="V1178" s="269"/>
      <c r="W1178" s="269"/>
      <c r="X1178" s="269"/>
      <c r="Y1178" s="269"/>
      <c r="Z1178" s="269"/>
      <c r="AA1178" s="269"/>
      <c r="AB1178" s="269"/>
      <c r="AC1178" s="269"/>
      <c r="AD1178" s="269"/>
      <c r="AE1178" s="269"/>
      <c r="AF1178" s="269"/>
      <c r="AG1178" s="269"/>
      <c r="AH1178" s="269"/>
      <c r="AI1178" s="269"/>
      <c r="AJ1178" s="269"/>
      <c r="AK1178" s="269"/>
      <c r="AL1178" s="269"/>
      <c r="AM1178" s="269"/>
      <c r="AN1178" s="269"/>
      <c r="AO1178" s="269"/>
      <c r="AP1178" s="269"/>
      <c r="AQ1178" s="269"/>
      <c r="AR1178" s="269"/>
    </row>
    <row r="1179">
      <c r="A1179" s="410"/>
      <c r="B1179" s="410"/>
      <c r="C1179" s="410"/>
      <c r="D1179" s="410"/>
      <c r="E1179" s="410"/>
      <c r="F1179" s="410"/>
      <c r="H1179" s="269"/>
      <c r="I1179" s="269"/>
      <c r="J1179" s="269"/>
      <c r="K1179" s="269"/>
      <c r="L1179" s="269"/>
      <c r="M1179" s="269"/>
      <c r="N1179" s="269"/>
      <c r="O1179" s="269"/>
      <c r="P1179" s="269"/>
      <c r="Q1179" s="269"/>
      <c r="R1179" s="269"/>
      <c r="S1179" s="269"/>
      <c r="T1179" s="269"/>
      <c r="U1179" s="269"/>
      <c r="V1179" s="269"/>
      <c r="W1179" s="269"/>
      <c r="X1179" s="269"/>
      <c r="Y1179" s="269"/>
      <c r="Z1179" s="269"/>
      <c r="AA1179" s="269"/>
      <c r="AB1179" s="269"/>
      <c r="AC1179" s="269"/>
      <c r="AD1179" s="269"/>
      <c r="AE1179" s="269"/>
      <c r="AF1179" s="269"/>
      <c r="AG1179" s="269"/>
      <c r="AH1179" s="269"/>
      <c r="AI1179" s="269"/>
      <c r="AJ1179" s="269"/>
      <c r="AK1179" s="269"/>
      <c r="AL1179" s="269"/>
      <c r="AM1179" s="269"/>
      <c r="AN1179" s="269"/>
      <c r="AO1179" s="269"/>
      <c r="AP1179" s="269"/>
      <c r="AQ1179" s="269"/>
      <c r="AR1179" s="269"/>
    </row>
    <row r="1180">
      <c r="A1180" s="410"/>
      <c r="B1180" s="410"/>
      <c r="C1180" s="410"/>
      <c r="D1180" s="410"/>
      <c r="E1180" s="410"/>
      <c r="F1180" s="410"/>
      <c r="H1180" s="269"/>
      <c r="I1180" s="269"/>
      <c r="J1180" s="269"/>
      <c r="K1180" s="269"/>
      <c r="L1180" s="269"/>
      <c r="M1180" s="269"/>
      <c r="N1180" s="269"/>
      <c r="O1180" s="269"/>
      <c r="P1180" s="269"/>
      <c r="Q1180" s="269"/>
      <c r="R1180" s="269"/>
      <c r="S1180" s="269"/>
      <c r="T1180" s="269"/>
      <c r="U1180" s="269"/>
      <c r="V1180" s="269"/>
      <c r="W1180" s="269"/>
      <c r="X1180" s="269"/>
      <c r="Y1180" s="269"/>
      <c r="Z1180" s="269"/>
      <c r="AA1180" s="269"/>
      <c r="AB1180" s="269"/>
      <c r="AC1180" s="269"/>
      <c r="AD1180" s="269"/>
      <c r="AE1180" s="269"/>
      <c r="AF1180" s="269"/>
      <c r="AG1180" s="269"/>
      <c r="AH1180" s="269"/>
      <c r="AI1180" s="269"/>
      <c r="AJ1180" s="269"/>
      <c r="AK1180" s="269"/>
      <c r="AL1180" s="269"/>
      <c r="AM1180" s="269"/>
      <c r="AN1180" s="269"/>
      <c r="AO1180" s="269"/>
      <c r="AP1180" s="269"/>
      <c r="AQ1180" s="269"/>
      <c r="AR1180" s="269"/>
    </row>
    <row r="1181">
      <c r="A1181" s="410"/>
      <c r="B1181" s="410"/>
      <c r="C1181" s="410"/>
      <c r="D1181" s="410"/>
      <c r="E1181" s="410"/>
      <c r="F1181" s="410"/>
      <c r="H1181" s="269"/>
      <c r="I1181" s="269"/>
      <c r="J1181" s="269"/>
      <c r="K1181" s="269"/>
      <c r="L1181" s="269"/>
      <c r="M1181" s="269"/>
      <c r="N1181" s="269"/>
      <c r="O1181" s="269"/>
      <c r="P1181" s="269"/>
      <c r="Q1181" s="269"/>
      <c r="R1181" s="269"/>
      <c r="S1181" s="269"/>
      <c r="T1181" s="269"/>
      <c r="U1181" s="269"/>
      <c r="V1181" s="269"/>
      <c r="W1181" s="269"/>
      <c r="X1181" s="269"/>
      <c r="Y1181" s="269"/>
      <c r="Z1181" s="269"/>
      <c r="AA1181" s="269"/>
      <c r="AB1181" s="269"/>
      <c r="AC1181" s="269"/>
      <c r="AD1181" s="269"/>
      <c r="AE1181" s="269"/>
      <c r="AF1181" s="269"/>
      <c r="AG1181" s="269"/>
      <c r="AH1181" s="269"/>
      <c r="AI1181" s="269"/>
      <c r="AJ1181" s="269"/>
      <c r="AK1181" s="269"/>
      <c r="AL1181" s="269"/>
      <c r="AM1181" s="269"/>
      <c r="AN1181" s="269"/>
      <c r="AO1181" s="269"/>
      <c r="AP1181" s="269"/>
      <c r="AQ1181" s="269"/>
      <c r="AR1181" s="269"/>
    </row>
    <row r="1182">
      <c r="A1182" s="410"/>
      <c r="B1182" s="410"/>
      <c r="C1182" s="410"/>
      <c r="D1182" s="410"/>
      <c r="E1182" s="410"/>
      <c r="F1182" s="410"/>
      <c r="H1182" s="269"/>
      <c r="I1182" s="269"/>
      <c r="J1182" s="269"/>
      <c r="K1182" s="269"/>
      <c r="L1182" s="269"/>
      <c r="M1182" s="269"/>
      <c r="N1182" s="269"/>
      <c r="O1182" s="269"/>
      <c r="P1182" s="269"/>
      <c r="Q1182" s="269"/>
      <c r="R1182" s="269"/>
      <c r="S1182" s="269"/>
      <c r="T1182" s="269"/>
      <c r="U1182" s="269"/>
      <c r="V1182" s="269"/>
      <c r="W1182" s="269"/>
      <c r="X1182" s="269"/>
      <c r="Y1182" s="269"/>
      <c r="Z1182" s="269"/>
      <c r="AA1182" s="269"/>
      <c r="AB1182" s="269"/>
      <c r="AC1182" s="269"/>
      <c r="AD1182" s="269"/>
      <c r="AE1182" s="269"/>
      <c r="AF1182" s="269"/>
      <c r="AG1182" s="269"/>
      <c r="AH1182" s="269"/>
      <c r="AI1182" s="269"/>
      <c r="AJ1182" s="269"/>
      <c r="AK1182" s="269"/>
      <c r="AL1182" s="269"/>
      <c r="AM1182" s="269"/>
      <c r="AN1182" s="269"/>
      <c r="AO1182" s="269"/>
      <c r="AP1182" s="269"/>
      <c r="AQ1182" s="269"/>
      <c r="AR1182" s="269"/>
    </row>
    <row r="1183">
      <c r="A1183" s="410"/>
      <c r="B1183" s="410"/>
      <c r="C1183" s="410"/>
      <c r="D1183" s="410"/>
      <c r="E1183" s="410"/>
      <c r="F1183" s="410"/>
      <c r="H1183" s="269"/>
      <c r="I1183" s="269"/>
      <c r="J1183" s="269"/>
      <c r="K1183" s="269"/>
      <c r="L1183" s="269"/>
      <c r="M1183" s="269"/>
      <c r="N1183" s="269"/>
      <c r="O1183" s="269"/>
      <c r="P1183" s="269"/>
      <c r="Q1183" s="269"/>
      <c r="R1183" s="269"/>
      <c r="S1183" s="269"/>
      <c r="T1183" s="269"/>
      <c r="U1183" s="269"/>
      <c r="V1183" s="269"/>
      <c r="W1183" s="269"/>
      <c r="X1183" s="269"/>
      <c r="Y1183" s="269"/>
      <c r="Z1183" s="269"/>
      <c r="AA1183" s="269"/>
      <c r="AB1183" s="269"/>
      <c r="AC1183" s="269"/>
      <c r="AD1183" s="269"/>
      <c r="AE1183" s="269"/>
      <c r="AF1183" s="269"/>
      <c r="AG1183" s="269"/>
      <c r="AH1183" s="269"/>
      <c r="AI1183" s="269"/>
      <c r="AJ1183" s="269"/>
      <c r="AK1183" s="269"/>
      <c r="AL1183" s="269"/>
      <c r="AM1183" s="269"/>
      <c r="AN1183" s="269"/>
      <c r="AO1183" s="269"/>
      <c r="AP1183" s="269"/>
      <c r="AQ1183" s="269"/>
      <c r="AR1183" s="269"/>
    </row>
    <row r="1184">
      <c r="A1184" s="410"/>
      <c r="B1184" s="410"/>
      <c r="C1184" s="410"/>
      <c r="D1184" s="410"/>
      <c r="E1184" s="410"/>
      <c r="F1184" s="410"/>
      <c r="H1184" s="269"/>
      <c r="I1184" s="269"/>
      <c r="J1184" s="269"/>
      <c r="K1184" s="269"/>
      <c r="L1184" s="269"/>
      <c r="M1184" s="269"/>
      <c r="N1184" s="269"/>
      <c r="O1184" s="269"/>
      <c r="P1184" s="269"/>
      <c r="Q1184" s="269"/>
      <c r="R1184" s="269"/>
      <c r="S1184" s="269"/>
      <c r="T1184" s="269"/>
      <c r="U1184" s="269"/>
      <c r="V1184" s="269"/>
      <c r="W1184" s="269"/>
      <c r="X1184" s="269"/>
      <c r="Y1184" s="269"/>
      <c r="Z1184" s="269"/>
      <c r="AA1184" s="269"/>
      <c r="AB1184" s="269"/>
      <c r="AC1184" s="269"/>
      <c r="AD1184" s="269"/>
      <c r="AE1184" s="269"/>
      <c r="AF1184" s="269"/>
      <c r="AG1184" s="269"/>
      <c r="AH1184" s="269"/>
      <c r="AI1184" s="269"/>
      <c r="AJ1184" s="269"/>
      <c r="AK1184" s="269"/>
      <c r="AL1184" s="269"/>
      <c r="AM1184" s="269"/>
      <c r="AN1184" s="269"/>
      <c r="AO1184" s="269"/>
      <c r="AP1184" s="269"/>
      <c r="AQ1184" s="269"/>
      <c r="AR1184" s="269"/>
    </row>
    <row r="1185">
      <c r="A1185" s="410"/>
      <c r="B1185" s="410"/>
      <c r="C1185" s="410"/>
      <c r="D1185" s="410"/>
      <c r="E1185" s="410"/>
      <c r="F1185" s="410"/>
      <c r="H1185" s="269"/>
      <c r="I1185" s="269"/>
      <c r="J1185" s="269"/>
      <c r="K1185" s="269"/>
      <c r="L1185" s="269"/>
      <c r="M1185" s="269"/>
      <c r="N1185" s="269"/>
      <c r="O1185" s="269"/>
      <c r="P1185" s="269"/>
      <c r="Q1185" s="269"/>
      <c r="R1185" s="269"/>
      <c r="S1185" s="269"/>
      <c r="T1185" s="269"/>
      <c r="U1185" s="269"/>
      <c r="V1185" s="269"/>
      <c r="W1185" s="269"/>
      <c r="X1185" s="269"/>
      <c r="Y1185" s="269"/>
      <c r="Z1185" s="269"/>
      <c r="AA1185" s="269"/>
      <c r="AB1185" s="269"/>
      <c r="AC1185" s="269"/>
      <c r="AD1185" s="269"/>
      <c r="AE1185" s="269"/>
      <c r="AF1185" s="269"/>
      <c r="AG1185" s="269"/>
      <c r="AH1185" s="269"/>
      <c r="AI1185" s="269"/>
      <c r="AJ1185" s="269"/>
      <c r="AK1185" s="269"/>
      <c r="AL1185" s="269"/>
      <c r="AM1185" s="269"/>
      <c r="AN1185" s="269"/>
      <c r="AO1185" s="269"/>
      <c r="AP1185" s="269"/>
      <c r="AQ1185" s="269"/>
      <c r="AR1185" s="269"/>
    </row>
    <row r="1186">
      <c r="A1186" s="410"/>
      <c r="B1186" s="410"/>
      <c r="C1186" s="410"/>
      <c r="D1186" s="410"/>
      <c r="E1186" s="410"/>
      <c r="F1186" s="410"/>
      <c r="H1186" s="269"/>
      <c r="I1186" s="269"/>
      <c r="J1186" s="269"/>
      <c r="K1186" s="269"/>
      <c r="L1186" s="269"/>
      <c r="M1186" s="269"/>
      <c r="N1186" s="269"/>
      <c r="O1186" s="269"/>
      <c r="P1186" s="269"/>
      <c r="Q1186" s="269"/>
      <c r="R1186" s="269"/>
      <c r="S1186" s="269"/>
      <c r="T1186" s="269"/>
      <c r="U1186" s="269"/>
      <c r="V1186" s="269"/>
      <c r="W1186" s="269"/>
      <c r="X1186" s="269"/>
      <c r="Y1186" s="269"/>
      <c r="Z1186" s="269"/>
      <c r="AA1186" s="269"/>
      <c r="AB1186" s="269"/>
      <c r="AC1186" s="269"/>
      <c r="AD1186" s="269"/>
      <c r="AE1186" s="269"/>
      <c r="AF1186" s="269"/>
      <c r="AG1186" s="269"/>
      <c r="AH1186" s="269"/>
      <c r="AI1186" s="269"/>
      <c r="AJ1186" s="269"/>
      <c r="AK1186" s="269"/>
      <c r="AL1186" s="269"/>
      <c r="AM1186" s="269"/>
      <c r="AN1186" s="269"/>
      <c r="AO1186" s="269"/>
      <c r="AP1186" s="269"/>
      <c r="AQ1186" s="269"/>
      <c r="AR1186" s="269"/>
    </row>
    <row r="1187">
      <c r="A1187" s="410"/>
      <c r="B1187" s="410"/>
      <c r="C1187" s="410"/>
      <c r="D1187" s="410"/>
      <c r="E1187" s="410"/>
      <c r="F1187" s="410"/>
      <c r="H1187" s="269"/>
      <c r="I1187" s="269"/>
      <c r="J1187" s="269"/>
      <c r="K1187" s="269"/>
      <c r="L1187" s="269"/>
      <c r="M1187" s="269"/>
      <c r="N1187" s="269"/>
      <c r="O1187" s="269"/>
      <c r="P1187" s="269"/>
      <c r="Q1187" s="269"/>
      <c r="R1187" s="269"/>
      <c r="S1187" s="269"/>
      <c r="T1187" s="269"/>
      <c r="U1187" s="269"/>
      <c r="V1187" s="269"/>
      <c r="W1187" s="269"/>
      <c r="X1187" s="269"/>
      <c r="Y1187" s="269"/>
      <c r="Z1187" s="269"/>
      <c r="AA1187" s="269"/>
      <c r="AB1187" s="269"/>
      <c r="AC1187" s="269"/>
      <c r="AD1187" s="269"/>
      <c r="AE1187" s="269"/>
      <c r="AF1187" s="269"/>
      <c r="AG1187" s="269"/>
      <c r="AH1187" s="269"/>
      <c r="AI1187" s="269"/>
      <c r="AJ1187" s="269"/>
      <c r="AK1187" s="269"/>
      <c r="AL1187" s="269"/>
      <c r="AM1187" s="269"/>
      <c r="AN1187" s="269"/>
      <c r="AO1187" s="269"/>
      <c r="AP1187" s="269"/>
      <c r="AQ1187" s="269"/>
      <c r="AR1187" s="269"/>
    </row>
    <row r="1188">
      <c r="A1188" s="410"/>
      <c r="B1188" s="410"/>
      <c r="C1188" s="410"/>
      <c r="D1188" s="410"/>
      <c r="E1188" s="410"/>
      <c r="F1188" s="410"/>
      <c r="H1188" s="269"/>
      <c r="I1188" s="269"/>
      <c r="J1188" s="269"/>
      <c r="K1188" s="269"/>
      <c r="L1188" s="269"/>
      <c r="M1188" s="269"/>
      <c r="N1188" s="269"/>
      <c r="O1188" s="269"/>
      <c r="P1188" s="269"/>
      <c r="Q1188" s="269"/>
      <c r="R1188" s="269"/>
      <c r="S1188" s="269"/>
      <c r="T1188" s="269"/>
      <c r="U1188" s="269"/>
      <c r="V1188" s="269"/>
      <c r="W1188" s="269"/>
      <c r="X1188" s="269"/>
      <c r="Y1188" s="269"/>
      <c r="Z1188" s="269"/>
      <c r="AA1188" s="269"/>
      <c r="AB1188" s="269"/>
      <c r="AC1188" s="269"/>
      <c r="AD1188" s="269"/>
      <c r="AE1188" s="269"/>
      <c r="AF1188" s="269"/>
      <c r="AG1188" s="269"/>
      <c r="AH1188" s="269"/>
      <c r="AI1188" s="269"/>
      <c r="AJ1188" s="269"/>
      <c r="AK1188" s="269"/>
      <c r="AL1188" s="269"/>
      <c r="AM1188" s="269"/>
      <c r="AN1188" s="269"/>
      <c r="AO1188" s="269"/>
      <c r="AP1188" s="269"/>
      <c r="AQ1188" s="269"/>
      <c r="AR1188" s="269"/>
    </row>
    <row r="1189">
      <c r="A1189" s="410"/>
      <c r="B1189" s="410"/>
      <c r="C1189" s="410"/>
      <c r="D1189" s="410"/>
      <c r="E1189" s="410"/>
      <c r="F1189" s="410"/>
      <c r="H1189" s="269"/>
      <c r="I1189" s="269"/>
      <c r="J1189" s="269"/>
      <c r="K1189" s="269"/>
      <c r="L1189" s="269"/>
      <c r="M1189" s="269"/>
      <c r="N1189" s="269"/>
      <c r="O1189" s="269"/>
      <c r="P1189" s="269"/>
      <c r="Q1189" s="269"/>
      <c r="R1189" s="269"/>
      <c r="S1189" s="269"/>
      <c r="T1189" s="269"/>
      <c r="U1189" s="269"/>
      <c r="V1189" s="269"/>
      <c r="W1189" s="269"/>
      <c r="X1189" s="269"/>
      <c r="Y1189" s="269"/>
      <c r="Z1189" s="269"/>
      <c r="AA1189" s="269"/>
      <c r="AB1189" s="269"/>
      <c r="AC1189" s="269"/>
      <c r="AD1189" s="269"/>
      <c r="AE1189" s="269"/>
      <c r="AF1189" s="269"/>
      <c r="AG1189" s="269"/>
      <c r="AH1189" s="269"/>
      <c r="AI1189" s="269"/>
      <c r="AJ1189" s="269"/>
      <c r="AK1189" s="269"/>
      <c r="AL1189" s="269"/>
      <c r="AM1189" s="269"/>
      <c r="AN1189" s="269"/>
      <c r="AO1189" s="269"/>
      <c r="AP1189" s="269"/>
      <c r="AQ1189" s="269"/>
      <c r="AR1189" s="269"/>
    </row>
    <row r="1190">
      <c r="A1190" s="410"/>
      <c r="B1190" s="410"/>
      <c r="C1190" s="410"/>
      <c r="D1190" s="410"/>
      <c r="E1190" s="410"/>
      <c r="F1190" s="410"/>
      <c r="H1190" s="269"/>
      <c r="I1190" s="269"/>
      <c r="J1190" s="269"/>
      <c r="K1190" s="269"/>
      <c r="L1190" s="269"/>
      <c r="M1190" s="269"/>
      <c r="N1190" s="269"/>
      <c r="O1190" s="269"/>
      <c r="P1190" s="269"/>
      <c r="Q1190" s="269"/>
      <c r="R1190" s="269"/>
      <c r="S1190" s="269"/>
      <c r="T1190" s="269"/>
      <c r="U1190" s="269"/>
      <c r="V1190" s="269"/>
      <c r="W1190" s="269"/>
      <c r="X1190" s="269"/>
      <c r="Y1190" s="269"/>
      <c r="Z1190" s="269"/>
      <c r="AA1190" s="269"/>
      <c r="AB1190" s="269"/>
      <c r="AC1190" s="269"/>
      <c r="AD1190" s="269"/>
      <c r="AE1190" s="269"/>
      <c r="AF1190" s="269"/>
      <c r="AG1190" s="269"/>
      <c r="AH1190" s="269"/>
      <c r="AI1190" s="269"/>
      <c r="AJ1190" s="269"/>
      <c r="AK1190" s="269"/>
      <c r="AL1190" s="269"/>
      <c r="AM1190" s="269"/>
      <c r="AN1190" s="269"/>
      <c r="AO1190" s="269"/>
      <c r="AP1190" s="269"/>
      <c r="AQ1190" s="269"/>
      <c r="AR1190" s="269"/>
    </row>
    <row r="1191">
      <c r="A1191" s="410"/>
      <c r="B1191" s="410"/>
      <c r="C1191" s="410"/>
      <c r="D1191" s="410"/>
      <c r="E1191" s="410"/>
      <c r="F1191" s="410"/>
      <c r="H1191" s="269"/>
      <c r="I1191" s="269"/>
      <c r="J1191" s="269"/>
      <c r="K1191" s="269"/>
      <c r="L1191" s="269"/>
      <c r="M1191" s="269"/>
      <c r="N1191" s="269"/>
      <c r="O1191" s="269"/>
      <c r="P1191" s="269"/>
      <c r="Q1191" s="269"/>
      <c r="R1191" s="269"/>
      <c r="S1191" s="269"/>
      <c r="T1191" s="269"/>
      <c r="U1191" s="269"/>
      <c r="V1191" s="269"/>
      <c r="W1191" s="269"/>
      <c r="X1191" s="269"/>
      <c r="Y1191" s="269"/>
      <c r="Z1191" s="269"/>
      <c r="AA1191" s="269"/>
      <c r="AB1191" s="269"/>
      <c r="AC1191" s="269"/>
      <c r="AD1191" s="269"/>
      <c r="AE1191" s="269"/>
      <c r="AF1191" s="269"/>
      <c r="AG1191" s="269"/>
      <c r="AH1191" s="269"/>
      <c r="AI1191" s="269"/>
      <c r="AJ1191" s="269"/>
      <c r="AK1191" s="269"/>
      <c r="AL1191" s="269"/>
      <c r="AM1191" s="269"/>
      <c r="AN1191" s="269"/>
      <c r="AO1191" s="269"/>
      <c r="AP1191" s="269"/>
      <c r="AQ1191" s="269"/>
      <c r="AR1191" s="269"/>
    </row>
    <row r="1192">
      <c r="A1192" s="410"/>
      <c r="B1192" s="410"/>
      <c r="C1192" s="410"/>
      <c r="D1192" s="410"/>
      <c r="E1192" s="410"/>
      <c r="F1192" s="410"/>
      <c r="H1192" s="269"/>
      <c r="I1192" s="269"/>
      <c r="J1192" s="269"/>
      <c r="K1192" s="269"/>
      <c r="L1192" s="269"/>
      <c r="M1192" s="269"/>
      <c r="N1192" s="269"/>
      <c r="O1192" s="269"/>
      <c r="P1192" s="269"/>
      <c r="Q1192" s="269"/>
      <c r="R1192" s="269"/>
      <c r="S1192" s="269"/>
      <c r="T1192" s="269"/>
      <c r="U1192" s="269"/>
      <c r="V1192" s="269"/>
      <c r="W1192" s="269"/>
      <c r="X1192" s="269"/>
      <c r="Y1192" s="269"/>
      <c r="Z1192" s="269"/>
      <c r="AA1192" s="269"/>
      <c r="AB1192" s="269"/>
      <c r="AC1192" s="269"/>
      <c r="AD1192" s="269"/>
      <c r="AE1192" s="269"/>
      <c r="AF1192" s="269"/>
      <c r="AG1192" s="269"/>
      <c r="AH1192" s="269"/>
      <c r="AI1192" s="269"/>
      <c r="AJ1192" s="269"/>
      <c r="AK1192" s="269"/>
      <c r="AL1192" s="269"/>
      <c r="AM1192" s="269"/>
      <c r="AN1192" s="269"/>
      <c r="AO1192" s="269"/>
      <c r="AP1192" s="269"/>
      <c r="AQ1192" s="269"/>
      <c r="AR1192" s="269"/>
    </row>
    <row r="1193">
      <c r="A1193" s="410"/>
      <c r="B1193" s="410"/>
      <c r="C1193" s="410"/>
      <c r="D1193" s="410"/>
      <c r="E1193" s="410"/>
      <c r="F1193" s="410"/>
      <c r="H1193" s="269"/>
      <c r="I1193" s="269"/>
      <c r="J1193" s="269"/>
      <c r="K1193" s="269"/>
      <c r="L1193" s="269"/>
      <c r="M1193" s="269"/>
      <c r="N1193" s="269"/>
      <c r="O1193" s="269"/>
      <c r="P1193" s="269"/>
      <c r="Q1193" s="269"/>
      <c r="R1193" s="269"/>
      <c r="S1193" s="269"/>
      <c r="T1193" s="269"/>
      <c r="U1193" s="269"/>
      <c r="V1193" s="269"/>
      <c r="W1193" s="269"/>
      <c r="X1193" s="269"/>
      <c r="Y1193" s="269"/>
      <c r="Z1193" s="269"/>
      <c r="AA1193" s="269"/>
      <c r="AB1193" s="269"/>
      <c r="AC1193" s="269"/>
      <c r="AD1193" s="269"/>
      <c r="AE1193" s="269"/>
      <c r="AF1193" s="269"/>
      <c r="AG1193" s="269"/>
      <c r="AH1193" s="269"/>
      <c r="AI1193" s="269"/>
      <c r="AJ1193" s="269"/>
      <c r="AK1193" s="269"/>
      <c r="AL1193" s="269"/>
      <c r="AM1193" s="269"/>
      <c r="AN1193" s="269"/>
      <c r="AO1193" s="269"/>
      <c r="AP1193" s="269"/>
      <c r="AQ1193" s="269"/>
      <c r="AR1193" s="269"/>
    </row>
    <row r="1194">
      <c r="A1194" s="410"/>
      <c r="B1194" s="410"/>
      <c r="C1194" s="410"/>
      <c r="D1194" s="410"/>
      <c r="E1194" s="410"/>
      <c r="F1194" s="410"/>
      <c r="H1194" s="269"/>
      <c r="I1194" s="269"/>
      <c r="J1194" s="269"/>
      <c r="K1194" s="269"/>
      <c r="L1194" s="269"/>
      <c r="M1194" s="269"/>
      <c r="N1194" s="269"/>
      <c r="O1194" s="269"/>
      <c r="P1194" s="269"/>
      <c r="Q1194" s="269"/>
      <c r="R1194" s="269"/>
      <c r="S1194" s="269"/>
      <c r="T1194" s="269"/>
      <c r="U1194" s="269"/>
      <c r="V1194" s="269"/>
      <c r="W1194" s="269"/>
      <c r="X1194" s="269"/>
      <c r="Y1194" s="269"/>
      <c r="Z1194" s="269"/>
      <c r="AA1194" s="269"/>
      <c r="AB1194" s="269"/>
      <c r="AC1194" s="269"/>
      <c r="AD1194" s="269"/>
      <c r="AE1194" s="269"/>
      <c r="AF1194" s="269"/>
      <c r="AG1194" s="269"/>
      <c r="AH1194" s="269"/>
      <c r="AI1194" s="269"/>
      <c r="AJ1194" s="269"/>
      <c r="AK1194" s="269"/>
      <c r="AL1194" s="269"/>
      <c r="AM1194" s="269"/>
      <c r="AN1194" s="269"/>
      <c r="AO1194" s="269"/>
      <c r="AP1194" s="269"/>
      <c r="AQ1194" s="269"/>
      <c r="AR1194" s="269"/>
    </row>
    <row r="1195">
      <c r="A1195" s="410"/>
      <c r="B1195" s="410"/>
      <c r="C1195" s="410"/>
      <c r="D1195" s="410"/>
      <c r="E1195" s="410"/>
      <c r="F1195" s="410"/>
      <c r="H1195" s="269"/>
      <c r="I1195" s="269"/>
      <c r="J1195" s="269"/>
      <c r="K1195" s="269"/>
      <c r="L1195" s="269"/>
      <c r="M1195" s="269"/>
      <c r="N1195" s="269"/>
      <c r="O1195" s="269"/>
      <c r="P1195" s="269"/>
      <c r="Q1195" s="269"/>
      <c r="R1195" s="269"/>
      <c r="S1195" s="269"/>
      <c r="T1195" s="269"/>
      <c r="U1195" s="269"/>
      <c r="V1195" s="269"/>
      <c r="W1195" s="269"/>
      <c r="X1195" s="269"/>
      <c r="Y1195" s="269"/>
      <c r="Z1195" s="269"/>
      <c r="AA1195" s="269"/>
      <c r="AB1195" s="269"/>
      <c r="AC1195" s="269"/>
      <c r="AD1195" s="269"/>
      <c r="AE1195" s="269"/>
      <c r="AF1195" s="269"/>
      <c r="AG1195" s="269"/>
      <c r="AH1195" s="269"/>
      <c r="AI1195" s="269"/>
      <c r="AJ1195" s="269"/>
      <c r="AK1195" s="269"/>
      <c r="AL1195" s="269"/>
      <c r="AM1195" s="269"/>
      <c r="AN1195" s="269"/>
      <c r="AO1195" s="269"/>
      <c r="AP1195" s="269"/>
      <c r="AQ1195" s="269"/>
      <c r="AR1195" s="269"/>
    </row>
    <row r="1196">
      <c r="A1196" s="410"/>
      <c r="B1196" s="410"/>
      <c r="C1196" s="410"/>
      <c r="D1196" s="410"/>
      <c r="E1196" s="410"/>
      <c r="F1196" s="410"/>
      <c r="H1196" s="269"/>
      <c r="I1196" s="269"/>
      <c r="J1196" s="269"/>
      <c r="K1196" s="269"/>
      <c r="L1196" s="269"/>
      <c r="M1196" s="269"/>
      <c r="N1196" s="269"/>
      <c r="O1196" s="269"/>
      <c r="P1196" s="269"/>
      <c r="Q1196" s="269"/>
      <c r="R1196" s="269"/>
      <c r="S1196" s="269"/>
      <c r="T1196" s="269"/>
      <c r="U1196" s="269"/>
      <c r="V1196" s="269"/>
      <c r="W1196" s="269"/>
      <c r="X1196" s="269"/>
      <c r="Y1196" s="269"/>
      <c r="Z1196" s="269"/>
      <c r="AA1196" s="269"/>
      <c r="AB1196" s="269"/>
      <c r="AC1196" s="269"/>
      <c r="AD1196" s="269"/>
      <c r="AE1196" s="269"/>
      <c r="AF1196" s="269"/>
      <c r="AG1196" s="269"/>
      <c r="AH1196" s="269"/>
      <c r="AI1196" s="269"/>
      <c r="AJ1196" s="269"/>
      <c r="AK1196" s="269"/>
      <c r="AL1196" s="269"/>
      <c r="AM1196" s="269"/>
      <c r="AN1196" s="269"/>
      <c r="AO1196" s="269"/>
      <c r="AP1196" s="269"/>
      <c r="AQ1196" s="269"/>
      <c r="AR1196" s="269"/>
    </row>
    <row r="1197">
      <c r="A1197" s="410"/>
      <c r="B1197" s="410"/>
      <c r="C1197" s="410"/>
      <c r="D1197" s="410"/>
      <c r="E1197" s="410"/>
      <c r="F1197" s="410"/>
      <c r="H1197" s="269"/>
      <c r="I1197" s="269"/>
      <c r="J1197" s="269"/>
      <c r="K1197" s="269"/>
      <c r="L1197" s="269"/>
      <c r="M1197" s="269"/>
      <c r="N1197" s="269"/>
      <c r="O1197" s="269"/>
      <c r="P1197" s="269"/>
      <c r="Q1197" s="269"/>
      <c r="R1197" s="269"/>
      <c r="S1197" s="269"/>
      <c r="T1197" s="269"/>
      <c r="U1197" s="269"/>
      <c r="V1197" s="269"/>
      <c r="W1197" s="269"/>
      <c r="X1197" s="269"/>
      <c r="Y1197" s="269"/>
      <c r="Z1197" s="269"/>
      <c r="AA1197" s="269"/>
      <c r="AB1197" s="269"/>
      <c r="AC1197" s="269"/>
      <c r="AD1197" s="269"/>
      <c r="AE1197" s="269"/>
      <c r="AF1197" s="269"/>
      <c r="AG1197" s="269"/>
      <c r="AH1197" s="269"/>
      <c r="AI1197" s="269"/>
      <c r="AJ1197" s="269"/>
      <c r="AK1197" s="269"/>
      <c r="AL1197" s="269"/>
      <c r="AM1197" s="269"/>
      <c r="AN1197" s="269"/>
      <c r="AO1197" s="269"/>
      <c r="AP1197" s="269"/>
      <c r="AQ1197" s="269"/>
      <c r="AR1197" s="269"/>
    </row>
    <row r="1198">
      <c r="A1198" s="410"/>
      <c r="B1198" s="410"/>
      <c r="C1198" s="410"/>
      <c r="D1198" s="410"/>
      <c r="E1198" s="410"/>
      <c r="F1198" s="410"/>
      <c r="H1198" s="269"/>
      <c r="I1198" s="269"/>
      <c r="J1198" s="269"/>
      <c r="K1198" s="269"/>
      <c r="L1198" s="269"/>
      <c r="M1198" s="269"/>
      <c r="N1198" s="269"/>
      <c r="O1198" s="269"/>
      <c r="P1198" s="269"/>
      <c r="Q1198" s="269"/>
      <c r="R1198" s="269"/>
      <c r="S1198" s="269"/>
      <c r="T1198" s="269"/>
      <c r="U1198" s="269"/>
      <c r="V1198" s="269"/>
      <c r="W1198" s="269"/>
      <c r="X1198" s="269"/>
      <c r="Y1198" s="269"/>
      <c r="Z1198" s="269"/>
      <c r="AA1198" s="269"/>
      <c r="AB1198" s="269"/>
      <c r="AC1198" s="269"/>
      <c r="AD1198" s="269"/>
      <c r="AE1198" s="269"/>
      <c r="AF1198" s="269"/>
      <c r="AG1198" s="269"/>
      <c r="AH1198" s="269"/>
      <c r="AI1198" s="269"/>
      <c r="AJ1198" s="269"/>
      <c r="AK1198" s="269"/>
      <c r="AL1198" s="269"/>
      <c r="AM1198" s="269"/>
      <c r="AN1198" s="269"/>
      <c r="AO1198" s="269"/>
      <c r="AP1198" s="269"/>
      <c r="AQ1198" s="269"/>
      <c r="AR1198" s="269"/>
    </row>
    <row r="1199">
      <c r="A1199" s="410"/>
      <c r="B1199" s="410"/>
      <c r="C1199" s="410"/>
      <c r="D1199" s="410"/>
      <c r="E1199" s="410"/>
      <c r="F1199" s="410"/>
      <c r="H1199" s="269"/>
      <c r="I1199" s="269"/>
      <c r="J1199" s="269"/>
      <c r="K1199" s="269"/>
      <c r="L1199" s="269"/>
      <c r="M1199" s="269"/>
      <c r="N1199" s="269"/>
      <c r="O1199" s="269"/>
      <c r="P1199" s="269"/>
      <c r="Q1199" s="269"/>
      <c r="R1199" s="269"/>
      <c r="S1199" s="269"/>
      <c r="T1199" s="269"/>
      <c r="U1199" s="269"/>
      <c r="V1199" s="269"/>
      <c r="W1199" s="269"/>
      <c r="X1199" s="269"/>
      <c r="Y1199" s="269"/>
      <c r="Z1199" s="269"/>
      <c r="AA1199" s="269"/>
      <c r="AB1199" s="269"/>
      <c r="AC1199" s="269"/>
      <c r="AD1199" s="269"/>
      <c r="AE1199" s="269"/>
      <c r="AF1199" s="269"/>
      <c r="AG1199" s="269"/>
      <c r="AH1199" s="269"/>
      <c r="AI1199" s="269"/>
      <c r="AJ1199" s="269"/>
      <c r="AK1199" s="269"/>
      <c r="AL1199" s="269"/>
      <c r="AM1199" s="269"/>
      <c r="AN1199" s="269"/>
      <c r="AO1199" s="269"/>
      <c r="AP1199" s="269"/>
      <c r="AQ1199" s="269"/>
      <c r="AR1199" s="269"/>
    </row>
    <row r="1200">
      <c r="A1200" s="410"/>
      <c r="B1200" s="410"/>
      <c r="C1200" s="410"/>
      <c r="D1200" s="410"/>
      <c r="E1200" s="410"/>
      <c r="F1200" s="410"/>
      <c r="H1200" s="269"/>
      <c r="I1200" s="269"/>
      <c r="J1200" s="269"/>
      <c r="K1200" s="269"/>
      <c r="L1200" s="269"/>
      <c r="M1200" s="269"/>
      <c r="N1200" s="269"/>
      <c r="O1200" s="269"/>
      <c r="P1200" s="269"/>
      <c r="Q1200" s="269"/>
      <c r="R1200" s="269"/>
      <c r="S1200" s="269"/>
      <c r="T1200" s="269"/>
      <c r="U1200" s="269"/>
      <c r="V1200" s="269"/>
      <c r="W1200" s="269"/>
      <c r="X1200" s="269"/>
      <c r="Y1200" s="269"/>
      <c r="Z1200" s="269"/>
      <c r="AA1200" s="269"/>
      <c r="AB1200" s="269"/>
      <c r="AC1200" s="269"/>
      <c r="AD1200" s="269"/>
      <c r="AE1200" s="269"/>
      <c r="AF1200" s="269"/>
      <c r="AG1200" s="269"/>
      <c r="AH1200" s="269"/>
      <c r="AI1200" s="269"/>
      <c r="AJ1200" s="269"/>
      <c r="AK1200" s="269"/>
      <c r="AL1200" s="269"/>
      <c r="AM1200" s="269"/>
      <c r="AN1200" s="269"/>
      <c r="AO1200" s="269"/>
      <c r="AP1200" s="269"/>
      <c r="AQ1200" s="269"/>
      <c r="AR1200" s="269"/>
    </row>
    <row r="1201">
      <c r="A1201" s="410"/>
      <c r="B1201" s="410"/>
      <c r="C1201" s="410"/>
      <c r="D1201" s="410"/>
      <c r="E1201" s="410"/>
      <c r="F1201" s="410"/>
      <c r="H1201" s="269"/>
      <c r="I1201" s="269"/>
      <c r="J1201" s="269"/>
      <c r="K1201" s="269"/>
      <c r="L1201" s="269"/>
      <c r="M1201" s="269"/>
      <c r="N1201" s="269"/>
      <c r="O1201" s="269"/>
      <c r="P1201" s="269"/>
      <c r="Q1201" s="269"/>
      <c r="R1201" s="269"/>
      <c r="S1201" s="269"/>
      <c r="T1201" s="269"/>
      <c r="U1201" s="269"/>
      <c r="V1201" s="269"/>
      <c r="W1201" s="269"/>
      <c r="X1201" s="269"/>
      <c r="Y1201" s="269"/>
      <c r="Z1201" s="269"/>
      <c r="AA1201" s="269"/>
      <c r="AB1201" s="269"/>
      <c r="AC1201" s="269"/>
      <c r="AD1201" s="269"/>
      <c r="AE1201" s="269"/>
      <c r="AF1201" s="269"/>
      <c r="AG1201" s="269"/>
      <c r="AH1201" s="269"/>
      <c r="AI1201" s="269"/>
      <c r="AJ1201" s="269"/>
      <c r="AK1201" s="269"/>
      <c r="AL1201" s="269"/>
      <c r="AM1201" s="269"/>
      <c r="AN1201" s="269"/>
      <c r="AO1201" s="269"/>
      <c r="AP1201" s="269"/>
      <c r="AQ1201" s="269"/>
      <c r="AR1201" s="269"/>
    </row>
    <row r="1202">
      <c r="A1202" s="410"/>
      <c r="B1202" s="410"/>
      <c r="C1202" s="410"/>
      <c r="D1202" s="410"/>
      <c r="E1202" s="410"/>
      <c r="F1202" s="410"/>
      <c r="H1202" s="269"/>
      <c r="I1202" s="269"/>
      <c r="J1202" s="269"/>
      <c r="K1202" s="269"/>
      <c r="L1202" s="269"/>
      <c r="M1202" s="269"/>
      <c r="N1202" s="269"/>
      <c r="O1202" s="269"/>
      <c r="P1202" s="269"/>
      <c r="Q1202" s="269"/>
      <c r="R1202" s="269"/>
      <c r="S1202" s="269"/>
      <c r="T1202" s="269"/>
      <c r="U1202" s="269"/>
      <c r="V1202" s="269"/>
      <c r="W1202" s="269"/>
      <c r="X1202" s="269"/>
      <c r="Y1202" s="269"/>
      <c r="Z1202" s="269"/>
      <c r="AA1202" s="269"/>
      <c r="AB1202" s="269"/>
      <c r="AC1202" s="269"/>
      <c r="AD1202" s="269"/>
      <c r="AE1202" s="269"/>
      <c r="AF1202" s="269"/>
      <c r="AG1202" s="269"/>
      <c r="AH1202" s="269"/>
      <c r="AI1202" s="269"/>
      <c r="AJ1202" s="269"/>
      <c r="AK1202" s="269"/>
      <c r="AL1202" s="269"/>
      <c r="AM1202" s="269"/>
      <c r="AN1202" s="269"/>
      <c r="AO1202" s="269"/>
      <c r="AP1202" s="269"/>
      <c r="AQ1202" s="269"/>
      <c r="AR1202" s="269"/>
    </row>
    <row r="1203">
      <c r="A1203" s="410"/>
      <c r="B1203" s="410"/>
      <c r="C1203" s="410"/>
      <c r="D1203" s="410"/>
      <c r="E1203" s="410"/>
      <c r="F1203" s="410"/>
      <c r="H1203" s="269"/>
      <c r="I1203" s="269"/>
      <c r="J1203" s="269"/>
      <c r="K1203" s="269"/>
      <c r="L1203" s="269"/>
      <c r="M1203" s="269"/>
      <c r="N1203" s="269"/>
      <c r="O1203" s="269"/>
      <c r="P1203" s="269"/>
      <c r="Q1203" s="269"/>
      <c r="R1203" s="269"/>
      <c r="S1203" s="269"/>
      <c r="T1203" s="269"/>
      <c r="U1203" s="269"/>
      <c r="V1203" s="269"/>
      <c r="W1203" s="269"/>
      <c r="X1203" s="269"/>
      <c r="Y1203" s="269"/>
      <c r="Z1203" s="269"/>
      <c r="AA1203" s="269"/>
      <c r="AB1203" s="269"/>
      <c r="AC1203" s="269"/>
      <c r="AD1203" s="269"/>
      <c r="AE1203" s="269"/>
      <c r="AF1203" s="269"/>
      <c r="AG1203" s="269"/>
      <c r="AH1203" s="269"/>
      <c r="AI1203" s="269"/>
      <c r="AJ1203" s="269"/>
      <c r="AK1203" s="269"/>
      <c r="AL1203" s="269"/>
      <c r="AM1203" s="269"/>
      <c r="AN1203" s="269"/>
      <c r="AO1203" s="269"/>
      <c r="AP1203" s="269"/>
      <c r="AQ1203" s="269"/>
      <c r="AR1203" s="269"/>
    </row>
    <row r="1204">
      <c r="A1204" s="410"/>
      <c r="B1204" s="410"/>
      <c r="C1204" s="410"/>
      <c r="D1204" s="410"/>
      <c r="E1204" s="410"/>
      <c r="F1204" s="410"/>
      <c r="H1204" s="269"/>
      <c r="I1204" s="269"/>
      <c r="J1204" s="269"/>
      <c r="K1204" s="269"/>
      <c r="L1204" s="269"/>
      <c r="M1204" s="269"/>
      <c r="N1204" s="269"/>
      <c r="O1204" s="269"/>
      <c r="P1204" s="269"/>
      <c r="Q1204" s="269"/>
      <c r="R1204" s="269"/>
      <c r="S1204" s="269"/>
      <c r="T1204" s="269"/>
      <c r="U1204" s="269"/>
      <c r="V1204" s="269"/>
      <c r="W1204" s="269"/>
      <c r="X1204" s="269"/>
      <c r="Y1204" s="269"/>
      <c r="Z1204" s="269"/>
      <c r="AA1204" s="269"/>
      <c r="AB1204" s="269"/>
      <c r="AC1204" s="269"/>
      <c r="AD1204" s="269"/>
      <c r="AE1204" s="269"/>
      <c r="AF1204" s="269"/>
      <c r="AG1204" s="269"/>
      <c r="AH1204" s="269"/>
      <c r="AI1204" s="269"/>
      <c r="AJ1204" s="269"/>
      <c r="AK1204" s="269"/>
      <c r="AL1204" s="269"/>
      <c r="AM1204" s="269"/>
      <c r="AN1204" s="269"/>
      <c r="AO1204" s="269"/>
      <c r="AP1204" s="269"/>
      <c r="AQ1204" s="269"/>
      <c r="AR1204" s="269"/>
    </row>
    <row r="1205">
      <c r="A1205" s="410"/>
      <c r="B1205" s="410"/>
      <c r="C1205" s="410"/>
      <c r="D1205" s="410"/>
      <c r="E1205" s="410"/>
      <c r="F1205" s="410"/>
      <c r="H1205" s="269"/>
      <c r="I1205" s="269"/>
      <c r="J1205" s="269"/>
      <c r="K1205" s="269"/>
      <c r="L1205" s="269"/>
      <c r="M1205" s="269"/>
      <c r="N1205" s="269"/>
      <c r="O1205" s="269"/>
      <c r="P1205" s="269"/>
      <c r="Q1205" s="269"/>
      <c r="R1205" s="269"/>
      <c r="S1205" s="269"/>
      <c r="T1205" s="269"/>
      <c r="U1205" s="269"/>
      <c r="V1205" s="269"/>
      <c r="W1205" s="269"/>
      <c r="X1205" s="269"/>
      <c r="Y1205" s="269"/>
      <c r="Z1205" s="269"/>
      <c r="AA1205" s="269"/>
      <c r="AB1205" s="269"/>
      <c r="AC1205" s="269"/>
      <c r="AD1205" s="269"/>
      <c r="AE1205" s="269"/>
      <c r="AF1205" s="269"/>
      <c r="AG1205" s="269"/>
      <c r="AH1205" s="269"/>
      <c r="AI1205" s="269"/>
      <c r="AJ1205" s="269"/>
      <c r="AK1205" s="269"/>
      <c r="AL1205" s="269"/>
      <c r="AM1205" s="269"/>
      <c r="AN1205" s="269"/>
      <c r="AO1205" s="269"/>
      <c r="AP1205" s="269"/>
      <c r="AQ1205" s="269"/>
      <c r="AR1205" s="269"/>
    </row>
    <row r="1206">
      <c r="A1206" s="410"/>
      <c r="B1206" s="410"/>
      <c r="C1206" s="410"/>
      <c r="D1206" s="410"/>
      <c r="E1206" s="410"/>
      <c r="F1206" s="410"/>
      <c r="H1206" s="269"/>
      <c r="I1206" s="269"/>
      <c r="J1206" s="269"/>
      <c r="K1206" s="269"/>
      <c r="L1206" s="269"/>
      <c r="M1206" s="269"/>
      <c r="N1206" s="269"/>
      <c r="O1206" s="269"/>
      <c r="P1206" s="269"/>
      <c r="Q1206" s="269"/>
      <c r="R1206" s="269"/>
      <c r="S1206" s="269"/>
      <c r="T1206" s="269"/>
      <c r="U1206" s="269"/>
      <c r="V1206" s="269"/>
      <c r="W1206" s="269"/>
      <c r="X1206" s="269"/>
      <c r="Y1206" s="269"/>
      <c r="Z1206" s="269"/>
      <c r="AA1206" s="269"/>
      <c r="AB1206" s="269"/>
      <c r="AC1206" s="269"/>
      <c r="AD1206" s="269"/>
      <c r="AE1206" s="269"/>
      <c r="AF1206" s="269"/>
      <c r="AG1206" s="269"/>
      <c r="AH1206" s="269"/>
      <c r="AI1206" s="269"/>
      <c r="AJ1206" s="269"/>
      <c r="AK1206" s="269"/>
      <c r="AL1206" s="269"/>
      <c r="AM1206" s="269"/>
      <c r="AN1206" s="269"/>
      <c r="AO1206" s="269"/>
      <c r="AP1206" s="269"/>
      <c r="AQ1206" s="269"/>
      <c r="AR1206" s="269"/>
    </row>
    <row r="1207">
      <c r="A1207" s="410"/>
      <c r="B1207" s="410"/>
      <c r="C1207" s="410"/>
      <c r="D1207" s="410"/>
      <c r="E1207" s="410"/>
      <c r="F1207" s="410"/>
      <c r="H1207" s="269"/>
      <c r="I1207" s="269"/>
      <c r="J1207" s="269"/>
      <c r="K1207" s="269"/>
      <c r="L1207" s="269"/>
      <c r="M1207" s="269"/>
      <c r="N1207" s="269"/>
      <c r="O1207" s="269"/>
      <c r="P1207" s="269"/>
      <c r="Q1207" s="269"/>
      <c r="R1207" s="269"/>
      <c r="S1207" s="269"/>
      <c r="T1207" s="269"/>
      <c r="U1207" s="269"/>
      <c r="V1207" s="269"/>
      <c r="W1207" s="269"/>
      <c r="X1207" s="269"/>
      <c r="Y1207" s="269"/>
      <c r="Z1207" s="269"/>
      <c r="AA1207" s="269"/>
      <c r="AB1207" s="269"/>
      <c r="AC1207" s="269"/>
      <c r="AD1207" s="269"/>
      <c r="AE1207" s="269"/>
      <c r="AF1207" s="269"/>
      <c r="AG1207" s="269"/>
      <c r="AH1207" s="269"/>
      <c r="AI1207" s="269"/>
      <c r="AJ1207" s="269"/>
      <c r="AK1207" s="269"/>
      <c r="AL1207" s="269"/>
      <c r="AM1207" s="269"/>
      <c r="AN1207" s="269"/>
      <c r="AO1207" s="269"/>
      <c r="AP1207" s="269"/>
      <c r="AQ1207" s="269"/>
      <c r="AR1207" s="269"/>
    </row>
    <row r="1208">
      <c r="A1208" s="410"/>
      <c r="B1208" s="410"/>
      <c r="C1208" s="410"/>
      <c r="D1208" s="410"/>
      <c r="E1208" s="410"/>
      <c r="F1208" s="410"/>
      <c r="H1208" s="269"/>
      <c r="I1208" s="269"/>
      <c r="J1208" s="269"/>
      <c r="K1208" s="269"/>
      <c r="L1208" s="269"/>
      <c r="M1208" s="269"/>
      <c r="N1208" s="269"/>
      <c r="O1208" s="269"/>
      <c r="P1208" s="269"/>
      <c r="Q1208" s="269"/>
      <c r="R1208" s="269"/>
      <c r="S1208" s="269"/>
      <c r="T1208" s="269"/>
      <c r="U1208" s="269"/>
      <c r="V1208" s="269"/>
      <c r="W1208" s="269"/>
      <c r="X1208" s="269"/>
      <c r="Y1208" s="269"/>
      <c r="Z1208" s="269"/>
      <c r="AA1208" s="269"/>
      <c r="AB1208" s="269"/>
      <c r="AC1208" s="269"/>
      <c r="AD1208" s="269"/>
      <c r="AE1208" s="269"/>
      <c r="AF1208" s="269"/>
      <c r="AG1208" s="269"/>
      <c r="AH1208" s="269"/>
      <c r="AI1208" s="269"/>
      <c r="AJ1208" s="269"/>
      <c r="AK1208" s="269"/>
      <c r="AL1208" s="269"/>
      <c r="AM1208" s="269"/>
      <c r="AN1208" s="269"/>
      <c r="AO1208" s="269"/>
      <c r="AP1208" s="269"/>
      <c r="AQ1208" s="269"/>
      <c r="AR1208" s="269"/>
    </row>
    <row r="1209">
      <c r="A1209" s="410"/>
      <c r="B1209" s="410"/>
      <c r="C1209" s="410"/>
      <c r="D1209" s="410"/>
      <c r="E1209" s="410"/>
      <c r="F1209" s="410"/>
      <c r="H1209" s="269"/>
      <c r="I1209" s="269"/>
      <c r="J1209" s="269"/>
      <c r="K1209" s="269"/>
      <c r="L1209" s="269"/>
      <c r="M1209" s="269"/>
      <c r="N1209" s="269"/>
      <c r="O1209" s="269"/>
      <c r="P1209" s="269"/>
      <c r="Q1209" s="269"/>
      <c r="R1209" s="269"/>
      <c r="S1209" s="269"/>
      <c r="T1209" s="269"/>
      <c r="U1209" s="269"/>
      <c r="V1209" s="269"/>
      <c r="W1209" s="269"/>
      <c r="X1209" s="269"/>
      <c r="Y1209" s="269"/>
      <c r="Z1209" s="269"/>
      <c r="AA1209" s="269"/>
      <c r="AB1209" s="269"/>
      <c r="AC1209" s="269"/>
      <c r="AD1209" s="269"/>
      <c r="AE1209" s="269"/>
      <c r="AF1209" s="269"/>
      <c r="AG1209" s="269"/>
      <c r="AH1209" s="269"/>
      <c r="AI1209" s="269"/>
      <c r="AJ1209" s="269"/>
      <c r="AK1209" s="269"/>
      <c r="AL1209" s="269"/>
      <c r="AM1209" s="269"/>
      <c r="AN1209" s="269"/>
      <c r="AO1209" s="269"/>
      <c r="AP1209" s="269"/>
      <c r="AQ1209" s="269"/>
      <c r="AR1209" s="269"/>
    </row>
    <row r="1210">
      <c r="A1210" s="410"/>
      <c r="B1210" s="410"/>
      <c r="C1210" s="410"/>
      <c r="D1210" s="410"/>
      <c r="E1210" s="410"/>
      <c r="F1210" s="410"/>
      <c r="H1210" s="269"/>
      <c r="I1210" s="269"/>
      <c r="J1210" s="269"/>
      <c r="K1210" s="269"/>
      <c r="L1210" s="269"/>
      <c r="M1210" s="269"/>
      <c r="N1210" s="269"/>
      <c r="O1210" s="269"/>
      <c r="P1210" s="269"/>
      <c r="Q1210" s="269"/>
      <c r="R1210" s="269"/>
      <c r="S1210" s="269"/>
      <c r="T1210" s="269"/>
      <c r="U1210" s="269"/>
      <c r="V1210" s="269"/>
      <c r="W1210" s="269"/>
      <c r="X1210" s="269"/>
      <c r="Y1210" s="269"/>
      <c r="Z1210" s="269"/>
      <c r="AA1210" s="269"/>
      <c r="AB1210" s="269"/>
      <c r="AC1210" s="269"/>
      <c r="AD1210" s="269"/>
      <c r="AE1210" s="269"/>
      <c r="AF1210" s="269"/>
      <c r="AG1210" s="269"/>
      <c r="AH1210" s="269"/>
      <c r="AI1210" s="269"/>
      <c r="AJ1210" s="269"/>
      <c r="AK1210" s="269"/>
      <c r="AL1210" s="269"/>
      <c r="AM1210" s="269"/>
      <c r="AN1210" s="269"/>
      <c r="AO1210" s="269"/>
      <c r="AP1210" s="269"/>
      <c r="AQ1210" s="269"/>
      <c r="AR1210" s="269"/>
    </row>
    <row r="1211">
      <c r="A1211" s="410"/>
      <c r="B1211" s="410"/>
      <c r="C1211" s="410"/>
      <c r="D1211" s="410"/>
      <c r="E1211" s="410"/>
      <c r="F1211" s="410"/>
      <c r="H1211" s="269"/>
      <c r="I1211" s="269"/>
      <c r="J1211" s="269"/>
      <c r="K1211" s="269"/>
      <c r="L1211" s="269"/>
      <c r="M1211" s="269"/>
      <c r="N1211" s="269"/>
      <c r="O1211" s="269"/>
      <c r="P1211" s="269"/>
      <c r="Q1211" s="269"/>
      <c r="R1211" s="269"/>
      <c r="S1211" s="269"/>
      <c r="T1211" s="269"/>
      <c r="U1211" s="269"/>
      <c r="V1211" s="269"/>
      <c r="W1211" s="269"/>
      <c r="X1211" s="269"/>
      <c r="Y1211" s="269"/>
      <c r="Z1211" s="269"/>
      <c r="AA1211" s="269"/>
      <c r="AB1211" s="269"/>
      <c r="AC1211" s="269"/>
      <c r="AD1211" s="269"/>
      <c r="AE1211" s="269"/>
      <c r="AF1211" s="269"/>
      <c r="AG1211" s="269"/>
      <c r="AH1211" s="269"/>
      <c r="AI1211" s="269"/>
      <c r="AJ1211" s="269"/>
      <c r="AK1211" s="269"/>
      <c r="AL1211" s="269"/>
      <c r="AM1211" s="269"/>
      <c r="AN1211" s="269"/>
      <c r="AO1211" s="269"/>
      <c r="AP1211" s="269"/>
      <c r="AQ1211" s="269"/>
      <c r="AR1211" s="269"/>
    </row>
    <row r="1212">
      <c r="A1212" s="410"/>
      <c r="B1212" s="410"/>
      <c r="C1212" s="410"/>
      <c r="D1212" s="410"/>
      <c r="E1212" s="410"/>
      <c r="F1212" s="410"/>
      <c r="H1212" s="269"/>
      <c r="I1212" s="269"/>
      <c r="J1212" s="269"/>
      <c r="K1212" s="269"/>
      <c r="L1212" s="269"/>
      <c r="M1212" s="269"/>
      <c r="N1212" s="269"/>
      <c r="O1212" s="269"/>
      <c r="P1212" s="269"/>
      <c r="Q1212" s="269"/>
      <c r="R1212" s="269"/>
      <c r="S1212" s="269"/>
      <c r="T1212" s="269"/>
      <c r="U1212" s="269"/>
      <c r="V1212" s="269"/>
      <c r="W1212" s="269"/>
      <c r="X1212" s="269"/>
      <c r="Y1212" s="269"/>
      <c r="Z1212" s="269"/>
      <c r="AA1212" s="269"/>
      <c r="AB1212" s="269"/>
      <c r="AC1212" s="269"/>
      <c r="AD1212" s="269"/>
      <c r="AE1212" s="269"/>
      <c r="AF1212" s="269"/>
      <c r="AG1212" s="269"/>
      <c r="AH1212" s="269"/>
      <c r="AI1212" s="269"/>
      <c r="AJ1212" s="269"/>
      <c r="AK1212" s="269"/>
      <c r="AL1212" s="269"/>
      <c r="AM1212" s="269"/>
      <c r="AN1212" s="269"/>
      <c r="AO1212" s="269"/>
      <c r="AP1212" s="269"/>
      <c r="AQ1212" s="269"/>
      <c r="AR1212" s="269"/>
    </row>
    <row r="1213">
      <c r="A1213" s="410"/>
      <c r="B1213" s="410"/>
      <c r="C1213" s="410"/>
      <c r="D1213" s="410"/>
      <c r="E1213" s="410"/>
      <c r="F1213" s="410"/>
      <c r="H1213" s="269"/>
      <c r="I1213" s="269"/>
      <c r="J1213" s="269"/>
      <c r="K1213" s="269"/>
      <c r="L1213" s="269"/>
      <c r="M1213" s="269"/>
      <c r="N1213" s="269"/>
      <c r="O1213" s="269"/>
      <c r="P1213" s="269"/>
      <c r="Q1213" s="269"/>
      <c r="R1213" s="269"/>
      <c r="S1213" s="269"/>
      <c r="T1213" s="269"/>
      <c r="U1213" s="269"/>
      <c r="V1213" s="269"/>
      <c r="W1213" s="269"/>
      <c r="X1213" s="269"/>
      <c r="Y1213" s="269"/>
      <c r="Z1213" s="269"/>
      <c r="AA1213" s="269"/>
      <c r="AB1213" s="269"/>
      <c r="AC1213" s="269"/>
      <c r="AD1213" s="269"/>
      <c r="AE1213" s="269"/>
      <c r="AF1213" s="269"/>
      <c r="AG1213" s="269"/>
      <c r="AH1213" s="269"/>
      <c r="AI1213" s="269"/>
      <c r="AJ1213" s="269"/>
      <c r="AK1213" s="269"/>
      <c r="AL1213" s="269"/>
      <c r="AM1213" s="269"/>
      <c r="AN1213" s="269"/>
      <c r="AO1213" s="269"/>
      <c r="AP1213" s="269"/>
      <c r="AQ1213" s="269"/>
      <c r="AR1213" s="269"/>
    </row>
    <row r="1214">
      <c r="A1214" s="410"/>
      <c r="B1214" s="410"/>
      <c r="C1214" s="410"/>
      <c r="D1214" s="410"/>
      <c r="E1214" s="410"/>
      <c r="F1214" s="410"/>
      <c r="H1214" s="269"/>
      <c r="I1214" s="269"/>
      <c r="J1214" s="269"/>
      <c r="K1214" s="269"/>
      <c r="L1214" s="269"/>
      <c r="M1214" s="269"/>
      <c r="N1214" s="269"/>
      <c r="O1214" s="269"/>
      <c r="P1214" s="269"/>
      <c r="Q1214" s="269"/>
      <c r="R1214" s="269"/>
      <c r="S1214" s="269"/>
      <c r="T1214" s="269"/>
      <c r="U1214" s="269"/>
      <c r="V1214" s="269"/>
      <c r="W1214" s="269"/>
      <c r="X1214" s="269"/>
      <c r="Y1214" s="269"/>
      <c r="Z1214" s="269"/>
      <c r="AA1214" s="269"/>
      <c r="AB1214" s="269"/>
      <c r="AC1214" s="269"/>
      <c r="AD1214" s="269"/>
      <c r="AE1214" s="269"/>
      <c r="AF1214" s="269"/>
      <c r="AG1214" s="269"/>
      <c r="AH1214" s="269"/>
      <c r="AI1214" s="269"/>
      <c r="AJ1214" s="269"/>
      <c r="AK1214" s="269"/>
      <c r="AL1214" s="269"/>
      <c r="AM1214" s="269"/>
      <c r="AN1214" s="269"/>
      <c r="AO1214" s="269"/>
      <c r="AP1214" s="269"/>
      <c r="AQ1214" s="269"/>
      <c r="AR1214" s="269"/>
    </row>
    <row r="1215">
      <c r="A1215" s="410"/>
      <c r="B1215" s="410"/>
      <c r="C1215" s="410"/>
      <c r="D1215" s="410"/>
      <c r="E1215" s="410"/>
      <c r="F1215" s="410"/>
      <c r="H1215" s="269"/>
      <c r="I1215" s="269"/>
      <c r="J1215" s="269"/>
      <c r="K1215" s="269"/>
      <c r="L1215" s="269"/>
      <c r="M1215" s="269"/>
      <c r="N1215" s="269"/>
      <c r="O1215" s="269"/>
      <c r="P1215" s="269"/>
      <c r="Q1215" s="269"/>
      <c r="R1215" s="269"/>
      <c r="S1215" s="269"/>
      <c r="T1215" s="269"/>
      <c r="U1215" s="269"/>
      <c r="V1215" s="269"/>
      <c r="W1215" s="269"/>
      <c r="X1215" s="269"/>
      <c r="Y1215" s="269"/>
      <c r="Z1215" s="269"/>
      <c r="AA1215" s="269"/>
      <c r="AB1215" s="269"/>
      <c r="AC1215" s="269"/>
      <c r="AD1215" s="269"/>
      <c r="AE1215" s="269"/>
      <c r="AF1215" s="269"/>
      <c r="AG1215" s="269"/>
      <c r="AH1215" s="269"/>
      <c r="AI1215" s="269"/>
      <c r="AJ1215" s="269"/>
      <c r="AK1215" s="269"/>
      <c r="AL1215" s="269"/>
      <c r="AM1215" s="269"/>
      <c r="AN1215" s="269"/>
      <c r="AO1215" s="269"/>
      <c r="AP1215" s="269"/>
      <c r="AQ1215" s="269"/>
      <c r="AR1215" s="269"/>
    </row>
    <row r="1216">
      <c r="A1216" s="410"/>
      <c r="B1216" s="410"/>
      <c r="C1216" s="410"/>
      <c r="D1216" s="410"/>
      <c r="E1216" s="410"/>
      <c r="F1216" s="410"/>
      <c r="H1216" s="269"/>
      <c r="I1216" s="269"/>
      <c r="J1216" s="269"/>
      <c r="K1216" s="269"/>
      <c r="L1216" s="269"/>
      <c r="M1216" s="269"/>
      <c r="N1216" s="269"/>
      <c r="O1216" s="269"/>
      <c r="P1216" s="269"/>
      <c r="Q1216" s="269"/>
      <c r="R1216" s="269"/>
      <c r="S1216" s="269"/>
      <c r="T1216" s="269"/>
      <c r="U1216" s="269"/>
      <c r="V1216" s="269"/>
      <c r="W1216" s="269"/>
      <c r="X1216" s="269"/>
      <c r="Y1216" s="269"/>
      <c r="Z1216" s="269"/>
      <c r="AA1216" s="269"/>
      <c r="AB1216" s="269"/>
      <c r="AC1216" s="269"/>
      <c r="AD1216" s="269"/>
      <c r="AE1216" s="269"/>
      <c r="AF1216" s="269"/>
      <c r="AG1216" s="269"/>
      <c r="AH1216" s="269"/>
      <c r="AI1216" s="269"/>
      <c r="AJ1216" s="269"/>
      <c r="AK1216" s="269"/>
      <c r="AL1216" s="269"/>
      <c r="AM1216" s="269"/>
      <c r="AN1216" s="269"/>
      <c r="AO1216" s="269"/>
      <c r="AP1216" s="269"/>
      <c r="AQ1216" s="269"/>
      <c r="AR1216" s="269"/>
    </row>
    <row r="1217">
      <c r="A1217" s="410"/>
      <c r="B1217" s="410"/>
      <c r="C1217" s="410"/>
      <c r="D1217" s="410"/>
      <c r="E1217" s="410"/>
      <c r="F1217" s="410"/>
      <c r="H1217" s="269"/>
      <c r="I1217" s="269"/>
      <c r="J1217" s="269"/>
      <c r="K1217" s="269"/>
      <c r="L1217" s="269"/>
      <c r="M1217" s="269"/>
      <c r="N1217" s="269"/>
      <c r="O1217" s="269"/>
      <c r="P1217" s="269"/>
      <c r="Q1217" s="269"/>
      <c r="R1217" s="269"/>
      <c r="S1217" s="269"/>
      <c r="T1217" s="269"/>
      <c r="U1217" s="269"/>
      <c r="V1217" s="269"/>
      <c r="W1217" s="269"/>
      <c r="X1217" s="269"/>
      <c r="Y1217" s="269"/>
      <c r="Z1217" s="269"/>
      <c r="AA1217" s="269"/>
      <c r="AB1217" s="269"/>
      <c r="AC1217" s="269"/>
      <c r="AD1217" s="269"/>
      <c r="AE1217" s="269"/>
      <c r="AF1217" s="269"/>
      <c r="AG1217" s="269"/>
      <c r="AH1217" s="269"/>
      <c r="AI1217" s="269"/>
      <c r="AJ1217" s="269"/>
      <c r="AK1217" s="269"/>
      <c r="AL1217" s="269"/>
      <c r="AM1217" s="269"/>
      <c r="AN1217" s="269"/>
      <c r="AO1217" s="269"/>
      <c r="AP1217" s="269"/>
      <c r="AQ1217" s="269"/>
      <c r="AR1217" s="269"/>
    </row>
    <row r="1218">
      <c r="A1218" s="410"/>
      <c r="B1218" s="410"/>
      <c r="C1218" s="410"/>
      <c r="D1218" s="410"/>
      <c r="E1218" s="410"/>
      <c r="F1218" s="410"/>
      <c r="H1218" s="269"/>
      <c r="I1218" s="269"/>
      <c r="J1218" s="269"/>
      <c r="K1218" s="269"/>
      <c r="L1218" s="269"/>
      <c r="M1218" s="269"/>
      <c r="N1218" s="269"/>
      <c r="O1218" s="269"/>
      <c r="P1218" s="269"/>
      <c r="Q1218" s="269"/>
      <c r="R1218" s="269"/>
      <c r="S1218" s="269"/>
      <c r="T1218" s="269"/>
      <c r="U1218" s="269"/>
      <c r="V1218" s="269"/>
      <c r="W1218" s="269"/>
      <c r="X1218" s="269"/>
      <c r="Y1218" s="269"/>
      <c r="Z1218" s="269"/>
      <c r="AA1218" s="269"/>
      <c r="AB1218" s="269"/>
      <c r="AC1218" s="269"/>
      <c r="AD1218" s="269"/>
      <c r="AE1218" s="269"/>
      <c r="AF1218" s="269"/>
      <c r="AG1218" s="269"/>
      <c r="AH1218" s="269"/>
      <c r="AI1218" s="269"/>
      <c r="AJ1218" s="269"/>
      <c r="AK1218" s="269"/>
      <c r="AL1218" s="269"/>
      <c r="AM1218" s="269"/>
      <c r="AN1218" s="269"/>
      <c r="AO1218" s="269"/>
      <c r="AP1218" s="269"/>
      <c r="AQ1218" s="269"/>
      <c r="AR1218" s="269"/>
    </row>
    <row r="1219">
      <c r="A1219" s="410"/>
      <c r="B1219" s="410"/>
      <c r="C1219" s="410"/>
      <c r="D1219" s="410"/>
      <c r="E1219" s="410"/>
      <c r="F1219" s="410"/>
      <c r="H1219" s="269"/>
      <c r="I1219" s="269"/>
      <c r="J1219" s="269"/>
      <c r="K1219" s="269"/>
      <c r="L1219" s="269"/>
      <c r="M1219" s="269"/>
      <c r="N1219" s="269"/>
      <c r="O1219" s="269"/>
      <c r="P1219" s="269"/>
      <c r="Q1219" s="269"/>
      <c r="R1219" s="269"/>
      <c r="S1219" s="269"/>
      <c r="T1219" s="269"/>
      <c r="U1219" s="269"/>
      <c r="V1219" s="269"/>
      <c r="W1219" s="269"/>
      <c r="X1219" s="269"/>
      <c r="Y1219" s="269"/>
      <c r="Z1219" s="269"/>
      <c r="AA1219" s="269"/>
      <c r="AB1219" s="269"/>
      <c r="AC1219" s="269"/>
      <c r="AD1219" s="269"/>
      <c r="AE1219" s="269"/>
      <c r="AF1219" s="269"/>
      <c r="AG1219" s="269"/>
      <c r="AH1219" s="269"/>
      <c r="AI1219" s="269"/>
      <c r="AJ1219" s="269"/>
      <c r="AK1219" s="269"/>
      <c r="AL1219" s="269"/>
      <c r="AM1219" s="269"/>
      <c r="AN1219" s="269"/>
      <c r="AO1219" s="269"/>
      <c r="AP1219" s="269"/>
      <c r="AQ1219" s="269"/>
      <c r="AR1219" s="269"/>
    </row>
    <row r="1220">
      <c r="A1220" s="410"/>
      <c r="B1220" s="410"/>
      <c r="C1220" s="410"/>
      <c r="D1220" s="410"/>
      <c r="E1220" s="410"/>
      <c r="F1220" s="410"/>
      <c r="H1220" s="269"/>
      <c r="I1220" s="269"/>
      <c r="J1220" s="269"/>
      <c r="K1220" s="269"/>
      <c r="L1220" s="269"/>
      <c r="M1220" s="269"/>
      <c r="N1220" s="269"/>
      <c r="O1220" s="269"/>
      <c r="P1220" s="269"/>
      <c r="Q1220" s="269"/>
      <c r="R1220" s="269"/>
      <c r="S1220" s="269"/>
      <c r="T1220" s="269"/>
      <c r="U1220" s="269"/>
      <c r="V1220" s="269"/>
      <c r="W1220" s="269"/>
      <c r="X1220" s="269"/>
      <c r="Y1220" s="269"/>
      <c r="Z1220" s="269"/>
      <c r="AA1220" s="269"/>
      <c r="AB1220" s="269"/>
      <c r="AC1220" s="269"/>
      <c r="AD1220" s="269"/>
      <c r="AE1220" s="269"/>
      <c r="AF1220" s="269"/>
      <c r="AG1220" s="269"/>
      <c r="AH1220" s="269"/>
      <c r="AI1220" s="269"/>
      <c r="AJ1220" s="269"/>
      <c r="AK1220" s="269"/>
      <c r="AL1220" s="269"/>
      <c r="AM1220" s="269"/>
      <c r="AN1220" s="269"/>
      <c r="AO1220" s="269"/>
      <c r="AP1220" s="269"/>
      <c r="AQ1220" s="269"/>
      <c r="AR1220" s="269"/>
    </row>
    <row r="1221">
      <c r="A1221" s="410"/>
      <c r="B1221" s="410"/>
      <c r="C1221" s="410"/>
      <c r="D1221" s="410"/>
      <c r="E1221" s="410"/>
      <c r="F1221" s="410"/>
      <c r="H1221" s="269"/>
      <c r="I1221" s="269"/>
      <c r="J1221" s="269"/>
      <c r="K1221" s="269"/>
      <c r="L1221" s="269"/>
      <c r="M1221" s="269"/>
      <c r="N1221" s="269"/>
      <c r="O1221" s="269"/>
      <c r="P1221" s="269"/>
      <c r="Q1221" s="269"/>
      <c r="R1221" s="269"/>
      <c r="S1221" s="269"/>
      <c r="T1221" s="269"/>
      <c r="U1221" s="269"/>
      <c r="V1221" s="269"/>
      <c r="W1221" s="269"/>
      <c r="X1221" s="269"/>
      <c r="Y1221" s="269"/>
      <c r="Z1221" s="269"/>
      <c r="AA1221" s="269"/>
      <c r="AB1221" s="269"/>
      <c r="AC1221" s="269"/>
      <c r="AD1221" s="269"/>
      <c r="AE1221" s="269"/>
      <c r="AF1221" s="269"/>
      <c r="AG1221" s="269"/>
      <c r="AH1221" s="269"/>
      <c r="AI1221" s="269"/>
      <c r="AJ1221" s="269"/>
      <c r="AK1221" s="269"/>
      <c r="AL1221" s="269"/>
      <c r="AM1221" s="269"/>
      <c r="AN1221" s="269"/>
      <c r="AO1221" s="269"/>
      <c r="AP1221" s="269"/>
      <c r="AQ1221" s="269"/>
      <c r="AR1221" s="269"/>
    </row>
    <row r="1222">
      <c r="A1222" s="410"/>
      <c r="B1222" s="410"/>
      <c r="C1222" s="410"/>
      <c r="D1222" s="410"/>
      <c r="E1222" s="410"/>
      <c r="F1222" s="410"/>
      <c r="H1222" s="269"/>
      <c r="I1222" s="269"/>
      <c r="J1222" s="269"/>
      <c r="K1222" s="269"/>
      <c r="L1222" s="269"/>
      <c r="M1222" s="269"/>
      <c r="N1222" s="269"/>
      <c r="O1222" s="269"/>
      <c r="P1222" s="269"/>
      <c r="Q1222" s="269"/>
      <c r="R1222" s="269"/>
      <c r="S1222" s="269"/>
      <c r="T1222" s="269"/>
      <c r="U1222" s="269"/>
      <c r="V1222" s="269"/>
      <c r="W1222" s="269"/>
      <c r="X1222" s="269"/>
      <c r="Y1222" s="269"/>
      <c r="Z1222" s="269"/>
      <c r="AA1222" s="269"/>
      <c r="AB1222" s="269"/>
      <c r="AC1222" s="269"/>
      <c r="AD1222" s="269"/>
      <c r="AE1222" s="269"/>
      <c r="AF1222" s="269"/>
      <c r="AG1222" s="269"/>
      <c r="AH1222" s="269"/>
      <c r="AI1222" s="269"/>
      <c r="AJ1222" s="269"/>
      <c r="AK1222" s="269"/>
      <c r="AL1222" s="269"/>
      <c r="AM1222" s="269"/>
      <c r="AN1222" s="269"/>
      <c r="AO1222" s="269"/>
      <c r="AP1222" s="269"/>
      <c r="AQ1222" s="269"/>
      <c r="AR1222" s="269"/>
    </row>
    <row r="1223">
      <c r="A1223" s="410"/>
      <c r="B1223" s="410"/>
      <c r="C1223" s="410"/>
      <c r="D1223" s="410"/>
      <c r="E1223" s="410"/>
      <c r="F1223" s="410"/>
      <c r="H1223" s="269"/>
      <c r="I1223" s="269"/>
      <c r="J1223" s="269"/>
      <c r="K1223" s="269"/>
      <c r="L1223" s="269"/>
      <c r="M1223" s="269"/>
      <c r="N1223" s="269"/>
      <c r="O1223" s="269"/>
      <c r="P1223" s="269"/>
      <c r="Q1223" s="269"/>
      <c r="R1223" s="269"/>
      <c r="S1223" s="269"/>
      <c r="T1223" s="269"/>
      <c r="U1223" s="269"/>
      <c r="V1223" s="269"/>
      <c r="W1223" s="269"/>
      <c r="X1223" s="269"/>
      <c r="Y1223" s="269"/>
      <c r="Z1223" s="269"/>
      <c r="AA1223" s="269"/>
      <c r="AB1223" s="269"/>
      <c r="AC1223" s="269"/>
      <c r="AD1223" s="269"/>
      <c r="AE1223" s="269"/>
      <c r="AF1223" s="269"/>
      <c r="AG1223" s="269"/>
      <c r="AH1223" s="269"/>
      <c r="AI1223" s="269"/>
      <c r="AJ1223" s="269"/>
      <c r="AK1223" s="269"/>
      <c r="AL1223" s="269"/>
      <c r="AM1223" s="269"/>
      <c r="AN1223" s="269"/>
      <c r="AO1223" s="269"/>
      <c r="AP1223" s="269"/>
      <c r="AQ1223" s="269"/>
      <c r="AR1223" s="269"/>
    </row>
    <row r="1224">
      <c r="A1224" s="410"/>
      <c r="B1224" s="410"/>
      <c r="C1224" s="410"/>
      <c r="D1224" s="410"/>
      <c r="E1224" s="410"/>
      <c r="F1224" s="410"/>
      <c r="H1224" s="269"/>
      <c r="I1224" s="269"/>
      <c r="J1224" s="269"/>
      <c r="K1224" s="269"/>
      <c r="L1224" s="269"/>
      <c r="M1224" s="269"/>
      <c r="N1224" s="269"/>
      <c r="O1224" s="269"/>
      <c r="P1224" s="269"/>
      <c r="Q1224" s="269"/>
      <c r="R1224" s="269"/>
      <c r="S1224" s="269"/>
      <c r="T1224" s="269"/>
      <c r="U1224" s="269"/>
      <c r="V1224" s="269"/>
      <c r="W1224" s="269"/>
      <c r="X1224" s="269"/>
      <c r="Y1224" s="269"/>
      <c r="Z1224" s="269"/>
      <c r="AA1224" s="269"/>
      <c r="AB1224" s="269"/>
      <c r="AC1224" s="269"/>
      <c r="AD1224" s="269"/>
      <c r="AE1224" s="269"/>
      <c r="AF1224" s="269"/>
      <c r="AG1224" s="269"/>
      <c r="AH1224" s="269"/>
      <c r="AI1224" s="269"/>
      <c r="AJ1224" s="269"/>
      <c r="AK1224" s="269"/>
      <c r="AL1224" s="269"/>
      <c r="AM1224" s="269"/>
      <c r="AN1224" s="269"/>
      <c r="AO1224" s="269"/>
      <c r="AP1224" s="269"/>
      <c r="AQ1224" s="269"/>
      <c r="AR1224" s="269"/>
    </row>
    <row r="1225">
      <c r="A1225" s="410"/>
      <c r="B1225" s="410"/>
      <c r="C1225" s="410"/>
      <c r="D1225" s="410"/>
      <c r="E1225" s="410"/>
      <c r="F1225" s="410"/>
      <c r="H1225" s="269"/>
      <c r="I1225" s="269"/>
      <c r="J1225" s="269"/>
      <c r="K1225" s="269"/>
      <c r="L1225" s="269"/>
      <c r="M1225" s="269"/>
      <c r="N1225" s="269"/>
      <c r="O1225" s="269"/>
      <c r="P1225" s="269"/>
      <c r="Q1225" s="269"/>
      <c r="R1225" s="269"/>
      <c r="S1225" s="269"/>
      <c r="T1225" s="269"/>
      <c r="U1225" s="269"/>
      <c r="V1225" s="269"/>
      <c r="W1225" s="269"/>
      <c r="X1225" s="269"/>
      <c r="Y1225" s="269"/>
      <c r="Z1225" s="269"/>
      <c r="AA1225" s="269"/>
      <c r="AB1225" s="269"/>
      <c r="AC1225" s="269"/>
      <c r="AD1225" s="269"/>
      <c r="AE1225" s="269"/>
      <c r="AF1225" s="269"/>
      <c r="AG1225" s="269"/>
      <c r="AH1225" s="269"/>
      <c r="AI1225" s="269"/>
      <c r="AJ1225" s="269"/>
      <c r="AK1225" s="269"/>
      <c r="AL1225" s="269"/>
      <c r="AM1225" s="269"/>
      <c r="AN1225" s="269"/>
      <c r="AO1225" s="269"/>
      <c r="AP1225" s="269"/>
      <c r="AQ1225" s="269"/>
      <c r="AR1225" s="269"/>
    </row>
    <row r="1226">
      <c r="A1226" s="410"/>
      <c r="B1226" s="410"/>
      <c r="C1226" s="410"/>
      <c r="D1226" s="410"/>
      <c r="E1226" s="410"/>
      <c r="F1226" s="410"/>
      <c r="H1226" s="269"/>
      <c r="I1226" s="269"/>
      <c r="J1226" s="269"/>
      <c r="K1226" s="269"/>
      <c r="L1226" s="269"/>
      <c r="M1226" s="269"/>
      <c r="N1226" s="269"/>
      <c r="O1226" s="269"/>
      <c r="P1226" s="269"/>
      <c r="Q1226" s="269"/>
      <c r="R1226" s="269"/>
      <c r="S1226" s="269"/>
      <c r="T1226" s="269"/>
      <c r="U1226" s="269"/>
      <c r="V1226" s="269"/>
      <c r="W1226" s="269"/>
      <c r="X1226" s="269"/>
      <c r="Y1226" s="269"/>
      <c r="Z1226" s="269"/>
      <c r="AA1226" s="269"/>
      <c r="AB1226" s="269"/>
      <c r="AC1226" s="269"/>
      <c r="AD1226" s="269"/>
      <c r="AE1226" s="269"/>
      <c r="AF1226" s="269"/>
      <c r="AG1226" s="269"/>
      <c r="AH1226" s="269"/>
      <c r="AI1226" s="269"/>
      <c r="AJ1226" s="269"/>
      <c r="AK1226" s="269"/>
      <c r="AL1226" s="269"/>
      <c r="AM1226" s="269"/>
      <c r="AN1226" s="269"/>
      <c r="AO1226" s="269"/>
      <c r="AP1226" s="269"/>
      <c r="AQ1226" s="269"/>
      <c r="AR1226" s="269"/>
    </row>
    <row r="1227">
      <c r="A1227" s="410"/>
      <c r="B1227" s="410"/>
      <c r="C1227" s="410"/>
      <c r="D1227" s="410"/>
      <c r="E1227" s="410"/>
      <c r="F1227" s="410"/>
      <c r="H1227" s="269"/>
      <c r="I1227" s="269"/>
      <c r="J1227" s="269"/>
      <c r="K1227" s="269"/>
      <c r="L1227" s="269"/>
      <c r="M1227" s="269"/>
      <c r="N1227" s="269"/>
      <c r="O1227" s="269"/>
      <c r="P1227" s="269"/>
      <c r="Q1227" s="269"/>
      <c r="R1227" s="269"/>
      <c r="S1227" s="269"/>
      <c r="T1227" s="269"/>
      <c r="U1227" s="269"/>
      <c r="V1227" s="269"/>
      <c r="W1227" s="269"/>
      <c r="X1227" s="269"/>
      <c r="Y1227" s="269"/>
      <c r="Z1227" s="269"/>
      <c r="AA1227" s="269"/>
      <c r="AB1227" s="269"/>
      <c r="AC1227" s="269"/>
      <c r="AD1227" s="269"/>
      <c r="AE1227" s="269"/>
      <c r="AF1227" s="269"/>
      <c r="AG1227" s="269"/>
      <c r="AH1227" s="269"/>
      <c r="AI1227" s="269"/>
      <c r="AJ1227" s="269"/>
      <c r="AK1227" s="269"/>
      <c r="AL1227" s="269"/>
      <c r="AM1227" s="269"/>
      <c r="AN1227" s="269"/>
      <c r="AO1227" s="269"/>
      <c r="AP1227" s="269"/>
      <c r="AQ1227" s="269"/>
      <c r="AR1227" s="269"/>
    </row>
    <row r="1228">
      <c r="A1228" s="410"/>
      <c r="B1228" s="410"/>
      <c r="C1228" s="410"/>
      <c r="D1228" s="410"/>
      <c r="E1228" s="410"/>
      <c r="F1228" s="410"/>
      <c r="H1228" s="269"/>
      <c r="I1228" s="269"/>
      <c r="J1228" s="269"/>
      <c r="K1228" s="269"/>
      <c r="L1228" s="269"/>
      <c r="M1228" s="269"/>
      <c r="N1228" s="269"/>
      <c r="O1228" s="269"/>
      <c r="P1228" s="269"/>
      <c r="Q1228" s="269"/>
      <c r="R1228" s="269"/>
      <c r="S1228" s="269"/>
      <c r="T1228" s="269"/>
      <c r="U1228" s="269"/>
      <c r="V1228" s="269"/>
      <c r="W1228" s="269"/>
      <c r="X1228" s="269"/>
      <c r="Y1228" s="269"/>
      <c r="Z1228" s="269"/>
      <c r="AA1228" s="269"/>
      <c r="AB1228" s="269"/>
      <c r="AC1228" s="269"/>
      <c r="AD1228" s="269"/>
      <c r="AE1228" s="269"/>
      <c r="AF1228" s="269"/>
      <c r="AG1228" s="269"/>
      <c r="AH1228" s="269"/>
      <c r="AI1228" s="269"/>
      <c r="AJ1228" s="269"/>
      <c r="AK1228" s="269"/>
      <c r="AL1228" s="269"/>
      <c r="AM1228" s="269"/>
      <c r="AN1228" s="269"/>
      <c r="AO1228" s="269"/>
      <c r="AP1228" s="269"/>
      <c r="AQ1228" s="269"/>
      <c r="AR1228" s="269"/>
    </row>
    <row r="1229">
      <c r="A1229" s="410"/>
      <c r="B1229" s="410"/>
      <c r="C1229" s="410"/>
      <c r="D1229" s="410"/>
      <c r="E1229" s="410"/>
      <c r="F1229" s="410"/>
      <c r="H1229" s="269"/>
      <c r="I1229" s="269"/>
      <c r="J1229" s="269"/>
      <c r="K1229" s="269"/>
      <c r="L1229" s="269"/>
      <c r="M1229" s="269"/>
      <c r="N1229" s="269"/>
      <c r="O1229" s="269"/>
      <c r="P1229" s="269"/>
      <c r="Q1229" s="269"/>
      <c r="R1229" s="269"/>
      <c r="S1229" s="269"/>
      <c r="T1229" s="269"/>
      <c r="U1229" s="269"/>
      <c r="V1229" s="269"/>
      <c r="W1229" s="269"/>
      <c r="X1229" s="269"/>
      <c r="Y1229" s="269"/>
      <c r="Z1229" s="269"/>
      <c r="AA1229" s="269"/>
      <c r="AB1229" s="269"/>
      <c r="AC1229" s="269"/>
      <c r="AD1229" s="269"/>
      <c r="AE1229" s="269"/>
      <c r="AF1229" s="269"/>
      <c r="AG1229" s="269"/>
      <c r="AH1229" s="269"/>
      <c r="AI1229" s="269"/>
      <c r="AJ1229" s="269"/>
      <c r="AK1229" s="269"/>
      <c r="AL1229" s="269"/>
      <c r="AM1229" s="269"/>
      <c r="AN1229" s="269"/>
      <c r="AO1229" s="269"/>
      <c r="AP1229" s="269"/>
      <c r="AQ1229" s="269"/>
      <c r="AR1229" s="269"/>
    </row>
    <row r="1230">
      <c r="A1230" s="410"/>
      <c r="B1230" s="410"/>
      <c r="C1230" s="410"/>
      <c r="D1230" s="410"/>
      <c r="E1230" s="410"/>
      <c r="F1230" s="410"/>
      <c r="H1230" s="269"/>
      <c r="I1230" s="269"/>
      <c r="J1230" s="269"/>
      <c r="K1230" s="269"/>
      <c r="L1230" s="269"/>
      <c r="M1230" s="269"/>
      <c r="N1230" s="269"/>
      <c r="O1230" s="269"/>
      <c r="P1230" s="269"/>
      <c r="Q1230" s="269"/>
      <c r="R1230" s="269"/>
      <c r="S1230" s="269"/>
      <c r="T1230" s="269"/>
      <c r="U1230" s="269"/>
      <c r="V1230" s="269"/>
      <c r="W1230" s="269"/>
      <c r="X1230" s="269"/>
      <c r="Y1230" s="269"/>
      <c r="Z1230" s="269"/>
      <c r="AA1230" s="269"/>
      <c r="AB1230" s="269"/>
      <c r="AC1230" s="269"/>
      <c r="AD1230" s="269"/>
      <c r="AE1230" s="269"/>
      <c r="AF1230" s="269"/>
      <c r="AG1230" s="269"/>
      <c r="AH1230" s="269"/>
      <c r="AI1230" s="269"/>
      <c r="AJ1230" s="269"/>
      <c r="AK1230" s="269"/>
      <c r="AL1230" s="269"/>
      <c r="AM1230" s="269"/>
      <c r="AN1230" s="269"/>
      <c r="AO1230" s="269"/>
      <c r="AP1230" s="269"/>
      <c r="AQ1230" s="269"/>
      <c r="AR1230" s="269"/>
    </row>
    <row r="1231">
      <c r="A1231" s="410"/>
      <c r="B1231" s="410"/>
      <c r="C1231" s="410"/>
      <c r="D1231" s="410"/>
      <c r="E1231" s="410"/>
      <c r="F1231" s="410"/>
      <c r="H1231" s="269"/>
      <c r="I1231" s="269"/>
      <c r="J1231" s="269"/>
      <c r="K1231" s="269"/>
      <c r="L1231" s="269"/>
      <c r="M1231" s="269"/>
      <c r="N1231" s="269"/>
      <c r="O1231" s="269"/>
      <c r="P1231" s="269"/>
      <c r="Q1231" s="269"/>
      <c r="R1231" s="269"/>
      <c r="S1231" s="269"/>
      <c r="T1231" s="269"/>
      <c r="U1231" s="269"/>
      <c r="V1231" s="269"/>
      <c r="W1231" s="269"/>
      <c r="X1231" s="269"/>
      <c r="Y1231" s="269"/>
      <c r="Z1231" s="269"/>
      <c r="AA1231" s="269"/>
      <c r="AB1231" s="269"/>
      <c r="AC1231" s="269"/>
      <c r="AD1231" s="269"/>
      <c r="AE1231" s="269"/>
      <c r="AF1231" s="269"/>
      <c r="AG1231" s="269"/>
      <c r="AH1231" s="269"/>
      <c r="AI1231" s="269"/>
      <c r="AJ1231" s="269"/>
      <c r="AK1231" s="269"/>
      <c r="AL1231" s="269"/>
      <c r="AM1231" s="269"/>
      <c r="AN1231" s="269"/>
      <c r="AO1231" s="269"/>
      <c r="AP1231" s="269"/>
      <c r="AQ1231" s="269"/>
      <c r="AR1231" s="269"/>
    </row>
    <row r="1232">
      <c r="A1232" s="410"/>
      <c r="B1232" s="410"/>
      <c r="C1232" s="410"/>
      <c r="D1232" s="410"/>
      <c r="E1232" s="410"/>
      <c r="F1232" s="410"/>
      <c r="H1232" s="269"/>
      <c r="I1232" s="269"/>
      <c r="J1232" s="269"/>
      <c r="K1232" s="269"/>
      <c r="L1232" s="269"/>
      <c r="M1232" s="269"/>
      <c r="N1232" s="269"/>
      <c r="O1232" s="269"/>
      <c r="P1232" s="269"/>
      <c r="Q1232" s="269"/>
      <c r="R1232" s="269"/>
      <c r="S1232" s="269"/>
      <c r="T1232" s="269"/>
      <c r="U1232" s="269"/>
      <c r="V1232" s="269"/>
      <c r="W1232" s="269"/>
      <c r="X1232" s="269"/>
      <c r="Y1232" s="269"/>
      <c r="Z1232" s="269"/>
      <c r="AA1232" s="269"/>
      <c r="AB1232" s="269"/>
      <c r="AC1232" s="269"/>
      <c r="AD1232" s="269"/>
      <c r="AE1232" s="269"/>
      <c r="AF1232" s="269"/>
      <c r="AG1232" s="269"/>
      <c r="AH1232" s="269"/>
      <c r="AI1232" s="269"/>
      <c r="AJ1232" s="269"/>
      <c r="AK1232" s="269"/>
      <c r="AL1232" s="269"/>
      <c r="AM1232" s="269"/>
      <c r="AN1232" s="269"/>
      <c r="AO1232" s="269"/>
      <c r="AP1232" s="269"/>
      <c r="AQ1232" s="269"/>
      <c r="AR1232" s="269"/>
    </row>
    <row r="1233">
      <c r="A1233" s="410"/>
      <c r="B1233" s="410"/>
      <c r="C1233" s="410"/>
      <c r="D1233" s="410"/>
      <c r="E1233" s="410"/>
      <c r="F1233" s="410"/>
      <c r="H1233" s="269"/>
      <c r="I1233" s="269"/>
      <c r="J1233" s="269"/>
      <c r="K1233" s="269"/>
      <c r="L1233" s="269"/>
      <c r="M1233" s="269"/>
      <c r="N1233" s="269"/>
      <c r="O1233" s="269"/>
      <c r="P1233" s="269"/>
      <c r="Q1233" s="269"/>
      <c r="R1233" s="269"/>
      <c r="S1233" s="269"/>
      <c r="T1233" s="269"/>
      <c r="U1233" s="269"/>
      <c r="V1233" s="269"/>
      <c r="W1233" s="269"/>
      <c r="X1233" s="269"/>
      <c r="Y1233" s="269"/>
      <c r="Z1233" s="269"/>
      <c r="AA1233" s="269"/>
      <c r="AB1233" s="269"/>
      <c r="AC1233" s="269"/>
      <c r="AD1233" s="269"/>
      <c r="AE1233" s="269"/>
      <c r="AF1233" s="269"/>
      <c r="AG1233" s="269"/>
      <c r="AH1233" s="269"/>
      <c r="AI1233" s="269"/>
      <c r="AJ1233" s="269"/>
      <c r="AK1233" s="269"/>
      <c r="AL1233" s="269"/>
      <c r="AM1233" s="269"/>
      <c r="AN1233" s="269"/>
      <c r="AO1233" s="269"/>
      <c r="AP1233" s="269"/>
      <c r="AQ1233" s="269"/>
      <c r="AR1233" s="269"/>
    </row>
    <row r="1234">
      <c r="A1234" s="410"/>
      <c r="B1234" s="410"/>
      <c r="C1234" s="410"/>
      <c r="D1234" s="410"/>
      <c r="E1234" s="410"/>
      <c r="F1234" s="410"/>
      <c r="H1234" s="269"/>
      <c r="I1234" s="269"/>
      <c r="J1234" s="269"/>
      <c r="K1234" s="269"/>
      <c r="L1234" s="269"/>
      <c r="M1234" s="269"/>
      <c r="N1234" s="269"/>
      <c r="O1234" s="269"/>
      <c r="P1234" s="269"/>
      <c r="Q1234" s="269"/>
      <c r="R1234" s="269"/>
      <c r="S1234" s="269"/>
      <c r="T1234" s="269"/>
      <c r="U1234" s="269"/>
      <c r="V1234" s="269"/>
      <c r="W1234" s="269"/>
      <c r="X1234" s="269"/>
      <c r="Y1234" s="269"/>
      <c r="Z1234" s="269"/>
      <c r="AA1234" s="269"/>
      <c r="AB1234" s="269"/>
      <c r="AC1234" s="269"/>
      <c r="AD1234" s="269"/>
      <c r="AE1234" s="269"/>
      <c r="AF1234" s="269"/>
      <c r="AG1234" s="269"/>
      <c r="AH1234" s="269"/>
      <c r="AI1234" s="269"/>
      <c r="AJ1234" s="269"/>
      <c r="AK1234" s="269"/>
      <c r="AL1234" s="269"/>
      <c r="AM1234" s="269"/>
      <c r="AN1234" s="269"/>
      <c r="AO1234" s="269"/>
      <c r="AP1234" s="269"/>
      <c r="AQ1234" s="269"/>
      <c r="AR1234" s="269"/>
    </row>
    <row r="1235">
      <c r="A1235" s="410"/>
      <c r="B1235" s="410"/>
      <c r="C1235" s="410"/>
      <c r="D1235" s="410"/>
      <c r="E1235" s="410"/>
      <c r="F1235" s="410"/>
      <c r="H1235" s="269"/>
      <c r="I1235" s="269"/>
      <c r="J1235" s="269"/>
      <c r="K1235" s="269"/>
      <c r="L1235" s="269"/>
      <c r="M1235" s="269"/>
      <c r="N1235" s="269"/>
      <c r="O1235" s="269"/>
      <c r="P1235" s="269"/>
      <c r="Q1235" s="269"/>
      <c r="R1235" s="269"/>
      <c r="S1235" s="269"/>
      <c r="T1235" s="269"/>
      <c r="U1235" s="269"/>
      <c r="V1235" s="269"/>
      <c r="W1235" s="269"/>
      <c r="X1235" s="269"/>
      <c r="Y1235" s="269"/>
      <c r="Z1235" s="269"/>
      <c r="AA1235" s="269"/>
      <c r="AB1235" s="269"/>
      <c r="AC1235" s="269"/>
      <c r="AD1235" s="269"/>
      <c r="AE1235" s="269"/>
      <c r="AF1235" s="269"/>
      <c r="AG1235" s="269"/>
      <c r="AH1235" s="269"/>
      <c r="AI1235" s="269"/>
      <c r="AJ1235" s="269"/>
      <c r="AK1235" s="269"/>
      <c r="AL1235" s="269"/>
      <c r="AM1235" s="269"/>
      <c r="AN1235" s="269"/>
      <c r="AO1235" s="269"/>
      <c r="AP1235" s="269"/>
      <c r="AQ1235" s="269"/>
      <c r="AR1235" s="269"/>
    </row>
    <row r="1236">
      <c r="A1236" s="410"/>
      <c r="B1236" s="410"/>
      <c r="C1236" s="410"/>
      <c r="D1236" s="410"/>
      <c r="E1236" s="410"/>
      <c r="F1236" s="410"/>
      <c r="H1236" s="269"/>
      <c r="I1236" s="269"/>
      <c r="J1236" s="269"/>
      <c r="K1236" s="269"/>
      <c r="L1236" s="269"/>
      <c r="M1236" s="269"/>
      <c r="N1236" s="269"/>
      <c r="O1236" s="269"/>
      <c r="P1236" s="269"/>
      <c r="Q1236" s="269"/>
      <c r="R1236" s="269"/>
      <c r="S1236" s="269"/>
      <c r="T1236" s="269"/>
      <c r="U1236" s="269"/>
      <c r="V1236" s="269"/>
      <c r="W1236" s="269"/>
      <c r="X1236" s="269"/>
      <c r="Y1236" s="269"/>
      <c r="Z1236" s="269"/>
      <c r="AA1236" s="269"/>
      <c r="AB1236" s="269"/>
      <c r="AC1236" s="269"/>
      <c r="AD1236" s="269"/>
      <c r="AE1236" s="269"/>
      <c r="AF1236" s="269"/>
      <c r="AG1236" s="269"/>
      <c r="AH1236" s="269"/>
      <c r="AI1236" s="269"/>
      <c r="AJ1236" s="269"/>
      <c r="AK1236" s="269"/>
      <c r="AL1236" s="269"/>
      <c r="AM1236" s="269"/>
      <c r="AN1236" s="269"/>
      <c r="AO1236" s="269"/>
      <c r="AP1236" s="269"/>
      <c r="AQ1236" s="269"/>
      <c r="AR1236" s="269"/>
    </row>
    <row r="1237">
      <c r="A1237" s="410"/>
      <c r="B1237" s="410"/>
      <c r="C1237" s="410"/>
      <c r="D1237" s="410"/>
      <c r="E1237" s="410"/>
      <c r="F1237" s="410"/>
      <c r="H1237" s="269"/>
      <c r="I1237" s="269"/>
      <c r="J1237" s="269"/>
      <c r="K1237" s="269"/>
      <c r="L1237" s="269"/>
      <c r="M1237" s="269"/>
      <c r="N1237" s="269"/>
      <c r="O1237" s="269"/>
      <c r="P1237" s="269"/>
      <c r="Q1237" s="269"/>
      <c r="R1237" s="269"/>
      <c r="S1237" s="269"/>
      <c r="T1237" s="269"/>
      <c r="U1237" s="269"/>
      <c r="V1237" s="269"/>
      <c r="W1237" s="269"/>
      <c r="X1237" s="269"/>
      <c r="Y1237" s="269"/>
      <c r="Z1237" s="269"/>
      <c r="AA1237" s="269"/>
      <c r="AB1237" s="269"/>
      <c r="AC1237" s="269"/>
      <c r="AD1237" s="269"/>
      <c r="AE1237" s="269"/>
      <c r="AF1237" s="269"/>
      <c r="AG1237" s="269"/>
      <c r="AH1237" s="269"/>
      <c r="AI1237" s="269"/>
      <c r="AJ1237" s="269"/>
      <c r="AK1237" s="269"/>
      <c r="AL1237" s="269"/>
      <c r="AM1237" s="269"/>
      <c r="AN1237" s="269"/>
      <c r="AO1237" s="269"/>
      <c r="AP1237" s="269"/>
      <c r="AQ1237" s="269"/>
      <c r="AR1237" s="269"/>
    </row>
    <row r="1238">
      <c r="A1238" s="410"/>
      <c r="B1238" s="410"/>
      <c r="C1238" s="410"/>
      <c r="D1238" s="410"/>
      <c r="E1238" s="410"/>
      <c r="F1238" s="410"/>
      <c r="H1238" s="269"/>
      <c r="I1238" s="269"/>
      <c r="J1238" s="269"/>
      <c r="K1238" s="269"/>
      <c r="L1238" s="269"/>
      <c r="M1238" s="269"/>
      <c r="N1238" s="269"/>
      <c r="O1238" s="269"/>
      <c r="P1238" s="269"/>
      <c r="Q1238" s="269"/>
      <c r="R1238" s="269"/>
      <c r="S1238" s="269"/>
      <c r="T1238" s="269"/>
      <c r="U1238" s="269"/>
      <c r="V1238" s="269"/>
      <c r="W1238" s="269"/>
      <c r="X1238" s="269"/>
      <c r="Y1238" s="269"/>
      <c r="Z1238" s="269"/>
      <c r="AA1238" s="269"/>
      <c r="AB1238" s="269"/>
      <c r="AC1238" s="269"/>
      <c r="AD1238" s="269"/>
      <c r="AE1238" s="269"/>
      <c r="AF1238" s="269"/>
      <c r="AG1238" s="269"/>
      <c r="AH1238" s="269"/>
      <c r="AI1238" s="269"/>
      <c r="AJ1238" s="269"/>
      <c r="AK1238" s="269"/>
      <c r="AL1238" s="269"/>
      <c r="AM1238" s="269"/>
      <c r="AN1238" s="269"/>
      <c r="AO1238" s="269"/>
      <c r="AP1238" s="269"/>
      <c r="AQ1238" s="269"/>
      <c r="AR1238" s="269"/>
    </row>
    <row r="1239">
      <c r="A1239" s="410"/>
      <c r="B1239" s="410"/>
      <c r="C1239" s="410"/>
      <c r="D1239" s="410"/>
      <c r="E1239" s="410"/>
      <c r="F1239" s="410"/>
      <c r="H1239" s="269"/>
      <c r="I1239" s="269"/>
      <c r="J1239" s="269"/>
      <c r="K1239" s="269"/>
      <c r="L1239" s="269"/>
      <c r="M1239" s="269"/>
      <c r="N1239" s="269"/>
      <c r="O1239" s="269"/>
      <c r="P1239" s="269"/>
      <c r="Q1239" s="269"/>
      <c r="R1239" s="269"/>
      <c r="S1239" s="269"/>
      <c r="T1239" s="269"/>
      <c r="U1239" s="269"/>
      <c r="V1239" s="269"/>
      <c r="W1239" s="269"/>
      <c r="X1239" s="269"/>
      <c r="Y1239" s="269"/>
      <c r="Z1239" s="269"/>
      <c r="AA1239" s="269"/>
      <c r="AB1239" s="269"/>
      <c r="AC1239" s="269"/>
      <c r="AD1239" s="269"/>
      <c r="AE1239" s="269"/>
      <c r="AF1239" s="269"/>
      <c r="AG1239" s="269"/>
      <c r="AH1239" s="269"/>
      <c r="AI1239" s="269"/>
      <c r="AJ1239" s="269"/>
      <c r="AK1239" s="269"/>
      <c r="AL1239" s="269"/>
      <c r="AM1239" s="269"/>
      <c r="AN1239" s="269"/>
      <c r="AO1239" s="269"/>
      <c r="AP1239" s="269"/>
      <c r="AQ1239" s="269"/>
      <c r="AR1239" s="269"/>
    </row>
    <row r="1240">
      <c r="A1240" s="410"/>
      <c r="B1240" s="410"/>
      <c r="C1240" s="410"/>
      <c r="D1240" s="410"/>
      <c r="E1240" s="410"/>
      <c r="F1240" s="410"/>
      <c r="H1240" s="269"/>
      <c r="I1240" s="269"/>
      <c r="J1240" s="269"/>
      <c r="K1240" s="269"/>
      <c r="L1240" s="269"/>
      <c r="M1240" s="269"/>
      <c r="N1240" s="269"/>
      <c r="O1240" s="269"/>
      <c r="P1240" s="269"/>
      <c r="Q1240" s="269"/>
      <c r="R1240" s="269"/>
      <c r="S1240" s="269"/>
      <c r="T1240" s="269"/>
      <c r="U1240" s="269"/>
      <c r="V1240" s="269"/>
      <c r="W1240" s="269"/>
      <c r="X1240" s="269"/>
      <c r="Y1240" s="269"/>
      <c r="Z1240" s="269"/>
      <c r="AA1240" s="269"/>
      <c r="AB1240" s="269"/>
      <c r="AC1240" s="269"/>
      <c r="AD1240" s="269"/>
      <c r="AE1240" s="269"/>
      <c r="AF1240" s="269"/>
      <c r="AG1240" s="269"/>
      <c r="AH1240" s="269"/>
      <c r="AI1240" s="269"/>
      <c r="AJ1240" s="269"/>
      <c r="AK1240" s="269"/>
      <c r="AL1240" s="269"/>
      <c r="AM1240" s="269"/>
      <c r="AN1240" s="269"/>
      <c r="AO1240" s="269"/>
      <c r="AP1240" s="269"/>
      <c r="AQ1240" s="269"/>
      <c r="AR1240" s="269"/>
    </row>
    <row r="1241">
      <c r="A1241" s="410"/>
      <c r="B1241" s="410"/>
      <c r="C1241" s="410"/>
      <c r="D1241" s="410"/>
      <c r="E1241" s="410"/>
      <c r="F1241" s="410"/>
      <c r="H1241" s="269"/>
      <c r="I1241" s="269"/>
      <c r="J1241" s="269"/>
      <c r="K1241" s="269"/>
      <c r="L1241" s="269"/>
      <c r="M1241" s="269"/>
      <c r="N1241" s="269"/>
      <c r="O1241" s="269"/>
      <c r="P1241" s="269"/>
      <c r="Q1241" s="269"/>
      <c r="R1241" s="269"/>
      <c r="S1241" s="269"/>
      <c r="T1241" s="269"/>
      <c r="U1241" s="269"/>
      <c r="V1241" s="269"/>
      <c r="W1241" s="269"/>
      <c r="X1241" s="269"/>
      <c r="Y1241" s="269"/>
      <c r="Z1241" s="269"/>
      <c r="AA1241" s="269"/>
      <c r="AB1241" s="269"/>
      <c r="AC1241" s="269"/>
      <c r="AD1241" s="269"/>
      <c r="AE1241" s="269"/>
      <c r="AF1241" s="269"/>
      <c r="AG1241" s="269"/>
      <c r="AH1241" s="269"/>
      <c r="AI1241" s="269"/>
      <c r="AJ1241" s="269"/>
      <c r="AK1241" s="269"/>
      <c r="AL1241" s="269"/>
      <c r="AM1241" s="269"/>
      <c r="AN1241" s="269"/>
      <c r="AO1241" s="269"/>
      <c r="AP1241" s="269"/>
      <c r="AQ1241" s="269"/>
      <c r="AR1241" s="269"/>
    </row>
    <row r="1242">
      <c r="A1242" s="410"/>
      <c r="B1242" s="410"/>
      <c r="C1242" s="410"/>
      <c r="D1242" s="410"/>
      <c r="E1242" s="410"/>
      <c r="F1242" s="410"/>
      <c r="H1242" s="269"/>
      <c r="I1242" s="269"/>
      <c r="J1242" s="269"/>
      <c r="K1242" s="269"/>
      <c r="L1242" s="269"/>
      <c r="M1242" s="269"/>
      <c r="N1242" s="269"/>
      <c r="O1242" s="269"/>
      <c r="P1242" s="269"/>
      <c r="Q1242" s="269"/>
      <c r="R1242" s="269"/>
      <c r="S1242" s="269"/>
      <c r="T1242" s="269"/>
      <c r="U1242" s="269"/>
      <c r="V1242" s="269"/>
      <c r="W1242" s="269"/>
      <c r="X1242" s="269"/>
      <c r="Y1242" s="269"/>
      <c r="Z1242" s="269"/>
      <c r="AA1242" s="269"/>
      <c r="AB1242" s="269"/>
      <c r="AC1242" s="269"/>
      <c r="AD1242" s="269"/>
      <c r="AE1242" s="269"/>
      <c r="AF1242" s="269"/>
      <c r="AG1242" s="269"/>
      <c r="AH1242" s="269"/>
      <c r="AI1242" s="269"/>
      <c r="AJ1242" s="269"/>
      <c r="AK1242" s="269"/>
      <c r="AL1242" s="269"/>
      <c r="AM1242" s="269"/>
      <c r="AN1242" s="269"/>
      <c r="AO1242" s="269"/>
      <c r="AP1242" s="269"/>
      <c r="AQ1242" s="269"/>
      <c r="AR1242" s="269"/>
    </row>
    <row r="1243">
      <c r="A1243" s="410"/>
      <c r="B1243" s="410"/>
      <c r="C1243" s="410"/>
      <c r="D1243" s="410"/>
      <c r="E1243" s="410"/>
      <c r="F1243" s="410"/>
      <c r="H1243" s="269"/>
      <c r="I1243" s="269"/>
      <c r="J1243" s="269"/>
      <c r="K1243" s="269"/>
      <c r="L1243" s="269"/>
      <c r="M1243" s="269"/>
      <c r="N1243" s="269"/>
      <c r="O1243" s="269"/>
      <c r="P1243" s="269"/>
      <c r="Q1243" s="269"/>
      <c r="R1243" s="269"/>
      <c r="S1243" s="269"/>
      <c r="T1243" s="269"/>
      <c r="U1243" s="269"/>
      <c r="V1243" s="269"/>
      <c r="W1243" s="269"/>
      <c r="X1243" s="269"/>
      <c r="Y1243" s="269"/>
      <c r="Z1243" s="269"/>
      <c r="AA1243" s="269"/>
      <c r="AB1243" s="269"/>
      <c r="AC1243" s="269"/>
      <c r="AD1243" s="269"/>
      <c r="AE1243" s="269"/>
      <c r="AF1243" s="269"/>
      <c r="AG1243" s="269"/>
      <c r="AH1243" s="269"/>
      <c r="AI1243" s="269"/>
      <c r="AJ1243" s="269"/>
      <c r="AK1243" s="269"/>
      <c r="AL1243" s="269"/>
      <c r="AM1243" s="269"/>
      <c r="AN1243" s="269"/>
      <c r="AO1243" s="269"/>
      <c r="AP1243" s="269"/>
      <c r="AQ1243" s="269"/>
      <c r="AR1243" s="269"/>
    </row>
    <row r="1244">
      <c r="A1244" s="410"/>
      <c r="B1244" s="410"/>
      <c r="C1244" s="410"/>
      <c r="D1244" s="410"/>
      <c r="E1244" s="410"/>
      <c r="F1244" s="410"/>
      <c r="H1244" s="269"/>
      <c r="I1244" s="269"/>
      <c r="J1244" s="269"/>
      <c r="K1244" s="269"/>
      <c r="L1244" s="269"/>
      <c r="M1244" s="269"/>
      <c r="N1244" s="269"/>
      <c r="O1244" s="269"/>
      <c r="P1244" s="269"/>
      <c r="Q1244" s="269"/>
      <c r="R1244" s="269"/>
      <c r="S1244" s="269"/>
      <c r="T1244" s="269"/>
      <c r="U1244" s="269"/>
      <c r="V1244" s="269"/>
      <c r="W1244" s="269"/>
      <c r="X1244" s="269"/>
      <c r="Y1244" s="269"/>
      <c r="Z1244" s="269"/>
      <c r="AA1244" s="269"/>
      <c r="AB1244" s="269"/>
      <c r="AC1244" s="269"/>
      <c r="AD1244" s="269"/>
      <c r="AE1244" s="269"/>
      <c r="AF1244" s="269"/>
      <c r="AG1244" s="269"/>
      <c r="AH1244" s="269"/>
      <c r="AI1244" s="269"/>
      <c r="AJ1244" s="269"/>
      <c r="AK1244" s="269"/>
      <c r="AL1244" s="269"/>
      <c r="AM1244" s="269"/>
      <c r="AN1244" s="269"/>
      <c r="AO1244" s="269"/>
      <c r="AP1244" s="269"/>
      <c r="AQ1244" s="269"/>
      <c r="AR1244" s="269"/>
    </row>
    <row r="1245">
      <c r="A1245" s="410"/>
      <c r="B1245" s="410"/>
      <c r="C1245" s="410"/>
      <c r="D1245" s="410"/>
      <c r="E1245" s="410"/>
      <c r="F1245" s="410"/>
      <c r="H1245" s="269"/>
      <c r="I1245" s="269"/>
      <c r="J1245" s="269"/>
      <c r="K1245" s="269"/>
      <c r="L1245" s="269"/>
      <c r="M1245" s="269"/>
      <c r="N1245" s="269"/>
      <c r="O1245" s="269"/>
      <c r="P1245" s="269"/>
      <c r="Q1245" s="269"/>
      <c r="R1245" s="269"/>
      <c r="S1245" s="269"/>
      <c r="T1245" s="269"/>
      <c r="U1245" s="269"/>
      <c r="V1245" s="269"/>
      <c r="W1245" s="269"/>
      <c r="X1245" s="269"/>
      <c r="Y1245" s="269"/>
      <c r="Z1245" s="269"/>
      <c r="AA1245" s="269"/>
      <c r="AB1245" s="269"/>
      <c r="AC1245" s="269"/>
      <c r="AD1245" s="269"/>
      <c r="AE1245" s="269"/>
      <c r="AF1245" s="269"/>
      <c r="AG1245" s="269"/>
      <c r="AH1245" s="269"/>
      <c r="AI1245" s="269"/>
      <c r="AJ1245" s="269"/>
      <c r="AK1245" s="269"/>
      <c r="AL1245" s="269"/>
      <c r="AM1245" s="269"/>
      <c r="AN1245" s="269"/>
      <c r="AO1245" s="269"/>
      <c r="AP1245" s="269"/>
      <c r="AQ1245" s="269"/>
      <c r="AR1245" s="269"/>
    </row>
    <row r="1246">
      <c r="A1246" s="410"/>
      <c r="B1246" s="410"/>
      <c r="C1246" s="410"/>
      <c r="D1246" s="410"/>
      <c r="E1246" s="410"/>
      <c r="F1246" s="410"/>
      <c r="H1246" s="269"/>
      <c r="I1246" s="269"/>
      <c r="J1246" s="269"/>
      <c r="K1246" s="269"/>
      <c r="L1246" s="269"/>
      <c r="M1246" s="269"/>
      <c r="N1246" s="269"/>
      <c r="O1246" s="269"/>
      <c r="P1246" s="269"/>
      <c r="Q1246" s="269"/>
      <c r="R1246" s="269"/>
      <c r="S1246" s="269"/>
      <c r="T1246" s="269"/>
      <c r="U1246" s="269"/>
      <c r="V1246" s="269"/>
      <c r="W1246" s="269"/>
      <c r="X1246" s="269"/>
      <c r="Y1246" s="269"/>
      <c r="Z1246" s="269"/>
      <c r="AA1246" s="269"/>
      <c r="AB1246" s="269"/>
      <c r="AC1246" s="269"/>
      <c r="AD1246" s="269"/>
      <c r="AE1246" s="269"/>
      <c r="AF1246" s="269"/>
      <c r="AG1246" s="269"/>
      <c r="AH1246" s="269"/>
      <c r="AI1246" s="269"/>
      <c r="AJ1246" s="269"/>
      <c r="AK1246" s="269"/>
      <c r="AL1246" s="269"/>
      <c r="AM1246" s="269"/>
      <c r="AN1246" s="269"/>
      <c r="AO1246" s="269"/>
      <c r="AP1246" s="269"/>
      <c r="AQ1246" s="269"/>
      <c r="AR1246" s="269"/>
    </row>
    <row r="1247">
      <c r="A1247" s="410"/>
      <c r="B1247" s="410"/>
      <c r="C1247" s="410"/>
      <c r="D1247" s="410"/>
      <c r="E1247" s="410"/>
      <c r="F1247" s="410"/>
      <c r="H1247" s="269"/>
      <c r="I1247" s="269"/>
      <c r="J1247" s="269"/>
      <c r="K1247" s="269"/>
      <c r="L1247" s="269"/>
      <c r="M1247" s="269"/>
      <c r="N1247" s="269"/>
      <c r="O1247" s="269"/>
      <c r="P1247" s="269"/>
      <c r="Q1247" s="269"/>
      <c r="R1247" s="269"/>
      <c r="S1247" s="269"/>
      <c r="T1247" s="269"/>
      <c r="U1247" s="269"/>
      <c r="V1247" s="269"/>
      <c r="W1247" s="269"/>
      <c r="X1247" s="269"/>
      <c r="Y1247" s="269"/>
      <c r="Z1247" s="269"/>
      <c r="AA1247" s="269"/>
      <c r="AB1247" s="269"/>
      <c r="AC1247" s="269"/>
      <c r="AD1247" s="269"/>
      <c r="AE1247" s="269"/>
      <c r="AF1247" s="269"/>
      <c r="AG1247" s="269"/>
      <c r="AH1247" s="269"/>
      <c r="AI1247" s="269"/>
      <c r="AJ1247" s="269"/>
      <c r="AK1247" s="269"/>
      <c r="AL1247" s="269"/>
      <c r="AM1247" s="269"/>
      <c r="AN1247" s="269"/>
      <c r="AO1247" s="269"/>
      <c r="AP1247" s="269"/>
      <c r="AQ1247" s="269"/>
      <c r="AR1247" s="269"/>
    </row>
    <row r="1248">
      <c r="A1248" s="410"/>
      <c r="B1248" s="410"/>
      <c r="C1248" s="410"/>
      <c r="D1248" s="410"/>
      <c r="E1248" s="410"/>
      <c r="F1248" s="410"/>
      <c r="H1248" s="269"/>
      <c r="I1248" s="269"/>
      <c r="J1248" s="269"/>
      <c r="K1248" s="269"/>
      <c r="L1248" s="269"/>
      <c r="M1248" s="269"/>
      <c r="N1248" s="269"/>
      <c r="O1248" s="269"/>
      <c r="P1248" s="269"/>
      <c r="Q1248" s="269"/>
      <c r="R1248" s="269"/>
      <c r="S1248" s="269"/>
      <c r="T1248" s="269"/>
      <c r="U1248" s="269"/>
      <c r="V1248" s="269"/>
      <c r="W1248" s="269"/>
      <c r="X1248" s="269"/>
      <c r="Y1248" s="269"/>
      <c r="Z1248" s="269"/>
      <c r="AA1248" s="269"/>
      <c r="AB1248" s="269"/>
      <c r="AC1248" s="269"/>
      <c r="AD1248" s="269"/>
      <c r="AE1248" s="269"/>
      <c r="AF1248" s="269"/>
      <c r="AG1248" s="269"/>
      <c r="AH1248" s="269"/>
      <c r="AI1248" s="269"/>
      <c r="AJ1248" s="269"/>
      <c r="AK1248" s="269"/>
      <c r="AL1248" s="269"/>
      <c r="AM1248" s="269"/>
      <c r="AN1248" s="269"/>
      <c r="AO1248" s="269"/>
      <c r="AP1248" s="269"/>
      <c r="AQ1248" s="269"/>
      <c r="AR1248" s="269"/>
    </row>
    <row r="1249">
      <c r="A1249" s="410"/>
      <c r="B1249" s="410"/>
      <c r="C1249" s="410"/>
      <c r="D1249" s="410"/>
      <c r="E1249" s="410"/>
      <c r="F1249" s="410"/>
      <c r="H1249" s="269"/>
      <c r="I1249" s="269"/>
      <c r="J1249" s="269"/>
      <c r="K1249" s="269"/>
      <c r="L1249" s="269"/>
      <c r="M1249" s="269"/>
      <c r="N1249" s="269"/>
      <c r="O1249" s="269"/>
      <c r="P1249" s="269"/>
      <c r="Q1249" s="269"/>
      <c r="R1249" s="269"/>
      <c r="S1249" s="269"/>
      <c r="T1249" s="269"/>
      <c r="U1249" s="269"/>
      <c r="V1249" s="269"/>
      <c r="W1249" s="269"/>
      <c r="X1249" s="269"/>
      <c r="Y1249" s="269"/>
      <c r="Z1249" s="269"/>
      <c r="AA1249" s="269"/>
      <c r="AB1249" s="269"/>
      <c r="AC1249" s="269"/>
      <c r="AD1249" s="269"/>
      <c r="AE1249" s="269"/>
      <c r="AF1249" s="269"/>
      <c r="AG1249" s="269"/>
      <c r="AH1249" s="269"/>
      <c r="AI1249" s="269"/>
      <c r="AJ1249" s="269"/>
      <c r="AK1249" s="269"/>
      <c r="AL1249" s="269"/>
      <c r="AM1249" s="269"/>
      <c r="AN1249" s="269"/>
      <c r="AO1249" s="269"/>
      <c r="AP1249" s="269"/>
      <c r="AQ1249" s="269"/>
      <c r="AR1249" s="269"/>
    </row>
    <row r="1250">
      <c r="A1250" s="410"/>
      <c r="B1250" s="410"/>
      <c r="C1250" s="410"/>
      <c r="D1250" s="410"/>
      <c r="E1250" s="410"/>
      <c r="F1250" s="410"/>
      <c r="H1250" s="269"/>
      <c r="I1250" s="269"/>
      <c r="J1250" s="269"/>
      <c r="K1250" s="269"/>
      <c r="L1250" s="269"/>
      <c r="M1250" s="269"/>
      <c r="N1250" s="269"/>
      <c r="O1250" s="269"/>
      <c r="P1250" s="269"/>
      <c r="Q1250" s="269"/>
      <c r="R1250" s="269"/>
      <c r="S1250" s="269"/>
      <c r="T1250" s="269"/>
      <c r="U1250" s="269"/>
      <c r="V1250" s="269"/>
      <c r="W1250" s="269"/>
      <c r="X1250" s="269"/>
      <c r="Y1250" s="269"/>
      <c r="Z1250" s="269"/>
      <c r="AA1250" s="269"/>
      <c r="AB1250" s="269"/>
      <c r="AC1250" s="269"/>
      <c r="AD1250" s="269"/>
      <c r="AE1250" s="269"/>
      <c r="AF1250" s="269"/>
      <c r="AG1250" s="269"/>
      <c r="AH1250" s="269"/>
      <c r="AI1250" s="269"/>
      <c r="AJ1250" s="269"/>
      <c r="AK1250" s="269"/>
      <c r="AL1250" s="269"/>
      <c r="AM1250" s="269"/>
      <c r="AN1250" s="269"/>
      <c r="AO1250" s="269"/>
      <c r="AP1250" s="269"/>
      <c r="AQ1250" s="269"/>
      <c r="AR1250" s="269"/>
    </row>
    <row r="1251">
      <c r="A1251" s="410"/>
      <c r="B1251" s="410"/>
      <c r="C1251" s="410"/>
      <c r="D1251" s="410"/>
      <c r="E1251" s="410"/>
      <c r="F1251" s="410"/>
      <c r="H1251" s="269"/>
      <c r="I1251" s="269"/>
      <c r="J1251" s="269"/>
      <c r="K1251" s="269"/>
      <c r="L1251" s="269"/>
      <c r="M1251" s="269"/>
      <c r="N1251" s="269"/>
      <c r="O1251" s="269"/>
      <c r="P1251" s="269"/>
      <c r="Q1251" s="269"/>
      <c r="R1251" s="269"/>
      <c r="S1251" s="269"/>
      <c r="T1251" s="269"/>
      <c r="U1251" s="269"/>
      <c r="V1251" s="269"/>
      <c r="W1251" s="269"/>
      <c r="X1251" s="269"/>
      <c r="Y1251" s="269"/>
      <c r="Z1251" s="269"/>
      <c r="AA1251" s="269"/>
      <c r="AB1251" s="269"/>
      <c r="AC1251" s="269"/>
      <c r="AD1251" s="269"/>
      <c r="AE1251" s="269"/>
      <c r="AF1251" s="269"/>
      <c r="AG1251" s="269"/>
      <c r="AH1251" s="269"/>
      <c r="AI1251" s="269"/>
      <c r="AJ1251" s="269"/>
      <c r="AK1251" s="269"/>
      <c r="AL1251" s="269"/>
      <c r="AM1251" s="269"/>
      <c r="AN1251" s="269"/>
      <c r="AO1251" s="269"/>
      <c r="AP1251" s="269"/>
      <c r="AQ1251" s="269"/>
      <c r="AR1251" s="269"/>
    </row>
    <row r="1252">
      <c r="A1252" s="410"/>
      <c r="B1252" s="410"/>
      <c r="C1252" s="410"/>
      <c r="D1252" s="410"/>
      <c r="E1252" s="410"/>
      <c r="F1252" s="410"/>
      <c r="H1252" s="269"/>
      <c r="I1252" s="269"/>
      <c r="J1252" s="269"/>
      <c r="K1252" s="269"/>
      <c r="L1252" s="269"/>
      <c r="M1252" s="269"/>
      <c r="N1252" s="269"/>
      <c r="O1252" s="269"/>
      <c r="P1252" s="269"/>
      <c r="Q1252" s="269"/>
      <c r="R1252" s="269"/>
      <c r="S1252" s="269"/>
      <c r="T1252" s="269"/>
      <c r="U1252" s="269"/>
      <c r="V1252" s="269"/>
      <c r="W1252" s="269"/>
      <c r="X1252" s="269"/>
      <c r="Y1252" s="269"/>
      <c r="Z1252" s="269"/>
      <c r="AA1252" s="269"/>
      <c r="AB1252" s="269"/>
      <c r="AC1252" s="269"/>
      <c r="AD1252" s="269"/>
      <c r="AE1252" s="269"/>
      <c r="AF1252" s="269"/>
      <c r="AG1252" s="269"/>
      <c r="AH1252" s="269"/>
      <c r="AI1252" s="269"/>
      <c r="AJ1252" s="269"/>
      <c r="AK1252" s="269"/>
      <c r="AL1252" s="269"/>
      <c r="AM1252" s="269"/>
      <c r="AN1252" s="269"/>
      <c r="AO1252" s="269"/>
      <c r="AP1252" s="269"/>
      <c r="AQ1252" s="269"/>
      <c r="AR1252" s="269"/>
    </row>
    <row r="1253">
      <c r="A1253" s="410"/>
      <c r="B1253" s="410"/>
      <c r="C1253" s="410"/>
      <c r="D1253" s="410"/>
      <c r="E1253" s="410"/>
      <c r="F1253" s="410"/>
      <c r="H1253" s="269"/>
      <c r="I1253" s="269"/>
      <c r="J1253" s="269"/>
      <c r="K1253" s="269"/>
      <c r="L1253" s="269"/>
      <c r="M1253" s="269"/>
      <c r="N1253" s="269"/>
      <c r="O1253" s="269"/>
      <c r="P1253" s="269"/>
      <c r="Q1253" s="269"/>
      <c r="R1253" s="269"/>
      <c r="S1253" s="269"/>
      <c r="T1253" s="269"/>
      <c r="U1253" s="269"/>
      <c r="V1253" s="269"/>
      <c r="W1253" s="269"/>
      <c r="X1253" s="269"/>
      <c r="Y1253" s="269"/>
      <c r="Z1253" s="269"/>
      <c r="AA1253" s="269"/>
      <c r="AB1253" s="269"/>
      <c r="AC1253" s="269"/>
      <c r="AD1253" s="269"/>
      <c r="AE1253" s="269"/>
      <c r="AF1253" s="269"/>
      <c r="AG1253" s="269"/>
      <c r="AH1253" s="269"/>
      <c r="AI1253" s="269"/>
      <c r="AJ1253" s="269"/>
      <c r="AK1253" s="269"/>
      <c r="AL1253" s="269"/>
      <c r="AM1253" s="269"/>
      <c r="AN1253" s="269"/>
      <c r="AO1253" s="269"/>
      <c r="AP1253" s="269"/>
      <c r="AQ1253" s="269"/>
      <c r="AR1253" s="269"/>
    </row>
    <row r="1254">
      <c r="A1254" s="410"/>
      <c r="B1254" s="410"/>
      <c r="C1254" s="410"/>
      <c r="D1254" s="410"/>
      <c r="E1254" s="410"/>
      <c r="F1254" s="410"/>
      <c r="H1254" s="269"/>
      <c r="I1254" s="269"/>
      <c r="J1254" s="269"/>
      <c r="K1254" s="269"/>
      <c r="L1254" s="269"/>
      <c r="M1254" s="269"/>
      <c r="N1254" s="269"/>
      <c r="O1254" s="269"/>
      <c r="P1254" s="269"/>
      <c r="Q1254" s="269"/>
      <c r="R1254" s="269"/>
      <c r="S1254" s="269"/>
      <c r="T1254" s="269"/>
      <c r="U1254" s="269"/>
      <c r="V1254" s="269"/>
      <c r="W1254" s="269"/>
      <c r="X1254" s="269"/>
      <c r="Y1254" s="269"/>
      <c r="Z1254" s="269"/>
      <c r="AA1254" s="269"/>
      <c r="AB1254" s="269"/>
      <c r="AC1254" s="269"/>
      <c r="AD1254" s="269"/>
      <c r="AE1254" s="269"/>
      <c r="AF1254" s="269"/>
      <c r="AG1254" s="269"/>
      <c r="AH1254" s="269"/>
      <c r="AI1254" s="269"/>
      <c r="AJ1254" s="269"/>
      <c r="AK1254" s="269"/>
      <c r="AL1254" s="269"/>
      <c r="AM1254" s="269"/>
      <c r="AN1254" s="269"/>
      <c r="AO1254" s="269"/>
      <c r="AP1254" s="269"/>
      <c r="AQ1254" s="269"/>
      <c r="AR1254" s="269"/>
    </row>
    <row r="1255">
      <c r="A1255" s="410"/>
      <c r="B1255" s="410"/>
      <c r="C1255" s="410"/>
      <c r="D1255" s="410"/>
      <c r="E1255" s="410"/>
      <c r="F1255" s="410"/>
      <c r="H1255" s="269"/>
      <c r="I1255" s="269"/>
      <c r="J1255" s="269"/>
      <c r="K1255" s="269"/>
      <c r="L1255" s="269"/>
      <c r="M1255" s="269"/>
      <c r="N1255" s="269"/>
      <c r="O1255" s="269"/>
      <c r="P1255" s="269"/>
      <c r="Q1255" s="269"/>
      <c r="R1255" s="269"/>
      <c r="S1255" s="269"/>
      <c r="T1255" s="269"/>
      <c r="U1255" s="269"/>
      <c r="V1255" s="269"/>
      <c r="W1255" s="269"/>
      <c r="X1255" s="269"/>
      <c r="Y1255" s="269"/>
      <c r="Z1255" s="269"/>
      <c r="AA1255" s="269"/>
      <c r="AB1255" s="269"/>
      <c r="AC1255" s="269"/>
      <c r="AD1255" s="269"/>
      <c r="AE1255" s="269"/>
      <c r="AF1255" s="269"/>
      <c r="AG1255" s="269"/>
      <c r="AH1255" s="269"/>
      <c r="AI1255" s="269"/>
      <c r="AJ1255" s="269"/>
      <c r="AK1255" s="269"/>
      <c r="AL1255" s="269"/>
      <c r="AM1255" s="269"/>
      <c r="AN1255" s="269"/>
      <c r="AO1255" s="269"/>
      <c r="AP1255" s="269"/>
      <c r="AQ1255" s="269"/>
      <c r="AR1255" s="269"/>
    </row>
    <row r="1256">
      <c r="A1256" s="410"/>
      <c r="B1256" s="410"/>
      <c r="C1256" s="410"/>
      <c r="D1256" s="410"/>
      <c r="E1256" s="410"/>
      <c r="F1256" s="410"/>
      <c r="H1256" s="269"/>
      <c r="I1256" s="269"/>
      <c r="J1256" s="269"/>
      <c r="K1256" s="269"/>
      <c r="L1256" s="269"/>
      <c r="M1256" s="269"/>
      <c r="N1256" s="269"/>
      <c r="O1256" s="269"/>
      <c r="P1256" s="269"/>
      <c r="Q1256" s="269"/>
      <c r="R1256" s="269"/>
      <c r="S1256" s="269"/>
      <c r="T1256" s="269"/>
      <c r="U1256" s="269"/>
      <c r="V1256" s="269"/>
      <c r="W1256" s="269"/>
      <c r="X1256" s="269"/>
      <c r="Y1256" s="269"/>
      <c r="Z1256" s="269"/>
      <c r="AA1256" s="269"/>
      <c r="AB1256" s="269"/>
      <c r="AC1256" s="269"/>
      <c r="AD1256" s="269"/>
      <c r="AE1256" s="269"/>
      <c r="AF1256" s="269"/>
      <c r="AG1256" s="269"/>
      <c r="AH1256" s="269"/>
      <c r="AI1256" s="269"/>
      <c r="AJ1256" s="269"/>
      <c r="AK1256" s="269"/>
      <c r="AL1256" s="269"/>
      <c r="AM1256" s="269"/>
      <c r="AN1256" s="269"/>
      <c r="AO1256" s="269"/>
      <c r="AP1256" s="269"/>
      <c r="AQ1256" s="269"/>
      <c r="AR1256" s="269"/>
    </row>
    <row r="1257">
      <c r="A1257" s="410"/>
      <c r="B1257" s="410"/>
      <c r="C1257" s="410"/>
      <c r="D1257" s="410"/>
      <c r="E1257" s="410"/>
      <c r="F1257" s="410"/>
      <c r="H1257" s="269"/>
      <c r="I1257" s="269"/>
      <c r="J1257" s="269"/>
      <c r="K1257" s="269"/>
      <c r="L1257" s="269"/>
      <c r="M1257" s="269"/>
      <c r="N1257" s="269"/>
      <c r="O1257" s="269"/>
      <c r="P1257" s="269"/>
      <c r="Q1257" s="269"/>
      <c r="R1257" s="269"/>
      <c r="S1257" s="269"/>
      <c r="T1257" s="269"/>
      <c r="U1257" s="269"/>
      <c r="V1257" s="269"/>
      <c r="W1257" s="269"/>
      <c r="X1257" s="269"/>
      <c r="Y1257" s="269"/>
      <c r="Z1257" s="269"/>
      <c r="AA1257" s="269"/>
      <c r="AB1257" s="269"/>
      <c r="AC1257" s="269"/>
      <c r="AD1257" s="269"/>
      <c r="AE1257" s="269"/>
      <c r="AF1257" s="269"/>
      <c r="AG1257" s="269"/>
      <c r="AH1257" s="269"/>
      <c r="AI1257" s="269"/>
      <c r="AJ1257" s="269"/>
      <c r="AK1257" s="269"/>
      <c r="AL1257" s="269"/>
      <c r="AM1257" s="269"/>
      <c r="AN1257" s="269"/>
      <c r="AO1257" s="269"/>
      <c r="AP1257" s="269"/>
      <c r="AQ1257" s="269"/>
      <c r="AR1257" s="269"/>
    </row>
    <row r="1258">
      <c r="A1258" s="410"/>
      <c r="B1258" s="410"/>
      <c r="C1258" s="410"/>
      <c r="D1258" s="410"/>
      <c r="E1258" s="410"/>
      <c r="F1258" s="410"/>
      <c r="H1258" s="269"/>
      <c r="I1258" s="269"/>
      <c r="J1258" s="269"/>
      <c r="K1258" s="269"/>
      <c r="L1258" s="269"/>
      <c r="M1258" s="269"/>
      <c r="N1258" s="269"/>
      <c r="O1258" s="269"/>
      <c r="P1258" s="269"/>
      <c r="Q1258" s="269"/>
      <c r="R1258" s="269"/>
      <c r="S1258" s="269"/>
      <c r="T1258" s="269"/>
      <c r="U1258" s="269"/>
      <c r="V1258" s="269"/>
      <c r="W1258" s="269"/>
      <c r="X1258" s="269"/>
      <c r="Y1258" s="269"/>
      <c r="Z1258" s="269"/>
      <c r="AA1258" s="269"/>
      <c r="AB1258" s="269"/>
      <c r="AC1258" s="269"/>
      <c r="AD1258" s="269"/>
      <c r="AE1258" s="269"/>
      <c r="AF1258" s="269"/>
      <c r="AG1258" s="269"/>
      <c r="AH1258" s="269"/>
      <c r="AI1258" s="269"/>
      <c r="AJ1258" s="269"/>
      <c r="AK1258" s="269"/>
      <c r="AL1258" s="269"/>
      <c r="AM1258" s="269"/>
      <c r="AN1258" s="269"/>
      <c r="AO1258" s="269"/>
      <c r="AP1258" s="269"/>
      <c r="AQ1258" s="269"/>
      <c r="AR1258" s="269"/>
    </row>
    <row r="1259">
      <c r="A1259" s="410"/>
      <c r="B1259" s="410"/>
      <c r="C1259" s="410"/>
      <c r="D1259" s="410"/>
      <c r="E1259" s="410"/>
      <c r="F1259" s="410"/>
      <c r="H1259" s="269"/>
      <c r="I1259" s="269"/>
      <c r="J1259" s="269"/>
      <c r="K1259" s="269"/>
      <c r="L1259" s="269"/>
      <c r="M1259" s="269"/>
      <c r="N1259" s="269"/>
      <c r="O1259" s="269"/>
      <c r="P1259" s="269"/>
      <c r="Q1259" s="269"/>
      <c r="R1259" s="269"/>
      <c r="S1259" s="269"/>
      <c r="T1259" s="269"/>
      <c r="U1259" s="269"/>
      <c r="V1259" s="269"/>
      <c r="W1259" s="269"/>
      <c r="X1259" s="269"/>
      <c r="Y1259" s="269"/>
      <c r="Z1259" s="269"/>
      <c r="AA1259" s="269"/>
      <c r="AB1259" s="269"/>
      <c r="AC1259" s="269"/>
      <c r="AD1259" s="269"/>
      <c r="AE1259" s="269"/>
      <c r="AF1259" s="269"/>
      <c r="AG1259" s="269"/>
      <c r="AH1259" s="269"/>
      <c r="AI1259" s="269"/>
      <c r="AJ1259" s="269"/>
      <c r="AK1259" s="269"/>
      <c r="AL1259" s="269"/>
      <c r="AM1259" s="269"/>
      <c r="AN1259" s="269"/>
      <c r="AO1259" s="269"/>
      <c r="AP1259" s="269"/>
      <c r="AQ1259" s="269"/>
      <c r="AR1259" s="269"/>
    </row>
    <row r="1260">
      <c r="A1260" s="410"/>
      <c r="B1260" s="410"/>
      <c r="C1260" s="410"/>
      <c r="D1260" s="410"/>
      <c r="E1260" s="410"/>
      <c r="F1260" s="410"/>
      <c r="H1260" s="269"/>
      <c r="I1260" s="269"/>
      <c r="J1260" s="269"/>
      <c r="K1260" s="269"/>
      <c r="L1260" s="269"/>
      <c r="M1260" s="269"/>
      <c r="N1260" s="269"/>
      <c r="O1260" s="269"/>
      <c r="P1260" s="269"/>
      <c r="Q1260" s="269"/>
      <c r="R1260" s="269"/>
      <c r="S1260" s="269"/>
      <c r="T1260" s="269"/>
      <c r="U1260" s="269"/>
      <c r="V1260" s="269"/>
      <c r="W1260" s="269"/>
      <c r="X1260" s="269"/>
      <c r="Y1260" s="269"/>
      <c r="Z1260" s="269"/>
      <c r="AA1260" s="269"/>
      <c r="AB1260" s="269"/>
      <c r="AC1260" s="269"/>
      <c r="AD1260" s="269"/>
      <c r="AE1260" s="269"/>
      <c r="AF1260" s="269"/>
      <c r="AG1260" s="269"/>
      <c r="AH1260" s="269"/>
      <c r="AI1260" s="269"/>
      <c r="AJ1260" s="269"/>
      <c r="AK1260" s="269"/>
      <c r="AL1260" s="269"/>
      <c r="AM1260" s="269"/>
      <c r="AN1260" s="269"/>
      <c r="AO1260" s="269"/>
      <c r="AP1260" s="269"/>
      <c r="AQ1260" s="269"/>
      <c r="AR1260" s="269"/>
    </row>
    <row r="1261">
      <c r="A1261" s="410"/>
      <c r="B1261" s="410"/>
      <c r="C1261" s="410"/>
      <c r="D1261" s="410"/>
      <c r="E1261" s="410"/>
      <c r="F1261" s="410"/>
      <c r="H1261" s="269"/>
      <c r="I1261" s="269"/>
      <c r="J1261" s="269"/>
      <c r="K1261" s="269"/>
      <c r="L1261" s="269"/>
      <c r="M1261" s="269"/>
      <c r="N1261" s="269"/>
      <c r="O1261" s="269"/>
      <c r="P1261" s="269"/>
      <c r="Q1261" s="269"/>
      <c r="R1261" s="269"/>
      <c r="S1261" s="269"/>
      <c r="T1261" s="269"/>
      <c r="U1261" s="269"/>
      <c r="V1261" s="269"/>
      <c r="W1261" s="269"/>
      <c r="X1261" s="269"/>
      <c r="Y1261" s="269"/>
      <c r="Z1261" s="269"/>
      <c r="AA1261" s="269"/>
      <c r="AB1261" s="269"/>
      <c r="AC1261" s="269"/>
      <c r="AD1261" s="269"/>
      <c r="AE1261" s="269"/>
      <c r="AF1261" s="269"/>
      <c r="AG1261" s="269"/>
      <c r="AH1261" s="269"/>
      <c r="AI1261" s="269"/>
      <c r="AJ1261" s="269"/>
      <c r="AK1261" s="269"/>
      <c r="AL1261" s="269"/>
      <c r="AM1261" s="269"/>
      <c r="AN1261" s="269"/>
      <c r="AO1261" s="269"/>
      <c r="AP1261" s="269"/>
      <c r="AQ1261" s="269"/>
      <c r="AR1261" s="269"/>
    </row>
    <row r="1262">
      <c r="A1262" s="410"/>
      <c r="B1262" s="410"/>
      <c r="C1262" s="410"/>
      <c r="D1262" s="410"/>
      <c r="E1262" s="410"/>
      <c r="F1262" s="410"/>
      <c r="H1262" s="269"/>
      <c r="I1262" s="269"/>
      <c r="J1262" s="269"/>
      <c r="K1262" s="269"/>
      <c r="L1262" s="269"/>
      <c r="M1262" s="269"/>
      <c r="N1262" s="269"/>
      <c r="O1262" s="269"/>
      <c r="P1262" s="269"/>
      <c r="Q1262" s="269"/>
      <c r="R1262" s="269"/>
      <c r="S1262" s="269"/>
      <c r="T1262" s="269"/>
      <c r="U1262" s="269"/>
      <c r="V1262" s="269"/>
      <c r="W1262" s="269"/>
      <c r="X1262" s="269"/>
      <c r="Y1262" s="269"/>
      <c r="Z1262" s="269"/>
      <c r="AA1262" s="269"/>
      <c r="AB1262" s="269"/>
      <c r="AC1262" s="269"/>
      <c r="AD1262" s="269"/>
      <c r="AE1262" s="269"/>
      <c r="AF1262" s="269"/>
      <c r="AG1262" s="269"/>
      <c r="AH1262" s="269"/>
      <c r="AI1262" s="269"/>
      <c r="AJ1262" s="269"/>
      <c r="AK1262" s="269"/>
      <c r="AL1262" s="269"/>
      <c r="AM1262" s="269"/>
      <c r="AN1262" s="269"/>
      <c r="AO1262" s="269"/>
      <c r="AP1262" s="269"/>
      <c r="AQ1262" s="269"/>
      <c r="AR1262" s="269"/>
    </row>
    <row r="1263">
      <c r="A1263" s="410"/>
      <c r="B1263" s="410"/>
      <c r="C1263" s="410"/>
      <c r="D1263" s="410"/>
      <c r="E1263" s="410"/>
      <c r="F1263" s="410"/>
      <c r="H1263" s="269"/>
      <c r="I1263" s="269"/>
      <c r="J1263" s="269"/>
      <c r="K1263" s="269"/>
      <c r="L1263" s="269"/>
      <c r="M1263" s="269"/>
      <c r="N1263" s="269"/>
      <c r="O1263" s="269"/>
      <c r="P1263" s="269"/>
      <c r="Q1263" s="269"/>
      <c r="R1263" s="269"/>
      <c r="S1263" s="269"/>
      <c r="T1263" s="269"/>
      <c r="U1263" s="269"/>
      <c r="V1263" s="269"/>
      <c r="W1263" s="269"/>
      <c r="X1263" s="269"/>
      <c r="Y1263" s="269"/>
      <c r="Z1263" s="269"/>
      <c r="AA1263" s="269"/>
      <c r="AB1263" s="269"/>
      <c r="AC1263" s="269"/>
      <c r="AD1263" s="269"/>
      <c r="AE1263" s="269"/>
      <c r="AF1263" s="269"/>
      <c r="AG1263" s="269"/>
      <c r="AH1263" s="269"/>
      <c r="AI1263" s="269"/>
      <c r="AJ1263" s="269"/>
      <c r="AK1263" s="269"/>
      <c r="AL1263" s="269"/>
      <c r="AM1263" s="269"/>
      <c r="AN1263" s="269"/>
      <c r="AO1263" s="269"/>
      <c r="AP1263" s="269"/>
      <c r="AQ1263" s="269"/>
      <c r="AR1263" s="269"/>
    </row>
    <row r="1264">
      <c r="A1264" s="410"/>
      <c r="B1264" s="410"/>
      <c r="C1264" s="410"/>
      <c r="D1264" s="410"/>
      <c r="E1264" s="410"/>
      <c r="F1264" s="410"/>
      <c r="H1264" s="269"/>
      <c r="I1264" s="269"/>
      <c r="J1264" s="269"/>
      <c r="K1264" s="269"/>
      <c r="L1264" s="269"/>
      <c r="M1264" s="269"/>
      <c r="N1264" s="269"/>
      <c r="O1264" s="269"/>
      <c r="P1264" s="269"/>
      <c r="Q1264" s="269"/>
      <c r="R1264" s="269"/>
      <c r="S1264" s="269"/>
      <c r="T1264" s="269"/>
      <c r="U1264" s="269"/>
      <c r="V1264" s="269"/>
      <c r="W1264" s="269"/>
      <c r="X1264" s="269"/>
      <c r="Y1264" s="269"/>
      <c r="Z1264" s="269"/>
      <c r="AA1264" s="269"/>
      <c r="AB1264" s="269"/>
      <c r="AC1264" s="269"/>
      <c r="AD1264" s="269"/>
      <c r="AE1264" s="269"/>
      <c r="AF1264" s="269"/>
      <c r="AG1264" s="269"/>
      <c r="AH1264" s="269"/>
      <c r="AI1264" s="269"/>
      <c r="AJ1264" s="269"/>
      <c r="AK1264" s="269"/>
      <c r="AL1264" s="269"/>
      <c r="AM1264" s="269"/>
      <c r="AN1264" s="269"/>
      <c r="AO1264" s="269"/>
      <c r="AP1264" s="269"/>
      <c r="AQ1264" s="269"/>
      <c r="AR1264" s="269"/>
    </row>
    <row r="1265">
      <c r="A1265" s="410"/>
      <c r="B1265" s="410"/>
      <c r="C1265" s="410"/>
      <c r="D1265" s="410"/>
      <c r="E1265" s="410"/>
      <c r="F1265" s="410"/>
      <c r="H1265" s="269"/>
      <c r="I1265" s="269"/>
      <c r="J1265" s="269"/>
      <c r="K1265" s="269"/>
      <c r="L1265" s="269"/>
      <c r="M1265" s="269"/>
      <c r="N1265" s="269"/>
      <c r="O1265" s="269"/>
      <c r="P1265" s="269"/>
      <c r="Q1265" s="269"/>
      <c r="R1265" s="269"/>
      <c r="S1265" s="269"/>
      <c r="T1265" s="269"/>
      <c r="U1265" s="269"/>
      <c r="V1265" s="269"/>
      <c r="W1265" s="269"/>
      <c r="X1265" s="269"/>
      <c r="Y1265" s="269"/>
      <c r="Z1265" s="269"/>
      <c r="AA1265" s="269"/>
      <c r="AB1265" s="269"/>
      <c r="AC1265" s="269"/>
      <c r="AD1265" s="269"/>
      <c r="AE1265" s="269"/>
      <c r="AF1265" s="269"/>
      <c r="AG1265" s="269"/>
      <c r="AH1265" s="269"/>
      <c r="AI1265" s="269"/>
      <c r="AJ1265" s="269"/>
      <c r="AK1265" s="269"/>
      <c r="AL1265" s="269"/>
      <c r="AM1265" s="269"/>
      <c r="AN1265" s="269"/>
      <c r="AO1265" s="269"/>
      <c r="AP1265" s="269"/>
      <c r="AQ1265" s="269"/>
      <c r="AR1265" s="269"/>
    </row>
    <row r="1266">
      <c r="A1266" s="410"/>
      <c r="B1266" s="410"/>
      <c r="C1266" s="410"/>
      <c r="D1266" s="410"/>
      <c r="E1266" s="410"/>
      <c r="F1266" s="410"/>
      <c r="H1266" s="269"/>
      <c r="I1266" s="269"/>
      <c r="J1266" s="269"/>
      <c r="K1266" s="269"/>
      <c r="L1266" s="269"/>
      <c r="M1266" s="269"/>
      <c r="N1266" s="269"/>
      <c r="O1266" s="269"/>
      <c r="P1266" s="269"/>
      <c r="Q1266" s="269"/>
      <c r="R1266" s="269"/>
      <c r="S1266" s="269"/>
      <c r="T1266" s="269"/>
      <c r="U1266" s="269"/>
      <c r="V1266" s="269"/>
      <c r="W1266" s="269"/>
      <c r="X1266" s="269"/>
      <c r="Y1266" s="269"/>
      <c r="Z1266" s="269"/>
      <c r="AA1266" s="269"/>
      <c r="AB1266" s="269"/>
      <c r="AC1266" s="269"/>
      <c r="AD1266" s="269"/>
      <c r="AE1266" s="269"/>
      <c r="AF1266" s="269"/>
      <c r="AG1266" s="269"/>
      <c r="AH1266" s="269"/>
      <c r="AI1266" s="269"/>
      <c r="AJ1266" s="269"/>
      <c r="AK1266" s="269"/>
      <c r="AL1266" s="269"/>
      <c r="AM1266" s="269"/>
      <c r="AN1266" s="269"/>
      <c r="AO1266" s="269"/>
      <c r="AP1266" s="269"/>
      <c r="AQ1266" s="269"/>
      <c r="AR1266" s="269"/>
    </row>
    <row r="1267">
      <c r="A1267" s="410"/>
      <c r="B1267" s="410"/>
      <c r="C1267" s="410"/>
      <c r="D1267" s="410"/>
      <c r="E1267" s="410"/>
      <c r="F1267" s="410"/>
      <c r="H1267" s="269"/>
      <c r="I1267" s="269"/>
      <c r="J1267" s="269"/>
      <c r="K1267" s="269"/>
      <c r="L1267" s="269"/>
      <c r="M1267" s="269"/>
      <c r="N1267" s="269"/>
      <c r="O1267" s="269"/>
      <c r="P1267" s="269"/>
      <c r="Q1267" s="269"/>
      <c r="R1267" s="269"/>
      <c r="S1267" s="269"/>
      <c r="T1267" s="269"/>
      <c r="U1267" s="269"/>
      <c r="V1267" s="269"/>
      <c r="W1267" s="269"/>
      <c r="X1267" s="269"/>
      <c r="Y1267" s="269"/>
      <c r="Z1267" s="269"/>
      <c r="AA1267" s="269"/>
      <c r="AB1267" s="269"/>
      <c r="AC1267" s="269"/>
      <c r="AD1267" s="269"/>
      <c r="AE1267" s="269"/>
      <c r="AF1267" s="269"/>
      <c r="AG1267" s="269"/>
      <c r="AH1267" s="269"/>
      <c r="AI1267" s="269"/>
      <c r="AJ1267" s="269"/>
      <c r="AK1267" s="269"/>
      <c r="AL1267" s="269"/>
      <c r="AM1267" s="269"/>
      <c r="AN1267" s="269"/>
      <c r="AO1267" s="269"/>
      <c r="AP1267" s="269"/>
      <c r="AQ1267" s="269"/>
      <c r="AR1267" s="269"/>
    </row>
    <row r="1268">
      <c r="A1268" s="410"/>
      <c r="B1268" s="410"/>
      <c r="C1268" s="410"/>
      <c r="D1268" s="410"/>
      <c r="E1268" s="410"/>
      <c r="F1268" s="410"/>
      <c r="H1268" s="269"/>
      <c r="I1268" s="269"/>
      <c r="J1268" s="269"/>
      <c r="K1268" s="269"/>
      <c r="L1268" s="269"/>
      <c r="M1268" s="269"/>
      <c r="N1268" s="269"/>
      <c r="O1268" s="269"/>
      <c r="P1268" s="269"/>
      <c r="Q1268" s="269"/>
      <c r="R1268" s="269"/>
      <c r="S1268" s="269"/>
      <c r="T1268" s="269"/>
      <c r="U1268" s="269"/>
      <c r="V1268" s="269"/>
      <c r="W1268" s="269"/>
      <c r="X1268" s="269"/>
      <c r="Y1268" s="269"/>
      <c r="Z1268" s="269"/>
      <c r="AA1268" s="269"/>
      <c r="AB1268" s="269"/>
      <c r="AC1268" s="269"/>
      <c r="AD1268" s="269"/>
      <c r="AE1268" s="269"/>
      <c r="AF1268" s="269"/>
      <c r="AG1268" s="269"/>
      <c r="AH1268" s="269"/>
      <c r="AI1268" s="269"/>
      <c r="AJ1268" s="269"/>
      <c r="AK1268" s="269"/>
      <c r="AL1268" s="269"/>
      <c r="AM1268" s="269"/>
      <c r="AN1268" s="269"/>
      <c r="AO1268" s="269"/>
      <c r="AP1268" s="269"/>
      <c r="AQ1268" s="269"/>
      <c r="AR1268" s="269"/>
    </row>
    <row r="1269">
      <c r="A1269" s="410"/>
      <c r="B1269" s="410"/>
      <c r="C1269" s="410"/>
      <c r="D1269" s="410"/>
      <c r="E1269" s="410"/>
      <c r="F1269" s="410"/>
      <c r="H1269" s="269"/>
      <c r="I1269" s="269"/>
      <c r="J1269" s="269"/>
      <c r="K1269" s="269"/>
      <c r="L1269" s="269"/>
      <c r="M1269" s="269"/>
      <c r="N1269" s="269"/>
      <c r="O1269" s="269"/>
      <c r="P1269" s="269"/>
      <c r="Q1269" s="269"/>
      <c r="R1269" s="269"/>
      <c r="S1269" s="269"/>
      <c r="T1269" s="269"/>
      <c r="U1269" s="269"/>
      <c r="V1269" s="269"/>
      <c r="W1269" s="269"/>
      <c r="X1269" s="269"/>
      <c r="Y1269" s="269"/>
      <c r="Z1269" s="269"/>
      <c r="AA1269" s="269"/>
      <c r="AB1269" s="269"/>
      <c r="AC1269" s="269"/>
      <c r="AD1269" s="269"/>
      <c r="AE1269" s="269"/>
      <c r="AF1269" s="269"/>
      <c r="AG1269" s="269"/>
      <c r="AH1269" s="269"/>
      <c r="AI1269" s="269"/>
      <c r="AJ1269" s="269"/>
      <c r="AK1269" s="269"/>
      <c r="AL1269" s="269"/>
      <c r="AM1269" s="269"/>
      <c r="AN1269" s="269"/>
      <c r="AO1269" s="269"/>
      <c r="AP1269" s="269"/>
      <c r="AQ1269" s="269"/>
      <c r="AR1269" s="269"/>
    </row>
    <row r="1270">
      <c r="A1270" s="410"/>
      <c r="B1270" s="410"/>
      <c r="C1270" s="410"/>
      <c r="D1270" s="410"/>
      <c r="E1270" s="410"/>
      <c r="F1270" s="410"/>
      <c r="H1270" s="269"/>
      <c r="I1270" s="269"/>
      <c r="J1270" s="269"/>
      <c r="K1270" s="269"/>
      <c r="L1270" s="269"/>
      <c r="M1270" s="269"/>
      <c r="N1270" s="269"/>
      <c r="O1270" s="269"/>
      <c r="P1270" s="269"/>
      <c r="Q1270" s="269"/>
      <c r="R1270" s="269"/>
      <c r="S1270" s="269"/>
      <c r="T1270" s="269"/>
      <c r="U1270" s="269"/>
      <c r="V1270" s="269"/>
      <c r="W1270" s="269"/>
      <c r="X1270" s="269"/>
      <c r="Y1270" s="269"/>
      <c r="Z1270" s="269"/>
      <c r="AA1270" s="269"/>
      <c r="AB1270" s="269"/>
      <c r="AC1270" s="269"/>
      <c r="AD1270" s="269"/>
      <c r="AE1270" s="269"/>
      <c r="AF1270" s="269"/>
      <c r="AG1270" s="269"/>
      <c r="AH1270" s="269"/>
      <c r="AI1270" s="269"/>
      <c r="AJ1270" s="269"/>
      <c r="AK1270" s="269"/>
      <c r="AL1270" s="269"/>
      <c r="AM1270" s="269"/>
      <c r="AN1270" s="269"/>
      <c r="AO1270" s="269"/>
      <c r="AP1270" s="269"/>
      <c r="AQ1270" s="269"/>
      <c r="AR1270" s="269"/>
    </row>
    <row r="1271">
      <c r="A1271" s="410"/>
      <c r="B1271" s="410"/>
      <c r="C1271" s="410"/>
      <c r="D1271" s="410"/>
      <c r="E1271" s="410"/>
      <c r="F1271" s="410"/>
      <c r="H1271" s="269"/>
      <c r="I1271" s="269"/>
      <c r="J1271" s="269"/>
      <c r="K1271" s="269"/>
      <c r="L1271" s="269"/>
      <c r="M1271" s="269"/>
      <c r="N1271" s="269"/>
      <c r="O1271" s="269"/>
      <c r="P1271" s="269"/>
      <c r="Q1271" s="269"/>
      <c r="R1271" s="269"/>
      <c r="S1271" s="269"/>
      <c r="T1271" s="269"/>
      <c r="U1271" s="269"/>
      <c r="V1271" s="269"/>
      <c r="W1271" s="269"/>
      <c r="X1271" s="269"/>
      <c r="Y1271" s="269"/>
      <c r="Z1271" s="269"/>
      <c r="AA1271" s="269"/>
      <c r="AB1271" s="269"/>
      <c r="AC1271" s="269"/>
      <c r="AD1271" s="269"/>
      <c r="AE1271" s="269"/>
      <c r="AF1271" s="269"/>
      <c r="AG1271" s="269"/>
      <c r="AH1271" s="269"/>
      <c r="AI1271" s="269"/>
      <c r="AJ1271" s="269"/>
      <c r="AK1271" s="269"/>
      <c r="AL1271" s="269"/>
      <c r="AM1271" s="269"/>
      <c r="AN1271" s="269"/>
      <c r="AO1271" s="269"/>
      <c r="AP1271" s="269"/>
      <c r="AQ1271" s="269"/>
      <c r="AR1271" s="269"/>
    </row>
    <row r="1272">
      <c r="A1272" s="410"/>
      <c r="B1272" s="410"/>
      <c r="C1272" s="410"/>
      <c r="D1272" s="410"/>
      <c r="E1272" s="410"/>
      <c r="F1272" s="410"/>
      <c r="H1272" s="269"/>
      <c r="I1272" s="269"/>
      <c r="J1272" s="269"/>
      <c r="K1272" s="269"/>
      <c r="L1272" s="269"/>
      <c r="M1272" s="269"/>
      <c r="N1272" s="269"/>
      <c r="O1272" s="269"/>
      <c r="P1272" s="269"/>
      <c r="Q1272" s="269"/>
      <c r="R1272" s="269"/>
      <c r="S1272" s="269"/>
      <c r="T1272" s="269"/>
      <c r="U1272" s="269"/>
      <c r="V1272" s="269"/>
      <c r="W1272" s="269"/>
      <c r="X1272" s="269"/>
      <c r="Y1272" s="269"/>
      <c r="Z1272" s="269"/>
      <c r="AA1272" s="269"/>
      <c r="AB1272" s="269"/>
      <c r="AC1272" s="269"/>
      <c r="AD1272" s="269"/>
      <c r="AE1272" s="269"/>
      <c r="AF1272" s="269"/>
      <c r="AG1272" s="269"/>
      <c r="AH1272" s="269"/>
      <c r="AI1272" s="269"/>
      <c r="AJ1272" s="269"/>
      <c r="AK1272" s="269"/>
      <c r="AL1272" s="269"/>
      <c r="AM1272" s="269"/>
      <c r="AN1272" s="269"/>
      <c r="AO1272" s="269"/>
      <c r="AP1272" s="269"/>
      <c r="AQ1272" s="269"/>
      <c r="AR1272" s="269"/>
    </row>
    <row r="1273">
      <c r="A1273" s="410"/>
      <c r="B1273" s="410"/>
      <c r="C1273" s="410"/>
      <c r="D1273" s="410"/>
      <c r="E1273" s="410"/>
      <c r="F1273" s="410"/>
      <c r="H1273" s="269"/>
      <c r="I1273" s="269"/>
      <c r="J1273" s="269"/>
      <c r="K1273" s="269"/>
      <c r="L1273" s="269"/>
      <c r="M1273" s="269"/>
      <c r="N1273" s="269"/>
      <c r="O1273" s="269"/>
      <c r="P1273" s="269"/>
      <c r="Q1273" s="269"/>
      <c r="R1273" s="269"/>
      <c r="S1273" s="269"/>
      <c r="T1273" s="269"/>
      <c r="U1273" s="269"/>
      <c r="V1273" s="269"/>
      <c r="W1273" s="269"/>
      <c r="X1273" s="269"/>
      <c r="Y1273" s="269"/>
      <c r="Z1273" s="269"/>
      <c r="AA1273" s="269"/>
      <c r="AB1273" s="269"/>
      <c r="AC1273" s="269"/>
      <c r="AD1273" s="269"/>
      <c r="AE1273" s="269"/>
      <c r="AF1273" s="269"/>
      <c r="AG1273" s="269"/>
      <c r="AH1273" s="269"/>
      <c r="AI1273" s="269"/>
      <c r="AJ1273" s="269"/>
      <c r="AK1273" s="269"/>
      <c r="AL1273" s="269"/>
      <c r="AM1273" s="269"/>
      <c r="AN1273" s="269"/>
      <c r="AO1273" s="269"/>
      <c r="AP1273" s="269"/>
      <c r="AQ1273" s="269"/>
      <c r="AR1273" s="269"/>
    </row>
    <row r="1274">
      <c r="A1274" s="410"/>
      <c r="B1274" s="410"/>
      <c r="C1274" s="410"/>
      <c r="D1274" s="410"/>
      <c r="E1274" s="410"/>
      <c r="F1274" s="410"/>
      <c r="H1274" s="269"/>
      <c r="I1274" s="269"/>
      <c r="J1274" s="269"/>
      <c r="K1274" s="269"/>
      <c r="L1274" s="269"/>
      <c r="M1274" s="269"/>
      <c r="N1274" s="269"/>
      <c r="O1274" s="269"/>
      <c r="P1274" s="269"/>
      <c r="Q1274" s="269"/>
      <c r="R1274" s="269"/>
      <c r="S1274" s="269"/>
      <c r="T1274" s="269"/>
      <c r="U1274" s="269"/>
      <c r="V1274" s="269"/>
      <c r="W1274" s="269"/>
      <c r="X1274" s="269"/>
      <c r="Y1274" s="269"/>
      <c r="Z1274" s="269"/>
      <c r="AA1274" s="269"/>
      <c r="AB1274" s="269"/>
      <c r="AC1274" s="269"/>
      <c r="AD1274" s="269"/>
      <c r="AE1274" s="269"/>
      <c r="AF1274" s="269"/>
      <c r="AG1274" s="269"/>
      <c r="AH1274" s="269"/>
      <c r="AI1274" s="269"/>
      <c r="AJ1274" s="269"/>
      <c r="AK1274" s="269"/>
      <c r="AL1274" s="269"/>
      <c r="AM1274" s="269"/>
      <c r="AN1274" s="269"/>
      <c r="AO1274" s="269"/>
      <c r="AP1274" s="269"/>
      <c r="AQ1274" s="269"/>
      <c r="AR1274" s="269"/>
    </row>
    <row r="1275">
      <c r="A1275" s="410"/>
      <c r="B1275" s="410"/>
      <c r="C1275" s="410"/>
      <c r="D1275" s="410"/>
      <c r="E1275" s="410"/>
      <c r="F1275" s="410"/>
      <c r="H1275" s="269"/>
      <c r="I1275" s="269"/>
      <c r="J1275" s="269"/>
      <c r="K1275" s="269"/>
      <c r="L1275" s="269"/>
      <c r="M1275" s="269"/>
      <c r="N1275" s="269"/>
      <c r="O1275" s="269"/>
      <c r="P1275" s="269"/>
      <c r="Q1275" s="269"/>
      <c r="R1275" s="269"/>
      <c r="S1275" s="269"/>
      <c r="T1275" s="269"/>
      <c r="U1275" s="269"/>
      <c r="V1275" s="269"/>
      <c r="W1275" s="269"/>
      <c r="X1275" s="269"/>
      <c r="Y1275" s="269"/>
      <c r="Z1275" s="269"/>
      <c r="AA1275" s="269"/>
      <c r="AB1275" s="269"/>
      <c r="AC1275" s="269"/>
      <c r="AD1275" s="269"/>
      <c r="AE1275" s="269"/>
      <c r="AF1275" s="269"/>
      <c r="AG1275" s="269"/>
      <c r="AH1275" s="269"/>
      <c r="AI1275" s="269"/>
      <c r="AJ1275" s="269"/>
      <c r="AK1275" s="269"/>
      <c r="AL1275" s="269"/>
      <c r="AM1275" s="269"/>
      <c r="AN1275" s="269"/>
      <c r="AO1275" s="269"/>
      <c r="AP1275" s="269"/>
      <c r="AQ1275" s="269"/>
      <c r="AR1275" s="269"/>
    </row>
    <row r="1276">
      <c r="A1276" s="410"/>
      <c r="B1276" s="410"/>
      <c r="C1276" s="410"/>
      <c r="D1276" s="410"/>
      <c r="E1276" s="410"/>
      <c r="F1276" s="410"/>
      <c r="H1276" s="269"/>
      <c r="I1276" s="269"/>
      <c r="J1276" s="269"/>
      <c r="K1276" s="269"/>
      <c r="L1276" s="269"/>
      <c r="M1276" s="269"/>
      <c r="N1276" s="269"/>
      <c r="O1276" s="269"/>
      <c r="P1276" s="269"/>
      <c r="Q1276" s="269"/>
      <c r="R1276" s="269"/>
      <c r="S1276" s="269"/>
      <c r="T1276" s="269"/>
      <c r="U1276" s="269"/>
      <c r="V1276" s="269"/>
      <c r="W1276" s="269"/>
      <c r="X1276" s="269"/>
      <c r="Y1276" s="269"/>
      <c r="Z1276" s="269"/>
      <c r="AA1276" s="269"/>
      <c r="AB1276" s="269"/>
      <c r="AC1276" s="269"/>
      <c r="AD1276" s="269"/>
      <c r="AE1276" s="269"/>
      <c r="AF1276" s="269"/>
      <c r="AG1276" s="269"/>
      <c r="AH1276" s="269"/>
      <c r="AI1276" s="269"/>
      <c r="AJ1276" s="269"/>
      <c r="AK1276" s="269"/>
      <c r="AL1276" s="269"/>
      <c r="AM1276" s="269"/>
      <c r="AN1276" s="269"/>
      <c r="AO1276" s="269"/>
      <c r="AP1276" s="269"/>
      <c r="AQ1276" s="269"/>
      <c r="AR1276" s="269"/>
    </row>
    <row r="1277">
      <c r="A1277" s="410"/>
      <c r="B1277" s="410"/>
      <c r="C1277" s="410"/>
      <c r="D1277" s="410"/>
      <c r="E1277" s="410"/>
      <c r="F1277" s="410"/>
      <c r="H1277" s="269"/>
      <c r="I1277" s="269"/>
      <c r="J1277" s="269"/>
      <c r="K1277" s="269"/>
      <c r="L1277" s="269"/>
      <c r="M1277" s="269"/>
      <c r="N1277" s="269"/>
      <c r="O1277" s="269"/>
      <c r="P1277" s="269"/>
      <c r="Q1277" s="269"/>
      <c r="R1277" s="269"/>
      <c r="S1277" s="269"/>
      <c r="T1277" s="269"/>
      <c r="U1277" s="269"/>
      <c r="V1277" s="269"/>
      <c r="W1277" s="269"/>
      <c r="X1277" s="269"/>
      <c r="Y1277" s="269"/>
      <c r="Z1277" s="269"/>
      <c r="AA1277" s="269"/>
      <c r="AB1277" s="269"/>
      <c r="AC1277" s="269"/>
      <c r="AD1277" s="269"/>
      <c r="AE1277" s="269"/>
      <c r="AF1277" s="269"/>
      <c r="AG1277" s="269"/>
      <c r="AH1277" s="269"/>
      <c r="AI1277" s="269"/>
      <c r="AJ1277" s="269"/>
      <c r="AK1277" s="269"/>
      <c r="AL1277" s="269"/>
      <c r="AM1277" s="269"/>
      <c r="AN1277" s="269"/>
      <c r="AO1277" s="269"/>
      <c r="AP1277" s="269"/>
      <c r="AQ1277" s="269"/>
      <c r="AR1277" s="269"/>
    </row>
    <row r="1278">
      <c r="A1278" s="410"/>
      <c r="B1278" s="410"/>
      <c r="C1278" s="410"/>
      <c r="D1278" s="410"/>
      <c r="E1278" s="410"/>
      <c r="F1278" s="410"/>
      <c r="H1278" s="269"/>
      <c r="I1278" s="269"/>
      <c r="J1278" s="269"/>
      <c r="K1278" s="269"/>
      <c r="L1278" s="269"/>
      <c r="M1278" s="269"/>
      <c r="N1278" s="269"/>
      <c r="O1278" s="269"/>
      <c r="P1278" s="269"/>
      <c r="Q1278" s="269"/>
      <c r="R1278" s="269"/>
      <c r="S1278" s="269"/>
      <c r="T1278" s="269"/>
      <c r="U1278" s="269"/>
      <c r="V1278" s="269"/>
      <c r="W1278" s="269"/>
      <c r="X1278" s="269"/>
      <c r="Y1278" s="269"/>
      <c r="Z1278" s="269"/>
      <c r="AA1278" s="269"/>
      <c r="AB1278" s="269"/>
      <c r="AC1278" s="269"/>
      <c r="AD1278" s="269"/>
      <c r="AE1278" s="269"/>
      <c r="AF1278" s="269"/>
      <c r="AG1278" s="269"/>
      <c r="AH1278" s="269"/>
      <c r="AI1278" s="269"/>
      <c r="AJ1278" s="269"/>
      <c r="AK1278" s="269"/>
      <c r="AL1278" s="269"/>
      <c r="AM1278" s="269"/>
      <c r="AN1278" s="269"/>
      <c r="AO1278" s="269"/>
      <c r="AP1278" s="269"/>
      <c r="AQ1278" s="269"/>
      <c r="AR1278" s="269"/>
    </row>
    <row r="1279">
      <c r="A1279" s="410"/>
      <c r="B1279" s="410"/>
      <c r="C1279" s="410"/>
      <c r="D1279" s="410"/>
      <c r="E1279" s="410"/>
      <c r="F1279" s="410"/>
      <c r="H1279" s="269"/>
      <c r="I1279" s="269"/>
      <c r="J1279" s="269"/>
      <c r="K1279" s="269"/>
      <c r="L1279" s="269"/>
      <c r="M1279" s="269"/>
      <c r="N1279" s="269"/>
      <c r="O1279" s="269"/>
      <c r="P1279" s="269"/>
      <c r="Q1279" s="269"/>
      <c r="R1279" s="269"/>
      <c r="S1279" s="269"/>
      <c r="T1279" s="269"/>
      <c r="U1279" s="269"/>
      <c r="V1279" s="269"/>
      <c r="W1279" s="269"/>
      <c r="X1279" s="269"/>
      <c r="Y1279" s="269"/>
      <c r="Z1279" s="269"/>
      <c r="AA1279" s="269"/>
      <c r="AB1279" s="269"/>
      <c r="AC1279" s="269"/>
      <c r="AD1279" s="269"/>
      <c r="AE1279" s="269"/>
      <c r="AF1279" s="269"/>
      <c r="AG1279" s="269"/>
      <c r="AH1279" s="269"/>
      <c r="AI1279" s="269"/>
      <c r="AJ1279" s="269"/>
      <c r="AK1279" s="269"/>
      <c r="AL1279" s="269"/>
      <c r="AM1279" s="269"/>
      <c r="AN1279" s="269"/>
      <c r="AO1279" s="269"/>
      <c r="AP1279" s="269"/>
      <c r="AQ1279" s="269"/>
      <c r="AR1279" s="269"/>
    </row>
    <row r="1280">
      <c r="A1280" s="410"/>
      <c r="B1280" s="410"/>
      <c r="C1280" s="410"/>
      <c r="D1280" s="410"/>
      <c r="E1280" s="410"/>
      <c r="F1280" s="410"/>
      <c r="H1280" s="269"/>
      <c r="I1280" s="269"/>
      <c r="J1280" s="269"/>
      <c r="K1280" s="269"/>
      <c r="L1280" s="269"/>
      <c r="M1280" s="269"/>
      <c r="N1280" s="269"/>
      <c r="O1280" s="269"/>
      <c r="P1280" s="269"/>
      <c r="Q1280" s="269"/>
      <c r="R1280" s="269"/>
      <c r="S1280" s="269"/>
      <c r="T1280" s="269"/>
      <c r="U1280" s="269"/>
      <c r="V1280" s="269"/>
      <c r="W1280" s="269"/>
      <c r="X1280" s="269"/>
      <c r="Y1280" s="269"/>
      <c r="Z1280" s="269"/>
      <c r="AA1280" s="269"/>
      <c r="AB1280" s="269"/>
      <c r="AC1280" s="269"/>
      <c r="AD1280" s="269"/>
      <c r="AE1280" s="269"/>
      <c r="AF1280" s="269"/>
      <c r="AG1280" s="269"/>
      <c r="AH1280" s="269"/>
      <c r="AI1280" s="269"/>
      <c r="AJ1280" s="269"/>
      <c r="AK1280" s="269"/>
      <c r="AL1280" s="269"/>
      <c r="AM1280" s="269"/>
      <c r="AN1280" s="269"/>
      <c r="AO1280" s="269"/>
      <c r="AP1280" s="269"/>
      <c r="AQ1280" s="269"/>
      <c r="AR1280" s="269"/>
    </row>
    <row r="1281">
      <c r="A1281" s="410"/>
      <c r="B1281" s="410"/>
      <c r="C1281" s="410"/>
      <c r="D1281" s="410"/>
      <c r="E1281" s="410"/>
      <c r="F1281" s="410"/>
      <c r="H1281" s="269"/>
      <c r="I1281" s="269"/>
      <c r="J1281" s="269"/>
      <c r="K1281" s="269"/>
      <c r="L1281" s="269"/>
      <c r="M1281" s="269"/>
      <c r="N1281" s="269"/>
      <c r="O1281" s="269"/>
      <c r="P1281" s="269"/>
      <c r="Q1281" s="269"/>
      <c r="R1281" s="269"/>
      <c r="S1281" s="269"/>
      <c r="T1281" s="269"/>
      <c r="U1281" s="269"/>
      <c r="V1281" s="269"/>
      <c r="W1281" s="269"/>
      <c r="X1281" s="269"/>
      <c r="Y1281" s="269"/>
      <c r="Z1281" s="269"/>
      <c r="AA1281" s="269"/>
      <c r="AB1281" s="269"/>
      <c r="AC1281" s="269"/>
      <c r="AD1281" s="269"/>
      <c r="AE1281" s="269"/>
      <c r="AF1281" s="269"/>
      <c r="AG1281" s="269"/>
      <c r="AH1281" s="269"/>
      <c r="AI1281" s="269"/>
      <c r="AJ1281" s="269"/>
      <c r="AK1281" s="269"/>
      <c r="AL1281" s="269"/>
      <c r="AM1281" s="269"/>
      <c r="AN1281" s="269"/>
      <c r="AO1281" s="269"/>
      <c r="AP1281" s="269"/>
      <c r="AQ1281" s="269"/>
      <c r="AR1281" s="269"/>
    </row>
    <row r="1282">
      <c r="A1282" s="410"/>
      <c r="B1282" s="410"/>
      <c r="C1282" s="410"/>
      <c r="D1282" s="410"/>
      <c r="E1282" s="410"/>
      <c r="F1282" s="410"/>
      <c r="H1282" s="269"/>
      <c r="I1282" s="269"/>
      <c r="J1282" s="269"/>
      <c r="K1282" s="269"/>
      <c r="L1282" s="269"/>
      <c r="M1282" s="269"/>
      <c r="N1282" s="269"/>
      <c r="O1282" s="269"/>
      <c r="P1282" s="269"/>
      <c r="Q1282" s="269"/>
      <c r="R1282" s="269"/>
      <c r="S1282" s="269"/>
      <c r="T1282" s="269"/>
      <c r="U1282" s="269"/>
      <c r="V1282" s="269"/>
      <c r="W1282" s="269"/>
      <c r="X1282" s="269"/>
      <c r="Y1282" s="269"/>
      <c r="Z1282" s="269"/>
      <c r="AA1282" s="269"/>
      <c r="AB1282" s="269"/>
      <c r="AC1282" s="269"/>
      <c r="AD1282" s="269"/>
      <c r="AE1282" s="269"/>
      <c r="AF1282" s="269"/>
      <c r="AG1282" s="269"/>
      <c r="AH1282" s="269"/>
      <c r="AI1282" s="269"/>
      <c r="AJ1282" s="269"/>
      <c r="AK1282" s="269"/>
      <c r="AL1282" s="269"/>
      <c r="AM1282" s="269"/>
      <c r="AN1282" s="269"/>
      <c r="AO1282" s="269"/>
      <c r="AP1282" s="269"/>
      <c r="AQ1282" s="269"/>
      <c r="AR1282" s="269"/>
    </row>
    <row r="1283">
      <c r="A1283" s="410"/>
      <c r="B1283" s="410"/>
      <c r="C1283" s="410"/>
      <c r="D1283" s="410"/>
      <c r="E1283" s="410"/>
      <c r="F1283" s="410"/>
      <c r="H1283" s="269"/>
      <c r="I1283" s="269"/>
      <c r="J1283" s="269"/>
      <c r="K1283" s="269"/>
      <c r="L1283" s="269"/>
      <c r="M1283" s="269"/>
      <c r="N1283" s="269"/>
      <c r="O1283" s="269"/>
      <c r="P1283" s="269"/>
      <c r="Q1283" s="269"/>
      <c r="R1283" s="269"/>
      <c r="S1283" s="269"/>
      <c r="T1283" s="269"/>
      <c r="U1283" s="269"/>
      <c r="V1283" s="269"/>
      <c r="W1283" s="269"/>
      <c r="X1283" s="269"/>
      <c r="Y1283" s="269"/>
      <c r="Z1283" s="269"/>
      <c r="AA1283" s="269"/>
      <c r="AB1283" s="269"/>
      <c r="AC1283" s="269"/>
      <c r="AD1283" s="269"/>
      <c r="AE1283" s="269"/>
      <c r="AF1283" s="269"/>
      <c r="AG1283" s="269"/>
      <c r="AH1283" s="269"/>
      <c r="AI1283" s="269"/>
      <c r="AJ1283" s="269"/>
      <c r="AK1283" s="269"/>
      <c r="AL1283" s="269"/>
      <c r="AM1283" s="269"/>
      <c r="AN1283" s="269"/>
      <c r="AO1283" s="269"/>
      <c r="AP1283" s="269"/>
      <c r="AQ1283" s="269"/>
      <c r="AR1283" s="269"/>
    </row>
    <row r="1284">
      <c r="A1284" s="410"/>
      <c r="B1284" s="410"/>
      <c r="C1284" s="410"/>
      <c r="D1284" s="410"/>
      <c r="E1284" s="410"/>
      <c r="F1284" s="410"/>
      <c r="H1284" s="269"/>
      <c r="I1284" s="269"/>
      <c r="J1284" s="269"/>
      <c r="K1284" s="269"/>
      <c r="L1284" s="269"/>
      <c r="M1284" s="269"/>
      <c r="N1284" s="269"/>
      <c r="O1284" s="269"/>
      <c r="P1284" s="269"/>
      <c r="Q1284" s="269"/>
      <c r="R1284" s="269"/>
      <c r="S1284" s="269"/>
      <c r="T1284" s="269"/>
      <c r="U1284" s="269"/>
      <c r="V1284" s="269"/>
      <c r="W1284" s="269"/>
      <c r="X1284" s="269"/>
      <c r="Y1284" s="269"/>
      <c r="Z1284" s="269"/>
      <c r="AA1284" s="269"/>
      <c r="AB1284" s="269"/>
      <c r="AC1284" s="269"/>
      <c r="AD1284" s="269"/>
      <c r="AE1284" s="269"/>
      <c r="AF1284" s="269"/>
      <c r="AG1284" s="269"/>
      <c r="AH1284" s="269"/>
      <c r="AI1284" s="269"/>
      <c r="AJ1284" s="269"/>
      <c r="AK1284" s="269"/>
      <c r="AL1284" s="269"/>
      <c r="AM1284" s="269"/>
      <c r="AN1284" s="269"/>
      <c r="AO1284" s="269"/>
      <c r="AP1284" s="269"/>
      <c r="AQ1284" s="269"/>
      <c r="AR1284" s="269"/>
    </row>
    <row r="1285">
      <c r="A1285" s="410"/>
      <c r="B1285" s="410"/>
      <c r="C1285" s="410"/>
      <c r="D1285" s="410"/>
      <c r="E1285" s="410"/>
      <c r="F1285" s="410"/>
      <c r="H1285" s="269"/>
      <c r="I1285" s="269"/>
      <c r="J1285" s="269"/>
      <c r="K1285" s="269"/>
      <c r="L1285" s="269"/>
      <c r="M1285" s="269"/>
      <c r="N1285" s="269"/>
      <c r="O1285" s="269"/>
      <c r="P1285" s="269"/>
      <c r="Q1285" s="269"/>
      <c r="R1285" s="269"/>
      <c r="S1285" s="269"/>
      <c r="T1285" s="269"/>
      <c r="U1285" s="269"/>
      <c r="V1285" s="269"/>
      <c r="W1285" s="269"/>
      <c r="X1285" s="269"/>
      <c r="Y1285" s="269"/>
      <c r="Z1285" s="269"/>
      <c r="AA1285" s="269"/>
      <c r="AB1285" s="269"/>
      <c r="AC1285" s="269"/>
      <c r="AD1285" s="269"/>
      <c r="AE1285" s="269"/>
      <c r="AF1285" s="269"/>
      <c r="AG1285" s="269"/>
      <c r="AH1285" s="269"/>
      <c r="AI1285" s="269"/>
      <c r="AJ1285" s="269"/>
      <c r="AK1285" s="269"/>
      <c r="AL1285" s="269"/>
      <c r="AM1285" s="269"/>
      <c r="AN1285" s="269"/>
      <c r="AO1285" s="269"/>
      <c r="AP1285" s="269"/>
      <c r="AQ1285" s="269"/>
      <c r="AR1285" s="269"/>
    </row>
    <row r="1286">
      <c r="A1286" s="410"/>
      <c r="B1286" s="410"/>
      <c r="C1286" s="410"/>
      <c r="D1286" s="410"/>
      <c r="E1286" s="410"/>
      <c r="F1286" s="410"/>
      <c r="H1286" s="269"/>
      <c r="I1286" s="269"/>
      <c r="J1286" s="269"/>
      <c r="K1286" s="269"/>
      <c r="L1286" s="269"/>
      <c r="M1286" s="269"/>
      <c r="N1286" s="269"/>
      <c r="O1286" s="269"/>
      <c r="P1286" s="269"/>
      <c r="Q1286" s="269"/>
      <c r="R1286" s="269"/>
      <c r="S1286" s="269"/>
      <c r="T1286" s="269"/>
      <c r="U1286" s="269"/>
      <c r="V1286" s="269"/>
      <c r="W1286" s="269"/>
      <c r="X1286" s="269"/>
      <c r="Y1286" s="269"/>
      <c r="Z1286" s="269"/>
      <c r="AA1286" s="269"/>
      <c r="AB1286" s="269"/>
      <c r="AC1286" s="269"/>
      <c r="AD1286" s="269"/>
      <c r="AE1286" s="269"/>
      <c r="AF1286" s="269"/>
      <c r="AG1286" s="269"/>
      <c r="AH1286" s="269"/>
      <c r="AI1286" s="269"/>
      <c r="AJ1286" s="269"/>
      <c r="AK1286" s="269"/>
      <c r="AL1286" s="269"/>
      <c r="AM1286" s="269"/>
      <c r="AN1286" s="269"/>
      <c r="AO1286" s="269"/>
      <c r="AP1286" s="269"/>
      <c r="AQ1286" s="269"/>
      <c r="AR1286" s="269"/>
    </row>
    <row r="1287">
      <c r="A1287" s="410"/>
      <c r="B1287" s="410"/>
      <c r="C1287" s="410"/>
      <c r="D1287" s="410"/>
      <c r="E1287" s="410"/>
      <c r="F1287" s="410"/>
      <c r="H1287" s="269"/>
      <c r="I1287" s="269"/>
      <c r="J1287" s="269"/>
      <c r="K1287" s="269"/>
      <c r="L1287" s="269"/>
      <c r="M1287" s="269"/>
      <c r="N1287" s="269"/>
      <c r="O1287" s="269"/>
      <c r="P1287" s="269"/>
      <c r="Q1287" s="269"/>
      <c r="R1287" s="269"/>
      <c r="S1287" s="269"/>
      <c r="T1287" s="269"/>
      <c r="U1287" s="269"/>
      <c r="V1287" s="269"/>
      <c r="W1287" s="269"/>
      <c r="X1287" s="269"/>
      <c r="Y1287" s="269"/>
      <c r="Z1287" s="269"/>
      <c r="AA1287" s="269"/>
      <c r="AB1287" s="269"/>
      <c r="AC1287" s="269"/>
      <c r="AD1287" s="269"/>
      <c r="AE1287" s="269"/>
      <c r="AF1287" s="269"/>
      <c r="AG1287" s="269"/>
      <c r="AH1287" s="269"/>
      <c r="AI1287" s="269"/>
      <c r="AJ1287" s="269"/>
      <c r="AK1287" s="269"/>
      <c r="AL1287" s="269"/>
      <c r="AM1287" s="269"/>
      <c r="AN1287" s="269"/>
      <c r="AO1287" s="269"/>
      <c r="AP1287" s="269"/>
      <c r="AQ1287" s="269"/>
      <c r="AR1287" s="269"/>
    </row>
    <row r="1288">
      <c r="A1288" s="410"/>
      <c r="B1288" s="410"/>
      <c r="C1288" s="410"/>
      <c r="D1288" s="410"/>
      <c r="E1288" s="410"/>
      <c r="F1288" s="410"/>
      <c r="H1288" s="269"/>
      <c r="I1288" s="269"/>
      <c r="J1288" s="269"/>
      <c r="K1288" s="269"/>
      <c r="L1288" s="269"/>
      <c r="M1288" s="269"/>
      <c r="N1288" s="269"/>
      <c r="O1288" s="269"/>
      <c r="P1288" s="269"/>
      <c r="Q1288" s="269"/>
      <c r="R1288" s="269"/>
      <c r="S1288" s="269"/>
      <c r="T1288" s="269"/>
      <c r="U1288" s="269"/>
      <c r="V1288" s="269"/>
      <c r="W1288" s="269"/>
      <c r="X1288" s="269"/>
      <c r="Y1288" s="269"/>
      <c r="Z1288" s="269"/>
      <c r="AA1288" s="269"/>
      <c r="AB1288" s="269"/>
      <c r="AC1288" s="269"/>
      <c r="AD1288" s="269"/>
      <c r="AE1288" s="269"/>
      <c r="AF1288" s="269"/>
      <c r="AG1288" s="269"/>
      <c r="AH1288" s="269"/>
      <c r="AI1288" s="269"/>
      <c r="AJ1288" s="269"/>
      <c r="AK1288" s="269"/>
      <c r="AL1288" s="269"/>
      <c r="AM1288" s="269"/>
      <c r="AN1288" s="269"/>
      <c r="AO1288" s="269"/>
      <c r="AP1288" s="269"/>
      <c r="AQ1288" s="269"/>
      <c r="AR1288" s="269"/>
    </row>
    <row r="1289">
      <c r="A1289" s="410"/>
      <c r="B1289" s="410"/>
      <c r="C1289" s="410"/>
      <c r="D1289" s="410"/>
      <c r="E1289" s="410"/>
      <c r="F1289" s="410"/>
      <c r="H1289" s="269"/>
      <c r="I1289" s="269"/>
      <c r="J1289" s="269"/>
      <c r="K1289" s="269"/>
      <c r="L1289" s="269"/>
      <c r="M1289" s="269"/>
      <c r="N1289" s="269"/>
      <c r="O1289" s="269"/>
      <c r="P1289" s="269"/>
      <c r="Q1289" s="269"/>
      <c r="R1289" s="269"/>
      <c r="S1289" s="269"/>
      <c r="T1289" s="269"/>
      <c r="U1289" s="269"/>
      <c r="V1289" s="269"/>
      <c r="W1289" s="269"/>
      <c r="X1289" s="269"/>
      <c r="Y1289" s="269"/>
      <c r="Z1289" s="269"/>
      <c r="AA1289" s="269"/>
      <c r="AB1289" s="269"/>
      <c r="AC1289" s="269"/>
      <c r="AD1289" s="269"/>
      <c r="AE1289" s="269"/>
      <c r="AF1289" s="269"/>
      <c r="AG1289" s="269"/>
      <c r="AH1289" s="269"/>
      <c r="AI1289" s="269"/>
      <c r="AJ1289" s="269"/>
      <c r="AK1289" s="269"/>
      <c r="AL1289" s="269"/>
      <c r="AM1289" s="269"/>
      <c r="AN1289" s="269"/>
      <c r="AO1289" s="269"/>
      <c r="AP1289" s="269"/>
      <c r="AQ1289" s="269"/>
      <c r="AR1289" s="269"/>
    </row>
    <row r="1290">
      <c r="A1290" s="410"/>
      <c r="B1290" s="410"/>
      <c r="C1290" s="410"/>
      <c r="D1290" s="410"/>
      <c r="E1290" s="410"/>
      <c r="F1290" s="410"/>
      <c r="H1290" s="269"/>
      <c r="I1290" s="269"/>
      <c r="J1290" s="269"/>
      <c r="K1290" s="269"/>
      <c r="L1290" s="269"/>
      <c r="M1290" s="269"/>
      <c r="N1290" s="269"/>
      <c r="O1290" s="269"/>
      <c r="P1290" s="269"/>
      <c r="Q1290" s="269"/>
      <c r="R1290" s="269"/>
      <c r="S1290" s="269"/>
      <c r="T1290" s="269"/>
      <c r="U1290" s="269"/>
      <c r="V1290" s="269"/>
      <c r="W1290" s="269"/>
      <c r="X1290" s="269"/>
      <c r="Y1290" s="269"/>
      <c r="Z1290" s="269"/>
      <c r="AA1290" s="269"/>
      <c r="AB1290" s="269"/>
      <c r="AC1290" s="269"/>
      <c r="AD1290" s="269"/>
      <c r="AE1290" s="269"/>
      <c r="AF1290" s="269"/>
      <c r="AG1290" s="269"/>
      <c r="AH1290" s="269"/>
      <c r="AI1290" s="269"/>
      <c r="AJ1290" s="269"/>
      <c r="AK1290" s="269"/>
      <c r="AL1290" s="269"/>
      <c r="AM1290" s="269"/>
      <c r="AN1290" s="269"/>
      <c r="AO1290" s="269"/>
      <c r="AP1290" s="269"/>
      <c r="AQ1290" s="269"/>
      <c r="AR1290" s="269"/>
    </row>
    <row r="1291">
      <c r="A1291" s="410"/>
      <c r="B1291" s="410"/>
      <c r="C1291" s="410"/>
      <c r="D1291" s="410"/>
      <c r="E1291" s="410"/>
      <c r="F1291" s="410"/>
      <c r="H1291" s="269"/>
      <c r="I1291" s="269"/>
      <c r="J1291" s="269"/>
      <c r="K1291" s="269"/>
      <c r="L1291" s="269"/>
      <c r="M1291" s="269"/>
      <c r="N1291" s="269"/>
      <c r="O1291" s="269"/>
      <c r="P1291" s="269"/>
      <c r="Q1291" s="269"/>
      <c r="R1291" s="269"/>
      <c r="S1291" s="269"/>
      <c r="T1291" s="269"/>
      <c r="U1291" s="269"/>
      <c r="V1291" s="269"/>
      <c r="W1291" s="269"/>
      <c r="X1291" s="269"/>
      <c r="Y1291" s="269"/>
      <c r="Z1291" s="269"/>
      <c r="AA1291" s="269"/>
      <c r="AB1291" s="269"/>
      <c r="AC1291" s="269"/>
      <c r="AD1291" s="269"/>
      <c r="AE1291" s="269"/>
      <c r="AF1291" s="269"/>
      <c r="AG1291" s="269"/>
      <c r="AH1291" s="269"/>
      <c r="AI1291" s="269"/>
      <c r="AJ1291" s="269"/>
      <c r="AK1291" s="269"/>
      <c r="AL1291" s="269"/>
      <c r="AM1291" s="269"/>
      <c r="AN1291" s="269"/>
      <c r="AO1291" s="269"/>
      <c r="AP1291" s="269"/>
      <c r="AQ1291" s="269"/>
      <c r="AR1291" s="269"/>
    </row>
    <row r="1292">
      <c r="A1292" s="410"/>
      <c r="B1292" s="410"/>
      <c r="C1292" s="410"/>
      <c r="D1292" s="410"/>
      <c r="E1292" s="410"/>
      <c r="F1292" s="410"/>
      <c r="H1292" s="269"/>
      <c r="I1292" s="269"/>
      <c r="J1292" s="269"/>
      <c r="K1292" s="269"/>
      <c r="L1292" s="269"/>
      <c r="M1292" s="269"/>
      <c r="N1292" s="269"/>
      <c r="O1292" s="269"/>
      <c r="P1292" s="269"/>
      <c r="Q1292" s="269"/>
      <c r="R1292" s="269"/>
      <c r="S1292" s="269"/>
      <c r="T1292" s="269"/>
      <c r="U1292" s="269"/>
      <c r="V1292" s="269"/>
      <c r="W1292" s="269"/>
      <c r="X1292" s="269"/>
      <c r="Y1292" s="269"/>
      <c r="Z1292" s="269"/>
      <c r="AA1292" s="269"/>
      <c r="AB1292" s="269"/>
      <c r="AC1292" s="269"/>
      <c r="AD1292" s="269"/>
      <c r="AE1292" s="269"/>
      <c r="AF1292" s="269"/>
      <c r="AG1292" s="269"/>
      <c r="AH1292" s="269"/>
      <c r="AI1292" s="269"/>
      <c r="AJ1292" s="269"/>
      <c r="AK1292" s="269"/>
      <c r="AL1292" s="269"/>
      <c r="AM1292" s="269"/>
      <c r="AN1292" s="269"/>
      <c r="AO1292" s="269"/>
      <c r="AP1292" s="269"/>
      <c r="AQ1292" s="269"/>
      <c r="AR1292" s="269"/>
    </row>
    <row r="1293">
      <c r="A1293" s="410"/>
      <c r="B1293" s="410"/>
      <c r="C1293" s="410"/>
      <c r="D1293" s="410"/>
      <c r="E1293" s="410"/>
      <c r="F1293" s="410"/>
      <c r="H1293" s="269"/>
      <c r="I1293" s="269"/>
      <c r="J1293" s="269"/>
      <c r="K1293" s="269"/>
      <c r="L1293" s="269"/>
      <c r="M1293" s="269"/>
      <c r="N1293" s="269"/>
      <c r="O1293" s="269"/>
      <c r="P1293" s="269"/>
      <c r="Q1293" s="269"/>
      <c r="R1293" s="269"/>
      <c r="S1293" s="269"/>
      <c r="T1293" s="269"/>
      <c r="U1293" s="269"/>
      <c r="V1293" s="269"/>
      <c r="W1293" s="269"/>
      <c r="X1293" s="269"/>
      <c r="Y1293" s="269"/>
      <c r="Z1293" s="269"/>
      <c r="AA1293" s="269"/>
      <c r="AB1293" s="269"/>
      <c r="AC1293" s="269"/>
      <c r="AD1293" s="269"/>
      <c r="AE1293" s="269"/>
      <c r="AF1293" s="269"/>
      <c r="AG1293" s="269"/>
      <c r="AH1293" s="269"/>
      <c r="AI1293" s="269"/>
      <c r="AJ1293" s="269"/>
      <c r="AK1293" s="269"/>
      <c r="AL1293" s="269"/>
      <c r="AM1293" s="269"/>
      <c r="AN1293" s="269"/>
      <c r="AO1293" s="269"/>
      <c r="AP1293" s="269"/>
      <c r="AQ1293" s="269"/>
      <c r="AR1293" s="269"/>
    </row>
    <row r="1294">
      <c r="A1294" s="410"/>
      <c r="B1294" s="410"/>
      <c r="C1294" s="410"/>
      <c r="D1294" s="410"/>
      <c r="E1294" s="410"/>
      <c r="F1294" s="410"/>
      <c r="H1294" s="269"/>
      <c r="I1294" s="269"/>
      <c r="J1294" s="269"/>
      <c r="K1294" s="269"/>
      <c r="L1294" s="269"/>
      <c r="M1294" s="269"/>
      <c r="N1294" s="269"/>
      <c r="O1294" s="269"/>
      <c r="P1294" s="269"/>
      <c r="Q1294" s="269"/>
      <c r="R1294" s="269"/>
      <c r="S1294" s="269"/>
      <c r="T1294" s="269"/>
      <c r="U1294" s="269"/>
      <c r="V1294" s="269"/>
      <c r="W1294" s="269"/>
      <c r="X1294" s="269"/>
      <c r="Y1294" s="269"/>
      <c r="Z1294" s="269"/>
      <c r="AA1294" s="269"/>
      <c r="AB1294" s="269"/>
      <c r="AC1294" s="269"/>
      <c r="AD1294" s="269"/>
      <c r="AE1294" s="269"/>
      <c r="AF1294" s="269"/>
      <c r="AG1294" s="269"/>
      <c r="AH1294" s="269"/>
      <c r="AI1294" s="269"/>
      <c r="AJ1294" s="269"/>
      <c r="AK1294" s="269"/>
      <c r="AL1294" s="269"/>
      <c r="AM1294" s="269"/>
      <c r="AN1294" s="269"/>
      <c r="AO1294" s="269"/>
      <c r="AP1294" s="269"/>
      <c r="AQ1294" s="269"/>
      <c r="AR1294" s="269"/>
    </row>
    <row r="1295">
      <c r="A1295" s="410"/>
      <c r="B1295" s="410"/>
      <c r="C1295" s="410"/>
      <c r="D1295" s="410"/>
      <c r="E1295" s="410"/>
      <c r="F1295" s="410"/>
      <c r="H1295" s="269"/>
      <c r="I1295" s="269"/>
      <c r="J1295" s="269"/>
      <c r="K1295" s="269"/>
      <c r="L1295" s="269"/>
      <c r="M1295" s="269"/>
      <c r="N1295" s="269"/>
      <c r="O1295" s="269"/>
      <c r="P1295" s="269"/>
      <c r="Q1295" s="269"/>
      <c r="R1295" s="269"/>
      <c r="S1295" s="269"/>
      <c r="T1295" s="269"/>
      <c r="U1295" s="269"/>
      <c r="V1295" s="269"/>
      <c r="W1295" s="269"/>
      <c r="X1295" s="269"/>
      <c r="Y1295" s="269"/>
      <c r="Z1295" s="269"/>
      <c r="AA1295" s="269"/>
      <c r="AB1295" s="269"/>
      <c r="AC1295" s="269"/>
      <c r="AD1295" s="269"/>
      <c r="AE1295" s="269"/>
      <c r="AF1295" s="269"/>
      <c r="AG1295" s="269"/>
      <c r="AH1295" s="269"/>
      <c r="AI1295" s="269"/>
      <c r="AJ1295" s="269"/>
      <c r="AK1295" s="269"/>
      <c r="AL1295" s="269"/>
      <c r="AM1295" s="269"/>
      <c r="AN1295" s="269"/>
      <c r="AO1295" s="269"/>
      <c r="AP1295" s="269"/>
      <c r="AQ1295" s="269"/>
      <c r="AR1295" s="269"/>
    </row>
    <row r="1296">
      <c r="A1296" s="410"/>
      <c r="B1296" s="410"/>
      <c r="C1296" s="410"/>
      <c r="D1296" s="410"/>
      <c r="E1296" s="410"/>
      <c r="F1296" s="410"/>
      <c r="H1296" s="269"/>
      <c r="I1296" s="269"/>
      <c r="J1296" s="269"/>
      <c r="K1296" s="269"/>
      <c r="L1296" s="269"/>
      <c r="M1296" s="269"/>
      <c r="N1296" s="269"/>
      <c r="O1296" s="269"/>
      <c r="P1296" s="269"/>
      <c r="Q1296" s="269"/>
      <c r="R1296" s="269"/>
      <c r="S1296" s="269"/>
      <c r="T1296" s="269"/>
      <c r="U1296" s="269"/>
      <c r="V1296" s="269"/>
      <c r="W1296" s="269"/>
      <c r="X1296" s="269"/>
      <c r="Y1296" s="269"/>
      <c r="Z1296" s="269"/>
      <c r="AA1296" s="269"/>
      <c r="AB1296" s="269"/>
      <c r="AC1296" s="269"/>
      <c r="AD1296" s="269"/>
      <c r="AE1296" s="269"/>
      <c r="AF1296" s="269"/>
      <c r="AG1296" s="269"/>
      <c r="AH1296" s="269"/>
      <c r="AI1296" s="269"/>
      <c r="AJ1296" s="269"/>
      <c r="AK1296" s="269"/>
      <c r="AL1296" s="269"/>
      <c r="AM1296" s="269"/>
      <c r="AN1296" s="269"/>
      <c r="AO1296" s="269"/>
      <c r="AP1296" s="269"/>
      <c r="AQ1296" s="269"/>
      <c r="AR1296" s="269"/>
    </row>
    <row r="1297">
      <c r="A1297" s="410"/>
      <c r="B1297" s="410"/>
      <c r="C1297" s="410"/>
      <c r="D1297" s="410"/>
      <c r="E1297" s="410"/>
      <c r="F1297" s="410"/>
      <c r="H1297" s="269"/>
      <c r="I1297" s="269"/>
      <c r="J1297" s="269"/>
      <c r="K1297" s="269"/>
      <c r="L1297" s="269"/>
      <c r="M1297" s="269"/>
      <c r="N1297" s="269"/>
      <c r="O1297" s="269"/>
      <c r="P1297" s="269"/>
      <c r="Q1297" s="269"/>
      <c r="R1297" s="269"/>
      <c r="S1297" s="269"/>
      <c r="T1297" s="269"/>
      <c r="U1297" s="269"/>
      <c r="V1297" s="269"/>
      <c r="W1297" s="269"/>
      <c r="X1297" s="269"/>
      <c r="Y1297" s="269"/>
      <c r="Z1297" s="269"/>
      <c r="AA1297" s="269"/>
      <c r="AB1297" s="269"/>
      <c r="AC1297" s="269"/>
      <c r="AD1297" s="269"/>
      <c r="AE1297" s="269"/>
      <c r="AF1297" s="269"/>
      <c r="AG1297" s="269"/>
      <c r="AH1297" s="269"/>
      <c r="AI1297" s="269"/>
      <c r="AJ1297" s="269"/>
      <c r="AK1297" s="269"/>
      <c r="AL1297" s="269"/>
      <c r="AM1297" s="269"/>
      <c r="AN1297" s="269"/>
      <c r="AO1297" s="269"/>
      <c r="AP1297" s="269"/>
      <c r="AQ1297" s="269"/>
      <c r="AR1297" s="269"/>
    </row>
    <row r="1298">
      <c r="A1298" s="410"/>
      <c r="B1298" s="410"/>
      <c r="C1298" s="410"/>
      <c r="D1298" s="410"/>
      <c r="E1298" s="410"/>
      <c r="F1298" s="410"/>
      <c r="H1298" s="269"/>
      <c r="I1298" s="269"/>
      <c r="J1298" s="269"/>
      <c r="K1298" s="269"/>
      <c r="L1298" s="269"/>
      <c r="M1298" s="269"/>
      <c r="N1298" s="269"/>
      <c r="O1298" s="269"/>
      <c r="P1298" s="269"/>
      <c r="Q1298" s="269"/>
      <c r="R1298" s="269"/>
      <c r="S1298" s="269"/>
      <c r="T1298" s="269"/>
      <c r="U1298" s="269"/>
      <c r="V1298" s="269"/>
      <c r="W1298" s="269"/>
      <c r="X1298" s="269"/>
      <c r="Y1298" s="269"/>
      <c r="Z1298" s="269"/>
      <c r="AA1298" s="269"/>
      <c r="AB1298" s="269"/>
      <c r="AC1298" s="269"/>
      <c r="AD1298" s="269"/>
      <c r="AE1298" s="269"/>
      <c r="AF1298" s="269"/>
      <c r="AG1298" s="269"/>
      <c r="AH1298" s="269"/>
      <c r="AI1298" s="269"/>
      <c r="AJ1298" s="269"/>
      <c r="AK1298" s="269"/>
      <c r="AL1298" s="269"/>
      <c r="AM1298" s="269"/>
      <c r="AN1298" s="269"/>
      <c r="AO1298" s="269"/>
      <c r="AP1298" s="269"/>
      <c r="AQ1298" s="269"/>
      <c r="AR1298" s="269"/>
    </row>
    <row r="1299">
      <c r="A1299" s="410"/>
      <c r="B1299" s="410"/>
      <c r="C1299" s="410"/>
      <c r="D1299" s="410"/>
      <c r="E1299" s="410"/>
      <c r="F1299" s="410"/>
      <c r="H1299" s="269"/>
      <c r="I1299" s="269"/>
      <c r="J1299" s="269"/>
      <c r="K1299" s="269"/>
      <c r="L1299" s="269"/>
      <c r="M1299" s="269"/>
      <c r="N1299" s="269"/>
      <c r="O1299" s="269"/>
      <c r="P1299" s="269"/>
      <c r="Q1299" s="269"/>
      <c r="R1299" s="269"/>
      <c r="S1299" s="269"/>
      <c r="T1299" s="269"/>
      <c r="U1299" s="269"/>
      <c r="V1299" s="269"/>
      <c r="W1299" s="269"/>
      <c r="X1299" s="269"/>
      <c r="Y1299" s="269"/>
      <c r="Z1299" s="269"/>
      <c r="AA1299" s="269"/>
      <c r="AB1299" s="269"/>
      <c r="AC1299" s="269"/>
      <c r="AD1299" s="269"/>
      <c r="AE1299" s="269"/>
      <c r="AF1299" s="269"/>
      <c r="AG1299" s="269"/>
      <c r="AH1299" s="269"/>
      <c r="AI1299" s="269"/>
      <c r="AJ1299" s="269"/>
      <c r="AK1299" s="269"/>
      <c r="AL1299" s="269"/>
      <c r="AM1299" s="269"/>
      <c r="AN1299" s="269"/>
      <c r="AO1299" s="269"/>
      <c r="AP1299" s="269"/>
      <c r="AQ1299" s="269"/>
      <c r="AR1299" s="269"/>
    </row>
    <row r="1300">
      <c r="A1300" s="410"/>
      <c r="B1300" s="410"/>
      <c r="C1300" s="410"/>
      <c r="D1300" s="410"/>
      <c r="E1300" s="410"/>
      <c r="F1300" s="410"/>
      <c r="H1300" s="269"/>
      <c r="I1300" s="269"/>
      <c r="J1300" s="269"/>
      <c r="K1300" s="269"/>
      <c r="L1300" s="269"/>
      <c r="M1300" s="269"/>
      <c r="N1300" s="269"/>
      <c r="O1300" s="269"/>
      <c r="P1300" s="269"/>
      <c r="Q1300" s="269"/>
      <c r="R1300" s="269"/>
      <c r="S1300" s="269"/>
      <c r="T1300" s="269"/>
      <c r="U1300" s="269"/>
      <c r="V1300" s="269"/>
      <c r="W1300" s="269"/>
      <c r="X1300" s="269"/>
      <c r="Y1300" s="269"/>
      <c r="Z1300" s="269"/>
      <c r="AA1300" s="269"/>
      <c r="AB1300" s="269"/>
      <c r="AC1300" s="269"/>
      <c r="AD1300" s="269"/>
      <c r="AE1300" s="269"/>
      <c r="AF1300" s="269"/>
      <c r="AG1300" s="269"/>
      <c r="AH1300" s="269"/>
      <c r="AI1300" s="269"/>
      <c r="AJ1300" s="269"/>
      <c r="AK1300" s="269"/>
      <c r="AL1300" s="269"/>
      <c r="AM1300" s="269"/>
      <c r="AN1300" s="269"/>
      <c r="AO1300" s="269"/>
      <c r="AP1300" s="269"/>
      <c r="AQ1300" s="269"/>
      <c r="AR1300" s="269"/>
    </row>
    <row r="1301">
      <c r="A1301" s="410"/>
      <c r="B1301" s="410"/>
      <c r="C1301" s="410"/>
      <c r="D1301" s="410"/>
      <c r="E1301" s="410"/>
      <c r="F1301" s="410"/>
      <c r="H1301" s="269"/>
      <c r="I1301" s="269"/>
      <c r="J1301" s="269"/>
      <c r="K1301" s="269"/>
      <c r="L1301" s="269"/>
      <c r="M1301" s="269"/>
      <c r="N1301" s="269"/>
      <c r="O1301" s="269"/>
      <c r="P1301" s="269"/>
      <c r="Q1301" s="269"/>
      <c r="R1301" s="269"/>
      <c r="S1301" s="269"/>
      <c r="T1301" s="269"/>
      <c r="U1301" s="269"/>
      <c r="V1301" s="269"/>
      <c r="W1301" s="269"/>
      <c r="X1301" s="269"/>
      <c r="Y1301" s="269"/>
      <c r="Z1301" s="269"/>
      <c r="AA1301" s="269"/>
      <c r="AB1301" s="269"/>
      <c r="AC1301" s="269"/>
      <c r="AD1301" s="269"/>
      <c r="AE1301" s="269"/>
      <c r="AF1301" s="269"/>
      <c r="AG1301" s="269"/>
      <c r="AH1301" s="269"/>
      <c r="AI1301" s="269"/>
      <c r="AJ1301" s="269"/>
      <c r="AK1301" s="269"/>
      <c r="AL1301" s="269"/>
      <c r="AM1301" s="269"/>
      <c r="AN1301" s="269"/>
      <c r="AO1301" s="269"/>
      <c r="AP1301" s="269"/>
      <c r="AQ1301" s="269"/>
      <c r="AR1301" s="269"/>
    </row>
    <row r="1302">
      <c r="A1302" s="410"/>
      <c r="B1302" s="410"/>
      <c r="C1302" s="410"/>
      <c r="D1302" s="410"/>
      <c r="E1302" s="410"/>
      <c r="F1302" s="410"/>
      <c r="H1302" s="269"/>
      <c r="I1302" s="269"/>
      <c r="J1302" s="269"/>
      <c r="K1302" s="269"/>
      <c r="L1302" s="269"/>
      <c r="M1302" s="269"/>
      <c r="N1302" s="269"/>
      <c r="O1302" s="269"/>
      <c r="P1302" s="269"/>
      <c r="Q1302" s="269"/>
      <c r="R1302" s="269"/>
      <c r="S1302" s="269"/>
      <c r="T1302" s="269"/>
      <c r="U1302" s="269"/>
      <c r="V1302" s="269"/>
      <c r="W1302" s="269"/>
      <c r="X1302" s="269"/>
      <c r="Y1302" s="269"/>
      <c r="Z1302" s="269"/>
      <c r="AA1302" s="269"/>
      <c r="AB1302" s="269"/>
      <c r="AC1302" s="269"/>
      <c r="AD1302" s="269"/>
      <c r="AE1302" s="269"/>
      <c r="AF1302" s="269"/>
      <c r="AG1302" s="269"/>
      <c r="AH1302" s="269"/>
      <c r="AI1302" s="269"/>
      <c r="AJ1302" s="269"/>
      <c r="AK1302" s="269"/>
      <c r="AL1302" s="269"/>
      <c r="AM1302" s="269"/>
      <c r="AN1302" s="269"/>
      <c r="AO1302" s="269"/>
      <c r="AP1302" s="269"/>
      <c r="AQ1302" s="269"/>
      <c r="AR1302" s="269"/>
    </row>
    <row r="1303">
      <c r="A1303" s="410"/>
      <c r="B1303" s="410"/>
      <c r="C1303" s="410"/>
      <c r="D1303" s="410"/>
      <c r="E1303" s="410"/>
      <c r="F1303" s="410"/>
      <c r="H1303" s="269"/>
      <c r="I1303" s="269"/>
      <c r="J1303" s="269"/>
      <c r="K1303" s="269"/>
      <c r="L1303" s="269"/>
      <c r="M1303" s="269"/>
      <c r="N1303" s="269"/>
      <c r="O1303" s="269"/>
      <c r="P1303" s="269"/>
      <c r="Q1303" s="269"/>
      <c r="R1303" s="269"/>
      <c r="S1303" s="269"/>
      <c r="T1303" s="269"/>
      <c r="U1303" s="269"/>
      <c r="V1303" s="269"/>
      <c r="W1303" s="269"/>
      <c r="X1303" s="269"/>
      <c r="Y1303" s="269"/>
      <c r="Z1303" s="269"/>
      <c r="AA1303" s="269"/>
      <c r="AB1303" s="269"/>
      <c r="AC1303" s="269"/>
      <c r="AD1303" s="269"/>
      <c r="AE1303" s="269"/>
      <c r="AF1303" s="269"/>
      <c r="AG1303" s="269"/>
      <c r="AH1303" s="269"/>
      <c r="AI1303" s="269"/>
      <c r="AJ1303" s="269"/>
      <c r="AK1303" s="269"/>
      <c r="AL1303" s="269"/>
      <c r="AM1303" s="269"/>
      <c r="AN1303" s="269"/>
      <c r="AO1303" s="269"/>
      <c r="AP1303" s="269"/>
      <c r="AQ1303" s="269"/>
      <c r="AR1303" s="269"/>
    </row>
    <row r="1304">
      <c r="A1304" s="410"/>
      <c r="B1304" s="410"/>
      <c r="C1304" s="410"/>
      <c r="D1304" s="410"/>
      <c r="E1304" s="410"/>
      <c r="F1304" s="410"/>
      <c r="H1304" s="269"/>
      <c r="I1304" s="269"/>
      <c r="J1304" s="269"/>
      <c r="K1304" s="269"/>
      <c r="L1304" s="269"/>
      <c r="M1304" s="269"/>
      <c r="N1304" s="269"/>
      <c r="O1304" s="269"/>
      <c r="P1304" s="269"/>
      <c r="Q1304" s="269"/>
      <c r="R1304" s="269"/>
      <c r="S1304" s="269"/>
      <c r="T1304" s="269"/>
      <c r="U1304" s="269"/>
      <c r="V1304" s="269"/>
      <c r="W1304" s="269"/>
      <c r="X1304" s="269"/>
      <c r="Y1304" s="269"/>
      <c r="Z1304" s="269"/>
      <c r="AA1304" s="269"/>
      <c r="AB1304" s="269"/>
      <c r="AC1304" s="269"/>
      <c r="AD1304" s="269"/>
      <c r="AE1304" s="269"/>
      <c r="AF1304" s="269"/>
      <c r="AG1304" s="269"/>
      <c r="AH1304" s="269"/>
      <c r="AI1304" s="269"/>
      <c r="AJ1304" s="269"/>
      <c r="AK1304" s="269"/>
      <c r="AL1304" s="269"/>
      <c r="AM1304" s="269"/>
      <c r="AN1304" s="269"/>
      <c r="AO1304" s="269"/>
      <c r="AP1304" s="269"/>
      <c r="AQ1304" s="269"/>
      <c r="AR1304" s="269"/>
    </row>
    <row r="1305">
      <c r="A1305" s="410"/>
      <c r="B1305" s="410"/>
      <c r="C1305" s="410"/>
      <c r="D1305" s="410"/>
      <c r="E1305" s="410"/>
      <c r="F1305" s="410"/>
      <c r="H1305" s="269"/>
      <c r="I1305" s="269"/>
      <c r="J1305" s="269"/>
      <c r="K1305" s="269"/>
      <c r="L1305" s="269"/>
      <c r="M1305" s="269"/>
      <c r="N1305" s="269"/>
      <c r="O1305" s="269"/>
      <c r="P1305" s="269"/>
      <c r="Q1305" s="269"/>
      <c r="R1305" s="269"/>
      <c r="S1305" s="269"/>
      <c r="T1305" s="269"/>
      <c r="U1305" s="269"/>
      <c r="V1305" s="269"/>
      <c r="W1305" s="269"/>
      <c r="X1305" s="269"/>
      <c r="Y1305" s="269"/>
      <c r="Z1305" s="269"/>
      <c r="AA1305" s="269"/>
      <c r="AB1305" s="269"/>
      <c r="AC1305" s="269"/>
      <c r="AD1305" s="269"/>
      <c r="AE1305" s="269"/>
      <c r="AF1305" s="269"/>
      <c r="AG1305" s="269"/>
      <c r="AH1305" s="269"/>
      <c r="AI1305" s="269"/>
      <c r="AJ1305" s="269"/>
      <c r="AK1305" s="269"/>
      <c r="AL1305" s="269"/>
      <c r="AM1305" s="269"/>
      <c r="AN1305" s="269"/>
      <c r="AO1305" s="269"/>
      <c r="AP1305" s="269"/>
      <c r="AQ1305" s="269"/>
      <c r="AR1305" s="269"/>
    </row>
    <row r="1306">
      <c r="A1306" s="410"/>
      <c r="B1306" s="410"/>
      <c r="C1306" s="410"/>
      <c r="D1306" s="410"/>
      <c r="E1306" s="410"/>
      <c r="F1306" s="410"/>
      <c r="H1306" s="269"/>
      <c r="I1306" s="269"/>
      <c r="J1306" s="269"/>
      <c r="K1306" s="269"/>
      <c r="L1306" s="269"/>
      <c r="M1306" s="269"/>
      <c r="N1306" s="269"/>
      <c r="O1306" s="269"/>
      <c r="P1306" s="269"/>
      <c r="Q1306" s="269"/>
      <c r="R1306" s="269"/>
      <c r="S1306" s="269"/>
      <c r="T1306" s="269"/>
      <c r="U1306" s="269"/>
      <c r="V1306" s="269"/>
      <c r="W1306" s="269"/>
      <c r="X1306" s="269"/>
      <c r="Y1306" s="269"/>
      <c r="Z1306" s="269"/>
      <c r="AA1306" s="269"/>
      <c r="AB1306" s="269"/>
      <c r="AC1306" s="269"/>
      <c r="AD1306" s="269"/>
      <c r="AE1306" s="269"/>
      <c r="AF1306" s="269"/>
      <c r="AG1306" s="269"/>
      <c r="AH1306" s="269"/>
      <c r="AI1306" s="269"/>
      <c r="AJ1306" s="269"/>
      <c r="AK1306" s="269"/>
      <c r="AL1306" s="269"/>
      <c r="AM1306" s="269"/>
      <c r="AN1306" s="269"/>
      <c r="AO1306" s="269"/>
      <c r="AP1306" s="269"/>
      <c r="AQ1306" s="269"/>
      <c r="AR1306" s="269"/>
    </row>
    <row r="1307">
      <c r="A1307" s="410"/>
      <c r="B1307" s="410"/>
      <c r="C1307" s="410"/>
      <c r="D1307" s="410"/>
      <c r="E1307" s="410"/>
      <c r="F1307" s="410"/>
      <c r="H1307" s="269"/>
      <c r="I1307" s="269"/>
      <c r="J1307" s="269"/>
      <c r="K1307" s="269"/>
      <c r="L1307" s="269"/>
      <c r="M1307" s="269"/>
      <c r="N1307" s="269"/>
      <c r="O1307" s="269"/>
      <c r="P1307" s="269"/>
      <c r="Q1307" s="269"/>
      <c r="R1307" s="269"/>
      <c r="S1307" s="269"/>
      <c r="T1307" s="269"/>
      <c r="U1307" s="269"/>
      <c r="V1307" s="269"/>
      <c r="W1307" s="269"/>
      <c r="X1307" s="269"/>
      <c r="Y1307" s="269"/>
      <c r="Z1307" s="269"/>
      <c r="AA1307" s="269"/>
      <c r="AB1307" s="269"/>
      <c r="AC1307" s="269"/>
      <c r="AD1307" s="269"/>
      <c r="AE1307" s="269"/>
      <c r="AF1307" s="269"/>
      <c r="AG1307" s="269"/>
      <c r="AH1307" s="269"/>
      <c r="AI1307" s="269"/>
      <c r="AJ1307" s="269"/>
      <c r="AK1307" s="269"/>
      <c r="AL1307" s="269"/>
      <c r="AM1307" s="269"/>
      <c r="AN1307" s="269"/>
      <c r="AO1307" s="269"/>
      <c r="AP1307" s="269"/>
      <c r="AQ1307" s="269"/>
      <c r="AR1307" s="269"/>
    </row>
    <row r="1308">
      <c r="A1308" s="410"/>
      <c r="B1308" s="410"/>
      <c r="C1308" s="410"/>
      <c r="D1308" s="410"/>
      <c r="E1308" s="410"/>
      <c r="F1308" s="410"/>
      <c r="H1308" s="269"/>
      <c r="I1308" s="269"/>
      <c r="J1308" s="269"/>
      <c r="K1308" s="269"/>
      <c r="L1308" s="269"/>
      <c r="M1308" s="269"/>
      <c r="N1308" s="269"/>
      <c r="O1308" s="269"/>
      <c r="P1308" s="269"/>
      <c r="Q1308" s="269"/>
      <c r="R1308" s="269"/>
      <c r="S1308" s="269"/>
      <c r="T1308" s="269"/>
      <c r="U1308" s="269"/>
      <c r="V1308" s="269"/>
      <c r="W1308" s="269"/>
      <c r="X1308" s="269"/>
      <c r="Y1308" s="269"/>
      <c r="Z1308" s="269"/>
      <c r="AA1308" s="269"/>
      <c r="AB1308" s="269"/>
      <c r="AC1308" s="269"/>
      <c r="AD1308" s="269"/>
      <c r="AE1308" s="269"/>
      <c r="AF1308" s="269"/>
      <c r="AG1308" s="269"/>
      <c r="AH1308" s="269"/>
      <c r="AI1308" s="269"/>
      <c r="AJ1308" s="269"/>
      <c r="AK1308" s="269"/>
      <c r="AL1308" s="269"/>
      <c r="AM1308" s="269"/>
      <c r="AN1308" s="269"/>
      <c r="AO1308" s="269"/>
      <c r="AP1308" s="269"/>
      <c r="AQ1308" s="269"/>
      <c r="AR1308" s="269"/>
    </row>
    <row r="1309">
      <c r="A1309" s="410"/>
      <c r="B1309" s="410"/>
      <c r="C1309" s="410"/>
      <c r="D1309" s="410"/>
      <c r="E1309" s="410"/>
      <c r="F1309" s="410"/>
      <c r="H1309" s="269"/>
      <c r="I1309" s="269"/>
      <c r="J1309" s="269"/>
      <c r="K1309" s="269"/>
      <c r="L1309" s="269"/>
      <c r="M1309" s="269"/>
      <c r="N1309" s="269"/>
      <c r="O1309" s="269"/>
      <c r="P1309" s="269"/>
      <c r="Q1309" s="269"/>
      <c r="R1309" s="269"/>
      <c r="S1309" s="269"/>
      <c r="T1309" s="269"/>
      <c r="U1309" s="269"/>
      <c r="V1309" s="269"/>
      <c r="W1309" s="269"/>
      <c r="X1309" s="269"/>
      <c r="Y1309" s="269"/>
      <c r="Z1309" s="269"/>
      <c r="AA1309" s="269"/>
      <c r="AB1309" s="269"/>
      <c r="AC1309" s="269"/>
      <c r="AD1309" s="269"/>
      <c r="AE1309" s="269"/>
      <c r="AF1309" s="269"/>
      <c r="AG1309" s="269"/>
      <c r="AH1309" s="269"/>
      <c r="AI1309" s="269"/>
      <c r="AJ1309" s="269"/>
      <c r="AK1309" s="269"/>
      <c r="AL1309" s="269"/>
      <c r="AM1309" s="269"/>
      <c r="AN1309" s="269"/>
      <c r="AO1309" s="269"/>
      <c r="AP1309" s="269"/>
      <c r="AQ1309" s="269"/>
      <c r="AR1309" s="269"/>
    </row>
    <row r="1310">
      <c r="A1310" s="410"/>
      <c r="B1310" s="410"/>
      <c r="C1310" s="410"/>
      <c r="D1310" s="410"/>
      <c r="E1310" s="410"/>
      <c r="F1310" s="410"/>
      <c r="H1310" s="269"/>
      <c r="I1310" s="269"/>
      <c r="J1310" s="269"/>
      <c r="K1310" s="269"/>
      <c r="L1310" s="269"/>
      <c r="M1310" s="269"/>
      <c r="N1310" s="269"/>
      <c r="O1310" s="269"/>
      <c r="P1310" s="269"/>
      <c r="Q1310" s="269"/>
      <c r="R1310" s="269"/>
      <c r="S1310" s="269"/>
      <c r="T1310" s="269"/>
      <c r="U1310" s="269"/>
      <c r="V1310" s="269"/>
      <c r="W1310" s="269"/>
      <c r="X1310" s="269"/>
      <c r="Y1310" s="269"/>
      <c r="Z1310" s="269"/>
      <c r="AA1310" s="269"/>
      <c r="AB1310" s="269"/>
      <c r="AC1310" s="269"/>
      <c r="AD1310" s="269"/>
      <c r="AE1310" s="269"/>
      <c r="AF1310" s="269"/>
      <c r="AG1310" s="269"/>
      <c r="AH1310" s="269"/>
      <c r="AI1310" s="269"/>
      <c r="AJ1310" s="269"/>
      <c r="AK1310" s="269"/>
      <c r="AL1310" s="269"/>
      <c r="AM1310" s="269"/>
      <c r="AN1310" s="269"/>
      <c r="AO1310" s="269"/>
      <c r="AP1310" s="269"/>
      <c r="AQ1310" s="269"/>
      <c r="AR1310" s="269"/>
    </row>
    <row r="1311">
      <c r="A1311" s="410"/>
      <c r="B1311" s="410"/>
      <c r="C1311" s="410"/>
      <c r="D1311" s="410"/>
      <c r="E1311" s="410"/>
      <c r="F1311" s="410"/>
      <c r="H1311" s="269"/>
      <c r="I1311" s="269"/>
      <c r="J1311" s="269"/>
      <c r="K1311" s="269"/>
      <c r="L1311" s="269"/>
      <c r="M1311" s="269"/>
      <c r="N1311" s="269"/>
      <c r="O1311" s="269"/>
      <c r="P1311" s="269"/>
      <c r="Q1311" s="269"/>
      <c r="R1311" s="269"/>
      <c r="S1311" s="269"/>
      <c r="T1311" s="269"/>
      <c r="U1311" s="269"/>
      <c r="V1311" s="269"/>
      <c r="W1311" s="269"/>
      <c r="X1311" s="269"/>
      <c r="Y1311" s="269"/>
      <c r="Z1311" s="269"/>
      <c r="AA1311" s="269"/>
      <c r="AB1311" s="269"/>
      <c r="AC1311" s="269"/>
      <c r="AD1311" s="269"/>
      <c r="AE1311" s="269"/>
      <c r="AF1311" s="269"/>
      <c r="AG1311" s="269"/>
      <c r="AH1311" s="269"/>
      <c r="AI1311" s="269"/>
      <c r="AJ1311" s="269"/>
      <c r="AK1311" s="269"/>
      <c r="AL1311" s="269"/>
      <c r="AM1311" s="269"/>
      <c r="AN1311" s="269"/>
      <c r="AO1311" s="269"/>
      <c r="AP1311" s="269"/>
      <c r="AQ1311" s="269"/>
      <c r="AR1311" s="269"/>
    </row>
    <row r="1312">
      <c r="A1312" s="410"/>
      <c r="B1312" s="410"/>
      <c r="C1312" s="410"/>
      <c r="D1312" s="410"/>
      <c r="E1312" s="410"/>
      <c r="F1312" s="410"/>
      <c r="H1312" s="269"/>
      <c r="I1312" s="269"/>
      <c r="J1312" s="269"/>
      <c r="K1312" s="269"/>
      <c r="L1312" s="269"/>
      <c r="M1312" s="269"/>
      <c r="N1312" s="269"/>
      <c r="O1312" s="269"/>
      <c r="P1312" s="269"/>
      <c r="Q1312" s="269"/>
      <c r="R1312" s="269"/>
      <c r="S1312" s="269"/>
      <c r="T1312" s="269"/>
      <c r="U1312" s="269"/>
      <c r="V1312" s="269"/>
      <c r="W1312" s="269"/>
      <c r="X1312" s="269"/>
      <c r="Y1312" s="269"/>
      <c r="Z1312" s="269"/>
      <c r="AA1312" s="269"/>
      <c r="AB1312" s="269"/>
      <c r="AC1312" s="269"/>
      <c r="AD1312" s="269"/>
      <c r="AE1312" s="269"/>
      <c r="AF1312" s="269"/>
      <c r="AG1312" s="269"/>
      <c r="AH1312" s="269"/>
      <c r="AI1312" s="269"/>
      <c r="AJ1312" s="269"/>
      <c r="AK1312" s="269"/>
      <c r="AL1312" s="269"/>
      <c r="AM1312" s="269"/>
      <c r="AN1312" s="269"/>
      <c r="AO1312" s="269"/>
      <c r="AP1312" s="269"/>
      <c r="AQ1312" s="269"/>
      <c r="AR1312" s="269"/>
    </row>
    <row r="1313">
      <c r="A1313" s="410"/>
      <c r="B1313" s="410"/>
      <c r="C1313" s="410"/>
      <c r="D1313" s="410"/>
      <c r="E1313" s="410"/>
      <c r="F1313" s="410"/>
      <c r="H1313" s="269"/>
      <c r="I1313" s="269"/>
      <c r="J1313" s="269"/>
      <c r="K1313" s="269"/>
      <c r="L1313" s="269"/>
      <c r="M1313" s="269"/>
      <c r="N1313" s="269"/>
      <c r="O1313" s="269"/>
      <c r="P1313" s="269"/>
      <c r="Q1313" s="269"/>
      <c r="R1313" s="269"/>
      <c r="S1313" s="269"/>
      <c r="T1313" s="269"/>
      <c r="U1313" s="269"/>
      <c r="V1313" s="269"/>
      <c r="W1313" s="269"/>
      <c r="X1313" s="269"/>
      <c r="Y1313" s="269"/>
      <c r="Z1313" s="269"/>
      <c r="AA1313" s="269"/>
      <c r="AB1313" s="269"/>
      <c r="AC1313" s="269"/>
      <c r="AD1313" s="269"/>
      <c r="AE1313" s="269"/>
      <c r="AF1313" s="269"/>
      <c r="AG1313" s="269"/>
      <c r="AH1313" s="269"/>
      <c r="AI1313" s="269"/>
      <c r="AJ1313" s="269"/>
      <c r="AK1313" s="269"/>
      <c r="AL1313" s="269"/>
      <c r="AM1313" s="269"/>
      <c r="AN1313" s="269"/>
      <c r="AO1313" s="269"/>
      <c r="AP1313" s="269"/>
      <c r="AQ1313" s="269"/>
      <c r="AR1313" s="269"/>
    </row>
    <row r="1314">
      <c r="A1314" s="410"/>
      <c r="B1314" s="410"/>
      <c r="C1314" s="410"/>
      <c r="D1314" s="410"/>
      <c r="E1314" s="410"/>
      <c r="F1314" s="410"/>
      <c r="H1314" s="269"/>
      <c r="I1314" s="269"/>
      <c r="J1314" s="269"/>
      <c r="K1314" s="269"/>
      <c r="L1314" s="269"/>
      <c r="M1314" s="269"/>
      <c r="N1314" s="269"/>
      <c r="O1314" s="269"/>
      <c r="P1314" s="269"/>
      <c r="Q1314" s="269"/>
      <c r="R1314" s="269"/>
      <c r="S1314" s="269"/>
      <c r="T1314" s="269"/>
      <c r="U1314" s="269"/>
      <c r="V1314" s="269"/>
      <c r="W1314" s="269"/>
      <c r="X1314" s="269"/>
      <c r="Y1314" s="269"/>
      <c r="Z1314" s="269"/>
      <c r="AA1314" s="269"/>
      <c r="AB1314" s="269"/>
      <c r="AC1314" s="269"/>
      <c r="AD1314" s="269"/>
      <c r="AE1314" s="269"/>
      <c r="AF1314" s="269"/>
      <c r="AG1314" s="269"/>
      <c r="AH1314" s="269"/>
      <c r="AI1314" s="269"/>
      <c r="AJ1314" s="269"/>
      <c r="AK1314" s="269"/>
      <c r="AL1314" s="269"/>
      <c r="AM1314" s="269"/>
      <c r="AN1314" s="269"/>
      <c r="AO1314" s="269"/>
      <c r="AP1314" s="269"/>
      <c r="AQ1314" s="269"/>
      <c r="AR1314" s="269"/>
    </row>
    <row r="1315">
      <c r="A1315" s="410"/>
      <c r="B1315" s="410"/>
      <c r="C1315" s="410"/>
      <c r="D1315" s="410"/>
      <c r="E1315" s="410"/>
      <c r="F1315" s="410"/>
      <c r="H1315" s="269"/>
      <c r="I1315" s="269"/>
      <c r="J1315" s="269"/>
      <c r="K1315" s="269"/>
      <c r="L1315" s="269"/>
      <c r="M1315" s="269"/>
      <c r="N1315" s="269"/>
      <c r="O1315" s="269"/>
      <c r="P1315" s="269"/>
      <c r="Q1315" s="269"/>
      <c r="R1315" s="269"/>
      <c r="S1315" s="269"/>
      <c r="T1315" s="269"/>
      <c r="U1315" s="269"/>
      <c r="V1315" s="269"/>
      <c r="W1315" s="269"/>
      <c r="X1315" s="269"/>
      <c r="Y1315" s="269"/>
      <c r="Z1315" s="269"/>
      <c r="AA1315" s="269"/>
      <c r="AB1315" s="269"/>
      <c r="AC1315" s="269"/>
      <c r="AD1315" s="269"/>
      <c r="AE1315" s="269"/>
      <c r="AF1315" s="269"/>
      <c r="AG1315" s="269"/>
      <c r="AH1315" s="269"/>
      <c r="AI1315" s="269"/>
      <c r="AJ1315" s="269"/>
      <c r="AK1315" s="269"/>
      <c r="AL1315" s="269"/>
      <c r="AM1315" s="269"/>
      <c r="AN1315" s="269"/>
      <c r="AO1315" s="269"/>
      <c r="AP1315" s="269"/>
      <c r="AQ1315" s="269"/>
      <c r="AR1315" s="269"/>
    </row>
    <row r="1316">
      <c r="A1316" s="410"/>
      <c r="B1316" s="410"/>
      <c r="C1316" s="410"/>
      <c r="D1316" s="410"/>
      <c r="E1316" s="410"/>
      <c r="F1316" s="410"/>
      <c r="H1316" s="269"/>
      <c r="I1316" s="269"/>
      <c r="J1316" s="269"/>
      <c r="K1316" s="269"/>
      <c r="L1316" s="269"/>
      <c r="M1316" s="269"/>
      <c r="N1316" s="269"/>
      <c r="O1316" s="269"/>
      <c r="P1316" s="269"/>
      <c r="Q1316" s="269"/>
      <c r="R1316" s="269"/>
      <c r="S1316" s="269"/>
      <c r="T1316" s="269"/>
      <c r="U1316" s="269"/>
      <c r="V1316" s="269"/>
      <c r="W1316" s="269"/>
      <c r="X1316" s="269"/>
      <c r="Y1316" s="269"/>
      <c r="Z1316" s="269"/>
      <c r="AA1316" s="269"/>
      <c r="AB1316" s="269"/>
      <c r="AC1316" s="269"/>
      <c r="AD1316" s="269"/>
      <c r="AE1316" s="269"/>
      <c r="AF1316" s="269"/>
      <c r="AG1316" s="269"/>
      <c r="AH1316" s="269"/>
      <c r="AI1316" s="269"/>
      <c r="AJ1316" s="269"/>
      <c r="AK1316" s="269"/>
      <c r="AL1316" s="269"/>
      <c r="AM1316" s="269"/>
      <c r="AN1316" s="269"/>
      <c r="AO1316" s="269"/>
      <c r="AP1316" s="269"/>
      <c r="AQ1316" s="269"/>
      <c r="AR1316" s="269"/>
    </row>
    <row r="1317">
      <c r="A1317" s="410"/>
      <c r="B1317" s="410"/>
      <c r="C1317" s="410"/>
      <c r="D1317" s="410"/>
      <c r="E1317" s="410"/>
      <c r="F1317" s="410"/>
      <c r="H1317" s="269"/>
      <c r="I1317" s="269"/>
      <c r="J1317" s="269"/>
      <c r="K1317" s="269"/>
      <c r="L1317" s="269"/>
      <c r="M1317" s="269"/>
      <c r="N1317" s="269"/>
      <c r="O1317" s="269"/>
      <c r="P1317" s="269"/>
      <c r="Q1317" s="269"/>
      <c r="R1317" s="269"/>
      <c r="S1317" s="269"/>
      <c r="T1317" s="269"/>
      <c r="U1317" s="269"/>
      <c r="V1317" s="269"/>
      <c r="W1317" s="269"/>
      <c r="X1317" s="269"/>
      <c r="Y1317" s="269"/>
      <c r="Z1317" s="269"/>
      <c r="AA1317" s="269"/>
      <c r="AB1317" s="269"/>
      <c r="AC1317" s="269"/>
      <c r="AD1317" s="269"/>
      <c r="AE1317" s="269"/>
      <c r="AF1317" s="269"/>
      <c r="AG1317" s="269"/>
      <c r="AH1317" s="269"/>
      <c r="AI1317" s="269"/>
      <c r="AJ1317" s="269"/>
      <c r="AK1317" s="269"/>
      <c r="AL1317" s="269"/>
      <c r="AM1317" s="269"/>
      <c r="AN1317" s="269"/>
      <c r="AO1317" s="269"/>
      <c r="AP1317" s="269"/>
      <c r="AQ1317" s="269"/>
      <c r="AR1317" s="269"/>
    </row>
    <row r="1318">
      <c r="A1318" s="410"/>
      <c r="B1318" s="410"/>
      <c r="C1318" s="410"/>
      <c r="D1318" s="410"/>
      <c r="E1318" s="410"/>
      <c r="F1318" s="410"/>
      <c r="H1318" s="269"/>
      <c r="I1318" s="269"/>
      <c r="J1318" s="269"/>
      <c r="K1318" s="269"/>
      <c r="L1318" s="269"/>
      <c r="M1318" s="269"/>
      <c r="N1318" s="269"/>
      <c r="O1318" s="269"/>
      <c r="P1318" s="269"/>
      <c r="Q1318" s="269"/>
      <c r="R1318" s="269"/>
      <c r="S1318" s="269"/>
      <c r="T1318" s="269"/>
      <c r="U1318" s="269"/>
      <c r="V1318" s="269"/>
      <c r="W1318" s="269"/>
      <c r="X1318" s="269"/>
      <c r="Y1318" s="269"/>
      <c r="Z1318" s="269"/>
      <c r="AA1318" s="269"/>
      <c r="AB1318" s="269"/>
      <c r="AC1318" s="269"/>
      <c r="AD1318" s="269"/>
      <c r="AE1318" s="269"/>
      <c r="AF1318" s="269"/>
      <c r="AG1318" s="269"/>
      <c r="AH1318" s="269"/>
      <c r="AI1318" s="269"/>
      <c r="AJ1318" s="269"/>
      <c r="AK1318" s="269"/>
      <c r="AL1318" s="269"/>
      <c r="AM1318" s="269"/>
      <c r="AN1318" s="269"/>
      <c r="AO1318" s="269"/>
      <c r="AP1318" s="269"/>
      <c r="AQ1318" s="269"/>
      <c r="AR1318" s="269"/>
    </row>
    <row r="1319">
      <c r="A1319" s="410"/>
      <c r="B1319" s="410"/>
      <c r="C1319" s="410"/>
      <c r="D1319" s="410"/>
      <c r="E1319" s="410"/>
      <c r="F1319" s="410"/>
      <c r="H1319" s="269"/>
      <c r="I1319" s="269"/>
      <c r="J1319" s="269"/>
      <c r="K1319" s="269"/>
      <c r="L1319" s="269"/>
      <c r="M1319" s="269"/>
      <c r="N1319" s="269"/>
      <c r="O1319" s="269"/>
      <c r="P1319" s="269"/>
      <c r="Q1319" s="269"/>
      <c r="R1319" s="269"/>
      <c r="S1319" s="269"/>
      <c r="T1319" s="269"/>
      <c r="U1319" s="269"/>
      <c r="V1319" s="269"/>
      <c r="W1319" s="269"/>
      <c r="X1319" s="269"/>
      <c r="Y1319" s="269"/>
      <c r="Z1319" s="269"/>
      <c r="AA1319" s="269"/>
      <c r="AB1319" s="269"/>
      <c r="AC1319" s="269"/>
      <c r="AD1319" s="269"/>
      <c r="AE1319" s="269"/>
      <c r="AF1319" s="269"/>
      <c r="AG1319" s="269"/>
      <c r="AH1319" s="269"/>
      <c r="AI1319" s="269"/>
      <c r="AJ1319" s="269"/>
      <c r="AK1319" s="269"/>
      <c r="AL1319" s="269"/>
      <c r="AM1319" s="269"/>
      <c r="AN1319" s="269"/>
      <c r="AO1319" s="269"/>
      <c r="AP1319" s="269"/>
      <c r="AQ1319" s="269"/>
      <c r="AR1319" s="269"/>
    </row>
    <row r="1320">
      <c r="A1320" s="410"/>
      <c r="B1320" s="410"/>
      <c r="C1320" s="410"/>
      <c r="D1320" s="410"/>
      <c r="E1320" s="410"/>
      <c r="F1320" s="410"/>
      <c r="H1320" s="269"/>
      <c r="I1320" s="269"/>
      <c r="J1320" s="269"/>
      <c r="K1320" s="269"/>
      <c r="L1320" s="269"/>
      <c r="M1320" s="269"/>
      <c r="N1320" s="269"/>
      <c r="O1320" s="269"/>
      <c r="P1320" s="269"/>
      <c r="Q1320" s="269"/>
      <c r="R1320" s="269"/>
      <c r="S1320" s="269"/>
      <c r="T1320" s="269"/>
      <c r="U1320" s="269"/>
      <c r="V1320" s="269"/>
      <c r="W1320" s="269"/>
      <c r="X1320" s="269"/>
      <c r="Y1320" s="269"/>
      <c r="Z1320" s="269"/>
      <c r="AA1320" s="269"/>
      <c r="AB1320" s="269"/>
      <c r="AC1320" s="269"/>
      <c r="AD1320" s="269"/>
      <c r="AE1320" s="269"/>
      <c r="AF1320" s="269"/>
      <c r="AG1320" s="269"/>
      <c r="AH1320" s="269"/>
      <c r="AI1320" s="269"/>
      <c r="AJ1320" s="269"/>
      <c r="AK1320" s="269"/>
      <c r="AL1320" s="269"/>
      <c r="AM1320" s="269"/>
      <c r="AN1320" s="269"/>
      <c r="AO1320" s="269"/>
      <c r="AP1320" s="269"/>
      <c r="AQ1320" s="269"/>
      <c r="AR1320" s="269"/>
    </row>
    <row r="1321">
      <c r="A1321" s="410"/>
      <c r="B1321" s="410"/>
      <c r="C1321" s="410"/>
      <c r="D1321" s="410"/>
      <c r="E1321" s="410"/>
      <c r="F1321" s="410"/>
      <c r="H1321" s="269"/>
      <c r="I1321" s="269"/>
      <c r="J1321" s="269"/>
      <c r="K1321" s="269"/>
      <c r="L1321" s="269"/>
      <c r="M1321" s="269"/>
      <c r="N1321" s="269"/>
      <c r="O1321" s="269"/>
      <c r="P1321" s="269"/>
      <c r="Q1321" s="269"/>
      <c r="R1321" s="269"/>
      <c r="S1321" s="269"/>
      <c r="T1321" s="269"/>
      <c r="U1321" s="269"/>
      <c r="V1321" s="269"/>
      <c r="W1321" s="269"/>
      <c r="X1321" s="269"/>
      <c r="Y1321" s="269"/>
      <c r="Z1321" s="269"/>
      <c r="AA1321" s="269"/>
      <c r="AB1321" s="269"/>
      <c r="AC1321" s="269"/>
      <c r="AD1321" s="269"/>
      <c r="AE1321" s="269"/>
      <c r="AF1321" s="269"/>
      <c r="AG1321" s="269"/>
      <c r="AH1321" s="269"/>
      <c r="AI1321" s="269"/>
      <c r="AJ1321" s="269"/>
      <c r="AK1321" s="269"/>
      <c r="AL1321" s="269"/>
      <c r="AM1321" s="269"/>
      <c r="AN1321" s="269"/>
      <c r="AO1321" s="269"/>
      <c r="AP1321" s="269"/>
      <c r="AQ1321" s="269"/>
      <c r="AR1321" s="269"/>
    </row>
    <row r="1322">
      <c r="A1322" s="410"/>
      <c r="B1322" s="410"/>
      <c r="C1322" s="410"/>
      <c r="D1322" s="410"/>
      <c r="E1322" s="410"/>
      <c r="F1322" s="410"/>
      <c r="H1322" s="269"/>
      <c r="I1322" s="269"/>
      <c r="J1322" s="269"/>
      <c r="K1322" s="269"/>
      <c r="L1322" s="269"/>
      <c r="M1322" s="269"/>
      <c r="N1322" s="269"/>
      <c r="O1322" s="269"/>
      <c r="P1322" s="269"/>
      <c r="Q1322" s="269"/>
      <c r="R1322" s="269"/>
      <c r="S1322" s="269"/>
      <c r="T1322" s="269"/>
      <c r="U1322" s="269"/>
      <c r="V1322" s="269"/>
      <c r="W1322" s="269"/>
      <c r="X1322" s="269"/>
      <c r="Y1322" s="269"/>
      <c r="Z1322" s="269"/>
      <c r="AA1322" s="269"/>
      <c r="AB1322" s="269"/>
      <c r="AC1322" s="269"/>
      <c r="AD1322" s="269"/>
      <c r="AE1322" s="269"/>
      <c r="AF1322" s="269"/>
      <c r="AG1322" s="269"/>
      <c r="AH1322" s="269"/>
      <c r="AI1322" s="269"/>
      <c r="AJ1322" s="269"/>
      <c r="AK1322" s="269"/>
      <c r="AL1322" s="269"/>
      <c r="AM1322" s="269"/>
      <c r="AN1322" s="269"/>
      <c r="AO1322" s="269"/>
      <c r="AP1322" s="269"/>
      <c r="AQ1322" s="269"/>
      <c r="AR1322" s="269"/>
    </row>
    <row r="1323">
      <c r="A1323" s="410"/>
      <c r="B1323" s="410"/>
      <c r="C1323" s="410"/>
      <c r="D1323" s="410"/>
      <c r="E1323" s="410"/>
      <c r="F1323" s="410"/>
      <c r="H1323" s="269"/>
      <c r="I1323" s="269"/>
      <c r="J1323" s="269"/>
      <c r="K1323" s="269"/>
      <c r="L1323" s="269"/>
      <c r="M1323" s="269"/>
      <c r="N1323" s="269"/>
      <c r="O1323" s="269"/>
      <c r="P1323" s="269"/>
      <c r="Q1323" s="269"/>
      <c r="R1323" s="269"/>
      <c r="S1323" s="269"/>
      <c r="T1323" s="269"/>
      <c r="U1323" s="269"/>
      <c r="V1323" s="269"/>
      <c r="W1323" s="269"/>
      <c r="X1323" s="269"/>
      <c r="Y1323" s="269"/>
      <c r="Z1323" s="269"/>
      <c r="AA1323" s="269"/>
      <c r="AB1323" s="269"/>
      <c r="AC1323" s="269"/>
      <c r="AD1323" s="269"/>
      <c r="AE1323" s="269"/>
      <c r="AF1323" s="269"/>
      <c r="AG1323" s="269"/>
      <c r="AH1323" s="269"/>
      <c r="AI1323" s="269"/>
      <c r="AJ1323" s="269"/>
      <c r="AK1323" s="269"/>
      <c r="AL1323" s="269"/>
      <c r="AM1323" s="269"/>
      <c r="AN1323" s="269"/>
      <c r="AO1323" s="269"/>
      <c r="AP1323" s="269"/>
      <c r="AQ1323" s="269"/>
      <c r="AR1323" s="269"/>
    </row>
    <row r="1324">
      <c r="A1324" s="410"/>
      <c r="B1324" s="410"/>
      <c r="C1324" s="410"/>
      <c r="D1324" s="410"/>
      <c r="E1324" s="410"/>
      <c r="F1324" s="410"/>
      <c r="H1324" s="269"/>
      <c r="I1324" s="269"/>
      <c r="J1324" s="269"/>
      <c r="K1324" s="269"/>
      <c r="L1324" s="269"/>
      <c r="M1324" s="269"/>
      <c r="N1324" s="269"/>
      <c r="O1324" s="269"/>
      <c r="P1324" s="269"/>
      <c r="Q1324" s="269"/>
      <c r="R1324" s="269"/>
      <c r="S1324" s="269"/>
      <c r="T1324" s="269"/>
      <c r="U1324" s="269"/>
      <c r="V1324" s="269"/>
      <c r="W1324" s="269"/>
      <c r="X1324" s="269"/>
      <c r="Y1324" s="269"/>
      <c r="Z1324" s="269"/>
      <c r="AA1324" s="269"/>
      <c r="AB1324" s="269"/>
      <c r="AC1324" s="269"/>
      <c r="AD1324" s="269"/>
      <c r="AE1324" s="269"/>
      <c r="AF1324" s="269"/>
      <c r="AG1324" s="269"/>
      <c r="AH1324" s="269"/>
      <c r="AI1324" s="269"/>
      <c r="AJ1324" s="269"/>
      <c r="AK1324" s="269"/>
      <c r="AL1324" s="269"/>
      <c r="AM1324" s="269"/>
      <c r="AN1324" s="269"/>
      <c r="AO1324" s="269"/>
      <c r="AP1324" s="269"/>
      <c r="AQ1324" s="269"/>
      <c r="AR1324" s="269"/>
    </row>
    <row r="1325">
      <c r="A1325" s="410"/>
      <c r="B1325" s="410"/>
      <c r="C1325" s="410"/>
      <c r="D1325" s="410"/>
      <c r="E1325" s="410"/>
      <c r="F1325" s="410"/>
      <c r="H1325" s="269"/>
      <c r="I1325" s="269"/>
      <c r="J1325" s="269"/>
      <c r="K1325" s="269"/>
      <c r="L1325" s="269"/>
      <c r="M1325" s="269"/>
      <c r="N1325" s="269"/>
      <c r="O1325" s="269"/>
      <c r="P1325" s="269"/>
      <c r="Q1325" s="269"/>
      <c r="R1325" s="269"/>
      <c r="S1325" s="269"/>
      <c r="T1325" s="269"/>
      <c r="U1325" s="269"/>
      <c r="V1325" s="269"/>
      <c r="W1325" s="269"/>
      <c r="X1325" s="269"/>
      <c r="Y1325" s="269"/>
      <c r="Z1325" s="269"/>
      <c r="AA1325" s="269"/>
      <c r="AB1325" s="269"/>
      <c r="AC1325" s="269"/>
      <c r="AD1325" s="269"/>
      <c r="AE1325" s="269"/>
      <c r="AF1325" s="269"/>
      <c r="AG1325" s="269"/>
      <c r="AH1325" s="269"/>
      <c r="AI1325" s="269"/>
      <c r="AJ1325" s="269"/>
      <c r="AK1325" s="269"/>
      <c r="AL1325" s="269"/>
      <c r="AM1325" s="269"/>
      <c r="AN1325" s="269"/>
      <c r="AO1325" s="269"/>
      <c r="AP1325" s="269"/>
      <c r="AQ1325" s="269"/>
      <c r="AR1325" s="269"/>
    </row>
    <row r="1326">
      <c r="A1326" s="410"/>
      <c r="B1326" s="410"/>
      <c r="C1326" s="410"/>
      <c r="D1326" s="410"/>
      <c r="E1326" s="410"/>
      <c r="F1326" s="410"/>
      <c r="H1326" s="269"/>
      <c r="I1326" s="269"/>
      <c r="J1326" s="269"/>
      <c r="K1326" s="269"/>
      <c r="L1326" s="269"/>
      <c r="M1326" s="269"/>
      <c r="N1326" s="269"/>
      <c r="O1326" s="269"/>
      <c r="P1326" s="269"/>
      <c r="Q1326" s="269"/>
      <c r="R1326" s="269"/>
      <c r="S1326" s="269"/>
      <c r="T1326" s="269"/>
      <c r="U1326" s="269"/>
      <c r="V1326" s="269"/>
      <c r="W1326" s="269"/>
      <c r="X1326" s="269"/>
      <c r="Y1326" s="269"/>
      <c r="Z1326" s="269"/>
      <c r="AA1326" s="269"/>
      <c r="AB1326" s="269"/>
      <c r="AC1326" s="269"/>
      <c r="AD1326" s="269"/>
      <c r="AE1326" s="269"/>
      <c r="AF1326" s="269"/>
      <c r="AG1326" s="269"/>
      <c r="AH1326" s="269"/>
      <c r="AI1326" s="269"/>
      <c r="AJ1326" s="269"/>
      <c r="AK1326" s="269"/>
      <c r="AL1326" s="269"/>
      <c r="AM1326" s="269"/>
      <c r="AN1326" s="269"/>
      <c r="AO1326" s="269"/>
      <c r="AP1326" s="269"/>
      <c r="AQ1326" s="269"/>
      <c r="AR1326" s="269"/>
    </row>
    <row r="1327">
      <c r="A1327" s="410"/>
      <c r="B1327" s="410"/>
      <c r="C1327" s="410"/>
      <c r="D1327" s="410"/>
      <c r="E1327" s="410"/>
      <c r="F1327" s="410"/>
      <c r="H1327" s="269"/>
      <c r="I1327" s="269"/>
      <c r="J1327" s="269"/>
      <c r="K1327" s="269"/>
      <c r="L1327" s="269"/>
      <c r="M1327" s="269"/>
      <c r="N1327" s="269"/>
      <c r="O1327" s="269"/>
      <c r="P1327" s="269"/>
      <c r="Q1327" s="269"/>
      <c r="R1327" s="269"/>
      <c r="S1327" s="269"/>
      <c r="T1327" s="269"/>
      <c r="U1327" s="269"/>
      <c r="V1327" s="269"/>
      <c r="W1327" s="269"/>
      <c r="X1327" s="269"/>
      <c r="Y1327" s="269"/>
      <c r="Z1327" s="269"/>
      <c r="AA1327" s="269"/>
      <c r="AB1327" s="269"/>
      <c r="AC1327" s="269"/>
      <c r="AD1327" s="269"/>
      <c r="AE1327" s="269"/>
      <c r="AF1327" s="269"/>
      <c r="AG1327" s="269"/>
      <c r="AH1327" s="269"/>
      <c r="AI1327" s="269"/>
      <c r="AJ1327" s="269"/>
      <c r="AK1327" s="269"/>
      <c r="AL1327" s="269"/>
      <c r="AM1327" s="269"/>
      <c r="AN1327" s="269"/>
      <c r="AO1327" s="269"/>
      <c r="AP1327" s="269"/>
      <c r="AQ1327" s="269"/>
      <c r="AR1327" s="269"/>
    </row>
    <row r="1328">
      <c r="A1328" s="410"/>
      <c r="B1328" s="410"/>
      <c r="C1328" s="410"/>
      <c r="D1328" s="410"/>
      <c r="E1328" s="410"/>
      <c r="F1328" s="410"/>
      <c r="H1328" s="269"/>
      <c r="I1328" s="269"/>
      <c r="J1328" s="269"/>
      <c r="K1328" s="269"/>
      <c r="L1328" s="269"/>
      <c r="M1328" s="269"/>
      <c r="N1328" s="269"/>
      <c r="O1328" s="269"/>
      <c r="P1328" s="269"/>
      <c r="Q1328" s="269"/>
      <c r="R1328" s="269"/>
      <c r="S1328" s="269"/>
      <c r="T1328" s="269"/>
      <c r="U1328" s="269"/>
      <c r="V1328" s="269"/>
      <c r="W1328" s="269"/>
      <c r="X1328" s="269"/>
      <c r="Y1328" s="269"/>
      <c r="Z1328" s="269"/>
      <c r="AA1328" s="269"/>
      <c r="AB1328" s="269"/>
      <c r="AC1328" s="269"/>
      <c r="AD1328" s="269"/>
      <c r="AE1328" s="269"/>
      <c r="AF1328" s="269"/>
      <c r="AG1328" s="269"/>
      <c r="AH1328" s="269"/>
      <c r="AI1328" s="269"/>
      <c r="AJ1328" s="269"/>
      <c r="AK1328" s="269"/>
      <c r="AL1328" s="269"/>
      <c r="AM1328" s="269"/>
      <c r="AN1328" s="269"/>
      <c r="AO1328" s="269"/>
      <c r="AP1328" s="269"/>
      <c r="AQ1328" s="269"/>
      <c r="AR1328" s="269"/>
    </row>
    <row r="1329">
      <c r="A1329" s="410"/>
      <c r="B1329" s="410"/>
      <c r="C1329" s="410"/>
      <c r="D1329" s="410"/>
      <c r="E1329" s="410"/>
      <c r="F1329" s="410"/>
      <c r="H1329" s="269"/>
      <c r="I1329" s="269"/>
      <c r="J1329" s="269"/>
      <c r="K1329" s="269"/>
      <c r="L1329" s="269"/>
      <c r="M1329" s="269"/>
      <c r="N1329" s="269"/>
      <c r="O1329" s="269"/>
      <c r="P1329" s="269"/>
      <c r="Q1329" s="269"/>
      <c r="R1329" s="269"/>
      <c r="S1329" s="269"/>
      <c r="T1329" s="269"/>
      <c r="U1329" s="269"/>
      <c r="V1329" s="269"/>
      <c r="W1329" s="269"/>
      <c r="X1329" s="269"/>
      <c r="Y1329" s="269"/>
      <c r="Z1329" s="269"/>
      <c r="AA1329" s="269"/>
      <c r="AB1329" s="269"/>
      <c r="AC1329" s="269"/>
      <c r="AD1329" s="269"/>
      <c r="AE1329" s="269"/>
      <c r="AF1329" s="269"/>
      <c r="AG1329" s="269"/>
      <c r="AH1329" s="269"/>
      <c r="AI1329" s="269"/>
      <c r="AJ1329" s="269"/>
      <c r="AK1329" s="269"/>
      <c r="AL1329" s="269"/>
      <c r="AM1329" s="269"/>
      <c r="AN1329" s="269"/>
      <c r="AO1329" s="269"/>
      <c r="AP1329" s="269"/>
      <c r="AQ1329" s="269"/>
      <c r="AR1329" s="269"/>
    </row>
    <row r="1330">
      <c r="A1330" s="410"/>
      <c r="B1330" s="410"/>
      <c r="C1330" s="410"/>
      <c r="D1330" s="410"/>
      <c r="E1330" s="410"/>
      <c r="F1330" s="410"/>
      <c r="H1330" s="269"/>
      <c r="I1330" s="269"/>
      <c r="J1330" s="269"/>
      <c r="K1330" s="269"/>
      <c r="L1330" s="269"/>
      <c r="M1330" s="269"/>
      <c r="N1330" s="269"/>
      <c r="O1330" s="269"/>
      <c r="P1330" s="269"/>
      <c r="Q1330" s="269"/>
      <c r="R1330" s="269"/>
      <c r="S1330" s="269"/>
      <c r="T1330" s="269"/>
      <c r="U1330" s="269"/>
      <c r="V1330" s="269"/>
      <c r="W1330" s="269"/>
      <c r="X1330" s="269"/>
      <c r="Y1330" s="269"/>
      <c r="Z1330" s="269"/>
      <c r="AA1330" s="269"/>
      <c r="AB1330" s="269"/>
      <c r="AC1330" s="269"/>
      <c r="AD1330" s="269"/>
      <c r="AE1330" s="269"/>
      <c r="AF1330" s="269"/>
      <c r="AG1330" s="269"/>
      <c r="AH1330" s="269"/>
      <c r="AI1330" s="269"/>
      <c r="AJ1330" s="269"/>
      <c r="AK1330" s="269"/>
      <c r="AL1330" s="269"/>
      <c r="AM1330" s="269"/>
      <c r="AN1330" s="269"/>
      <c r="AO1330" s="269"/>
      <c r="AP1330" s="269"/>
      <c r="AQ1330" s="269"/>
      <c r="AR1330" s="269"/>
    </row>
    <row r="1331">
      <c r="A1331" s="410"/>
      <c r="B1331" s="410"/>
      <c r="C1331" s="410"/>
      <c r="D1331" s="410"/>
      <c r="E1331" s="410"/>
      <c r="F1331" s="410"/>
      <c r="H1331" s="269"/>
      <c r="I1331" s="269"/>
      <c r="J1331" s="269"/>
      <c r="K1331" s="269"/>
      <c r="L1331" s="269"/>
      <c r="M1331" s="269"/>
      <c r="N1331" s="269"/>
      <c r="O1331" s="269"/>
      <c r="P1331" s="269"/>
      <c r="Q1331" s="269"/>
      <c r="R1331" s="269"/>
      <c r="S1331" s="269"/>
      <c r="T1331" s="269"/>
      <c r="U1331" s="269"/>
      <c r="V1331" s="269"/>
      <c r="W1331" s="269"/>
      <c r="X1331" s="269"/>
      <c r="Y1331" s="269"/>
      <c r="Z1331" s="269"/>
      <c r="AA1331" s="269"/>
      <c r="AB1331" s="269"/>
      <c r="AC1331" s="269"/>
      <c r="AD1331" s="269"/>
      <c r="AE1331" s="269"/>
      <c r="AF1331" s="269"/>
      <c r="AG1331" s="269"/>
      <c r="AH1331" s="269"/>
      <c r="AI1331" s="269"/>
      <c r="AJ1331" s="269"/>
      <c r="AK1331" s="269"/>
      <c r="AL1331" s="269"/>
      <c r="AM1331" s="269"/>
      <c r="AN1331" s="269"/>
      <c r="AO1331" s="269"/>
      <c r="AP1331" s="269"/>
      <c r="AQ1331" s="269"/>
      <c r="AR1331" s="269"/>
    </row>
    <row r="1332">
      <c r="A1332" s="410"/>
      <c r="B1332" s="410"/>
      <c r="C1332" s="410"/>
      <c r="D1332" s="410"/>
      <c r="E1332" s="410"/>
      <c r="F1332" s="410"/>
      <c r="H1332" s="269"/>
      <c r="I1332" s="269"/>
      <c r="J1332" s="269"/>
      <c r="K1332" s="269"/>
      <c r="L1332" s="269"/>
      <c r="M1332" s="269"/>
      <c r="N1332" s="269"/>
      <c r="O1332" s="269"/>
      <c r="P1332" s="269"/>
      <c r="Q1332" s="269"/>
      <c r="R1332" s="269"/>
      <c r="S1332" s="269"/>
      <c r="T1332" s="269"/>
      <c r="U1332" s="269"/>
      <c r="V1332" s="269"/>
      <c r="W1332" s="269"/>
      <c r="X1332" s="269"/>
      <c r="Y1332" s="269"/>
      <c r="Z1332" s="269"/>
      <c r="AA1332" s="269"/>
      <c r="AB1332" s="269"/>
      <c r="AC1332" s="269"/>
      <c r="AD1332" s="269"/>
      <c r="AE1332" s="269"/>
      <c r="AF1332" s="269"/>
      <c r="AG1332" s="269"/>
      <c r="AH1332" s="269"/>
      <c r="AI1332" s="269"/>
      <c r="AJ1332" s="269"/>
      <c r="AK1332" s="269"/>
      <c r="AL1332" s="269"/>
      <c r="AM1332" s="269"/>
      <c r="AN1332" s="269"/>
      <c r="AO1332" s="269"/>
      <c r="AP1332" s="269"/>
      <c r="AQ1332" s="269"/>
      <c r="AR1332" s="269"/>
    </row>
    <row r="1333">
      <c r="A1333" s="410"/>
      <c r="B1333" s="410"/>
      <c r="C1333" s="410"/>
      <c r="D1333" s="410"/>
      <c r="E1333" s="410"/>
      <c r="F1333" s="410"/>
      <c r="H1333" s="269"/>
      <c r="I1333" s="269"/>
      <c r="J1333" s="269"/>
      <c r="K1333" s="269"/>
      <c r="L1333" s="269"/>
      <c r="M1333" s="269"/>
      <c r="N1333" s="269"/>
      <c r="O1333" s="269"/>
      <c r="P1333" s="269"/>
      <c r="Q1333" s="269"/>
      <c r="R1333" s="269"/>
      <c r="S1333" s="269"/>
      <c r="T1333" s="269"/>
      <c r="U1333" s="269"/>
      <c r="V1333" s="269"/>
      <c r="W1333" s="269"/>
      <c r="X1333" s="269"/>
      <c r="Y1333" s="269"/>
      <c r="Z1333" s="269"/>
      <c r="AA1333" s="269"/>
      <c r="AB1333" s="269"/>
      <c r="AC1333" s="269"/>
      <c r="AD1333" s="269"/>
      <c r="AE1333" s="269"/>
      <c r="AF1333" s="269"/>
      <c r="AG1333" s="269"/>
      <c r="AH1333" s="269"/>
      <c r="AI1333" s="269"/>
      <c r="AJ1333" s="269"/>
      <c r="AK1333" s="269"/>
      <c r="AL1333" s="269"/>
      <c r="AM1333" s="269"/>
      <c r="AN1333" s="269"/>
      <c r="AO1333" s="269"/>
      <c r="AP1333" s="269"/>
      <c r="AQ1333" s="269"/>
      <c r="AR1333" s="269"/>
    </row>
    <row r="1334">
      <c r="A1334" s="410"/>
      <c r="B1334" s="410"/>
      <c r="C1334" s="410"/>
      <c r="D1334" s="410"/>
      <c r="E1334" s="410"/>
      <c r="F1334" s="410"/>
      <c r="H1334" s="269"/>
      <c r="I1334" s="269"/>
      <c r="J1334" s="269"/>
      <c r="K1334" s="269"/>
      <c r="L1334" s="269"/>
      <c r="M1334" s="269"/>
      <c r="N1334" s="269"/>
      <c r="O1334" s="269"/>
      <c r="P1334" s="269"/>
      <c r="Q1334" s="269"/>
      <c r="R1334" s="269"/>
      <c r="S1334" s="269"/>
      <c r="T1334" s="269"/>
      <c r="U1334" s="269"/>
      <c r="V1334" s="269"/>
      <c r="W1334" s="269"/>
      <c r="X1334" s="269"/>
      <c r="Y1334" s="269"/>
      <c r="Z1334" s="269"/>
      <c r="AA1334" s="269"/>
      <c r="AB1334" s="269"/>
      <c r="AC1334" s="269"/>
      <c r="AD1334" s="269"/>
      <c r="AE1334" s="269"/>
      <c r="AF1334" s="269"/>
      <c r="AG1334" s="269"/>
      <c r="AH1334" s="269"/>
      <c r="AI1334" s="269"/>
      <c r="AJ1334" s="269"/>
      <c r="AK1334" s="269"/>
      <c r="AL1334" s="269"/>
      <c r="AM1334" s="269"/>
      <c r="AN1334" s="269"/>
      <c r="AO1334" s="269"/>
      <c r="AP1334" s="269"/>
      <c r="AQ1334" s="269"/>
      <c r="AR1334" s="269"/>
    </row>
    <row r="1335">
      <c r="A1335" s="410"/>
      <c r="B1335" s="410"/>
      <c r="C1335" s="410"/>
      <c r="D1335" s="410"/>
      <c r="E1335" s="410"/>
      <c r="F1335" s="410"/>
      <c r="H1335" s="269"/>
      <c r="I1335" s="269"/>
      <c r="J1335" s="269"/>
      <c r="K1335" s="269"/>
      <c r="L1335" s="269"/>
      <c r="M1335" s="269"/>
      <c r="N1335" s="269"/>
      <c r="O1335" s="269"/>
      <c r="P1335" s="269"/>
      <c r="Q1335" s="269"/>
      <c r="R1335" s="269"/>
      <c r="S1335" s="269"/>
      <c r="T1335" s="269"/>
      <c r="U1335" s="269"/>
      <c r="V1335" s="269"/>
      <c r="W1335" s="269"/>
      <c r="X1335" s="269"/>
      <c r="Y1335" s="269"/>
      <c r="Z1335" s="269"/>
      <c r="AA1335" s="269"/>
      <c r="AB1335" s="269"/>
      <c r="AC1335" s="269"/>
      <c r="AD1335" s="269"/>
      <c r="AE1335" s="269"/>
      <c r="AF1335" s="269"/>
      <c r="AG1335" s="269"/>
      <c r="AH1335" s="269"/>
      <c r="AI1335" s="269"/>
      <c r="AJ1335" s="269"/>
      <c r="AK1335" s="269"/>
      <c r="AL1335" s="269"/>
      <c r="AM1335" s="269"/>
      <c r="AN1335" s="269"/>
      <c r="AO1335" s="269"/>
      <c r="AP1335" s="269"/>
      <c r="AQ1335" s="269"/>
      <c r="AR1335" s="269"/>
    </row>
    <row r="1336">
      <c r="A1336" s="410"/>
      <c r="B1336" s="410"/>
      <c r="C1336" s="410"/>
      <c r="D1336" s="410"/>
      <c r="E1336" s="410"/>
      <c r="F1336" s="410"/>
      <c r="H1336" s="269"/>
      <c r="I1336" s="269"/>
      <c r="J1336" s="269"/>
      <c r="K1336" s="269"/>
      <c r="L1336" s="269"/>
      <c r="M1336" s="269"/>
      <c r="N1336" s="269"/>
      <c r="O1336" s="269"/>
      <c r="P1336" s="269"/>
      <c r="Q1336" s="269"/>
      <c r="R1336" s="269"/>
      <c r="S1336" s="269"/>
      <c r="T1336" s="269"/>
      <c r="U1336" s="269"/>
      <c r="V1336" s="269"/>
      <c r="W1336" s="269"/>
      <c r="X1336" s="269"/>
      <c r="Y1336" s="269"/>
      <c r="Z1336" s="269"/>
      <c r="AA1336" s="269"/>
      <c r="AB1336" s="269"/>
      <c r="AC1336" s="269"/>
      <c r="AD1336" s="269"/>
      <c r="AE1336" s="269"/>
      <c r="AF1336" s="269"/>
      <c r="AG1336" s="269"/>
      <c r="AH1336" s="269"/>
      <c r="AI1336" s="269"/>
      <c r="AJ1336" s="269"/>
      <c r="AK1336" s="269"/>
      <c r="AL1336" s="269"/>
      <c r="AM1336" s="269"/>
      <c r="AN1336" s="269"/>
      <c r="AO1336" s="269"/>
      <c r="AP1336" s="269"/>
      <c r="AQ1336" s="269"/>
      <c r="AR1336" s="269"/>
    </row>
    <row r="1337">
      <c r="A1337" s="410"/>
      <c r="B1337" s="410"/>
      <c r="C1337" s="410"/>
      <c r="D1337" s="410"/>
      <c r="E1337" s="410"/>
      <c r="F1337" s="410"/>
      <c r="H1337" s="269"/>
      <c r="I1337" s="269"/>
      <c r="J1337" s="269"/>
      <c r="K1337" s="269"/>
      <c r="L1337" s="269"/>
      <c r="M1337" s="269"/>
      <c r="N1337" s="269"/>
      <c r="O1337" s="269"/>
      <c r="P1337" s="269"/>
      <c r="Q1337" s="269"/>
      <c r="R1337" s="269"/>
      <c r="S1337" s="269"/>
      <c r="T1337" s="269"/>
      <c r="U1337" s="269"/>
      <c r="V1337" s="269"/>
      <c r="W1337" s="269"/>
      <c r="X1337" s="269"/>
      <c r="Y1337" s="269"/>
      <c r="Z1337" s="269"/>
      <c r="AA1337" s="269"/>
      <c r="AB1337" s="269"/>
      <c r="AC1337" s="269"/>
      <c r="AD1337" s="269"/>
      <c r="AE1337" s="269"/>
      <c r="AF1337" s="269"/>
      <c r="AG1337" s="269"/>
      <c r="AH1337" s="269"/>
      <c r="AI1337" s="269"/>
      <c r="AJ1337" s="269"/>
      <c r="AK1337" s="269"/>
      <c r="AL1337" s="269"/>
      <c r="AM1337" s="269"/>
      <c r="AN1337" s="269"/>
      <c r="AO1337" s="269"/>
      <c r="AP1337" s="269"/>
      <c r="AQ1337" s="269"/>
      <c r="AR1337" s="269"/>
    </row>
    <row r="1338">
      <c r="A1338" s="410"/>
      <c r="B1338" s="410"/>
      <c r="C1338" s="410"/>
      <c r="D1338" s="410"/>
      <c r="E1338" s="410"/>
      <c r="F1338" s="410"/>
      <c r="H1338" s="269"/>
      <c r="I1338" s="269"/>
      <c r="J1338" s="269"/>
      <c r="K1338" s="269"/>
      <c r="L1338" s="269"/>
      <c r="M1338" s="269"/>
      <c r="N1338" s="269"/>
      <c r="O1338" s="269"/>
      <c r="P1338" s="269"/>
      <c r="Q1338" s="269"/>
      <c r="R1338" s="269"/>
      <c r="S1338" s="269"/>
      <c r="T1338" s="269"/>
      <c r="U1338" s="269"/>
      <c r="V1338" s="269"/>
      <c r="W1338" s="269"/>
      <c r="X1338" s="269"/>
      <c r="Y1338" s="269"/>
      <c r="Z1338" s="269"/>
      <c r="AA1338" s="269"/>
      <c r="AB1338" s="269"/>
      <c r="AC1338" s="269"/>
      <c r="AD1338" s="269"/>
      <c r="AE1338" s="269"/>
      <c r="AF1338" s="269"/>
      <c r="AG1338" s="269"/>
      <c r="AH1338" s="269"/>
      <c r="AI1338" s="269"/>
      <c r="AJ1338" s="269"/>
      <c r="AK1338" s="269"/>
      <c r="AL1338" s="269"/>
      <c r="AM1338" s="269"/>
      <c r="AN1338" s="269"/>
      <c r="AO1338" s="269"/>
      <c r="AP1338" s="269"/>
      <c r="AQ1338" s="269"/>
      <c r="AR1338" s="269"/>
    </row>
    <row r="1339">
      <c r="A1339" s="410"/>
      <c r="B1339" s="410"/>
      <c r="C1339" s="410"/>
      <c r="D1339" s="410"/>
      <c r="E1339" s="410"/>
      <c r="F1339" s="410"/>
      <c r="H1339" s="269"/>
      <c r="I1339" s="269"/>
      <c r="J1339" s="269"/>
      <c r="K1339" s="269"/>
      <c r="L1339" s="269"/>
      <c r="M1339" s="269"/>
      <c r="N1339" s="269"/>
      <c r="O1339" s="269"/>
      <c r="P1339" s="269"/>
      <c r="Q1339" s="269"/>
      <c r="R1339" s="269"/>
      <c r="S1339" s="269"/>
      <c r="T1339" s="269"/>
      <c r="U1339" s="269"/>
      <c r="V1339" s="269"/>
      <c r="W1339" s="269"/>
      <c r="X1339" s="269"/>
      <c r="Y1339" s="269"/>
      <c r="Z1339" s="269"/>
      <c r="AA1339" s="269"/>
      <c r="AB1339" s="269"/>
      <c r="AC1339" s="269"/>
      <c r="AD1339" s="269"/>
      <c r="AE1339" s="269"/>
      <c r="AF1339" s="269"/>
      <c r="AG1339" s="269"/>
      <c r="AH1339" s="269"/>
      <c r="AI1339" s="269"/>
      <c r="AJ1339" s="269"/>
      <c r="AK1339" s="269"/>
      <c r="AL1339" s="269"/>
      <c r="AM1339" s="269"/>
      <c r="AN1339" s="269"/>
      <c r="AO1339" s="269"/>
      <c r="AP1339" s="269"/>
      <c r="AQ1339" s="269"/>
      <c r="AR1339" s="269"/>
    </row>
    <row r="1340">
      <c r="A1340" s="410"/>
      <c r="B1340" s="410"/>
      <c r="C1340" s="410"/>
      <c r="D1340" s="410"/>
      <c r="E1340" s="410"/>
      <c r="F1340" s="410"/>
      <c r="H1340" s="269"/>
      <c r="I1340" s="269"/>
      <c r="J1340" s="269"/>
      <c r="K1340" s="269"/>
      <c r="L1340" s="269"/>
      <c r="M1340" s="269"/>
      <c r="N1340" s="269"/>
      <c r="O1340" s="269"/>
      <c r="P1340" s="269"/>
      <c r="Q1340" s="269"/>
      <c r="R1340" s="269"/>
      <c r="S1340" s="269"/>
      <c r="T1340" s="269"/>
      <c r="U1340" s="269"/>
      <c r="V1340" s="269"/>
      <c r="W1340" s="269"/>
      <c r="X1340" s="269"/>
      <c r="Y1340" s="269"/>
      <c r="Z1340" s="269"/>
      <c r="AA1340" s="269"/>
      <c r="AB1340" s="269"/>
      <c r="AC1340" s="269"/>
      <c r="AD1340" s="269"/>
      <c r="AE1340" s="269"/>
      <c r="AF1340" s="269"/>
      <c r="AG1340" s="269"/>
      <c r="AH1340" s="269"/>
      <c r="AI1340" s="269"/>
      <c r="AJ1340" s="269"/>
      <c r="AK1340" s="269"/>
      <c r="AL1340" s="269"/>
      <c r="AM1340" s="269"/>
      <c r="AN1340" s="269"/>
      <c r="AO1340" s="269"/>
      <c r="AP1340" s="269"/>
      <c r="AQ1340" s="269"/>
      <c r="AR1340" s="269"/>
    </row>
    <row r="1341">
      <c r="A1341" s="410"/>
      <c r="B1341" s="410"/>
      <c r="C1341" s="410"/>
      <c r="D1341" s="410"/>
      <c r="E1341" s="410"/>
      <c r="F1341" s="410"/>
      <c r="H1341" s="269"/>
      <c r="I1341" s="269"/>
      <c r="J1341" s="269"/>
      <c r="K1341" s="269"/>
      <c r="L1341" s="269"/>
      <c r="M1341" s="269"/>
      <c r="N1341" s="269"/>
      <c r="O1341" s="269"/>
      <c r="P1341" s="269"/>
      <c r="Q1341" s="269"/>
      <c r="R1341" s="269"/>
      <c r="S1341" s="269"/>
      <c r="T1341" s="269"/>
      <c r="U1341" s="269"/>
      <c r="V1341" s="269"/>
      <c r="W1341" s="269"/>
      <c r="X1341" s="269"/>
      <c r="Y1341" s="269"/>
      <c r="Z1341" s="269"/>
      <c r="AA1341" s="269"/>
      <c r="AB1341" s="269"/>
      <c r="AC1341" s="269"/>
      <c r="AD1341" s="269"/>
      <c r="AE1341" s="269"/>
      <c r="AF1341" s="269"/>
      <c r="AG1341" s="269"/>
      <c r="AH1341" s="269"/>
      <c r="AI1341" s="269"/>
      <c r="AJ1341" s="269"/>
      <c r="AK1341" s="269"/>
      <c r="AL1341" s="269"/>
      <c r="AM1341" s="269"/>
      <c r="AN1341" s="269"/>
      <c r="AO1341" s="269"/>
      <c r="AP1341" s="269"/>
      <c r="AQ1341" s="269"/>
      <c r="AR1341" s="269"/>
    </row>
    <row r="1342">
      <c r="A1342" s="410"/>
      <c r="B1342" s="410"/>
      <c r="C1342" s="410"/>
      <c r="D1342" s="410"/>
      <c r="E1342" s="410"/>
      <c r="F1342" s="410"/>
      <c r="H1342" s="269"/>
      <c r="I1342" s="269"/>
      <c r="J1342" s="269"/>
      <c r="K1342" s="269"/>
      <c r="L1342" s="269"/>
      <c r="M1342" s="269"/>
      <c r="N1342" s="269"/>
      <c r="O1342" s="269"/>
      <c r="P1342" s="269"/>
      <c r="Q1342" s="269"/>
      <c r="R1342" s="269"/>
      <c r="S1342" s="269"/>
      <c r="T1342" s="269"/>
      <c r="U1342" s="269"/>
      <c r="V1342" s="269"/>
      <c r="W1342" s="269"/>
      <c r="X1342" s="269"/>
      <c r="Y1342" s="269"/>
      <c r="Z1342" s="269"/>
      <c r="AA1342" s="269"/>
      <c r="AB1342" s="269"/>
      <c r="AC1342" s="269"/>
      <c r="AD1342" s="269"/>
      <c r="AE1342" s="269"/>
      <c r="AF1342" s="269"/>
      <c r="AG1342" s="269"/>
      <c r="AH1342" s="269"/>
      <c r="AI1342" s="269"/>
      <c r="AJ1342" s="269"/>
      <c r="AK1342" s="269"/>
      <c r="AL1342" s="269"/>
      <c r="AM1342" s="269"/>
      <c r="AN1342" s="269"/>
      <c r="AO1342" s="269"/>
      <c r="AP1342" s="269"/>
      <c r="AQ1342" s="269"/>
      <c r="AR1342" s="269"/>
    </row>
    <row r="1343">
      <c r="A1343" s="410"/>
      <c r="B1343" s="410"/>
      <c r="C1343" s="410"/>
      <c r="D1343" s="410"/>
      <c r="E1343" s="410"/>
      <c r="F1343" s="410"/>
      <c r="H1343" s="269"/>
      <c r="I1343" s="269"/>
      <c r="J1343" s="269"/>
      <c r="K1343" s="269"/>
      <c r="L1343" s="269"/>
      <c r="M1343" s="269"/>
      <c r="N1343" s="269"/>
      <c r="O1343" s="269"/>
      <c r="P1343" s="269"/>
      <c r="Q1343" s="269"/>
      <c r="R1343" s="269"/>
      <c r="S1343" s="269"/>
      <c r="T1343" s="269"/>
      <c r="U1343" s="269"/>
      <c r="V1343" s="269"/>
      <c r="W1343" s="269"/>
      <c r="X1343" s="269"/>
      <c r="Y1343" s="269"/>
      <c r="Z1343" s="269"/>
      <c r="AA1343" s="269"/>
      <c r="AB1343" s="269"/>
      <c r="AC1343" s="269"/>
      <c r="AD1343" s="269"/>
      <c r="AE1343" s="269"/>
      <c r="AF1343" s="269"/>
      <c r="AG1343" s="269"/>
      <c r="AH1343" s="269"/>
      <c r="AI1343" s="269"/>
      <c r="AJ1343" s="269"/>
      <c r="AK1343" s="269"/>
      <c r="AL1343" s="269"/>
      <c r="AM1343" s="269"/>
      <c r="AN1343" s="269"/>
      <c r="AO1343" s="269"/>
      <c r="AP1343" s="269"/>
      <c r="AQ1343" s="269"/>
      <c r="AR1343" s="269"/>
    </row>
    <row r="1344">
      <c r="A1344" s="410"/>
      <c r="B1344" s="410"/>
      <c r="C1344" s="410"/>
      <c r="D1344" s="410"/>
      <c r="E1344" s="410"/>
      <c r="F1344" s="410"/>
      <c r="H1344" s="269"/>
      <c r="I1344" s="269"/>
      <c r="J1344" s="269"/>
      <c r="K1344" s="269"/>
      <c r="L1344" s="269"/>
      <c r="M1344" s="269"/>
      <c r="N1344" s="269"/>
      <c r="O1344" s="269"/>
      <c r="P1344" s="269"/>
      <c r="Q1344" s="269"/>
      <c r="R1344" s="269"/>
      <c r="S1344" s="269"/>
      <c r="T1344" s="269"/>
      <c r="U1344" s="269"/>
      <c r="V1344" s="269"/>
      <c r="W1344" s="269"/>
      <c r="X1344" s="269"/>
      <c r="Y1344" s="269"/>
      <c r="Z1344" s="269"/>
      <c r="AA1344" s="269"/>
      <c r="AB1344" s="269"/>
      <c r="AC1344" s="269"/>
      <c r="AD1344" s="269"/>
      <c r="AE1344" s="269"/>
      <c r="AF1344" s="269"/>
      <c r="AG1344" s="269"/>
      <c r="AH1344" s="269"/>
      <c r="AI1344" s="269"/>
      <c r="AJ1344" s="269"/>
      <c r="AK1344" s="269"/>
      <c r="AL1344" s="269"/>
      <c r="AM1344" s="269"/>
      <c r="AN1344" s="269"/>
      <c r="AO1344" s="269"/>
      <c r="AP1344" s="269"/>
      <c r="AQ1344" s="269"/>
      <c r="AR1344" s="269"/>
    </row>
    <row r="1345">
      <c r="A1345" s="410"/>
      <c r="B1345" s="410"/>
      <c r="C1345" s="410"/>
      <c r="D1345" s="410"/>
      <c r="E1345" s="410"/>
      <c r="F1345" s="410"/>
      <c r="H1345" s="269"/>
      <c r="I1345" s="269"/>
      <c r="J1345" s="269"/>
      <c r="K1345" s="269"/>
      <c r="L1345" s="269"/>
      <c r="M1345" s="269"/>
      <c r="N1345" s="269"/>
      <c r="O1345" s="269"/>
      <c r="P1345" s="269"/>
      <c r="Q1345" s="269"/>
      <c r="R1345" s="269"/>
      <c r="S1345" s="269"/>
      <c r="T1345" s="269"/>
      <c r="U1345" s="269"/>
      <c r="V1345" s="269"/>
      <c r="W1345" s="269"/>
      <c r="X1345" s="269"/>
      <c r="Y1345" s="269"/>
      <c r="Z1345" s="269"/>
      <c r="AA1345" s="269"/>
      <c r="AB1345" s="269"/>
      <c r="AC1345" s="269"/>
      <c r="AD1345" s="269"/>
      <c r="AE1345" s="269"/>
      <c r="AF1345" s="269"/>
      <c r="AG1345" s="269"/>
      <c r="AH1345" s="269"/>
      <c r="AI1345" s="269"/>
      <c r="AJ1345" s="269"/>
      <c r="AK1345" s="269"/>
      <c r="AL1345" s="269"/>
      <c r="AM1345" s="269"/>
      <c r="AN1345" s="269"/>
      <c r="AO1345" s="269"/>
      <c r="AP1345" s="269"/>
      <c r="AQ1345" s="269"/>
      <c r="AR1345" s="269"/>
    </row>
    <row r="1346">
      <c r="A1346" s="410"/>
      <c r="B1346" s="410"/>
      <c r="C1346" s="410"/>
      <c r="D1346" s="410"/>
      <c r="E1346" s="410"/>
      <c r="F1346" s="410"/>
      <c r="H1346" s="269"/>
      <c r="I1346" s="269"/>
      <c r="J1346" s="269"/>
      <c r="K1346" s="269"/>
      <c r="L1346" s="269"/>
      <c r="M1346" s="269"/>
      <c r="N1346" s="269"/>
      <c r="O1346" s="269"/>
      <c r="P1346" s="269"/>
      <c r="Q1346" s="269"/>
      <c r="R1346" s="269"/>
      <c r="S1346" s="269"/>
      <c r="T1346" s="269"/>
      <c r="U1346" s="269"/>
      <c r="V1346" s="269"/>
      <c r="W1346" s="269"/>
      <c r="X1346" s="269"/>
      <c r="Y1346" s="269"/>
      <c r="Z1346" s="269"/>
      <c r="AA1346" s="269"/>
      <c r="AB1346" s="269"/>
      <c r="AC1346" s="269"/>
      <c r="AD1346" s="269"/>
      <c r="AE1346" s="269"/>
      <c r="AF1346" s="269"/>
      <c r="AG1346" s="269"/>
      <c r="AH1346" s="269"/>
      <c r="AI1346" s="269"/>
      <c r="AJ1346" s="269"/>
      <c r="AK1346" s="269"/>
      <c r="AL1346" s="269"/>
      <c r="AM1346" s="269"/>
      <c r="AN1346" s="269"/>
      <c r="AO1346" s="269"/>
      <c r="AP1346" s="269"/>
      <c r="AQ1346" s="269"/>
      <c r="AR1346" s="269"/>
    </row>
    <row r="1347">
      <c r="A1347" s="410"/>
      <c r="B1347" s="410"/>
      <c r="C1347" s="410"/>
      <c r="D1347" s="410"/>
      <c r="E1347" s="410"/>
      <c r="F1347" s="410"/>
      <c r="H1347" s="269"/>
      <c r="I1347" s="269"/>
      <c r="J1347" s="269"/>
      <c r="K1347" s="269"/>
      <c r="L1347" s="269"/>
      <c r="M1347" s="269"/>
      <c r="N1347" s="269"/>
      <c r="O1347" s="269"/>
      <c r="P1347" s="269"/>
      <c r="Q1347" s="269"/>
      <c r="R1347" s="269"/>
      <c r="S1347" s="269"/>
      <c r="T1347" s="269"/>
      <c r="U1347" s="269"/>
      <c r="V1347" s="269"/>
      <c r="W1347" s="269"/>
      <c r="X1347" s="269"/>
      <c r="Y1347" s="269"/>
      <c r="Z1347" s="269"/>
      <c r="AA1347" s="269"/>
      <c r="AB1347" s="269"/>
      <c r="AC1347" s="269"/>
      <c r="AD1347" s="269"/>
      <c r="AE1347" s="269"/>
      <c r="AF1347" s="269"/>
      <c r="AG1347" s="269"/>
      <c r="AH1347" s="269"/>
      <c r="AI1347" s="269"/>
      <c r="AJ1347" s="269"/>
      <c r="AK1347" s="269"/>
      <c r="AL1347" s="269"/>
      <c r="AM1347" s="269"/>
      <c r="AN1347" s="269"/>
      <c r="AO1347" s="269"/>
      <c r="AP1347" s="269"/>
      <c r="AQ1347" s="269"/>
      <c r="AR1347" s="269"/>
    </row>
    <row r="1348">
      <c r="A1348" s="410"/>
      <c r="B1348" s="410"/>
      <c r="C1348" s="410"/>
      <c r="D1348" s="410"/>
      <c r="E1348" s="410"/>
      <c r="F1348" s="410"/>
      <c r="H1348" s="269"/>
      <c r="I1348" s="269"/>
      <c r="J1348" s="269"/>
      <c r="K1348" s="269"/>
      <c r="L1348" s="269"/>
      <c r="M1348" s="269"/>
      <c r="N1348" s="269"/>
      <c r="O1348" s="269"/>
      <c r="P1348" s="269"/>
      <c r="Q1348" s="269"/>
      <c r="R1348" s="269"/>
      <c r="S1348" s="269"/>
      <c r="T1348" s="269"/>
      <c r="U1348" s="269"/>
      <c r="V1348" s="269"/>
      <c r="W1348" s="269"/>
      <c r="X1348" s="269"/>
      <c r="Y1348" s="269"/>
      <c r="Z1348" s="269"/>
      <c r="AA1348" s="269"/>
      <c r="AB1348" s="269"/>
      <c r="AC1348" s="269"/>
      <c r="AD1348" s="269"/>
      <c r="AE1348" s="269"/>
      <c r="AF1348" s="269"/>
      <c r="AG1348" s="269"/>
      <c r="AH1348" s="269"/>
      <c r="AI1348" s="269"/>
      <c r="AJ1348" s="269"/>
      <c r="AK1348" s="269"/>
      <c r="AL1348" s="269"/>
      <c r="AM1348" s="269"/>
      <c r="AN1348" s="269"/>
      <c r="AO1348" s="269"/>
      <c r="AP1348" s="269"/>
      <c r="AQ1348" s="269"/>
      <c r="AR1348" s="269"/>
    </row>
    <row r="1349">
      <c r="A1349" s="410"/>
      <c r="B1349" s="410"/>
      <c r="C1349" s="410"/>
      <c r="D1349" s="410"/>
      <c r="E1349" s="410"/>
      <c r="F1349" s="410"/>
      <c r="H1349" s="269"/>
      <c r="I1349" s="269"/>
      <c r="J1349" s="269"/>
      <c r="K1349" s="269"/>
      <c r="L1349" s="269"/>
      <c r="M1349" s="269"/>
      <c r="N1349" s="269"/>
      <c r="O1349" s="269"/>
      <c r="P1349" s="269"/>
      <c r="Q1349" s="269"/>
      <c r="R1349" s="269"/>
      <c r="S1349" s="269"/>
      <c r="T1349" s="269"/>
      <c r="U1349" s="269"/>
      <c r="V1349" s="269"/>
      <c r="W1349" s="269"/>
      <c r="X1349" s="269"/>
      <c r="Y1349" s="269"/>
      <c r="Z1349" s="269"/>
      <c r="AA1349" s="269"/>
      <c r="AB1349" s="269"/>
      <c r="AC1349" s="269"/>
      <c r="AD1349" s="269"/>
      <c r="AE1349" s="269"/>
      <c r="AF1349" s="269"/>
      <c r="AG1349" s="269"/>
      <c r="AH1349" s="269"/>
      <c r="AI1349" s="269"/>
      <c r="AJ1349" s="269"/>
      <c r="AK1349" s="269"/>
      <c r="AL1349" s="269"/>
      <c r="AM1349" s="269"/>
      <c r="AN1349" s="269"/>
      <c r="AO1349" s="269"/>
      <c r="AP1349" s="269"/>
      <c r="AQ1349" s="269"/>
      <c r="AR1349" s="269"/>
    </row>
    <row r="1350">
      <c r="A1350" s="410"/>
      <c r="B1350" s="410"/>
      <c r="C1350" s="410"/>
      <c r="D1350" s="410"/>
      <c r="E1350" s="410"/>
      <c r="F1350" s="410"/>
      <c r="H1350" s="269"/>
      <c r="I1350" s="269"/>
      <c r="J1350" s="269"/>
      <c r="K1350" s="269"/>
      <c r="L1350" s="269"/>
      <c r="M1350" s="269"/>
      <c r="N1350" s="269"/>
      <c r="O1350" s="269"/>
      <c r="P1350" s="269"/>
      <c r="Q1350" s="269"/>
      <c r="R1350" s="269"/>
      <c r="S1350" s="269"/>
      <c r="T1350" s="269"/>
      <c r="U1350" s="269"/>
      <c r="V1350" s="269"/>
      <c r="W1350" s="269"/>
      <c r="X1350" s="269"/>
      <c r="Y1350" s="269"/>
      <c r="Z1350" s="269"/>
      <c r="AA1350" s="269"/>
      <c r="AB1350" s="269"/>
      <c r="AC1350" s="269"/>
      <c r="AD1350" s="269"/>
      <c r="AE1350" s="269"/>
      <c r="AF1350" s="269"/>
      <c r="AG1350" s="269"/>
      <c r="AH1350" s="269"/>
      <c r="AI1350" s="269"/>
      <c r="AJ1350" s="269"/>
      <c r="AK1350" s="269"/>
      <c r="AL1350" s="269"/>
      <c r="AM1350" s="269"/>
      <c r="AN1350" s="269"/>
      <c r="AO1350" s="269"/>
      <c r="AP1350" s="269"/>
      <c r="AQ1350" s="269"/>
      <c r="AR1350" s="269"/>
    </row>
    <row r="1351">
      <c r="A1351" s="410"/>
      <c r="B1351" s="410"/>
      <c r="C1351" s="410"/>
      <c r="D1351" s="410"/>
      <c r="E1351" s="410"/>
      <c r="F1351" s="410"/>
      <c r="H1351" s="269"/>
      <c r="I1351" s="269"/>
      <c r="J1351" s="269"/>
      <c r="K1351" s="269"/>
      <c r="L1351" s="269"/>
      <c r="M1351" s="269"/>
      <c r="N1351" s="269"/>
      <c r="O1351" s="269"/>
      <c r="P1351" s="269"/>
      <c r="Q1351" s="269"/>
      <c r="R1351" s="269"/>
      <c r="S1351" s="269"/>
      <c r="T1351" s="269"/>
      <c r="U1351" s="269"/>
      <c r="V1351" s="269"/>
      <c r="W1351" s="269"/>
      <c r="X1351" s="269"/>
      <c r="Y1351" s="269"/>
      <c r="Z1351" s="269"/>
      <c r="AA1351" s="269"/>
      <c r="AB1351" s="269"/>
      <c r="AC1351" s="269"/>
      <c r="AD1351" s="269"/>
      <c r="AE1351" s="269"/>
      <c r="AF1351" s="269"/>
      <c r="AG1351" s="269"/>
      <c r="AH1351" s="269"/>
      <c r="AI1351" s="269"/>
      <c r="AJ1351" s="269"/>
      <c r="AK1351" s="269"/>
      <c r="AL1351" s="269"/>
      <c r="AM1351" s="269"/>
      <c r="AN1351" s="269"/>
      <c r="AO1351" s="269"/>
      <c r="AP1351" s="269"/>
      <c r="AQ1351" s="269"/>
      <c r="AR1351" s="269"/>
    </row>
    <row r="1352">
      <c r="A1352" s="410"/>
      <c r="B1352" s="410"/>
      <c r="C1352" s="410"/>
      <c r="D1352" s="410"/>
      <c r="E1352" s="410"/>
      <c r="F1352" s="410"/>
      <c r="H1352" s="269"/>
      <c r="I1352" s="269"/>
      <c r="J1352" s="269"/>
      <c r="K1352" s="269"/>
      <c r="L1352" s="269"/>
      <c r="M1352" s="269"/>
      <c r="N1352" s="269"/>
      <c r="O1352" s="269"/>
      <c r="P1352" s="269"/>
      <c r="Q1352" s="269"/>
      <c r="R1352" s="269"/>
      <c r="S1352" s="269"/>
      <c r="T1352" s="269"/>
      <c r="U1352" s="269"/>
      <c r="V1352" s="269"/>
      <c r="W1352" s="269"/>
      <c r="X1352" s="269"/>
      <c r="Y1352" s="269"/>
      <c r="Z1352" s="269"/>
      <c r="AA1352" s="269"/>
      <c r="AB1352" s="269"/>
      <c r="AC1352" s="269"/>
      <c r="AD1352" s="269"/>
      <c r="AE1352" s="269"/>
      <c r="AF1352" s="269"/>
      <c r="AG1352" s="269"/>
      <c r="AH1352" s="269"/>
      <c r="AI1352" s="269"/>
      <c r="AJ1352" s="269"/>
      <c r="AK1352" s="269"/>
      <c r="AL1352" s="269"/>
      <c r="AM1352" s="269"/>
      <c r="AN1352" s="269"/>
      <c r="AO1352" s="269"/>
      <c r="AP1352" s="269"/>
      <c r="AQ1352" s="269"/>
      <c r="AR1352" s="269"/>
    </row>
    <row r="1353">
      <c r="A1353" s="410"/>
      <c r="B1353" s="410"/>
      <c r="C1353" s="410"/>
      <c r="D1353" s="410"/>
      <c r="E1353" s="410"/>
      <c r="F1353" s="410"/>
      <c r="H1353" s="269"/>
      <c r="I1353" s="269"/>
      <c r="J1353" s="269"/>
      <c r="K1353" s="269"/>
      <c r="L1353" s="269"/>
      <c r="M1353" s="269"/>
      <c r="N1353" s="269"/>
      <c r="O1353" s="269"/>
      <c r="P1353" s="269"/>
      <c r="Q1353" s="269"/>
      <c r="R1353" s="269"/>
      <c r="S1353" s="269"/>
      <c r="T1353" s="269"/>
      <c r="U1353" s="269"/>
      <c r="V1353" s="269"/>
      <c r="W1353" s="269"/>
      <c r="X1353" s="269"/>
      <c r="Y1353" s="269"/>
      <c r="Z1353" s="269"/>
      <c r="AA1353" s="269"/>
      <c r="AB1353" s="269"/>
      <c r="AC1353" s="269"/>
      <c r="AD1353" s="269"/>
      <c r="AE1353" s="269"/>
      <c r="AF1353" s="269"/>
      <c r="AG1353" s="269"/>
      <c r="AH1353" s="269"/>
      <c r="AI1353" s="269"/>
      <c r="AJ1353" s="269"/>
      <c r="AK1353" s="269"/>
      <c r="AL1353" s="269"/>
      <c r="AM1353" s="269"/>
      <c r="AN1353" s="269"/>
      <c r="AO1353" s="269"/>
      <c r="AP1353" s="269"/>
      <c r="AQ1353" s="269"/>
      <c r="AR1353" s="269"/>
    </row>
    <row r="1354">
      <c r="A1354" s="410"/>
      <c r="B1354" s="410"/>
      <c r="C1354" s="410"/>
      <c r="D1354" s="410"/>
      <c r="E1354" s="410"/>
      <c r="F1354" s="410"/>
      <c r="H1354" s="269"/>
      <c r="I1354" s="269"/>
      <c r="J1354" s="269"/>
      <c r="K1354" s="269"/>
      <c r="L1354" s="269"/>
      <c r="M1354" s="269"/>
      <c r="N1354" s="269"/>
      <c r="O1354" s="269"/>
      <c r="P1354" s="269"/>
      <c r="Q1354" s="269"/>
      <c r="R1354" s="269"/>
      <c r="S1354" s="269"/>
      <c r="T1354" s="269"/>
      <c r="U1354" s="269"/>
      <c r="V1354" s="269"/>
      <c r="W1354" s="269"/>
      <c r="X1354" s="269"/>
      <c r="Y1354" s="269"/>
      <c r="Z1354" s="269"/>
      <c r="AA1354" s="269"/>
      <c r="AB1354" s="269"/>
      <c r="AC1354" s="269"/>
      <c r="AD1354" s="269"/>
      <c r="AE1354" s="269"/>
      <c r="AF1354" s="269"/>
      <c r="AG1354" s="269"/>
      <c r="AH1354" s="269"/>
      <c r="AI1354" s="269"/>
      <c r="AJ1354" s="269"/>
      <c r="AK1354" s="269"/>
      <c r="AL1354" s="269"/>
      <c r="AM1354" s="269"/>
      <c r="AN1354" s="269"/>
      <c r="AO1354" s="269"/>
      <c r="AP1354" s="269"/>
      <c r="AQ1354" s="269"/>
      <c r="AR1354" s="269"/>
    </row>
    <row r="1355">
      <c r="A1355" s="410"/>
      <c r="B1355" s="410"/>
      <c r="C1355" s="410"/>
      <c r="D1355" s="410"/>
      <c r="E1355" s="410"/>
      <c r="F1355" s="410"/>
      <c r="H1355" s="269"/>
      <c r="I1355" s="269"/>
      <c r="J1355" s="269"/>
      <c r="K1355" s="269"/>
      <c r="L1355" s="269"/>
      <c r="M1355" s="269"/>
      <c r="N1355" s="269"/>
      <c r="O1355" s="269"/>
      <c r="P1355" s="269"/>
      <c r="Q1355" s="269"/>
      <c r="R1355" s="269"/>
      <c r="S1355" s="269"/>
      <c r="T1355" s="269"/>
      <c r="U1355" s="269"/>
      <c r="V1355" s="269"/>
      <c r="W1355" s="269"/>
      <c r="X1355" s="269"/>
      <c r="Y1355" s="269"/>
      <c r="Z1355" s="269"/>
      <c r="AA1355" s="269"/>
      <c r="AB1355" s="269"/>
      <c r="AC1355" s="269"/>
      <c r="AD1355" s="269"/>
      <c r="AE1355" s="269"/>
      <c r="AF1355" s="269"/>
      <c r="AG1355" s="269"/>
      <c r="AH1355" s="269"/>
      <c r="AI1355" s="269"/>
      <c r="AJ1355" s="269"/>
      <c r="AK1355" s="269"/>
      <c r="AL1355" s="269"/>
      <c r="AM1355" s="269"/>
      <c r="AN1355" s="269"/>
      <c r="AO1355" s="269"/>
      <c r="AP1355" s="269"/>
      <c r="AQ1355" s="269"/>
      <c r="AR1355" s="269"/>
    </row>
    <row r="1356">
      <c r="A1356" s="410"/>
      <c r="B1356" s="410"/>
      <c r="C1356" s="410"/>
      <c r="D1356" s="410"/>
      <c r="E1356" s="410"/>
      <c r="F1356" s="410"/>
      <c r="H1356" s="269"/>
      <c r="I1356" s="269"/>
      <c r="J1356" s="269"/>
      <c r="K1356" s="269"/>
      <c r="L1356" s="269"/>
      <c r="M1356" s="269"/>
      <c r="N1356" s="269"/>
      <c r="O1356" s="269"/>
      <c r="P1356" s="269"/>
      <c r="Q1356" s="269"/>
      <c r="R1356" s="269"/>
      <c r="S1356" s="269"/>
      <c r="T1356" s="269"/>
      <c r="U1356" s="269"/>
      <c r="V1356" s="269"/>
      <c r="W1356" s="269"/>
      <c r="X1356" s="269"/>
      <c r="Y1356" s="269"/>
      <c r="Z1356" s="269"/>
      <c r="AA1356" s="269"/>
      <c r="AB1356" s="269"/>
      <c r="AC1356" s="269"/>
      <c r="AD1356" s="269"/>
      <c r="AE1356" s="269"/>
      <c r="AF1356" s="269"/>
      <c r="AG1356" s="269"/>
      <c r="AH1356" s="269"/>
      <c r="AI1356" s="269"/>
      <c r="AJ1356" s="269"/>
      <c r="AK1356" s="269"/>
      <c r="AL1356" s="269"/>
      <c r="AM1356" s="269"/>
      <c r="AN1356" s="269"/>
      <c r="AO1356" s="269"/>
      <c r="AP1356" s="269"/>
      <c r="AQ1356" s="269"/>
      <c r="AR1356" s="269"/>
    </row>
    <row r="1357">
      <c r="A1357" s="410"/>
      <c r="B1357" s="410"/>
      <c r="C1357" s="410"/>
      <c r="D1357" s="410"/>
      <c r="E1357" s="410"/>
      <c r="F1357" s="410"/>
      <c r="H1357" s="269"/>
      <c r="I1357" s="269"/>
      <c r="J1357" s="269"/>
      <c r="K1357" s="269"/>
      <c r="L1357" s="269"/>
      <c r="M1357" s="269"/>
      <c r="N1357" s="269"/>
      <c r="O1357" s="269"/>
      <c r="P1357" s="269"/>
      <c r="Q1357" s="269"/>
      <c r="R1357" s="269"/>
      <c r="S1357" s="269"/>
      <c r="T1357" s="269"/>
      <c r="U1357" s="269"/>
      <c r="V1357" s="269"/>
      <c r="W1357" s="269"/>
      <c r="X1357" s="269"/>
      <c r="Y1357" s="269"/>
      <c r="Z1357" s="269"/>
      <c r="AA1357" s="269"/>
      <c r="AB1357" s="269"/>
      <c r="AC1357" s="269"/>
      <c r="AD1357" s="269"/>
      <c r="AE1357" s="269"/>
      <c r="AF1357" s="269"/>
      <c r="AG1357" s="269"/>
      <c r="AH1357" s="269"/>
      <c r="AI1357" s="269"/>
      <c r="AJ1357" s="269"/>
      <c r="AK1357" s="269"/>
      <c r="AL1357" s="269"/>
      <c r="AM1357" s="269"/>
      <c r="AN1357" s="269"/>
      <c r="AO1357" s="269"/>
      <c r="AP1357" s="269"/>
      <c r="AQ1357" s="269"/>
      <c r="AR1357" s="269"/>
    </row>
    <row r="1358">
      <c r="A1358" s="410"/>
      <c r="B1358" s="410"/>
      <c r="C1358" s="410"/>
      <c r="D1358" s="410"/>
      <c r="E1358" s="410"/>
      <c r="F1358" s="410"/>
      <c r="H1358" s="269"/>
      <c r="I1358" s="269"/>
      <c r="J1358" s="269"/>
      <c r="K1358" s="269"/>
      <c r="L1358" s="269"/>
      <c r="M1358" s="269"/>
      <c r="N1358" s="269"/>
      <c r="O1358" s="269"/>
      <c r="P1358" s="269"/>
      <c r="Q1358" s="269"/>
      <c r="R1358" s="269"/>
      <c r="S1358" s="269"/>
      <c r="T1358" s="269"/>
      <c r="U1358" s="269"/>
      <c r="V1358" s="269"/>
      <c r="W1358" s="269"/>
      <c r="X1358" s="269"/>
      <c r="Y1358" s="269"/>
      <c r="Z1358" s="269"/>
      <c r="AA1358" s="269"/>
      <c r="AB1358" s="269"/>
      <c r="AC1358" s="269"/>
      <c r="AD1358" s="269"/>
      <c r="AE1358" s="269"/>
      <c r="AF1358" s="269"/>
      <c r="AG1358" s="269"/>
      <c r="AH1358" s="269"/>
      <c r="AI1358" s="269"/>
      <c r="AJ1358" s="269"/>
      <c r="AK1358" s="269"/>
      <c r="AL1358" s="269"/>
      <c r="AM1358" s="269"/>
      <c r="AN1358" s="269"/>
      <c r="AO1358" s="269"/>
      <c r="AP1358" s="269"/>
      <c r="AQ1358" s="269"/>
      <c r="AR1358" s="269"/>
    </row>
    <row r="1359">
      <c r="A1359" s="410"/>
      <c r="B1359" s="410"/>
      <c r="C1359" s="410"/>
      <c r="D1359" s="410"/>
      <c r="E1359" s="410"/>
      <c r="F1359" s="410"/>
      <c r="H1359" s="269"/>
      <c r="I1359" s="269"/>
      <c r="J1359" s="269"/>
      <c r="K1359" s="269"/>
      <c r="L1359" s="269"/>
      <c r="M1359" s="269"/>
      <c r="N1359" s="269"/>
      <c r="O1359" s="269"/>
      <c r="P1359" s="269"/>
      <c r="Q1359" s="269"/>
      <c r="R1359" s="269"/>
      <c r="S1359" s="269"/>
      <c r="T1359" s="269"/>
      <c r="U1359" s="269"/>
      <c r="V1359" s="269"/>
      <c r="W1359" s="269"/>
      <c r="X1359" s="269"/>
      <c r="Y1359" s="269"/>
      <c r="Z1359" s="269"/>
      <c r="AA1359" s="269"/>
      <c r="AB1359" s="269"/>
      <c r="AC1359" s="269"/>
      <c r="AD1359" s="269"/>
      <c r="AE1359" s="269"/>
      <c r="AF1359" s="269"/>
      <c r="AG1359" s="269"/>
      <c r="AH1359" s="269"/>
      <c r="AI1359" s="269"/>
      <c r="AJ1359" s="269"/>
      <c r="AK1359" s="269"/>
      <c r="AL1359" s="269"/>
      <c r="AM1359" s="269"/>
      <c r="AN1359" s="269"/>
      <c r="AO1359" s="269"/>
      <c r="AP1359" s="269"/>
      <c r="AQ1359" s="269"/>
      <c r="AR1359" s="269"/>
    </row>
    <row r="1360">
      <c r="A1360" s="410"/>
      <c r="B1360" s="410"/>
      <c r="C1360" s="410"/>
      <c r="D1360" s="410"/>
      <c r="E1360" s="410"/>
      <c r="F1360" s="410"/>
      <c r="H1360" s="269"/>
      <c r="I1360" s="269"/>
      <c r="J1360" s="269"/>
      <c r="K1360" s="269"/>
      <c r="L1360" s="269"/>
      <c r="M1360" s="269"/>
      <c r="N1360" s="269"/>
      <c r="O1360" s="269"/>
      <c r="P1360" s="269"/>
      <c r="Q1360" s="269"/>
      <c r="R1360" s="269"/>
      <c r="S1360" s="269"/>
      <c r="T1360" s="269"/>
      <c r="U1360" s="269"/>
      <c r="V1360" s="269"/>
      <c r="W1360" s="269"/>
      <c r="X1360" s="269"/>
      <c r="Y1360" s="269"/>
      <c r="Z1360" s="269"/>
      <c r="AA1360" s="269"/>
      <c r="AB1360" s="269"/>
      <c r="AC1360" s="269"/>
      <c r="AD1360" s="269"/>
      <c r="AE1360" s="269"/>
      <c r="AF1360" s="269"/>
      <c r="AG1360" s="269"/>
      <c r="AH1360" s="269"/>
      <c r="AI1360" s="269"/>
      <c r="AJ1360" s="269"/>
      <c r="AK1360" s="269"/>
      <c r="AL1360" s="269"/>
      <c r="AM1360" s="269"/>
      <c r="AN1360" s="269"/>
      <c r="AO1360" s="269"/>
      <c r="AP1360" s="269"/>
      <c r="AQ1360" s="269"/>
      <c r="AR1360" s="269"/>
    </row>
    <row r="1361">
      <c r="A1361" s="410"/>
      <c r="B1361" s="410"/>
      <c r="C1361" s="410"/>
      <c r="D1361" s="410"/>
      <c r="E1361" s="410"/>
      <c r="F1361" s="410"/>
      <c r="H1361" s="269"/>
      <c r="I1361" s="269"/>
      <c r="J1361" s="269"/>
      <c r="K1361" s="269"/>
      <c r="L1361" s="269"/>
      <c r="M1361" s="269"/>
      <c r="N1361" s="269"/>
      <c r="O1361" s="269"/>
      <c r="P1361" s="269"/>
      <c r="Q1361" s="269"/>
      <c r="R1361" s="269"/>
      <c r="S1361" s="269"/>
      <c r="T1361" s="269"/>
      <c r="U1361" s="269"/>
      <c r="V1361" s="269"/>
      <c r="W1361" s="269"/>
      <c r="X1361" s="269"/>
      <c r="Y1361" s="269"/>
      <c r="Z1361" s="269"/>
      <c r="AA1361" s="269"/>
      <c r="AB1361" s="269"/>
      <c r="AC1361" s="269"/>
      <c r="AD1361" s="269"/>
      <c r="AE1361" s="269"/>
      <c r="AF1361" s="269"/>
      <c r="AG1361" s="269"/>
      <c r="AH1361" s="269"/>
      <c r="AI1361" s="269"/>
      <c r="AJ1361" s="269"/>
      <c r="AK1361" s="269"/>
      <c r="AL1361" s="269"/>
      <c r="AM1361" s="269"/>
      <c r="AN1361" s="269"/>
      <c r="AO1361" s="269"/>
      <c r="AP1361" s="269"/>
      <c r="AQ1361" s="269"/>
      <c r="AR1361" s="269"/>
    </row>
    <row r="1362">
      <c r="A1362" s="410"/>
      <c r="B1362" s="410"/>
      <c r="C1362" s="410"/>
      <c r="D1362" s="410"/>
      <c r="E1362" s="410"/>
      <c r="F1362" s="410"/>
      <c r="H1362" s="269"/>
      <c r="I1362" s="269"/>
      <c r="J1362" s="269"/>
      <c r="K1362" s="269"/>
      <c r="L1362" s="269"/>
      <c r="M1362" s="269"/>
      <c r="N1362" s="269"/>
      <c r="O1362" s="269"/>
      <c r="P1362" s="269"/>
      <c r="Q1362" s="269"/>
      <c r="R1362" s="269"/>
      <c r="S1362" s="269"/>
      <c r="T1362" s="269"/>
      <c r="U1362" s="269"/>
      <c r="V1362" s="269"/>
      <c r="W1362" s="269"/>
      <c r="X1362" s="269"/>
      <c r="Y1362" s="269"/>
      <c r="Z1362" s="269"/>
      <c r="AA1362" s="269"/>
      <c r="AB1362" s="269"/>
      <c r="AC1362" s="269"/>
      <c r="AD1362" s="269"/>
      <c r="AE1362" s="269"/>
      <c r="AF1362" s="269"/>
      <c r="AG1362" s="269"/>
      <c r="AH1362" s="269"/>
      <c r="AI1362" s="269"/>
      <c r="AJ1362" s="269"/>
      <c r="AK1362" s="269"/>
      <c r="AL1362" s="269"/>
      <c r="AM1362" s="269"/>
      <c r="AN1362" s="269"/>
      <c r="AO1362" s="269"/>
      <c r="AP1362" s="269"/>
      <c r="AQ1362" s="269"/>
      <c r="AR1362" s="269"/>
    </row>
    <row r="1363">
      <c r="A1363" s="410"/>
      <c r="B1363" s="410"/>
      <c r="C1363" s="410"/>
      <c r="D1363" s="410"/>
      <c r="E1363" s="410"/>
      <c r="F1363" s="410"/>
      <c r="H1363" s="269"/>
      <c r="I1363" s="269"/>
      <c r="J1363" s="269"/>
      <c r="K1363" s="269"/>
      <c r="L1363" s="269"/>
      <c r="M1363" s="269"/>
      <c r="N1363" s="269"/>
      <c r="O1363" s="269"/>
      <c r="P1363" s="269"/>
      <c r="Q1363" s="269"/>
      <c r="R1363" s="269"/>
      <c r="S1363" s="269"/>
      <c r="T1363" s="269"/>
      <c r="U1363" s="269"/>
      <c r="V1363" s="269"/>
      <c r="W1363" s="269"/>
      <c r="X1363" s="269"/>
      <c r="Y1363" s="269"/>
      <c r="Z1363" s="269"/>
      <c r="AA1363" s="269"/>
      <c r="AB1363" s="269"/>
      <c r="AC1363" s="269"/>
      <c r="AD1363" s="269"/>
      <c r="AE1363" s="269"/>
      <c r="AF1363" s="269"/>
      <c r="AG1363" s="269"/>
      <c r="AH1363" s="269"/>
      <c r="AI1363" s="269"/>
      <c r="AJ1363" s="269"/>
      <c r="AK1363" s="269"/>
      <c r="AL1363" s="269"/>
      <c r="AM1363" s="269"/>
      <c r="AN1363" s="269"/>
      <c r="AO1363" s="269"/>
      <c r="AP1363" s="269"/>
      <c r="AQ1363" s="269"/>
      <c r="AR1363" s="269"/>
    </row>
    <row r="1364">
      <c r="A1364" s="410"/>
      <c r="B1364" s="410"/>
      <c r="C1364" s="410"/>
      <c r="D1364" s="410"/>
      <c r="E1364" s="410"/>
      <c r="F1364" s="410"/>
      <c r="H1364" s="269"/>
      <c r="I1364" s="269"/>
      <c r="J1364" s="269"/>
      <c r="K1364" s="269"/>
      <c r="L1364" s="269"/>
      <c r="M1364" s="269"/>
      <c r="N1364" s="269"/>
      <c r="O1364" s="269"/>
      <c r="P1364" s="269"/>
      <c r="Q1364" s="269"/>
      <c r="R1364" s="269"/>
      <c r="S1364" s="269"/>
      <c r="T1364" s="269"/>
      <c r="U1364" s="269"/>
      <c r="V1364" s="269"/>
      <c r="W1364" s="269"/>
      <c r="X1364" s="269"/>
      <c r="Y1364" s="269"/>
      <c r="Z1364" s="269"/>
      <c r="AA1364" s="269"/>
      <c r="AB1364" s="269"/>
      <c r="AC1364" s="269"/>
      <c r="AD1364" s="269"/>
      <c r="AE1364" s="269"/>
      <c r="AF1364" s="269"/>
      <c r="AG1364" s="269"/>
      <c r="AH1364" s="269"/>
      <c r="AI1364" s="269"/>
      <c r="AJ1364" s="269"/>
      <c r="AK1364" s="269"/>
      <c r="AL1364" s="269"/>
      <c r="AM1364" s="269"/>
      <c r="AN1364" s="269"/>
      <c r="AO1364" s="269"/>
      <c r="AP1364" s="269"/>
      <c r="AQ1364" s="269"/>
      <c r="AR1364" s="269"/>
    </row>
    <row r="1365">
      <c r="A1365" s="410"/>
      <c r="B1365" s="410"/>
      <c r="C1365" s="410"/>
      <c r="D1365" s="410"/>
      <c r="E1365" s="410"/>
      <c r="F1365" s="410"/>
      <c r="H1365" s="269"/>
      <c r="I1365" s="269"/>
      <c r="J1365" s="269"/>
      <c r="K1365" s="269"/>
      <c r="L1365" s="269"/>
      <c r="M1365" s="269"/>
      <c r="N1365" s="269"/>
      <c r="O1365" s="269"/>
      <c r="P1365" s="269"/>
      <c r="Q1365" s="269"/>
      <c r="R1365" s="269"/>
      <c r="S1365" s="269"/>
      <c r="T1365" s="269"/>
      <c r="U1365" s="269"/>
      <c r="V1365" s="269"/>
      <c r="W1365" s="269"/>
      <c r="X1365" s="269"/>
      <c r="Y1365" s="269"/>
      <c r="Z1365" s="269"/>
      <c r="AA1365" s="269"/>
      <c r="AB1365" s="269"/>
      <c r="AC1365" s="269"/>
      <c r="AD1365" s="269"/>
      <c r="AE1365" s="269"/>
      <c r="AF1365" s="269"/>
      <c r="AG1365" s="269"/>
      <c r="AH1365" s="269"/>
      <c r="AI1365" s="269"/>
      <c r="AJ1365" s="269"/>
      <c r="AK1365" s="269"/>
      <c r="AL1365" s="269"/>
      <c r="AM1365" s="269"/>
      <c r="AN1365" s="269"/>
      <c r="AO1365" s="269"/>
      <c r="AP1365" s="269"/>
      <c r="AQ1365" s="269"/>
      <c r="AR1365" s="269"/>
    </row>
    <row r="1366">
      <c r="A1366" s="410"/>
      <c r="B1366" s="410"/>
      <c r="C1366" s="410"/>
      <c r="D1366" s="410"/>
      <c r="E1366" s="410"/>
      <c r="F1366" s="410"/>
      <c r="H1366" s="269"/>
      <c r="I1366" s="269"/>
      <c r="J1366" s="269"/>
      <c r="K1366" s="269"/>
      <c r="L1366" s="269"/>
      <c r="M1366" s="269"/>
      <c r="N1366" s="269"/>
      <c r="O1366" s="269"/>
      <c r="P1366" s="269"/>
      <c r="Q1366" s="269"/>
      <c r="R1366" s="269"/>
      <c r="S1366" s="269"/>
      <c r="T1366" s="269"/>
      <c r="U1366" s="269"/>
      <c r="V1366" s="269"/>
      <c r="W1366" s="269"/>
      <c r="X1366" s="269"/>
      <c r="Y1366" s="269"/>
      <c r="Z1366" s="269"/>
      <c r="AA1366" s="269"/>
      <c r="AB1366" s="269"/>
      <c r="AC1366" s="269"/>
      <c r="AD1366" s="269"/>
      <c r="AE1366" s="269"/>
      <c r="AF1366" s="269"/>
      <c r="AG1366" s="269"/>
      <c r="AH1366" s="269"/>
      <c r="AI1366" s="269"/>
      <c r="AJ1366" s="269"/>
      <c r="AK1366" s="269"/>
      <c r="AL1366" s="269"/>
      <c r="AM1366" s="269"/>
      <c r="AN1366" s="269"/>
      <c r="AO1366" s="269"/>
      <c r="AP1366" s="269"/>
      <c r="AQ1366" s="269"/>
      <c r="AR1366" s="269"/>
    </row>
    <row r="1367">
      <c r="A1367" s="410"/>
      <c r="B1367" s="410"/>
      <c r="C1367" s="410"/>
      <c r="D1367" s="410"/>
      <c r="E1367" s="410"/>
      <c r="F1367" s="410"/>
      <c r="H1367" s="269"/>
      <c r="I1367" s="269"/>
      <c r="J1367" s="269"/>
      <c r="K1367" s="269"/>
      <c r="L1367" s="269"/>
      <c r="M1367" s="269"/>
      <c r="N1367" s="269"/>
      <c r="O1367" s="269"/>
      <c r="P1367" s="269"/>
      <c r="Q1367" s="269"/>
      <c r="R1367" s="269"/>
      <c r="S1367" s="269"/>
      <c r="T1367" s="269"/>
      <c r="U1367" s="269"/>
      <c r="V1367" s="269"/>
      <c r="W1367" s="269"/>
      <c r="X1367" s="269"/>
      <c r="Y1367" s="269"/>
      <c r="Z1367" s="269"/>
      <c r="AA1367" s="269"/>
      <c r="AB1367" s="269"/>
      <c r="AC1367" s="269"/>
      <c r="AD1367" s="269"/>
      <c r="AE1367" s="269"/>
      <c r="AF1367" s="269"/>
      <c r="AG1367" s="269"/>
      <c r="AH1367" s="269"/>
      <c r="AI1367" s="269"/>
      <c r="AJ1367" s="269"/>
      <c r="AK1367" s="269"/>
      <c r="AL1367" s="269"/>
      <c r="AM1367" s="269"/>
      <c r="AN1367" s="269"/>
      <c r="AO1367" s="269"/>
      <c r="AP1367" s="269"/>
      <c r="AQ1367" s="269"/>
      <c r="AR1367" s="269"/>
    </row>
    <row r="1368">
      <c r="A1368" s="410"/>
      <c r="B1368" s="410"/>
      <c r="C1368" s="410"/>
      <c r="D1368" s="410"/>
      <c r="E1368" s="410"/>
      <c r="F1368" s="410"/>
      <c r="H1368" s="269"/>
      <c r="I1368" s="269"/>
      <c r="J1368" s="269"/>
      <c r="K1368" s="269"/>
      <c r="L1368" s="269"/>
      <c r="M1368" s="269"/>
      <c r="N1368" s="269"/>
      <c r="O1368" s="269"/>
      <c r="P1368" s="269"/>
      <c r="Q1368" s="269"/>
      <c r="R1368" s="269"/>
      <c r="S1368" s="269"/>
      <c r="T1368" s="269"/>
      <c r="U1368" s="269"/>
      <c r="V1368" s="269"/>
      <c r="W1368" s="269"/>
      <c r="X1368" s="269"/>
      <c r="Y1368" s="269"/>
      <c r="Z1368" s="269"/>
      <c r="AA1368" s="269"/>
      <c r="AB1368" s="269"/>
      <c r="AC1368" s="269"/>
      <c r="AD1368" s="269"/>
      <c r="AE1368" s="269"/>
      <c r="AF1368" s="269"/>
      <c r="AG1368" s="269"/>
      <c r="AH1368" s="269"/>
      <c r="AI1368" s="269"/>
      <c r="AJ1368" s="269"/>
      <c r="AK1368" s="269"/>
      <c r="AL1368" s="269"/>
      <c r="AM1368" s="269"/>
      <c r="AN1368" s="269"/>
      <c r="AO1368" s="269"/>
      <c r="AP1368" s="269"/>
      <c r="AQ1368" s="269"/>
      <c r="AR1368" s="269"/>
    </row>
    <row r="1369">
      <c r="A1369" s="410"/>
      <c r="B1369" s="410"/>
      <c r="C1369" s="410"/>
      <c r="D1369" s="410"/>
      <c r="E1369" s="410"/>
      <c r="F1369" s="410"/>
      <c r="H1369" s="269"/>
      <c r="I1369" s="269"/>
      <c r="J1369" s="269"/>
      <c r="K1369" s="269"/>
      <c r="L1369" s="269"/>
      <c r="M1369" s="269"/>
      <c r="N1369" s="269"/>
      <c r="O1369" s="269"/>
      <c r="P1369" s="269"/>
      <c r="Q1369" s="269"/>
      <c r="R1369" s="269"/>
      <c r="S1369" s="269"/>
      <c r="T1369" s="269"/>
      <c r="U1369" s="269"/>
      <c r="V1369" s="269"/>
      <c r="W1369" s="269"/>
      <c r="X1369" s="269"/>
      <c r="Y1369" s="269"/>
      <c r="Z1369" s="269"/>
      <c r="AA1369" s="269"/>
      <c r="AB1369" s="269"/>
      <c r="AC1369" s="269"/>
      <c r="AD1369" s="269"/>
      <c r="AE1369" s="269"/>
      <c r="AF1369" s="269"/>
      <c r="AG1369" s="269"/>
      <c r="AH1369" s="269"/>
      <c r="AI1369" s="269"/>
      <c r="AJ1369" s="269"/>
      <c r="AK1369" s="269"/>
      <c r="AL1369" s="269"/>
      <c r="AM1369" s="269"/>
      <c r="AN1369" s="269"/>
      <c r="AO1369" s="269"/>
      <c r="AP1369" s="269"/>
      <c r="AQ1369" s="269"/>
      <c r="AR1369" s="269"/>
    </row>
    <row r="1370">
      <c r="A1370" s="410"/>
      <c r="B1370" s="410"/>
      <c r="C1370" s="410"/>
      <c r="D1370" s="410"/>
      <c r="E1370" s="410"/>
      <c r="F1370" s="410"/>
      <c r="H1370" s="269"/>
      <c r="I1370" s="269"/>
      <c r="J1370" s="269"/>
      <c r="K1370" s="269"/>
      <c r="L1370" s="269"/>
      <c r="M1370" s="269"/>
      <c r="N1370" s="269"/>
      <c r="O1370" s="269"/>
      <c r="P1370" s="269"/>
      <c r="Q1370" s="269"/>
      <c r="R1370" s="269"/>
      <c r="S1370" s="269"/>
      <c r="T1370" s="269"/>
      <c r="U1370" s="269"/>
      <c r="V1370" s="269"/>
      <c r="W1370" s="269"/>
      <c r="X1370" s="269"/>
      <c r="Y1370" s="269"/>
      <c r="Z1370" s="269"/>
      <c r="AA1370" s="269"/>
      <c r="AB1370" s="269"/>
      <c r="AC1370" s="269"/>
      <c r="AD1370" s="269"/>
      <c r="AE1370" s="269"/>
      <c r="AF1370" s="269"/>
      <c r="AG1370" s="269"/>
      <c r="AH1370" s="269"/>
      <c r="AI1370" s="269"/>
      <c r="AJ1370" s="269"/>
      <c r="AK1370" s="269"/>
      <c r="AL1370" s="269"/>
      <c r="AM1370" s="269"/>
      <c r="AN1370" s="269"/>
      <c r="AO1370" s="269"/>
      <c r="AP1370" s="269"/>
      <c r="AQ1370" s="269"/>
      <c r="AR1370" s="269"/>
    </row>
    <row r="1371">
      <c r="A1371" s="410"/>
      <c r="B1371" s="410"/>
      <c r="C1371" s="410"/>
      <c r="D1371" s="410"/>
      <c r="E1371" s="410"/>
      <c r="F1371" s="410"/>
      <c r="H1371" s="269"/>
      <c r="I1371" s="269"/>
      <c r="J1371" s="269"/>
      <c r="K1371" s="269"/>
      <c r="L1371" s="269"/>
      <c r="M1371" s="269"/>
      <c r="N1371" s="269"/>
      <c r="O1371" s="269"/>
      <c r="P1371" s="269"/>
      <c r="Q1371" s="269"/>
      <c r="R1371" s="269"/>
      <c r="S1371" s="269"/>
      <c r="T1371" s="269"/>
      <c r="U1371" s="269"/>
      <c r="V1371" s="269"/>
      <c r="W1371" s="269"/>
      <c r="X1371" s="269"/>
      <c r="Y1371" s="269"/>
      <c r="Z1371" s="269"/>
      <c r="AA1371" s="269"/>
      <c r="AB1371" s="269"/>
      <c r="AC1371" s="269"/>
      <c r="AD1371" s="269"/>
      <c r="AE1371" s="269"/>
      <c r="AF1371" s="269"/>
      <c r="AG1371" s="269"/>
      <c r="AH1371" s="269"/>
      <c r="AI1371" s="269"/>
      <c r="AJ1371" s="269"/>
      <c r="AK1371" s="269"/>
      <c r="AL1371" s="269"/>
      <c r="AM1371" s="269"/>
      <c r="AN1371" s="269"/>
      <c r="AO1371" s="269"/>
      <c r="AP1371" s="269"/>
      <c r="AQ1371" s="269"/>
      <c r="AR1371" s="269"/>
    </row>
    <row r="1372">
      <c r="A1372" s="410"/>
      <c r="B1372" s="410"/>
      <c r="C1372" s="410"/>
      <c r="D1372" s="410"/>
      <c r="E1372" s="410"/>
      <c r="F1372" s="410"/>
      <c r="H1372" s="269"/>
      <c r="I1372" s="269"/>
      <c r="J1372" s="269"/>
      <c r="K1372" s="269"/>
      <c r="L1372" s="269"/>
      <c r="M1372" s="269"/>
      <c r="N1372" s="269"/>
      <c r="O1372" s="269"/>
      <c r="P1372" s="269"/>
      <c r="Q1372" s="269"/>
      <c r="R1372" s="269"/>
      <c r="S1372" s="269"/>
      <c r="T1372" s="269"/>
      <c r="U1372" s="269"/>
      <c r="V1372" s="269"/>
      <c r="W1372" s="269"/>
      <c r="X1372" s="269"/>
      <c r="Y1372" s="269"/>
      <c r="Z1372" s="269"/>
      <c r="AA1372" s="269"/>
      <c r="AB1372" s="269"/>
      <c r="AC1372" s="269"/>
      <c r="AD1372" s="269"/>
      <c r="AE1372" s="269"/>
      <c r="AF1372" s="269"/>
      <c r="AG1372" s="269"/>
      <c r="AH1372" s="269"/>
      <c r="AI1372" s="269"/>
      <c r="AJ1372" s="269"/>
      <c r="AK1372" s="269"/>
      <c r="AL1372" s="269"/>
      <c r="AM1372" s="269"/>
      <c r="AN1372" s="269"/>
      <c r="AO1372" s="269"/>
      <c r="AP1372" s="269"/>
      <c r="AQ1372" s="269"/>
      <c r="AR1372" s="269"/>
    </row>
    <row r="1373">
      <c r="A1373" s="410"/>
      <c r="B1373" s="410"/>
      <c r="C1373" s="410"/>
      <c r="D1373" s="410"/>
      <c r="E1373" s="410"/>
      <c r="F1373" s="410"/>
      <c r="H1373" s="269"/>
      <c r="I1373" s="269"/>
      <c r="J1373" s="269"/>
      <c r="K1373" s="269"/>
      <c r="L1373" s="269"/>
      <c r="M1373" s="269"/>
      <c r="N1373" s="269"/>
      <c r="O1373" s="269"/>
      <c r="P1373" s="269"/>
      <c r="Q1373" s="269"/>
      <c r="R1373" s="269"/>
      <c r="S1373" s="269"/>
      <c r="T1373" s="269"/>
      <c r="U1373" s="269"/>
      <c r="V1373" s="269"/>
      <c r="W1373" s="269"/>
      <c r="X1373" s="269"/>
      <c r="Y1373" s="269"/>
      <c r="Z1373" s="269"/>
      <c r="AA1373" s="269"/>
      <c r="AB1373" s="269"/>
      <c r="AC1373" s="269"/>
      <c r="AD1373" s="269"/>
      <c r="AE1373" s="269"/>
      <c r="AF1373" s="269"/>
      <c r="AG1373" s="269"/>
      <c r="AH1373" s="269"/>
      <c r="AI1373" s="269"/>
      <c r="AJ1373" s="269"/>
      <c r="AK1373" s="269"/>
      <c r="AL1373" s="269"/>
      <c r="AM1373" s="269"/>
      <c r="AN1373" s="269"/>
      <c r="AO1373" s="269"/>
      <c r="AP1373" s="269"/>
      <c r="AQ1373" s="269"/>
      <c r="AR1373" s="269"/>
    </row>
    <row r="1374">
      <c r="A1374" s="410"/>
      <c r="B1374" s="410"/>
      <c r="C1374" s="410"/>
      <c r="D1374" s="410"/>
      <c r="E1374" s="410"/>
      <c r="F1374" s="410"/>
      <c r="H1374" s="269"/>
      <c r="I1374" s="269"/>
      <c r="J1374" s="269"/>
      <c r="K1374" s="269"/>
      <c r="L1374" s="269"/>
      <c r="M1374" s="269"/>
      <c r="N1374" s="269"/>
      <c r="O1374" s="269"/>
      <c r="P1374" s="269"/>
      <c r="Q1374" s="269"/>
      <c r="R1374" s="269"/>
      <c r="S1374" s="269"/>
      <c r="T1374" s="269"/>
      <c r="U1374" s="269"/>
      <c r="V1374" s="269"/>
      <c r="W1374" s="269"/>
      <c r="X1374" s="269"/>
      <c r="Y1374" s="269"/>
      <c r="Z1374" s="269"/>
      <c r="AA1374" s="269"/>
      <c r="AB1374" s="269"/>
      <c r="AC1374" s="269"/>
      <c r="AD1374" s="269"/>
      <c r="AE1374" s="269"/>
      <c r="AF1374" s="269"/>
      <c r="AG1374" s="269"/>
      <c r="AH1374" s="269"/>
      <c r="AI1374" s="269"/>
      <c r="AJ1374" s="269"/>
      <c r="AK1374" s="269"/>
      <c r="AL1374" s="269"/>
      <c r="AM1374" s="269"/>
      <c r="AN1374" s="269"/>
      <c r="AO1374" s="269"/>
      <c r="AP1374" s="269"/>
      <c r="AQ1374" s="269"/>
      <c r="AR1374" s="269"/>
    </row>
    <row r="1375">
      <c r="A1375" s="410"/>
      <c r="B1375" s="410"/>
      <c r="C1375" s="410"/>
      <c r="D1375" s="410"/>
      <c r="E1375" s="410"/>
      <c r="F1375" s="410"/>
      <c r="H1375" s="269"/>
      <c r="I1375" s="269"/>
      <c r="J1375" s="269"/>
      <c r="K1375" s="269"/>
      <c r="L1375" s="269"/>
      <c r="M1375" s="269"/>
      <c r="N1375" s="269"/>
      <c r="O1375" s="269"/>
      <c r="P1375" s="269"/>
      <c r="Q1375" s="269"/>
      <c r="R1375" s="269"/>
      <c r="S1375" s="269"/>
      <c r="T1375" s="269"/>
      <c r="U1375" s="269"/>
      <c r="V1375" s="269"/>
      <c r="W1375" s="269"/>
      <c r="X1375" s="269"/>
      <c r="Y1375" s="269"/>
      <c r="Z1375" s="269"/>
      <c r="AA1375" s="269"/>
      <c r="AB1375" s="269"/>
      <c r="AC1375" s="269"/>
      <c r="AD1375" s="269"/>
      <c r="AE1375" s="269"/>
      <c r="AF1375" s="269"/>
      <c r="AG1375" s="269"/>
      <c r="AH1375" s="269"/>
      <c r="AI1375" s="269"/>
      <c r="AJ1375" s="269"/>
      <c r="AK1375" s="269"/>
      <c r="AL1375" s="269"/>
      <c r="AM1375" s="269"/>
      <c r="AN1375" s="269"/>
      <c r="AO1375" s="269"/>
      <c r="AP1375" s="269"/>
      <c r="AQ1375" s="269"/>
      <c r="AR1375" s="269"/>
    </row>
    <row r="1376">
      <c r="A1376" s="410"/>
      <c r="B1376" s="410"/>
      <c r="C1376" s="410"/>
      <c r="D1376" s="410"/>
      <c r="E1376" s="410"/>
      <c r="F1376" s="410"/>
      <c r="H1376" s="269"/>
      <c r="I1376" s="269"/>
      <c r="J1376" s="269"/>
      <c r="K1376" s="269"/>
      <c r="L1376" s="269"/>
      <c r="M1376" s="269"/>
      <c r="N1376" s="269"/>
      <c r="O1376" s="269"/>
      <c r="P1376" s="269"/>
      <c r="Q1376" s="269"/>
      <c r="R1376" s="269"/>
      <c r="S1376" s="269"/>
      <c r="T1376" s="269"/>
      <c r="U1376" s="269"/>
      <c r="V1376" s="269"/>
      <c r="W1376" s="269"/>
      <c r="X1376" s="269"/>
      <c r="Y1376" s="269"/>
      <c r="Z1376" s="269"/>
      <c r="AA1376" s="269"/>
      <c r="AB1376" s="269"/>
      <c r="AC1376" s="269"/>
      <c r="AD1376" s="269"/>
      <c r="AE1376" s="269"/>
      <c r="AF1376" s="269"/>
      <c r="AG1376" s="269"/>
      <c r="AH1376" s="269"/>
      <c r="AI1376" s="269"/>
      <c r="AJ1376" s="269"/>
      <c r="AK1376" s="269"/>
      <c r="AL1376" s="269"/>
      <c r="AM1376" s="269"/>
      <c r="AN1376" s="269"/>
      <c r="AO1376" s="269"/>
      <c r="AP1376" s="269"/>
      <c r="AQ1376" s="269"/>
      <c r="AR1376" s="269"/>
    </row>
    <row r="1377">
      <c r="A1377" s="410"/>
      <c r="B1377" s="410"/>
      <c r="C1377" s="410"/>
      <c r="D1377" s="410"/>
      <c r="E1377" s="410"/>
      <c r="F1377" s="410"/>
      <c r="H1377" s="269"/>
      <c r="I1377" s="269"/>
      <c r="J1377" s="269"/>
      <c r="K1377" s="269"/>
      <c r="L1377" s="269"/>
      <c r="M1377" s="269"/>
      <c r="N1377" s="269"/>
      <c r="O1377" s="269"/>
      <c r="P1377" s="269"/>
      <c r="Q1377" s="269"/>
      <c r="R1377" s="269"/>
      <c r="S1377" s="269"/>
      <c r="T1377" s="269"/>
      <c r="U1377" s="269"/>
      <c r="V1377" s="269"/>
      <c r="W1377" s="269"/>
      <c r="X1377" s="269"/>
      <c r="Y1377" s="269"/>
      <c r="Z1377" s="269"/>
      <c r="AA1377" s="269"/>
      <c r="AB1377" s="269"/>
      <c r="AC1377" s="269"/>
      <c r="AD1377" s="269"/>
      <c r="AE1377" s="269"/>
      <c r="AF1377" s="269"/>
      <c r="AG1377" s="269"/>
      <c r="AH1377" s="269"/>
      <c r="AI1377" s="269"/>
      <c r="AJ1377" s="269"/>
      <c r="AK1377" s="269"/>
      <c r="AL1377" s="269"/>
      <c r="AM1377" s="269"/>
      <c r="AN1377" s="269"/>
      <c r="AO1377" s="269"/>
      <c r="AP1377" s="269"/>
      <c r="AQ1377" s="269"/>
      <c r="AR1377" s="269"/>
    </row>
    <row r="1378">
      <c r="A1378" s="410"/>
      <c r="B1378" s="410"/>
      <c r="C1378" s="410"/>
      <c r="D1378" s="410"/>
      <c r="E1378" s="410"/>
      <c r="F1378" s="410"/>
      <c r="H1378" s="269"/>
      <c r="I1378" s="269"/>
      <c r="J1378" s="269"/>
      <c r="K1378" s="269"/>
      <c r="L1378" s="269"/>
      <c r="M1378" s="269"/>
      <c r="N1378" s="269"/>
      <c r="O1378" s="269"/>
      <c r="P1378" s="269"/>
      <c r="Q1378" s="269"/>
      <c r="R1378" s="269"/>
      <c r="S1378" s="269"/>
      <c r="T1378" s="269"/>
      <c r="U1378" s="269"/>
      <c r="V1378" s="269"/>
      <c r="W1378" s="269"/>
      <c r="X1378" s="269"/>
      <c r="Y1378" s="269"/>
      <c r="Z1378" s="269"/>
      <c r="AA1378" s="269"/>
      <c r="AB1378" s="269"/>
      <c r="AC1378" s="269"/>
      <c r="AD1378" s="269"/>
      <c r="AE1378" s="269"/>
      <c r="AF1378" s="269"/>
      <c r="AG1378" s="269"/>
      <c r="AH1378" s="269"/>
      <c r="AI1378" s="269"/>
      <c r="AJ1378" s="269"/>
      <c r="AK1378" s="269"/>
      <c r="AL1378" s="269"/>
      <c r="AM1378" s="269"/>
      <c r="AN1378" s="269"/>
      <c r="AO1378" s="269"/>
      <c r="AP1378" s="269"/>
      <c r="AQ1378" s="269"/>
      <c r="AR1378" s="269"/>
    </row>
    <row r="1379">
      <c r="A1379" s="410"/>
      <c r="B1379" s="410"/>
      <c r="C1379" s="410"/>
      <c r="D1379" s="410"/>
      <c r="E1379" s="410"/>
      <c r="F1379" s="410"/>
      <c r="H1379" s="269"/>
      <c r="I1379" s="269"/>
      <c r="J1379" s="269"/>
      <c r="K1379" s="269"/>
      <c r="L1379" s="269"/>
      <c r="M1379" s="269"/>
      <c r="N1379" s="269"/>
      <c r="O1379" s="269"/>
      <c r="P1379" s="269"/>
      <c r="Q1379" s="269"/>
      <c r="R1379" s="269"/>
      <c r="S1379" s="269"/>
      <c r="T1379" s="269"/>
      <c r="U1379" s="269"/>
      <c r="V1379" s="269"/>
      <c r="W1379" s="269"/>
      <c r="X1379" s="269"/>
      <c r="Y1379" s="269"/>
      <c r="Z1379" s="269"/>
      <c r="AA1379" s="269"/>
      <c r="AB1379" s="269"/>
      <c r="AC1379" s="269"/>
      <c r="AD1379" s="269"/>
      <c r="AE1379" s="269"/>
      <c r="AF1379" s="269"/>
      <c r="AG1379" s="269"/>
      <c r="AH1379" s="269"/>
      <c r="AI1379" s="269"/>
      <c r="AJ1379" s="269"/>
      <c r="AK1379" s="269"/>
      <c r="AL1379" s="269"/>
      <c r="AM1379" s="269"/>
      <c r="AN1379" s="269"/>
      <c r="AO1379" s="269"/>
      <c r="AP1379" s="269"/>
      <c r="AQ1379" s="269"/>
      <c r="AR1379" s="269"/>
    </row>
    <row r="1380">
      <c r="A1380" s="410"/>
      <c r="B1380" s="410"/>
      <c r="C1380" s="410"/>
      <c r="D1380" s="410"/>
      <c r="E1380" s="410"/>
      <c r="F1380" s="410"/>
      <c r="H1380" s="269"/>
      <c r="I1380" s="269"/>
      <c r="J1380" s="269"/>
      <c r="K1380" s="269"/>
      <c r="L1380" s="269"/>
      <c r="M1380" s="269"/>
      <c r="N1380" s="269"/>
      <c r="O1380" s="269"/>
      <c r="P1380" s="269"/>
      <c r="Q1380" s="269"/>
      <c r="R1380" s="269"/>
      <c r="S1380" s="269"/>
      <c r="T1380" s="269"/>
      <c r="U1380" s="269"/>
      <c r="V1380" s="269"/>
      <c r="W1380" s="269"/>
      <c r="X1380" s="269"/>
      <c r="Y1380" s="269"/>
      <c r="Z1380" s="269"/>
      <c r="AA1380" s="269"/>
      <c r="AB1380" s="269"/>
      <c r="AC1380" s="269"/>
      <c r="AD1380" s="269"/>
      <c r="AE1380" s="269"/>
      <c r="AF1380" s="269"/>
      <c r="AG1380" s="269"/>
      <c r="AH1380" s="269"/>
      <c r="AI1380" s="269"/>
      <c r="AJ1380" s="269"/>
      <c r="AK1380" s="269"/>
      <c r="AL1380" s="269"/>
      <c r="AM1380" s="269"/>
      <c r="AN1380" s="269"/>
      <c r="AO1380" s="269"/>
      <c r="AP1380" s="269"/>
      <c r="AQ1380" s="269"/>
      <c r="AR1380" s="269"/>
    </row>
    <row r="1381">
      <c r="A1381" s="410"/>
      <c r="B1381" s="410"/>
      <c r="C1381" s="410"/>
      <c r="D1381" s="410"/>
      <c r="E1381" s="410"/>
      <c r="F1381" s="410"/>
      <c r="H1381" s="269"/>
      <c r="I1381" s="269"/>
      <c r="J1381" s="269"/>
      <c r="K1381" s="269"/>
      <c r="L1381" s="269"/>
      <c r="M1381" s="269"/>
      <c r="N1381" s="269"/>
      <c r="O1381" s="269"/>
      <c r="P1381" s="269"/>
      <c r="Q1381" s="269"/>
      <c r="R1381" s="269"/>
      <c r="S1381" s="269"/>
      <c r="T1381" s="269"/>
      <c r="U1381" s="269"/>
      <c r="V1381" s="269"/>
      <c r="W1381" s="269"/>
      <c r="X1381" s="269"/>
      <c r="Y1381" s="269"/>
      <c r="Z1381" s="269"/>
      <c r="AA1381" s="269"/>
      <c r="AB1381" s="269"/>
      <c r="AC1381" s="269"/>
      <c r="AD1381" s="269"/>
      <c r="AE1381" s="269"/>
      <c r="AF1381" s="269"/>
      <c r="AG1381" s="269"/>
      <c r="AH1381" s="269"/>
      <c r="AI1381" s="269"/>
      <c r="AJ1381" s="269"/>
      <c r="AK1381" s="269"/>
      <c r="AL1381" s="269"/>
      <c r="AM1381" s="269"/>
      <c r="AN1381" s="269"/>
      <c r="AO1381" s="269"/>
      <c r="AP1381" s="269"/>
      <c r="AQ1381" s="269"/>
      <c r="AR1381" s="269"/>
    </row>
    <row r="1382">
      <c r="A1382" s="410"/>
      <c r="B1382" s="410"/>
      <c r="C1382" s="410"/>
      <c r="D1382" s="410"/>
      <c r="E1382" s="410"/>
      <c r="F1382" s="410"/>
      <c r="H1382" s="269"/>
      <c r="I1382" s="269"/>
      <c r="J1382" s="269"/>
      <c r="K1382" s="269"/>
      <c r="L1382" s="269"/>
      <c r="M1382" s="269"/>
      <c r="N1382" s="269"/>
      <c r="O1382" s="269"/>
      <c r="P1382" s="269"/>
      <c r="Q1382" s="269"/>
      <c r="R1382" s="269"/>
      <c r="S1382" s="269"/>
      <c r="T1382" s="269"/>
      <c r="U1382" s="269"/>
      <c r="V1382" s="269"/>
      <c r="W1382" s="269"/>
      <c r="X1382" s="269"/>
      <c r="Y1382" s="269"/>
      <c r="Z1382" s="269"/>
      <c r="AA1382" s="269"/>
      <c r="AB1382" s="269"/>
      <c r="AC1382" s="269"/>
      <c r="AD1382" s="269"/>
      <c r="AE1382" s="269"/>
      <c r="AF1382" s="269"/>
      <c r="AG1382" s="269"/>
      <c r="AH1382" s="269"/>
      <c r="AI1382" s="269"/>
      <c r="AJ1382" s="269"/>
      <c r="AK1382" s="269"/>
      <c r="AL1382" s="269"/>
      <c r="AM1382" s="269"/>
      <c r="AN1382" s="269"/>
      <c r="AO1382" s="269"/>
      <c r="AP1382" s="269"/>
      <c r="AQ1382" s="269"/>
      <c r="AR1382" s="269"/>
    </row>
    <row r="1383">
      <c r="A1383" s="410"/>
      <c r="B1383" s="410"/>
      <c r="C1383" s="410"/>
      <c r="D1383" s="410"/>
      <c r="E1383" s="410"/>
      <c r="F1383" s="410"/>
      <c r="H1383" s="269"/>
      <c r="I1383" s="269"/>
      <c r="J1383" s="269"/>
      <c r="K1383" s="269"/>
      <c r="L1383" s="269"/>
      <c r="M1383" s="269"/>
      <c r="N1383" s="269"/>
      <c r="O1383" s="269"/>
      <c r="P1383" s="269"/>
      <c r="Q1383" s="269"/>
      <c r="R1383" s="269"/>
      <c r="S1383" s="269"/>
      <c r="T1383" s="269"/>
      <c r="U1383" s="269"/>
      <c r="V1383" s="269"/>
      <c r="W1383" s="269"/>
      <c r="X1383" s="269"/>
      <c r="Y1383" s="269"/>
      <c r="Z1383" s="269"/>
      <c r="AA1383" s="269"/>
      <c r="AB1383" s="269"/>
      <c r="AC1383" s="269"/>
      <c r="AD1383" s="269"/>
      <c r="AE1383" s="269"/>
      <c r="AF1383" s="269"/>
      <c r="AG1383" s="269"/>
      <c r="AH1383" s="269"/>
      <c r="AI1383" s="269"/>
      <c r="AJ1383" s="269"/>
      <c r="AK1383" s="269"/>
      <c r="AL1383" s="269"/>
      <c r="AM1383" s="269"/>
      <c r="AN1383" s="269"/>
      <c r="AO1383" s="269"/>
      <c r="AP1383" s="269"/>
      <c r="AQ1383" s="269"/>
      <c r="AR1383" s="269"/>
    </row>
    <row r="1384">
      <c r="A1384" s="410"/>
      <c r="B1384" s="410"/>
      <c r="C1384" s="410"/>
      <c r="D1384" s="410"/>
      <c r="E1384" s="410"/>
      <c r="F1384" s="410"/>
      <c r="H1384" s="269"/>
      <c r="I1384" s="269"/>
      <c r="J1384" s="269"/>
      <c r="K1384" s="269"/>
      <c r="L1384" s="269"/>
      <c r="M1384" s="269"/>
      <c r="N1384" s="269"/>
      <c r="O1384" s="269"/>
      <c r="P1384" s="269"/>
      <c r="Q1384" s="269"/>
      <c r="R1384" s="269"/>
      <c r="S1384" s="269"/>
      <c r="T1384" s="269"/>
      <c r="U1384" s="269"/>
      <c r="V1384" s="269"/>
      <c r="W1384" s="269"/>
      <c r="X1384" s="269"/>
      <c r="Y1384" s="269"/>
      <c r="Z1384" s="269"/>
      <c r="AA1384" s="269"/>
      <c r="AB1384" s="269"/>
      <c r="AC1384" s="269"/>
      <c r="AD1384" s="269"/>
      <c r="AE1384" s="269"/>
      <c r="AF1384" s="269"/>
      <c r="AG1384" s="269"/>
      <c r="AH1384" s="269"/>
      <c r="AI1384" s="269"/>
      <c r="AJ1384" s="269"/>
      <c r="AK1384" s="269"/>
      <c r="AL1384" s="269"/>
      <c r="AM1384" s="269"/>
      <c r="AN1384" s="269"/>
      <c r="AO1384" s="269"/>
      <c r="AP1384" s="269"/>
      <c r="AQ1384" s="269"/>
      <c r="AR1384" s="269"/>
    </row>
    <row r="1385">
      <c r="A1385" s="410"/>
      <c r="B1385" s="410"/>
      <c r="C1385" s="410"/>
      <c r="D1385" s="410"/>
      <c r="E1385" s="410"/>
      <c r="F1385" s="410"/>
      <c r="H1385" s="269"/>
      <c r="I1385" s="269"/>
      <c r="J1385" s="269"/>
      <c r="K1385" s="269"/>
      <c r="L1385" s="269"/>
      <c r="M1385" s="269"/>
      <c r="N1385" s="269"/>
      <c r="O1385" s="269"/>
      <c r="P1385" s="269"/>
      <c r="Q1385" s="269"/>
      <c r="R1385" s="269"/>
      <c r="S1385" s="269"/>
      <c r="T1385" s="269"/>
      <c r="U1385" s="269"/>
      <c r="V1385" s="269"/>
      <c r="W1385" s="269"/>
      <c r="X1385" s="269"/>
      <c r="Y1385" s="269"/>
      <c r="Z1385" s="269"/>
      <c r="AA1385" s="269"/>
      <c r="AB1385" s="269"/>
      <c r="AC1385" s="269"/>
      <c r="AD1385" s="269"/>
      <c r="AE1385" s="269"/>
      <c r="AF1385" s="269"/>
      <c r="AG1385" s="269"/>
      <c r="AH1385" s="269"/>
      <c r="AI1385" s="269"/>
      <c r="AJ1385" s="269"/>
      <c r="AK1385" s="269"/>
      <c r="AL1385" s="269"/>
      <c r="AM1385" s="269"/>
      <c r="AN1385" s="269"/>
      <c r="AO1385" s="269"/>
      <c r="AP1385" s="269"/>
      <c r="AQ1385" s="269"/>
      <c r="AR1385" s="269"/>
    </row>
    <row r="1386">
      <c r="A1386" s="410"/>
      <c r="B1386" s="410"/>
      <c r="C1386" s="410"/>
      <c r="D1386" s="410"/>
      <c r="E1386" s="410"/>
      <c r="F1386" s="410"/>
      <c r="H1386" s="269"/>
      <c r="I1386" s="269"/>
      <c r="J1386" s="269"/>
      <c r="K1386" s="269"/>
      <c r="L1386" s="269"/>
      <c r="M1386" s="269"/>
      <c r="N1386" s="269"/>
      <c r="O1386" s="269"/>
      <c r="P1386" s="269"/>
      <c r="Q1386" s="269"/>
      <c r="R1386" s="269"/>
      <c r="S1386" s="269"/>
      <c r="T1386" s="269"/>
      <c r="U1386" s="269"/>
      <c r="V1386" s="269"/>
      <c r="W1386" s="269"/>
      <c r="X1386" s="269"/>
      <c r="Y1386" s="269"/>
      <c r="Z1386" s="269"/>
      <c r="AA1386" s="269"/>
      <c r="AB1386" s="269"/>
      <c r="AC1386" s="269"/>
      <c r="AD1386" s="269"/>
      <c r="AE1386" s="269"/>
      <c r="AF1386" s="269"/>
      <c r="AG1386" s="269"/>
      <c r="AH1386" s="269"/>
      <c r="AI1386" s="269"/>
      <c r="AJ1386" s="269"/>
      <c r="AK1386" s="269"/>
      <c r="AL1386" s="269"/>
      <c r="AM1386" s="269"/>
      <c r="AN1386" s="269"/>
      <c r="AO1386" s="269"/>
      <c r="AP1386" s="269"/>
      <c r="AQ1386" s="269"/>
      <c r="AR1386" s="269"/>
    </row>
    <row r="1387">
      <c r="A1387" s="410"/>
      <c r="B1387" s="410"/>
      <c r="C1387" s="410"/>
      <c r="D1387" s="410"/>
      <c r="E1387" s="410"/>
      <c r="F1387" s="410"/>
      <c r="H1387" s="269"/>
      <c r="I1387" s="269"/>
      <c r="J1387" s="269"/>
      <c r="K1387" s="269"/>
      <c r="L1387" s="269"/>
      <c r="M1387" s="269"/>
      <c r="N1387" s="269"/>
      <c r="O1387" s="269"/>
      <c r="P1387" s="269"/>
      <c r="Q1387" s="269"/>
      <c r="R1387" s="269"/>
      <c r="S1387" s="269"/>
      <c r="T1387" s="269"/>
      <c r="U1387" s="269"/>
      <c r="V1387" s="269"/>
      <c r="W1387" s="269"/>
      <c r="X1387" s="269"/>
      <c r="Y1387" s="269"/>
      <c r="Z1387" s="269"/>
      <c r="AA1387" s="269"/>
      <c r="AB1387" s="269"/>
      <c r="AC1387" s="269"/>
      <c r="AD1387" s="269"/>
      <c r="AE1387" s="269"/>
      <c r="AF1387" s="269"/>
      <c r="AG1387" s="269"/>
      <c r="AH1387" s="269"/>
      <c r="AI1387" s="269"/>
      <c r="AJ1387" s="269"/>
      <c r="AK1387" s="269"/>
      <c r="AL1387" s="269"/>
      <c r="AM1387" s="269"/>
      <c r="AN1387" s="269"/>
      <c r="AO1387" s="269"/>
      <c r="AP1387" s="269"/>
      <c r="AQ1387" s="269"/>
      <c r="AR1387" s="269"/>
    </row>
    <row r="1388">
      <c r="A1388" s="410"/>
      <c r="B1388" s="410"/>
      <c r="C1388" s="410"/>
      <c r="D1388" s="410"/>
      <c r="E1388" s="410"/>
      <c r="F1388" s="410"/>
      <c r="H1388" s="269"/>
      <c r="I1388" s="269"/>
      <c r="J1388" s="269"/>
      <c r="K1388" s="269"/>
      <c r="L1388" s="269"/>
      <c r="M1388" s="269"/>
      <c r="N1388" s="269"/>
      <c r="O1388" s="269"/>
      <c r="P1388" s="269"/>
      <c r="Q1388" s="269"/>
      <c r="R1388" s="269"/>
      <c r="S1388" s="269"/>
      <c r="T1388" s="269"/>
      <c r="U1388" s="269"/>
      <c r="V1388" s="269"/>
      <c r="W1388" s="269"/>
      <c r="X1388" s="269"/>
      <c r="Y1388" s="269"/>
      <c r="Z1388" s="269"/>
      <c r="AA1388" s="269"/>
      <c r="AB1388" s="269"/>
      <c r="AC1388" s="269"/>
      <c r="AD1388" s="269"/>
      <c r="AE1388" s="269"/>
      <c r="AF1388" s="269"/>
      <c r="AG1388" s="269"/>
      <c r="AH1388" s="269"/>
      <c r="AI1388" s="269"/>
      <c r="AJ1388" s="269"/>
      <c r="AK1388" s="269"/>
      <c r="AL1388" s="269"/>
      <c r="AM1388" s="269"/>
      <c r="AN1388" s="269"/>
      <c r="AO1388" s="269"/>
      <c r="AP1388" s="269"/>
      <c r="AQ1388" s="269"/>
      <c r="AR1388" s="269"/>
    </row>
    <row r="1389">
      <c r="A1389" s="410"/>
      <c r="B1389" s="410"/>
      <c r="C1389" s="410"/>
      <c r="D1389" s="410"/>
      <c r="E1389" s="410"/>
      <c r="F1389" s="410"/>
      <c r="H1389" s="269"/>
      <c r="I1389" s="269"/>
      <c r="J1389" s="269"/>
      <c r="K1389" s="269"/>
      <c r="L1389" s="269"/>
      <c r="M1389" s="269"/>
      <c r="N1389" s="269"/>
      <c r="O1389" s="269"/>
      <c r="P1389" s="269"/>
      <c r="Q1389" s="269"/>
      <c r="R1389" s="269"/>
      <c r="S1389" s="269"/>
      <c r="T1389" s="269"/>
      <c r="U1389" s="269"/>
      <c r="V1389" s="269"/>
      <c r="W1389" s="269"/>
      <c r="X1389" s="269"/>
      <c r="Y1389" s="269"/>
      <c r="Z1389" s="269"/>
      <c r="AA1389" s="269"/>
      <c r="AB1389" s="269"/>
      <c r="AC1389" s="269"/>
      <c r="AD1389" s="269"/>
      <c r="AE1389" s="269"/>
      <c r="AF1389" s="269"/>
      <c r="AG1389" s="269"/>
      <c r="AH1389" s="269"/>
      <c r="AI1389" s="269"/>
      <c r="AJ1389" s="269"/>
      <c r="AK1389" s="269"/>
      <c r="AL1389" s="269"/>
      <c r="AM1389" s="269"/>
      <c r="AN1389" s="269"/>
      <c r="AO1389" s="269"/>
      <c r="AP1389" s="269"/>
      <c r="AQ1389" s="269"/>
      <c r="AR1389" s="269"/>
    </row>
    <row r="1390">
      <c r="A1390" s="410"/>
      <c r="B1390" s="410"/>
      <c r="C1390" s="410"/>
      <c r="D1390" s="410"/>
      <c r="E1390" s="410"/>
      <c r="F1390" s="410"/>
      <c r="H1390" s="269"/>
      <c r="I1390" s="269"/>
      <c r="J1390" s="269"/>
      <c r="K1390" s="269"/>
      <c r="L1390" s="269"/>
      <c r="M1390" s="269"/>
      <c r="N1390" s="269"/>
      <c r="O1390" s="269"/>
      <c r="P1390" s="269"/>
      <c r="Q1390" s="269"/>
      <c r="R1390" s="269"/>
      <c r="S1390" s="269"/>
      <c r="T1390" s="269"/>
      <c r="U1390" s="269"/>
      <c r="V1390" s="269"/>
      <c r="W1390" s="269"/>
      <c r="X1390" s="269"/>
      <c r="Y1390" s="269"/>
      <c r="Z1390" s="269"/>
      <c r="AA1390" s="269"/>
      <c r="AB1390" s="269"/>
      <c r="AC1390" s="269"/>
      <c r="AD1390" s="269"/>
      <c r="AE1390" s="269"/>
      <c r="AF1390" s="269"/>
      <c r="AG1390" s="269"/>
      <c r="AH1390" s="269"/>
      <c r="AI1390" s="269"/>
      <c r="AJ1390" s="269"/>
      <c r="AK1390" s="269"/>
      <c r="AL1390" s="269"/>
      <c r="AM1390" s="269"/>
      <c r="AN1390" s="269"/>
      <c r="AO1390" s="269"/>
      <c r="AP1390" s="269"/>
      <c r="AQ1390" s="269"/>
      <c r="AR1390" s="269"/>
    </row>
    <row r="1391">
      <c r="A1391" s="410"/>
      <c r="B1391" s="410"/>
      <c r="C1391" s="410"/>
      <c r="D1391" s="410"/>
      <c r="E1391" s="410"/>
      <c r="F1391" s="410"/>
      <c r="H1391" s="269"/>
      <c r="I1391" s="269"/>
      <c r="J1391" s="269"/>
      <c r="K1391" s="269"/>
      <c r="L1391" s="269"/>
      <c r="M1391" s="269"/>
      <c r="N1391" s="269"/>
      <c r="O1391" s="269"/>
      <c r="P1391" s="269"/>
      <c r="Q1391" s="269"/>
      <c r="R1391" s="269"/>
      <c r="S1391" s="269"/>
      <c r="T1391" s="269"/>
      <c r="U1391" s="269"/>
      <c r="V1391" s="269"/>
      <c r="W1391" s="269"/>
      <c r="X1391" s="269"/>
      <c r="Y1391" s="269"/>
      <c r="Z1391" s="269"/>
      <c r="AA1391" s="269"/>
      <c r="AB1391" s="269"/>
      <c r="AC1391" s="269"/>
      <c r="AD1391" s="269"/>
      <c r="AE1391" s="269"/>
      <c r="AF1391" s="269"/>
      <c r="AG1391" s="269"/>
      <c r="AH1391" s="269"/>
      <c r="AI1391" s="269"/>
      <c r="AJ1391" s="269"/>
      <c r="AK1391" s="269"/>
      <c r="AL1391" s="269"/>
      <c r="AM1391" s="269"/>
      <c r="AN1391" s="269"/>
      <c r="AO1391" s="269"/>
      <c r="AP1391" s="269"/>
      <c r="AQ1391" s="269"/>
      <c r="AR1391" s="269"/>
    </row>
    <row r="1392">
      <c r="A1392" s="410"/>
      <c r="B1392" s="410"/>
      <c r="C1392" s="410"/>
      <c r="D1392" s="410"/>
      <c r="E1392" s="410"/>
      <c r="F1392" s="410"/>
      <c r="H1392" s="269"/>
      <c r="I1392" s="269"/>
      <c r="J1392" s="269"/>
      <c r="K1392" s="269"/>
      <c r="L1392" s="269"/>
      <c r="M1392" s="269"/>
      <c r="N1392" s="269"/>
      <c r="O1392" s="269"/>
      <c r="P1392" s="269"/>
      <c r="Q1392" s="269"/>
      <c r="R1392" s="269"/>
      <c r="S1392" s="269"/>
      <c r="T1392" s="269"/>
      <c r="U1392" s="269"/>
      <c r="V1392" s="269"/>
      <c r="W1392" s="269"/>
      <c r="X1392" s="269"/>
      <c r="Y1392" s="269"/>
      <c r="Z1392" s="269"/>
      <c r="AA1392" s="269"/>
      <c r="AB1392" s="269"/>
      <c r="AC1392" s="269"/>
      <c r="AD1392" s="269"/>
      <c r="AE1392" s="269"/>
      <c r="AF1392" s="269"/>
      <c r="AG1392" s="269"/>
      <c r="AH1392" s="269"/>
      <c r="AI1392" s="269"/>
      <c r="AJ1392" s="269"/>
      <c r="AK1392" s="269"/>
      <c r="AL1392" s="269"/>
      <c r="AM1392" s="269"/>
      <c r="AN1392" s="269"/>
      <c r="AO1392" s="269"/>
      <c r="AP1392" s="269"/>
      <c r="AQ1392" s="269"/>
      <c r="AR1392" s="269"/>
    </row>
    <row r="1393">
      <c r="A1393" s="410"/>
      <c r="B1393" s="410"/>
      <c r="C1393" s="410"/>
      <c r="D1393" s="410"/>
      <c r="E1393" s="410"/>
      <c r="F1393" s="410"/>
      <c r="H1393" s="269"/>
      <c r="I1393" s="269"/>
      <c r="J1393" s="269"/>
      <c r="K1393" s="269"/>
      <c r="L1393" s="269"/>
      <c r="M1393" s="269"/>
      <c r="N1393" s="269"/>
      <c r="O1393" s="269"/>
      <c r="P1393" s="269"/>
      <c r="Q1393" s="269"/>
      <c r="R1393" s="269"/>
      <c r="S1393" s="269"/>
      <c r="T1393" s="269"/>
      <c r="U1393" s="269"/>
      <c r="V1393" s="269"/>
      <c r="W1393" s="269"/>
      <c r="X1393" s="269"/>
      <c r="Y1393" s="269"/>
      <c r="Z1393" s="269"/>
      <c r="AA1393" s="269"/>
      <c r="AB1393" s="269"/>
      <c r="AC1393" s="269"/>
      <c r="AD1393" s="269"/>
      <c r="AE1393" s="269"/>
      <c r="AF1393" s="269"/>
      <c r="AG1393" s="269"/>
      <c r="AH1393" s="269"/>
      <c r="AI1393" s="269"/>
      <c r="AJ1393" s="269"/>
      <c r="AK1393" s="269"/>
      <c r="AL1393" s="269"/>
      <c r="AM1393" s="269"/>
      <c r="AN1393" s="269"/>
      <c r="AO1393" s="269"/>
      <c r="AP1393" s="269"/>
      <c r="AQ1393" s="269"/>
      <c r="AR1393" s="269"/>
    </row>
    <row r="1394">
      <c r="A1394" s="410"/>
      <c r="B1394" s="410"/>
      <c r="C1394" s="410"/>
      <c r="D1394" s="410"/>
      <c r="E1394" s="410"/>
      <c r="F1394" s="410"/>
      <c r="H1394" s="269"/>
      <c r="I1394" s="269"/>
      <c r="J1394" s="269"/>
      <c r="K1394" s="269"/>
      <c r="L1394" s="269"/>
      <c r="M1394" s="269"/>
      <c r="N1394" s="269"/>
      <c r="O1394" s="269"/>
      <c r="P1394" s="269"/>
      <c r="Q1394" s="269"/>
      <c r="R1394" s="269"/>
      <c r="S1394" s="269"/>
      <c r="T1394" s="269"/>
      <c r="U1394" s="269"/>
      <c r="V1394" s="269"/>
      <c r="W1394" s="269"/>
      <c r="X1394" s="269"/>
      <c r="Y1394" s="269"/>
      <c r="Z1394" s="269"/>
      <c r="AA1394" s="269"/>
      <c r="AB1394" s="269"/>
      <c r="AC1394" s="269"/>
      <c r="AD1394" s="269"/>
      <c r="AE1394" s="269"/>
      <c r="AF1394" s="269"/>
      <c r="AG1394" s="269"/>
      <c r="AH1394" s="269"/>
      <c r="AI1394" s="269"/>
      <c r="AJ1394" s="269"/>
      <c r="AK1394" s="269"/>
      <c r="AL1394" s="269"/>
      <c r="AM1394" s="269"/>
      <c r="AN1394" s="269"/>
      <c r="AO1394" s="269"/>
      <c r="AP1394" s="269"/>
      <c r="AQ1394" s="269"/>
      <c r="AR1394" s="269"/>
    </row>
    <row r="1395">
      <c r="A1395" s="410"/>
      <c r="B1395" s="410"/>
      <c r="C1395" s="410"/>
      <c r="D1395" s="410"/>
      <c r="E1395" s="410"/>
      <c r="F1395" s="410"/>
      <c r="H1395" s="269"/>
      <c r="I1395" s="269"/>
      <c r="J1395" s="269"/>
      <c r="K1395" s="269"/>
      <c r="L1395" s="269"/>
      <c r="M1395" s="269"/>
      <c r="N1395" s="269"/>
      <c r="O1395" s="269"/>
      <c r="P1395" s="269"/>
      <c r="Q1395" s="269"/>
      <c r="R1395" s="269"/>
      <c r="S1395" s="269"/>
      <c r="T1395" s="269"/>
      <c r="U1395" s="269"/>
      <c r="V1395" s="269"/>
      <c r="W1395" s="269"/>
      <c r="X1395" s="269"/>
      <c r="Y1395" s="269"/>
      <c r="Z1395" s="269"/>
      <c r="AA1395" s="269"/>
      <c r="AB1395" s="269"/>
      <c r="AC1395" s="269"/>
      <c r="AD1395" s="269"/>
      <c r="AE1395" s="269"/>
      <c r="AF1395" s="269"/>
      <c r="AG1395" s="269"/>
      <c r="AH1395" s="269"/>
      <c r="AI1395" s="269"/>
      <c r="AJ1395" s="269"/>
      <c r="AK1395" s="269"/>
      <c r="AL1395" s="269"/>
      <c r="AM1395" s="269"/>
      <c r="AN1395" s="269"/>
      <c r="AO1395" s="269"/>
      <c r="AP1395" s="269"/>
      <c r="AQ1395" s="269"/>
      <c r="AR1395" s="269"/>
    </row>
    <row r="1396">
      <c r="A1396" s="410"/>
      <c r="B1396" s="410"/>
      <c r="C1396" s="410"/>
      <c r="D1396" s="410"/>
      <c r="E1396" s="410"/>
      <c r="F1396" s="410"/>
      <c r="H1396" s="269"/>
      <c r="I1396" s="269"/>
      <c r="J1396" s="269"/>
      <c r="K1396" s="269"/>
      <c r="L1396" s="269"/>
      <c r="M1396" s="269"/>
      <c r="N1396" s="269"/>
      <c r="O1396" s="269"/>
      <c r="P1396" s="269"/>
      <c r="Q1396" s="269"/>
      <c r="R1396" s="269"/>
      <c r="S1396" s="269"/>
      <c r="T1396" s="269"/>
      <c r="U1396" s="269"/>
      <c r="V1396" s="269"/>
      <c r="W1396" s="269"/>
      <c r="X1396" s="269"/>
      <c r="Y1396" s="269"/>
      <c r="Z1396" s="269"/>
      <c r="AA1396" s="269"/>
      <c r="AB1396" s="269"/>
      <c r="AC1396" s="269"/>
      <c r="AD1396" s="269"/>
      <c r="AE1396" s="269"/>
      <c r="AF1396" s="269"/>
      <c r="AG1396" s="269"/>
      <c r="AH1396" s="269"/>
      <c r="AI1396" s="269"/>
      <c r="AJ1396" s="269"/>
      <c r="AK1396" s="269"/>
      <c r="AL1396" s="269"/>
      <c r="AM1396" s="269"/>
      <c r="AN1396" s="269"/>
      <c r="AO1396" s="269"/>
      <c r="AP1396" s="269"/>
      <c r="AQ1396" s="269"/>
      <c r="AR1396" s="269"/>
    </row>
    <row r="1397">
      <c r="A1397" s="410"/>
      <c r="B1397" s="410"/>
      <c r="C1397" s="410"/>
      <c r="D1397" s="410"/>
      <c r="E1397" s="410"/>
      <c r="F1397" s="410"/>
      <c r="H1397" s="269"/>
      <c r="I1397" s="269"/>
      <c r="J1397" s="269"/>
      <c r="K1397" s="269"/>
      <c r="L1397" s="269"/>
      <c r="M1397" s="269"/>
      <c r="N1397" s="269"/>
      <c r="O1397" s="269"/>
      <c r="P1397" s="269"/>
      <c r="Q1397" s="269"/>
      <c r="R1397" s="269"/>
      <c r="S1397" s="269"/>
      <c r="T1397" s="269"/>
      <c r="U1397" s="269"/>
      <c r="V1397" s="269"/>
      <c r="W1397" s="269"/>
      <c r="X1397" s="269"/>
      <c r="Y1397" s="269"/>
      <c r="Z1397" s="269"/>
      <c r="AA1397" s="269"/>
      <c r="AB1397" s="269"/>
      <c r="AC1397" s="269"/>
      <c r="AD1397" s="269"/>
      <c r="AE1397" s="269"/>
      <c r="AF1397" s="269"/>
      <c r="AG1397" s="269"/>
      <c r="AH1397" s="269"/>
      <c r="AI1397" s="269"/>
      <c r="AJ1397" s="269"/>
      <c r="AK1397" s="269"/>
      <c r="AL1397" s="269"/>
      <c r="AM1397" s="269"/>
      <c r="AN1397" s="269"/>
      <c r="AO1397" s="269"/>
      <c r="AP1397" s="269"/>
      <c r="AQ1397" s="269"/>
      <c r="AR1397" s="269"/>
    </row>
    <row r="1398">
      <c r="A1398" s="410"/>
      <c r="B1398" s="410"/>
      <c r="C1398" s="410"/>
      <c r="D1398" s="410"/>
      <c r="E1398" s="410"/>
      <c r="F1398" s="410"/>
      <c r="H1398" s="269"/>
      <c r="I1398" s="269"/>
      <c r="J1398" s="269"/>
      <c r="K1398" s="269"/>
      <c r="L1398" s="269"/>
      <c r="M1398" s="269"/>
      <c r="N1398" s="269"/>
      <c r="O1398" s="269"/>
      <c r="P1398" s="269"/>
      <c r="Q1398" s="269"/>
      <c r="R1398" s="269"/>
      <c r="S1398" s="269"/>
      <c r="T1398" s="269"/>
      <c r="U1398" s="269"/>
      <c r="V1398" s="269"/>
      <c r="W1398" s="269"/>
      <c r="X1398" s="269"/>
      <c r="Y1398" s="269"/>
      <c r="Z1398" s="269"/>
      <c r="AA1398" s="269"/>
      <c r="AB1398" s="269"/>
      <c r="AC1398" s="269"/>
      <c r="AD1398" s="269"/>
      <c r="AE1398" s="269"/>
      <c r="AF1398" s="269"/>
      <c r="AG1398" s="269"/>
      <c r="AH1398" s="269"/>
      <c r="AI1398" s="269"/>
      <c r="AJ1398" s="269"/>
      <c r="AK1398" s="269"/>
      <c r="AL1398" s="269"/>
      <c r="AM1398" s="269"/>
      <c r="AN1398" s="269"/>
      <c r="AO1398" s="269"/>
      <c r="AP1398" s="269"/>
      <c r="AQ1398" s="269"/>
      <c r="AR1398" s="269"/>
    </row>
    <row r="1399">
      <c r="A1399" s="410"/>
      <c r="B1399" s="410"/>
      <c r="C1399" s="410"/>
      <c r="D1399" s="410"/>
      <c r="E1399" s="410"/>
      <c r="F1399" s="410"/>
      <c r="H1399" s="269"/>
      <c r="I1399" s="269"/>
      <c r="J1399" s="269"/>
      <c r="K1399" s="269"/>
      <c r="L1399" s="269"/>
      <c r="M1399" s="269"/>
      <c r="N1399" s="269"/>
      <c r="O1399" s="269"/>
      <c r="P1399" s="269"/>
      <c r="Q1399" s="269"/>
      <c r="R1399" s="269"/>
      <c r="S1399" s="269"/>
      <c r="T1399" s="269"/>
      <c r="U1399" s="269"/>
      <c r="V1399" s="269"/>
      <c r="W1399" s="269"/>
      <c r="X1399" s="269"/>
      <c r="Y1399" s="269"/>
      <c r="Z1399" s="269"/>
      <c r="AA1399" s="269"/>
      <c r="AB1399" s="269"/>
      <c r="AC1399" s="269"/>
      <c r="AD1399" s="269"/>
      <c r="AE1399" s="269"/>
      <c r="AF1399" s="269"/>
      <c r="AG1399" s="269"/>
      <c r="AH1399" s="269"/>
      <c r="AI1399" s="269"/>
      <c r="AJ1399" s="269"/>
      <c r="AK1399" s="269"/>
      <c r="AL1399" s="269"/>
      <c r="AM1399" s="269"/>
      <c r="AN1399" s="269"/>
      <c r="AO1399" s="269"/>
      <c r="AP1399" s="269"/>
      <c r="AQ1399" s="269"/>
      <c r="AR1399" s="269"/>
    </row>
    <row r="1400">
      <c r="A1400" s="410"/>
      <c r="B1400" s="410"/>
      <c r="C1400" s="410"/>
      <c r="D1400" s="410"/>
      <c r="E1400" s="410"/>
      <c r="F1400" s="410"/>
      <c r="H1400" s="269"/>
      <c r="I1400" s="269"/>
      <c r="J1400" s="269"/>
      <c r="K1400" s="269"/>
      <c r="L1400" s="269"/>
      <c r="M1400" s="269"/>
      <c r="N1400" s="269"/>
      <c r="O1400" s="269"/>
      <c r="P1400" s="269"/>
      <c r="Q1400" s="269"/>
      <c r="R1400" s="269"/>
      <c r="S1400" s="269"/>
      <c r="T1400" s="269"/>
      <c r="U1400" s="269"/>
      <c r="V1400" s="269"/>
      <c r="W1400" s="269"/>
      <c r="X1400" s="269"/>
      <c r="Y1400" s="269"/>
      <c r="Z1400" s="269"/>
      <c r="AA1400" s="269"/>
      <c r="AB1400" s="269"/>
      <c r="AC1400" s="269"/>
      <c r="AD1400" s="269"/>
      <c r="AE1400" s="269"/>
      <c r="AF1400" s="269"/>
      <c r="AG1400" s="269"/>
      <c r="AH1400" s="269"/>
      <c r="AI1400" s="269"/>
      <c r="AJ1400" s="269"/>
      <c r="AK1400" s="269"/>
      <c r="AL1400" s="269"/>
      <c r="AM1400" s="269"/>
      <c r="AN1400" s="269"/>
      <c r="AO1400" s="269"/>
      <c r="AP1400" s="269"/>
      <c r="AQ1400" s="269"/>
      <c r="AR1400" s="269"/>
    </row>
    <row r="1401">
      <c r="A1401" s="410"/>
      <c r="B1401" s="410"/>
      <c r="C1401" s="410"/>
      <c r="D1401" s="410"/>
      <c r="E1401" s="410"/>
      <c r="F1401" s="410"/>
      <c r="H1401" s="269"/>
      <c r="I1401" s="269"/>
      <c r="J1401" s="269"/>
      <c r="K1401" s="269"/>
      <c r="L1401" s="269"/>
      <c r="M1401" s="269"/>
      <c r="N1401" s="269"/>
      <c r="O1401" s="269"/>
      <c r="P1401" s="269"/>
      <c r="Q1401" s="269"/>
      <c r="R1401" s="269"/>
      <c r="S1401" s="269"/>
      <c r="T1401" s="269"/>
      <c r="U1401" s="269"/>
      <c r="V1401" s="269"/>
      <c r="W1401" s="269"/>
      <c r="X1401" s="269"/>
      <c r="Y1401" s="269"/>
      <c r="Z1401" s="269"/>
      <c r="AA1401" s="269"/>
      <c r="AB1401" s="269"/>
      <c r="AC1401" s="269"/>
      <c r="AD1401" s="269"/>
      <c r="AE1401" s="269"/>
      <c r="AF1401" s="269"/>
      <c r="AG1401" s="269"/>
      <c r="AH1401" s="269"/>
      <c r="AI1401" s="269"/>
      <c r="AJ1401" s="269"/>
      <c r="AK1401" s="269"/>
      <c r="AL1401" s="269"/>
      <c r="AM1401" s="269"/>
      <c r="AN1401" s="269"/>
      <c r="AO1401" s="269"/>
      <c r="AP1401" s="269"/>
      <c r="AQ1401" s="269"/>
      <c r="AR1401" s="269"/>
    </row>
    <row r="1402">
      <c r="A1402" s="410"/>
      <c r="B1402" s="410"/>
      <c r="C1402" s="410"/>
      <c r="D1402" s="410"/>
      <c r="E1402" s="410"/>
      <c r="F1402" s="410"/>
      <c r="H1402" s="269"/>
      <c r="I1402" s="269"/>
      <c r="J1402" s="269"/>
      <c r="K1402" s="269"/>
      <c r="L1402" s="269"/>
      <c r="M1402" s="269"/>
      <c r="N1402" s="269"/>
      <c r="O1402" s="269"/>
      <c r="P1402" s="269"/>
      <c r="Q1402" s="269"/>
      <c r="R1402" s="269"/>
      <c r="S1402" s="269"/>
      <c r="T1402" s="269"/>
      <c r="U1402" s="269"/>
      <c r="V1402" s="269"/>
      <c r="W1402" s="269"/>
      <c r="X1402" s="269"/>
      <c r="Y1402" s="269"/>
      <c r="Z1402" s="269"/>
      <c r="AA1402" s="269"/>
      <c r="AB1402" s="269"/>
      <c r="AC1402" s="269"/>
      <c r="AD1402" s="269"/>
      <c r="AE1402" s="269"/>
      <c r="AF1402" s="269"/>
      <c r="AG1402" s="269"/>
      <c r="AH1402" s="269"/>
      <c r="AI1402" s="269"/>
      <c r="AJ1402" s="269"/>
      <c r="AK1402" s="269"/>
      <c r="AL1402" s="269"/>
      <c r="AM1402" s="269"/>
      <c r="AN1402" s="269"/>
      <c r="AO1402" s="269"/>
      <c r="AP1402" s="269"/>
      <c r="AQ1402" s="269"/>
      <c r="AR1402" s="269"/>
    </row>
    <row r="1403">
      <c r="A1403" s="410"/>
      <c r="B1403" s="410"/>
      <c r="C1403" s="410"/>
      <c r="D1403" s="410"/>
      <c r="E1403" s="410"/>
      <c r="F1403" s="410"/>
      <c r="H1403" s="269"/>
      <c r="I1403" s="269"/>
      <c r="J1403" s="269"/>
      <c r="K1403" s="269"/>
      <c r="L1403" s="269"/>
      <c r="M1403" s="269"/>
      <c r="N1403" s="269"/>
      <c r="O1403" s="269"/>
      <c r="P1403" s="269"/>
      <c r="Q1403" s="269"/>
      <c r="R1403" s="269"/>
      <c r="S1403" s="269"/>
      <c r="T1403" s="269"/>
      <c r="U1403" s="269"/>
      <c r="V1403" s="269"/>
      <c r="W1403" s="269"/>
      <c r="X1403" s="269"/>
      <c r="Y1403" s="269"/>
      <c r="Z1403" s="269"/>
      <c r="AA1403" s="269"/>
      <c r="AB1403" s="269"/>
      <c r="AC1403" s="269"/>
      <c r="AD1403" s="269"/>
      <c r="AE1403" s="269"/>
      <c r="AF1403" s="269"/>
      <c r="AG1403" s="269"/>
      <c r="AH1403" s="269"/>
      <c r="AI1403" s="269"/>
      <c r="AJ1403" s="269"/>
      <c r="AK1403" s="269"/>
      <c r="AL1403" s="269"/>
      <c r="AM1403" s="269"/>
      <c r="AN1403" s="269"/>
      <c r="AO1403" s="269"/>
      <c r="AP1403" s="269"/>
      <c r="AQ1403" s="269"/>
      <c r="AR1403" s="269"/>
    </row>
    <row r="1404">
      <c r="A1404" s="410"/>
      <c r="B1404" s="410"/>
      <c r="C1404" s="410"/>
      <c r="D1404" s="410"/>
      <c r="E1404" s="410"/>
      <c r="F1404" s="410"/>
      <c r="H1404" s="269"/>
      <c r="I1404" s="269"/>
      <c r="J1404" s="269"/>
      <c r="K1404" s="269"/>
      <c r="L1404" s="269"/>
      <c r="M1404" s="269"/>
      <c r="N1404" s="269"/>
      <c r="O1404" s="269"/>
      <c r="P1404" s="269"/>
      <c r="Q1404" s="269"/>
      <c r="R1404" s="269"/>
      <c r="S1404" s="269"/>
      <c r="T1404" s="269"/>
      <c r="U1404" s="269"/>
      <c r="V1404" s="269"/>
      <c r="W1404" s="269"/>
      <c r="X1404" s="269"/>
      <c r="Y1404" s="269"/>
      <c r="Z1404" s="269"/>
      <c r="AA1404" s="269"/>
      <c r="AB1404" s="269"/>
      <c r="AC1404" s="269"/>
      <c r="AD1404" s="269"/>
      <c r="AE1404" s="269"/>
      <c r="AF1404" s="269"/>
      <c r="AG1404" s="269"/>
      <c r="AH1404" s="269"/>
      <c r="AI1404" s="269"/>
      <c r="AJ1404" s="269"/>
      <c r="AK1404" s="269"/>
      <c r="AL1404" s="269"/>
      <c r="AM1404" s="269"/>
      <c r="AN1404" s="269"/>
      <c r="AO1404" s="269"/>
      <c r="AP1404" s="269"/>
      <c r="AQ1404" s="269"/>
      <c r="AR1404" s="269"/>
    </row>
    <row r="1405">
      <c r="A1405" s="410"/>
      <c r="B1405" s="410"/>
      <c r="C1405" s="410"/>
      <c r="D1405" s="410"/>
      <c r="E1405" s="410"/>
      <c r="F1405" s="410"/>
      <c r="H1405" s="269"/>
      <c r="I1405" s="269"/>
      <c r="J1405" s="269"/>
      <c r="K1405" s="269"/>
      <c r="L1405" s="269"/>
      <c r="M1405" s="269"/>
      <c r="N1405" s="269"/>
      <c r="O1405" s="269"/>
      <c r="P1405" s="269"/>
      <c r="Q1405" s="269"/>
      <c r="R1405" s="269"/>
      <c r="S1405" s="269"/>
      <c r="T1405" s="269"/>
      <c r="U1405" s="269"/>
      <c r="V1405" s="269"/>
      <c r="W1405" s="269"/>
      <c r="X1405" s="269"/>
      <c r="Y1405" s="269"/>
      <c r="Z1405" s="269"/>
      <c r="AA1405" s="269"/>
      <c r="AB1405" s="269"/>
      <c r="AC1405" s="269"/>
      <c r="AD1405" s="269"/>
      <c r="AE1405" s="269"/>
      <c r="AF1405" s="269"/>
      <c r="AG1405" s="269"/>
      <c r="AH1405" s="269"/>
      <c r="AI1405" s="269"/>
      <c r="AJ1405" s="269"/>
      <c r="AK1405" s="269"/>
      <c r="AL1405" s="269"/>
      <c r="AM1405" s="269"/>
      <c r="AN1405" s="269"/>
      <c r="AO1405" s="269"/>
      <c r="AP1405" s="269"/>
      <c r="AQ1405" s="269"/>
      <c r="AR1405" s="269"/>
    </row>
    <row r="1406">
      <c r="A1406" s="410"/>
      <c r="B1406" s="410"/>
      <c r="C1406" s="410"/>
      <c r="D1406" s="410"/>
      <c r="E1406" s="410"/>
      <c r="F1406" s="410"/>
      <c r="H1406" s="269"/>
      <c r="I1406" s="269"/>
      <c r="J1406" s="269"/>
      <c r="K1406" s="269"/>
      <c r="L1406" s="269"/>
      <c r="M1406" s="269"/>
      <c r="N1406" s="269"/>
      <c r="O1406" s="269"/>
      <c r="P1406" s="269"/>
      <c r="Q1406" s="269"/>
      <c r="R1406" s="269"/>
      <c r="S1406" s="269"/>
      <c r="T1406" s="269"/>
      <c r="U1406" s="269"/>
      <c r="V1406" s="269"/>
      <c r="W1406" s="269"/>
      <c r="X1406" s="269"/>
      <c r="Y1406" s="269"/>
      <c r="Z1406" s="269"/>
      <c r="AA1406" s="269"/>
      <c r="AB1406" s="269"/>
      <c r="AC1406" s="269"/>
      <c r="AD1406" s="269"/>
      <c r="AE1406" s="269"/>
      <c r="AF1406" s="269"/>
      <c r="AG1406" s="269"/>
      <c r="AH1406" s="269"/>
      <c r="AI1406" s="269"/>
      <c r="AJ1406" s="269"/>
      <c r="AK1406" s="269"/>
      <c r="AL1406" s="269"/>
      <c r="AM1406" s="269"/>
      <c r="AN1406" s="269"/>
      <c r="AO1406" s="269"/>
      <c r="AP1406" s="269"/>
      <c r="AQ1406" s="269"/>
      <c r="AR1406" s="269"/>
    </row>
    <row r="1407">
      <c r="A1407" s="410"/>
      <c r="B1407" s="410"/>
      <c r="C1407" s="410"/>
      <c r="D1407" s="410"/>
      <c r="E1407" s="410"/>
      <c r="F1407" s="410"/>
      <c r="H1407" s="269"/>
      <c r="I1407" s="269"/>
      <c r="J1407" s="269"/>
      <c r="K1407" s="269"/>
      <c r="L1407" s="269"/>
      <c r="M1407" s="269"/>
      <c r="N1407" s="269"/>
      <c r="O1407" s="269"/>
      <c r="P1407" s="269"/>
      <c r="Q1407" s="269"/>
      <c r="R1407" s="269"/>
      <c r="S1407" s="269"/>
      <c r="T1407" s="269"/>
      <c r="U1407" s="269"/>
      <c r="V1407" s="269"/>
      <c r="W1407" s="269"/>
      <c r="X1407" s="269"/>
      <c r="Y1407" s="269"/>
      <c r="Z1407" s="269"/>
      <c r="AA1407" s="269"/>
      <c r="AB1407" s="269"/>
      <c r="AC1407" s="269"/>
      <c r="AD1407" s="269"/>
      <c r="AE1407" s="269"/>
      <c r="AF1407" s="269"/>
      <c r="AG1407" s="269"/>
      <c r="AH1407" s="269"/>
      <c r="AI1407" s="269"/>
      <c r="AJ1407" s="269"/>
      <c r="AK1407" s="269"/>
      <c r="AL1407" s="269"/>
      <c r="AM1407" s="269"/>
      <c r="AN1407" s="269"/>
      <c r="AO1407" s="269"/>
      <c r="AP1407" s="269"/>
      <c r="AQ1407" s="269"/>
      <c r="AR1407" s="269"/>
    </row>
    <row r="1408">
      <c r="A1408" s="410"/>
      <c r="B1408" s="410"/>
      <c r="C1408" s="410"/>
      <c r="D1408" s="410"/>
      <c r="E1408" s="410"/>
      <c r="F1408" s="410"/>
      <c r="H1408" s="269"/>
      <c r="I1408" s="269"/>
      <c r="J1408" s="269"/>
      <c r="K1408" s="269"/>
      <c r="L1408" s="269"/>
      <c r="M1408" s="269"/>
      <c r="N1408" s="269"/>
      <c r="O1408" s="269"/>
      <c r="P1408" s="269"/>
      <c r="Q1408" s="269"/>
      <c r="R1408" s="269"/>
      <c r="S1408" s="269"/>
      <c r="T1408" s="269"/>
      <c r="U1408" s="269"/>
      <c r="V1408" s="269"/>
      <c r="W1408" s="269"/>
      <c r="X1408" s="269"/>
      <c r="Y1408" s="269"/>
      <c r="Z1408" s="269"/>
      <c r="AA1408" s="269"/>
      <c r="AB1408" s="269"/>
      <c r="AC1408" s="269"/>
      <c r="AD1408" s="269"/>
      <c r="AE1408" s="269"/>
      <c r="AF1408" s="269"/>
      <c r="AG1408" s="269"/>
      <c r="AH1408" s="269"/>
      <c r="AI1408" s="269"/>
      <c r="AJ1408" s="269"/>
      <c r="AK1408" s="269"/>
      <c r="AL1408" s="269"/>
      <c r="AM1408" s="269"/>
      <c r="AN1408" s="269"/>
      <c r="AO1408" s="269"/>
      <c r="AP1408" s="269"/>
      <c r="AQ1408" s="269"/>
      <c r="AR1408" s="269"/>
    </row>
    <row r="1409">
      <c r="A1409" s="410"/>
      <c r="B1409" s="410"/>
      <c r="C1409" s="410"/>
      <c r="D1409" s="410"/>
      <c r="E1409" s="410"/>
      <c r="F1409" s="410"/>
      <c r="H1409" s="269"/>
      <c r="I1409" s="269"/>
      <c r="J1409" s="269"/>
      <c r="K1409" s="269"/>
      <c r="L1409" s="269"/>
      <c r="M1409" s="269"/>
      <c r="N1409" s="269"/>
      <c r="O1409" s="269"/>
      <c r="P1409" s="269"/>
      <c r="Q1409" s="269"/>
      <c r="R1409" s="269"/>
      <c r="S1409" s="269"/>
      <c r="T1409" s="269"/>
      <c r="U1409" s="269"/>
      <c r="V1409" s="269"/>
      <c r="W1409" s="269"/>
      <c r="X1409" s="269"/>
      <c r="Y1409" s="269"/>
      <c r="Z1409" s="269"/>
      <c r="AA1409" s="269"/>
      <c r="AB1409" s="269"/>
      <c r="AC1409" s="269"/>
      <c r="AD1409" s="269"/>
      <c r="AE1409" s="269"/>
      <c r="AF1409" s="269"/>
      <c r="AG1409" s="269"/>
      <c r="AH1409" s="269"/>
      <c r="AI1409" s="269"/>
      <c r="AJ1409" s="269"/>
      <c r="AK1409" s="269"/>
      <c r="AL1409" s="269"/>
      <c r="AM1409" s="269"/>
      <c r="AN1409" s="269"/>
      <c r="AO1409" s="269"/>
      <c r="AP1409" s="269"/>
      <c r="AQ1409" s="269"/>
      <c r="AR1409" s="269"/>
    </row>
    <row r="1410">
      <c r="A1410" s="410"/>
      <c r="B1410" s="410"/>
      <c r="C1410" s="410"/>
      <c r="D1410" s="410"/>
      <c r="E1410" s="410"/>
      <c r="F1410" s="410"/>
      <c r="H1410" s="269"/>
      <c r="I1410" s="269"/>
      <c r="J1410" s="269"/>
      <c r="K1410" s="269"/>
      <c r="L1410" s="269"/>
      <c r="M1410" s="269"/>
      <c r="N1410" s="269"/>
      <c r="O1410" s="269"/>
      <c r="P1410" s="269"/>
      <c r="Q1410" s="269"/>
      <c r="R1410" s="269"/>
      <c r="S1410" s="269"/>
      <c r="T1410" s="269"/>
      <c r="U1410" s="269"/>
      <c r="V1410" s="269"/>
      <c r="W1410" s="269"/>
      <c r="X1410" s="269"/>
      <c r="Y1410" s="269"/>
      <c r="Z1410" s="269"/>
      <c r="AA1410" s="269"/>
      <c r="AB1410" s="269"/>
      <c r="AC1410" s="269"/>
      <c r="AD1410" s="269"/>
      <c r="AE1410" s="269"/>
      <c r="AF1410" s="269"/>
      <c r="AG1410" s="269"/>
      <c r="AH1410" s="269"/>
      <c r="AI1410" s="269"/>
      <c r="AJ1410" s="269"/>
      <c r="AK1410" s="269"/>
      <c r="AL1410" s="269"/>
      <c r="AM1410" s="269"/>
      <c r="AN1410" s="269"/>
      <c r="AO1410" s="269"/>
      <c r="AP1410" s="269"/>
      <c r="AQ1410" s="269"/>
      <c r="AR1410" s="269"/>
    </row>
    <row r="1411">
      <c r="A1411" s="410"/>
      <c r="B1411" s="410"/>
      <c r="C1411" s="410"/>
      <c r="D1411" s="410"/>
      <c r="E1411" s="410"/>
      <c r="F1411" s="410"/>
      <c r="H1411" s="269"/>
      <c r="I1411" s="269"/>
      <c r="J1411" s="269"/>
      <c r="K1411" s="269"/>
      <c r="L1411" s="269"/>
      <c r="M1411" s="269"/>
      <c r="N1411" s="269"/>
      <c r="O1411" s="269"/>
      <c r="P1411" s="269"/>
      <c r="Q1411" s="269"/>
      <c r="R1411" s="269"/>
      <c r="S1411" s="269"/>
      <c r="T1411" s="269"/>
      <c r="U1411" s="269"/>
      <c r="V1411" s="269"/>
      <c r="W1411" s="269"/>
      <c r="X1411" s="269"/>
      <c r="Y1411" s="269"/>
      <c r="Z1411" s="269"/>
      <c r="AA1411" s="269"/>
      <c r="AB1411" s="269"/>
      <c r="AC1411" s="269"/>
      <c r="AD1411" s="269"/>
      <c r="AE1411" s="269"/>
      <c r="AF1411" s="269"/>
      <c r="AG1411" s="269"/>
      <c r="AH1411" s="269"/>
      <c r="AI1411" s="269"/>
      <c r="AJ1411" s="269"/>
      <c r="AK1411" s="269"/>
      <c r="AL1411" s="269"/>
      <c r="AM1411" s="269"/>
      <c r="AN1411" s="269"/>
      <c r="AO1411" s="269"/>
      <c r="AP1411" s="269"/>
      <c r="AQ1411" s="269"/>
      <c r="AR1411" s="269"/>
    </row>
    <row r="1412">
      <c r="A1412" s="410"/>
      <c r="B1412" s="410"/>
      <c r="C1412" s="410"/>
      <c r="D1412" s="410"/>
      <c r="E1412" s="410"/>
      <c r="F1412" s="410"/>
      <c r="H1412" s="269"/>
      <c r="I1412" s="269"/>
      <c r="J1412" s="269"/>
      <c r="K1412" s="269"/>
      <c r="L1412" s="269"/>
      <c r="M1412" s="269"/>
      <c r="N1412" s="269"/>
      <c r="O1412" s="269"/>
      <c r="P1412" s="269"/>
      <c r="Q1412" s="269"/>
      <c r="R1412" s="269"/>
      <c r="S1412" s="269"/>
      <c r="T1412" s="269"/>
      <c r="U1412" s="269"/>
      <c r="V1412" s="269"/>
      <c r="W1412" s="269"/>
      <c r="X1412" s="269"/>
      <c r="Y1412" s="269"/>
      <c r="Z1412" s="269"/>
      <c r="AA1412" s="269"/>
      <c r="AB1412" s="269"/>
      <c r="AC1412" s="269"/>
      <c r="AD1412" s="269"/>
      <c r="AE1412" s="269"/>
      <c r="AF1412" s="269"/>
      <c r="AG1412" s="269"/>
      <c r="AH1412" s="269"/>
      <c r="AI1412" s="269"/>
      <c r="AJ1412" s="269"/>
      <c r="AK1412" s="269"/>
      <c r="AL1412" s="269"/>
      <c r="AM1412" s="269"/>
      <c r="AN1412" s="269"/>
      <c r="AO1412" s="269"/>
      <c r="AP1412" s="269"/>
      <c r="AQ1412" s="269"/>
      <c r="AR1412" s="269"/>
    </row>
    <row r="1413">
      <c r="A1413" s="410"/>
      <c r="B1413" s="410"/>
      <c r="C1413" s="410"/>
      <c r="D1413" s="410"/>
      <c r="E1413" s="410"/>
      <c r="F1413" s="410"/>
      <c r="H1413" s="269"/>
      <c r="I1413" s="269"/>
      <c r="J1413" s="269"/>
      <c r="K1413" s="269"/>
      <c r="L1413" s="269"/>
      <c r="M1413" s="269"/>
      <c r="N1413" s="269"/>
      <c r="O1413" s="269"/>
      <c r="P1413" s="269"/>
      <c r="Q1413" s="269"/>
      <c r="R1413" s="269"/>
      <c r="S1413" s="269"/>
      <c r="T1413" s="269"/>
      <c r="U1413" s="269"/>
      <c r="V1413" s="269"/>
      <c r="W1413" s="269"/>
      <c r="X1413" s="269"/>
      <c r="Y1413" s="269"/>
      <c r="Z1413" s="269"/>
      <c r="AA1413" s="269"/>
      <c r="AB1413" s="269"/>
      <c r="AC1413" s="269"/>
      <c r="AD1413" s="269"/>
      <c r="AE1413" s="269"/>
      <c r="AF1413" s="269"/>
      <c r="AG1413" s="269"/>
      <c r="AH1413" s="269"/>
      <c r="AI1413" s="269"/>
      <c r="AJ1413" s="269"/>
      <c r="AK1413" s="269"/>
      <c r="AL1413" s="269"/>
      <c r="AM1413" s="269"/>
      <c r="AN1413" s="269"/>
      <c r="AO1413" s="269"/>
      <c r="AP1413" s="269"/>
      <c r="AQ1413" s="269"/>
      <c r="AR1413" s="269"/>
    </row>
    <row r="1414">
      <c r="A1414" s="410"/>
      <c r="B1414" s="410"/>
      <c r="C1414" s="410"/>
      <c r="D1414" s="410"/>
      <c r="E1414" s="410"/>
      <c r="F1414" s="410"/>
      <c r="H1414" s="269"/>
      <c r="I1414" s="269"/>
      <c r="J1414" s="269"/>
      <c r="K1414" s="269"/>
      <c r="L1414" s="269"/>
      <c r="M1414" s="269"/>
      <c r="N1414" s="269"/>
      <c r="O1414" s="269"/>
      <c r="P1414" s="269"/>
      <c r="Q1414" s="269"/>
      <c r="R1414" s="269"/>
      <c r="S1414" s="269"/>
      <c r="T1414" s="269"/>
      <c r="U1414" s="269"/>
      <c r="V1414" s="269"/>
      <c r="W1414" s="269"/>
      <c r="X1414" s="269"/>
      <c r="Y1414" s="269"/>
      <c r="Z1414" s="269"/>
      <c r="AA1414" s="269"/>
      <c r="AB1414" s="269"/>
      <c r="AC1414" s="269"/>
      <c r="AD1414" s="269"/>
      <c r="AE1414" s="269"/>
      <c r="AF1414" s="269"/>
      <c r="AG1414" s="269"/>
      <c r="AH1414" s="269"/>
      <c r="AI1414" s="269"/>
      <c r="AJ1414" s="269"/>
      <c r="AK1414" s="269"/>
      <c r="AL1414" s="269"/>
      <c r="AM1414" s="269"/>
      <c r="AN1414" s="269"/>
      <c r="AO1414" s="269"/>
      <c r="AP1414" s="269"/>
      <c r="AQ1414" s="269"/>
      <c r="AR1414" s="269"/>
    </row>
    <row r="1415">
      <c r="A1415" s="410"/>
      <c r="B1415" s="410"/>
      <c r="C1415" s="410"/>
      <c r="D1415" s="410"/>
      <c r="E1415" s="410"/>
      <c r="F1415" s="410"/>
      <c r="H1415" s="269"/>
      <c r="I1415" s="269"/>
      <c r="J1415" s="269"/>
      <c r="K1415" s="269"/>
      <c r="L1415" s="269"/>
      <c r="M1415" s="269"/>
      <c r="N1415" s="269"/>
      <c r="O1415" s="269"/>
      <c r="P1415" s="269"/>
      <c r="Q1415" s="269"/>
      <c r="R1415" s="269"/>
      <c r="S1415" s="269"/>
      <c r="T1415" s="269"/>
      <c r="U1415" s="269"/>
      <c r="V1415" s="269"/>
      <c r="W1415" s="269"/>
      <c r="X1415" s="269"/>
      <c r="Y1415" s="269"/>
      <c r="Z1415" s="269"/>
      <c r="AA1415" s="269"/>
      <c r="AB1415" s="269"/>
      <c r="AC1415" s="269"/>
      <c r="AD1415" s="269"/>
      <c r="AE1415" s="269"/>
      <c r="AF1415" s="269"/>
      <c r="AG1415" s="269"/>
      <c r="AH1415" s="269"/>
      <c r="AI1415" s="269"/>
      <c r="AJ1415" s="269"/>
      <c r="AK1415" s="269"/>
      <c r="AL1415" s="269"/>
      <c r="AM1415" s="269"/>
      <c r="AN1415" s="269"/>
      <c r="AO1415" s="269"/>
      <c r="AP1415" s="269"/>
      <c r="AQ1415" s="269"/>
      <c r="AR1415" s="269"/>
    </row>
    <row r="1416">
      <c r="A1416" s="410"/>
      <c r="B1416" s="410"/>
      <c r="C1416" s="410"/>
      <c r="D1416" s="410"/>
      <c r="E1416" s="410"/>
      <c r="F1416" s="410"/>
      <c r="H1416" s="269"/>
      <c r="I1416" s="269"/>
      <c r="J1416" s="269"/>
      <c r="K1416" s="269"/>
      <c r="L1416" s="269"/>
      <c r="M1416" s="269"/>
      <c r="N1416" s="269"/>
      <c r="O1416" s="269"/>
      <c r="P1416" s="269"/>
      <c r="Q1416" s="269"/>
      <c r="R1416" s="269"/>
      <c r="S1416" s="269"/>
      <c r="T1416" s="269"/>
      <c r="U1416" s="269"/>
      <c r="V1416" s="269"/>
      <c r="W1416" s="269"/>
      <c r="X1416" s="269"/>
      <c r="Y1416" s="269"/>
      <c r="Z1416" s="269"/>
      <c r="AA1416" s="269"/>
      <c r="AB1416" s="269"/>
      <c r="AC1416" s="269"/>
      <c r="AD1416" s="269"/>
      <c r="AE1416" s="269"/>
      <c r="AF1416" s="269"/>
      <c r="AG1416" s="269"/>
      <c r="AH1416" s="269"/>
      <c r="AI1416" s="269"/>
      <c r="AJ1416" s="269"/>
      <c r="AK1416" s="269"/>
      <c r="AL1416" s="269"/>
      <c r="AM1416" s="269"/>
      <c r="AN1416" s="269"/>
      <c r="AO1416" s="269"/>
      <c r="AP1416" s="269"/>
      <c r="AQ1416" s="269"/>
      <c r="AR1416" s="269"/>
    </row>
    <row r="1417">
      <c r="A1417" s="410"/>
      <c r="B1417" s="410"/>
      <c r="C1417" s="410"/>
      <c r="D1417" s="410"/>
      <c r="E1417" s="410"/>
      <c r="F1417" s="410"/>
      <c r="H1417" s="269"/>
      <c r="I1417" s="269"/>
      <c r="J1417" s="269"/>
      <c r="K1417" s="269"/>
      <c r="L1417" s="269"/>
      <c r="M1417" s="269"/>
      <c r="N1417" s="269"/>
      <c r="O1417" s="269"/>
      <c r="P1417" s="269"/>
      <c r="Q1417" s="269"/>
      <c r="R1417" s="269"/>
      <c r="S1417" s="269"/>
      <c r="T1417" s="269"/>
      <c r="U1417" s="269"/>
      <c r="V1417" s="269"/>
      <c r="W1417" s="269"/>
      <c r="X1417" s="269"/>
      <c r="Y1417" s="269"/>
      <c r="Z1417" s="269"/>
      <c r="AA1417" s="269"/>
      <c r="AB1417" s="269"/>
      <c r="AC1417" s="269"/>
      <c r="AD1417" s="269"/>
      <c r="AE1417" s="269"/>
      <c r="AF1417" s="269"/>
      <c r="AG1417" s="269"/>
      <c r="AH1417" s="269"/>
      <c r="AI1417" s="269"/>
      <c r="AJ1417" s="269"/>
      <c r="AK1417" s="269"/>
      <c r="AL1417" s="269"/>
      <c r="AM1417" s="269"/>
      <c r="AN1417" s="269"/>
      <c r="AO1417" s="269"/>
      <c r="AP1417" s="269"/>
      <c r="AQ1417" s="269"/>
      <c r="AR1417" s="269"/>
    </row>
    <row r="1418">
      <c r="A1418" s="410"/>
      <c r="B1418" s="410"/>
      <c r="C1418" s="410"/>
      <c r="D1418" s="410"/>
      <c r="E1418" s="410"/>
      <c r="F1418" s="410"/>
      <c r="H1418" s="269"/>
      <c r="I1418" s="269"/>
      <c r="J1418" s="269"/>
      <c r="K1418" s="269"/>
      <c r="L1418" s="269"/>
      <c r="M1418" s="269"/>
      <c r="N1418" s="269"/>
      <c r="O1418" s="269"/>
      <c r="P1418" s="269"/>
      <c r="Q1418" s="269"/>
      <c r="R1418" s="269"/>
      <c r="S1418" s="269"/>
      <c r="T1418" s="269"/>
      <c r="U1418" s="269"/>
      <c r="V1418" s="269"/>
      <c r="W1418" s="269"/>
      <c r="X1418" s="269"/>
      <c r="Y1418" s="269"/>
      <c r="Z1418" s="269"/>
      <c r="AA1418" s="269"/>
      <c r="AB1418" s="269"/>
      <c r="AC1418" s="269"/>
      <c r="AD1418" s="269"/>
      <c r="AE1418" s="269"/>
      <c r="AF1418" s="269"/>
      <c r="AG1418" s="269"/>
      <c r="AH1418" s="269"/>
      <c r="AI1418" s="269"/>
      <c r="AJ1418" s="269"/>
      <c r="AK1418" s="269"/>
      <c r="AL1418" s="269"/>
      <c r="AM1418" s="269"/>
      <c r="AN1418" s="269"/>
      <c r="AO1418" s="269"/>
      <c r="AP1418" s="269"/>
      <c r="AQ1418" s="269"/>
      <c r="AR1418" s="269"/>
    </row>
    <row r="1419">
      <c r="A1419" s="410"/>
      <c r="B1419" s="410"/>
      <c r="C1419" s="410"/>
      <c r="D1419" s="410"/>
      <c r="E1419" s="410"/>
      <c r="F1419" s="410"/>
      <c r="H1419" s="269"/>
      <c r="I1419" s="269"/>
      <c r="J1419" s="269"/>
      <c r="K1419" s="269"/>
      <c r="L1419" s="269"/>
      <c r="M1419" s="269"/>
      <c r="N1419" s="269"/>
      <c r="O1419" s="269"/>
      <c r="P1419" s="269"/>
      <c r="Q1419" s="269"/>
      <c r="R1419" s="269"/>
      <c r="S1419" s="269"/>
      <c r="T1419" s="269"/>
      <c r="U1419" s="269"/>
      <c r="V1419" s="269"/>
      <c r="W1419" s="269"/>
      <c r="X1419" s="269"/>
      <c r="Y1419" s="269"/>
      <c r="Z1419" s="269"/>
      <c r="AA1419" s="269"/>
      <c r="AB1419" s="269"/>
      <c r="AC1419" s="269"/>
      <c r="AD1419" s="269"/>
      <c r="AE1419" s="269"/>
      <c r="AF1419" s="269"/>
      <c r="AG1419" s="269"/>
      <c r="AH1419" s="269"/>
      <c r="AI1419" s="269"/>
      <c r="AJ1419" s="269"/>
      <c r="AK1419" s="269"/>
      <c r="AL1419" s="269"/>
      <c r="AM1419" s="269"/>
      <c r="AN1419" s="269"/>
      <c r="AO1419" s="269"/>
      <c r="AP1419" s="269"/>
      <c r="AQ1419" s="269"/>
      <c r="AR1419" s="269"/>
    </row>
    <row r="1420">
      <c r="A1420" s="410"/>
      <c r="B1420" s="410"/>
      <c r="C1420" s="410"/>
      <c r="D1420" s="410"/>
      <c r="E1420" s="410"/>
      <c r="F1420" s="410"/>
      <c r="H1420" s="269"/>
      <c r="I1420" s="269"/>
      <c r="J1420" s="269"/>
      <c r="K1420" s="269"/>
      <c r="L1420" s="269"/>
      <c r="M1420" s="269"/>
      <c r="N1420" s="269"/>
      <c r="O1420" s="269"/>
      <c r="P1420" s="269"/>
      <c r="Q1420" s="269"/>
      <c r="R1420" s="269"/>
      <c r="S1420" s="269"/>
      <c r="T1420" s="269"/>
      <c r="U1420" s="269"/>
      <c r="V1420" s="269"/>
      <c r="W1420" s="269"/>
      <c r="X1420" s="269"/>
      <c r="Y1420" s="269"/>
      <c r="Z1420" s="269"/>
      <c r="AA1420" s="269"/>
      <c r="AB1420" s="269"/>
      <c r="AC1420" s="269"/>
      <c r="AD1420" s="269"/>
      <c r="AE1420" s="269"/>
      <c r="AF1420" s="269"/>
      <c r="AG1420" s="269"/>
      <c r="AH1420" s="269"/>
      <c r="AI1420" s="269"/>
      <c r="AJ1420" s="269"/>
      <c r="AK1420" s="269"/>
      <c r="AL1420" s="269"/>
      <c r="AM1420" s="269"/>
      <c r="AN1420" s="269"/>
      <c r="AO1420" s="269"/>
      <c r="AP1420" s="269"/>
      <c r="AQ1420" s="269"/>
      <c r="AR1420" s="269"/>
    </row>
    <row r="1421">
      <c r="A1421" s="410"/>
      <c r="B1421" s="410"/>
      <c r="C1421" s="410"/>
      <c r="D1421" s="410"/>
      <c r="E1421" s="410"/>
      <c r="F1421" s="410"/>
      <c r="H1421" s="269"/>
      <c r="I1421" s="269"/>
      <c r="J1421" s="269"/>
      <c r="K1421" s="269"/>
      <c r="L1421" s="269"/>
      <c r="M1421" s="269"/>
      <c r="N1421" s="269"/>
      <c r="O1421" s="269"/>
      <c r="P1421" s="269"/>
      <c r="Q1421" s="269"/>
      <c r="R1421" s="269"/>
      <c r="S1421" s="269"/>
      <c r="T1421" s="269"/>
      <c r="U1421" s="269"/>
      <c r="V1421" s="269"/>
      <c r="W1421" s="269"/>
      <c r="X1421" s="269"/>
      <c r="Y1421" s="269"/>
      <c r="Z1421" s="269"/>
      <c r="AA1421" s="269"/>
      <c r="AB1421" s="269"/>
      <c r="AC1421" s="269"/>
      <c r="AD1421" s="269"/>
      <c r="AE1421" s="269"/>
      <c r="AF1421" s="269"/>
      <c r="AG1421" s="269"/>
      <c r="AH1421" s="269"/>
      <c r="AI1421" s="269"/>
      <c r="AJ1421" s="269"/>
      <c r="AK1421" s="269"/>
      <c r="AL1421" s="269"/>
      <c r="AM1421" s="269"/>
      <c r="AN1421" s="269"/>
      <c r="AO1421" s="269"/>
      <c r="AP1421" s="269"/>
      <c r="AQ1421" s="269"/>
      <c r="AR1421" s="269"/>
    </row>
    <row r="1422">
      <c r="A1422" s="410"/>
      <c r="B1422" s="410"/>
      <c r="C1422" s="410"/>
      <c r="D1422" s="410"/>
      <c r="E1422" s="410"/>
      <c r="F1422" s="410"/>
      <c r="H1422" s="269"/>
      <c r="I1422" s="269"/>
      <c r="J1422" s="269"/>
      <c r="K1422" s="269"/>
      <c r="L1422" s="269"/>
      <c r="M1422" s="269"/>
      <c r="N1422" s="269"/>
      <c r="O1422" s="269"/>
      <c r="P1422" s="269"/>
      <c r="Q1422" s="269"/>
      <c r="R1422" s="269"/>
      <c r="S1422" s="269"/>
      <c r="T1422" s="269"/>
      <c r="U1422" s="269"/>
      <c r="V1422" s="269"/>
      <c r="W1422" s="269"/>
      <c r="X1422" s="269"/>
      <c r="Y1422" s="269"/>
      <c r="Z1422" s="269"/>
      <c r="AA1422" s="269"/>
      <c r="AB1422" s="269"/>
      <c r="AC1422" s="269"/>
      <c r="AD1422" s="269"/>
      <c r="AE1422" s="269"/>
      <c r="AF1422" s="269"/>
      <c r="AG1422" s="269"/>
      <c r="AH1422" s="269"/>
      <c r="AI1422" s="269"/>
      <c r="AJ1422" s="269"/>
      <c r="AK1422" s="269"/>
      <c r="AL1422" s="269"/>
      <c r="AM1422" s="269"/>
      <c r="AN1422" s="269"/>
      <c r="AO1422" s="269"/>
      <c r="AP1422" s="269"/>
      <c r="AQ1422" s="269"/>
      <c r="AR1422" s="269"/>
    </row>
    <row r="1423">
      <c r="A1423" s="410"/>
      <c r="B1423" s="410"/>
      <c r="C1423" s="410"/>
      <c r="D1423" s="410"/>
      <c r="E1423" s="410"/>
      <c r="F1423" s="410"/>
      <c r="H1423" s="269"/>
      <c r="I1423" s="269"/>
      <c r="J1423" s="269"/>
      <c r="K1423" s="269"/>
      <c r="L1423" s="269"/>
      <c r="M1423" s="269"/>
      <c r="N1423" s="269"/>
      <c r="O1423" s="269"/>
      <c r="P1423" s="269"/>
      <c r="Q1423" s="269"/>
      <c r="R1423" s="269"/>
      <c r="S1423" s="269"/>
      <c r="T1423" s="269"/>
      <c r="U1423" s="269"/>
      <c r="V1423" s="269"/>
      <c r="W1423" s="269"/>
      <c r="X1423" s="269"/>
      <c r="Y1423" s="269"/>
      <c r="Z1423" s="269"/>
      <c r="AA1423" s="269"/>
      <c r="AB1423" s="269"/>
      <c r="AC1423" s="269"/>
      <c r="AD1423" s="269"/>
      <c r="AE1423" s="269"/>
      <c r="AF1423" s="269"/>
      <c r="AG1423" s="269"/>
      <c r="AH1423" s="269"/>
      <c r="AI1423" s="269"/>
      <c r="AJ1423" s="269"/>
      <c r="AK1423" s="269"/>
      <c r="AL1423" s="269"/>
      <c r="AM1423" s="269"/>
      <c r="AN1423" s="269"/>
      <c r="AO1423" s="269"/>
      <c r="AP1423" s="269"/>
      <c r="AQ1423" s="269"/>
      <c r="AR1423" s="269"/>
    </row>
    <row r="1424">
      <c r="A1424" s="410"/>
      <c r="B1424" s="410"/>
      <c r="C1424" s="410"/>
      <c r="D1424" s="410"/>
      <c r="E1424" s="410"/>
      <c r="F1424" s="410"/>
      <c r="H1424" s="269"/>
      <c r="I1424" s="269"/>
      <c r="J1424" s="269"/>
      <c r="K1424" s="269"/>
      <c r="L1424" s="269"/>
      <c r="M1424" s="269"/>
      <c r="N1424" s="269"/>
      <c r="O1424" s="269"/>
      <c r="P1424" s="269"/>
      <c r="Q1424" s="269"/>
      <c r="R1424" s="269"/>
      <c r="S1424" s="269"/>
      <c r="T1424" s="269"/>
      <c r="U1424" s="269"/>
      <c r="V1424" s="269"/>
      <c r="W1424" s="269"/>
      <c r="X1424" s="269"/>
      <c r="Y1424" s="269"/>
      <c r="Z1424" s="269"/>
      <c r="AA1424" s="269"/>
      <c r="AB1424" s="269"/>
      <c r="AC1424" s="269"/>
      <c r="AD1424" s="269"/>
      <c r="AE1424" s="269"/>
      <c r="AF1424" s="269"/>
      <c r="AG1424" s="269"/>
      <c r="AH1424" s="269"/>
      <c r="AI1424" s="269"/>
      <c r="AJ1424" s="269"/>
      <c r="AK1424" s="269"/>
      <c r="AL1424" s="269"/>
      <c r="AM1424" s="269"/>
      <c r="AN1424" s="269"/>
      <c r="AO1424" s="269"/>
      <c r="AP1424" s="269"/>
      <c r="AQ1424" s="269"/>
      <c r="AR1424" s="269"/>
    </row>
    <row r="1425">
      <c r="A1425" s="410"/>
      <c r="B1425" s="410"/>
      <c r="C1425" s="410"/>
      <c r="D1425" s="410"/>
      <c r="E1425" s="410"/>
      <c r="F1425" s="410"/>
      <c r="H1425" s="269"/>
      <c r="I1425" s="269"/>
      <c r="J1425" s="269"/>
      <c r="K1425" s="269"/>
      <c r="L1425" s="269"/>
      <c r="M1425" s="269"/>
      <c r="N1425" s="269"/>
      <c r="O1425" s="269"/>
      <c r="P1425" s="269"/>
      <c r="Q1425" s="269"/>
      <c r="R1425" s="269"/>
      <c r="S1425" s="269"/>
      <c r="T1425" s="269"/>
      <c r="U1425" s="269"/>
      <c r="V1425" s="269"/>
      <c r="W1425" s="269"/>
      <c r="X1425" s="269"/>
      <c r="Y1425" s="269"/>
      <c r="Z1425" s="269"/>
      <c r="AA1425" s="269"/>
      <c r="AB1425" s="269"/>
      <c r="AC1425" s="269"/>
      <c r="AD1425" s="269"/>
      <c r="AE1425" s="269"/>
      <c r="AF1425" s="269"/>
      <c r="AG1425" s="269"/>
      <c r="AH1425" s="269"/>
      <c r="AI1425" s="269"/>
      <c r="AJ1425" s="269"/>
      <c r="AK1425" s="269"/>
      <c r="AL1425" s="269"/>
      <c r="AM1425" s="269"/>
      <c r="AN1425" s="269"/>
      <c r="AO1425" s="269"/>
      <c r="AP1425" s="269"/>
      <c r="AQ1425" s="269"/>
      <c r="AR1425" s="269"/>
    </row>
    <row r="1426">
      <c r="A1426" s="410"/>
      <c r="B1426" s="410"/>
      <c r="C1426" s="410"/>
      <c r="D1426" s="410"/>
      <c r="E1426" s="410"/>
      <c r="F1426" s="410"/>
      <c r="H1426" s="269"/>
      <c r="I1426" s="269"/>
      <c r="J1426" s="269"/>
      <c r="K1426" s="269"/>
      <c r="L1426" s="269"/>
      <c r="M1426" s="269"/>
      <c r="N1426" s="269"/>
      <c r="O1426" s="269"/>
      <c r="P1426" s="269"/>
      <c r="Q1426" s="269"/>
      <c r="R1426" s="269"/>
      <c r="S1426" s="269"/>
      <c r="T1426" s="269"/>
      <c r="U1426" s="269"/>
      <c r="V1426" s="269"/>
      <c r="W1426" s="269"/>
      <c r="X1426" s="269"/>
      <c r="Y1426" s="269"/>
      <c r="Z1426" s="269"/>
      <c r="AA1426" s="269"/>
      <c r="AB1426" s="269"/>
      <c r="AC1426" s="269"/>
      <c r="AD1426" s="269"/>
      <c r="AE1426" s="269"/>
      <c r="AF1426" s="269"/>
      <c r="AG1426" s="269"/>
      <c r="AH1426" s="269"/>
      <c r="AI1426" s="269"/>
      <c r="AJ1426" s="269"/>
      <c r="AK1426" s="269"/>
      <c r="AL1426" s="269"/>
      <c r="AM1426" s="269"/>
      <c r="AN1426" s="269"/>
      <c r="AO1426" s="269"/>
      <c r="AP1426" s="269"/>
      <c r="AQ1426" s="269"/>
      <c r="AR1426" s="269"/>
    </row>
    <row r="1427">
      <c r="A1427" s="410"/>
      <c r="B1427" s="410"/>
      <c r="C1427" s="410"/>
      <c r="D1427" s="410"/>
      <c r="E1427" s="410"/>
      <c r="F1427" s="410"/>
      <c r="H1427" s="269"/>
      <c r="I1427" s="269"/>
      <c r="J1427" s="269"/>
      <c r="K1427" s="269"/>
      <c r="L1427" s="269"/>
      <c r="M1427" s="269"/>
      <c r="N1427" s="269"/>
      <c r="O1427" s="269"/>
      <c r="P1427" s="269"/>
      <c r="Q1427" s="269"/>
      <c r="R1427" s="269"/>
      <c r="S1427" s="269"/>
      <c r="T1427" s="269"/>
      <c r="U1427" s="269"/>
      <c r="V1427" s="269"/>
      <c r="W1427" s="269"/>
      <c r="X1427" s="269"/>
      <c r="Y1427" s="269"/>
      <c r="Z1427" s="269"/>
      <c r="AA1427" s="269"/>
      <c r="AB1427" s="269"/>
      <c r="AC1427" s="269"/>
      <c r="AD1427" s="269"/>
      <c r="AE1427" s="269"/>
      <c r="AF1427" s="269"/>
      <c r="AG1427" s="269"/>
      <c r="AH1427" s="269"/>
      <c r="AI1427" s="269"/>
      <c r="AJ1427" s="269"/>
      <c r="AK1427" s="269"/>
      <c r="AL1427" s="269"/>
      <c r="AM1427" s="269"/>
      <c r="AN1427" s="269"/>
      <c r="AO1427" s="269"/>
      <c r="AP1427" s="269"/>
      <c r="AQ1427" s="269"/>
      <c r="AR1427" s="269"/>
    </row>
    <row r="1428">
      <c r="A1428" s="410"/>
      <c r="B1428" s="410"/>
      <c r="C1428" s="410"/>
      <c r="D1428" s="410"/>
      <c r="E1428" s="410"/>
      <c r="F1428" s="410"/>
      <c r="H1428" s="269"/>
      <c r="I1428" s="269"/>
      <c r="J1428" s="269"/>
      <c r="K1428" s="269"/>
      <c r="L1428" s="269"/>
      <c r="M1428" s="269"/>
      <c r="N1428" s="269"/>
      <c r="O1428" s="269"/>
      <c r="P1428" s="269"/>
      <c r="Q1428" s="269"/>
      <c r="R1428" s="269"/>
      <c r="S1428" s="269"/>
      <c r="T1428" s="269"/>
      <c r="U1428" s="269"/>
      <c r="V1428" s="269"/>
      <c r="W1428" s="269"/>
      <c r="X1428" s="269"/>
      <c r="Y1428" s="269"/>
      <c r="Z1428" s="269"/>
      <c r="AA1428" s="269"/>
      <c r="AB1428" s="269"/>
      <c r="AC1428" s="269"/>
      <c r="AD1428" s="269"/>
      <c r="AE1428" s="269"/>
      <c r="AF1428" s="269"/>
      <c r="AG1428" s="269"/>
      <c r="AH1428" s="269"/>
      <c r="AI1428" s="269"/>
      <c r="AJ1428" s="269"/>
      <c r="AK1428" s="269"/>
      <c r="AL1428" s="269"/>
      <c r="AM1428" s="269"/>
      <c r="AN1428" s="269"/>
      <c r="AO1428" s="269"/>
      <c r="AP1428" s="269"/>
      <c r="AQ1428" s="269"/>
      <c r="AR1428" s="269"/>
    </row>
    <row r="1429">
      <c r="A1429" s="410"/>
      <c r="B1429" s="410"/>
      <c r="C1429" s="410"/>
      <c r="D1429" s="410"/>
      <c r="E1429" s="410"/>
      <c r="F1429" s="410"/>
      <c r="H1429" s="269"/>
      <c r="I1429" s="269"/>
      <c r="J1429" s="269"/>
      <c r="K1429" s="269"/>
      <c r="L1429" s="269"/>
      <c r="M1429" s="269"/>
      <c r="N1429" s="269"/>
      <c r="O1429" s="269"/>
      <c r="P1429" s="269"/>
      <c r="Q1429" s="269"/>
      <c r="R1429" s="269"/>
      <c r="S1429" s="269"/>
      <c r="T1429" s="269"/>
      <c r="U1429" s="269"/>
      <c r="V1429" s="269"/>
      <c r="W1429" s="269"/>
      <c r="X1429" s="269"/>
      <c r="Y1429" s="269"/>
      <c r="Z1429" s="269"/>
      <c r="AA1429" s="269"/>
      <c r="AB1429" s="269"/>
      <c r="AC1429" s="269"/>
      <c r="AD1429" s="269"/>
      <c r="AE1429" s="269"/>
      <c r="AF1429" s="269"/>
      <c r="AG1429" s="269"/>
      <c r="AH1429" s="269"/>
      <c r="AI1429" s="269"/>
      <c r="AJ1429" s="269"/>
      <c r="AK1429" s="269"/>
      <c r="AL1429" s="269"/>
      <c r="AM1429" s="269"/>
      <c r="AN1429" s="269"/>
      <c r="AO1429" s="269"/>
      <c r="AP1429" s="269"/>
      <c r="AQ1429" s="269"/>
      <c r="AR1429" s="269"/>
    </row>
    <row r="1430">
      <c r="A1430" s="410"/>
      <c r="B1430" s="410"/>
      <c r="C1430" s="410"/>
      <c r="D1430" s="410"/>
      <c r="E1430" s="410"/>
      <c r="F1430" s="410"/>
      <c r="H1430" s="269"/>
      <c r="I1430" s="269"/>
      <c r="J1430" s="269"/>
      <c r="K1430" s="269"/>
      <c r="L1430" s="269"/>
      <c r="M1430" s="269"/>
      <c r="N1430" s="269"/>
      <c r="O1430" s="269"/>
      <c r="P1430" s="269"/>
      <c r="Q1430" s="269"/>
      <c r="R1430" s="269"/>
      <c r="S1430" s="269"/>
      <c r="T1430" s="269"/>
      <c r="U1430" s="269"/>
      <c r="V1430" s="269"/>
      <c r="W1430" s="269"/>
      <c r="X1430" s="269"/>
      <c r="Y1430" s="269"/>
      <c r="Z1430" s="269"/>
      <c r="AA1430" s="269"/>
      <c r="AB1430" s="269"/>
      <c r="AC1430" s="269"/>
      <c r="AD1430" s="269"/>
      <c r="AE1430" s="269"/>
      <c r="AF1430" s="269"/>
      <c r="AG1430" s="269"/>
      <c r="AH1430" s="269"/>
      <c r="AI1430" s="269"/>
      <c r="AJ1430" s="269"/>
      <c r="AK1430" s="269"/>
      <c r="AL1430" s="269"/>
      <c r="AM1430" s="269"/>
      <c r="AN1430" s="269"/>
      <c r="AO1430" s="269"/>
      <c r="AP1430" s="269"/>
      <c r="AQ1430" s="269"/>
      <c r="AR1430" s="269"/>
    </row>
    <row r="1431">
      <c r="A1431" s="410"/>
      <c r="B1431" s="410"/>
      <c r="C1431" s="410"/>
      <c r="D1431" s="410"/>
      <c r="E1431" s="410"/>
      <c r="F1431" s="410"/>
      <c r="H1431" s="269"/>
      <c r="I1431" s="269"/>
      <c r="J1431" s="269"/>
      <c r="K1431" s="269"/>
      <c r="L1431" s="269"/>
      <c r="M1431" s="269"/>
      <c r="N1431" s="269"/>
      <c r="O1431" s="269"/>
      <c r="P1431" s="269"/>
      <c r="Q1431" s="269"/>
      <c r="R1431" s="269"/>
      <c r="S1431" s="269"/>
      <c r="T1431" s="269"/>
      <c r="U1431" s="269"/>
      <c r="V1431" s="269"/>
      <c r="W1431" s="269"/>
      <c r="X1431" s="269"/>
      <c r="Y1431" s="269"/>
      <c r="Z1431" s="269"/>
      <c r="AA1431" s="269"/>
      <c r="AB1431" s="269"/>
      <c r="AC1431" s="269"/>
      <c r="AD1431" s="269"/>
      <c r="AE1431" s="269"/>
      <c r="AF1431" s="269"/>
      <c r="AG1431" s="269"/>
      <c r="AH1431" s="269"/>
      <c r="AI1431" s="269"/>
      <c r="AJ1431" s="269"/>
      <c r="AK1431" s="269"/>
      <c r="AL1431" s="269"/>
      <c r="AM1431" s="269"/>
      <c r="AN1431" s="269"/>
      <c r="AO1431" s="269"/>
      <c r="AP1431" s="269"/>
      <c r="AQ1431" s="269"/>
      <c r="AR1431" s="269"/>
    </row>
    <row r="1432">
      <c r="A1432" s="410"/>
      <c r="B1432" s="410"/>
      <c r="C1432" s="410"/>
      <c r="D1432" s="410"/>
      <c r="E1432" s="410"/>
      <c r="F1432" s="410"/>
      <c r="H1432" s="269"/>
      <c r="I1432" s="269"/>
      <c r="J1432" s="269"/>
      <c r="K1432" s="269"/>
      <c r="L1432" s="269"/>
      <c r="M1432" s="269"/>
      <c r="N1432" s="269"/>
      <c r="O1432" s="269"/>
      <c r="P1432" s="269"/>
      <c r="Q1432" s="269"/>
      <c r="R1432" s="269"/>
      <c r="S1432" s="269"/>
      <c r="T1432" s="269"/>
      <c r="U1432" s="269"/>
      <c r="V1432" s="269"/>
      <c r="W1432" s="269"/>
      <c r="X1432" s="269"/>
      <c r="Y1432" s="269"/>
      <c r="Z1432" s="269"/>
      <c r="AA1432" s="269"/>
      <c r="AB1432" s="269"/>
      <c r="AC1432" s="269"/>
      <c r="AD1432" s="269"/>
      <c r="AE1432" s="269"/>
      <c r="AF1432" s="269"/>
      <c r="AG1432" s="269"/>
      <c r="AH1432" s="269"/>
      <c r="AI1432" s="269"/>
      <c r="AJ1432" s="269"/>
      <c r="AK1432" s="269"/>
      <c r="AL1432" s="269"/>
      <c r="AM1432" s="269"/>
      <c r="AN1432" s="269"/>
      <c r="AO1432" s="269"/>
      <c r="AP1432" s="269"/>
      <c r="AQ1432" s="269"/>
      <c r="AR1432" s="269"/>
    </row>
    <row r="1433">
      <c r="A1433" s="410"/>
      <c r="B1433" s="410"/>
      <c r="C1433" s="410"/>
      <c r="D1433" s="410"/>
      <c r="E1433" s="410"/>
      <c r="F1433" s="410"/>
      <c r="H1433" s="269"/>
      <c r="I1433" s="269"/>
      <c r="J1433" s="269"/>
      <c r="K1433" s="269"/>
      <c r="L1433" s="269"/>
      <c r="M1433" s="269"/>
      <c r="N1433" s="269"/>
      <c r="O1433" s="269"/>
      <c r="P1433" s="269"/>
      <c r="Q1433" s="269"/>
      <c r="R1433" s="269"/>
      <c r="S1433" s="269"/>
      <c r="T1433" s="269"/>
      <c r="U1433" s="269"/>
      <c r="V1433" s="269"/>
      <c r="W1433" s="269"/>
      <c r="X1433" s="269"/>
      <c r="Y1433" s="269"/>
      <c r="Z1433" s="269"/>
      <c r="AA1433" s="269"/>
      <c r="AB1433" s="269"/>
      <c r="AC1433" s="269"/>
      <c r="AD1433" s="269"/>
      <c r="AE1433" s="269"/>
      <c r="AF1433" s="269"/>
      <c r="AG1433" s="269"/>
      <c r="AH1433" s="269"/>
      <c r="AI1433" s="269"/>
      <c r="AJ1433" s="269"/>
      <c r="AK1433" s="269"/>
      <c r="AL1433" s="269"/>
      <c r="AM1433" s="269"/>
      <c r="AN1433" s="269"/>
      <c r="AO1433" s="269"/>
      <c r="AP1433" s="269"/>
      <c r="AQ1433" s="269"/>
      <c r="AR1433" s="269"/>
    </row>
    <row r="1434">
      <c r="A1434" s="410"/>
      <c r="B1434" s="410"/>
      <c r="C1434" s="410"/>
      <c r="D1434" s="410"/>
      <c r="E1434" s="410"/>
      <c r="F1434" s="410"/>
      <c r="H1434" s="269"/>
      <c r="I1434" s="269"/>
      <c r="J1434" s="269"/>
      <c r="K1434" s="269"/>
      <c r="L1434" s="269"/>
      <c r="M1434" s="269"/>
      <c r="N1434" s="269"/>
      <c r="O1434" s="269"/>
      <c r="P1434" s="269"/>
      <c r="Q1434" s="269"/>
      <c r="R1434" s="269"/>
      <c r="S1434" s="269"/>
      <c r="T1434" s="269"/>
      <c r="U1434" s="269"/>
      <c r="V1434" s="269"/>
      <c r="W1434" s="269"/>
      <c r="X1434" s="269"/>
      <c r="Y1434" s="269"/>
      <c r="Z1434" s="269"/>
      <c r="AA1434" s="269"/>
      <c r="AB1434" s="269"/>
      <c r="AC1434" s="269"/>
      <c r="AD1434" s="269"/>
      <c r="AE1434" s="269"/>
      <c r="AF1434" s="269"/>
      <c r="AG1434" s="269"/>
      <c r="AH1434" s="269"/>
      <c r="AI1434" s="269"/>
      <c r="AJ1434" s="269"/>
      <c r="AK1434" s="269"/>
      <c r="AL1434" s="269"/>
      <c r="AM1434" s="269"/>
      <c r="AN1434" s="269"/>
      <c r="AO1434" s="269"/>
      <c r="AP1434" s="269"/>
      <c r="AQ1434" s="269"/>
      <c r="AR1434" s="269"/>
    </row>
    <row r="1435">
      <c r="A1435" s="410"/>
      <c r="B1435" s="410"/>
      <c r="C1435" s="410"/>
      <c r="D1435" s="410"/>
      <c r="E1435" s="410"/>
      <c r="F1435" s="410"/>
      <c r="H1435" s="269"/>
      <c r="I1435" s="269"/>
      <c r="J1435" s="269"/>
      <c r="K1435" s="269"/>
      <c r="L1435" s="269"/>
      <c r="M1435" s="269"/>
      <c r="N1435" s="269"/>
      <c r="O1435" s="269"/>
      <c r="P1435" s="269"/>
      <c r="Q1435" s="269"/>
      <c r="R1435" s="269"/>
      <c r="S1435" s="269"/>
      <c r="T1435" s="269"/>
      <c r="U1435" s="269"/>
      <c r="V1435" s="269"/>
      <c r="W1435" s="269"/>
      <c r="X1435" s="269"/>
      <c r="Y1435" s="269"/>
      <c r="Z1435" s="269"/>
      <c r="AA1435" s="269"/>
      <c r="AB1435" s="269"/>
      <c r="AC1435" s="269"/>
      <c r="AD1435" s="269"/>
      <c r="AE1435" s="269"/>
      <c r="AF1435" s="269"/>
      <c r="AG1435" s="269"/>
      <c r="AH1435" s="269"/>
      <c r="AI1435" s="269"/>
      <c r="AJ1435" s="269"/>
      <c r="AK1435" s="269"/>
      <c r="AL1435" s="269"/>
      <c r="AM1435" s="269"/>
      <c r="AN1435" s="269"/>
      <c r="AO1435" s="269"/>
      <c r="AP1435" s="269"/>
      <c r="AQ1435" s="269"/>
      <c r="AR1435" s="269"/>
    </row>
    <row r="1436">
      <c r="A1436" s="410"/>
      <c r="B1436" s="410"/>
      <c r="C1436" s="410"/>
      <c r="D1436" s="410"/>
      <c r="E1436" s="410"/>
      <c r="F1436" s="410"/>
      <c r="H1436" s="269"/>
      <c r="I1436" s="269"/>
      <c r="J1436" s="269"/>
      <c r="K1436" s="269"/>
      <c r="L1436" s="269"/>
      <c r="M1436" s="269"/>
      <c r="N1436" s="269"/>
      <c r="O1436" s="269"/>
      <c r="P1436" s="269"/>
      <c r="Q1436" s="269"/>
      <c r="R1436" s="269"/>
      <c r="S1436" s="269"/>
      <c r="T1436" s="269"/>
      <c r="U1436" s="269"/>
      <c r="V1436" s="269"/>
      <c r="W1436" s="269"/>
      <c r="X1436" s="269"/>
      <c r="Y1436" s="269"/>
      <c r="Z1436" s="269"/>
      <c r="AA1436" s="269"/>
      <c r="AB1436" s="269"/>
      <c r="AC1436" s="269"/>
      <c r="AD1436" s="269"/>
      <c r="AE1436" s="269"/>
      <c r="AF1436" s="269"/>
      <c r="AG1436" s="269"/>
      <c r="AH1436" s="269"/>
      <c r="AI1436" s="269"/>
      <c r="AJ1436" s="269"/>
      <c r="AK1436" s="269"/>
      <c r="AL1436" s="269"/>
      <c r="AM1436" s="269"/>
      <c r="AN1436" s="269"/>
      <c r="AO1436" s="269"/>
      <c r="AP1436" s="269"/>
      <c r="AQ1436" s="269"/>
      <c r="AR1436" s="269"/>
    </row>
    <row r="1437">
      <c r="A1437" s="410"/>
      <c r="B1437" s="410"/>
      <c r="C1437" s="410"/>
      <c r="D1437" s="410"/>
      <c r="E1437" s="410"/>
      <c r="F1437" s="410"/>
      <c r="H1437" s="269"/>
      <c r="I1437" s="269"/>
      <c r="J1437" s="269"/>
      <c r="K1437" s="269"/>
      <c r="L1437" s="269"/>
      <c r="M1437" s="269"/>
      <c r="N1437" s="269"/>
      <c r="O1437" s="269"/>
      <c r="P1437" s="269"/>
      <c r="Q1437" s="269"/>
      <c r="R1437" s="269"/>
      <c r="S1437" s="269"/>
      <c r="T1437" s="269"/>
      <c r="U1437" s="269"/>
      <c r="V1437" s="269"/>
      <c r="W1437" s="269"/>
      <c r="X1437" s="269"/>
      <c r="Y1437" s="269"/>
      <c r="Z1437" s="269"/>
      <c r="AA1437" s="269"/>
      <c r="AB1437" s="269"/>
      <c r="AC1437" s="269"/>
      <c r="AD1437" s="269"/>
      <c r="AE1437" s="269"/>
      <c r="AF1437" s="269"/>
      <c r="AG1437" s="269"/>
      <c r="AH1437" s="269"/>
      <c r="AI1437" s="269"/>
      <c r="AJ1437" s="269"/>
      <c r="AK1437" s="269"/>
      <c r="AL1437" s="269"/>
      <c r="AM1437" s="269"/>
      <c r="AN1437" s="269"/>
      <c r="AO1437" s="269"/>
      <c r="AP1437" s="269"/>
      <c r="AQ1437" s="269"/>
      <c r="AR1437" s="269"/>
    </row>
    <row r="1438">
      <c r="A1438" s="410"/>
      <c r="B1438" s="410"/>
      <c r="C1438" s="410"/>
      <c r="D1438" s="410"/>
      <c r="E1438" s="410"/>
      <c r="F1438" s="410"/>
      <c r="H1438" s="269"/>
      <c r="I1438" s="269"/>
      <c r="J1438" s="269"/>
      <c r="K1438" s="269"/>
      <c r="L1438" s="269"/>
      <c r="M1438" s="269"/>
      <c r="N1438" s="269"/>
      <c r="O1438" s="269"/>
      <c r="P1438" s="269"/>
      <c r="Q1438" s="269"/>
      <c r="R1438" s="269"/>
      <c r="S1438" s="269"/>
      <c r="T1438" s="269"/>
      <c r="U1438" s="269"/>
      <c r="V1438" s="269"/>
      <c r="W1438" s="269"/>
      <c r="X1438" s="269"/>
      <c r="Y1438" s="269"/>
      <c r="Z1438" s="269"/>
      <c r="AA1438" s="269"/>
      <c r="AB1438" s="269"/>
      <c r="AC1438" s="269"/>
      <c r="AD1438" s="269"/>
      <c r="AE1438" s="269"/>
      <c r="AF1438" s="269"/>
      <c r="AG1438" s="269"/>
      <c r="AH1438" s="269"/>
      <c r="AI1438" s="269"/>
      <c r="AJ1438" s="269"/>
      <c r="AK1438" s="269"/>
      <c r="AL1438" s="269"/>
      <c r="AM1438" s="269"/>
      <c r="AN1438" s="269"/>
      <c r="AO1438" s="269"/>
      <c r="AP1438" s="269"/>
      <c r="AQ1438" s="269"/>
      <c r="AR1438" s="269"/>
    </row>
    <row r="1439">
      <c r="A1439" s="410"/>
      <c r="B1439" s="410"/>
      <c r="C1439" s="410"/>
      <c r="D1439" s="410"/>
      <c r="E1439" s="410"/>
      <c r="F1439" s="410"/>
      <c r="H1439" s="269"/>
      <c r="I1439" s="269"/>
      <c r="J1439" s="269"/>
      <c r="K1439" s="269"/>
      <c r="L1439" s="269"/>
      <c r="M1439" s="269"/>
      <c r="N1439" s="269"/>
      <c r="O1439" s="269"/>
      <c r="P1439" s="269"/>
      <c r="Q1439" s="269"/>
      <c r="R1439" s="269"/>
      <c r="S1439" s="269"/>
      <c r="T1439" s="269"/>
      <c r="U1439" s="269"/>
      <c r="V1439" s="269"/>
      <c r="W1439" s="269"/>
      <c r="X1439" s="269"/>
      <c r="Y1439" s="269"/>
      <c r="Z1439" s="269"/>
      <c r="AA1439" s="269"/>
      <c r="AB1439" s="269"/>
      <c r="AC1439" s="269"/>
      <c r="AD1439" s="269"/>
      <c r="AE1439" s="269"/>
      <c r="AF1439" s="269"/>
      <c r="AG1439" s="269"/>
      <c r="AH1439" s="269"/>
      <c r="AI1439" s="269"/>
      <c r="AJ1439" s="269"/>
      <c r="AK1439" s="269"/>
      <c r="AL1439" s="269"/>
      <c r="AM1439" s="269"/>
      <c r="AN1439" s="269"/>
      <c r="AO1439" s="269"/>
      <c r="AP1439" s="269"/>
      <c r="AQ1439" s="269"/>
      <c r="AR1439" s="269"/>
    </row>
    <row r="1440">
      <c r="A1440" s="410"/>
      <c r="B1440" s="410"/>
      <c r="C1440" s="410"/>
      <c r="D1440" s="410"/>
      <c r="E1440" s="410"/>
      <c r="F1440" s="410"/>
      <c r="H1440" s="269"/>
      <c r="I1440" s="269"/>
      <c r="J1440" s="269"/>
      <c r="K1440" s="269"/>
      <c r="L1440" s="269"/>
      <c r="M1440" s="269"/>
      <c r="N1440" s="269"/>
      <c r="O1440" s="269"/>
      <c r="P1440" s="269"/>
      <c r="Q1440" s="269"/>
      <c r="R1440" s="269"/>
      <c r="S1440" s="269"/>
      <c r="T1440" s="269"/>
      <c r="U1440" s="269"/>
      <c r="V1440" s="269"/>
      <c r="W1440" s="269"/>
      <c r="X1440" s="269"/>
      <c r="Y1440" s="269"/>
      <c r="Z1440" s="269"/>
      <c r="AA1440" s="269"/>
      <c r="AB1440" s="269"/>
      <c r="AC1440" s="269"/>
      <c r="AD1440" s="269"/>
      <c r="AE1440" s="269"/>
      <c r="AF1440" s="269"/>
      <c r="AG1440" s="269"/>
      <c r="AH1440" s="269"/>
      <c r="AI1440" s="269"/>
      <c r="AJ1440" s="269"/>
      <c r="AK1440" s="269"/>
      <c r="AL1440" s="269"/>
      <c r="AM1440" s="269"/>
      <c r="AN1440" s="269"/>
      <c r="AO1440" s="269"/>
      <c r="AP1440" s="269"/>
      <c r="AQ1440" s="269"/>
      <c r="AR1440" s="269"/>
    </row>
    <row r="1441">
      <c r="A1441" s="410"/>
      <c r="B1441" s="410"/>
      <c r="C1441" s="410"/>
      <c r="D1441" s="410"/>
      <c r="E1441" s="410"/>
      <c r="F1441" s="410"/>
      <c r="H1441" s="269"/>
      <c r="I1441" s="269"/>
      <c r="J1441" s="269"/>
      <c r="K1441" s="269"/>
      <c r="L1441" s="269"/>
      <c r="M1441" s="269"/>
      <c r="N1441" s="269"/>
      <c r="O1441" s="269"/>
      <c r="P1441" s="269"/>
      <c r="Q1441" s="269"/>
      <c r="R1441" s="269"/>
      <c r="S1441" s="269"/>
      <c r="T1441" s="269"/>
      <c r="U1441" s="269"/>
      <c r="V1441" s="269"/>
      <c r="W1441" s="269"/>
      <c r="X1441" s="269"/>
      <c r="Y1441" s="269"/>
      <c r="Z1441" s="269"/>
      <c r="AA1441" s="269"/>
      <c r="AB1441" s="269"/>
      <c r="AC1441" s="269"/>
      <c r="AD1441" s="269"/>
      <c r="AE1441" s="269"/>
      <c r="AF1441" s="269"/>
      <c r="AG1441" s="269"/>
      <c r="AH1441" s="269"/>
      <c r="AI1441" s="269"/>
      <c r="AJ1441" s="269"/>
      <c r="AK1441" s="269"/>
      <c r="AL1441" s="269"/>
      <c r="AM1441" s="269"/>
      <c r="AN1441" s="269"/>
      <c r="AO1441" s="269"/>
      <c r="AP1441" s="269"/>
      <c r="AQ1441" s="269"/>
      <c r="AR1441" s="269"/>
    </row>
    <row r="1442">
      <c r="A1442" s="410"/>
      <c r="B1442" s="410"/>
      <c r="C1442" s="410"/>
      <c r="D1442" s="410"/>
      <c r="E1442" s="410"/>
      <c r="F1442" s="410"/>
      <c r="H1442" s="269"/>
      <c r="I1442" s="269"/>
      <c r="J1442" s="269"/>
      <c r="K1442" s="269"/>
      <c r="L1442" s="269"/>
      <c r="M1442" s="269"/>
      <c r="N1442" s="269"/>
      <c r="O1442" s="269"/>
      <c r="P1442" s="269"/>
      <c r="Q1442" s="269"/>
      <c r="R1442" s="269"/>
      <c r="S1442" s="269"/>
      <c r="T1442" s="269"/>
      <c r="U1442" s="269"/>
      <c r="V1442" s="269"/>
      <c r="W1442" s="269"/>
      <c r="X1442" s="269"/>
      <c r="Y1442" s="269"/>
      <c r="Z1442" s="269"/>
      <c r="AA1442" s="269"/>
      <c r="AB1442" s="269"/>
      <c r="AC1442" s="269"/>
      <c r="AD1442" s="269"/>
      <c r="AE1442" s="269"/>
      <c r="AF1442" s="269"/>
      <c r="AG1442" s="269"/>
      <c r="AH1442" s="269"/>
      <c r="AI1442" s="269"/>
      <c r="AJ1442" s="269"/>
      <c r="AK1442" s="269"/>
      <c r="AL1442" s="269"/>
      <c r="AM1442" s="269"/>
      <c r="AN1442" s="269"/>
      <c r="AO1442" s="269"/>
      <c r="AP1442" s="269"/>
      <c r="AQ1442" s="269"/>
      <c r="AR1442" s="269"/>
    </row>
    <row r="1443">
      <c r="A1443" s="410"/>
      <c r="B1443" s="410"/>
      <c r="C1443" s="410"/>
      <c r="D1443" s="410"/>
      <c r="E1443" s="410"/>
      <c r="F1443" s="410"/>
      <c r="H1443" s="269"/>
      <c r="I1443" s="269"/>
      <c r="J1443" s="269"/>
      <c r="K1443" s="269"/>
      <c r="L1443" s="269"/>
      <c r="M1443" s="269"/>
      <c r="N1443" s="269"/>
      <c r="O1443" s="269"/>
      <c r="P1443" s="269"/>
      <c r="Q1443" s="269"/>
      <c r="R1443" s="269"/>
      <c r="S1443" s="269"/>
      <c r="T1443" s="269"/>
      <c r="U1443" s="269"/>
      <c r="V1443" s="269"/>
      <c r="W1443" s="269"/>
      <c r="X1443" s="269"/>
      <c r="Y1443" s="269"/>
      <c r="Z1443" s="269"/>
      <c r="AA1443" s="269"/>
      <c r="AB1443" s="269"/>
      <c r="AC1443" s="269"/>
      <c r="AD1443" s="269"/>
      <c r="AE1443" s="269"/>
      <c r="AF1443" s="269"/>
      <c r="AG1443" s="269"/>
      <c r="AH1443" s="269"/>
      <c r="AI1443" s="269"/>
      <c r="AJ1443" s="269"/>
      <c r="AK1443" s="269"/>
      <c r="AL1443" s="269"/>
      <c r="AM1443" s="269"/>
      <c r="AN1443" s="269"/>
      <c r="AO1443" s="269"/>
      <c r="AP1443" s="269"/>
      <c r="AQ1443" s="269"/>
      <c r="AR1443" s="269"/>
    </row>
    <row r="1444">
      <c r="A1444" s="410"/>
      <c r="B1444" s="410"/>
      <c r="C1444" s="410"/>
      <c r="D1444" s="410"/>
      <c r="E1444" s="410"/>
      <c r="F1444" s="410"/>
      <c r="H1444" s="269"/>
      <c r="I1444" s="269"/>
      <c r="J1444" s="269"/>
      <c r="K1444" s="269"/>
      <c r="L1444" s="269"/>
      <c r="M1444" s="269"/>
      <c r="N1444" s="269"/>
      <c r="O1444" s="269"/>
      <c r="P1444" s="269"/>
      <c r="Q1444" s="269"/>
      <c r="R1444" s="269"/>
      <c r="S1444" s="269"/>
      <c r="T1444" s="269"/>
      <c r="U1444" s="269"/>
      <c r="V1444" s="269"/>
      <c r="W1444" s="269"/>
      <c r="X1444" s="269"/>
      <c r="Y1444" s="269"/>
      <c r="Z1444" s="269"/>
      <c r="AA1444" s="269"/>
      <c r="AB1444" s="269"/>
      <c r="AC1444" s="269"/>
      <c r="AD1444" s="269"/>
      <c r="AE1444" s="269"/>
      <c r="AF1444" s="269"/>
      <c r="AG1444" s="269"/>
      <c r="AH1444" s="269"/>
      <c r="AI1444" s="269"/>
      <c r="AJ1444" s="269"/>
      <c r="AK1444" s="269"/>
      <c r="AL1444" s="269"/>
      <c r="AM1444" s="269"/>
      <c r="AN1444" s="269"/>
      <c r="AO1444" s="269"/>
      <c r="AP1444" s="269"/>
      <c r="AQ1444" s="269"/>
      <c r="AR1444" s="269"/>
    </row>
    <row r="1445">
      <c r="A1445" s="410"/>
      <c r="B1445" s="410"/>
      <c r="C1445" s="410"/>
      <c r="D1445" s="410"/>
      <c r="E1445" s="410"/>
      <c r="F1445" s="410"/>
      <c r="H1445" s="269"/>
      <c r="I1445" s="269"/>
      <c r="J1445" s="269"/>
      <c r="K1445" s="269"/>
      <c r="L1445" s="269"/>
      <c r="M1445" s="269"/>
      <c r="N1445" s="269"/>
      <c r="O1445" s="269"/>
      <c r="P1445" s="269"/>
      <c r="Q1445" s="269"/>
      <c r="R1445" s="269"/>
      <c r="S1445" s="269"/>
      <c r="T1445" s="269"/>
      <c r="U1445" s="269"/>
      <c r="V1445" s="269"/>
      <c r="W1445" s="269"/>
      <c r="X1445" s="269"/>
      <c r="Y1445" s="269"/>
      <c r="Z1445" s="269"/>
      <c r="AA1445" s="269"/>
      <c r="AB1445" s="269"/>
      <c r="AC1445" s="269"/>
      <c r="AD1445" s="269"/>
      <c r="AE1445" s="269"/>
      <c r="AF1445" s="269"/>
      <c r="AG1445" s="269"/>
      <c r="AH1445" s="269"/>
      <c r="AI1445" s="269"/>
      <c r="AJ1445" s="269"/>
      <c r="AK1445" s="269"/>
      <c r="AL1445" s="269"/>
      <c r="AM1445" s="269"/>
      <c r="AN1445" s="269"/>
      <c r="AO1445" s="269"/>
      <c r="AP1445" s="269"/>
      <c r="AQ1445" s="269"/>
      <c r="AR1445" s="269"/>
    </row>
    <row r="1446">
      <c r="A1446" s="410"/>
      <c r="B1446" s="410"/>
      <c r="C1446" s="410"/>
      <c r="D1446" s="410"/>
      <c r="E1446" s="410"/>
      <c r="F1446" s="410"/>
      <c r="H1446" s="269"/>
      <c r="I1446" s="269"/>
      <c r="J1446" s="269"/>
      <c r="K1446" s="269"/>
      <c r="L1446" s="269"/>
      <c r="M1446" s="269"/>
      <c r="N1446" s="269"/>
      <c r="O1446" s="269"/>
      <c r="P1446" s="269"/>
      <c r="Q1446" s="269"/>
      <c r="R1446" s="269"/>
      <c r="S1446" s="269"/>
      <c r="T1446" s="269"/>
      <c r="U1446" s="269"/>
      <c r="V1446" s="269"/>
      <c r="W1446" s="269"/>
      <c r="X1446" s="269"/>
      <c r="Y1446" s="269"/>
      <c r="Z1446" s="269"/>
      <c r="AA1446" s="269"/>
      <c r="AB1446" s="269"/>
      <c r="AC1446" s="269"/>
      <c r="AD1446" s="269"/>
      <c r="AE1446" s="269"/>
      <c r="AF1446" s="269"/>
      <c r="AG1446" s="269"/>
      <c r="AH1446" s="269"/>
      <c r="AI1446" s="269"/>
      <c r="AJ1446" s="269"/>
      <c r="AK1446" s="269"/>
      <c r="AL1446" s="269"/>
      <c r="AM1446" s="269"/>
      <c r="AN1446" s="269"/>
      <c r="AO1446" s="269"/>
      <c r="AP1446" s="269"/>
      <c r="AQ1446" s="269"/>
      <c r="AR1446" s="269"/>
    </row>
    <row r="1447">
      <c r="A1447" s="410"/>
      <c r="B1447" s="410"/>
      <c r="C1447" s="410"/>
      <c r="D1447" s="410"/>
      <c r="E1447" s="410"/>
      <c r="F1447" s="410"/>
      <c r="H1447" s="269"/>
      <c r="I1447" s="269"/>
      <c r="J1447" s="269"/>
      <c r="K1447" s="269"/>
      <c r="L1447" s="269"/>
      <c r="M1447" s="269"/>
      <c r="N1447" s="269"/>
      <c r="O1447" s="269"/>
      <c r="P1447" s="269"/>
      <c r="Q1447" s="269"/>
      <c r="R1447" s="269"/>
      <c r="S1447" s="269"/>
      <c r="T1447" s="269"/>
      <c r="U1447" s="269"/>
      <c r="V1447" s="269"/>
      <c r="W1447" s="269"/>
      <c r="X1447" s="269"/>
      <c r="Y1447" s="269"/>
      <c r="Z1447" s="269"/>
      <c r="AA1447" s="269"/>
      <c r="AB1447" s="269"/>
      <c r="AC1447" s="269"/>
      <c r="AD1447" s="269"/>
      <c r="AE1447" s="269"/>
      <c r="AF1447" s="269"/>
      <c r="AG1447" s="269"/>
      <c r="AH1447" s="269"/>
      <c r="AI1447" s="269"/>
      <c r="AJ1447" s="269"/>
      <c r="AK1447" s="269"/>
      <c r="AL1447" s="269"/>
      <c r="AM1447" s="269"/>
      <c r="AN1447" s="269"/>
      <c r="AO1447" s="269"/>
      <c r="AP1447" s="269"/>
      <c r="AQ1447" s="269"/>
      <c r="AR1447" s="269"/>
    </row>
    <row r="1448">
      <c r="A1448" s="410"/>
      <c r="B1448" s="410"/>
      <c r="C1448" s="410"/>
      <c r="D1448" s="410"/>
      <c r="E1448" s="410"/>
      <c r="F1448" s="410"/>
      <c r="H1448" s="269"/>
      <c r="I1448" s="269"/>
      <c r="J1448" s="269"/>
      <c r="K1448" s="269"/>
      <c r="L1448" s="269"/>
      <c r="M1448" s="269"/>
      <c r="N1448" s="269"/>
      <c r="O1448" s="269"/>
      <c r="P1448" s="269"/>
      <c r="Q1448" s="269"/>
      <c r="R1448" s="269"/>
      <c r="S1448" s="269"/>
      <c r="T1448" s="269"/>
      <c r="U1448" s="269"/>
      <c r="V1448" s="269"/>
      <c r="W1448" s="269"/>
      <c r="X1448" s="269"/>
      <c r="Y1448" s="269"/>
      <c r="Z1448" s="269"/>
      <c r="AA1448" s="269"/>
      <c r="AB1448" s="269"/>
      <c r="AC1448" s="269"/>
      <c r="AD1448" s="269"/>
      <c r="AE1448" s="269"/>
      <c r="AF1448" s="269"/>
      <c r="AG1448" s="269"/>
      <c r="AH1448" s="269"/>
      <c r="AI1448" s="269"/>
      <c r="AJ1448" s="269"/>
      <c r="AK1448" s="269"/>
      <c r="AL1448" s="269"/>
      <c r="AM1448" s="269"/>
      <c r="AN1448" s="269"/>
      <c r="AO1448" s="269"/>
      <c r="AP1448" s="269"/>
      <c r="AQ1448" s="269"/>
      <c r="AR1448" s="269"/>
    </row>
    <row r="1449">
      <c r="A1449" s="410"/>
      <c r="B1449" s="410"/>
      <c r="C1449" s="410"/>
      <c r="D1449" s="410"/>
      <c r="E1449" s="410"/>
      <c r="F1449" s="410"/>
      <c r="H1449" s="269"/>
      <c r="I1449" s="269"/>
      <c r="J1449" s="269"/>
      <c r="K1449" s="269"/>
      <c r="L1449" s="269"/>
      <c r="M1449" s="269"/>
      <c r="N1449" s="269"/>
      <c r="O1449" s="269"/>
      <c r="P1449" s="269"/>
      <c r="Q1449" s="269"/>
      <c r="R1449" s="269"/>
      <c r="S1449" s="269"/>
      <c r="T1449" s="269"/>
      <c r="U1449" s="269"/>
      <c r="V1449" s="269"/>
      <c r="W1449" s="269"/>
      <c r="X1449" s="269"/>
      <c r="Y1449" s="269"/>
      <c r="Z1449" s="269"/>
      <c r="AA1449" s="269"/>
      <c r="AB1449" s="269"/>
      <c r="AC1449" s="269"/>
      <c r="AD1449" s="269"/>
      <c r="AE1449" s="269"/>
      <c r="AF1449" s="269"/>
      <c r="AG1449" s="269"/>
      <c r="AH1449" s="269"/>
      <c r="AI1449" s="269"/>
      <c r="AJ1449" s="269"/>
      <c r="AK1449" s="269"/>
      <c r="AL1449" s="269"/>
      <c r="AM1449" s="269"/>
      <c r="AN1449" s="269"/>
      <c r="AO1449" s="269"/>
      <c r="AP1449" s="269"/>
      <c r="AQ1449" s="269"/>
      <c r="AR1449" s="269"/>
    </row>
    <row r="1450">
      <c r="A1450" s="410"/>
      <c r="B1450" s="410"/>
      <c r="C1450" s="410"/>
      <c r="D1450" s="410"/>
      <c r="E1450" s="410"/>
      <c r="F1450" s="410"/>
      <c r="H1450" s="269"/>
      <c r="I1450" s="269"/>
      <c r="J1450" s="269"/>
      <c r="K1450" s="269"/>
      <c r="L1450" s="269"/>
      <c r="M1450" s="269"/>
      <c r="N1450" s="269"/>
      <c r="O1450" s="269"/>
      <c r="P1450" s="269"/>
      <c r="Q1450" s="269"/>
      <c r="R1450" s="269"/>
      <c r="S1450" s="269"/>
      <c r="T1450" s="269"/>
      <c r="U1450" s="269"/>
      <c r="V1450" s="269"/>
      <c r="W1450" s="269"/>
      <c r="X1450" s="269"/>
      <c r="Y1450" s="269"/>
      <c r="Z1450" s="269"/>
      <c r="AA1450" s="269"/>
      <c r="AB1450" s="269"/>
      <c r="AC1450" s="269"/>
      <c r="AD1450" s="269"/>
      <c r="AE1450" s="269"/>
      <c r="AF1450" s="269"/>
      <c r="AG1450" s="269"/>
      <c r="AH1450" s="269"/>
      <c r="AI1450" s="269"/>
      <c r="AJ1450" s="269"/>
      <c r="AK1450" s="269"/>
      <c r="AL1450" s="269"/>
      <c r="AM1450" s="269"/>
      <c r="AN1450" s="269"/>
      <c r="AO1450" s="269"/>
      <c r="AP1450" s="269"/>
      <c r="AQ1450" s="269"/>
      <c r="AR1450" s="269"/>
    </row>
    <row r="1451">
      <c r="A1451" s="410"/>
      <c r="B1451" s="410"/>
      <c r="C1451" s="410"/>
      <c r="D1451" s="410"/>
      <c r="E1451" s="410"/>
      <c r="F1451" s="410"/>
      <c r="H1451" s="269"/>
      <c r="I1451" s="269"/>
      <c r="J1451" s="269"/>
      <c r="K1451" s="269"/>
      <c r="L1451" s="269"/>
      <c r="M1451" s="269"/>
      <c r="N1451" s="269"/>
      <c r="O1451" s="269"/>
      <c r="P1451" s="269"/>
      <c r="Q1451" s="269"/>
      <c r="R1451" s="269"/>
      <c r="S1451" s="269"/>
      <c r="T1451" s="269"/>
      <c r="U1451" s="269"/>
      <c r="V1451" s="269"/>
      <c r="W1451" s="269"/>
      <c r="X1451" s="269"/>
      <c r="Y1451" s="269"/>
      <c r="Z1451" s="269"/>
      <c r="AA1451" s="269"/>
      <c r="AB1451" s="269"/>
      <c r="AC1451" s="269"/>
      <c r="AD1451" s="269"/>
      <c r="AE1451" s="269"/>
      <c r="AF1451" s="269"/>
      <c r="AG1451" s="269"/>
      <c r="AH1451" s="269"/>
      <c r="AI1451" s="269"/>
      <c r="AJ1451" s="269"/>
      <c r="AK1451" s="269"/>
      <c r="AL1451" s="269"/>
      <c r="AM1451" s="269"/>
      <c r="AN1451" s="269"/>
      <c r="AO1451" s="269"/>
      <c r="AP1451" s="269"/>
      <c r="AQ1451" s="269"/>
      <c r="AR1451" s="269"/>
    </row>
    <row r="1452">
      <c r="A1452" s="410"/>
      <c r="B1452" s="410"/>
      <c r="C1452" s="410"/>
      <c r="D1452" s="410"/>
      <c r="E1452" s="410"/>
      <c r="F1452" s="410"/>
      <c r="H1452" s="269"/>
      <c r="I1452" s="269"/>
      <c r="J1452" s="269"/>
      <c r="K1452" s="269"/>
      <c r="L1452" s="269"/>
      <c r="M1452" s="269"/>
      <c r="N1452" s="269"/>
      <c r="O1452" s="269"/>
      <c r="P1452" s="269"/>
      <c r="Q1452" s="269"/>
      <c r="R1452" s="269"/>
      <c r="S1452" s="269"/>
      <c r="T1452" s="269"/>
      <c r="U1452" s="269"/>
      <c r="V1452" s="269"/>
      <c r="W1452" s="269"/>
      <c r="X1452" s="269"/>
      <c r="Y1452" s="269"/>
      <c r="Z1452" s="269"/>
      <c r="AA1452" s="269"/>
      <c r="AB1452" s="269"/>
      <c r="AC1452" s="269"/>
      <c r="AD1452" s="269"/>
      <c r="AE1452" s="269"/>
      <c r="AF1452" s="269"/>
      <c r="AG1452" s="269"/>
      <c r="AH1452" s="269"/>
      <c r="AI1452" s="269"/>
      <c r="AJ1452" s="269"/>
      <c r="AK1452" s="269"/>
      <c r="AL1452" s="269"/>
      <c r="AM1452" s="269"/>
      <c r="AN1452" s="269"/>
      <c r="AO1452" s="269"/>
      <c r="AP1452" s="269"/>
      <c r="AQ1452" s="269"/>
      <c r="AR1452" s="269"/>
    </row>
    <row r="1453">
      <c r="A1453" s="410"/>
      <c r="B1453" s="410"/>
      <c r="C1453" s="410"/>
      <c r="D1453" s="410"/>
      <c r="E1453" s="410"/>
      <c r="F1453" s="410"/>
      <c r="H1453" s="269"/>
      <c r="I1453" s="269"/>
      <c r="J1453" s="269"/>
      <c r="K1453" s="269"/>
      <c r="L1453" s="269"/>
      <c r="M1453" s="269"/>
      <c r="N1453" s="269"/>
      <c r="O1453" s="269"/>
      <c r="P1453" s="269"/>
      <c r="Q1453" s="269"/>
      <c r="R1453" s="269"/>
      <c r="S1453" s="269"/>
      <c r="T1453" s="269"/>
      <c r="U1453" s="269"/>
      <c r="V1453" s="269"/>
      <c r="W1453" s="269"/>
      <c r="X1453" s="269"/>
      <c r="Y1453" s="269"/>
      <c r="Z1453" s="269"/>
      <c r="AA1453" s="269"/>
      <c r="AB1453" s="269"/>
      <c r="AC1453" s="269"/>
      <c r="AD1453" s="269"/>
      <c r="AE1453" s="269"/>
      <c r="AF1453" s="269"/>
      <c r="AG1453" s="269"/>
      <c r="AH1453" s="269"/>
      <c r="AI1453" s="269"/>
      <c r="AJ1453" s="269"/>
      <c r="AK1453" s="269"/>
      <c r="AL1453" s="269"/>
      <c r="AM1453" s="269"/>
      <c r="AN1453" s="269"/>
      <c r="AO1453" s="269"/>
      <c r="AP1453" s="269"/>
      <c r="AQ1453" s="269"/>
      <c r="AR1453" s="269"/>
    </row>
    <row r="1454">
      <c r="A1454" s="410"/>
      <c r="B1454" s="410"/>
      <c r="C1454" s="410"/>
      <c r="D1454" s="410"/>
      <c r="E1454" s="410"/>
      <c r="F1454" s="410"/>
      <c r="H1454" s="269"/>
      <c r="I1454" s="269"/>
      <c r="J1454" s="269"/>
      <c r="K1454" s="269"/>
      <c r="L1454" s="269"/>
      <c r="M1454" s="269"/>
      <c r="N1454" s="269"/>
      <c r="O1454" s="269"/>
      <c r="P1454" s="269"/>
      <c r="Q1454" s="269"/>
      <c r="R1454" s="269"/>
      <c r="S1454" s="269"/>
      <c r="T1454" s="269"/>
      <c r="U1454" s="269"/>
      <c r="V1454" s="269"/>
      <c r="W1454" s="269"/>
      <c r="X1454" s="269"/>
      <c r="Y1454" s="269"/>
      <c r="Z1454" s="269"/>
      <c r="AA1454" s="269"/>
      <c r="AB1454" s="269"/>
      <c r="AC1454" s="269"/>
      <c r="AD1454" s="269"/>
      <c r="AE1454" s="269"/>
      <c r="AF1454" s="269"/>
      <c r="AG1454" s="269"/>
      <c r="AH1454" s="269"/>
      <c r="AI1454" s="269"/>
      <c r="AJ1454" s="269"/>
      <c r="AK1454" s="269"/>
      <c r="AL1454" s="269"/>
      <c r="AM1454" s="269"/>
      <c r="AN1454" s="269"/>
      <c r="AO1454" s="269"/>
      <c r="AP1454" s="269"/>
      <c r="AQ1454" s="269"/>
      <c r="AR1454" s="269"/>
    </row>
    <row r="1455">
      <c r="A1455" s="410"/>
      <c r="B1455" s="410"/>
      <c r="C1455" s="410"/>
      <c r="D1455" s="410"/>
      <c r="E1455" s="410"/>
      <c r="F1455" s="410"/>
      <c r="H1455" s="269"/>
      <c r="I1455" s="269"/>
      <c r="J1455" s="269"/>
      <c r="K1455" s="269"/>
      <c r="L1455" s="269"/>
      <c r="M1455" s="269"/>
      <c r="N1455" s="269"/>
      <c r="O1455" s="269"/>
      <c r="P1455" s="269"/>
      <c r="Q1455" s="269"/>
      <c r="R1455" s="269"/>
      <c r="S1455" s="269"/>
      <c r="T1455" s="269"/>
      <c r="U1455" s="269"/>
      <c r="V1455" s="269"/>
      <c r="W1455" s="269"/>
      <c r="X1455" s="269"/>
      <c r="Y1455" s="269"/>
      <c r="Z1455" s="269"/>
      <c r="AA1455" s="269"/>
      <c r="AB1455" s="269"/>
      <c r="AC1455" s="269"/>
      <c r="AD1455" s="269"/>
      <c r="AE1455" s="269"/>
      <c r="AF1455" s="269"/>
      <c r="AG1455" s="269"/>
      <c r="AH1455" s="269"/>
      <c r="AI1455" s="269"/>
      <c r="AJ1455" s="269"/>
      <c r="AK1455" s="269"/>
      <c r="AL1455" s="269"/>
      <c r="AM1455" s="269"/>
      <c r="AN1455" s="269"/>
      <c r="AO1455" s="269"/>
      <c r="AP1455" s="269"/>
      <c r="AQ1455" s="269"/>
      <c r="AR1455" s="269"/>
    </row>
    <row r="1456">
      <c r="A1456" s="410"/>
      <c r="B1456" s="410"/>
      <c r="C1456" s="410"/>
      <c r="D1456" s="410"/>
      <c r="E1456" s="410"/>
      <c r="F1456" s="410"/>
      <c r="H1456" s="269"/>
      <c r="I1456" s="269"/>
      <c r="J1456" s="269"/>
      <c r="K1456" s="269"/>
      <c r="L1456" s="269"/>
      <c r="M1456" s="269"/>
      <c r="N1456" s="269"/>
      <c r="O1456" s="269"/>
      <c r="P1456" s="269"/>
      <c r="Q1456" s="269"/>
      <c r="R1456" s="269"/>
      <c r="S1456" s="269"/>
      <c r="T1456" s="269"/>
      <c r="U1456" s="269"/>
      <c r="V1456" s="269"/>
      <c r="W1456" s="269"/>
      <c r="X1456" s="269"/>
      <c r="Y1456" s="269"/>
      <c r="Z1456" s="269"/>
      <c r="AA1456" s="269"/>
      <c r="AB1456" s="269"/>
      <c r="AC1456" s="269"/>
      <c r="AD1456" s="269"/>
      <c r="AE1456" s="269"/>
      <c r="AF1456" s="269"/>
      <c r="AG1456" s="269"/>
      <c r="AH1456" s="269"/>
      <c r="AI1456" s="269"/>
      <c r="AJ1456" s="269"/>
      <c r="AK1456" s="269"/>
      <c r="AL1456" s="269"/>
      <c r="AM1456" s="269"/>
      <c r="AN1456" s="269"/>
      <c r="AO1456" s="269"/>
      <c r="AP1456" s="269"/>
      <c r="AQ1456" s="269"/>
      <c r="AR1456" s="269"/>
    </row>
    <row r="1457">
      <c r="A1457" s="410"/>
      <c r="B1457" s="410"/>
      <c r="C1457" s="410"/>
      <c r="D1457" s="410"/>
      <c r="E1457" s="410"/>
      <c r="F1457" s="410"/>
      <c r="H1457" s="269"/>
      <c r="I1457" s="269"/>
      <c r="J1457" s="269"/>
      <c r="K1457" s="269"/>
      <c r="L1457" s="269"/>
      <c r="M1457" s="269"/>
      <c r="N1457" s="269"/>
      <c r="O1457" s="269"/>
      <c r="P1457" s="269"/>
      <c r="Q1457" s="269"/>
      <c r="R1457" s="269"/>
      <c r="S1457" s="269"/>
      <c r="T1457" s="269"/>
      <c r="U1457" s="269"/>
      <c r="V1457" s="269"/>
      <c r="W1457" s="269"/>
      <c r="X1457" s="269"/>
      <c r="Y1457" s="269"/>
      <c r="Z1457" s="269"/>
      <c r="AA1457" s="269"/>
      <c r="AB1457" s="269"/>
      <c r="AC1457" s="269"/>
      <c r="AD1457" s="269"/>
      <c r="AE1457" s="269"/>
      <c r="AF1457" s="269"/>
      <c r="AG1457" s="269"/>
      <c r="AH1457" s="269"/>
      <c r="AI1457" s="269"/>
      <c r="AJ1457" s="269"/>
      <c r="AK1457" s="269"/>
      <c r="AL1457" s="269"/>
      <c r="AM1457" s="269"/>
      <c r="AN1457" s="269"/>
      <c r="AO1457" s="269"/>
      <c r="AP1457" s="269"/>
      <c r="AQ1457" s="269"/>
      <c r="AR1457" s="269"/>
    </row>
    <row r="1458">
      <c r="A1458" s="410"/>
      <c r="B1458" s="410"/>
      <c r="C1458" s="410"/>
      <c r="D1458" s="410"/>
      <c r="E1458" s="410"/>
      <c r="F1458" s="410"/>
      <c r="H1458" s="269"/>
      <c r="I1458" s="269"/>
      <c r="J1458" s="269"/>
      <c r="K1458" s="269"/>
      <c r="L1458" s="269"/>
      <c r="M1458" s="269"/>
      <c r="N1458" s="269"/>
      <c r="O1458" s="269"/>
      <c r="P1458" s="269"/>
      <c r="Q1458" s="269"/>
      <c r="R1458" s="269"/>
      <c r="S1458" s="269"/>
      <c r="T1458" s="269"/>
      <c r="U1458" s="269"/>
      <c r="V1458" s="269"/>
      <c r="W1458" s="269"/>
      <c r="X1458" s="269"/>
      <c r="Y1458" s="269"/>
      <c r="Z1458" s="269"/>
      <c r="AA1458" s="269"/>
      <c r="AB1458" s="269"/>
      <c r="AC1458" s="269"/>
      <c r="AD1458" s="269"/>
      <c r="AE1458" s="269"/>
      <c r="AF1458" s="269"/>
      <c r="AG1458" s="269"/>
      <c r="AH1458" s="269"/>
      <c r="AI1458" s="269"/>
      <c r="AJ1458" s="269"/>
      <c r="AK1458" s="269"/>
      <c r="AL1458" s="269"/>
      <c r="AM1458" s="269"/>
      <c r="AN1458" s="269"/>
      <c r="AO1458" s="269"/>
      <c r="AP1458" s="269"/>
      <c r="AQ1458" s="269"/>
      <c r="AR1458" s="269"/>
    </row>
    <row r="1459">
      <c r="A1459" s="410"/>
      <c r="B1459" s="410"/>
      <c r="C1459" s="410"/>
      <c r="D1459" s="410"/>
      <c r="E1459" s="410"/>
      <c r="F1459" s="410"/>
      <c r="H1459" s="269"/>
      <c r="I1459" s="269"/>
      <c r="J1459" s="269"/>
      <c r="K1459" s="269"/>
      <c r="L1459" s="269"/>
      <c r="M1459" s="269"/>
      <c r="N1459" s="269"/>
      <c r="O1459" s="269"/>
      <c r="P1459" s="269"/>
      <c r="Q1459" s="269"/>
      <c r="R1459" s="269"/>
      <c r="S1459" s="269"/>
      <c r="T1459" s="269"/>
      <c r="U1459" s="269"/>
      <c r="V1459" s="269"/>
      <c r="W1459" s="269"/>
      <c r="X1459" s="269"/>
      <c r="Y1459" s="269"/>
      <c r="Z1459" s="269"/>
      <c r="AA1459" s="269"/>
      <c r="AB1459" s="269"/>
      <c r="AC1459" s="269"/>
      <c r="AD1459" s="269"/>
      <c r="AE1459" s="269"/>
      <c r="AF1459" s="269"/>
      <c r="AG1459" s="269"/>
      <c r="AH1459" s="269"/>
      <c r="AI1459" s="269"/>
      <c r="AJ1459" s="269"/>
      <c r="AK1459" s="269"/>
      <c r="AL1459" s="269"/>
      <c r="AM1459" s="269"/>
      <c r="AN1459" s="269"/>
      <c r="AO1459" s="269"/>
      <c r="AP1459" s="269"/>
      <c r="AQ1459" s="269"/>
      <c r="AR1459" s="269"/>
    </row>
    <row r="1460">
      <c r="A1460" s="410"/>
      <c r="B1460" s="410"/>
      <c r="C1460" s="410"/>
      <c r="D1460" s="410"/>
      <c r="E1460" s="410"/>
      <c r="F1460" s="410"/>
      <c r="H1460" s="269"/>
      <c r="I1460" s="269"/>
      <c r="J1460" s="269"/>
      <c r="K1460" s="269"/>
      <c r="L1460" s="269"/>
      <c r="M1460" s="269"/>
      <c r="N1460" s="269"/>
      <c r="O1460" s="269"/>
      <c r="P1460" s="269"/>
      <c r="Q1460" s="269"/>
      <c r="R1460" s="269"/>
      <c r="S1460" s="269"/>
      <c r="T1460" s="269"/>
      <c r="U1460" s="269"/>
      <c r="V1460" s="269"/>
      <c r="W1460" s="269"/>
      <c r="X1460" s="269"/>
      <c r="Y1460" s="269"/>
      <c r="Z1460" s="269"/>
      <c r="AA1460" s="269"/>
      <c r="AB1460" s="269"/>
      <c r="AC1460" s="269"/>
      <c r="AD1460" s="269"/>
      <c r="AE1460" s="269"/>
      <c r="AF1460" s="269"/>
      <c r="AG1460" s="269"/>
      <c r="AH1460" s="269"/>
      <c r="AI1460" s="269"/>
      <c r="AJ1460" s="269"/>
      <c r="AK1460" s="269"/>
      <c r="AL1460" s="269"/>
      <c r="AM1460" s="269"/>
      <c r="AN1460" s="269"/>
      <c r="AO1460" s="269"/>
      <c r="AP1460" s="269"/>
      <c r="AQ1460" s="269"/>
      <c r="AR1460" s="269"/>
    </row>
    <row r="1461">
      <c r="A1461" s="410"/>
      <c r="B1461" s="410"/>
      <c r="C1461" s="410"/>
      <c r="D1461" s="410"/>
      <c r="E1461" s="410"/>
      <c r="F1461" s="410"/>
      <c r="H1461" s="269"/>
      <c r="I1461" s="269"/>
      <c r="J1461" s="269"/>
      <c r="K1461" s="269"/>
      <c r="L1461" s="269"/>
      <c r="M1461" s="269"/>
      <c r="N1461" s="269"/>
      <c r="O1461" s="269"/>
      <c r="P1461" s="269"/>
      <c r="Q1461" s="269"/>
      <c r="R1461" s="269"/>
      <c r="S1461" s="269"/>
      <c r="T1461" s="269"/>
      <c r="U1461" s="269"/>
      <c r="V1461" s="269"/>
      <c r="W1461" s="269"/>
      <c r="X1461" s="269"/>
      <c r="Y1461" s="269"/>
      <c r="Z1461" s="269"/>
      <c r="AA1461" s="269"/>
      <c r="AB1461" s="269"/>
      <c r="AC1461" s="269"/>
      <c r="AD1461" s="269"/>
      <c r="AE1461" s="269"/>
      <c r="AF1461" s="269"/>
      <c r="AG1461" s="269"/>
      <c r="AH1461" s="269"/>
      <c r="AI1461" s="269"/>
      <c r="AJ1461" s="269"/>
      <c r="AK1461" s="269"/>
      <c r="AL1461" s="269"/>
      <c r="AM1461" s="269"/>
      <c r="AN1461" s="269"/>
      <c r="AO1461" s="269"/>
      <c r="AP1461" s="269"/>
      <c r="AQ1461" s="269"/>
      <c r="AR1461" s="269"/>
    </row>
    <row r="1462">
      <c r="A1462" s="410"/>
      <c r="B1462" s="410"/>
      <c r="C1462" s="410"/>
      <c r="D1462" s="410"/>
      <c r="E1462" s="410"/>
      <c r="F1462" s="410"/>
      <c r="H1462" s="269"/>
      <c r="I1462" s="269"/>
      <c r="J1462" s="269"/>
      <c r="K1462" s="269"/>
      <c r="L1462" s="269"/>
      <c r="M1462" s="269"/>
      <c r="N1462" s="269"/>
      <c r="O1462" s="269"/>
      <c r="P1462" s="269"/>
      <c r="Q1462" s="269"/>
      <c r="R1462" s="269"/>
      <c r="S1462" s="269"/>
      <c r="T1462" s="269"/>
      <c r="U1462" s="269"/>
      <c r="V1462" s="269"/>
      <c r="W1462" s="269"/>
      <c r="X1462" s="269"/>
      <c r="Y1462" s="269"/>
      <c r="Z1462" s="269"/>
      <c r="AA1462" s="269"/>
      <c r="AB1462" s="269"/>
      <c r="AC1462" s="269"/>
      <c r="AD1462" s="269"/>
      <c r="AE1462" s="269"/>
      <c r="AF1462" s="269"/>
      <c r="AG1462" s="269"/>
      <c r="AH1462" s="269"/>
      <c r="AI1462" s="269"/>
      <c r="AJ1462" s="269"/>
      <c r="AK1462" s="269"/>
      <c r="AL1462" s="269"/>
      <c r="AM1462" s="269"/>
      <c r="AN1462" s="269"/>
      <c r="AO1462" s="269"/>
      <c r="AP1462" s="269"/>
      <c r="AQ1462" s="269"/>
      <c r="AR1462" s="269"/>
    </row>
    <row r="1463">
      <c r="A1463" s="410"/>
      <c r="B1463" s="410"/>
      <c r="C1463" s="410"/>
      <c r="D1463" s="410"/>
      <c r="E1463" s="410"/>
      <c r="F1463" s="410"/>
      <c r="H1463" s="269"/>
      <c r="I1463" s="269"/>
      <c r="J1463" s="269"/>
      <c r="K1463" s="269"/>
      <c r="L1463" s="269"/>
      <c r="M1463" s="269"/>
      <c r="N1463" s="269"/>
      <c r="O1463" s="269"/>
      <c r="P1463" s="269"/>
      <c r="Q1463" s="269"/>
      <c r="R1463" s="269"/>
      <c r="S1463" s="269"/>
      <c r="T1463" s="269"/>
      <c r="U1463" s="269"/>
      <c r="V1463" s="269"/>
      <c r="W1463" s="269"/>
      <c r="X1463" s="269"/>
      <c r="Y1463" s="269"/>
      <c r="Z1463" s="269"/>
      <c r="AA1463" s="269"/>
      <c r="AB1463" s="269"/>
      <c r="AC1463" s="269"/>
      <c r="AD1463" s="269"/>
      <c r="AE1463" s="269"/>
      <c r="AF1463" s="269"/>
      <c r="AG1463" s="269"/>
      <c r="AH1463" s="269"/>
      <c r="AI1463" s="269"/>
      <c r="AJ1463" s="269"/>
      <c r="AK1463" s="269"/>
      <c r="AL1463" s="269"/>
      <c r="AM1463" s="269"/>
      <c r="AN1463" s="269"/>
      <c r="AO1463" s="269"/>
      <c r="AP1463" s="269"/>
      <c r="AQ1463" s="269"/>
      <c r="AR1463" s="269"/>
    </row>
    <row r="1464">
      <c r="A1464" s="410"/>
      <c r="B1464" s="410"/>
      <c r="C1464" s="410"/>
      <c r="D1464" s="410"/>
      <c r="E1464" s="410"/>
      <c r="F1464" s="410"/>
      <c r="H1464" s="269"/>
      <c r="I1464" s="269"/>
      <c r="J1464" s="269"/>
      <c r="K1464" s="269"/>
      <c r="L1464" s="269"/>
      <c r="M1464" s="269"/>
      <c r="N1464" s="269"/>
      <c r="O1464" s="269"/>
      <c r="P1464" s="269"/>
      <c r="Q1464" s="269"/>
      <c r="R1464" s="269"/>
      <c r="S1464" s="269"/>
      <c r="T1464" s="269"/>
      <c r="U1464" s="269"/>
      <c r="V1464" s="269"/>
      <c r="W1464" s="269"/>
      <c r="X1464" s="269"/>
      <c r="Y1464" s="269"/>
      <c r="Z1464" s="269"/>
      <c r="AA1464" s="269"/>
      <c r="AB1464" s="269"/>
      <c r="AC1464" s="269"/>
      <c r="AD1464" s="269"/>
      <c r="AE1464" s="269"/>
      <c r="AF1464" s="269"/>
      <c r="AG1464" s="269"/>
      <c r="AH1464" s="269"/>
      <c r="AI1464" s="269"/>
      <c r="AJ1464" s="269"/>
      <c r="AK1464" s="269"/>
      <c r="AL1464" s="269"/>
      <c r="AM1464" s="269"/>
      <c r="AN1464" s="269"/>
      <c r="AO1464" s="269"/>
      <c r="AP1464" s="269"/>
      <c r="AQ1464" s="269"/>
      <c r="AR1464" s="269"/>
    </row>
    <row r="1465">
      <c r="A1465" s="410"/>
      <c r="B1465" s="410"/>
      <c r="C1465" s="410"/>
      <c r="D1465" s="410"/>
      <c r="E1465" s="410"/>
      <c r="F1465" s="410"/>
      <c r="H1465" s="269"/>
      <c r="I1465" s="269"/>
      <c r="J1465" s="269"/>
      <c r="K1465" s="269"/>
      <c r="L1465" s="269"/>
      <c r="M1465" s="269"/>
      <c r="N1465" s="269"/>
      <c r="O1465" s="269"/>
      <c r="P1465" s="269"/>
      <c r="Q1465" s="269"/>
      <c r="R1465" s="269"/>
      <c r="S1465" s="269"/>
      <c r="T1465" s="269"/>
      <c r="U1465" s="269"/>
      <c r="V1465" s="269"/>
      <c r="W1465" s="269"/>
      <c r="X1465" s="269"/>
      <c r="Y1465" s="269"/>
      <c r="Z1465" s="269"/>
      <c r="AA1465" s="269"/>
      <c r="AB1465" s="269"/>
      <c r="AC1465" s="269"/>
      <c r="AD1465" s="269"/>
      <c r="AE1465" s="269"/>
      <c r="AF1465" s="269"/>
      <c r="AG1465" s="269"/>
      <c r="AH1465" s="269"/>
      <c r="AI1465" s="269"/>
      <c r="AJ1465" s="269"/>
      <c r="AK1465" s="269"/>
      <c r="AL1465" s="269"/>
      <c r="AM1465" s="269"/>
      <c r="AN1465" s="269"/>
      <c r="AO1465" s="269"/>
      <c r="AP1465" s="269"/>
      <c r="AQ1465" s="269"/>
      <c r="AR1465" s="269"/>
    </row>
    <row r="1466">
      <c r="A1466" s="410"/>
      <c r="B1466" s="410"/>
      <c r="C1466" s="410"/>
      <c r="D1466" s="410"/>
      <c r="E1466" s="410"/>
      <c r="F1466" s="410"/>
      <c r="H1466" s="269"/>
      <c r="I1466" s="269"/>
      <c r="J1466" s="269"/>
      <c r="K1466" s="269"/>
      <c r="L1466" s="269"/>
      <c r="M1466" s="269"/>
      <c r="N1466" s="269"/>
      <c r="O1466" s="269"/>
      <c r="P1466" s="269"/>
      <c r="Q1466" s="269"/>
      <c r="R1466" s="269"/>
      <c r="S1466" s="269"/>
      <c r="T1466" s="269"/>
      <c r="U1466" s="269"/>
      <c r="V1466" s="269"/>
      <c r="W1466" s="269"/>
      <c r="X1466" s="269"/>
      <c r="Y1466" s="269"/>
      <c r="Z1466" s="269"/>
      <c r="AA1466" s="269"/>
      <c r="AB1466" s="269"/>
      <c r="AC1466" s="269"/>
      <c r="AD1466" s="269"/>
      <c r="AE1466" s="269"/>
      <c r="AF1466" s="269"/>
      <c r="AG1466" s="269"/>
      <c r="AH1466" s="269"/>
      <c r="AI1466" s="269"/>
      <c r="AJ1466" s="269"/>
      <c r="AK1466" s="269"/>
      <c r="AL1466" s="269"/>
      <c r="AM1466" s="269"/>
      <c r="AN1466" s="269"/>
      <c r="AO1466" s="269"/>
      <c r="AP1466" s="269"/>
      <c r="AQ1466" s="269"/>
      <c r="AR1466" s="269"/>
    </row>
    <row r="1467">
      <c r="A1467" s="410"/>
      <c r="B1467" s="410"/>
      <c r="C1467" s="410"/>
      <c r="D1467" s="410"/>
      <c r="E1467" s="410"/>
      <c r="F1467" s="410"/>
      <c r="H1467" s="269"/>
      <c r="I1467" s="269"/>
      <c r="J1467" s="269"/>
      <c r="K1467" s="269"/>
      <c r="L1467" s="269"/>
      <c r="M1467" s="269"/>
      <c r="N1467" s="269"/>
      <c r="O1467" s="269"/>
      <c r="P1467" s="269"/>
      <c r="Q1467" s="269"/>
      <c r="R1467" s="269"/>
      <c r="S1467" s="269"/>
      <c r="T1467" s="269"/>
      <c r="U1467" s="269"/>
      <c r="V1467" s="269"/>
      <c r="W1467" s="269"/>
      <c r="X1467" s="269"/>
      <c r="Y1467" s="269"/>
      <c r="Z1467" s="269"/>
      <c r="AA1467" s="269"/>
      <c r="AB1467" s="269"/>
      <c r="AC1467" s="269"/>
      <c r="AD1467" s="269"/>
      <c r="AE1467" s="269"/>
      <c r="AF1467" s="269"/>
      <c r="AG1467" s="269"/>
      <c r="AH1467" s="269"/>
      <c r="AI1467" s="269"/>
      <c r="AJ1467" s="269"/>
      <c r="AK1467" s="269"/>
      <c r="AL1467" s="269"/>
      <c r="AM1467" s="269"/>
      <c r="AN1467" s="269"/>
      <c r="AO1467" s="269"/>
      <c r="AP1467" s="269"/>
      <c r="AQ1467" s="269"/>
      <c r="AR1467" s="269"/>
    </row>
    <row r="1468">
      <c r="A1468" s="410"/>
      <c r="B1468" s="410"/>
      <c r="C1468" s="410"/>
      <c r="D1468" s="410"/>
      <c r="E1468" s="410"/>
      <c r="F1468" s="410"/>
      <c r="H1468" s="269"/>
      <c r="I1468" s="269"/>
      <c r="J1468" s="269"/>
      <c r="K1468" s="269"/>
      <c r="L1468" s="269"/>
      <c r="M1468" s="269"/>
      <c r="N1468" s="269"/>
      <c r="O1468" s="269"/>
      <c r="P1468" s="269"/>
      <c r="Q1468" s="269"/>
      <c r="R1468" s="269"/>
      <c r="S1468" s="269"/>
      <c r="T1468" s="269"/>
      <c r="U1468" s="269"/>
      <c r="V1468" s="269"/>
      <c r="W1468" s="269"/>
      <c r="X1468" s="269"/>
      <c r="Y1468" s="269"/>
      <c r="Z1468" s="269"/>
      <c r="AA1468" s="269"/>
      <c r="AB1468" s="269"/>
      <c r="AC1468" s="269"/>
      <c r="AD1468" s="269"/>
      <c r="AE1468" s="269"/>
      <c r="AF1468" s="269"/>
      <c r="AG1468" s="269"/>
      <c r="AH1468" s="269"/>
      <c r="AI1468" s="269"/>
      <c r="AJ1468" s="269"/>
      <c r="AK1468" s="269"/>
      <c r="AL1468" s="269"/>
      <c r="AM1468" s="269"/>
      <c r="AN1468" s="269"/>
      <c r="AO1468" s="269"/>
      <c r="AP1468" s="269"/>
      <c r="AQ1468" s="269"/>
      <c r="AR1468" s="269"/>
    </row>
    <row r="1469">
      <c r="A1469" s="410"/>
      <c r="B1469" s="410"/>
      <c r="C1469" s="410"/>
      <c r="D1469" s="410"/>
      <c r="E1469" s="410"/>
      <c r="F1469" s="410"/>
      <c r="H1469" s="269"/>
      <c r="I1469" s="269"/>
      <c r="J1469" s="269"/>
      <c r="K1469" s="269"/>
      <c r="L1469" s="269"/>
      <c r="M1469" s="269"/>
      <c r="N1469" s="269"/>
      <c r="O1469" s="269"/>
      <c r="P1469" s="269"/>
      <c r="Q1469" s="269"/>
      <c r="R1469" s="269"/>
      <c r="S1469" s="269"/>
      <c r="T1469" s="269"/>
      <c r="U1469" s="269"/>
      <c r="V1469" s="269"/>
      <c r="W1469" s="269"/>
      <c r="X1469" s="269"/>
      <c r="Y1469" s="269"/>
      <c r="Z1469" s="269"/>
      <c r="AA1469" s="269"/>
      <c r="AB1469" s="269"/>
      <c r="AC1469" s="269"/>
      <c r="AD1469" s="269"/>
      <c r="AE1469" s="269"/>
      <c r="AF1469" s="269"/>
      <c r="AG1469" s="269"/>
      <c r="AH1469" s="269"/>
      <c r="AI1469" s="269"/>
      <c r="AJ1469" s="269"/>
      <c r="AK1469" s="269"/>
      <c r="AL1469" s="269"/>
      <c r="AM1469" s="269"/>
      <c r="AN1469" s="269"/>
      <c r="AO1469" s="269"/>
      <c r="AP1469" s="269"/>
      <c r="AQ1469" s="269"/>
      <c r="AR1469" s="269"/>
    </row>
    <row r="1470">
      <c r="A1470" s="410"/>
      <c r="B1470" s="410"/>
      <c r="C1470" s="410"/>
      <c r="D1470" s="410"/>
      <c r="E1470" s="410"/>
      <c r="F1470" s="410"/>
      <c r="H1470" s="269"/>
      <c r="I1470" s="269"/>
      <c r="J1470" s="269"/>
      <c r="K1470" s="269"/>
      <c r="L1470" s="269"/>
      <c r="M1470" s="269"/>
      <c r="N1470" s="269"/>
      <c r="O1470" s="269"/>
      <c r="P1470" s="269"/>
      <c r="Q1470" s="269"/>
      <c r="R1470" s="269"/>
      <c r="S1470" s="269"/>
      <c r="T1470" s="269"/>
      <c r="U1470" s="269"/>
      <c r="V1470" s="269"/>
      <c r="W1470" s="269"/>
      <c r="X1470" s="269"/>
      <c r="Y1470" s="269"/>
      <c r="Z1470" s="269"/>
      <c r="AA1470" s="269"/>
      <c r="AB1470" s="269"/>
      <c r="AC1470" s="269"/>
      <c r="AD1470" s="269"/>
      <c r="AE1470" s="269"/>
      <c r="AF1470" s="269"/>
      <c r="AG1470" s="269"/>
      <c r="AH1470" s="269"/>
      <c r="AI1470" s="269"/>
      <c r="AJ1470" s="269"/>
      <c r="AK1470" s="269"/>
      <c r="AL1470" s="269"/>
      <c r="AM1470" s="269"/>
      <c r="AN1470" s="269"/>
      <c r="AO1470" s="269"/>
      <c r="AP1470" s="269"/>
      <c r="AQ1470" s="269"/>
      <c r="AR1470" s="269"/>
    </row>
    <row r="1471">
      <c r="A1471" s="410"/>
      <c r="B1471" s="410"/>
      <c r="C1471" s="410"/>
      <c r="D1471" s="410"/>
      <c r="E1471" s="410"/>
      <c r="F1471" s="410"/>
      <c r="H1471" s="269"/>
      <c r="I1471" s="269"/>
      <c r="J1471" s="269"/>
      <c r="K1471" s="269"/>
      <c r="L1471" s="269"/>
      <c r="M1471" s="269"/>
      <c r="N1471" s="269"/>
      <c r="O1471" s="269"/>
      <c r="P1471" s="269"/>
      <c r="Q1471" s="269"/>
      <c r="R1471" s="269"/>
      <c r="S1471" s="269"/>
      <c r="T1471" s="269"/>
      <c r="U1471" s="269"/>
      <c r="V1471" s="269"/>
      <c r="W1471" s="269"/>
      <c r="X1471" s="269"/>
      <c r="Y1471" s="269"/>
      <c r="Z1471" s="269"/>
      <c r="AA1471" s="269"/>
      <c r="AB1471" s="269"/>
      <c r="AC1471" s="269"/>
      <c r="AD1471" s="269"/>
      <c r="AE1471" s="269"/>
      <c r="AF1471" s="269"/>
      <c r="AG1471" s="269"/>
      <c r="AH1471" s="269"/>
      <c r="AI1471" s="269"/>
      <c r="AJ1471" s="269"/>
      <c r="AK1471" s="269"/>
      <c r="AL1471" s="269"/>
      <c r="AM1471" s="269"/>
      <c r="AN1471" s="269"/>
      <c r="AO1471" s="269"/>
      <c r="AP1471" s="269"/>
      <c r="AQ1471" s="269"/>
      <c r="AR1471" s="269"/>
    </row>
    <row r="1472">
      <c r="A1472" s="410"/>
      <c r="B1472" s="410"/>
      <c r="C1472" s="410"/>
      <c r="D1472" s="410"/>
      <c r="E1472" s="410"/>
      <c r="F1472" s="410"/>
      <c r="H1472" s="269"/>
      <c r="I1472" s="269"/>
      <c r="J1472" s="269"/>
      <c r="K1472" s="269"/>
      <c r="L1472" s="269"/>
      <c r="M1472" s="269"/>
      <c r="N1472" s="269"/>
      <c r="O1472" s="269"/>
      <c r="P1472" s="269"/>
      <c r="Q1472" s="269"/>
      <c r="R1472" s="269"/>
      <c r="S1472" s="269"/>
      <c r="T1472" s="269"/>
      <c r="U1472" s="269"/>
      <c r="V1472" s="269"/>
      <c r="W1472" s="269"/>
      <c r="X1472" s="269"/>
      <c r="Y1472" s="269"/>
      <c r="Z1472" s="269"/>
      <c r="AA1472" s="269"/>
      <c r="AB1472" s="269"/>
      <c r="AC1472" s="269"/>
      <c r="AD1472" s="269"/>
      <c r="AE1472" s="269"/>
      <c r="AF1472" s="269"/>
      <c r="AG1472" s="269"/>
      <c r="AH1472" s="269"/>
      <c r="AI1472" s="269"/>
      <c r="AJ1472" s="269"/>
      <c r="AK1472" s="269"/>
      <c r="AL1472" s="269"/>
      <c r="AM1472" s="269"/>
      <c r="AN1472" s="269"/>
      <c r="AO1472" s="269"/>
      <c r="AP1472" s="269"/>
      <c r="AQ1472" s="269"/>
      <c r="AR1472" s="269"/>
    </row>
    <row r="1473">
      <c r="A1473" s="410"/>
      <c r="B1473" s="410"/>
      <c r="C1473" s="410"/>
      <c r="D1473" s="410"/>
      <c r="E1473" s="410"/>
      <c r="F1473" s="410"/>
      <c r="H1473" s="269"/>
      <c r="I1473" s="269"/>
      <c r="J1473" s="269"/>
      <c r="K1473" s="269"/>
      <c r="L1473" s="269"/>
      <c r="M1473" s="269"/>
      <c r="N1473" s="269"/>
      <c r="O1473" s="269"/>
      <c r="P1473" s="269"/>
      <c r="Q1473" s="269"/>
      <c r="R1473" s="269"/>
      <c r="S1473" s="269"/>
      <c r="T1473" s="269"/>
      <c r="U1473" s="269"/>
      <c r="V1473" s="269"/>
      <c r="W1473" s="269"/>
      <c r="X1473" s="269"/>
      <c r="Y1473" s="269"/>
      <c r="Z1473" s="269"/>
      <c r="AA1473" s="269"/>
      <c r="AB1473" s="269"/>
      <c r="AC1473" s="269"/>
      <c r="AD1473" s="269"/>
      <c r="AE1473" s="269"/>
      <c r="AF1473" s="269"/>
      <c r="AG1473" s="269"/>
      <c r="AH1473" s="269"/>
      <c r="AI1473" s="269"/>
      <c r="AJ1473" s="269"/>
      <c r="AK1473" s="269"/>
      <c r="AL1473" s="269"/>
      <c r="AM1473" s="269"/>
      <c r="AN1473" s="269"/>
      <c r="AO1473" s="269"/>
      <c r="AP1473" s="269"/>
      <c r="AQ1473" s="269"/>
      <c r="AR1473" s="269"/>
    </row>
    <row r="1474">
      <c r="A1474" s="410"/>
      <c r="B1474" s="410"/>
      <c r="C1474" s="410"/>
      <c r="D1474" s="410"/>
      <c r="E1474" s="410"/>
      <c r="F1474" s="410"/>
      <c r="H1474" s="269"/>
      <c r="I1474" s="269"/>
      <c r="J1474" s="269"/>
      <c r="K1474" s="269"/>
      <c r="L1474" s="269"/>
      <c r="M1474" s="269"/>
      <c r="N1474" s="269"/>
      <c r="O1474" s="269"/>
      <c r="P1474" s="269"/>
      <c r="Q1474" s="269"/>
      <c r="R1474" s="269"/>
      <c r="S1474" s="269"/>
      <c r="T1474" s="269"/>
      <c r="U1474" s="269"/>
      <c r="V1474" s="269"/>
      <c r="W1474" s="269"/>
      <c r="X1474" s="269"/>
      <c r="Y1474" s="269"/>
      <c r="Z1474" s="269"/>
      <c r="AA1474" s="269"/>
      <c r="AB1474" s="269"/>
      <c r="AC1474" s="269"/>
      <c r="AD1474" s="269"/>
      <c r="AE1474" s="269"/>
      <c r="AF1474" s="269"/>
      <c r="AG1474" s="269"/>
      <c r="AH1474" s="269"/>
      <c r="AI1474" s="269"/>
      <c r="AJ1474" s="269"/>
      <c r="AK1474" s="269"/>
      <c r="AL1474" s="269"/>
      <c r="AM1474" s="269"/>
      <c r="AN1474" s="269"/>
      <c r="AO1474" s="269"/>
      <c r="AP1474" s="269"/>
      <c r="AQ1474" s="269"/>
      <c r="AR1474" s="269"/>
    </row>
    <row r="1475">
      <c r="A1475" s="410"/>
      <c r="B1475" s="410"/>
      <c r="C1475" s="410"/>
      <c r="D1475" s="410"/>
      <c r="E1475" s="410"/>
      <c r="F1475" s="410"/>
      <c r="H1475" s="269"/>
      <c r="I1475" s="269"/>
      <c r="J1475" s="269"/>
      <c r="K1475" s="269"/>
      <c r="L1475" s="269"/>
      <c r="M1475" s="269"/>
      <c r="N1475" s="269"/>
      <c r="O1475" s="269"/>
      <c r="P1475" s="269"/>
      <c r="Q1475" s="269"/>
      <c r="R1475" s="269"/>
      <c r="S1475" s="269"/>
      <c r="T1475" s="269"/>
      <c r="U1475" s="269"/>
      <c r="V1475" s="269"/>
      <c r="W1475" s="269"/>
      <c r="X1475" s="269"/>
      <c r="Y1475" s="269"/>
      <c r="Z1475" s="269"/>
      <c r="AA1475" s="269"/>
      <c r="AB1475" s="269"/>
      <c r="AC1475" s="269"/>
      <c r="AD1475" s="269"/>
      <c r="AE1475" s="269"/>
      <c r="AF1475" s="269"/>
      <c r="AG1475" s="269"/>
      <c r="AH1475" s="269"/>
      <c r="AI1475" s="269"/>
      <c r="AJ1475" s="269"/>
      <c r="AK1475" s="269"/>
      <c r="AL1475" s="269"/>
      <c r="AM1475" s="269"/>
      <c r="AN1475" s="269"/>
      <c r="AO1475" s="269"/>
      <c r="AP1475" s="269"/>
      <c r="AQ1475" s="269"/>
      <c r="AR1475" s="269"/>
    </row>
    <row r="1476">
      <c r="A1476" s="410"/>
      <c r="B1476" s="410"/>
      <c r="C1476" s="410"/>
      <c r="D1476" s="410"/>
      <c r="E1476" s="410"/>
      <c r="F1476" s="410"/>
      <c r="H1476" s="269"/>
      <c r="I1476" s="269"/>
      <c r="J1476" s="269"/>
      <c r="K1476" s="269"/>
      <c r="L1476" s="269"/>
      <c r="M1476" s="269"/>
      <c r="N1476" s="269"/>
      <c r="O1476" s="269"/>
      <c r="P1476" s="269"/>
      <c r="Q1476" s="269"/>
      <c r="R1476" s="269"/>
      <c r="S1476" s="269"/>
      <c r="T1476" s="269"/>
      <c r="U1476" s="269"/>
      <c r="V1476" s="269"/>
      <c r="W1476" s="269"/>
      <c r="X1476" s="269"/>
      <c r="Y1476" s="269"/>
      <c r="Z1476" s="269"/>
      <c r="AA1476" s="269"/>
      <c r="AB1476" s="269"/>
      <c r="AC1476" s="269"/>
      <c r="AD1476" s="269"/>
      <c r="AE1476" s="269"/>
      <c r="AF1476" s="269"/>
      <c r="AG1476" s="269"/>
      <c r="AH1476" s="269"/>
      <c r="AI1476" s="269"/>
      <c r="AJ1476" s="269"/>
      <c r="AK1476" s="269"/>
      <c r="AL1476" s="269"/>
      <c r="AM1476" s="269"/>
      <c r="AN1476" s="269"/>
      <c r="AO1476" s="269"/>
      <c r="AP1476" s="269"/>
      <c r="AQ1476" s="269"/>
      <c r="AR1476" s="269"/>
    </row>
    <row r="1477">
      <c r="A1477" s="410"/>
      <c r="B1477" s="410"/>
      <c r="C1477" s="410"/>
      <c r="D1477" s="410"/>
      <c r="E1477" s="410"/>
      <c r="F1477" s="410"/>
      <c r="H1477" s="269"/>
      <c r="I1477" s="269"/>
      <c r="J1477" s="269"/>
      <c r="K1477" s="269"/>
      <c r="L1477" s="269"/>
      <c r="M1477" s="269"/>
      <c r="N1477" s="269"/>
      <c r="O1477" s="269"/>
      <c r="P1477" s="269"/>
      <c r="Q1477" s="269"/>
      <c r="R1477" s="269"/>
      <c r="S1477" s="269"/>
      <c r="T1477" s="269"/>
      <c r="U1477" s="269"/>
      <c r="V1477" s="269"/>
      <c r="W1477" s="269"/>
      <c r="X1477" s="269"/>
      <c r="Y1477" s="269"/>
      <c r="Z1477" s="269"/>
      <c r="AA1477" s="269"/>
      <c r="AB1477" s="269"/>
      <c r="AC1477" s="269"/>
      <c r="AD1477" s="269"/>
      <c r="AE1477" s="269"/>
      <c r="AF1477" s="269"/>
      <c r="AG1477" s="269"/>
      <c r="AH1477" s="269"/>
      <c r="AI1477" s="269"/>
      <c r="AJ1477" s="269"/>
      <c r="AK1477" s="269"/>
      <c r="AL1477" s="269"/>
      <c r="AM1477" s="269"/>
      <c r="AN1477" s="269"/>
      <c r="AO1477" s="269"/>
      <c r="AP1477" s="269"/>
      <c r="AQ1477" s="269"/>
      <c r="AR1477" s="269"/>
    </row>
    <row r="1478">
      <c r="A1478" s="410"/>
      <c r="B1478" s="410"/>
      <c r="C1478" s="410"/>
      <c r="D1478" s="410"/>
      <c r="E1478" s="410"/>
      <c r="F1478" s="410"/>
      <c r="H1478" s="269"/>
      <c r="I1478" s="269"/>
      <c r="J1478" s="269"/>
      <c r="K1478" s="269"/>
      <c r="L1478" s="269"/>
      <c r="M1478" s="269"/>
      <c r="N1478" s="269"/>
      <c r="O1478" s="269"/>
      <c r="P1478" s="269"/>
      <c r="Q1478" s="269"/>
      <c r="R1478" s="269"/>
      <c r="S1478" s="269"/>
      <c r="T1478" s="269"/>
      <c r="U1478" s="269"/>
      <c r="V1478" s="269"/>
      <c r="W1478" s="269"/>
      <c r="X1478" s="269"/>
      <c r="Y1478" s="269"/>
      <c r="Z1478" s="269"/>
      <c r="AA1478" s="269"/>
      <c r="AB1478" s="269"/>
      <c r="AC1478" s="269"/>
      <c r="AD1478" s="269"/>
      <c r="AE1478" s="269"/>
      <c r="AF1478" s="269"/>
      <c r="AG1478" s="269"/>
      <c r="AH1478" s="269"/>
      <c r="AI1478" s="269"/>
      <c r="AJ1478" s="269"/>
      <c r="AK1478" s="269"/>
      <c r="AL1478" s="269"/>
      <c r="AM1478" s="269"/>
      <c r="AN1478" s="269"/>
      <c r="AO1478" s="269"/>
      <c r="AP1478" s="269"/>
      <c r="AQ1478" s="269"/>
      <c r="AR1478" s="269"/>
    </row>
    <row r="1479">
      <c r="A1479" s="410"/>
      <c r="B1479" s="410"/>
      <c r="C1479" s="410"/>
      <c r="D1479" s="410"/>
      <c r="E1479" s="410"/>
      <c r="F1479" s="410"/>
      <c r="H1479" s="269"/>
      <c r="I1479" s="269"/>
      <c r="J1479" s="269"/>
      <c r="K1479" s="269"/>
      <c r="L1479" s="269"/>
      <c r="M1479" s="269"/>
      <c r="N1479" s="269"/>
      <c r="O1479" s="269"/>
      <c r="P1479" s="269"/>
      <c r="Q1479" s="269"/>
      <c r="R1479" s="269"/>
      <c r="S1479" s="269"/>
      <c r="T1479" s="269"/>
      <c r="U1479" s="269"/>
      <c r="V1479" s="269"/>
      <c r="W1479" s="269"/>
      <c r="X1479" s="269"/>
      <c r="Y1479" s="269"/>
      <c r="Z1479" s="269"/>
      <c r="AA1479" s="269"/>
      <c r="AB1479" s="269"/>
      <c r="AC1479" s="269"/>
      <c r="AD1479" s="269"/>
      <c r="AE1479" s="269"/>
      <c r="AF1479" s="269"/>
      <c r="AG1479" s="269"/>
      <c r="AH1479" s="269"/>
      <c r="AI1479" s="269"/>
      <c r="AJ1479" s="269"/>
      <c r="AK1479" s="269"/>
      <c r="AL1479" s="269"/>
      <c r="AM1479" s="269"/>
      <c r="AN1479" s="269"/>
      <c r="AO1479" s="269"/>
      <c r="AP1479" s="269"/>
      <c r="AQ1479" s="269"/>
      <c r="AR1479" s="269"/>
    </row>
    <row r="1480">
      <c r="A1480" s="410"/>
      <c r="B1480" s="410"/>
      <c r="C1480" s="410"/>
      <c r="D1480" s="410"/>
      <c r="E1480" s="410"/>
      <c r="F1480" s="410"/>
      <c r="H1480" s="269"/>
      <c r="I1480" s="269"/>
      <c r="J1480" s="269"/>
      <c r="K1480" s="269"/>
      <c r="L1480" s="269"/>
      <c r="M1480" s="269"/>
      <c r="N1480" s="269"/>
      <c r="O1480" s="269"/>
      <c r="P1480" s="269"/>
      <c r="Q1480" s="269"/>
      <c r="R1480" s="269"/>
      <c r="S1480" s="269"/>
      <c r="T1480" s="269"/>
      <c r="U1480" s="269"/>
      <c r="V1480" s="269"/>
      <c r="W1480" s="269"/>
      <c r="X1480" s="269"/>
      <c r="Y1480" s="269"/>
      <c r="Z1480" s="269"/>
      <c r="AA1480" s="269"/>
      <c r="AB1480" s="269"/>
      <c r="AC1480" s="269"/>
      <c r="AD1480" s="269"/>
      <c r="AE1480" s="269"/>
      <c r="AF1480" s="269"/>
      <c r="AG1480" s="269"/>
      <c r="AH1480" s="269"/>
      <c r="AI1480" s="269"/>
      <c r="AJ1480" s="269"/>
      <c r="AK1480" s="269"/>
      <c r="AL1480" s="269"/>
      <c r="AM1480" s="269"/>
      <c r="AN1480" s="269"/>
      <c r="AO1480" s="269"/>
      <c r="AP1480" s="269"/>
      <c r="AQ1480" s="269"/>
      <c r="AR1480" s="269"/>
    </row>
    <row r="1481">
      <c r="A1481" s="410"/>
      <c r="B1481" s="410"/>
      <c r="C1481" s="410"/>
      <c r="D1481" s="410"/>
      <c r="E1481" s="410"/>
      <c r="F1481" s="410"/>
      <c r="H1481" s="269"/>
      <c r="I1481" s="269"/>
      <c r="J1481" s="269"/>
      <c r="K1481" s="269"/>
      <c r="L1481" s="269"/>
      <c r="M1481" s="269"/>
      <c r="N1481" s="269"/>
      <c r="O1481" s="269"/>
      <c r="P1481" s="269"/>
      <c r="Q1481" s="269"/>
      <c r="R1481" s="269"/>
      <c r="S1481" s="269"/>
      <c r="T1481" s="269"/>
      <c r="U1481" s="269"/>
      <c r="V1481" s="269"/>
      <c r="W1481" s="269"/>
      <c r="X1481" s="269"/>
      <c r="Y1481" s="269"/>
      <c r="Z1481" s="269"/>
      <c r="AA1481" s="269"/>
      <c r="AB1481" s="269"/>
      <c r="AC1481" s="269"/>
      <c r="AD1481" s="269"/>
      <c r="AE1481" s="269"/>
      <c r="AF1481" s="269"/>
      <c r="AG1481" s="269"/>
      <c r="AH1481" s="269"/>
      <c r="AI1481" s="269"/>
      <c r="AJ1481" s="269"/>
      <c r="AK1481" s="269"/>
      <c r="AL1481" s="269"/>
      <c r="AM1481" s="269"/>
      <c r="AN1481" s="269"/>
      <c r="AO1481" s="269"/>
      <c r="AP1481" s="269"/>
      <c r="AQ1481" s="269"/>
      <c r="AR1481" s="269"/>
    </row>
    <row r="1482">
      <c r="A1482" s="410"/>
      <c r="B1482" s="410"/>
      <c r="C1482" s="410"/>
      <c r="D1482" s="410"/>
      <c r="E1482" s="410"/>
      <c r="F1482" s="410"/>
      <c r="H1482" s="269"/>
      <c r="I1482" s="269"/>
      <c r="J1482" s="269"/>
      <c r="K1482" s="269"/>
      <c r="L1482" s="269"/>
      <c r="M1482" s="269"/>
      <c r="N1482" s="269"/>
      <c r="O1482" s="269"/>
      <c r="P1482" s="269"/>
      <c r="Q1482" s="269"/>
      <c r="R1482" s="269"/>
      <c r="S1482" s="269"/>
      <c r="T1482" s="269"/>
      <c r="U1482" s="269"/>
      <c r="V1482" s="269"/>
      <c r="W1482" s="269"/>
      <c r="X1482" s="269"/>
      <c r="Y1482" s="269"/>
      <c r="Z1482" s="269"/>
      <c r="AA1482" s="269"/>
      <c r="AB1482" s="269"/>
      <c r="AC1482" s="269"/>
      <c r="AD1482" s="269"/>
      <c r="AE1482" s="269"/>
      <c r="AF1482" s="269"/>
      <c r="AG1482" s="269"/>
      <c r="AH1482" s="269"/>
      <c r="AI1482" s="269"/>
      <c r="AJ1482" s="269"/>
      <c r="AK1482" s="269"/>
      <c r="AL1482" s="269"/>
      <c r="AM1482" s="269"/>
      <c r="AN1482" s="269"/>
      <c r="AO1482" s="269"/>
      <c r="AP1482" s="269"/>
      <c r="AQ1482" s="269"/>
      <c r="AR1482" s="269"/>
    </row>
    <row r="1483">
      <c r="A1483" s="410"/>
      <c r="B1483" s="410"/>
      <c r="C1483" s="410"/>
      <c r="D1483" s="410"/>
      <c r="E1483" s="410"/>
      <c r="F1483" s="410"/>
      <c r="H1483" s="269"/>
      <c r="I1483" s="269"/>
      <c r="J1483" s="269"/>
      <c r="K1483" s="269"/>
      <c r="L1483" s="269"/>
      <c r="M1483" s="269"/>
      <c r="N1483" s="269"/>
      <c r="O1483" s="269"/>
      <c r="P1483" s="269"/>
      <c r="Q1483" s="269"/>
      <c r="R1483" s="269"/>
      <c r="S1483" s="269"/>
      <c r="T1483" s="269"/>
      <c r="U1483" s="269"/>
      <c r="V1483" s="269"/>
      <c r="W1483" s="269"/>
      <c r="X1483" s="269"/>
      <c r="Y1483" s="269"/>
      <c r="Z1483" s="269"/>
      <c r="AA1483" s="269"/>
      <c r="AB1483" s="269"/>
      <c r="AC1483" s="269"/>
      <c r="AD1483" s="269"/>
      <c r="AE1483" s="269"/>
      <c r="AF1483" s="269"/>
      <c r="AG1483" s="269"/>
      <c r="AH1483" s="269"/>
      <c r="AI1483" s="269"/>
      <c r="AJ1483" s="269"/>
      <c r="AK1483" s="269"/>
      <c r="AL1483" s="269"/>
      <c r="AM1483" s="269"/>
      <c r="AN1483" s="269"/>
      <c r="AO1483" s="269"/>
      <c r="AP1483" s="269"/>
      <c r="AQ1483" s="269"/>
      <c r="AR1483" s="269"/>
    </row>
    <row r="1484">
      <c r="A1484" s="410"/>
      <c r="B1484" s="410"/>
      <c r="C1484" s="410"/>
      <c r="D1484" s="410"/>
      <c r="E1484" s="410"/>
      <c r="F1484" s="410"/>
      <c r="H1484" s="269"/>
      <c r="I1484" s="269"/>
      <c r="J1484" s="269"/>
      <c r="K1484" s="269"/>
      <c r="L1484" s="269"/>
      <c r="M1484" s="269"/>
      <c r="N1484" s="269"/>
      <c r="O1484" s="269"/>
      <c r="P1484" s="269"/>
      <c r="Q1484" s="269"/>
      <c r="R1484" s="269"/>
      <c r="S1484" s="269"/>
      <c r="T1484" s="269"/>
      <c r="U1484" s="269"/>
      <c r="V1484" s="269"/>
      <c r="W1484" s="269"/>
      <c r="X1484" s="269"/>
      <c r="Y1484" s="269"/>
      <c r="Z1484" s="269"/>
      <c r="AA1484" s="269"/>
      <c r="AB1484" s="269"/>
      <c r="AC1484" s="269"/>
      <c r="AD1484" s="269"/>
      <c r="AE1484" s="269"/>
      <c r="AF1484" s="269"/>
      <c r="AG1484" s="269"/>
      <c r="AH1484" s="269"/>
      <c r="AI1484" s="269"/>
      <c r="AJ1484" s="269"/>
      <c r="AK1484" s="269"/>
      <c r="AL1484" s="269"/>
      <c r="AM1484" s="269"/>
      <c r="AN1484" s="269"/>
      <c r="AO1484" s="269"/>
      <c r="AP1484" s="269"/>
      <c r="AQ1484" s="269"/>
      <c r="AR1484" s="269"/>
    </row>
    <row r="1485">
      <c r="A1485" s="410"/>
      <c r="B1485" s="410"/>
      <c r="C1485" s="410"/>
      <c r="D1485" s="410"/>
      <c r="E1485" s="410"/>
      <c r="F1485" s="410"/>
      <c r="H1485" s="269"/>
      <c r="I1485" s="269"/>
      <c r="J1485" s="269"/>
      <c r="K1485" s="269"/>
      <c r="L1485" s="269"/>
      <c r="M1485" s="269"/>
      <c r="N1485" s="269"/>
      <c r="O1485" s="269"/>
      <c r="P1485" s="269"/>
      <c r="Q1485" s="269"/>
      <c r="R1485" s="269"/>
      <c r="S1485" s="269"/>
      <c r="T1485" s="269"/>
      <c r="U1485" s="269"/>
      <c r="V1485" s="269"/>
      <c r="W1485" s="269"/>
      <c r="X1485" s="269"/>
      <c r="Y1485" s="269"/>
      <c r="Z1485" s="269"/>
      <c r="AA1485" s="269"/>
      <c r="AB1485" s="269"/>
      <c r="AC1485" s="269"/>
      <c r="AD1485" s="269"/>
      <c r="AE1485" s="269"/>
      <c r="AF1485" s="269"/>
      <c r="AG1485" s="269"/>
      <c r="AH1485" s="269"/>
      <c r="AI1485" s="269"/>
      <c r="AJ1485" s="269"/>
      <c r="AK1485" s="269"/>
      <c r="AL1485" s="269"/>
      <c r="AM1485" s="269"/>
      <c r="AN1485" s="269"/>
      <c r="AO1485" s="269"/>
      <c r="AP1485" s="269"/>
      <c r="AQ1485" s="269"/>
      <c r="AR1485" s="269"/>
    </row>
    <row r="1486">
      <c r="A1486" s="410"/>
      <c r="B1486" s="410"/>
      <c r="C1486" s="410"/>
      <c r="D1486" s="410"/>
      <c r="E1486" s="410"/>
      <c r="F1486" s="410"/>
      <c r="H1486" s="269"/>
      <c r="I1486" s="269"/>
      <c r="J1486" s="269"/>
      <c r="K1486" s="269"/>
      <c r="L1486" s="269"/>
      <c r="M1486" s="269"/>
      <c r="N1486" s="269"/>
      <c r="O1486" s="269"/>
      <c r="P1486" s="269"/>
      <c r="Q1486" s="269"/>
      <c r="R1486" s="269"/>
      <c r="S1486" s="269"/>
      <c r="T1486" s="269"/>
      <c r="U1486" s="269"/>
      <c r="V1486" s="269"/>
      <c r="W1486" s="269"/>
      <c r="X1486" s="269"/>
      <c r="Y1486" s="269"/>
      <c r="Z1486" s="269"/>
      <c r="AA1486" s="269"/>
      <c r="AB1486" s="269"/>
      <c r="AC1486" s="269"/>
      <c r="AD1486" s="269"/>
      <c r="AE1486" s="269"/>
      <c r="AF1486" s="269"/>
      <c r="AG1486" s="269"/>
      <c r="AH1486" s="269"/>
      <c r="AI1486" s="269"/>
      <c r="AJ1486" s="269"/>
      <c r="AK1486" s="269"/>
      <c r="AL1486" s="269"/>
      <c r="AM1486" s="269"/>
      <c r="AN1486" s="269"/>
      <c r="AO1486" s="269"/>
      <c r="AP1486" s="269"/>
      <c r="AQ1486" s="269"/>
      <c r="AR1486" s="269"/>
    </row>
    <row r="1487">
      <c r="A1487" s="410"/>
      <c r="B1487" s="410"/>
      <c r="C1487" s="410"/>
      <c r="D1487" s="410"/>
      <c r="E1487" s="410"/>
      <c r="F1487" s="410"/>
      <c r="H1487" s="269"/>
      <c r="I1487" s="269"/>
      <c r="J1487" s="269"/>
      <c r="K1487" s="269"/>
      <c r="L1487" s="269"/>
      <c r="M1487" s="269"/>
      <c r="N1487" s="269"/>
      <c r="O1487" s="269"/>
      <c r="P1487" s="269"/>
      <c r="Q1487" s="269"/>
      <c r="R1487" s="269"/>
      <c r="S1487" s="269"/>
      <c r="T1487" s="269"/>
      <c r="U1487" s="269"/>
      <c r="V1487" s="269"/>
      <c r="W1487" s="269"/>
      <c r="X1487" s="269"/>
      <c r="Y1487" s="269"/>
      <c r="Z1487" s="269"/>
      <c r="AA1487" s="269"/>
      <c r="AB1487" s="269"/>
      <c r="AC1487" s="269"/>
      <c r="AD1487" s="269"/>
      <c r="AE1487" s="269"/>
      <c r="AF1487" s="269"/>
      <c r="AG1487" s="269"/>
      <c r="AH1487" s="269"/>
      <c r="AI1487" s="269"/>
      <c r="AJ1487" s="269"/>
      <c r="AK1487" s="269"/>
      <c r="AL1487" s="269"/>
      <c r="AM1487" s="269"/>
      <c r="AN1487" s="269"/>
      <c r="AO1487" s="269"/>
      <c r="AP1487" s="269"/>
      <c r="AQ1487" s="269"/>
      <c r="AR1487" s="269"/>
    </row>
    <row r="1488">
      <c r="A1488" s="410"/>
      <c r="B1488" s="410"/>
      <c r="C1488" s="410"/>
      <c r="D1488" s="410"/>
      <c r="E1488" s="410"/>
      <c r="F1488" s="410"/>
      <c r="H1488" s="269"/>
      <c r="I1488" s="269"/>
      <c r="J1488" s="269"/>
      <c r="K1488" s="269"/>
      <c r="L1488" s="269"/>
      <c r="M1488" s="269"/>
      <c r="N1488" s="269"/>
      <c r="O1488" s="269"/>
      <c r="P1488" s="269"/>
      <c r="Q1488" s="269"/>
      <c r="R1488" s="269"/>
      <c r="S1488" s="269"/>
      <c r="T1488" s="269"/>
      <c r="U1488" s="269"/>
      <c r="V1488" s="269"/>
      <c r="W1488" s="269"/>
      <c r="X1488" s="269"/>
      <c r="Y1488" s="269"/>
      <c r="Z1488" s="269"/>
      <c r="AA1488" s="269"/>
      <c r="AB1488" s="269"/>
      <c r="AC1488" s="269"/>
      <c r="AD1488" s="269"/>
      <c r="AE1488" s="269"/>
      <c r="AF1488" s="269"/>
      <c r="AG1488" s="269"/>
      <c r="AH1488" s="269"/>
      <c r="AI1488" s="269"/>
      <c r="AJ1488" s="269"/>
      <c r="AK1488" s="269"/>
      <c r="AL1488" s="269"/>
      <c r="AM1488" s="269"/>
      <c r="AN1488" s="269"/>
      <c r="AO1488" s="269"/>
      <c r="AP1488" s="269"/>
      <c r="AQ1488" s="269"/>
      <c r="AR1488" s="269"/>
    </row>
    <row r="1489">
      <c r="A1489" s="410"/>
      <c r="B1489" s="410"/>
      <c r="C1489" s="410"/>
      <c r="D1489" s="410"/>
      <c r="E1489" s="410"/>
      <c r="F1489" s="410"/>
      <c r="H1489" s="269"/>
      <c r="I1489" s="269"/>
      <c r="J1489" s="269"/>
      <c r="K1489" s="269"/>
      <c r="L1489" s="269"/>
      <c r="M1489" s="269"/>
      <c r="N1489" s="269"/>
      <c r="O1489" s="269"/>
      <c r="P1489" s="269"/>
      <c r="Q1489" s="269"/>
      <c r="R1489" s="269"/>
      <c r="S1489" s="269"/>
      <c r="T1489" s="269"/>
      <c r="U1489" s="269"/>
      <c r="V1489" s="269"/>
      <c r="W1489" s="269"/>
      <c r="X1489" s="269"/>
      <c r="Y1489" s="269"/>
      <c r="Z1489" s="269"/>
      <c r="AA1489" s="269"/>
      <c r="AB1489" s="269"/>
      <c r="AC1489" s="269"/>
      <c r="AD1489" s="269"/>
      <c r="AE1489" s="269"/>
      <c r="AF1489" s="269"/>
      <c r="AG1489" s="269"/>
      <c r="AH1489" s="269"/>
      <c r="AI1489" s="269"/>
      <c r="AJ1489" s="269"/>
      <c r="AK1489" s="269"/>
      <c r="AL1489" s="269"/>
      <c r="AM1489" s="269"/>
      <c r="AN1489" s="269"/>
      <c r="AO1489" s="269"/>
      <c r="AP1489" s="269"/>
      <c r="AQ1489" s="269"/>
      <c r="AR1489" s="269"/>
    </row>
    <row r="1490">
      <c r="A1490" s="410"/>
      <c r="B1490" s="410"/>
      <c r="C1490" s="410"/>
      <c r="D1490" s="410"/>
      <c r="E1490" s="410"/>
      <c r="F1490" s="410"/>
      <c r="H1490" s="269"/>
      <c r="I1490" s="269"/>
      <c r="J1490" s="269"/>
      <c r="K1490" s="269"/>
      <c r="L1490" s="269"/>
      <c r="M1490" s="269"/>
      <c r="N1490" s="269"/>
      <c r="O1490" s="269"/>
      <c r="P1490" s="269"/>
      <c r="Q1490" s="269"/>
      <c r="R1490" s="269"/>
      <c r="S1490" s="269"/>
      <c r="T1490" s="269"/>
      <c r="U1490" s="269"/>
      <c r="V1490" s="269"/>
      <c r="W1490" s="269"/>
      <c r="X1490" s="269"/>
      <c r="Y1490" s="269"/>
      <c r="Z1490" s="269"/>
      <c r="AA1490" s="269"/>
      <c r="AB1490" s="269"/>
      <c r="AC1490" s="269"/>
      <c r="AD1490" s="269"/>
      <c r="AE1490" s="269"/>
      <c r="AF1490" s="269"/>
      <c r="AG1490" s="269"/>
      <c r="AH1490" s="269"/>
      <c r="AI1490" s="269"/>
      <c r="AJ1490" s="269"/>
      <c r="AK1490" s="269"/>
      <c r="AL1490" s="269"/>
      <c r="AM1490" s="269"/>
      <c r="AN1490" s="269"/>
      <c r="AO1490" s="269"/>
      <c r="AP1490" s="269"/>
      <c r="AQ1490" s="269"/>
      <c r="AR1490" s="269"/>
    </row>
    <row r="1491">
      <c r="A1491" s="410"/>
      <c r="B1491" s="410"/>
      <c r="C1491" s="410"/>
      <c r="D1491" s="410"/>
      <c r="E1491" s="410"/>
      <c r="F1491" s="410"/>
      <c r="H1491" s="269"/>
      <c r="I1491" s="269"/>
      <c r="J1491" s="269"/>
      <c r="K1491" s="269"/>
      <c r="L1491" s="269"/>
      <c r="M1491" s="269"/>
      <c r="N1491" s="269"/>
      <c r="O1491" s="269"/>
      <c r="P1491" s="269"/>
      <c r="Q1491" s="269"/>
      <c r="R1491" s="269"/>
      <c r="S1491" s="269"/>
      <c r="T1491" s="269"/>
      <c r="U1491" s="269"/>
      <c r="V1491" s="269"/>
      <c r="W1491" s="269"/>
      <c r="X1491" s="269"/>
      <c r="Y1491" s="269"/>
      <c r="Z1491" s="269"/>
      <c r="AA1491" s="269"/>
      <c r="AB1491" s="269"/>
      <c r="AC1491" s="269"/>
      <c r="AD1491" s="269"/>
      <c r="AE1491" s="269"/>
      <c r="AF1491" s="269"/>
      <c r="AG1491" s="269"/>
      <c r="AH1491" s="269"/>
      <c r="AI1491" s="269"/>
      <c r="AJ1491" s="269"/>
      <c r="AK1491" s="269"/>
      <c r="AL1491" s="269"/>
      <c r="AM1491" s="269"/>
      <c r="AN1491" s="269"/>
      <c r="AO1491" s="269"/>
      <c r="AP1491" s="269"/>
      <c r="AQ1491" s="269"/>
      <c r="AR1491" s="269"/>
    </row>
    <row r="1492">
      <c r="A1492" s="410"/>
      <c r="B1492" s="410"/>
      <c r="C1492" s="410"/>
      <c r="D1492" s="410"/>
      <c r="E1492" s="410"/>
      <c r="F1492" s="410"/>
      <c r="H1492" s="269"/>
      <c r="I1492" s="269"/>
      <c r="J1492" s="269"/>
      <c r="K1492" s="269"/>
      <c r="L1492" s="269"/>
      <c r="M1492" s="269"/>
      <c r="N1492" s="269"/>
      <c r="O1492" s="269"/>
      <c r="P1492" s="269"/>
      <c r="Q1492" s="269"/>
      <c r="R1492" s="269"/>
      <c r="S1492" s="269"/>
      <c r="T1492" s="269"/>
      <c r="U1492" s="269"/>
      <c r="V1492" s="269"/>
      <c r="W1492" s="269"/>
      <c r="X1492" s="269"/>
      <c r="Y1492" s="269"/>
      <c r="Z1492" s="269"/>
      <c r="AA1492" s="269"/>
      <c r="AB1492" s="269"/>
      <c r="AC1492" s="269"/>
      <c r="AD1492" s="269"/>
      <c r="AE1492" s="269"/>
      <c r="AF1492" s="269"/>
      <c r="AG1492" s="269"/>
      <c r="AH1492" s="269"/>
      <c r="AI1492" s="269"/>
      <c r="AJ1492" s="269"/>
      <c r="AK1492" s="269"/>
      <c r="AL1492" s="269"/>
      <c r="AM1492" s="269"/>
      <c r="AN1492" s="269"/>
      <c r="AO1492" s="269"/>
      <c r="AP1492" s="269"/>
      <c r="AQ1492" s="269"/>
      <c r="AR1492" s="269"/>
    </row>
    <row r="1493">
      <c r="A1493" s="410"/>
      <c r="B1493" s="410"/>
      <c r="C1493" s="410"/>
      <c r="D1493" s="410"/>
      <c r="E1493" s="410"/>
      <c r="F1493" s="410"/>
      <c r="H1493" s="269"/>
      <c r="I1493" s="269"/>
      <c r="J1493" s="269"/>
      <c r="K1493" s="269"/>
      <c r="L1493" s="269"/>
      <c r="M1493" s="269"/>
      <c r="N1493" s="269"/>
      <c r="O1493" s="269"/>
      <c r="P1493" s="269"/>
      <c r="Q1493" s="269"/>
      <c r="R1493" s="269"/>
      <c r="S1493" s="269"/>
      <c r="T1493" s="269"/>
      <c r="U1493" s="269"/>
      <c r="V1493" s="269"/>
      <c r="W1493" s="269"/>
      <c r="X1493" s="269"/>
      <c r="Y1493" s="269"/>
      <c r="Z1493" s="269"/>
      <c r="AA1493" s="269"/>
      <c r="AB1493" s="269"/>
      <c r="AC1493" s="269"/>
      <c r="AD1493" s="269"/>
      <c r="AE1493" s="269"/>
      <c r="AF1493" s="269"/>
      <c r="AG1493" s="269"/>
      <c r="AH1493" s="269"/>
      <c r="AI1493" s="269"/>
      <c r="AJ1493" s="269"/>
      <c r="AK1493" s="269"/>
      <c r="AL1493" s="269"/>
      <c r="AM1493" s="269"/>
      <c r="AN1493" s="269"/>
      <c r="AO1493" s="269"/>
      <c r="AP1493" s="269"/>
      <c r="AQ1493" s="269"/>
      <c r="AR1493" s="269"/>
    </row>
    <row r="1494">
      <c r="A1494" s="410"/>
      <c r="B1494" s="410"/>
      <c r="C1494" s="410"/>
      <c r="D1494" s="410"/>
      <c r="E1494" s="410"/>
      <c r="F1494" s="410"/>
      <c r="H1494" s="269"/>
      <c r="I1494" s="269"/>
      <c r="J1494" s="269"/>
      <c r="K1494" s="269"/>
      <c r="L1494" s="269"/>
      <c r="M1494" s="269"/>
      <c r="N1494" s="269"/>
      <c r="O1494" s="269"/>
      <c r="P1494" s="269"/>
      <c r="Q1494" s="269"/>
      <c r="R1494" s="269"/>
      <c r="S1494" s="269"/>
      <c r="T1494" s="269"/>
      <c r="U1494" s="269"/>
      <c r="V1494" s="269"/>
      <c r="W1494" s="269"/>
      <c r="X1494" s="269"/>
      <c r="Y1494" s="269"/>
      <c r="Z1494" s="269"/>
      <c r="AA1494" s="269"/>
      <c r="AB1494" s="269"/>
      <c r="AC1494" s="269"/>
      <c r="AD1494" s="269"/>
      <c r="AE1494" s="269"/>
      <c r="AF1494" s="269"/>
      <c r="AG1494" s="269"/>
      <c r="AH1494" s="269"/>
      <c r="AI1494" s="269"/>
      <c r="AJ1494" s="269"/>
      <c r="AK1494" s="269"/>
      <c r="AL1494" s="269"/>
      <c r="AM1494" s="269"/>
      <c r="AN1494" s="269"/>
      <c r="AO1494" s="269"/>
      <c r="AP1494" s="269"/>
      <c r="AQ1494" s="269"/>
      <c r="AR1494" s="269"/>
    </row>
    <row r="1495">
      <c r="A1495" s="410"/>
      <c r="B1495" s="410"/>
      <c r="C1495" s="410"/>
      <c r="D1495" s="410"/>
      <c r="E1495" s="410"/>
      <c r="F1495" s="410"/>
      <c r="H1495" s="269"/>
      <c r="I1495" s="269"/>
      <c r="J1495" s="269"/>
      <c r="K1495" s="269"/>
      <c r="L1495" s="269"/>
      <c r="M1495" s="269"/>
      <c r="N1495" s="269"/>
      <c r="O1495" s="269"/>
      <c r="P1495" s="269"/>
      <c r="Q1495" s="269"/>
      <c r="R1495" s="269"/>
      <c r="S1495" s="269"/>
      <c r="T1495" s="269"/>
      <c r="U1495" s="269"/>
      <c r="V1495" s="269"/>
      <c r="W1495" s="269"/>
      <c r="X1495" s="269"/>
      <c r="Y1495" s="269"/>
      <c r="Z1495" s="269"/>
      <c r="AA1495" s="269"/>
      <c r="AB1495" s="269"/>
      <c r="AC1495" s="269"/>
      <c r="AD1495" s="269"/>
      <c r="AE1495" s="269"/>
      <c r="AF1495" s="269"/>
      <c r="AG1495" s="269"/>
      <c r="AH1495" s="269"/>
      <c r="AI1495" s="269"/>
      <c r="AJ1495" s="269"/>
      <c r="AK1495" s="269"/>
      <c r="AL1495" s="269"/>
      <c r="AM1495" s="269"/>
      <c r="AN1495" s="269"/>
      <c r="AO1495" s="269"/>
      <c r="AP1495" s="269"/>
      <c r="AQ1495" s="269"/>
      <c r="AR1495" s="269"/>
    </row>
    <row r="1496">
      <c r="A1496" s="410"/>
      <c r="B1496" s="410"/>
      <c r="C1496" s="410"/>
      <c r="D1496" s="410"/>
      <c r="E1496" s="410"/>
      <c r="F1496" s="410"/>
      <c r="H1496" s="269"/>
      <c r="I1496" s="269"/>
      <c r="J1496" s="269"/>
      <c r="K1496" s="269"/>
      <c r="L1496" s="269"/>
      <c r="M1496" s="269"/>
      <c r="N1496" s="269"/>
      <c r="O1496" s="269"/>
      <c r="P1496" s="269"/>
      <c r="Q1496" s="269"/>
      <c r="R1496" s="269"/>
      <c r="S1496" s="269"/>
      <c r="T1496" s="269"/>
      <c r="U1496" s="269"/>
      <c r="V1496" s="269"/>
      <c r="W1496" s="269"/>
      <c r="X1496" s="269"/>
      <c r="Y1496" s="269"/>
      <c r="Z1496" s="269"/>
      <c r="AA1496" s="269"/>
      <c r="AB1496" s="269"/>
      <c r="AC1496" s="269"/>
      <c r="AD1496" s="269"/>
      <c r="AE1496" s="269"/>
      <c r="AF1496" s="269"/>
      <c r="AG1496" s="269"/>
      <c r="AH1496" s="269"/>
      <c r="AI1496" s="269"/>
      <c r="AJ1496" s="269"/>
      <c r="AK1496" s="269"/>
      <c r="AL1496" s="269"/>
      <c r="AM1496" s="269"/>
      <c r="AN1496" s="269"/>
      <c r="AO1496" s="269"/>
      <c r="AP1496" s="269"/>
      <c r="AQ1496" s="269"/>
      <c r="AR1496" s="269"/>
    </row>
    <row r="1497">
      <c r="A1497" s="410"/>
      <c r="B1497" s="410"/>
      <c r="C1497" s="410"/>
      <c r="D1497" s="410"/>
      <c r="E1497" s="410"/>
      <c r="F1497" s="410"/>
      <c r="H1497" s="269"/>
      <c r="I1497" s="269"/>
      <c r="J1497" s="269"/>
      <c r="K1497" s="269"/>
      <c r="L1497" s="269"/>
      <c r="M1497" s="269"/>
      <c r="N1497" s="269"/>
      <c r="O1497" s="269"/>
      <c r="P1497" s="269"/>
      <c r="Q1497" s="269"/>
      <c r="R1497" s="269"/>
      <c r="S1497" s="269"/>
      <c r="T1497" s="269"/>
      <c r="U1497" s="269"/>
      <c r="V1497" s="269"/>
      <c r="W1497" s="269"/>
      <c r="X1497" s="269"/>
      <c r="Y1497" s="269"/>
      <c r="Z1497" s="269"/>
      <c r="AA1497" s="269"/>
      <c r="AB1497" s="269"/>
      <c r="AC1497" s="269"/>
      <c r="AD1497" s="269"/>
      <c r="AE1497" s="269"/>
      <c r="AF1497" s="269"/>
      <c r="AG1497" s="269"/>
      <c r="AH1497" s="269"/>
      <c r="AI1497" s="269"/>
      <c r="AJ1497" s="269"/>
      <c r="AK1497" s="269"/>
      <c r="AL1497" s="269"/>
      <c r="AM1497" s="269"/>
      <c r="AN1497" s="269"/>
      <c r="AO1497" s="269"/>
      <c r="AP1497" s="269"/>
      <c r="AQ1497" s="269"/>
      <c r="AR1497" s="269"/>
    </row>
    <row r="1498">
      <c r="A1498" s="410"/>
      <c r="B1498" s="410"/>
      <c r="C1498" s="410"/>
      <c r="D1498" s="410"/>
      <c r="E1498" s="410"/>
      <c r="F1498" s="410"/>
      <c r="H1498" s="269"/>
      <c r="I1498" s="269"/>
      <c r="J1498" s="269"/>
      <c r="K1498" s="269"/>
      <c r="L1498" s="269"/>
      <c r="M1498" s="269"/>
      <c r="N1498" s="269"/>
      <c r="O1498" s="269"/>
      <c r="P1498" s="269"/>
      <c r="Q1498" s="269"/>
      <c r="R1498" s="269"/>
      <c r="S1498" s="269"/>
      <c r="T1498" s="269"/>
      <c r="U1498" s="269"/>
      <c r="V1498" s="269"/>
      <c r="W1498" s="269"/>
      <c r="X1498" s="269"/>
      <c r="Y1498" s="269"/>
      <c r="Z1498" s="269"/>
      <c r="AA1498" s="269"/>
      <c r="AB1498" s="269"/>
      <c r="AC1498" s="269"/>
      <c r="AD1498" s="269"/>
      <c r="AE1498" s="269"/>
      <c r="AF1498" s="269"/>
      <c r="AG1498" s="269"/>
      <c r="AH1498" s="269"/>
      <c r="AI1498" s="269"/>
      <c r="AJ1498" s="269"/>
      <c r="AK1498" s="269"/>
      <c r="AL1498" s="269"/>
      <c r="AM1498" s="269"/>
      <c r="AN1498" s="269"/>
      <c r="AO1498" s="269"/>
      <c r="AP1498" s="269"/>
      <c r="AQ1498" s="269"/>
      <c r="AR1498" s="269"/>
    </row>
    <row r="1499">
      <c r="A1499" s="410"/>
      <c r="B1499" s="410"/>
      <c r="C1499" s="410"/>
      <c r="D1499" s="410"/>
      <c r="E1499" s="410"/>
      <c r="F1499" s="410"/>
      <c r="H1499" s="269"/>
      <c r="I1499" s="269"/>
      <c r="J1499" s="269"/>
      <c r="K1499" s="269"/>
      <c r="L1499" s="269"/>
      <c r="M1499" s="269"/>
      <c r="N1499" s="269"/>
      <c r="O1499" s="269"/>
      <c r="P1499" s="269"/>
      <c r="Q1499" s="269"/>
      <c r="R1499" s="269"/>
      <c r="S1499" s="269"/>
      <c r="T1499" s="269"/>
      <c r="U1499" s="269"/>
      <c r="V1499" s="269"/>
      <c r="W1499" s="269"/>
      <c r="X1499" s="269"/>
      <c r="Y1499" s="269"/>
      <c r="Z1499" s="269"/>
      <c r="AA1499" s="269"/>
      <c r="AB1499" s="269"/>
      <c r="AC1499" s="269"/>
      <c r="AD1499" s="269"/>
      <c r="AE1499" s="269"/>
      <c r="AF1499" s="269"/>
      <c r="AG1499" s="269"/>
      <c r="AH1499" s="269"/>
      <c r="AI1499" s="269"/>
      <c r="AJ1499" s="269"/>
      <c r="AK1499" s="269"/>
      <c r="AL1499" s="269"/>
      <c r="AM1499" s="269"/>
      <c r="AN1499" s="269"/>
      <c r="AO1499" s="269"/>
      <c r="AP1499" s="269"/>
      <c r="AQ1499" s="269"/>
      <c r="AR1499" s="269"/>
    </row>
    <row r="1500">
      <c r="A1500" s="410"/>
      <c r="B1500" s="410"/>
      <c r="C1500" s="410"/>
      <c r="D1500" s="410"/>
      <c r="E1500" s="410"/>
      <c r="F1500" s="410"/>
      <c r="H1500" s="269"/>
      <c r="I1500" s="269"/>
      <c r="J1500" s="269"/>
      <c r="K1500" s="269"/>
      <c r="L1500" s="269"/>
      <c r="M1500" s="269"/>
      <c r="N1500" s="269"/>
      <c r="O1500" s="269"/>
      <c r="P1500" s="269"/>
      <c r="Q1500" s="269"/>
      <c r="R1500" s="269"/>
      <c r="S1500" s="269"/>
      <c r="T1500" s="269"/>
      <c r="U1500" s="269"/>
      <c r="V1500" s="269"/>
      <c r="W1500" s="269"/>
      <c r="X1500" s="269"/>
      <c r="Y1500" s="269"/>
      <c r="Z1500" s="269"/>
      <c r="AA1500" s="269"/>
      <c r="AB1500" s="269"/>
      <c r="AC1500" s="269"/>
      <c r="AD1500" s="269"/>
      <c r="AE1500" s="269"/>
      <c r="AF1500" s="269"/>
      <c r="AG1500" s="269"/>
      <c r="AH1500" s="269"/>
      <c r="AI1500" s="269"/>
      <c r="AJ1500" s="269"/>
      <c r="AK1500" s="269"/>
      <c r="AL1500" s="269"/>
      <c r="AM1500" s="269"/>
      <c r="AN1500" s="269"/>
      <c r="AO1500" s="269"/>
      <c r="AP1500" s="269"/>
      <c r="AQ1500" s="269"/>
      <c r="AR1500" s="269"/>
    </row>
    <row r="1501">
      <c r="A1501" s="410"/>
      <c r="B1501" s="410"/>
      <c r="C1501" s="410"/>
      <c r="D1501" s="410"/>
      <c r="E1501" s="410"/>
      <c r="F1501" s="410"/>
      <c r="H1501" s="269"/>
      <c r="I1501" s="269"/>
      <c r="J1501" s="269"/>
      <c r="K1501" s="269"/>
      <c r="L1501" s="269"/>
      <c r="M1501" s="269"/>
      <c r="N1501" s="269"/>
      <c r="O1501" s="269"/>
      <c r="P1501" s="269"/>
      <c r="Q1501" s="269"/>
      <c r="R1501" s="269"/>
      <c r="S1501" s="269"/>
      <c r="T1501" s="269"/>
      <c r="U1501" s="269"/>
      <c r="V1501" s="269"/>
      <c r="W1501" s="269"/>
      <c r="X1501" s="269"/>
      <c r="Y1501" s="269"/>
      <c r="Z1501" s="269"/>
      <c r="AA1501" s="269"/>
      <c r="AB1501" s="269"/>
      <c r="AC1501" s="269"/>
      <c r="AD1501" s="269"/>
      <c r="AE1501" s="269"/>
      <c r="AF1501" s="269"/>
      <c r="AG1501" s="269"/>
      <c r="AH1501" s="269"/>
      <c r="AI1501" s="269"/>
      <c r="AJ1501" s="269"/>
      <c r="AK1501" s="269"/>
      <c r="AL1501" s="269"/>
      <c r="AM1501" s="269"/>
      <c r="AN1501" s="269"/>
      <c r="AO1501" s="269"/>
      <c r="AP1501" s="269"/>
      <c r="AQ1501" s="269"/>
      <c r="AR1501" s="269"/>
    </row>
    <row r="1502">
      <c r="A1502" s="410"/>
      <c r="B1502" s="410"/>
      <c r="C1502" s="410"/>
      <c r="D1502" s="410"/>
      <c r="E1502" s="410"/>
      <c r="F1502" s="410"/>
      <c r="H1502" s="269"/>
      <c r="I1502" s="269"/>
      <c r="J1502" s="269"/>
      <c r="K1502" s="269"/>
      <c r="L1502" s="269"/>
      <c r="M1502" s="269"/>
      <c r="N1502" s="269"/>
      <c r="O1502" s="269"/>
      <c r="P1502" s="269"/>
      <c r="Q1502" s="269"/>
      <c r="R1502" s="269"/>
      <c r="S1502" s="269"/>
      <c r="T1502" s="269"/>
      <c r="U1502" s="269"/>
      <c r="V1502" s="269"/>
      <c r="W1502" s="269"/>
      <c r="X1502" s="269"/>
      <c r="Y1502" s="269"/>
      <c r="Z1502" s="269"/>
      <c r="AA1502" s="269"/>
      <c r="AB1502" s="269"/>
      <c r="AC1502" s="269"/>
      <c r="AD1502" s="269"/>
      <c r="AE1502" s="269"/>
      <c r="AF1502" s="269"/>
      <c r="AG1502" s="269"/>
      <c r="AH1502" s="269"/>
      <c r="AI1502" s="269"/>
      <c r="AJ1502" s="269"/>
      <c r="AK1502" s="269"/>
      <c r="AL1502" s="269"/>
      <c r="AM1502" s="269"/>
      <c r="AN1502" s="269"/>
      <c r="AO1502" s="269"/>
      <c r="AP1502" s="269"/>
      <c r="AQ1502" s="269"/>
      <c r="AR1502" s="269"/>
    </row>
    <row r="1503">
      <c r="A1503" s="410"/>
      <c r="B1503" s="410"/>
      <c r="C1503" s="410"/>
      <c r="D1503" s="410"/>
      <c r="E1503" s="410"/>
      <c r="F1503" s="410"/>
      <c r="H1503" s="269"/>
      <c r="I1503" s="269"/>
      <c r="J1503" s="269"/>
      <c r="K1503" s="269"/>
      <c r="L1503" s="269"/>
      <c r="M1503" s="269"/>
      <c r="N1503" s="269"/>
      <c r="O1503" s="269"/>
      <c r="P1503" s="269"/>
      <c r="Q1503" s="269"/>
      <c r="R1503" s="269"/>
      <c r="S1503" s="269"/>
      <c r="T1503" s="269"/>
      <c r="U1503" s="269"/>
      <c r="V1503" s="269"/>
      <c r="W1503" s="269"/>
      <c r="X1503" s="269"/>
      <c r="Y1503" s="269"/>
      <c r="Z1503" s="269"/>
      <c r="AA1503" s="269"/>
      <c r="AB1503" s="269"/>
      <c r="AC1503" s="269"/>
      <c r="AD1503" s="269"/>
      <c r="AE1503" s="269"/>
      <c r="AF1503" s="269"/>
      <c r="AG1503" s="269"/>
      <c r="AH1503" s="269"/>
      <c r="AI1503" s="269"/>
      <c r="AJ1503" s="269"/>
      <c r="AK1503" s="269"/>
      <c r="AL1503" s="269"/>
      <c r="AM1503" s="269"/>
      <c r="AN1503" s="269"/>
      <c r="AO1503" s="269"/>
      <c r="AP1503" s="269"/>
      <c r="AQ1503" s="269"/>
      <c r="AR1503" s="269"/>
    </row>
    <row r="1504">
      <c r="A1504" s="410"/>
      <c r="B1504" s="410"/>
      <c r="C1504" s="410"/>
      <c r="D1504" s="410"/>
      <c r="E1504" s="410"/>
      <c r="F1504" s="410"/>
      <c r="H1504" s="269"/>
      <c r="I1504" s="269"/>
      <c r="J1504" s="269"/>
      <c r="K1504" s="269"/>
      <c r="L1504" s="269"/>
      <c r="M1504" s="269"/>
      <c r="N1504" s="269"/>
      <c r="O1504" s="269"/>
      <c r="P1504" s="269"/>
      <c r="Q1504" s="269"/>
      <c r="R1504" s="269"/>
      <c r="S1504" s="269"/>
      <c r="T1504" s="269"/>
      <c r="U1504" s="269"/>
      <c r="V1504" s="269"/>
      <c r="W1504" s="269"/>
      <c r="X1504" s="269"/>
      <c r="Y1504" s="269"/>
      <c r="Z1504" s="269"/>
      <c r="AA1504" s="269"/>
      <c r="AB1504" s="269"/>
      <c r="AC1504" s="269"/>
      <c r="AD1504" s="269"/>
      <c r="AE1504" s="269"/>
      <c r="AF1504" s="269"/>
      <c r="AG1504" s="269"/>
      <c r="AH1504" s="269"/>
      <c r="AI1504" s="269"/>
      <c r="AJ1504" s="269"/>
      <c r="AK1504" s="269"/>
      <c r="AL1504" s="269"/>
      <c r="AM1504" s="269"/>
      <c r="AN1504" s="269"/>
      <c r="AO1504" s="269"/>
      <c r="AP1504" s="269"/>
      <c r="AQ1504" s="269"/>
      <c r="AR1504" s="269"/>
    </row>
    <row r="1505">
      <c r="A1505" s="410"/>
      <c r="B1505" s="410"/>
      <c r="C1505" s="410"/>
      <c r="D1505" s="410"/>
      <c r="E1505" s="410"/>
      <c r="F1505" s="410"/>
      <c r="H1505" s="269"/>
      <c r="I1505" s="269"/>
      <c r="J1505" s="269"/>
      <c r="K1505" s="269"/>
      <c r="L1505" s="269"/>
      <c r="M1505" s="269"/>
      <c r="N1505" s="269"/>
      <c r="O1505" s="269"/>
      <c r="P1505" s="269"/>
      <c r="Q1505" s="269"/>
      <c r="R1505" s="269"/>
      <c r="S1505" s="269"/>
      <c r="T1505" s="269"/>
      <c r="U1505" s="269"/>
      <c r="V1505" s="269"/>
      <c r="W1505" s="269"/>
      <c r="X1505" s="269"/>
      <c r="Y1505" s="269"/>
      <c r="Z1505" s="269"/>
      <c r="AA1505" s="269"/>
      <c r="AB1505" s="269"/>
      <c r="AC1505" s="269"/>
      <c r="AD1505" s="269"/>
      <c r="AE1505" s="269"/>
      <c r="AF1505" s="269"/>
      <c r="AG1505" s="269"/>
      <c r="AH1505" s="269"/>
      <c r="AI1505" s="269"/>
      <c r="AJ1505" s="269"/>
      <c r="AK1505" s="269"/>
      <c r="AL1505" s="269"/>
      <c r="AM1505" s="269"/>
      <c r="AN1505" s="269"/>
      <c r="AO1505" s="269"/>
      <c r="AP1505" s="269"/>
      <c r="AQ1505" s="269"/>
      <c r="AR1505" s="269"/>
    </row>
    <row r="1506">
      <c r="A1506" s="410"/>
      <c r="B1506" s="410"/>
      <c r="C1506" s="410"/>
      <c r="D1506" s="410"/>
      <c r="E1506" s="410"/>
      <c r="F1506" s="410"/>
      <c r="H1506" s="269"/>
      <c r="I1506" s="269"/>
      <c r="J1506" s="269"/>
      <c r="K1506" s="269"/>
      <c r="L1506" s="269"/>
      <c r="M1506" s="269"/>
      <c r="N1506" s="269"/>
      <c r="O1506" s="269"/>
      <c r="P1506" s="269"/>
      <c r="Q1506" s="269"/>
      <c r="R1506" s="269"/>
      <c r="S1506" s="269"/>
      <c r="T1506" s="269"/>
      <c r="U1506" s="269"/>
      <c r="V1506" s="269"/>
      <c r="W1506" s="269"/>
      <c r="X1506" s="269"/>
      <c r="Y1506" s="269"/>
      <c r="Z1506" s="269"/>
      <c r="AA1506" s="269"/>
      <c r="AB1506" s="269"/>
      <c r="AC1506" s="269"/>
      <c r="AD1506" s="269"/>
      <c r="AE1506" s="269"/>
      <c r="AF1506" s="269"/>
      <c r="AG1506" s="269"/>
      <c r="AH1506" s="269"/>
      <c r="AI1506" s="269"/>
      <c r="AJ1506" s="269"/>
      <c r="AK1506" s="269"/>
      <c r="AL1506" s="269"/>
      <c r="AM1506" s="269"/>
      <c r="AN1506" s="269"/>
      <c r="AO1506" s="269"/>
      <c r="AP1506" s="269"/>
      <c r="AQ1506" s="269"/>
      <c r="AR1506" s="269"/>
    </row>
    <row r="1507">
      <c r="A1507" s="410"/>
      <c r="B1507" s="410"/>
      <c r="C1507" s="410"/>
      <c r="D1507" s="410"/>
      <c r="E1507" s="410"/>
      <c r="F1507" s="410"/>
      <c r="H1507" s="269"/>
      <c r="I1507" s="269"/>
      <c r="J1507" s="269"/>
      <c r="K1507" s="269"/>
      <c r="L1507" s="269"/>
      <c r="M1507" s="269"/>
      <c r="N1507" s="269"/>
      <c r="O1507" s="269"/>
      <c r="P1507" s="269"/>
      <c r="Q1507" s="269"/>
      <c r="R1507" s="269"/>
      <c r="S1507" s="269"/>
      <c r="T1507" s="269"/>
      <c r="U1507" s="269"/>
      <c r="V1507" s="269"/>
      <c r="W1507" s="269"/>
      <c r="X1507" s="269"/>
      <c r="Y1507" s="269"/>
      <c r="Z1507" s="269"/>
      <c r="AA1507" s="269"/>
      <c r="AB1507" s="269"/>
      <c r="AC1507" s="269"/>
      <c r="AD1507" s="269"/>
      <c r="AE1507" s="269"/>
      <c r="AF1507" s="269"/>
      <c r="AG1507" s="269"/>
      <c r="AH1507" s="269"/>
      <c r="AI1507" s="269"/>
      <c r="AJ1507" s="269"/>
      <c r="AK1507" s="269"/>
      <c r="AL1507" s="269"/>
      <c r="AM1507" s="269"/>
      <c r="AN1507" s="269"/>
      <c r="AO1507" s="269"/>
      <c r="AP1507" s="269"/>
      <c r="AQ1507" s="269"/>
      <c r="AR1507" s="269"/>
    </row>
    <row r="1508">
      <c r="A1508" s="410"/>
      <c r="B1508" s="410"/>
      <c r="C1508" s="410"/>
      <c r="D1508" s="410"/>
      <c r="E1508" s="410"/>
      <c r="F1508" s="410"/>
      <c r="H1508" s="269"/>
      <c r="I1508" s="269"/>
      <c r="J1508" s="269"/>
      <c r="K1508" s="269"/>
      <c r="L1508" s="269"/>
      <c r="M1508" s="269"/>
      <c r="N1508" s="269"/>
      <c r="O1508" s="269"/>
      <c r="P1508" s="269"/>
      <c r="Q1508" s="269"/>
      <c r="R1508" s="269"/>
      <c r="S1508" s="269"/>
      <c r="T1508" s="269"/>
      <c r="U1508" s="269"/>
      <c r="V1508" s="269"/>
      <c r="W1508" s="269"/>
      <c r="X1508" s="269"/>
      <c r="Y1508" s="269"/>
      <c r="Z1508" s="269"/>
      <c r="AA1508" s="269"/>
      <c r="AB1508" s="269"/>
      <c r="AC1508" s="269"/>
      <c r="AD1508" s="269"/>
      <c r="AE1508" s="269"/>
      <c r="AF1508" s="269"/>
      <c r="AG1508" s="269"/>
      <c r="AH1508" s="269"/>
      <c r="AI1508" s="269"/>
      <c r="AJ1508" s="269"/>
      <c r="AK1508" s="269"/>
      <c r="AL1508" s="269"/>
      <c r="AM1508" s="269"/>
      <c r="AN1508" s="269"/>
      <c r="AO1508" s="269"/>
      <c r="AP1508" s="269"/>
      <c r="AQ1508" s="269"/>
      <c r="AR1508" s="269"/>
    </row>
    <row r="1509">
      <c r="A1509" s="410"/>
      <c r="B1509" s="410"/>
      <c r="C1509" s="410"/>
      <c r="D1509" s="410"/>
      <c r="E1509" s="410"/>
      <c r="F1509" s="410"/>
      <c r="H1509" s="269"/>
      <c r="I1509" s="269"/>
      <c r="J1509" s="269"/>
      <c r="K1509" s="269"/>
      <c r="L1509" s="269"/>
      <c r="M1509" s="269"/>
      <c r="N1509" s="269"/>
      <c r="O1509" s="269"/>
      <c r="P1509" s="269"/>
      <c r="Q1509" s="269"/>
      <c r="R1509" s="269"/>
      <c r="S1509" s="269"/>
      <c r="T1509" s="269"/>
      <c r="U1509" s="269"/>
      <c r="V1509" s="269"/>
      <c r="W1509" s="269"/>
      <c r="X1509" s="269"/>
      <c r="Y1509" s="269"/>
      <c r="Z1509" s="269"/>
      <c r="AA1509" s="269"/>
      <c r="AB1509" s="269"/>
      <c r="AC1509" s="269"/>
      <c r="AD1509" s="269"/>
      <c r="AE1509" s="269"/>
      <c r="AF1509" s="269"/>
      <c r="AG1509" s="269"/>
      <c r="AH1509" s="269"/>
      <c r="AI1509" s="269"/>
      <c r="AJ1509" s="269"/>
      <c r="AK1509" s="269"/>
      <c r="AL1509" s="269"/>
      <c r="AM1509" s="269"/>
      <c r="AN1509" s="269"/>
      <c r="AO1509" s="269"/>
      <c r="AP1509" s="269"/>
      <c r="AQ1509" s="269"/>
      <c r="AR1509" s="269"/>
    </row>
    <row r="1510">
      <c r="A1510" s="410"/>
      <c r="B1510" s="410"/>
      <c r="C1510" s="410"/>
      <c r="D1510" s="410"/>
      <c r="E1510" s="410"/>
      <c r="F1510" s="410"/>
      <c r="H1510" s="269"/>
      <c r="I1510" s="269"/>
      <c r="J1510" s="269"/>
      <c r="K1510" s="269"/>
      <c r="L1510" s="269"/>
      <c r="M1510" s="269"/>
      <c r="N1510" s="269"/>
      <c r="O1510" s="269"/>
      <c r="P1510" s="269"/>
      <c r="Q1510" s="269"/>
      <c r="R1510" s="269"/>
      <c r="S1510" s="269"/>
      <c r="T1510" s="269"/>
      <c r="U1510" s="269"/>
      <c r="V1510" s="269"/>
      <c r="W1510" s="269"/>
      <c r="X1510" s="269"/>
      <c r="Y1510" s="269"/>
      <c r="Z1510" s="269"/>
      <c r="AA1510" s="269"/>
      <c r="AB1510" s="269"/>
      <c r="AC1510" s="269"/>
      <c r="AD1510" s="269"/>
      <c r="AE1510" s="269"/>
      <c r="AF1510" s="269"/>
      <c r="AG1510" s="269"/>
      <c r="AH1510" s="269"/>
      <c r="AI1510" s="269"/>
      <c r="AJ1510" s="269"/>
      <c r="AK1510" s="269"/>
      <c r="AL1510" s="269"/>
      <c r="AM1510" s="269"/>
      <c r="AN1510" s="269"/>
      <c r="AO1510" s="269"/>
      <c r="AP1510" s="269"/>
      <c r="AQ1510" s="269"/>
      <c r="AR1510" s="269"/>
    </row>
    <row r="1511">
      <c r="A1511" s="410"/>
      <c r="B1511" s="410"/>
      <c r="C1511" s="410"/>
      <c r="D1511" s="410"/>
      <c r="E1511" s="410"/>
      <c r="F1511" s="410"/>
      <c r="H1511" s="269"/>
      <c r="I1511" s="269"/>
      <c r="J1511" s="269"/>
      <c r="K1511" s="269"/>
      <c r="L1511" s="269"/>
      <c r="M1511" s="269"/>
      <c r="N1511" s="269"/>
      <c r="O1511" s="269"/>
      <c r="P1511" s="269"/>
      <c r="Q1511" s="269"/>
      <c r="R1511" s="269"/>
      <c r="S1511" s="269"/>
      <c r="T1511" s="269"/>
      <c r="U1511" s="269"/>
      <c r="V1511" s="269"/>
      <c r="W1511" s="269"/>
      <c r="X1511" s="269"/>
      <c r="Y1511" s="269"/>
      <c r="Z1511" s="269"/>
      <c r="AA1511" s="269"/>
      <c r="AB1511" s="269"/>
      <c r="AC1511" s="269"/>
      <c r="AD1511" s="269"/>
      <c r="AE1511" s="269"/>
      <c r="AF1511" s="269"/>
      <c r="AG1511" s="269"/>
      <c r="AH1511" s="269"/>
      <c r="AI1511" s="269"/>
      <c r="AJ1511" s="269"/>
      <c r="AK1511" s="269"/>
      <c r="AL1511" s="269"/>
      <c r="AM1511" s="269"/>
      <c r="AN1511" s="269"/>
      <c r="AO1511" s="269"/>
      <c r="AP1511" s="269"/>
      <c r="AQ1511" s="269"/>
      <c r="AR1511" s="269"/>
    </row>
    <row r="1512">
      <c r="A1512" s="410"/>
      <c r="B1512" s="410"/>
      <c r="C1512" s="410"/>
      <c r="D1512" s="410"/>
      <c r="E1512" s="410"/>
      <c r="F1512" s="410"/>
      <c r="H1512" s="269"/>
      <c r="I1512" s="269"/>
      <c r="J1512" s="269"/>
      <c r="K1512" s="269"/>
      <c r="L1512" s="269"/>
      <c r="M1512" s="269"/>
      <c r="N1512" s="269"/>
      <c r="O1512" s="269"/>
      <c r="P1512" s="269"/>
      <c r="Q1512" s="269"/>
      <c r="R1512" s="269"/>
      <c r="S1512" s="269"/>
      <c r="T1512" s="269"/>
      <c r="U1512" s="269"/>
      <c r="V1512" s="269"/>
      <c r="W1512" s="269"/>
      <c r="X1512" s="269"/>
      <c r="Y1512" s="269"/>
      <c r="Z1512" s="269"/>
      <c r="AA1512" s="269"/>
      <c r="AB1512" s="269"/>
      <c r="AC1512" s="269"/>
      <c r="AD1512" s="269"/>
      <c r="AE1512" s="269"/>
      <c r="AF1512" s="269"/>
      <c r="AG1512" s="269"/>
      <c r="AH1512" s="269"/>
      <c r="AI1512" s="269"/>
      <c r="AJ1512" s="269"/>
      <c r="AK1512" s="269"/>
      <c r="AL1512" s="269"/>
      <c r="AM1512" s="269"/>
      <c r="AN1512" s="269"/>
      <c r="AO1512" s="269"/>
      <c r="AP1512" s="269"/>
      <c r="AQ1512" s="269"/>
      <c r="AR1512" s="269"/>
    </row>
    <row r="1513">
      <c r="A1513" s="410"/>
      <c r="B1513" s="410"/>
      <c r="C1513" s="410"/>
      <c r="D1513" s="410"/>
      <c r="E1513" s="410"/>
      <c r="F1513" s="410"/>
      <c r="H1513" s="269"/>
      <c r="I1513" s="269"/>
      <c r="J1513" s="269"/>
      <c r="K1513" s="269"/>
      <c r="L1513" s="269"/>
      <c r="M1513" s="269"/>
      <c r="N1513" s="269"/>
      <c r="O1513" s="269"/>
      <c r="P1513" s="269"/>
      <c r="Q1513" s="269"/>
      <c r="R1513" s="269"/>
      <c r="S1513" s="269"/>
      <c r="T1513" s="269"/>
      <c r="U1513" s="269"/>
      <c r="V1513" s="269"/>
      <c r="W1513" s="269"/>
      <c r="X1513" s="269"/>
      <c r="Y1513" s="269"/>
      <c r="Z1513" s="269"/>
      <c r="AA1513" s="269"/>
      <c r="AB1513" s="269"/>
      <c r="AC1513" s="269"/>
      <c r="AD1513" s="269"/>
      <c r="AE1513" s="269"/>
      <c r="AF1513" s="269"/>
      <c r="AG1513" s="269"/>
      <c r="AH1513" s="269"/>
      <c r="AI1513" s="269"/>
      <c r="AJ1513" s="269"/>
      <c r="AK1513" s="269"/>
      <c r="AL1513" s="269"/>
      <c r="AM1513" s="269"/>
      <c r="AN1513" s="269"/>
      <c r="AO1513" s="269"/>
      <c r="AP1513" s="269"/>
      <c r="AQ1513" s="269"/>
      <c r="AR1513" s="269"/>
    </row>
    <row r="1514">
      <c r="A1514" s="410"/>
      <c r="B1514" s="410"/>
      <c r="C1514" s="410"/>
      <c r="D1514" s="410"/>
      <c r="E1514" s="410"/>
      <c r="F1514" s="410"/>
      <c r="H1514" s="269"/>
      <c r="I1514" s="269"/>
      <c r="J1514" s="269"/>
      <c r="K1514" s="269"/>
      <c r="L1514" s="269"/>
      <c r="M1514" s="269"/>
      <c r="N1514" s="269"/>
      <c r="O1514" s="269"/>
      <c r="P1514" s="269"/>
      <c r="Q1514" s="269"/>
      <c r="R1514" s="269"/>
      <c r="S1514" s="269"/>
      <c r="T1514" s="269"/>
      <c r="U1514" s="269"/>
      <c r="V1514" s="269"/>
      <c r="W1514" s="269"/>
      <c r="X1514" s="269"/>
      <c r="Y1514" s="269"/>
      <c r="Z1514" s="269"/>
      <c r="AA1514" s="269"/>
      <c r="AB1514" s="269"/>
      <c r="AC1514" s="269"/>
      <c r="AD1514" s="269"/>
      <c r="AE1514" s="269"/>
      <c r="AF1514" s="269"/>
      <c r="AG1514" s="269"/>
      <c r="AH1514" s="269"/>
      <c r="AI1514" s="269"/>
      <c r="AJ1514" s="269"/>
      <c r="AK1514" s="269"/>
      <c r="AL1514" s="269"/>
      <c r="AM1514" s="269"/>
      <c r="AN1514" s="269"/>
      <c r="AO1514" s="269"/>
      <c r="AP1514" s="269"/>
      <c r="AQ1514" s="269"/>
      <c r="AR1514" s="269"/>
    </row>
    <row r="1515">
      <c r="A1515" s="410"/>
      <c r="B1515" s="410"/>
      <c r="C1515" s="410"/>
      <c r="D1515" s="410"/>
      <c r="E1515" s="410"/>
      <c r="F1515" s="410"/>
      <c r="H1515" s="269"/>
      <c r="I1515" s="269"/>
      <c r="J1515" s="269"/>
      <c r="K1515" s="269"/>
      <c r="L1515" s="269"/>
      <c r="M1515" s="269"/>
      <c r="N1515" s="269"/>
      <c r="O1515" s="269"/>
      <c r="P1515" s="269"/>
      <c r="Q1515" s="269"/>
      <c r="R1515" s="269"/>
      <c r="S1515" s="269"/>
      <c r="T1515" s="269"/>
      <c r="U1515" s="269"/>
      <c r="V1515" s="269"/>
      <c r="W1515" s="269"/>
      <c r="X1515" s="269"/>
      <c r="Y1515" s="269"/>
      <c r="Z1515" s="269"/>
      <c r="AA1515" s="269"/>
      <c r="AB1515" s="269"/>
      <c r="AC1515" s="269"/>
      <c r="AD1515" s="269"/>
      <c r="AE1515" s="269"/>
      <c r="AF1515" s="269"/>
      <c r="AG1515" s="269"/>
      <c r="AH1515" s="269"/>
      <c r="AI1515" s="269"/>
      <c r="AJ1515" s="269"/>
      <c r="AK1515" s="269"/>
      <c r="AL1515" s="269"/>
      <c r="AM1515" s="269"/>
      <c r="AN1515" s="269"/>
      <c r="AO1515" s="269"/>
      <c r="AP1515" s="269"/>
      <c r="AQ1515" s="269"/>
      <c r="AR1515" s="269"/>
    </row>
    <row r="1516">
      <c r="A1516" s="410"/>
      <c r="B1516" s="410"/>
      <c r="C1516" s="410"/>
      <c r="D1516" s="410"/>
      <c r="E1516" s="410"/>
      <c r="F1516" s="410"/>
      <c r="H1516" s="269"/>
      <c r="I1516" s="269"/>
      <c r="J1516" s="269"/>
      <c r="K1516" s="269"/>
      <c r="L1516" s="269"/>
      <c r="M1516" s="269"/>
      <c r="N1516" s="269"/>
      <c r="O1516" s="269"/>
      <c r="P1516" s="269"/>
      <c r="Q1516" s="269"/>
      <c r="R1516" s="269"/>
      <c r="S1516" s="269"/>
      <c r="T1516" s="269"/>
      <c r="U1516" s="269"/>
      <c r="V1516" s="269"/>
      <c r="W1516" s="269"/>
      <c r="X1516" s="269"/>
      <c r="Y1516" s="269"/>
      <c r="Z1516" s="269"/>
      <c r="AA1516" s="269"/>
      <c r="AB1516" s="269"/>
      <c r="AC1516" s="269"/>
      <c r="AD1516" s="269"/>
      <c r="AE1516" s="269"/>
      <c r="AF1516" s="269"/>
      <c r="AG1516" s="269"/>
      <c r="AH1516" s="269"/>
      <c r="AI1516" s="269"/>
      <c r="AJ1516" s="269"/>
      <c r="AK1516" s="269"/>
      <c r="AL1516" s="269"/>
      <c r="AM1516" s="269"/>
      <c r="AN1516" s="269"/>
      <c r="AO1516" s="269"/>
      <c r="AP1516" s="269"/>
      <c r="AQ1516" s="269"/>
      <c r="AR1516" s="269"/>
    </row>
    <row r="1517">
      <c r="A1517" s="410"/>
      <c r="B1517" s="410"/>
      <c r="C1517" s="410"/>
      <c r="D1517" s="410"/>
      <c r="E1517" s="410"/>
      <c r="F1517" s="410"/>
      <c r="H1517" s="269"/>
      <c r="I1517" s="269"/>
      <c r="J1517" s="269"/>
      <c r="K1517" s="269"/>
      <c r="L1517" s="269"/>
      <c r="M1517" s="269"/>
      <c r="N1517" s="269"/>
      <c r="O1517" s="269"/>
      <c r="P1517" s="269"/>
      <c r="Q1517" s="269"/>
      <c r="R1517" s="269"/>
      <c r="S1517" s="269"/>
      <c r="T1517" s="269"/>
      <c r="U1517" s="269"/>
      <c r="V1517" s="269"/>
      <c r="W1517" s="269"/>
      <c r="X1517" s="269"/>
      <c r="Y1517" s="269"/>
      <c r="Z1517" s="269"/>
      <c r="AA1517" s="269"/>
      <c r="AB1517" s="269"/>
      <c r="AC1517" s="269"/>
      <c r="AD1517" s="269"/>
      <c r="AE1517" s="269"/>
      <c r="AF1517" s="269"/>
      <c r="AG1517" s="269"/>
      <c r="AH1517" s="269"/>
      <c r="AI1517" s="269"/>
      <c r="AJ1517" s="269"/>
      <c r="AK1517" s="269"/>
      <c r="AL1517" s="269"/>
      <c r="AM1517" s="269"/>
      <c r="AN1517" s="269"/>
      <c r="AO1517" s="269"/>
      <c r="AP1517" s="269"/>
      <c r="AQ1517" s="269"/>
      <c r="AR1517" s="269"/>
    </row>
    <row r="1518">
      <c r="A1518" s="410"/>
      <c r="B1518" s="410"/>
      <c r="C1518" s="410"/>
      <c r="D1518" s="410"/>
      <c r="E1518" s="410"/>
      <c r="F1518" s="410"/>
      <c r="H1518" s="269"/>
      <c r="I1518" s="269"/>
      <c r="J1518" s="269"/>
      <c r="K1518" s="269"/>
      <c r="L1518" s="269"/>
      <c r="M1518" s="269"/>
      <c r="N1518" s="269"/>
      <c r="O1518" s="269"/>
      <c r="P1518" s="269"/>
      <c r="Q1518" s="269"/>
      <c r="R1518" s="269"/>
      <c r="S1518" s="269"/>
      <c r="T1518" s="269"/>
      <c r="U1518" s="269"/>
      <c r="V1518" s="269"/>
      <c r="W1518" s="269"/>
      <c r="X1518" s="269"/>
      <c r="Y1518" s="269"/>
      <c r="Z1518" s="269"/>
      <c r="AA1518" s="269"/>
      <c r="AB1518" s="269"/>
      <c r="AC1518" s="269"/>
      <c r="AD1518" s="269"/>
      <c r="AE1518" s="269"/>
      <c r="AF1518" s="269"/>
      <c r="AG1518" s="269"/>
      <c r="AH1518" s="269"/>
      <c r="AI1518" s="269"/>
      <c r="AJ1518" s="269"/>
      <c r="AK1518" s="269"/>
      <c r="AL1518" s="269"/>
      <c r="AM1518" s="269"/>
      <c r="AN1518" s="269"/>
      <c r="AO1518" s="269"/>
      <c r="AP1518" s="269"/>
      <c r="AQ1518" s="269"/>
      <c r="AR1518" s="269"/>
    </row>
    <row r="1519">
      <c r="A1519" s="410"/>
      <c r="B1519" s="410"/>
      <c r="C1519" s="410"/>
      <c r="D1519" s="410"/>
      <c r="E1519" s="410"/>
      <c r="F1519" s="410"/>
      <c r="H1519" s="269"/>
      <c r="I1519" s="269"/>
      <c r="J1519" s="269"/>
      <c r="K1519" s="269"/>
      <c r="L1519" s="269"/>
      <c r="M1519" s="269"/>
      <c r="N1519" s="269"/>
      <c r="O1519" s="269"/>
      <c r="P1519" s="269"/>
      <c r="Q1519" s="269"/>
      <c r="R1519" s="269"/>
      <c r="S1519" s="269"/>
      <c r="T1519" s="269"/>
      <c r="U1519" s="269"/>
      <c r="V1519" s="269"/>
      <c r="W1519" s="269"/>
      <c r="X1519" s="269"/>
      <c r="Y1519" s="269"/>
      <c r="Z1519" s="269"/>
      <c r="AA1519" s="269"/>
      <c r="AB1519" s="269"/>
      <c r="AC1519" s="269"/>
      <c r="AD1519" s="269"/>
      <c r="AE1519" s="269"/>
      <c r="AF1519" s="269"/>
      <c r="AG1519" s="269"/>
      <c r="AH1519" s="269"/>
      <c r="AI1519" s="269"/>
      <c r="AJ1519" s="269"/>
      <c r="AK1519" s="269"/>
      <c r="AL1519" s="269"/>
      <c r="AM1519" s="269"/>
      <c r="AN1519" s="269"/>
      <c r="AO1519" s="269"/>
      <c r="AP1519" s="269"/>
      <c r="AQ1519" s="269"/>
      <c r="AR1519" s="269"/>
    </row>
    <row r="1520">
      <c r="A1520" s="410"/>
      <c r="B1520" s="410"/>
      <c r="C1520" s="410"/>
      <c r="D1520" s="410"/>
      <c r="E1520" s="410"/>
      <c r="F1520" s="410"/>
      <c r="H1520" s="269"/>
      <c r="I1520" s="269"/>
      <c r="J1520" s="269"/>
      <c r="K1520" s="269"/>
      <c r="L1520" s="269"/>
      <c r="M1520" s="269"/>
      <c r="N1520" s="269"/>
      <c r="O1520" s="269"/>
      <c r="P1520" s="269"/>
      <c r="Q1520" s="269"/>
      <c r="R1520" s="269"/>
      <c r="S1520" s="269"/>
      <c r="T1520" s="269"/>
      <c r="U1520" s="269"/>
      <c r="V1520" s="269"/>
      <c r="W1520" s="269"/>
      <c r="X1520" s="269"/>
      <c r="Y1520" s="269"/>
      <c r="Z1520" s="269"/>
      <c r="AA1520" s="269"/>
      <c r="AB1520" s="269"/>
      <c r="AC1520" s="269"/>
      <c r="AD1520" s="269"/>
      <c r="AE1520" s="269"/>
      <c r="AF1520" s="269"/>
      <c r="AG1520" s="269"/>
      <c r="AH1520" s="269"/>
      <c r="AI1520" s="269"/>
      <c r="AJ1520" s="269"/>
      <c r="AK1520" s="269"/>
      <c r="AL1520" s="269"/>
      <c r="AM1520" s="269"/>
      <c r="AN1520" s="269"/>
      <c r="AO1520" s="269"/>
      <c r="AP1520" s="269"/>
      <c r="AQ1520" s="269"/>
      <c r="AR1520" s="269"/>
    </row>
    <row r="1521">
      <c r="A1521" s="410"/>
      <c r="B1521" s="410"/>
      <c r="C1521" s="410"/>
      <c r="D1521" s="410"/>
      <c r="E1521" s="410"/>
      <c r="F1521" s="410"/>
      <c r="H1521" s="269"/>
      <c r="I1521" s="269"/>
      <c r="J1521" s="269"/>
      <c r="K1521" s="269"/>
      <c r="L1521" s="269"/>
      <c r="M1521" s="269"/>
      <c r="N1521" s="269"/>
      <c r="O1521" s="269"/>
      <c r="P1521" s="269"/>
      <c r="Q1521" s="269"/>
      <c r="R1521" s="269"/>
      <c r="S1521" s="269"/>
      <c r="T1521" s="269"/>
      <c r="U1521" s="269"/>
      <c r="V1521" s="269"/>
      <c r="W1521" s="269"/>
      <c r="X1521" s="269"/>
      <c r="Y1521" s="269"/>
      <c r="Z1521" s="269"/>
      <c r="AA1521" s="269"/>
      <c r="AB1521" s="269"/>
      <c r="AC1521" s="269"/>
      <c r="AD1521" s="269"/>
      <c r="AE1521" s="269"/>
      <c r="AF1521" s="269"/>
      <c r="AG1521" s="269"/>
      <c r="AH1521" s="269"/>
      <c r="AI1521" s="269"/>
      <c r="AJ1521" s="269"/>
      <c r="AK1521" s="269"/>
      <c r="AL1521" s="269"/>
      <c r="AM1521" s="269"/>
      <c r="AN1521" s="269"/>
      <c r="AO1521" s="269"/>
      <c r="AP1521" s="269"/>
      <c r="AQ1521" s="269"/>
      <c r="AR1521" s="269"/>
    </row>
    <row r="1522">
      <c r="A1522" s="410"/>
      <c r="B1522" s="410"/>
      <c r="C1522" s="410"/>
      <c r="D1522" s="410"/>
      <c r="E1522" s="410"/>
      <c r="F1522" s="410"/>
      <c r="H1522" s="269"/>
      <c r="I1522" s="269"/>
      <c r="J1522" s="269"/>
      <c r="K1522" s="269"/>
      <c r="L1522" s="269"/>
      <c r="M1522" s="269"/>
      <c r="N1522" s="269"/>
      <c r="O1522" s="269"/>
      <c r="P1522" s="269"/>
      <c r="Q1522" s="269"/>
      <c r="R1522" s="269"/>
      <c r="S1522" s="269"/>
      <c r="T1522" s="269"/>
      <c r="U1522" s="269"/>
      <c r="V1522" s="269"/>
      <c r="W1522" s="269"/>
      <c r="X1522" s="269"/>
      <c r="Y1522" s="269"/>
      <c r="Z1522" s="269"/>
      <c r="AA1522" s="269"/>
      <c r="AB1522" s="269"/>
      <c r="AC1522" s="269"/>
      <c r="AD1522" s="269"/>
      <c r="AE1522" s="269"/>
      <c r="AF1522" s="269"/>
      <c r="AG1522" s="269"/>
      <c r="AH1522" s="269"/>
      <c r="AI1522" s="269"/>
      <c r="AJ1522" s="269"/>
      <c r="AK1522" s="269"/>
      <c r="AL1522" s="269"/>
      <c r="AM1522" s="269"/>
      <c r="AN1522" s="269"/>
      <c r="AO1522" s="269"/>
      <c r="AP1522" s="269"/>
      <c r="AQ1522" s="269"/>
      <c r="AR1522" s="269"/>
    </row>
    <row r="1523">
      <c r="A1523" s="410"/>
      <c r="B1523" s="410"/>
      <c r="C1523" s="410"/>
      <c r="D1523" s="410"/>
      <c r="E1523" s="410"/>
      <c r="F1523" s="410"/>
      <c r="H1523" s="269"/>
      <c r="I1523" s="269"/>
      <c r="J1523" s="269"/>
      <c r="K1523" s="269"/>
      <c r="L1523" s="269"/>
      <c r="M1523" s="269"/>
      <c r="N1523" s="269"/>
      <c r="O1523" s="269"/>
      <c r="P1523" s="269"/>
      <c r="Q1523" s="269"/>
      <c r="R1523" s="269"/>
      <c r="S1523" s="269"/>
      <c r="T1523" s="269"/>
      <c r="U1523" s="269"/>
      <c r="V1523" s="269"/>
      <c r="W1523" s="269"/>
      <c r="X1523" s="269"/>
      <c r="Y1523" s="269"/>
      <c r="Z1523" s="269"/>
      <c r="AA1523" s="269"/>
      <c r="AB1523" s="269"/>
      <c r="AC1523" s="269"/>
      <c r="AD1523" s="269"/>
      <c r="AE1523" s="269"/>
      <c r="AF1523" s="269"/>
      <c r="AG1523" s="269"/>
      <c r="AH1523" s="269"/>
      <c r="AI1523" s="269"/>
      <c r="AJ1523" s="269"/>
      <c r="AK1523" s="269"/>
      <c r="AL1523" s="269"/>
      <c r="AM1523" s="269"/>
      <c r="AN1523" s="269"/>
      <c r="AO1523" s="269"/>
      <c r="AP1523" s="269"/>
      <c r="AQ1523" s="269"/>
      <c r="AR1523" s="269"/>
    </row>
    <row r="1524">
      <c r="A1524" s="410"/>
      <c r="B1524" s="410"/>
      <c r="C1524" s="410"/>
      <c r="D1524" s="410"/>
      <c r="E1524" s="410"/>
      <c r="F1524" s="410"/>
      <c r="H1524" s="269"/>
      <c r="I1524" s="269"/>
      <c r="J1524" s="269"/>
      <c r="K1524" s="269"/>
      <c r="L1524" s="269"/>
      <c r="M1524" s="269"/>
      <c r="N1524" s="269"/>
      <c r="O1524" s="269"/>
      <c r="P1524" s="269"/>
      <c r="Q1524" s="269"/>
      <c r="R1524" s="269"/>
      <c r="S1524" s="269"/>
      <c r="T1524" s="269"/>
      <c r="U1524" s="269"/>
      <c r="V1524" s="269"/>
      <c r="W1524" s="269"/>
      <c r="X1524" s="269"/>
      <c r="Y1524" s="269"/>
      <c r="Z1524" s="269"/>
      <c r="AA1524" s="269"/>
      <c r="AB1524" s="269"/>
      <c r="AC1524" s="269"/>
      <c r="AD1524" s="269"/>
      <c r="AE1524" s="269"/>
      <c r="AF1524" s="269"/>
      <c r="AG1524" s="269"/>
      <c r="AH1524" s="269"/>
      <c r="AI1524" s="269"/>
      <c r="AJ1524" s="269"/>
      <c r="AK1524" s="269"/>
      <c r="AL1524" s="269"/>
      <c r="AM1524" s="269"/>
      <c r="AN1524" s="269"/>
      <c r="AO1524" s="269"/>
      <c r="AP1524" s="269"/>
      <c r="AQ1524" s="269"/>
      <c r="AR1524" s="269"/>
    </row>
    <row r="1525">
      <c r="A1525" s="410"/>
      <c r="B1525" s="410"/>
      <c r="C1525" s="410"/>
      <c r="D1525" s="410"/>
      <c r="E1525" s="410"/>
      <c r="F1525" s="410"/>
      <c r="H1525" s="269"/>
      <c r="I1525" s="269"/>
      <c r="J1525" s="269"/>
      <c r="K1525" s="269"/>
      <c r="L1525" s="269"/>
      <c r="M1525" s="269"/>
      <c r="N1525" s="269"/>
      <c r="O1525" s="269"/>
      <c r="P1525" s="269"/>
      <c r="Q1525" s="269"/>
      <c r="R1525" s="269"/>
      <c r="S1525" s="269"/>
      <c r="T1525" s="269"/>
      <c r="U1525" s="269"/>
      <c r="V1525" s="269"/>
      <c r="W1525" s="269"/>
      <c r="X1525" s="269"/>
      <c r="Y1525" s="269"/>
      <c r="Z1525" s="269"/>
      <c r="AA1525" s="269"/>
      <c r="AB1525" s="269"/>
      <c r="AC1525" s="269"/>
      <c r="AD1525" s="269"/>
      <c r="AE1525" s="269"/>
      <c r="AF1525" s="269"/>
      <c r="AG1525" s="269"/>
      <c r="AH1525" s="269"/>
      <c r="AI1525" s="269"/>
      <c r="AJ1525" s="269"/>
      <c r="AK1525" s="269"/>
      <c r="AL1525" s="269"/>
      <c r="AM1525" s="269"/>
      <c r="AN1525" s="269"/>
      <c r="AO1525" s="269"/>
      <c r="AP1525" s="269"/>
      <c r="AQ1525" s="269"/>
      <c r="AR1525" s="269"/>
    </row>
    <row r="1526">
      <c r="A1526" s="410"/>
      <c r="B1526" s="410"/>
      <c r="C1526" s="410"/>
      <c r="D1526" s="410"/>
      <c r="E1526" s="410"/>
      <c r="F1526" s="410"/>
      <c r="H1526" s="269"/>
      <c r="I1526" s="269"/>
      <c r="J1526" s="269"/>
      <c r="K1526" s="269"/>
      <c r="L1526" s="269"/>
      <c r="M1526" s="269"/>
      <c r="N1526" s="269"/>
      <c r="O1526" s="269"/>
      <c r="P1526" s="269"/>
      <c r="Q1526" s="269"/>
      <c r="R1526" s="269"/>
      <c r="S1526" s="269"/>
      <c r="T1526" s="269"/>
      <c r="U1526" s="269"/>
      <c r="V1526" s="269"/>
      <c r="W1526" s="269"/>
      <c r="X1526" s="269"/>
      <c r="Y1526" s="269"/>
      <c r="Z1526" s="269"/>
      <c r="AA1526" s="269"/>
      <c r="AB1526" s="269"/>
      <c r="AC1526" s="269"/>
      <c r="AD1526" s="269"/>
      <c r="AE1526" s="269"/>
      <c r="AF1526" s="269"/>
      <c r="AG1526" s="269"/>
      <c r="AH1526" s="269"/>
      <c r="AI1526" s="269"/>
      <c r="AJ1526" s="269"/>
      <c r="AK1526" s="269"/>
      <c r="AL1526" s="269"/>
      <c r="AM1526" s="269"/>
      <c r="AN1526" s="269"/>
      <c r="AO1526" s="269"/>
      <c r="AP1526" s="269"/>
      <c r="AQ1526" s="269"/>
      <c r="AR1526" s="269"/>
    </row>
    <row r="1527">
      <c r="A1527" s="410"/>
      <c r="B1527" s="410"/>
      <c r="C1527" s="410"/>
      <c r="D1527" s="410"/>
      <c r="E1527" s="410"/>
      <c r="F1527" s="410"/>
      <c r="H1527" s="269"/>
      <c r="I1527" s="269"/>
      <c r="J1527" s="269"/>
      <c r="K1527" s="269"/>
      <c r="L1527" s="269"/>
      <c r="M1527" s="269"/>
      <c r="N1527" s="269"/>
      <c r="O1527" s="269"/>
      <c r="P1527" s="269"/>
      <c r="Q1527" s="269"/>
      <c r="R1527" s="269"/>
      <c r="S1527" s="269"/>
      <c r="T1527" s="269"/>
      <c r="U1527" s="269"/>
      <c r="V1527" s="269"/>
      <c r="W1527" s="269"/>
      <c r="X1527" s="269"/>
      <c r="Y1527" s="269"/>
      <c r="Z1527" s="269"/>
      <c r="AA1527" s="269"/>
      <c r="AB1527" s="269"/>
      <c r="AC1527" s="269"/>
      <c r="AD1527" s="269"/>
      <c r="AE1527" s="269"/>
      <c r="AF1527" s="269"/>
      <c r="AG1527" s="269"/>
      <c r="AH1527" s="269"/>
      <c r="AI1527" s="269"/>
      <c r="AJ1527" s="269"/>
      <c r="AK1527" s="269"/>
      <c r="AL1527" s="269"/>
      <c r="AM1527" s="269"/>
      <c r="AN1527" s="269"/>
      <c r="AO1527" s="269"/>
      <c r="AP1527" s="269"/>
      <c r="AQ1527" s="269"/>
      <c r="AR1527" s="269"/>
    </row>
    <row r="1528">
      <c r="A1528" s="410"/>
      <c r="B1528" s="410"/>
      <c r="C1528" s="410"/>
      <c r="D1528" s="410"/>
      <c r="E1528" s="410"/>
      <c r="F1528" s="410"/>
      <c r="H1528" s="269"/>
      <c r="I1528" s="269"/>
      <c r="J1528" s="269"/>
      <c r="K1528" s="269"/>
      <c r="L1528" s="269"/>
      <c r="M1528" s="269"/>
      <c r="N1528" s="269"/>
      <c r="O1528" s="269"/>
      <c r="P1528" s="269"/>
      <c r="Q1528" s="269"/>
      <c r="R1528" s="269"/>
      <c r="S1528" s="269"/>
      <c r="T1528" s="269"/>
      <c r="U1528" s="269"/>
      <c r="V1528" s="269"/>
      <c r="W1528" s="269"/>
      <c r="X1528" s="269"/>
      <c r="Y1528" s="269"/>
      <c r="Z1528" s="269"/>
      <c r="AA1528" s="269"/>
      <c r="AB1528" s="269"/>
      <c r="AC1528" s="269"/>
      <c r="AD1528" s="269"/>
      <c r="AE1528" s="269"/>
      <c r="AF1528" s="269"/>
      <c r="AG1528" s="269"/>
      <c r="AH1528" s="269"/>
      <c r="AI1528" s="269"/>
      <c r="AJ1528" s="269"/>
      <c r="AK1528" s="269"/>
      <c r="AL1528" s="269"/>
      <c r="AM1528" s="269"/>
      <c r="AN1528" s="269"/>
      <c r="AO1528" s="269"/>
      <c r="AP1528" s="269"/>
      <c r="AQ1528" s="269"/>
      <c r="AR1528" s="269"/>
    </row>
    <row r="1529">
      <c r="A1529" s="410"/>
      <c r="B1529" s="410"/>
      <c r="C1529" s="410"/>
      <c r="D1529" s="410"/>
      <c r="E1529" s="410"/>
      <c r="F1529" s="410"/>
      <c r="H1529" s="269"/>
      <c r="I1529" s="269"/>
      <c r="J1529" s="269"/>
      <c r="K1529" s="269"/>
      <c r="L1529" s="269"/>
      <c r="M1529" s="269"/>
      <c r="N1529" s="269"/>
      <c r="O1529" s="269"/>
      <c r="P1529" s="269"/>
      <c r="Q1529" s="269"/>
      <c r="R1529" s="269"/>
      <c r="S1529" s="269"/>
      <c r="T1529" s="269"/>
      <c r="U1529" s="269"/>
      <c r="V1529" s="269"/>
      <c r="W1529" s="269"/>
      <c r="X1529" s="269"/>
      <c r="Y1529" s="269"/>
      <c r="Z1529" s="269"/>
      <c r="AA1529" s="269"/>
      <c r="AB1529" s="269"/>
      <c r="AC1529" s="269"/>
      <c r="AD1529" s="269"/>
      <c r="AE1529" s="269"/>
      <c r="AF1529" s="269"/>
      <c r="AG1529" s="269"/>
      <c r="AH1529" s="269"/>
      <c r="AI1529" s="269"/>
      <c r="AJ1529" s="269"/>
      <c r="AK1529" s="269"/>
      <c r="AL1529" s="269"/>
      <c r="AM1529" s="269"/>
      <c r="AN1529" s="269"/>
      <c r="AO1529" s="269"/>
      <c r="AP1529" s="269"/>
      <c r="AQ1529" s="269"/>
      <c r="AR1529" s="269"/>
    </row>
    <row r="1530">
      <c r="A1530" s="410"/>
      <c r="B1530" s="410"/>
      <c r="C1530" s="410"/>
      <c r="D1530" s="410"/>
      <c r="E1530" s="410"/>
      <c r="F1530" s="410"/>
      <c r="H1530" s="269"/>
      <c r="I1530" s="269"/>
      <c r="J1530" s="269"/>
      <c r="K1530" s="269"/>
      <c r="L1530" s="269"/>
      <c r="M1530" s="269"/>
      <c r="N1530" s="269"/>
      <c r="O1530" s="269"/>
      <c r="P1530" s="269"/>
      <c r="Q1530" s="269"/>
      <c r="R1530" s="269"/>
      <c r="S1530" s="269"/>
      <c r="T1530" s="269"/>
      <c r="U1530" s="269"/>
      <c r="V1530" s="269"/>
      <c r="W1530" s="269"/>
      <c r="X1530" s="269"/>
      <c r="Y1530" s="269"/>
      <c r="Z1530" s="269"/>
      <c r="AA1530" s="269"/>
      <c r="AB1530" s="269"/>
      <c r="AC1530" s="269"/>
      <c r="AD1530" s="269"/>
      <c r="AE1530" s="269"/>
      <c r="AF1530" s="269"/>
      <c r="AG1530" s="269"/>
      <c r="AH1530" s="269"/>
      <c r="AI1530" s="269"/>
      <c r="AJ1530" s="269"/>
      <c r="AK1530" s="269"/>
      <c r="AL1530" s="269"/>
      <c r="AM1530" s="269"/>
      <c r="AN1530" s="269"/>
      <c r="AO1530" s="269"/>
      <c r="AP1530" s="269"/>
      <c r="AQ1530" s="269"/>
      <c r="AR1530" s="269"/>
    </row>
    <row r="1531">
      <c r="A1531" s="410"/>
      <c r="B1531" s="410"/>
      <c r="C1531" s="410"/>
      <c r="D1531" s="410"/>
      <c r="E1531" s="410"/>
      <c r="F1531" s="410"/>
      <c r="H1531" s="269"/>
      <c r="I1531" s="269"/>
      <c r="J1531" s="269"/>
      <c r="K1531" s="269"/>
      <c r="L1531" s="269"/>
      <c r="M1531" s="269"/>
      <c r="N1531" s="269"/>
      <c r="O1531" s="269"/>
      <c r="P1531" s="269"/>
      <c r="Q1531" s="269"/>
      <c r="R1531" s="269"/>
      <c r="S1531" s="269"/>
      <c r="T1531" s="269"/>
      <c r="U1531" s="269"/>
      <c r="V1531" s="269"/>
      <c r="W1531" s="269"/>
      <c r="X1531" s="269"/>
      <c r="Y1531" s="269"/>
      <c r="Z1531" s="269"/>
      <c r="AA1531" s="269"/>
      <c r="AB1531" s="269"/>
      <c r="AC1531" s="269"/>
      <c r="AD1531" s="269"/>
      <c r="AE1531" s="269"/>
      <c r="AF1531" s="269"/>
      <c r="AG1531" s="269"/>
      <c r="AH1531" s="269"/>
      <c r="AI1531" s="269"/>
      <c r="AJ1531" s="269"/>
      <c r="AK1531" s="269"/>
      <c r="AL1531" s="269"/>
      <c r="AM1531" s="269"/>
      <c r="AN1531" s="269"/>
      <c r="AO1531" s="269"/>
      <c r="AP1531" s="269"/>
      <c r="AQ1531" s="269"/>
      <c r="AR1531" s="269"/>
    </row>
    <row r="1532">
      <c r="A1532" s="410"/>
      <c r="B1532" s="410"/>
      <c r="C1532" s="410"/>
      <c r="D1532" s="410"/>
      <c r="E1532" s="410"/>
      <c r="F1532" s="410"/>
      <c r="H1532" s="269"/>
      <c r="I1532" s="269"/>
      <c r="J1532" s="269"/>
      <c r="K1532" s="269"/>
      <c r="L1532" s="269"/>
      <c r="M1532" s="269"/>
      <c r="N1532" s="269"/>
      <c r="O1532" s="269"/>
      <c r="P1532" s="269"/>
      <c r="Q1532" s="269"/>
      <c r="R1532" s="269"/>
      <c r="S1532" s="269"/>
      <c r="T1532" s="269"/>
      <c r="U1532" s="269"/>
      <c r="V1532" s="269"/>
      <c r="W1532" s="269"/>
      <c r="X1532" s="269"/>
      <c r="Y1532" s="269"/>
      <c r="Z1532" s="269"/>
      <c r="AA1532" s="269"/>
      <c r="AB1532" s="269"/>
      <c r="AC1532" s="269"/>
      <c r="AD1532" s="269"/>
      <c r="AE1532" s="269"/>
      <c r="AF1532" s="269"/>
      <c r="AG1532" s="269"/>
      <c r="AH1532" s="269"/>
      <c r="AI1532" s="269"/>
      <c r="AJ1532" s="269"/>
      <c r="AK1532" s="269"/>
      <c r="AL1532" s="269"/>
      <c r="AM1532" s="269"/>
      <c r="AN1532" s="269"/>
      <c r="AO1532" s="269"/>
      <c r="AP1532" s="269"/>
      <c r="AQ1532" s="269"/>
      <c r="AR1532" s="269"/>
    </row>
    <row r="1533">
      <c r="A1533" s="410"/>
      <c r="B1533" s="410"/>
      <c r="C1533" s="410"/>
      <c r="D1533" s="410"/>
      <c r="E1533" s="410"/>
      <c r="F1533" s="410"/>
      <c r="H1533" s="269"/>
      <c r="I1533" s="269"/>
      <c r="J1533" s="269"/>
      <c r="K1533" s="269"/>
      <c r="L1533" s="269"/>
      <c r="M1533" s="269"/>
      <c r="N1533" s="269"/>
      <c r="O1533" s="269"/>
      <c r="P1533" s="269"/>
      <c r="Q1533" s="269"/>
      <c r="R1533" s="269"/>
      <c r="S1533" s="269"/>
      <c r="T1533" s="269"/>
      <c r="U1533" s="269"/>
      <c r="V1533" s="269"/>
      <c r="W1533" s="269"/>
      <c r="X1533" s="269"/>
      <c r="Y1533" s="269"/>
      <c r="Z1533" s="269"/>
      <c r="AA1533" s="269"/>
      <c r="AB1533" s="269"/>
      <c r="AC1533" s="269"/>
      <c r="AD1533" s="269"/>
      <c r="AE1533" s="269"/>
      <c r="AF1533" s="269"/>
      <c r="AG1533" s="269"/>
      <c r="AH1533" s="269"/>
      <c r="AI1533" s="269"/>
      <c r="AJ1533" s="269"/>
      <c r="AK1533" s="269"/>
      <c r="AL1533" s="269"/>
      <c r="AM1533" s="269"/>
      <c r="AN1533" s="269"/>
      <c r="AO1533" s="269"/>
      <c r="AP1533" s="269"/>
      <c r="AQ1533" s="269"/>
      <c r="AR1533" s="269"/>
    </row>
    <row r="1534">
      <c r="A1534" s="410"/>
      <c r="B1534" s="410"/>
      <c r="C1534" s="410"/>
      <c r="D1534" s="410"/>
      <c r="E1534" s="410"/>
      <c r="F1534" s="410"/>
      <c r="H1534" s="269"/>
      <c r="I1534" s="269"/>
      <c r="J1534" s="269"/>
      <c r="K1534" s="269"/>
      <c r="L1534" s="269"/>
      <c r="M1534" s="269"/>
      <c r="N1534" s="269"/>
      <c r="O1534" s="269"/>
      <c r="P1534" s="269"/>
      <c r="Q1534" s="269"/>
      <c r="R1534" s="269"/>
      <c r="S1534" s="269"/>
      <c r="T1534" s="269"/>
      <c r="U1534" s="269"/>
      <c r="V1534" s="269"/>
      <c r="W1534" s="269"/>
      <c r="X1534" s="269"/>
      <c r="Y1534" s="269"/>
      <c r="Z1534" s="269"/>
      <c r="AA1534" s="269"/>
      <c r="AB1534" s="269"/>
      <c r="AC1534" s="269"/>
      <c r="AD1534" s="269"/>
      <c r="AE1534" s="269"/>
      <c r="AF1534" s="269"/>
      <c r="AG1534" s="269"/>
      <c r="AH1534" s="269"/>
      <c r="AI1534" s="269"/>
      <c r="AJ1534" s="269"/>
      <c r="AK1534" s="269"/>
      <c r="AL1534" s="269"/>
      <c r="AM1534" s="269"/>
      <c r="AN1534" s="269"/>
      <c r="AO1534" s="269"/>
      <c r="AP1534" s="269"/>
      <c r="AQ1534" s="269"/>
      <c r="AR1534" s="269"/>
    </row>
    <row r="1535">
      <c r="A1535" s="410"/>
      <c r="B1535" s="410"/>
      <c r="C1535" s="410"/>
      <c r="D1535" s="410"/>
      <c r="E1535" s="410"/>
      <c r="F1535" s="410"/>
      <c r="H1535" s="269"/>
      <c r="I1535" s="269"/>
      <c r="J1535" s="269"/>
      <c r="K1535" s="269"/>
      <c r="L1535" s="269"/>
      <c r="M1535" s="269"/>
      <c r="N1535" s="269"/>
      <c r="O1535" s="269"/>
      <c r="P1535" s="269"/>
      <c r="Q1535" s="269"/>
      <c r="R1535" s="269"/>
      <c r="S1535" s="269"/>
      <c r="T1535" s="269"/>
      <c r="U1535" s="269"/>
      <c r="V1535" s="269"/>
      <c r="W1535" s="269"/>
      <c r="X1535" s="269"/>
      <c r="Y1535" s="269"/>
      <c r="Z1535" s="269"/>
      <c r="AA1535" s="269"/>
      <c r="AB1535" s="269"/>
      <c r="AC1535" s="269"/>
      <c r="AD1535" s="269"/>
      <c r="AE1535" s="269"/>
      <c r="AF1535" s="269"/>
      <c r="AG1535" s="269"/>
      <c r="AH1535" s="269"/>
      <c r="AI1535" s="269"/>
      <c r="AJ1535" s="269"/>
      <c r="AK1535" s="269"/>
      <c r="AL1535" s="269"/>
      <c r="AM1535" s="269"/>
      <c r="AN1535" s="269"/>
      <c r="AO1535" s="269"/>
      <c r="AP1535" s="269"/>
      <c r="AQ1535" s="269"/>
      <c r="AR1535" s="269"/>
    </row>
    <row r="1536">
      <c r="A1536" s="410"/>
      <c r="B1536" s="410"/>
      <c r="C1536" s="410"/>
      <c r="D1536" s="410"/>
      <c r="E1536" s="410"/>
      <c r="F1536" s="410"/>
      <c r="H1536" s="269"/>
      <c r="I1536" s="269"/>
      <c r="J1536" s="269"/>
      <c r="K1536" s="269"/>
      <c r="L1536" s="269"/>
      <c r="M1536" s="269"/>
      <c r="N1536" s="269"/>
      <c r="O1536" s="269"/>
      <c r="P1536" s="269"/>
      <c r="Q1536" s="269"/>
      <c r="R1536" s="269"/>
      <c r="S1536" s="269"/>
      <c r="T1536" s="269"/>
      <c r="U1536" s="269"/>
      <c r="V1536" s="269"/>
      <c r="W1536" s="269"/>
      <c r="X1536" s="269"/>
      <c r="Y1536" s="269"/>
      <c r="Z1536" s="269"/>
      <c r="AA1536" s="269"/>
      <c r="AB1536" s="269"/>
      <c r="AC1536" s="269"/>
      <c r="AD1536" s="269"/>
      <c r="AE1536" s="269"/>
      <c r="AF1536" s="269"/>
      <c r="AG1536" s="269"/>
      <c r="AH1536" s="269"/>
      <c r="AI1536" s="269"/>
      <c r="AJ1536" s="269"/>
      <c r="AK1536" s="269"/>
      <c r="AL1536" s="269"/>
      <c r="AM1536" s="269"/>
      <c r="AN1536" s="269"/>
      <c r="AO1536" s="269"/>
      <c r="AP1536" s="269"/>
      <c r="AQ1536" s="269"/>
      <c r="AR1536" s="269"/>
    </row>
    <row r="1537">
      <c r="A1537" s="410"/>
      <c r="B1537" s="410"/>
      <c r="C1537" s="410"/>
      <c r="D1537" s="410"/>
      <c r="E1537" s="410"/>
      <c r="F1537" s="410"/>
      <c r="H1537" s="269"/>
      <c r="I1537" s="269"/>
      <c r="J1537" s="269"/>
      <c r="K1537" s="269"/>
      <c r="L1537" s="269"/>
      <c r="M1537" s="269"/>
      <c r="N1537" s="269"/>
      <c r="O1537" s="269"/>
      <c r="P1537" s="269"/>
      <c r="Q1537" s="269"/>
      <c r="R1537" s="269"/>
      <c r="S1537" s="269"/>
      <c r="T1537" s="269"/>
      <c r="U1537" s="269"/>
      <c r="V1537" s="269"/>
      <c r="W1537" s="269"/>
      <c r="X1537" s="269"/>
      <c r="Y1537" s="269"/>
      <c r="Z1537" s="269"/>
      <c r="AA1537" s="269"/>
      <c r="AB1537" s="269"/>
      <c r="AC1537" s="269"/>
      <c r="AD1537" s="269"/>
      <c r="AE1537" s="269"/>
      <c r="AF1537" s="269"/>
      <c r="AG1537" s="269"/>
      <c r="AH1537" s="269"/>
      <c r="AI1537" s="269"/>
      <c r="AJ1537" s="269"/>
      <c r="AK1537" s="269"/>
      <c r="AL1537" s="269"/>
      <c r="AM1537" s="269"/>
      <c r="AN1537" s="269"/>
      <c r="AO1537" s="269"/>
      <c r="AP1537" s="269"/>
      <c r="AQ1537" s="269"/>
      <c r="AR1537" s="269"/>
    </row>
    <row r="1538">
      <c r="A1538" s="410"/>
      <c r="B1538" s="410"/>
      <c r="C1538" s="410"/>
      <c r="D1538" s="410"/>
      <c r="E1538" s="410"/>
      <c r="F1538" s="410"/>
      <c r="H1538" s="269"/>
      <c r="I1538" s="269"/>
      <c r="J1538" s="269"/>
      <c r="K1538" s="269"/>
      <c r="L1538" s="269"/>
      <c r="M1538" s="269"/>
      <c r="N1538" s="269"/>
      <c r="O1538" s="269"/>
      <c r="P1538" s="269"/>
      <c r="Q1538" s="269"/>
      <c r="R1538" s="269"/>
      <c r="S1538" s="269"/>
      <c r="T1538" s="269"/>
      <c r="U1538" s="269"/>
      <c r="V1538" s="269"/>
      <c r="W1538" s="269"/>
      <c r="X1538" s="269"/>
      <c r="Y1538" s="269"/>
      <c r="Z1538" s="269"/>
      <c r="AA1538" s="269"/>
      <c r="AB1538" s="269"/>
      <c r="AC1538" s="269"/>
      <c r="AD1538" s="269"/>
      <c r="AE1538" s="269"/>
      <c r="AF1538" s="269"/>
      <c r="AG1538" s="269"/>
      <c r="AH1538" s="269"/>
      <c r="AI1538" s="269"/>
      <c r="AJ1538" s="269"/>
      <c r="AK1538" s="269"/>
      <c r="AL1538" s="269"/>
      <c r="AM1538" s="269"/>
      <c r="AN1538" s="269"/>
      <c r="AO1538" s="269"/>
      <c r="AP1538" s="269"/>
      <c r="AQ1538" s="269"/>
      <c r="AR1538" s="269"/>
    </row>
    <row r="1539">
      <c r="A1539" s="410"/>
      <c r="B1539" s="410"/>
      <c r="C1539" s="410"/>
      <c r="D1539" s="410"/>
      <c r="E1539" s="410"/>
      <c r="F1539" s="410"/>
      <c r="H1539" s="269"/>
      <c r="I1539" s="269"/>
      <c r="J1539" s="269"/>
      <c r="K1539" s="269"/>
      <c r="L1539" s="269"/>
      <c r="M1539" s="269"/>
      <c r="N1539" s="269"/>
      <c r="O1539" s="269"/>
      <c r="P1539" s="269"/>
      <c r="Q1539" s="269"/>
      <c r="R1539" s="269"/>
      <c r="S1539" s="269"/>
      <c r="T1539" s="269"/>
      <c r="U1539" s="269"/>
      <c r="V1539" s="269"/>
      <c r="W1539" s="269"/>
      <c r="X1539" s="269"/>
      <c r="Y1539" s="269"/>
      <c r="Z1539" s="269"/>
      <c r="AA1539" s="269"/>
      <c r="AB1539" s="269"/>
      <c r="AC1539" s="269"/>
      <c r="AD1539" s="269"/>
      <c r="AE1539" s="269"/>
      <c r="AF1539" s="269"/>
      <c r="AG1539" s="269"/>
      <c r="AH1539" s="269"/>
      <c r="AI1539" s="269"/>
      <c r="AJ1539" s="269"/>
      <c r="AK1539" s="269"/>
      <c r="AL1539" s="269"/>
      <c r="AM1539" s="269"/>
      <c r="AN1539" s="269"/>
      <c r="AO1539" s="269"/>
      <c r="AP1539" s="269"/>
      <c r="AQ1539" s="269"/>
      <c r="AR1539" s="269"/>
    </row>
    <row r="1540">
      <c r="A1540" s="410"/>
      <c r="B1540" s="410"/>
      <c r="C1540" s="410"/>
      <c r="D1540" s="410"/>
      <c r="E1540" s="410"/>
      <c r="F1540" s="410"/>
      <c r="H1540" s="269"/>
      <c r="I1540" s="269"/>
      <c r="J1540" s="269"/>
      <c r="K1540" s="269"/>
      <c r="L1540" s="269"/>
      <c r="M1540" s="269"/>
      <c r="N1540" s="269"/>
      <c r="O1540" s="269"/>
      <c r="P1540" s="269"/>
      <c r="Q1540" s="269"/>
      <c r="R1540" s="269"/>
      <c r="S1540" s="269"/>
      <c r="T1540" s="269"/>
      <c r="U1540" s="269"/>
      <c r="V1540" s="269"/>
      <c r="W1540" s="269"/>
      <c r="X1540" s="269"/>
      <c r="Y1540" s="269"/>
      <c r="Z1540" s="269"/>
      <c r="AA1540" s="269"/>
      <c r="AB1540" s="269"/>
      <c r="AC1540" s="269"/>
      <c r="AD1540" s="269"/>
      <c r="AE1540" s="269"/>
      <c r="AF1540" s="269"/>
      <c r="AG1540" s="269"/>
      <c r="AH1540" s="269"/>
      <c r="AI1540" s="269"/>
      <c r="AJ1540" s="269"/>
      <c r="AK1540" s="269"/>
      <c r="AL1540" s="269"/>
      <c r="AM1540" s="269"/>
      <c r="AN1540" s="269"/>
      <c r="AO1540" s="269"/>
      <c r="AP1540" s="269"/>
      <c r="AQ1540" s="269"/>
      <c r="AR1540" s="269"/>
    </row>
    <row r="1541">
      <c r="A1541" s="410"/>
      <c r="B1541" s="410"/>
      <c r="C1541" s="410"/>
      <c r="D1541" s="410"/>
      <c r="E1541" s="410"/>
      <c r="F1541" s="410"/>
      <c r="H1541" s="269"/>
      <c r="I1541" s="269"/>
      <c r="J1541" s="269"/>
      <c r="K1541" s="269"/>
      <c r="L1541" s="269"/>
      <c r="M1541" s="269"/>
      <c r="N1541" s="269"/>
      <c r="O1541" s="269"/>
      <c r="P1541" s="269"/>
      <c r="Q1541" s="269"/>
      <c r="R1541" s="269"/>
      <c r="S1541" s="269"/>
      <c r="T1541" s="269"/>
      <c r="U1541" s="269"/>
      <c r="V1541" s="269"/>
      <c r="W1541" s="269"/>
      <c r="X1541" s="269"/>
      <c r="Y1541" s="269"/>
      <c r="Z1541" s="269"/>
      <c r="AA1541" s="269"/>
      <c r="AB1541" s="269"/>
      <c r="AC1541" s="269"/>
      <c r="AD1541" s="269"/>
      <c r="AE1541" s="269"/>
      <c r="AF1541" s="269"/>
      <c r="AG1541" s="269"/>
      <c r="AH1541" s="269"/>
      <c r="AI1541" s="269"/>
      <c r="AJ1541" s="269"/>
      <c r="AK1541" s="269"/>
      <c r="AL1541" s="269"/>
      <c r="AM1541" s="269"/>
      <c r="AN1541" s="269"/>
      <c r="AO1541" s="269"/>
      <c r="AP1541" s="269"/>
      <c r="AQ1541" s="269"/>
      <c r="AR1541" s="269"/>
    </row>
    <row r="1542">
      <c r="A1542" s="410"/>
      <c r="B1542" s="410"/>
      <c r="C1542" s="410"/>
      <c r="D1542" s="410"/>
      <c r="E1542" s="410"/>
      <c r="F1542" s="410"/>
      <c r="H1542" s="269"/>
      <c r="I1542" s="269"/>
      <c r="J1542" s="269"/>
      <c r="K1542" s="269"/>
      <c r="L1542" s="269"/>
      <c r="M1542" s="269"/>
      <c r="N1542" s="269"/>
      <c r="O1542" s="269"/>
      <c r="P1542" s="269"/>
      <c r="Q1542" s="269"/>
      <c r="R1542" s="269"/>
      <c r="S1542" s="269"/>
      <c r="T1542" s="269"/>
      <c r="U1542" s="269"/>
      <c r="V1542" s="269"/>
      <c r="W1542" s="269"/>
      <c r="X1542" s="269"/>
      <c r="Y1542" s="269"/>
      <c r="Z1542" s="269"/>
      <c r="AA1542" s="269"/>
      <c r="AB1542" s="269"/>
      <c r="AC1542" s="269"/>
      <c r="AD1542" s="269"/>
      <c r="AE1542" s="269"/>
      <c r="AF1542" s="269"/>
      <c r="AG1542" s="269"/>
      <c r="AH1542" s="269"/>
      <c r="AI1542" s="269"/>
      <c r="AJ1542" s="269"/>
      <c r="AK1542" s="269"/>
      <c r="AL1542" s="269"/>
      <c r="AM1542" s="269"/>
      <c r="AN1542" s="269"/>
      <c r="AO1542" s="269"/>
      <c r="AP1542" s="269"/>
      <c r="AQ1542" s="269"/>
      <c r="AR1542" s="269"/>
    </row>
    <row r="1543">
      <c r="A1543" s="410"/>
      <c r="B1543" s="410"/>
      <c r="C1543" s="410"/>
      <c r="D1543" s="410"/>
      <c r="E1543" s="410"/>
      <c r="F1543" s="410"/>
      <c r="H1543" s="269"/>
      <c r="I1543" s="269"/>
      <c r="J1543" s="269"/>
      <c r="K1543" s="269"/>
      <c r="L1543" s="269"/>
      <c r="M1543" s="269"/>
      <c r="N1543" s="269"/>
      <c r="O1543" s="269"/>
      <c r="P1543" s="269"/>
      <c r="Q1543" s="269"/>
      <c r="R1543" s="269"/>
      <c r="S1543" s="269"/>
      <c r="T1543" s="269"/>
      <c r="U1543" s="269"/>
      <c r="V1543" s="269"/>
      <c r="W1543" s="269"/>
      <c r="X1543" s="269"/>
      <c r="Y1543" s="269"/>
      <c r="Z1543" s="269"/>
      <c r="AA1543" s="269"/>
      <c r="AB1543" s="269"/>
      <c r="AC1543" s="269"/>
      <c r="AD1543" s="269"/>
      <c r="AE1543" s="269"/>
      <c r="AF1543" s="269"/>
      <c r="AG1543" s="269"/>
      <c r="AH1543" s="269"/>
      <c r="AI1543" s="269"/>
      <c r="AJ1543" s="269"/>
      <c r="AK1543" s="269"/>
      <c r="AL1543" s="269"/>
      <c r="AM1543" s="269"/>
      <c r="AN1543" s="269"/>
      <c r="AO1543" s="269"/>
      <c r="AP1543" s="269"/>
      <c r="AQ1543" s="269"/>
      <c r="AR1543" s="269"/>
    </row>
    <row r="1544">
      <c r="A1544" s="410"/>
      <c r="B1544" s="410"/>
      <c r="C1544" s="410"/>
      <c r="D1544" s="410"/>
      <c r="E1544" s="410"/>
      <c r="F1544" s="410"/>
      <c r="H1544" s="269"/>
      <c r="I1544" s="269"/>
      <c r="J1544" s="269"/>
      <c r="K1544" s="269"/>
      <c r="L1544" s="269"/>
      <c r="M1544" s="269"/>
      <c r="N1544" s="269"/>
      <c r="O1544" s="269"/>
      <c r="P1544" s="269"/>
      <c r="Q1544" s="269"/>
      <c r="R1544" s="269"/>
      <c r="S1544" s="269"/>
      <c r="T1544" s="269"/>
      <c r="U1544" s="269"/>
      <c r="V1544" s="269"/>
      <c r="W1544" s="269"/>
      <c r="X1544" s="269"/>
      <c r="Y1544" s="269"/>
      <c r="Z1544" s="269"/>
      <c r="AA1544" s="269"/>
      <c r="AB1544" s="269"/>
      <c r="AC1544" s="269"/>
      <c r="AD1544" s="269"/>
      <c r="AE1544" s="269"/>
      <c r="AF1544" s="269"/>
      <c r="AG1544" s="269"/>
      <c r="AH1544" s="269"/>
      <c r="AI1544" s="269"/>
      <c r="AJ1544" s="269"/>
      <c r="AK1544" s="269"/>
      <c r="AL1544" s="269"/>
      <c r="AM1544" s="269"/>
      <c r="AN1544" s="269"/>
      <c r="AO1544" s="269"/>
      <c r="AP1544" s="269"/>
      <c r="AQ1544" s="269"/>
      <c r="AR1544" s="269"/>
    </row>
    <row r="1545">
      <c r="A1545" s="410"/>
      <c r="B1545" s="410"/>
      <c r="C1545" s="410"/>
      <c r="D1545" s="410"/>
      <c r="E1545" s="410"/>
      <c r="F1545" s="410"/>
      <c r="H1545" s="269"/>
      <c r="I1545" s="269"/>
      <c r="J1545" s="269"/>
      <c r="K1545" s="269"/>
      <c r="L1545" s="269"/>
      <c r="M1545" s="269"/>
      <c r="N1545" s="269"/>
      <c r="O1545" s="269"/>
      <c r="P1545" s="269"/>
      <c r="Q1545" s="269"/>
      <c r="R1545" s="269"/>
      <c r="S1545" s="269"/>
      <c r="T1545" s="269"/>
      <c r="U1545" s="269"/>
      <c r="V1545" s="269"/>
      <c r="W1545" s="269"/>
      <c r="X1545" s="269"/>
      <c r="Y1545" s="269"/>
      <c r="Z1545" s="269"/>
      <c r="AA1545" s="269"/>
      <c r="AB1545" s="269"/>
      <c r="AC1545" s="269"/>
      <c r="AD1545" s="269"/>
      <c r="AE1545" s="269"/>
      <c r="AF1545" s="269"/>
      <c r="AG1545" s="269"/>
      <c r="AH1545" s="269"/>
      <c r="AI1545" s="269"/>
      <c r="AJ1545" s="269"/>
      <c r="AK1545" s="269"/>
      <c r="AL1545" s="269"/>
      <c r="AM1545" s="269"/>
      <c r="AN1545" s="269"/>
      <c r="AO1545" s="269"/>
      <c r="AP1545" s="269"/>
      <c r="AQ1545" s="269"/>
      <c r="AR1545" s="269"/>
    </row>
    <row r="1546">
      <c r="A1546" s="410"/>
      <c r="B1546" s="410"/>
      <c r="C1546" s="410"/>
      <c r="D1546" s="410"/>
      <c r="E1546" s="410"/>
      <c r="F1546" s="410"/>
      <c r="H1546" s="269"/>
      <c r="I1546" s="269"/>
      <c r="J1546" s="269"/>
      <c r="K1546" s="269"/>
      <c r="L1546" s="269"/>
      <c r="M1546" s="269"/>
      <c r="N1546" s="269"/>
      <c r="O1546" s="269"/>
      <c r="P1546" s="269"/>
      <c r="Q1546" s="269"/>
      <c r="R1546" s="269"/>
      <c r="S1546" s="269"/>
      <c r="T1546" s="269"/>
      <c r="U1546" s="269"/>
      <c r="V1546" s="269"/>
      <c r="W1546" s="269"/>
      <c r="X1546" s="269"/>
      <c r="Y1546" s="269"/>
      <c r="Z1546" s="269"/>
      <c r="AA1546" s="269"/>
      <c r="AB1546" s="269"/>
      <c r="AC1546" s="269"/>
      <c r="AD1546" s="269"/>
      <c r="AE1546" s="269"/>
      <c r="AF1546" s="269"/>
      <c r="AG1546" s="269"/>
      <c r="AH1546" s="269"/>
      <c r="AI1546" s="269"/>
      <c r="AJ1546" s="269"/>
      <c r="AK1546" s="269"/>
      <c r="AL1546" s="269"/>
      <c r="AM1546" s="269"/>
      <c r="AN1546" s="269"/>
      <c r="AO1546" s="269"/>
      <c r="AP1546" s="269"/>
      <c r="AQ1546" s="269"/>
      <c r="AR1546" s="269"/>
    </row>
    <row r="1547">
      <c r="A1547" s="410"/>
      <c r="B1547" s="410"/>
      <c r="C1547" s="410"/>
      <c r="D1547" s="410"/>
      <c r="E1547" s="410"/>
      <c r="F1547" s="410"/>
      <c r="H1547" s="269"/>
      <c r="I1547" s="269"/>
      <c r="J1547" s="269"/>
      <c r="K1547" s="269"/>
      <c r="L1547" s="269"/>
      <c r="M1547" s="269"/>
      <c r="N1547" s="269"/>
      <c r="O1547" s="269"/>
      <c r="P1547" s="269"/>
      <c r="Q1547" s="269"/>
      <c r="R1547" s="269"/>
      <c r="S1547" s="269"/>
      <c r="T1547" s="269"/>
      <c r="U1547" s="269"/>
      <c r="V1547" s="269"/>
      <c r="W1547" s="269"/>
      <c r="X1547" s="269"/>
      <c r="Y1547" s="269"/>
      <c r="Z1547" s="269"/>
      <c r="AA1547" s="269"/>
      <c r="AB1547" s="269"/>
      <c r="AC1547" s="269"/>
      <c r="AD1547" s="269"/>
      <c r="AE1547" s="269"/>
      <c r="AF1547" s="269"/>
      <c r="AG1547" s="269"/>
      <c r="AH1547" s="269"/>
      <c r="AI1547" s="269"/>
      <c r="AJ1547" s="269"/>
      <c r="AK1547" s="269"/>
      <c r="AL1547" s="269"/>
      <c r="AM1547" s="269"/>
      <c r="AN1547" s="269"/>
      <c r="AO1547" s="269"/>
      <c r="AP1547" s="269"/>
      <c r="AQ1547" s="269"/>
      <c r="AR1547" s="269"/>
    </row>
    <row r="1548">
      <c r="A1548" s="410"/>
      <c r="B1548" s="410"/>
      <c r="C1548" s="410"/>
      <c r="D1548" s="410"/>
      <c r="E1548" s="410"/>
      <c r="F1548" s="410"/>
      <c r="H1548" s="269"/>
      <c r="I1548" s="269"/>
      <c r="J1548" s="269"/>
      <c r="K1548" s="269"/>
      <c r="L1548" s="269"/>
      <c r="M1548" s="269"/>
      <c r="N1548" s="269"/>
      <c r="O1548" s="269"/>
      <c r="P1548" s="269"/>
      <c r="Q1548" s="269"/>
      <c r="R1548" s="269"/>
      <c r="S1548" s="269"/>
      <c r="T1548" s="269"/>
      <c r="U1548" s="269"/>
      <c r="V1548" s="269"/>
      <c r="W1548" s="269"/>
      <c r="X1548" s="269"/>
      <c r="Y1548" s="269"/>
      <c r="Z1548" s="269"/>
      <c r="AA1548" s="269"/>
      <c r="AB1548" s="269"/>
      <c r="AC1548" s="269"/>
      <c r="AD1548" s="269"/>
      <c r="AE1548" s="269"/>
      <c r="AF1548" s="269"/>
      <c r="AG1548" s="269"/>
      <c r="AH1548" s="269"/>
      <c r="AI1548" s="269"/>
      <c r="AJ1548" s="269"/>
      <c r="AK1548" s="269"/>
      <c r="AL1548" s="269"/>
      <c r="AM1548" s="269"/>
      <c r="AN1548" s="269"/>
      <c r="AO1548" s="269"/>
      <c r="AP1548" s="269"/>
      <c r="AQ1548" s="269"/>
      <c r="AR1548" s="269"/>
    </row>
    <row r="1549">
      <c r="A1549" s="410"/>
      <c r="B1549" s="410"/>
      <c r="C1549" s="410"/>
      <c r="D1549" s="410"/>
      <c r="E1549" s="410"/>
      <c r="F1549" s="410"/>
      <c r="H1549" s="269"/>
      <c r="I1549" s="269"/>
      <c r="J1549" s="269"/>
      <c r="K1549" s="269"/>
      <c r="L1549" s="269"/>
      <c r="M1549" s="269"/>
      <c r="N1549" s="269"/>
      <c r="O1549" s="269"/>
      <c r="P1549" s="269"/>
      <c r="Q1549" s="269"/>
      <c r="R1549" s="269"/>
      <c r="S1549" s="269"/>
      <c r="T1549" s="269"/>
      <c r="U1549" s="269"/>
      <c r="V1549" s="269"/>
      <c r="W1549" s="269"/>
      <c r="X1549" s="269"/>
      <c r="Y1549" s="269"/>
      <c r="Z1549" s="269"/>
      <c r="AA1549" s="269"/>
      <c r="AB1549" s="269"/>
      <c r="AC1549" s="269"/>
      <c r="AD1549" s="269"/>
      <c r="AE1549" s="269"/>
      <c r="AF1549" s="269"/>
      <c r="AG1549" s="269"/>
      <c r="AH1549" s="269"/>
      <c r="AI1549" s="269"/>
      <c r="AJ1549" s="269"/>
      <c r="AK1549" s="269"/>
      <c r="AL1549" s="269"/>
      <c r="AM1549" s="269"/>
      <c r="AN1549" s="269"/>
      <c r="AO1549" s="269"/>
      <c r="AP1549" s="269"/>
      <c r="AQ1549" s="269"/>
      <c r="AR1549" s="269"/>
    </row>
    <row r="1550">
      <c r="A1550" s="410"/>
      <c r="B1550" s="410"/>
      <c r="C1550" s="410"/>
      <c r="D1550" s="410"/>
      <c r="E1550" s="410"/>
      <c r="F1550" s="410"/>
      <c r="H1550" s="269"/>
      <c r="I1550" s="269"/>
      <c r="J1550" s="269"/>
      <c r="K1550" s="269"/>
      <c r="L1550" s="269"/>
      <c r="M1550" s="269"/>
      <c r="N1550" s="269"/>
      <c r="O1550" s="269"/>
      <c r="P1550" s="269"/>
      <c r="Q1550" s="269"/>
      <c r="R1550" s="269"/>
      <c r="S1550" s="269"/>
      <c r="T1550" s="269"/>
      <c r="U1550" s="269"/>
      <c r="V1550" s="269"/>
      <c r="W1550" s="269"/>
      <c r="X1550" s="269"/>
      <c r="Y1550" s="269"/>
      <c r="Z1550" s="269"/>
      <c r="AA1550" s="269"/>
      <c r="AB1550" s="269"/>
      <c r="AC1550" s="269"/>
      <c r="AD1550" s="269"/>
      <c r="AE1550" s="269"/>
      <c r="AF1550" s="269"/>
      <c r="AG1550" s="269"/>
      <c r="AH1550" s="269"/>
      <c r="AI1550" s="269"/>
      <c r="AJ1550" s="269"/>
      <c r="AK1550" s="269"/>
      <c r="AL1550" s="269"/>
      <c r="AM1550" s="269"/>
      <c r="AN1550" s="269"/>
      <c r="AO1550" s="269"/>
      <c r="AP1550" s="269"/>
      <c r="AQ1550" s="269"/>
      <c r="AR1550" s="269"/>
    </row>
    <row r="1551">
      <c r="A1551" s="410"/>
      <c r="B1551" s="410"/>
      <c r="C1551" s="410"/>
      <c r="D1551" s="410"/>
      <c r="E1551" s="410"/>
      <c r="F1551" s="410"/>
      <c r="H1551" s="269"/>
      <c r="I1551" s="269"/>
      <c r="J1551" s="269"/>
      <c r="K1551" s="269"/>
      <c r="L1551" s="269"/>
      <c r="M1551" s="269"/>
      <c r="N1551" s="269"/>
      <c r="O1551" s="269"/>
      <c r="P1551" s="269"/>
      <c r="Q1551" s="269"/>
      <c r="R1551" s="269"/>
      <c r="S1551" s="269"/>
      <c r="T1551" s="269"/>
      <c r="U1551" s="269"/>
      <c r="V1551" s="269"/>
      <c r="W1551" s="269"/>
      <c r="X1551" s="269"/>
      <c r="Y1551" s="269"/>
      <c r="Z1551" s="269"/>
      <c r="AA1551" s="269"/>
      <c r="AB1551" s="269"/>
      <c r="AC1551" s="269"/>
      <c r="AD1551" s="269"/>
      <c r="AE1551" s="269"/>
      <c r="AF1551" s="269"/>
      <c r="AG1551" s="269"/>
      <c r="AH1551" s="269"/>
      <c r="AI1551" s="269"/>
      <c r="AJ1551" s="269"/>
      <c r="AK1551" s="269"/>
      <c r="AL1551" s="269"/>
      <c r="AM1551" s="269"/>
      <c r="AN1551" s="269"/>
      <c r="AO1551" s="269"/>
      <c r="AP1551" s="269"/>
      <c r="AQ1551" s="269"/>
      <c r="AR1551" s="269"/>
    </row>
    <row r="1552">
      <c r="A1552" s="410"/>
      <c r="B1552" s="410"/>
      <c r="C1552" s="410"/>
      <c r="D1552" s="410"/>
      <c r="E1552" s="410"/>
      <c r="F1552" s="410"/>
      <c r="H1552" s="269"/>
      <c r="I1552" s="269"/>
      <c r="J1552" s="269"/>
      <c r="K1552" s="269"/>
      <c r="L1552" s="269"/>
      <c r="M1552" s="269"/>
      <c r="N1552" s="269"/>
      <c r="O1552" s="269"/>
      <c r="P1552" s="269"/>
      <c r="Q1552" s="269"/>
      <c r="R1552" s="269"/>
      <c r="S1552" s="269"/>
      <c r="T1552" s="269"/>
      <c r="U1552" s="269"/>
      <c r="V1552" s="269"/>
      <c r="W1552" s="269"/>
      <c r="X1552" s="269"/>
      <c r="Y1552" s="269"/>
      <c r="Z1552" s="269"/>
      <c r="AA1552" s="269"/>
      <c r="AB1552" s="269"/>
      <c r="AC1552" s="269"/>
      <c r="AD1552" s="269"/>
      <c r="AE1552" s="269"/>
      <c r="AF1552" s="269"/>
      <c r="AG1552" s="269"/>
      <c r="AH1552" s="269"/>
      <c r="AI1552" s="269"/>
      <c r="AJ1552" s="269"/>
      <c r="AK1552" s="269"/>
      <c r="AL1552" s="269"/>
      <c r="AM1552" s="269"/>
      <c r="AN1552" s="269"/>
      <c r="AO1552" s="269"/>
      <c r="AP1552" s="269"/>
      <c r="AQ1552" s="269"/>
      <c r="AR1552" s="269"/>
    </row>
    <row r="1553">
      <c r="A1553" s="410"/>
      <c r="B1553" s="410"/>
      <c r="C1553" s="410"/>
      <c r="D1553" s="410"/>
      <c r="E1553" s="410"/>
      <c r="F1553" s="410"/>
      <c r="H1553" s="269"/>
      <c r="I1553" s="269"/>
      <c r="J1553" s="269"/>
      <c r="K1553" s="269"/>
      <c r="L1553" s="269"/>
      <c r="M1553" s="269"/>
      <c r="N1553" s="269"/>
      <c r="O1553" s="269"/>
      <c r="P1553" s="269"/>
      <c r="Q1553" s="269"/>
      <c r="R1553" s="269"/>
      <c r="S1553" s="269"/>
      <c r="T1553" s="269"/>
      <c r="U1553" s="269"/>
      <c r="V1553" s="269"/>
      <c r="W1553" s="269"/>
      <c r="X1553" s="269"/>
      <c r="Y1553" s="269"/>
      <c r="Z1553" s="269"/>
      <c r="AA1553" s="269"/>
      <c r="AB1553" s="269"/>
      <c r="AC1553" s="269"/>
      <c r="AD1553" s="269"/>
      <c r="AE1553" s="269"/>
      <c r="AF1553" s="269"/>
      <c r="AG1553" s="269"/>
      <c r="AH1553" s="269"/>
      <c r="AI1553" s="269"/>
      <c r="AJ1553" s="269"/>
      <c r="AK1553" s="269"/>
      <c r="AL1553" s="269"/>
      <c r="AM1553" s="269"/>
      <c r="AN1553" s="269"/>
      <c r="AO1553" s="269"/>
      <c r="AP1553" s="269"/>
      <c r="AQ1553" s="269"/>
      <c r="AR1553" s="269"/>
    </row>
    <row r="1554">
      <c r="A1554" s="410"/>
      <c r="B1554" s="410"/>
      <c r="C1554" s="410"/>
      <c r="D1554" s="410"/>
      <c r="E1554" s="410"/>
      <c r="F1554" s="410"/>
      <c r="H1554" s="269"/>
      <c r="I1554" s="269"/>
      <c r="J1554" s="269"/>
      <c r="K1554" s="269"/>
      <c r="L1554" s="269"/>
      <c r="M1554" s="269"/>
      <c r="N1554" s="269"/>
      <c r="O1554" s="269"/>
      <c r="P1554" s="269"/>
      <c r="Q1554" s="269"/>
      <c r="R1554" s="269"/>
      <c r="S1554" s="269"/>
      <c r="T1554" s="269"/>
      <c r="U1554" s="269"/>
      <c r="V1554" s="269"/>
      <c r="W1554" s="269"/>
      <c r="X1554" s="269"/>
      <c r="Y1554" s="269"/>
      <c r="Z1554" s="269"/>
      <c r="AA1554" s="269"/>
      <c r="AB1554" s="269"/>
      <c r="AC1554" s="269"/>
      <c r="AD1554" s="269"/>
      <c r="AE1554" s="269"/>
      <c r="AF1554" s="269"/>
      <c r="AG1554" s="269"/>
      <c r="AH1554" s="269"/>
      <c r="AI1554" s="269"/>
      <c r="AJ1554" s="269"/>
      <c r="AK1554" s="269"/>
      <c r="AL1554" s="269"/>
      <c r="AM1554" s="269"/>
      <c r="AN1554" s="269"/>
      <c r="AO1554" s="269"/>
      <c r="AP1554" s="269"/>
      <c r="AQ1554" s="269"/>
      <c r="AR1554" s="269"/>
    </row>
    <row r="1555">
      <c r="A1555" s="410"/>
      <c r="B1555" s="410"/>
      <c r="C1555" s="410"/>
      <c r="D1555" s="410"/>
      <c r="E1555" s="410"/>
      <c r="F1555" s="410"/>
      <c r="H1555" s="269"/>
      <c r="I1555" s="269"/>
      <c r="J1555" s="269"/>
      <c r="K1555" s="269"/>
      <c r="L1555" s="269"/>
      <c r="M1555" s="269"/>
      <c r="N1555" s="269"/>
      <c r="O1555" s="269"/>
      <c r="P1555" s="269"/>
      <c r="Q1555" s="269"/>
      <c r="R1555" s="269"/>
      <c r="S1555" s="269"/>
      <c r="T1555" s="269"/>
      <c r="U1555" s="269"/>
      <c r="V1555" s="269"/>
      <c r="W1555" s="269"/>
      <c r="X1555" s="269"/>
      <c r="Y1555" s="269"/>
      <c r="Z1555" s="269"/>
      <c r="AA1555" s="269"/>
      <c r="AB1555" s="269"/>
      <c r="AC1555" s="269"/>
      <c r="AD1555" s="269"/>
      <c r="AE1555" s="269"/>
      <c r="AF1555" s="269"/>
      <c r="AG1555" s="269"/>
      <c r="AH1555" s="269"/>
      <c r="AI1555" s="269"/>
      <c r="AJ1555" s="269"/>
      <c r="AK1555" s="269"/>
      <c r="AL1555" s="269"/>
      <c r="AM1555" s="269"/>
      <c r="AN1555" s="269"/>
      <c r="AO1555" s="269"/>
      <c r="AP1555" s="269"/>
      <c r="AQ1555" s="269"/>
      <c r="AR1555" s="269"/>
    </row>
    <row r="1556">
      <c r="A1556" s="410"/>
      <c r="B1556" s="410"/>
      <c r="C1556" s="410"/>
      <c r="D1556" s="410"/>
      <c r="E1556" s="410"/>
      <c r="F1556" s="410"/>
      <c r="H1556" s="269"/>
      <c r="I1556" s="269"/>
      <c r="J1556" s="269"/>
      <c r="K1556" s="269"/>
      <c r="L1556" s="269"/>
      <c r="M1556" s="269"/>
      <c r="N1556" s="269"/>
      <c r="O1556" s="269"/>
      <c r="P1556" s="269"/>
      <c r="Q1556" s="269"/>
      <c r="R1556" s="269"/>
      <c r="S1556" s="269"/>
      <c r="T1556" s="269"/>
      <c r="U1556" s="269"/>
      <c r="V1556" s="269"/>
      <c r="W1556" s="269"/>
      <c r="X1556" s="269"/>
      <c r="Y1556" s="269"/>
      <c r="Z1556" s="269"/>
      <c r="AA1556" s="269"/>
      <c r="AB1556" s="269"/>
      <c r="AC1556" s="269"/>
      <c r="AD1556" s="269"/>
      <c r="AE1556" s="269"/>
      <c r="AF1556" s="269"/>
      <c r="AG1556" s="269"/>
      <c r="AH1556" s="269"/>
      <c r="AI1556" s="269"/>
      <c r="AJ1556" s="269"/>
      <c r="AK1556" s="269"/>
      <c r="AL1556" s="269"/>
      <c r="AM1556" s="269"/>
      <c r="AN1556" s="269"/>
      <c r="AO1556" s="269"/>
      <c r="AP1556" s="269"/>
      <c r="AQ1556" s="269"/>
      <c r="AR1556" s="269"/>
    </row>
    <row r="1557">
      <c r="A1557" s="410"/>
      <c r="B1557" s="410"/>
      <c r="C1557" s="410"/>
      <c r="D1557" s="410"/>
      <c r="E1557" s="410"/>
      <c r="F1557" s="410"/>
      <c r="H1557" s="269"/>
      <c r="I1557" s="269"/>
      <c r="J1557" s="269"/>
      <c r="K1557" s="269"/>
      <c r="L1557" s="269"/>
      <c r="M1557" s="269"/>
      <c r="N1557" s="269"/>
      <c r="O1557" s="269"/>
      <c r="P1557" s="269"/>
      <c r="Q1557" s="269"/>
      <c r="R1557" s="269"/>
      <c r="S1557" s="269"/>
      <c r="T1557" s="269"/>
      <c r="U1557" s="269"/>
      <c r="V1557" s="269"/>
      <c r="W1557" s="269"/>
      <c r="X1557" s="269"/>
      <c r="Y1557" s="269"/>
      <c r="Z1557" s="269"/>
      <c r="AA1557" s="269"/>
      <c r="AB1557" s="269"/>
      <c r="AC1557" s="269"/>
      <c r="AD1557" s="269"/>
      <c r="AE1557" s="269"/>
      <c r="AF1557" s="269"/>
      <c r="AG1557" s="269"/>
      <c r="AH1557" s="269"/>
      <c r="AI1557" s="269"/>
      <c r="AJ1557" s="269"/>
      <c r="AK1557" s="269"/>
      <c r="AL1557" s="269"/>
      <c r="AM1557" s="269"/>
      <c r="AN1557" s="269"/>
      <c r="AO1557" s="269"/>
      <c r="AP1557" s="269"/>
      <c r="AQ1557" s="269"/>
      <c r="AR1557" s="269"/>
    </row>
    <row r="1558">
      <c r="A1558" s="410"/>
      <c r="B1558" s="410"/>
      <c r="C1558" s="410"/>
      <c r="D1558" s="410"/>
      <c r="E1558" s="410"/>
      <c r="F1558" s="410"/>
      <c r="H1558" s="269"/>
      <c r="I1558" s="269"/>
      <c r="J1558" s="269"/>
      <c r="K1558" s="269"/>
      <c r="L1558" s="269"/>
      <c r="M1558" s="269"/>
      <c r="N1558" s="269"/>
      <c r="O1558" s="269"/>
      <c r="P1558" s="269"/>
      <c r="Q1558" s="269"/>
      <c r="R1558" s="269"/>
      <c r="S1558" s="269"/>
      <c r="T1558" s="269"/>
      <c r="U1558" s="269"/>
      <c r="V1558" s="269"/>
      <c r="W1558" s="269"/>
      <c r="X1558" s="269"/>
      <c r="Y1558" s="269"/>
      <c r="Z1558" s="269"/>
      <c r="AA1558" s="269"/>
      <c r="AB1558" s="269"/>
      <c r="AC1558" s="269"/>
      <c r="AD1558" s="269"/>
      <c r="AE1558" s="269"/>
      <c r="AF1558" s="269"/>
      <c r="AG1558" s="269"/>
      <c r="AH1558" s="269"/>
      <c r="AI1558" s="269"/>
      <c r="AJ1558" s="269"/>
      <c r="AK1558" s="269"/>
      <c r="AL1558" s="269"/>
      <c r="AM1558" s="269"/>
      <c r="AN1558" s="269"/>
      <c r="AO1558" s="269"/>
      <c r="AP1558" s="269"/>
      <c r="AQ1558" s="269"/>
      <c r="AR1558" s="269"/>
    </row>
    <row r="1559">
      <c r="A1559" s="410"/>
      <c r="B1559" s="410"/>
      <c r="C1559" s="410"/>
      <c r="D1559" s="410"/>
      <c r="E1559" s="410"/>
      <c r="F1559" s="410"/>
      <c r="H1559" s="269"/>
      <c r="I1559" s="269"/>
      <c r="J1559" s="269"/>
      <c r="K1559" s="269"/>
      <c r="L1559" s="269"/>
      <c r="M1559" s="269"/>
      <c r="N1559" s="269"/>
      <c r="O1559" s="269"/>
      <c r="P1559" s="269"/>
      <c r="Q1559" s="269"/>
      <c r="R1559" s="269"/>
      <c r="S1559" s="269"/>
      <c r="T1559" s="269"/>
      <c r="U1559" s="269"/>
      <c r="V1559" s="269"/>
      <c r="W1559" s="269"/>
      <c r="X1559" s="269"/>
      <c r="Y1559" s="269"/>
      <c r="Z1559" s="269"/>
      <c r="AA1559" s="269"/>
      <c r="AB1559" s="269"/>
      <c r="AC1559" s="269"/>
      <c r="AD1559" s="269"/>
      <c r="AE1559" s="269"/>
      <c r="AF1559" s="269"/>
      <c r="AG1559" s="269"/>
      <c r="AH1559" s="269"/>
      <c r="AI1559" s="269"/>
      <c r="AJ1559" s="269"/>
      <c r="AK1559" s="269"/>
      <c r="AL1559" s="269"/>
      <c r="AM1559" s="269"/>
      <c r="AN1559" s="269"/>
      <c r="AO1559" s="269"/>
      <c r="AP1559" s="269"/>
      <c r="AQ1559" s="269"/>
      <c r="AR1559" s="269"/>
    </row>
    <row r="1560">
      <c r="A1560" s="410"/>
      <c r="B1560" s="410"/>
      <c r="C1560" s="410"/>
      <c r="D1560" s="410"/>
      <c r="E1560" s="410"/>
      <c r="F1560" s="410"/>
      <c r="H1560" s="269"/>
      <c r="I1560" s="269"/>
      <c r="J1560" s="269"/>
      <c r="K1560" s="269"/>
      <c r="L1560" s="269"/>
      <c r="M1560" s="269"/>
      <c r="N1560" s="269"/>
      <c r="O1560" s="269"/>
      <c r="P1560" s="269"/>
      <c r="Q1560" s="269"/>
      <c r="R1560" s="269"/>
      <c r="S1560" s="269"/>
      <c r="T1560" s="269"/>
      <c r="U1560" s="269"/>
      <c r="V1560" s="269"/>
      <c r="W1560" s="269"/>
      <c r="X1560" s="269"/>
      <c r="Y1560" s="269"/>
      <c r="Z1560" s="269"/>
      <c r="AA1560" s="269"/>
      <c r="AB1560" s="269"/>
      <c r="AC1560" s="269"/>
      <c r="AD1560" s="269"/>
      <c r="AE1560" s="269"/>
      <c r="AF1560" s="269"/>
      <c r="AG1560" s="269"/>
      <c r="AH1560" s="269"/>
      <c r="AI1560" s="269"/>
      <c r="AJ1560" s="269"/>
      <c r="AK1560" s="269"/>
      <c r="AL1560" s="269"/>
      <c r="AM1560" s="269"/>
      <c r="AN1560" s="269"/>
      <c r="AO1560" s="269"/>
      <c r="AP1560" s="269"/>
      <c r="AQ1560" s="269"/>
      <c r="AR1560" s="269"/>
    </row>
    <row r="1561">
      <c r="A1561" s="410"/>
      <c r="B1561" s="410"/>
      <c r="C1561" s="410"/>
      <c r="D1561" s="410"/>
      <c r="E1561" s="410"/>
      <c r="F1561" s="410"/>
      <c r="H1561" s="269"/>
      <c r="I1561" s="269"/>
      <c r="J1561" s="269"/>
      <c r="K1561" s="269"/>
      <c r="L1561" s="269"/>
      <c r="M1561" s="269"/>
      <c r="N1561" s="269"/>
      <c r="O1561" s="269"/>
      <c r="P1561" s="269"/>
      <c r="Q1561" s="269"/>
      <c r="R1561" s="269"/>
      <c r="S1561" s="269"/>
      <c r="T1561" s="269"/>
      <c r="U1561" s="269"/>
      <c r="V1561" s="269"/>
      <c r="W1561" s="269"/>
      <c r="X1561" s="269"/>
      <c r="Y1561" s="269"/>
      <c r="Z1561" s="269"/>
      <c r="AA1561" s="269"/>
      <c r="AB1561" s="269"/>
      <c r="AC1561" s="269"/>
      <c r="AD1561" s="269"/>
      <c r="AE1561" s="269"/>
      <c r="AF1561" s="269"/>
      <c r="AG1561" s="269"/>
      <c r="AH1561" s="269"/>
      <c r="AI1561" s="269"/>
      <c r="AJ1561" s="269"/>
      <c r="AK1561" s="269"/>
      <c r="AL1561" s="269"/>
      <c r="AM1561" s="269"/>
      <c r="AN1561" s="269"/>
      <c r="AO1561" s="269"/>
      <c r="AP1561" s="269"/>
      <c r="AQ1561" s="269"/>
      <c r="AR1561" s="269"/>
    </row>
    <row r="1562">
      <c r="A1562" s="410"/>
      <c r="B1562" s="410"/>
      <c r="C1562" s="410"/>
      <c r="D1562" s="410"/>
      <c r="E1562" s="410"/>
      <c r="F1562" s="410"/>
      <c r="H1562" s="269"/>
      <c r="I1562" s="269"/>
      <c r="J1562" s="269"/>
      <c r="K1562" s="269"/>
      <c r="L1562" s="269"/>
      <c r="M1562" s="269"/>
      <c r="N1562" s="269"/>
      <c r="O1562" s="269"/>
      <c r="P1562" s="269"/>
      <c r="Q1562" s="269"/>
      <c r="R1562" s="269"/>
      <c r="S1562" s="269"/>
      <c r="T1562" s="269"/>
      <c r="U1562" s="269"/>
      <c r="V1562" s="269"/>
      <c r="W1562" s="269"/>
      <c r="X1562" s="269"/>
      <c r="Y1562" s="269"/>
      <c r="Z1562" s="269"/>
      <c r="AA1562" s="269"/>
      <c r="AB1562" s="269"/>
      <c r="AC1562" s="269"/>
      <c r="AD1562" s="269"/>
      <c r="AE1562" s="269"/>
      <c r="AF1562" s="269"/>
      <c r="AG1562" s="269"/>
      <c r="AH1562" s="269"/>
      <c r="AI1562" s="269"/>
      <c r="AJ1562" s="269"/>
      <c r="AK1562" s="269"/>
      <c r="AL1562" s="269"/>
      <c r="AM1562" s="269"/>
      <c r="AN1562" s="269"/>
      <c r="AO1562" s="269"/>
      <c r="AP1562" s="269"/>
      <c r="AQ1562" s="269"/>
      <c r="AR1562" s="269"/>
    </row>
    <row r="1563">
      <c r="A1563" s="410"/>
      <c r="B1563" s="410"/>
      <c r="C1563" s="410"/>
      <c r="D1563" s="410"/>
      <c r="E1563" s="410"/>
      <c r="F1563" s="410"/>
      <c r="H1563" s="269"/>
      <c r="I1563" s="269"/>
      <c r="J1563" s="269"/>
      <c r="K1563" s="269"/>
      <c r="L1563" s="269"/>
      <c r="M1563" s="269"/>
      <c r="N1563" s="269"/>
      <c r="O1563" s="269"/>
      <c r="P1563" s="269"/>
      <c r="Q1563" s="269"/>
      <c r="R1563" s="269"/>
      <c r="S1563" s="269"/>
      <c r="T1563" s="269"/>
      <c r="U1563" s="269"/>
      <c r="V1563" s="269"/>
      <c r="W1563" s="269"/>
      <c r="X1563" s="269"/>
      <c r="Y1563" s="269"/>
      <c r="Z1563" s="269"/>
      <c r="AA1563" s="269"/>
      <c r="AB1563" s="269"/>
      <c r="AC1563" s="269"/>
      <c r="AD1563" s="269"/>
      <c r="AE1563" s="269"/>
      <c r="AF1563" s="269"/>
      <c r="AG1563" s="269"/>
      <c r="AH1563" s="269"/>
      <c r="AI1563" s="269"/>
      <c r="AJ1563" s="269"/>
      <c r="AK1563" s="269"/>
      <c r="AL1563" s="269"/>
      <c r="AM1563" s="269"/>
      <c r="AN1563" s="269"/>
      <c r="AO1563" s="269"/>
      <c r="AP1563" s="269"/>
      <c r="AQ1563" s="269"/>
      <c r="AR1563" s="269"/>
    </row>
    <row r="1564">
      <c r="A1564" s="410"/>
      <c r="B1564" s="410"/>
      <c r="C1564" s="410"/>
      <c r="D1564" s="410"/>
      <c r="E1564" s="410"/>
      <c r="F1564" s="410"/>
      <c r="H1564" s="269"/>
      <c r="I1564" s="269"/>
      <c r="J1564" s="269"/>
      <c r="K1564" s="269"/>
      <c r="L1564" s="269"/>
      <c r="M1564" s="269"/>
      <c r="N1564" s="269"/>
      <c r="O1564" s="269"/>
      <c r="P1564" s="269"/>
      <c r="Q1564" s="269"/>
      <c r="R1564" s="269"/>
      <c r="S1564" s="269"/>
      <c r="T1564" s="269"/>
      <c r="U1564" s="269"/>
      <c r="V1564" s="269"/>
      <c r="W1564" s="269"/>
      <c r="X1564" s="269"/>
      <c r="Y1564" s="269"/>
      <c r="Z1564" s="269"/>
      <c r="AA1564" s="269"/>
      <c r="AB1564" s="269"/>
      <c r="AC1564" s="269"/>
      <c r="AD1564" s="269"/>
      <c r="AE1564" s="269"/>
      <c r="AF1564" s="269"/>
      <c r="AG1564" s="269"/>
      <c r="AH1564" s="269"/>
      <c r="AI1564" s="269"/>
      <c r="AJ1564" s="269"/>
      <c r="AK1564" s="269"/>
      <c r="AL1564" s="269"/>
      <c r="AM1564" s="269"/>
      <c r="AN1564" s="269"/>
      <c r="AO1564" s="269"/>
      <c r="AP1564" s="269"/>
      <c r="AQ1564" s="269"/>
      <c r="AR1564" s="269"/>
    </row>
    <row r="1565">
      <c r="A1565" s="410"/>
      <c r="B1565" s="410"/>
      <c r="C1565" s="410"/>
      <c r="D1565" s="410"/>
      <c r="E1565" s="410"/>
      <c r="F1565" s="410"/>
      <c r="H1565" s="269"/>
      <c r="I1565" s="269"/>
      <c r="J1565" s="269"/>
      <c r="K1565" s="269"/>
      <c r="L1565" s="269"/>
      <c r="M1565" s="269"/>
      <c r="N1565" s="269"/>
      <c r="O1565" s="269"/>
      <c r="P1565" s="269"/>
      <c r="Q1565" s="269"/>
      <c r="R1565" s="269"/>
      <c r="S1565" s="269"/>
      <c r="T1565" s="269"/>
      <c r="U1565" s="269"/>
      <c r="V1565" s="269"/>
      <c r="W1565" s="269"/>
      <c r="X1565" s="269"/>
      <c r="Y1565" s="269"/>
      <c r="Z1565" s="269"/>
      <c r="AA1565" s="269"/>
      <c r="AB1565" s="269"/>
      <c r="AC1565" s="269"/>
      <c r="AD1565" s="269"/>
      <c r="AE1565" s="269"/>
      <c r="AF1565" s="269"/>
      <c r="AG1565" s="269"/>
      <c r="AH1565" s="269"/>
      <c r="AI1565" s="269"/>
      <c r="AJ1565" s="269"/>
      <c r="AK1565" s="269"/>
      <c r="AL1565" s="269"/>
      <c r="AM1565" s="269"/>
      <c r="AN1565" s="269"/>
      <c r="AO1565" s="269"/>
      <c r="AP1565" s="269"/>
      <c r="AQ1565" s="269"/>
      <c r="AR1565" s="269"/>
    </row>
    <row r="1566">
      <c r="A1566" s="410"/>
      <c r="B1566" s="410"/>
      <c r="C1566" s="410"/>
      <c r="D1566" s="410"/>
      <c r="E1566" s="410"/>
      <c r="F1566" s="410"/>
      <c r="H1566" s="269"/>
      <c r="I1566" s="269"/>
      <c r="J1566" s="269"/>
      <c r="K1566" s="269"/>
      <c r="L1566" s="269"/>
      <c r="M1566" s="269"/>
      <c r="N1566" s="269"/>
      <c r="O1566" s="269"/>
      <c r="P1566" s="269"/>
      <c r="Q1566" s="269"/>
      <c r="R1566" s="269"/>
      <c r="S1566" s="269"/>
      <c r="T1566" s="269"/>
      <c r="U1566" s="269"/>
      <c r="V1566" s="269"/>
      <c r="W1566" s="269"/>
      <c r="X1566" s="269"/>
      <c r="Y1566" s="269"/>
      <c r="Z1566" s="269"/>
      <c r="AA1566" s="269"/>
      <c r="AB1566" s="269"/>
      <c r="AC1566" s="269"/>
      <c r="AD1566" s="269"/>
      <c r="AE1566" s="269"/>
      <c r="AF1566" s="269"/>
      <c r="AG1566" s="269"/>
      <c r="AH1566" s="269"/>
      <c r="AI1566" s="269"/>
      <c r="AJ1566" s="269"/>
      <c r="AK1566" s="269"/>
      <c r="AL1566" s="269"/>
      <c r="AM1566" s="269"/>
      <c r="AN1566" s="269"/>
      <c r="AO1566" s="269"/>
      <c r="AP1566" s="269"/>
      <c r="AQ1566" s="269"/>
      <c r="AR1566" s="269"/>
    </row>
    <row r="1567">
      <c r="A1567" s="410"/>
      <c r="B1567" s="410"/>
      <c r="C1567" s="410"/>
      <c r="D1567" s="410"/>
      <c r="E1567" s="410"/>
      <c r="F1567" s="410"/>
      <c r="H1567" s="269"/>
      <c r="I1567" s="269"/>
      <c r="J1567" s="269"/>
      <c r="K1567" s="269"/>
      <c r="L1567" s="269"/>
      <c r="M1567" s="269"/>
      <c r="N1567" s="269"/>
      <c r="O1567" s="269"/>
      <c r="P1567" s="269"/>
      <c r="Q1567" s="269"/>
      <c r="R1567" s="269"/>
      <c r="S1567" s="269"/>
      <c r="T1567" s="269"/>
      <c r="U1567" s="269"/>
      <c r="V1567" s="269"/>
      <c r="W1567" s="269"/>
      <c r="X1567" s="269"/>
      <c r="Y1567" s="269"/>
      <c r="Z1567" s="269"/>
      <c r="AA1567" s="269"/>
      <c r="AB1567" s="269"/>
      <c r="AC1567" s="269"/>
      <c r="AD1567" s="269"/>
      <c r="AE1567" s="269"/>
      <c r="AF1567" s="269"/>
      <c r="AG1567" s="269"/>
      <c r="AH1567" s="269"/>
      <c r="AI1567" s="269"/>
      <c r="AJ1567" s="269"/>
      <c r="AK1567" s="269"/>
      <c r="AL1567" s="269"/>
      <c r="AM1567" s="269"/>
      <c r="AN1567" s="269"/>
      <c r="AO1567" s="269"/>
      <c r="AP1567" s="269"/>
      <c r="AQ1567" s="269"/>
      <c r="AR1567" s="269"/>
    </row>
    <row r="1568">
      <c r="A1568" s="410"/>
      <c r="B1568" s="410"/>
      <c r="C1568" s="410"/>
      <c r="D1568" s="410"/>
      <c r="E1568" s="410"/>
      <c r="F1568" s="410"/>
      <c r="H1568" s="269"/>
      <c r="I1568" s="269"/>
      <c r="J1568" s="269"/>
      <c r="K1568" s="269"/>
      <c r="L1568" s="269"/>
      <c r="M1568" s="269"/>
      <c r="N1568" s="269"/>
      <c r="O1568" s="269"/>
      <c r="P1568" s="269"/>
      <c r="Q1568" s="269"/>
      <c r="R1568" s="269"/>
      <c r="S1568" s="269"/>
      <c r="T1568" s="269"/>
      <c r="U1568" s="269"/>
      <c r="V1568" s="269"/>
      <c r="W1568" s="269"/>
      <c r="X1568" s="269"/>
      <c r="Y1568" s="269"/>
      <c r="Z1568" s="269"/>
      <c r="AA1568" s="269"/>
      <c r="AB1568" s="269"/>
      <c r="AC1568" s="269"/>
      <c r="AD1568" s="269"/>
      <c r="AE1568" s="269"/>
      <c r="AF1568" s="269"/>
      <c r="AG1568" s="269"/>
      <c r="AH1568" s="269"/>
      <c r="AI1568" s="269"/>
      <c r="AJ1568" s="269"/>
      <c r="AK1568" s="269"/>
      <c r="AL1568" s="269"/>
      <c r="AM1568" s="269"/>
      <c r="AN1568" s="269"/>
      <c r="AO1568" s="269"/>
      <c r="AP1568" s="269"/>
      <c r="AQ1568" s="269"/>
      <c r="AR1568" s="269"/>
    </row>
    <row r="1569">
      <c r="A1569" s="410"/>
      <c r="B1569" s="410"/>
      <c r="C1569" s="410"/>
      <c r="D1569" s="410"/>
      <c r="E1569" s="410"/>
      <c r="F1569" s="410"/>
      <c r="H1569" s="269"/>
      <c r="I1569" s="269"/>
      <c r="J1569" s="269"/>
      <c r="K1569" s="269"/>
      <c r="L1569" s="269"/>
      <c r="M1569" s="269"/>
      <c r="N1569" s="269"/>
      <c r="O1569" s="269"/>
      <c r="P1569" s="269"/>
      <c r="Q1569" s="269"/>
      <c r="R1569" s="269"/>
      <c r="S1569" s="269"/>
      <c r="T1569" s="269"/>
      <c r="U1569" s="269"/>
      <c r="V1569" s="269"/>
      <c r="W1569" s="269"/>
      <c r="X1569" s="269"/>
      <c r="Y1569" s="269"/>
      <c r="Z1569" s="269"/>
      <c r="AA1569" s="269"/>
      <c r="AB1569" s="269"/>
      <c r="AC1569" s="269"/>
      <c r="AD1569" s="269"/>
      <c r="AE1569" s="269"/>
      <c r="AF1569" s="269"/>
      <c r="AG1569" s="269"/>
      <c r="AH1569" s="269"/>
      <c r="AI1569" s="269"/>
      <c r="AJ1569" s="269"/>
      <c r="AK1569" s="269"/>
      <c r="AL1569" s="269"/>
      <c r="AM1569" s="269"/>
      <c r="AN1569" s="269"/>
      <c r="AO1569" s="269"/>
      <c r="AP1569" s="269"/>
      <c r="AQ1569" s="269"/>
      <c r="AR1569" s="269"/>
    </row>
    <row r="1570">
      <c r="A1570" s="410"/>
      <c r="B1570" s="410"/>
      <c r="C1570" s="410"/>
      <c r="D1570" s="410"/>
      <c r="E1570" s="410"/>
      <c r="F1570" s="410"/>
      <c r="H1570" s="269"/>
      <c r="I1570" s="269"/>
      <c r="J1570" s="269"/>
      <c r="K1570" s="269"/>
      <c r="L1570" s="269"/>
      <c r="M1570" s="269"/>
      <c r="N1570" s="269"/>
      <c r="O1570" s="269"/>
      <c r="P1570" s="269"/>
      <c r="Q1570" s="269"/>
      <c r="R1570" s="269"/>
      <c r="S1570" s="269"/>
      <c r="T1570" s="269"/>
      <c r="U1570" s="269"/>
      <c r="V1570" s="269"/>
      <c r="W1570" s="269"/>
      <c r="X1570" s="269"/>
      <c r="Y1570" s="269"/>
      <c r="Z1570" s="269"/>
      <c r="AA1570" s="269"/>
      <c r="AB1570" s="269"/>
      <c r="AC1570" s="269"/>
      <c r="AD1570" s="269"/>
      <c r="AE1570" s="269"/>
      <c r="AF1570" s="269"/>
      <c r="AG1570" s="269"/>
      <c r="AH1570" s="269"/>
      <c r="AI1570" s="269"/>
      <c r="AJ1570" s="269"/>
      <c r="AK1570" s="269"/>
      <c r="AL1570" s="269"/>
      <c r="AM1570" s="269"/>
      <c r="AN1570" s="269"/>
      <c r="AO1570" s="269"/>
      <c r="AP1570" s="269"/>
      <c r="AQ1570" s="269"/>
      <c r="AR1570" s="269"/>
    </row>
    <row r="1571">
      <c r="A1571" s="410"/>
      <c r="B1571" s="410"/>
      <c r="C1571" s="410"/>
      <c r="D1571" s="410"/>
      <c r="E1571" s="410"/>
      <c r="F1571" s="410"/>
      <c r="H1571" s="269"/>
      <c r="I1571" s="269"/>
      <c r="J1571" s="269"/>
      <c r="K1571" s="269"/>
      <c r="L1571" s="269"/>
      <c r="M1571" s="269"/>
      <c r="N1571" s="269"/>
      <c r="O1571" s="269"/>
      <c r="P1571" s="269"/>
      <c r="Q1571" s="269"/>
      <c r="R1571" s="269"/>
      <c r="S1571" s="269"/>
      <c r="T1571" s="269"/>
      <c r="U1571" s="269"/>
      <c r="V1571" s="269"/>
      <c r="W1571" s="269"/>
      <c r="X1571" s="269"/>
      <c r="Y1571" s="269"/>
      <c r="Z1571" s="269"/>
      <c r="AA1571" s="269"/>
      <c r="AB1571" s="269"/>
      <c r="AC1571" s="269"/>
      <c r="AD1571" s="269"/>
      <c r="AE1571" s="269"/>
      <c r="AF1571" s="269"/>
      <c r="AG1571" s="269"/>
      <c r="AH1571" s="269"/>
      <c r="AI1571" s="269"/>
      <c r="AJ1571" s="269"/>
      <c r="AK1571" s="269"/>
      <c r="AL1571" s="269"/>
      <c r="AM1571" s="269"/>
      <c r="AN1571" s="269"/>
      <c r="AO1571" s="269"/>
      <c r="AP1571" s="269"/>
      <c r="AQ1571" s="269"/>
      <c r="AR1571" s="269"/>
    </row>
    <row r="1572">
      <c r="A1572" s="410"/>
      <c r="B1572" s="410"/>
      <c r="C1572" s="410"/>
      <c r="D1572" s="410"/>
      <c r="E1572" s="410"/>
      <c r="F1572" s="410"/>
      <c r="H1572" s="269"/>
      <c r="I1572" s="269"/>
      <c r="J1572" s="269"/>
      <c r="K1572" s="269"/>
      <c r="L1572" s="269"/>
      <c r="M1572" s="269"/>
      <c r="N1572" s="269"/>
      <c r="O1572" s="269"/>
      <c r="P1572" s="269"/>
      <c r="Q1572" s="269"/>
      <c r="R1572" s="269"/>
      <c r="S1572" s="269"/>
      <c r="T1572" s="269"/>
      <c r="U1572" s="269"/>
      <c r="V1572" s="269"/>
      <c r="W1572" s="269"/>
      <c r="X1572" s="269"/>
      <c r="Y1572" s="269"/>
      <c r="Z1572" s="269"/>
      <c r="AA1572" s="269"/>
      <c r="AB1572" s="269"/>
      <c r="AC1572" s="269"/>
      <c r="AD1572" s="269"/>
      <c r="AE1572" s="269"/>
      <c r="AF1572" s="269"/>
      <c r="AG1572" s="269"/>
      <c r="AH1572" s="269"/>
      <c r="AI1572" s="269"/>
      <c r="AJ1572" s="269"/>
      <c r="AK1572" s="269"/>
      <c r="AL1572" s="269"/>
      <c r="AM1572" s="269"/>
      <c r="AN1572" s="269"/>
      <c r="AO1572" s="269"/>
      <c r="AP1572" s="269"/>
      <c r="AQ1572" s="269"/>
      <c r="AR1572" s="269"/>
    </row>
    <row r="1573">
      <c r="A1573" s="410"/>
      <c r="B1573" s="410"/>
      <c r="C1573" s="410"/>
      <c r="D1573" s="410"/>
      <c r="E1573" s="410"/>
      <c r="F1573" s="410"/>
      <c r="H1573" s="269"/>
      <c r="I1573" s="269"/>
      <c r="J1573" s="269"/>
      <c r="K1573" s="269"/>
      <c r="L1573" s="269"/>
      <c r="M1573" s="269"/>
      <c r="N1573" s="269"/>
      <c r="O1573" s="269"/>
      <c r="P1573" s="269"/>
      <c r="Q1573" s="269"/>
      <c r="R1573" s="269"/>
      <c r="S1573" s="269"/>
      <c r="T1573" s="269"/>
      <c r="U1573" s="269"/>
      <c r="V1573" s="269"/>
      <c r="W1573" s="269"/>
      <c r="X1573" s="269"/>
      <c r="Y1573" s="269"/>
      <c r="Z1573" s="269"/>
      <c r="AA1573" s="269"/>
      <c r="AB1573" s="269"/>
      <c r="AC1573" s="269"/>
      <c r="AD1573" s="269"/>
      <c r="AE1573" s="269"/>
      <c r="AF1573" s="269"/>
      <c r="AG1573" s="269"/>
      <c r="AH1573" s="269"/>
      <c r="AI1573" s="269"/>
      <c r="AJ1573" s="269"/>
      <c r="AK1573" s="269"/>
      <c r="AL1573" s="269"/>
      <c r="AM1573" s="269"/>
      <c r="AN1573" s="269"/>
      <c r="AO1573" s="269"/>
      <c r="AP1573" s="269"/>
      <c r="AQ1573" s="269"/>
      <c r="AR1573" s="269"/>
    </row>
    <row r="1574">
      <c r="A1574" s="410"/>
      <c r="B1574" s="410"/>
      <c r="C1574" s="410"/>
      <c r="D1574" s="410"/>
      <c r="E1574" s="410"/>
      <c r="F1574" s="410"/>
      <c r="H1574" s="269"/>
      <c r="I1574" s="269"/>
      <c r="J1574" s="269"/>
      <c r="K1574" s="269"/>
      <c r="L1574" s="269"/>
      <c r="M1574" s="269"/>
      <c r="N1574" s="269"/>
      <c r="O1574" s="269"/>
      <c r="P1574" s="269"/>
      <c r="Q1574" s="269"/>
      <c r="R1574" s="269"/>
      <c r="S1574" s="269"/>
      <c r="T1574" s="269"/>
      <c r="U1574" s="269"/>
      <c r="V1574" s="269"/>
      <c r="W1574" s="269"/>
      <c r="X1574" s="269"/>
      <c r="Y1574" s="269"/>
      <c r="Z1574" s="269"/>
      <c r="AA1574" s="269"/>
      <c r="AB1574" s="269"/>
      <c r="AC1574" s="269"/>
      <c r="AD1574" s="269"/>
      <c r="AE1574" s="269"/>
      <c r="AF1574" s="269"/>
      <c r="AG1574" s="269"/>
      <c r="AH1574" s="269"/>
      <c r="AI1574" s="269"/>
      <c r="AJ1574" s="269"/>
      <c r="AK1574" s="269"/>
      <c r="AL1574" s="269"/>
      <c r="AM1574" s="269"/>
      <c r="AN1574" s="269"/>
      <c r="AO1574" s="269"/>
      <c r="AP1574" s="269"/>
      <c r="AQ1574" s="269"/>
      <c r="AR1574" s="269"/>
    </row>
    <row r="1575">
      <c r="A1575" s="410"/>
      <c r="B1575" s="410"/>
      <c r="C1575" s="410"/>
      <c r="D1575" s="410"/>
      <c r="E1575" s="410"/>
      <c r="F1575" s="410"/>
      <c r="H1575" s="269"/>
      <c r="I1575" s="269"/>
      <c r="J1575" s="269"/>
      <c r="K1575" s="269"/>
      <c r="L1575" s="269"/>
      <c r="M1575" s="269"/>
      <c r="N1575" s="269"/>
      <c r="O1575" s="269"/>
      <c r="P1575" s="269"/>
      <c r="Q1575" s="269"/>
      <c r="R1575" s="269"/>
      <c r="S1575" s="269"/>
      <c r="T1575" s="269"/>
      <c r="U1575" s="269"/>
      <c r="V1575" s="269"/>
      <c r="W1575" s="269"/>
      <c r="X1575" s="269"/>
      <c r="Y1575" s="269"/>
      <c r="Z1575" s="269"/>
      <c r="AA1575" s="269"/>
      <c r="AB1575" s="269"/>
      <c r="AC1575" s="269"/>
      <c r="AD1575" s="269"/>
      <c r="AE1575" s="269"/>
      <c r="AF1575" s="269"/>
      <c r="AG1575" s="269"/>
      <c r="AH1575" s="269"/>
      <c r="AI1575" s="269"/>
      <c r="AJ1575" s="269"/>
      <c r="AK1575" s="269"/>
      <c r="AL1575" s="269"/>
      <c r="AM1575" s="269"/>
      <c r="AN1575" s="269"/>
      <c r="AO1575" s="269"/>
      <c r="AP1575" s="269"/>
      <c r="AQ1575" s="269"/>
      <c r="AR1575" s="269"/>
    </row>
    <row r="1576">
      <c r="A1576" s="410"/>
      <c r="B1576" s="410"/>
      <c r="C1576" s="410"/>
      <c r="D1576" s="410"/>
      <c r="E1576" s="410"/>
      <c r="F1576" s="410"/>
      <c r="H1576" s="269"/>
      <c r="I1576" s="269"/>
      <c r="J1576" s="269"/>
      <c r="K1576" s="269"/>
      <c r="L1576" s="269"/>
      <c r="M1576" s="269"/>
      <c r="N1576" s="269"/>
      <c r="O1576" s="269"/>
      <c r="P1576" s="269"/>
      <c r="Q1576" s="269"/>
      <c r="R1576" s="269"/>
      <c r="S1576" s="269"/>
      <c r="T1576" s="269"/>
      <c r="U1576" s="269"/>
      <c r="V1576" s="269"/>
      <c r="W1576" s="269"/>
      <c r="X1576" s="269"/>
      <c r="Y1576" s="269"/>
      <c r="Z1576" s="269"/>
      <c r="AA1576" s="269"/>
      <c r="AB1576" s="269"/>
      <c r="AC1576" s="269"/>
      <c r="AD1576" s="269"/>
      <c r="AE1576" s="269"/>
      <c r="AF1576" s="269"/>
      <c r="AG1576" s="269"/>
      <c r="AH1576" s="269"/>
      <c r="AI1576" s="269"/>
      <c r="AJ1576" s="269"/>
      <c r="AK1576" s="269"/>
      <c r="AL1576" s="269"/>
      <c r="AM1576" s="269"/>
      <c r="AN1576" s="269"/>
      <c r="AO1576" s="269"/>
      <c r="AP1576" s="269"/>
      <c r="AQ1576" s="269"/>
      <c r="AR1576" s="269"/>
    </row>
    <row r="1577">
      <c r="A1577" s="410"/>
      <c r="B1577" s="410"/>
      <c r="C1577" s="410"/>
      <c r="D1577" s="410"/>
      <c r="E1577" s="410"/>
      <c r="F1577" s="410"/>
      <c r="H1577" s="269"/>
      <c r="I1577" s="269"/>
      <c r="J1577" s="269"/>
      <c r="K1577" s="269"/>
      <c r="L1577" s="269"/>
      <c r="M1577" s="269"/>
      <c r="N1577" s="269"/>
      <c r="O1577" s="269"/>
      <c r="P1577" s="269"/>
      <c r="Q1577" s="269"/>
      <c r="R1577" s="269"/>
      <c r="S1577" s="269"/>
      <c r="T1577" s="269"/>
      <c r="U1577" s="269"/>
      <c r="V1577" s="269"/>
      <c r="W1577" s="269"/>
      <c r="X1577" s="269"/>
      <c r="Y1577" s="269"/>
      <c r="Z1577" s="269"/>
      <c r="AA1577" s="269"/>
      <c r="AB1577" s="269"/>
      <c r="AC1577" s="269"/>
      <c r="AD1577" s="269"/>
      <c r="AE1577" s="269"/>
      <c r="AF1577" s="269"/>
      <c r="AG1577" s="269"/>
      <c r="AH1577" s="269"/>
      <c r="AI1577" s="269"/>
      <c r="AJ1577" s="269"/>
      <c r="AK1577" s="269"/>
      <c r="AL1577" s="269"/>
      <c r="AM1577" s="269"/>
      <c r="AN1577" s="269"/>
      <c r="AO1577" s="269"/>
      <c r="AP1577" s="269"/>
      <c r="AQ1577" s="269"/>
      <c r="AR1577" s="269"/>
    </row>
    <row r="1578">
      <c r="A1578" s="410"/>
      <c r="B1578" s="410"/>
      <c r="C1578" s="410"/>
      <c r="D1578" s="410"/>
      <c r="E1578" s="410"/>
      <c r="F1578" s="410"/>
      <c r="H1578" s="269"/>
      <c r="I1578" s="269"/>
      <c r="J1578" s="269"/>
      <c r="K1578" s="269"/>
      <c r="L1578" s="269"/>
      <c r="M1578" s="269"/>
      <c r="N1578" s="269"/>
      <c r="O1578" s="269"/>
      <c r="P1578" s="269"/>
      <c r="Q1578" s="269"/>
      <c r="R1578" s="269"/>
      <c r="S1578" s="269"/>
      <c r="T1578" s="269"/>
      <c r="U1578" s="269"/>
      <c r="V1578" s="269"/>
      <c r="W1578" s="269"/>
      <c r="X1578" s="269"/>
      <c r="Y1578" s="269"/>
      <c r="Z1578" s="269"/>
      <c r="AA1578" s="269"/>
      <c r="AB1578" s="269"/>
      <c r="AC1578" s="269"/>
      <c r="AD1578" s="269"/>
      <c r="AE1578" s="269"/>
      <c r="AF1578" s="269"/>
      <c r="AG1578" s="269"/>
      <c r="AH1578" s="269"/>
      <c r="AI1578" s="269"/>
      <c r="AJ1578" s="269"/>
      <c r="AK1578" s="269"/>
      <c r="AL1578" s="269"/>
      <c r="AM1578" s="269"/>
      <c r="AN1578" s="269"/>
      <c r="AO1578" s="269"/>
      <c r="AP1578" s="269"/>
      <c r="AQ1578" s="269"/>
      <c r="AR1578" s="269"/>
    </row>
    <row r="1579">
      <c r="A1579" s="410"/>
      <c r="B1579" s="410"/>
      <c r="C1579" s="410"/>
      <c r="D1579" s="410"/>
      <c r="E1579" s="410"/>
      <c r="F1579" s="410"/>
      <c r="H1579" s="269"/>
      <c r="I1579" s="269"/>
      <c r="J1579" s="269"/>
      <c r="K1579" s="269"/>
      <c r="L1579" s="269"/>
      <c r="M1579" s="269"/>
      <c r="N1579" s="269"/>
      <c r="O1579" s="269"/>
      <c r="P1579" s="269"/>
      <c r="Q1579" s="269"/>
      <c r="R1579" s="269"/>
      <c r="S1579" s="269"/>
      <c r="T1579" s="269"/>
      <c r="U1579" s="269"/>
      <c r="V1579" s="269"/>
      <c r="W1579" s="269"/>
      <c r="X1579" s="269"/>
      <c r="Y1579" s="269"/>
      <c r="Z1579" s="269"/>
      <c r="AA1579" s="269"/>
      <c r="AB1579" s="269"/>
      <c r="AC1579" s="269"/>
      <c r="AD1579" s="269"/>
      <c r="AE1579" s="269"/>
      <c r="AF1579" s="269"/>
      <c r="AG1579" s="269"/>
      <c r="AH1579" s="269"/>
      <c r="AI1579" s="269"/>
      <c r="AJ1579" s="269"/>
      <c r="AK1579" s="269"/>
      <c r="AL1579" s="269"/>
      <c r="AM1579" s="269"/>
      <c r="AN1579" s="269"/>
      <c r="AO1579" s="269"/>
      <c r="AP1579" s="269"/>
      <c r="AQ1579" s="269"/>
      <c r="AR1579" s="269"/>
    </row>
    <row r="1580">
      <c r="A1580" s="410"/>
      <c r="B1580" s="410"/>
      <c r="C1580" s="410"/>
      <c r="D1580" s="410"/>
      <c r="E1580" s="410"/>
      <c r="F1580" s="410"/>
      <c r="H1580" s="269"/>
      <c r="I1580" s="269"/>
      <c r="J1580" s="269"/>
      <c r="K1580" s="269"/>
      <c r="L1580" s="269"/>
      <c r="M1580" s="269"/>
      <c r="N1580" s="269"/>
      <c r="O1580" s="269"/>
      <c r="P1580" s="269"/>
      <c r="Q1580" s="269"/>
      <c r="R1580" s="269"/>
      <c r="S1580" s="269"/>
      <c r="T1580" s="269"/>
      <c r="U1580" s="269"/>
      <c r="V1580" s="269"/>
      <c r="W1580" s="269"/>
      <c r="X1580" s="269"/>
      <c r="Y1580" s="269"/>
      <c r="Z1580" s="269"/>
      <c r="AA1580" s="269"/>
      <c r="AB1580" s="269"/>
      <c r="AC1580" s="269"/>
      <c r="AD1580" s="269"/>
      <c r="AE1580" s="269"/>
      <c r="AF1580" s="269"/>
      <c r="AG1580" s="269"/>
      <c r="AH1580" s="269"/>
      <c r="AI1580" s="269"/>
      <c r="AJ1580" s="269"/>
      <c r="AK1580" s="269"/>
      <c r="AL1580" s="269"/>
      <c r="AM1580" s="269"/>
      <c r="AN1580" s="269"/>
      <c r="AO1580" s="269"/>
      <c r="AP1580" s="269"/>
      <c r="AQ1580" s="269"/>
      <c r="AR1580" s="269"/>
    </row>
    <row r="1581">
      <c r="A1581" s="410"/>
      <c r="B1581" s="410"/>
      <c r="C1581" s="410"/>
      <c r="D1581" s="410"/>
      <c r="E1581" s="410"/>
      <c r="F1581" s="410"/>
      <c r="H1581" s="269"/>
      <c r="I1581" s="269"/>
      <c r="J1581" s="269"/>
      <c r="K1581" s="269"/>
      <c r="L1581" s="269"/>
      <c r="M1581" s="269"/>
      <c r="N1581" s="269"/>
      <c r="O1581" s="269"/>
      <c r="P1581" s="269"/>
      <c r="Q1581" s="269"/>
      <c r="R1581" s="269"/>
      <c r="S1581" s="269"/>
      <c r="T1581" s="269"/>
      <c r="U1581" s="269"/>
      <c r="V1581" s="269"/>
      <c r="W1581" s="269"/>
      <c r="X1581" s="269"/>
      <c r="Y1581" s="269"/>
      <c r="Z1581" s="269"/>
      <c r="AA1581" s="269"/>
      <c r="AB1581" s="269"/>
      <c r="AC1581" s="269"/>
      <c r="AD1581" s="269"/>
      <c r="AE1581" s="269"/>
      <c r="AF1581" s="269"/>
      <c r="AG1581" s="269"/>
      <c r="AH1581" s="269"/>
      <c r="AI1581" s="269"/>
      <c r="AJ1581" s="269"/>
      <c r="AK1581" s="269"/>
      <c r="AL1581" s="269"/>
      <c r="AM1581" s="269"/>
      <c r="AN1581" s="269"/>
      <c r="AO1581" s="269"/>
      <c r="AP1581" s="269"/>
      <c r="AQ1581" s="269"/>
      <c r="AR1581" s="269"/>
    </row>
    <row r="1582">
      <c r="A1582" s="410"/>
      <c r="B1582" s="410"/>
      <c r="C1582" s="410"/>
      <c r="D1582" s="410"/>
      <c r="E1582" s="410"/>
      <c r="F1582" s="410"/>
      <c r="H1582" s="269"/>
      <c r="I1582" s="269"/>
      <c r="J1582" s="269"/>
      <c r="K1582" s="269"/>
      <c r="L1582" s="269"/>
      <c r="M1582" s="269"/>
      <c r="N1582" s="269"/>
      <c r="O1582" s="269"/>
      <c r="P1582" s="269"/>
      <c r="Q1582" s="269"/>
      <c r="R1582" s="269"/>
      <c r="S1582" s="269"/>
      <c r="T1582" s="269"/>
      <c r="U1582" s="269"/>
      <c r="V1582" s="269"/>
      <c r="W1582" s="269"/>
      <c r="X1582" s="269"/>
      <c r="Y1582" s="269"/>
      <c r="Z1582" s="269"/>
      <c r="AA1582" s="269"/>
      <c r="AB1582" s="269"/>
      <c r="AC1582" s="269"/>
      <c r="AD1582" s="269"/>
      <c r="AE1582" s="269"/>
      <c r="AF1582" s="269"/>
      <c r="AG1582" s="269"/>
      <c r="AH1582" s="269"/>
      <c r="AI1582" s="269"/>
      <c r="AJ1582" s="269"/>
      <c r="AK1582" s="269"/>
      <c r="AL1582" s="269"/>
      <c r="AM1582" s="269"/>
      <c r="AN1582" s="269"/>
      <c r="AO1582" s="269"/>
      <c r="AP1582" s="269"/>
      <c r="AQ1582" s="269"/>
      <c r="AR1582" s="269"/>
    </row>
    <row r="1583">
      <c r="A1583" s="410"/>
      <c r="B1583" s="410"/>
      <c r="C1583" s="410"/>
      <c r="D1583" s="410"/>
      <c r="E1583" s="410"/>
      <c r="F1583" s="410"/>
      <c r="H1583" s="269"/>
      <c r="I1583" s="269"/>
      <c r="J1583" s="269"/>
      <c r="K1583" s="269"/>
      <c r="L1583" s="269"/>
      <c r="M1583" s="269"/>
      <c r="N1583" s="269"/>
      <c r="O1583" s="269"/>
      <c r="P1583" s="269"/>
      <c r="Q1583" s="269"/>
      <c r="R1583" s="269"/>
      <c r="S1583" s="269"/>
      <c r="T1583" s="269"/>
      <c r="U1583" s="269"/>
      <c r="V1583" s="269"/>
      <c r="W1583" s="269"/>
      <c r="X1583" s="269"/>
      <c r="Y1583" s="269"/>
      <c r="Z1583" s="269"/>
      <c r="AA1583" s="269"/>
      <c r="AB1583" s="269"/>
      <c r="AC1583" s="269"/>
      <c r="AD1583" s="269"/>
      <c r="AE1583" s="269"/>
      <c r="AF1583" s="269"/>
      <c r="AG1583" s="269"/>
      <c r="AH1583" s="269"/>
      <c r="AI1583" s="269"/>
      <c r="AJ1583" s="269"/>
      <c r="AK1583" s="269"/>
      <c r="AL1583" s="269"/>
      <c r="AM1583" s="269"/>
      <c r="AN1583" s="269"/>
      <c r="AO1583" s="269"/>
      <c r="AP1583" s="269"/>
      <c r="AQ1583" s="269"/>
      <c r="AR1583" s="269"/>
    </row>
    <row r="1584">
      <c r="A1584" s="410"/>
      <c r="B1584" s="410"/>
      <c r="C1584" s="410"/>
      <c r="D1584" s="410"/>
      <c r="E1584" s="410"/>
      <c r="F1584" s="410"/>
      <c r="H1584" s="269"/>
      <c r="I1584" s="269"/>
      <c r="J1584" s="269"/>
      <c r="K1584" s="269"/>
      <c r="L1584" s="269"/>
      <c r="M1584" s="269"/>
      <c r="N1584" s="269"/>
      <c r="O1584" s="269"/>
      <c r="P1584" s="269"/>
      <c r="Q1584" s="269"/>
      <c r="R1584" s="269"/>
      <c r="S1584" s="269"/>
      <c r="T1584" s="269"/>
      <c r="U1584" s="269"/>
      <c r="V1584" s="269"/>
      <c r="W1584" s="269"/>
      <c r="X1584" s="269"/>
      <c r="Y1584" s="269"/>
      <c r="Z1584" s="269"/>
      <c r="AA1584" s="269"/>
      <c r="AB1584" s="269"/>
      <c r="AC1584" s="269"/>
      <c r="AD1584" s="269"/>
      <c r="AE1584" s="269"/>
      <c r="AF1584" s="269"/>
      <c r="AG1584" s="269"/>
      <c r="AH1584" s="269"/>
      <c r="AI1584" s="269"/>
      <c r="AJ1584" s="269"/>
      <c r="AK1584" s="269"/>
      <c r="AL1584" s="269"/>
      <c r="AM1584" s="269"/>
      <c r="AN1584" s="269"/>
      <c r="AO1584" s="269"/>
      <c r="AP1584" s="269"/>
      <c r="AQ1584" s="269"/>
      <c r="AR1584" s="269"/>
    </row>
    <row r="1585">
      <c r="A1585" s="410"/>
      <c r="B1585" s="410"/>
      <c r="C1585" s="410"/>
      <c r="D1585" s="410"/>
      <c r="E1585" s="410"/>
      <c r="F1585" s="410"/>
      <c r="H1585" s="269"/>
      <c r="I1585" s="269"/>
      <c r="J1585" s="269"/>
      <c r="K1585" s="269"/>
      <c r="L1585" s="269"/>
      <c r="M1585" s="269"/>
      <c r="N1585" s="269"/>
      <c r="O1585" s="269"/>
      <c r="P1585" s="269"/>
      <c r="Q1585" s="269"/>
      <c r="R1585" s="269"/>
      <c r="S1585" s="269"/>
      <c r="T1585" s="269"/>
      <c r="U1585" s="269"/>
      <c r="V1585" s="269"/>
      <c r="W1585" s="269"/>
      <c r="X1585" s="269"/>
      <c r="Y1585" s="269"/>
      <c r="Z1585" s="269"/>
      <c r="AA1585" s="269"/>
      <c r="AB1585" s="269"/>
      <c r="AC1585" s="269"/>
      <c r="AD1585" s="269"/>
      <c r="AE1585" s="269"/>
      <c r="AF1585" s="269"/>
      <c r="AG1585" s="269"/>
      <c r="AH1585" s="269"/>
      <c r="AI1585" s="269"/>
      <c r="AJ1585" s="269"/>
      <c r="AK1585" s="269"/>
      <c r="AL1585" s="269"/>
      <c r="AM1585" s="269"/>
      <c r="AN1585" s="269"/>
      <c r="AO1585" s="269"/>
      <c r="AP1585" s="269"/>
      <c r="AQ1585" s="269"/>
      <c r="AR1585" s="269"/>
    </row>
    <row r="1586">
      <c r="A1586" s="410"/>
      <c r="B1586" s="410"/>
      <c r="C1586" s="410"/>
      <c r="D1586" s="410"/>
      <c r="E1586" s="410"/>
      <c r="F1586" s="410"/>
      <c r="H1586" s="269"/>
      <c r="I1586" s="269"/>
      <c r="J1586" s="269"/>
      <c r="K1586" s="269"/>
      <c r="L1586" s="269"/>
      <c r="M1586" s="269"/>
      <c r="N1586" s="269"/>
      <c r="O1586" s="269"/>
      <c r="P1586" s="269"/>
      <c r="Q1586" s="269"/>
      <c r="R1586" s="269"/>
      <c r="S1586" s="269"/>
      <c r="T1586" s="269"/>
      <c r="U1586" s="269"/>
      <c r="V1586" s="269"/>
      <c r="W1586" s="269"/>
      <c r="X1586" s="269"/>
      <c r="Y1586" s="269"/>
      <c r="Z1586" s="269"/>
      <c r="AA1586" s="269"/>
      <c r="AB1586" s="269"/>
      <c r="AC1586" s="269"/>
      <c r="AD1586" s="269"/>
      <c r="AE1586" s="269"/>
      <c r="AF1586" s="269"/>
      <c r="AG1586" s="269"/>
      <c r="AH1586" s="269"/>
      <c r="AI1586" s="269"/>
      <c r="AJ1586" s="269"/>
      <c r="AK1586" s="269"/>
      <c r="AL1586" s="269"/>
      <c r="AM1586" s="269"/>
      <c r="AN1586" s="269"/>
      <c r="AO1586" s="269"/>
      <c r="AP1586" s="269"/>
      <c r="AQ1586" s="269"/>
      <c r="AR1586" s="269"/>
    </row>
    <row r="1587">
      <c r="A1587" s="410"/>
      <c r="B1587" s="410"/>
      <c r="C1587" s="410"/>
      <c r="D1587" s="410"/>
      <c r="E1587" s="410"/>
      <c r="F1587" s="410"/>
      <c r="H1587" s="269"/>
      <c r="I1587" s="269"/>
      <c r="J1587" s="269"/>
      <c r="K1587" s="269"/>
      <c r="L1587" s="269"/>
      <c r="M1587" s="269"/>
      <c r="N1587" s="269"/>
      <c r="O1587" s="269"/>
      <c r="P1587" s="269"/>
      <c r="Q1587" s="269"/>
      <c r="R1587" s="269"/>
      <c r="S1587" s="269"/>
      <c r="T1587" s="269"/>
      <c r="U1587" s="269"/>
      <c r="V1587" s="269"/>
      <c r="W1587" s="269"/>
      <c r="X1587" s="269"/>
      <c r="Y1587" s="269"/>
      <c r="Z1587" s="269"/>
      <c r="AA1587" s="269"/>
      <c r="AB1587" s="269"/>
      <c r="AC1587" s="269"/>
      <c r="AD1587" s="269"/>
      <c r="AE1587" s="269"/>
      <c r="AF1587" s="269"/>
      <c r="AG1587" s="269"/>
      <c r="AH1587" s="269"/>
      <c r="AI1587" s="269"/>
      <c r="AJ1587" s="269"/>
      <c r="AK1587" s="269"/>
      <c r="AL1587" s="269"/>
      <c r="AM1587" s="269"/>
      <c r="AN1587" s="269"/>
      <c r="AO1587" s="269"/>
      <c r="AP1587" s="269"/>
      <c r="AQ1587" s="269"/>
      <c r="AR1587" s="269"/>
    </row>
    <row r="1588">
      <c r="A1588" s="410"/>
      <c r="B1588" s="410"/>
      <c r="C1588" s="410"/>
      <c r="D1588" s="410"/>
      <c r="E1588" s="410"/>
      <c r="F1588" s="410"/>
      <c r="H1588" s="269"/>
      <c r="I1588" s="269"/>
      <c r="J1588" s="269"/>
      <c r="K1588" s="269"/>
      <c r="L1588" s="269"/>
      <c r="M1588" s="269"/>
      <c r="N1588" s="269"/>
      <c r="O1588" s="269"/>
      <c r="P1588" s="269"/>
      <c r="Q1588" s="269"/>
      <c r="R1588" s="269"/>
      <c r="S1588" s="269"/>
      <c r="T1588" s="269"/>
      <c r="U1588" s="269"/>
      <c r="V1588" s="269"/>
      <c r="W1588" s="269"/>
      <c r="X1588" s="269"/>
      <c r="Y1588" s="269"/>
      <c r="Z1588" s="269"/>
      <c r="AA1588" s="269"/>
      <c r="AB1588" s="269"/>
      <c r="AC1588" s="269"/>
      <c r="AD1588" s="269"/>
      <c r="AE1588" s="269"/>
      <c r="AF1588" s="269"/>
      <c r="AG1588" s="269"/>
      <c r="AH1588" s="269"/>
      <c r="AI1588" s="269"/>
      <c r="AJ1588" s="269"/>
      <c r="AK1588" s="269"/>
      <c r="AL1588" s="269"/>
      <c r="AM1588" s="269"/>
      <c r="AN1588" s="269"/>
      <c r="AO1588" s="269"/>
      <c r="AP1588" s="269"/>
      <c r="AQ1588" s="269"/>
      <c r="AR1588" s="269"/>
    </row>
    <row r="1589">
      <c r="A1589" s="410"/>
      <c r="B1589" s="410"/>
      <c r="C1589" s="410"/>
      <c r="D1589" s="410"/>
      <c r="E1589" s="410"/>
      <c r="F1589" s="410"/>
      <c r="H1589" s="269"/>
      <c r="I1589" s="269"/>
      <c r="J1589" s="269"/>
      <c r="K1589" s="269"/>
      <c r="L1589" s="269"/>
      <c r="M1589" s="269"/>
      <c r="N1589" s="269"/>
      <c r="O1589" s="269"/>
      <c r="P1589" s="269"/>
      <c r="Q1589" s="269"/>
      <c r="R1589" s="269"/>
      <c r="S1589" s="269"/>
      <c r="T1589" s="269"/>
      <c r="U1589" s="269"/>
      <c r="V1589" s="269"/>
      <c r="W1589" s="269"/>
      <c r="X1589" s="269"/>
      <c r="Y1589" s="269"/>
      <c r="Z1589" s="269"/>
      <c r="AA1589" s="269"/>
      <c r="AB1589" s="269"/>
      <c r="AC1589" s="269"/>
      <c r="AD1589" s="269"/>
      <c r="AE1589" s="269"/>
      <c r="AF1589" s="269"/>
      <c r="AG1589" s="269"/>
      <c r="AH1589" s="269"/>
      <c r="AI1589" s="269"/>
      <c r="AJ1589" s="269"/>
      <c r="AK1589" s="269"/>
      <c r="AL1589" s="269"/>
      <c r="AM1589" s="269"/>
      <c r="AN1589" s="269"/>
      <c r="AO1589" s="269"/>
      <c r="AP1589" s="269"/>
      <c r="AQ1589" s="269"/>
      <c r="AR1589" s="269"/>
    </row>
    <row r="1590">
      <c r="A1590" s="410"/>
      <c r="B1590" s="410"/>
      <c r="C1590" s="410"/>
      <c r="D1590" s="410"/>
      <c r="E1590" s="410"/>
      <c r="F1590" s="410"/>
      <c r="H1590" s="269"/>
      <c r="I1590" s="269"/>
      <c r="J1590" s="269"/>
      <c r="K1590" s="269"/>
      <c r="L1590" s="269"/>
      <c r="M1590" s="269"/>
      <c r="N1590" s="269"/>
      <c r="O1590" s="269"/>
      <c r="P1590" s="269"/>
      <c r="Q1590" s="269"/>
      <c r="R1590" s="269"/>
      <c r="S1590" s="269"/>
      <c r="T1590" s="269"/>
      <c r="U1590" s="269"/>
      <c r="V1590" s="269"/>
      <c r="W1590" s="269"/>
      <c r="X1590" s="269"/>
      <c r="Y1590" s="269"/>
      <c r="Z1590" s="269"/>
      <c r="AA1590" s="269"/>
      <c r="AB1590" s="269"/>
      <c r="AC1590" s="269"/>
      <c r="AD1590" s="269"/>
      <c r="AE1590" s="269"/>
      <c r="AF1590" s="269"/>
      <c r="AG1590" s="269"/>
      <c r="AH1590" s="269"/>
      <c r="AI1590" s="269"/>
      <c r="AJ1590" s="269"/>
      <c r="AK1590" s="269"/>
      <c r="AL1590" s="269"/>
      <c r="AM1590" s="269"/>
      <c r="AN1590" s="269"/>
      <c r="AO1590" s="269"/>
      <c r="AP1590" s="269"/>
      <c r="AQ1590" s="269"/>
      <c r="AR1590" s="269"/>
    </row>
    <row r="1591">
      <c r="A1591" s="410"/>
      <c r="B1591" s="410"/>
      <c r="C1591" s="410"/>
      <c r="D1591" s="410"/>
      <c r="E1591" s="410"/>
      <c r="F1591" s="410"/>
      <c r="H1591" s="269"/>
      <c r="I1591" s="269"/>
      <c r="J1591" s="269"/>
      <c r="K1591" s="269"/>
      <c r="L1591" s="269"/>
      <c r="M1591" s="269"/>
      <c r="N1591" s="269"/>
      <c r="O1591" s="269"/>
      <c r="P1591" s="269"/>
      <c r="Q1591" s="269"/>
      <c r="R1591" s="269"/>
      <c r="S1591" s="269"/>
      <c r="T1591" s="269"/>
      <c r="U1591" s="269"/>
      <c r="V1591" s="269"/>
      <c r="W1591" s="269"/>
      <c r="X1591" s="269"/>
      <c r="Y1591" s="269"/>
      <c r="Z1591" s="269"/>
      <c r="AA1591" s="269"/>
      <c r="AB1591" s="269"/>
      <c r="AC1591" s="269"/>
      <c r="AD1591" s="269"/>
      <c r="AE1591" s="269"/>
      <c r="AF1591" s="269"/>
      <c r="AG1591" s="269"/>
      <c r="AH1591" s="269"/>
      <c r="AI1591" s="269"/>
      <c r="AJ1591" s="269"/>
      <c r="AK1591" s="269"/>
      <c r="AL1591" s="269"/>
      <c r="AM1591" s="269"/>
      <c r="AN1591" s="269"/>
      <c r="AO1591" s="269"/>
      <c r="AP1591" s="269"/>
      <c r="AQ1591" s="269"/>
      <c r="AR1591" s="269"/>
    </row>
    <row r="1592">
      <c r="A1592" s="410"/>
      <c r="B1592" s="410"/>
      <c r="C1592" s="410"/>
      <c r="D1592" s="410"/>
      <c r="E1592" s="410"/>
      <c r="F1592" s="410"/>
      <c r="H1592" s="269"/>
      <c r="I1592" s="269"/>
      <c r="J1592" s="269"/>
      <c r="K1592" s="269"/>
      <c r="L1592" s="269"/>
      <c r="M1592" s="269"/>
      <c r="N1592" s="269"/>
      <c r="O1592" s="269"/>
      <c r="P1592" s="269"/>
      <c r="Q1592" s="269"/>
      <c r="R1592" s="269"/>
      <c r="S1592" s="269"/>
      <c r="T1592" s="269"/>
      <c r="U1592" s="269"/>
      <c r="V1592" s="269"/>
      <c r="W1592" s="269"/>
      <c r="X1592" s="269"/>
      <c r="Y1592" s="269"/>
      <c r="Z1592" s="269"/>
      <c r="AA1592" s="269"/>
      <c r="AB1592" s="269"/>
      <c r="AC1592" s="269"/>
      <c r="AD1592" s="269"/>
      <c r="AE1592" s="269"/>
      <c r="AF1592" s="269"/>
      <c r="AG1592" s="269"/>
      <c r="AH1592" s="269"/>
      <c r="AI1592" s="269"/>
      <c r="AJ1592" s="269"/>
      <c r="AK1592" s="269"/>
      <c r="AL1592" s="269"/>
      <c r="AM1592" s="269"/>
      <c r="AN1592" s="269"/>
      <c r="AO1592" s="269"/>
      <c r="AP1592" s="269"/>
      <c r="AQ1592" s="269"/>
      <c r="AR1592" s="269"/>
    </row>
    <row r="1593">
      <c r="A1593" s="410"/>
      <c r="B1593" s="410"/>
      <c r="C1593" s="410"/>
      <c r="D1593" s="410"/>
      <c r="E1593" s="410"/>
      <c r="F1593" s="410"/>
      <c r="H1593" s="269"/>
      <c r="I1593" s="269"/>
      <c r="J1593" s="269"/>
      <c r="K1593" s="269"/>
      <c r="L1593" s="269"/>
      <c r="M1593" s="269"/>
      <c r="N1593" s="269"/>
      <c r="O1593" s="269"/>
      <c r="P1593" s="269"/>
      <c r="Q1593" s="269"/>
      <c r="R1593" s="269"/>
      <c r="S1593" s="269"/>
      <c r="T1593" s="269"/>
      <c r="U1593" s="269"/>
      <c r="V1593" s="269"/>
      <c r="W1593" s="269"/>
      <c r="X1593" s="269"/>
      <c r="Y1593" s="269"/>
      <c r="Z1593" s="269"/>
      <c r="AA1593" s="269"/>
      <c r="AB1593" s="269"/>
      <c r="AC1593" s="269"/>
      <c r="AD1593" s="269"/>
      <c r="AE1593" s="269"/>
      <c r="AF1593" s="269"/>
      <c r="AG1593" s="269"/>
      <c r="AH1593" s="269"/>
      <c r="AI1593" s="269"/>
      <c r="AJ1593" s="269"/>
      <c r="AK1593" s="269"/>
      <c r="AL1593" s="269"/>
      <c r="AM1593" s="269"/>
      <c r="AN1593" s="269"/>
      <c r="AO1593" s="269"/>
      <c r="AP1593" s="269"/>
      <c r="AQ1593" s="269"/>
      <c r="AR1593" s="269"/>
    </row>
    <row r="1594">
      <c r="A1594" s="410"/>
      <c r="B1594" s="410"/>
      <c r="C1594" s="410"/>
      <c r="D1594" s="410"/>
      <c r="E1594" s="410"/>
      <c r="F1594" s="410"/>
      <c r="H1594" s="269"/>
      <c r="I1594" s="269"/>
      <c r="J1594" s="269"/>
      <c r="K1594" s="269"/>
      <c r="L1594" s="269"/>
      <c r="M1594" s="269"/>
      <c r="N1594" s="269"/>
      <c r="O1594" s="269"/>
      <c r="P1594" s="269"/>
      <c r="Q1594" s="269"/>
      <c r="R1594" s="269"/>
      <c r="S1594" s="269"/>
      <c r="T1594" s="269"/>
      <c r="U1594" s="269"/>
      <c r="V1594" s="269"/>
      <c r="W1594" s="269"/>
      <c r="X1594" s="269"/>
      <c r="Y1594" s="269"/>
      <c r="Z1594" s="269"/>
      <c r="AA1594" s="269"/>
      <c r="AB1594" s="269"/>
      <c r="AC1594" s="269"/>
      <c r="AD1594" s="269"/>
      <c r="AE1594" s="269"/>
      <c r="AF1594" s="269"/>
      <c r="AG1594" s="269"/>
      <c r="AH1594" s="269"/>
      <c r="AI1594" s="269"/>
      <c r="AJ1594" s="269"/>
      <c r="AK1594" s="269"/>
      <c r="AL1594" s="269"/>
      <c r="AM1594" s="269"/>
      <c r="AN1594" s="269"/>
      <c r="AO1594" s="269"/>
      <c r="AP1594" s="269"/>
      <c r="AQ1594" s="269"/>
      <c r="AR1594" s="269"/>
    </row>
    <row r="1595">
      <c r="A1595" s="410"/>
      <c r="B1595" s="410"/>
      <c r="C1595" s="410"/>
      <c r="D1595" s="410"/>
      <c r="E1595" s="410"/>
      <c r="F1595" s="410"/>
      <c r="H1595" s="269"/>
      <c r="I1595" s="269"/>
      <c r="J1595" s="269"/>
      <c r="K1595" s="269"/>
      <c r="L1595" s="269"/>
      <c r="M1595" s="269"/>
      <c r="N1595" s="269"/>
      <c r="O1595" s="269"/>
      <c r="P1595" s="269"/>
      <c r="Q1595" s="269"/>
      <c r="R1595" s="269"/>
      <c r="S1595" s="269"/>
      <c r="T1595" s="269"/>
      <c r="U1595" s="269"/>
      <c r="V1595" s="269"/>
      <c r="W1595" s="269"/>
      <c r="X1595" s="269"/>
      <c r="Y1595" s="269"/>
      <c r="Z1595" s="269"/>
      <c r="AA1595" s="269"/>
      <c r="AB1595" s="269"/>
      <c r="AC1595" s="269"/>
      <c r="AD1595" s="269"/>
      <c r="AE1595" s="269"/>
      <c r="AF1595" s="269"/>
      <c r="AG1595" s="269"/>
      <c r="AH1595" s="269"/>
      <c r="AI1595" s="269"/>
      <c r="AJ1595" s="269"/>
      <c r="AK1595" s="269"/>
      <c r="AL1595" s="269"/>
      <c r="AM1595" s="269"/>
      <c r="AN1595" s="269"/>
      <c r="AO1595" s="269"/>
      <c r="AP1595" s="269"/>
      <c r="AQ1595" s="269"/>
      <c r="AR1595" s="269"/>
    </row>
    <row r="1596">
      <c r="A1596" s="410"/>
      <c r="B1596" s="410"/>
      <c r="C1596" s="410"/>
      <c r="D1596" s="410"/>
      <c r="E1596" s="410"/>
      <c r="F1596" s="410"/>
      <c r="H1596" s="269"/>
      <c r="I1596" s="269"/>
      <c r="J1596" s="269"/>
      <c r="K1596" s="269"/>
      <c r="L1596" s="269"/>
      <c r="M1596" s="269"/>
      <c r="N1596" s="269"/>
      <c r="O1596" s="269"/>
      <c r="P1596" s="269"/>
      <c r="Q1596" s="269"/>
      <c r="R1596" s="269"/>
      <c r="S1596" s="269"/>
      <c r="T1596" s="269"/>
      <c r="U1596" s="269"/>
      <c r="V1596" s="269"/>
      <c r="W1596" s="269"/>
      <c r="X1596" s="269"/>
      <c r="Y1596" s="269"/>
      <c r="Z1596" s="269"/>
      <c r="AA1596" s="269"/>
      <c r="AB1596" s="269"/>
      <c r="AC1596" s="269"/>
      <c r="AD1596" s="269"/>
      <c r="AE1596" s="269"/>
      <c r="AF1596" s="269"/>
      <c r="AG1596" s="269"/>
      <c r="AH1596" s="269"/>
      <c r="AI1596" s="269"/>
      <c r="AJ1596" s="269"/>
      <c r="AK1596" s="269"/>
      <c r="AL1596" s="269"/>
      <c r="AM1596" s="269"/>
      <c r="AN1596" s="269"/>
      <c r="AO1596" s="269"/>
      <c r="AP1596" s="269"/>
      <c r="AQ1596" s="269"/>
      <c r="AR1596" s="269"/>
    </row>
    <row r="1597">
      <c r="A1597" s="410"/>
      <c r="B1597" s="410"/>
      <c r="C1597" s="410"/>
      <c r="D1597" s="410"/>
      <c r="E1597" s="410"/>
      <c r="F1597" s="410"/>
      <c r="H1597" s="269"/>
      <c r="I1597" s="269"/>
      <c r="J1597" s="269"/>
      <c r="K1597" s="269"/>
      <c r="L1597" s="269"/>
      <c r="M1597" s="269"/>
      <c r="N1597" s="269"/>
      <c r="O1597" s="269"/>
      <c r="P1597" s="269"/>
      <c r="Q1597" s="269"/>
      <c r="R1597" s="269"/>
      <c r="S1597" s="269"/>
      <c r="T1597" s="269"/>
      <c r="U1597" s="269"/>
      <c r="V1597" s="269"/>
      <c r="W1597" s="269"/>
      <c r="X1597" s="269"/>
      <c r="Y1597" s="269"/>
      <c r="Z1597" s="269"/>
      <c r="AA1597" s="269"/>
      <c r="AB1597" s="269"/>
      <c r="AC1597" s="269"/>
      <c r="AD1597" s="269"/>
      <c r="AE1597" s="269"/>
      <c r="AF1597" s="269"/>
      <c r="AG1597" s="269"/>
      <c r="AH1597" s="269"/>
      <c r="AI1597" s="269"/>
      <c r="AJ1597" s="269"/>
      <c r="AK1597" s="269"/>
      <c r="AL1597" s="269"/>
      <c r="AM1597" s="269"/>
      <c r="AN1597" s="269"/>
      <c r="AO1597" s="269"/>
      <c r="AP1597" s="269"/>
      <c r="AQ1597" s="269"/>
      <c r="AR1597" s="269"/>
    </row>
    <row r="1598">
      <c r="A1598" s="410"/>
      <c r="B1598" s="410"/>
      <c r="C1598" s="410"/>
      <c r="D1598" s="410"/>
      <c r="E1598" s="410"/>
      <c r="F1598" s="410"/>
      <c r="H1598" s="269"/>
      <c r="I1598" s="269"/>
      <c r="J1598" s="269"/>
      <c r="K1598" s="269"/>
      <c r="L1598" s="269"/>
      <c r="M1598" s="269"/>
      <c r="N1598" s="269"/>
      <c r="O1598" s="269"/>
      <c r="P1598" s="269"/>
      <c r="Q1598" s="269"/>
      <c r="R1598" s="269"/>
      <c r="S1598" s="269"/>
      <c r="T1598" s="269"/>
      <c r="U1598" s="269"/>
      <c r="V1598" s="269"/>
      <c r="W1598" s="269"/>
      <c r="X1598" s="269"/>
      <c r="Y1598" s="269"/>
      <c r="Z1598" s="269"/>
      <c r="AA1598" s="269"/>
      <c r="AB1598" s="269"/>
      <c r="AC1598" s="269"/>
      <c r="AD1598" s="269"/>
      <c r="AE1598" s="269"/>
      <c r="AF1598" s="269"/>
      <c r="AG1598" s="269"/>
      <c r="AH1598" s="269"/>
      <c r="AI1598" s="269"/>
      <c r="AJ1598" s="269"/>
      <c r="AK1598" s="269"/>
      <c r="AL1598" s="269"/>
      <c r="AM1598" s="269"/>
      <c r="AN1598" s="269"/>
      <c r="AO1598" s="269"/>
      <c r="AP1598" s="269"/>
      <c r="AQ1598" s="269"/>
      <c r="AR1598" s="269"/>
    </row>
    <row r="1599">
      <c r="A1599" s="410"/>
      <c r="B1599" s="410"/>
      <c r="C1599" s="410"/>
      <c r="D1599" s="410"/>
      <c r="E1599" s="410"/>
      <c r="F1599" s="410"/>
      <c r="H1599" s="269"/>
      <c r="I1599" s="269"/>
      <c r="J1599" s="269"/>
      <c r="K1599" s="269"/>
      <c r="L1599" s="269"/>
      <c r="M1599" s="269"/>
      <c r="N1599" s="269"/>
      <c r="O1599" s="269"/>
      <c r="P1599" s="269"/>
      <c r="Q1599" s="269"/>
      <c r="R1599" s="269"/>
      <c r="S1599" s="269"/>
      <c r="T1599" s="269"/>
      <c r="U1599" s="269"/>
      <c r="V1599" s="269"/>
      <c r="W1599" s="269"/>
      <c r="X1599" s="269"/>
      <c r="Y1599" s="269"/>
      <c r="Z1599" s="269"/>
      <c r="AA1599" s="269"/>
      <c r="AB1599" s="269"/>
      <c r="AC1599" s="269"/>
      <c r="AD1599" s="269"/>
      <c r="AE1599" s="269"/>
      <c r="AF1599" s="269"/>
      <c r="AG1599" s="269"/>
      <c r="AH1599" s="269"/>
      <c r="AI1599" s="269"/>
      <c r="AJ1599" s="269"/>
      <c r="AK1599" s="269"/>
      <c r="AL1599" s="269"/>
      <c r="AM1599" s="269"/>
      <c r="AN1599" s="269"/>
      <c r="AO1599" s="269"/>
      <c r="AP1599" s="269"/>
      <c r="AQ1599" s="269"/>
      <c r="AR1599" s="269"/>
    </row>
    <row r="1600">
      <c r="A1600" s="410"/>
      <c r="B1600" s="410"/>
      <c r="C1600" s="410"/>
      <c r="D1600" s="410"/>
      <c r="E1600" s="410"/>
      <c r="F1600" s="410"/>
      <c r="H1600" s="269"/>
      <c r="I1600" s="269"/>
      <c r="J1600" s="269"/>
      <c r="K1600" s="269"/>
      <c r="L1600" s="269"/>
      <c r="M1600" s="269"/>
      <c r="N1600" s="269"/>
      <c r="O1600" s="269"/>
      <c r="P1600" s="269"/>
      <c r="Q1600" s="269"/>
      <c r="R1600" s="269"/>
      <c r="S1600" s="269"/>
      <c r="T1600" s="269"/>
      <c r="U1600" s="269"/>
      <c r="V1600" s="269"/>
      <c r="W1600" s="269"/>
      <c r="X1600" s="269"/>
      <c r="Y1600" s="269"/>
      <c r="Z1600" s="269"/>
      <c r="AA1600" s="269"/>
      <c r="AB1600" s="269"/>
      <c r="AC1600" s="269"/>
      <c r="AD1600" s="269"/>
      <c r="AE1600" s="269"/>
      <c r="AF1600" s="269"/>
      <c r="AG1600" s="269"/>
      <c r="AH1600" s="269"/>
      <c r="AI1600" s="269"/>
      <c r="AJ1600" s="269"/>
      <c r="AK1600" s="269"/>
      <c r="AL1600" s="269"/>
      <c r="AM1600" s="269"/>
      <c r="AN1600" s="269"/>
      <c r="AO1600" s="269"/>
      <c r="AP1600" s="269"/>
      <c r="AQ1600" s="269"/>
      <c r="AR1600" s="269"/>
    </row>
    <row r="1601">
      <c r="A1601" s="410"/>
      <c r="B1601" s="410"/>
      <c r="C1601" s="410"/>
      <c r="D1601" s="410"/>
      <c r="E1601" s="410"/>
      <c r="F1601" s="410"/>
      <c r="H1601" s="269"/>
      <c r="I1601" s="269"/>
      <c r="J1601" s="269"/>
      <c r="K1601" s="269"/>
      <c r="L1601" s="269"/>
      <c r="M1601" s="269"/>
      <c r="N1601" s="269"/>
      <c r="O1601" s="269"/>
      <c r="P1601" s="269"/>
      <c r="Q1601" s="269"/>
      <c r="R1601" s="269"/>
      <c r="S1601" s="269"/>
      <c r="T1601" s="269"/>
      <c r="U1601" s="269"/>
      <c r="V1601" s="269"/>
      <c r="W1601" s="269"/>
      <c r="X1601" s="269"/>
      <c r="Y1601" s="269"/>
      <c r="Z1601" s="269"/>
      <c r="AA1601" s="269"/>
      <c r="AB1601" s="269"/>
      <c r="AC1601" s="269"/>
      <c r="AD1601" s="269"/>
      <c r="AE1601" s="269"/>
      <c r="AF1601" s="269"/>
      <c r="AG1601" s="269"/>
      <c r="AH1601" s="269"/>
      <c r="AI1601" s="269"/>
      <c r="AJ1601" s="269"/>
      <c r="AK1601" s="269"/>
      <c r="AL1601" s="269"/>
      <c r="AM1601" s="269"/>
      <c r="AN1601" s="269"/>
      <c r="AO1601" s="269"/>
      <c r="AP1601" s="269"/>
      <c r="AQ1601" s="269"/>
      <c r="AR1601" s="269"/>
    </row>
    <row r="1602">
      <c r="A1602" s="410"/>
      <c r="B1602" s="410"/>
      <c r="C1602" s="410"/>
      <c r="D1602" s="410"/>
      <c r="E1602" s="410"/>
      <c r="F1602" s="410"/>
      <c r="H1602" s="269"/>
      <c r="I1602" s="269"/>
      <c r="J1602" s="269"/>
      <c r="K1602" s="269"/>
      <c r="L1602" s="269"/>
      <c r="M1602" s="269"/>
      <c r="N1602" s="269"/>
      <c r="O1602" s="269"/>
      <c r="P1602" s="269"/>
      <c r="Q1602" s="269"/>
      <c r="R1602" s="269"/>
      <c r="S1602" s="269"/>
      <c r="T1602" s="269"/>
      <c r="U1602" s="269"/>
      <c r="V1602" s="269"/>
      <c r="W1602" s="269"/>
      <c r="X1602" s="269"/>
      <c r="Y1602" s="269"/>
      <c r="Z1602" s="269"/>
      <c r="AA1602" s="269"/>
      <c r="AB1602" s="269"/>
      <c r="AC1602" s="269"/>
      <c r="AD1602" s="269"/>
      <c r="AE1602" s="269"/>
      <c r="AF1602" s="269"/>
      <c r="AG1602" s="269"/>
      <c r="AH1602" s="269"/>
      <c r="AI1602" s="269"/>
      <c r="AJ1602" s="269"/>
      <c r="AK1602" s="269"/>
      <c r="AL1602" s="269"/>
      <c r="AM1602" s="269"/>
      <c r="AN1602" s="269"/>
      <c r="AO1602" s="269"/>
      <c r="AP1602" s="269"/>
      <c r="AQ1602" s="269"/>
      <c r="AR1602" s="269"/>
    </row>
    <row r="1603">
      <c r="A1603" s="410"/>
      <c r="B1603" s="410"/>
      <c r="C1603" s="410"/>
      <c r="D1603" s="410"/>
      <c r="E1603" s="410"/>
      <c r="F1603" s="410"/>
      <c r="H1603" s="269"/>
      <c r="I1603" s="269"/>
      <c r="J1603" s="269"/>
      <c r="K1603" s="269"/>
      <c r="L1603" s="269"/>
      <c r="M1603" s="269"/>
      <c r="N1603" s="269"/>
      <c r="O1603" s="269"/>
      <c r="P1603" s="269"/>
      <c r="Q1603" s="269"/>
      <c r="R1603" s="269"/>
      <c r="S1603" s="269"/>
      <c r="T1603" s="269"/>
      <c r="U1603" s="269"/>
      <c r="V1603" s="269"/>
      <c r="W1603" s="269"/>
      <c r="X1603" s="269"/>
      <c r="Y1603" s="269"/>
      <c r="Z1603" s="269"/>
      <c r="AA1603" s="269"/>
      <c r="AB1603" s="269"/>
      <c r="AC1603" s="269"/>
      <c r="AD1603" s="269"/>
      <c r="AE1603" s="269"/>
      <c r="AF1603" s="269"/>
      <c r="AG1603" s="269"/>
      <c r="AH1603" s="269"/>
      <c r="AI1603" s="269"/>
      <c r="AJ1603" s="269"/>
      <c r="AK1603" s="269"/>
      <c r="AL1603" s="269"/>
      <c r="AM1603" s="269"/>
      <c r="AN1603" s="269"/>
      <c r="AO1603" s="269"/>
      <c r="AP1603" s="269"/>
      <c r="AQ1603" s="269"/>
      <c r="AR1603" s="269"/>
    </row>
    <row r="1604">
      <c r="A1604" s="410"/>
      <c r="B1604" s="410"/>
      <c r="C1604" s="410"/>
      <c r="D1604" s="410"/>
      <c r="E1604" s="410"/>
      <c r="F1604" s="410"/>
      <c r="H1604" s="269"/>
      <c r="I1604" s="269"/>
      <c r="J1604" s="269"/>
      <c r="K1604" s="269"/>
      <c r="L1604" s="269"/>
      <c r="M1604" s="269"/>
      <c r="N1604" s="269"/>
      <c r="O1604" s="269"/>
      <c r="P1604" s="269"/>
      <c r="Q1604" s="269"/>
      <c r="R1604" s="269"/>
      <c r="S1604" s="269"/>
      <c r="T1604" s="269"/>
      <c r="U1604" s="269"/>
      <c r="V1604" s="269"/>
      <c r="W1604" s="269"/>
      <c r="X1604" s="269"/>
      <c r="Y1604" s="269"/>
      <c r="Z1604" s="269"/>
      <c r="AA1604" s="269"/>
      <c r="AB1604" s="269"/>
      <c r="AC1604" s="269"/>
      <c r="AD1604" s="269"/>
      <c r="AE1604" s="269"/>
      <c r="AF1604" s="269"/>
      <c r="AG1604" s="269"/>
      <c r="AH1604" s="269"/>
      <c r="AI1604" s="269"/>
      <c r="AJ1604" s="269"/>
      <c r="AK1604" s="269"/>
      <c r="AL1604" s="269"/>
      <c r="AM1604" s="269"/>
      <c r="AN1604" s="269"/>
      <c r="AO1604" s="269"/>
      <c r="AP1604" s="269"/>
      <c r="AQ1604" s="269"/>
      <c r="AR1604" s="269"/>
    </row>
    <row r="1605">
      <c r="A1605" s="410"/>
      <c r="B1605" s="410"/>
      <c r="C1605" s="410"/>
      <c r="D1605" s="410"/>
      <c r="E1605" s="410"/>
      <c r="F1605" s="410"/>
      <c r="H1605" s="269"/>
      <c r="I1605" s="269"/>
      <c r="J1605" s="269"/>
      <c r="K1605" s="269"/>
      <c r="L1605" s="269"/>
      <c r="M1605" s="269"/>
      <c r="N1605" s="269"/>
      <c r="O1605" s="269"/>
      <c r="P1605" s="269"/>
      <c r="Q1605" s="269"/>
      <c r="R1605" s="269"/>
      <c r="S1605" s="269"/>
      <c r="T1605" s="269"/>
      <c r="U1605" s="269"/>
      <c r="V1605" s="269"/>
      <c r="W1605" s="269"/>
      <c r="X1605" s="269"/>
      <c r="Y1605" s="269"/>
      <c r="Z1605" s="269"/>
      <c r="AA1605" s="269"/>
      <c r="AB1605" s="269"/>
      <c r="AC1605" s="269"/>
      <c r="AD1605" s="269"/>
      <c r="AE1605" s="269"/>
      <c r="AF1605" s="269"/>
      <c r="AG1605" s="269"/>
      <c r="AH1605" s="269"/>
      <c r="AI1605" s="269"/>
      <c r="AJ1605" s="269"/>
      <c r="AK1605" s="269"/>
      <c r="AL1605" s="269"/>
      <c r="AM1605" s="269"/>
      <c r="AN1605" s="269"/>
      <c r="AO1605" s="269"/>
      <c r="AP1605" s="269"/>
      <c r="AQ1605" s="269"/>
      <c r="AR1605" s="269"/>
    </row>
    <row r="1606">
      <c r="A1606" s="410"/>
      <c r="B1606" s="410"/>
      <c r="C1606" s="410"/>
      <c r="D1606" s="410"/>
      <c r="E1606" s="410"/>
      <c r="F1606" s="410"/>
      <c r="H1606" s="269"/>
      <c r="I1606" s="269"/>
      <c r="J1606" s="269"/>
      <c r="K1606" s="269"/>
      <c r="L1606" s="269"/>
      <c r="M1606" s="269"/>
      <c r="N1606" s="269"/>
      <c r="O1606" s="269"/>
      <c r="P1606" s="269"/>
      <c r="Q1606" s="269"/>
      <c r="R1606" s="269"/>
      <c r="S1606" s="269"/>
      <c r="T1606" s="269"/>
      <c r="U1606" s="269"/>
      <c r="V1606" s="269"/>
      <c r="W1606" s="269"/>
      <c r="X1606" s="269"/>
      <c r="Y1606" s="269"/>
      <c r="Z1606" s="269"/>
      <c r="AA1606" s="269"/>
      <c r="AB1606" s="269"/>
      <c r="AC1606" s="269"/>
      <c r="AD1606" s="269"/>
      <c r="AE1606" s="269"/>
      <c r="AF1606" s="269"/>
      <c r="AG1606" s="269"/>
      <c r="AH1606" s="269"/>
      <c r="AI1606" s="269"/>
      <c r="AJ1606" s="269"/>
      <c r="AK1606" s="269"/>
      <c r="AL1606" s="269"/>
      <c r="AM1606" s="269"/>
      <c r="AN1606" s="269"/>
      <c r="AO1606" s="269"/>
      <c r="AP1606" s="269"/>
      <c r="AQ1606" s="269"/>
      <c r="AR1606" s="269"/>
    </row>
    <row r="1607">
      <c r="A1607" s="410"/>
      <c r="B1607" s="410"/>
      <c r="C1607" s="410"/>
      <c r="D1607" s="410"/>
      <c r="E1607" s="410"/>
      <c r="F1607" s="410"/>
      <c r="H1607" s="269"/>
      <c r="I1607" s="269"/>
      <c r="J1607" s="269"/>
      <c r="K1607" s="269"/>
      <c r="L1607" s="269"/>
      <c r="M1607" s="269"/>
      <c r="N1607" s="269"/>
      <c r="O1607" s="269"/>
      <c r="P1607" s="269"/>
      <c r="Q1607" s="269"/>
      <c r="R1607" s="269"/>
      <c r="S1607" s="269"/>
      <c r="T1607" s="269"/>
      <c r="U1607" s="269"/>
      <c r="V1607" s="269"/>
      <c r="W1607" s="269"/>
      <c r="X1607" s="269"/>
      <c r="Y1607" s="269"/>
      <c r="Z1607" s="269"/>
      <c r="AA1607" s="269"/>
      <c r="AB1607" s="269"/>
      <c r="AC1607" s="269"/>
      <c r="AD1607" s="269"/>
      <c r="AE1607" s="269"/>
      <c r="AF1607" s="269"/>
      <c r="AG1607" s="269"/>
      <c r="AH1607" s="269"/>
      <c r="AI1607" s="269"/>
      <c r="AJ1607" s="269"/>
      <c r="AK1607" s="269"/>
      <c r="AL1607" s="269"/>
      <c r="AM1607" s="269"/>
      <c r="AN1607" s="269"/>
      <c r="AO1607" s="269"/>
      <c r="AP1607" s="269"/>
      <c r="AQ1607" s="269"/>
      <c r="AR1607" s="269"/>
    </row>
    <row r="1608">
      <c r="A1608" s="410"/>
      <c r="B1608" s="410"/>
      <c r="C1608" s="410"/>
      <c r="D1608" s="410"/>
      <c r="E1608" s="410"/>
      <c r="F1608" s="410"/>
      <c r="H1608" s="269"/>
      <c r="I1608" s="269"/>
      <c r="J1608" s="269"/>
      <c r="K1608" s="269"/>
      <c r="L1608" s="269"/>
      <c r="M1608" s="269"/>
      <c r="N1608" s="269"/>
      <c r="O1608" s="269"/>
      <c r="P1608" s="269"/>
      <c r="Q1608" s="269"/>
      <c r="R1608" s="269"/>
      <c r="S1608" s="269"/>
      <c r="T1608" s="269"/>
      <c r="U1608" s="269"/>
      <c r="V1608" s="269"/>
      <c r="W1608" s="269"/>
      <c r="X1608" s="269"/>
      <c r="Y1608" s="269"/>
      <c r="Z1608" s="269"/>
      <c r="AA1608" s="269"/>
      <c r="AB1608" s="269"/>
      <c r="AC1608" s="269"/>
      <c r="AD1608" s="269"/>
      <c r="AE1608" s="269"/>
      <c r="AF1608" s="269"/>
      <c r="AG1608" s="269"/>
      <c r="AH1608" s="269"/>
      <c r="AI1608" s="269"/>
      <c r="AJ1608" s="269"/>
      <c r="AK1608" s="269"/>
      <c r="AL1608" s="269"/>
      <c r="AM1608" s="269"/>
      <c r="AN1608" s="269"/>
      <c r="AO1608" s="269"/>
      <c r="AP1608" s="269"/>
      <c r="AQ1608" s="269"/>
      <c r="AR1608" s="269"/>
    </row>
    <row r="1609">
      <c r="A1609" s="410"/>
      <c r="B1609" s="410"/>
      <c r="C1609" s="410"/>
      <c r="D1609" s="410"/>
      <c r="E1609" s="410"/>
      <c r="F1609" s="410"/>
      <c r="H1609" s="269"/>
      <c r="I1609" s="269"/>
      <c r="J1609" s="269"/>
      <c r="K1609" s="269"/>
      <c r="L1609" s="269"/>
      <c r="M1609" s="269"/>
      <c r="N1609" s="269"/>
      <c r="O1609" s="269"/>
      <c r="P1609" s="269"/>
      <c r="Q1609" s="269"/>
      <c r="R1609" s="269"/>
      <c r="S1609" s="269"/>
      <c r="T1609" s="269"/>
      <c r="U1609" s="269"/>
      <c r="V1609" s="269"/>
      <c r="W1609" s="269"/>
      <c r="X1609" s="269"/>
      <c r="Y1609" s="269"/>
      <c r="Z1609" s="269"/>
      <c r="AA1609" s="269"/>
      <c r="AB1609" s="269"/>
      <c r="AC1609" s="269"/>
      <c r="AD1609" s="269"/>
      <c r="AE1609" s="269"/>
      <c r="AF1609" s="269"/>
      <c r="AG1609" s="269"/>
      <c r="AH1609" s="269"/>
      <c r="AI1609" s="269"/>
      <c r="AJ1609" s="269"/>
      <c r="AK1609" s="269"/>
      <c r="AL1609" s="269"/>
      <c r="AM1609" s="269"/>
      <c r="AN1609" s="269"/>
      <c r="AO1609" s="269"/>
      <c r="AP1609" s="269"/>
      <c r="AQ1609" s="269"/>
      <c r="AR1609" s="269"/>
    </row>
    <row r="1610">
      <c r="A1610" s="410"/>
      <c r="B1610" s="410"/>
      <c r="C1610" s="410"/>
      <c r="D1610" s="410"/>
      <c r="E1610" s="410"/>
      <c r="F1610" s="410"/>
      <c r="H1610" s="269"/>
      <c r="I1610" s="269"/>
      <c r="J1610" s="269"/>
      <c r="K1610" s="269"/>
      <c r="L1610" s="269"/>
      <c r="M1610" s="269"/>
      <c r="N1610" s="269"/>
      <c r="O1610" s="269"/>
      <c r="P1610" s="269"/>
      <c r="Q1610" s="269"/>
      <c r="R1610" s="269"/>
      <c r="S1610" s="269"/>
      <c r="T1610" s="269"/>
      <c r="U1610" s="269"/>
      <c r="V1610" s="269"/>
      <c r="W1610" s="269"/>
      <c r="X1610" s="269"/>
      <c r="Y1610" s="269"/>
      <c r="Z1610" s="269"/>
      <c r="AA1610" s="269"/>
      <c r="AB1610" s="269"/>
      <c r="AC1610" s="269"/>
      <c r="AD1610" s="269"/>
      <c r="AE1610" s="269"/>
      <c r="AF1610" s="269"/>
      <c r="AG1610" s="269"/>
      <c r="AH1610" s="269"/>
      <c r="AI1610" s="269"/>
      <c r="AJ1610" s="269"/>
      <c r="AK1610" s="269"/>
      <c r="AL1610" s="269"/>
      <c r="AM1610" s="269"/>
      <c r="AN1610" s="269"/>
      <c r="AO1610" s="269"/>
      <c r="AP1610" s="269"/>
      <c r="AQ1610" s="269"/>
      <c r="AR1610" s="269"/>
    </row>
    <row r="1611">
      <c r="A1611" s="410"/>
      <c r="B1611" s="410"/>
      <c r="C1611" s="410"/>
      <c r="D1611" s="410"/>
      <c r="E1611" s="410"/>
      <c r="F1611" s="410"/>
      <c r="H1611" s="269"/>
      <c r="I1611" s="269"/>
      <c r="J1611" s="269"/>
      <c r="K1611" s="269"/>
      <c r="L1611" s="269"/>
      <c r="M1611" s="269"/>
      <c r="N1611" s="269"/>
      <c r="O1611" s="269"/>
      <c r="P1611" s="269"/>
      <c r="Q1611" s="269"/>
      <c r="R1611" s="269"/>
      <c r="S1611" s="269"/>
      <c r="T1611" s="269"/>
      <c r="U1611" s="269"/>
      <c r="V1611" s="269"/>
      <c r="W1611" s="269"/>
      <c r="X1611" s="269"/>
      <c r="Y1611" s="269"/>
      <c r="Z1611" s="269"/>
      <c r="AA1611" s="269"/>
      <c r="AB1611" s="269"/>
      <c r="AC1611" s="269"/>
      <c r="AD1611" s="269"/>
      <c r="AE1611" s="269"/>
      <c r="AF1611" s="269"/>
      <c r="AG1611" s="269"/>
      <c r="AH1611" s="269"/>
      <c r="AI1611" s="269"/>
      <c r="AJ1611" s="269"/>
      <c r="AK1611" s="269"/>
      <c r="AL1611" s="269"/>
      <c r="AM1611" s="269"/>
      <c r="AN1611" s="269"/>
      <c r="AO1611" s="269"/>
      <c r="AP1611" s="269"/>
      <c r="AQ1611" s="269"/>
      <c r="AR1611" s="269"/>
    </row>
    <row r="1612">
      <c r="A1612" s="410"/>
      <c r="B1612" s="410"/>
      <c r="C1612" s="410"/>
      <c r="D1612" s="410"/>
      <c r="E1612" s="410"/>
      <c r="F1612" s="410"/>
      <c r="H1612" s="269"/>
      <c r="I1612" s="269"/>
      <c r="J1612" s="269"/>
      <c r="K1612" s="269"/>
      <c r="L1612" s="269"/>
      <c r="M1612" s="269"/>
      <c r="N1612" s="269"/>
      <c r="O1612" s="269"/>
      <c r="P1612" s="269"/>
      <c r="Q1612" s="269"/>
      <c r="R1612" s="269"/>
      <c r="S1612" s="269"/>
      <c r="T1612" s="269"/>
      <c r="U1612" s="269"/>
      <c r="V1612" s="269"/>
      <c r="W1612" s="269"/>
      <c r="X1612" s="269"/>
      <c r="Y1612" s="269"/>
      <c r="Z1612" s="269"/>
      <c r="AA1612" s="269"/>
      <c r="AB1612" s="269"/>
      <c r="AC1612" s="269"/>
      <c r="AD1612" s="269"/>
      <c r="AE1612" s="269"/>
      <c r="AF1612" s="269"/>
      <c r="AG1612" s="269"/>
      <c r="AH1612" s="269"/>
      <c r="AI1612" s="269"/>
      <c r="AJ1612" s="269"/>
      <c r="AK1612" s="269"/>
      <c r="AL1612" s="269"/>
      <c r="AM1612" s="269"/>
      <c r="AN1612" s="269"/>
      <c r="AO1612" s="269"/>
      <c r="AP1612" s="269"/>
      <c r="AQ1612" s="269"/>
      <c r="AR1612" s="269"/>
    </row>
    <row r="1613">
      <c r="A1613" s="410"/>
      <c r="B1613" s="410"/>
      <c r="C1613" s="410"/>
      <c r="D1613" s="410"/>
      <c r="E1613" s="410"/>
      <c r="F1613" s="410"/>
      <c r="H1613" s="269"/>
      <c r="I1613" s="269"/>
      <c r="J1613" s="269"/>
      <c r="K1613" s="269"/>
      <c r="L1613" s="269"/>
      <c r="M1613" s="269"/>
      <c r="N1613" s="269"/>
      <c r="O1613" s="269"/>
      <c r="P1613" s="269"/>
      <c r="Q1613" s="269"/>
      <c r="R1613" s="269"/>
      <c r="S1613" s="269"/>
      <c r="T1613" s="269"/>
      <c r="U1613" s="269"/>
      <c r="V1613" s="269"/>
      <c r="W1613" s="269"/>
      <c r="X1613" s="269"/>
      <c r="Y1613" s="269"/>
      <c r="Z1613" s="269"/>
      <c r="AA1613" s="269"/>
      <c r="AB1613" s="269"/>
      <c r="AC1613" s="269"/>
      <c r="AD1613" s="269"/>
      <c r="AE1613" s="269"/>
      <c r="AF1613" s="269"/>
      <c r="AG1613" s="269"/>
      <c r="AH1613" s="269"/>
      <c r="AI1613" s="269"/>
      <c r="AJ1613" s="269"/>
      <c r="AK1613" s="269"/>
      <c r="AL1613" s="269"/>
      <c r="AM1613" s="269"/>
      <c r="AN1613" s="269"/>
      <c r="AO1613" s="269"/>
      <c r="AP1613" s="269"/>
      <c r="AQ1613" s="269"/>
      <c r="AR1613" s="269"/>
    </row>
    <row r="1614">
      <c r="A1614" s="410"/>
      <c r="B1614" s="410"/>
      <c r="C1614" s="410"/>
      <c r="D1614" s="410"/>
      <c r="E1614" s="410"/>
      <c r="F1614" s="410"/>
      <c r="H1614" s="269"/>
      <c r="I1614" s="269"/>
      <c r="J1614" s="269"/>
      <c r="K1614" s="269"/>
      <c r="L1614" s="269"/>
      <c r="M1614" s="269"/>
      <c r="N1614" s="269"/>
      <c r="O1614" s="269"/>
      <c r="P1614" s="269"/>
      <c r="Q1614" s="269"/>
      <c r="R1614" s="269"/>
      <c r="S1614" s="269"/>
      <c r="T1614" s="269"/>
      <c r="U1614" s="269"/>
      <c r="V1614" s="269"/>
      <c r="W1614" s="269"/>
      <c r="X1614" s="269"/>
      <c r="Y1614" s="269"/>
      <c r="Z1614" s="269"/>
      <c r="AA1614" s="269"/>
      <c r="AB1614" s="269"/>
      <c r="AC1614" s="269"/>
      <c r="AD1614" s="269"/>
      <c r="AE1614" s="269"/>
      <c r="AF1614" s="269"/>
      <c r="AG1614" s="269"/>
      <c r="AH1614" s="269"/>
      <c r="AI1614" s="269"/>
      <c r="AJ1614" s="269"/>
      <c r="AK1614" s="269"/>
      <c r="AL1614" s="269"/>
      <c r="AM1614" s="269"/>
      <c r="AN1614" s="269"/>
      <c r="AO1614" s="269"/>
      <c r="AP1614" s="269"/>
      <c r="AQ1614" s="269"/>
      <c r="AR1614" s="269"/>
    </row>
    <row r="1615">
      <c r="A1615" s="410"/>
      <c r="B1615" s="410"/>
      <c r="C1615" s="410"/>
      <c r="D1615" s="410"/>
      <c r="E1615" s="410"/>
      <c r="F1615" s="410"/>
      <c r="H1615" s="269"/>
      <c r="I1615" s="269"/>
      <c r="J1615" s="269"/>
      <c r="K1615" s="269"/>
      <c r="L1615" s="269"/>
      <c r="M1615" s="269"/>
      <c r="N1615" s="269"/>
      <c r="O1615" s="269"/>
      <c r="P1615" s="269"/>
      <c r="Q1615" s="269"/>
      <c r="R1615" s="269"/>
      <c r="S1615" s="269"/>
      <c r="T1615" s="269"/>
      <c r="U1615" s="269"/>
      <c r="V1615" s="269"/>
      <c r="W1615" s="269"/>
      <c r="X1615" s="269"/>
      <c r="Y1615" s="269"/>
      <c r="Z1615" s="269"/>
      <c r="AA1615" s="269"/>
      <c r="AB1615" s="269"/>
      <c r="AC1615" s="269"/>
      <c r="AD1615" s="269"/>
      <c r="AE1615" s="269"/>
      <c r="AF1615" s="269"/>
      <c r="AG1615" s="269"/>
      <c r="AH1615" s="269"/>
      <c r="AI1615" s="269"/>
      <c r="AJ1615" s="269"/>
      <c r="AK1615" s="269"/>
      <c r="AL1615" s="269"/>
      <c r="AM1615" s="269"/>
      <c r="AN1615" s="269"/>
      <c r="AO1615" s="269"/>
      <c r="AP1615" s="269"/>
      <c r="AQ1615" s="269"/>
      <c r="AR1615" s="269"/>
    </row>
    <row r="1616">
      <c r="A1616" s="410"/>
      <c r="B1616" s="410"/>
      <c r="C1616" s="410"/>
      <c r="D1616" s="410"/>
      <c r="E1616" s="410"/>
      <c r="F1616" s="410"/>
      <c r="H1616" s="269"/>
      <c r="I1616" s="269"/>
      <c r="J1616" s="269"/>
      <c r="K1616" s="269"/>
      <c r="L1616" s="269"/>
      <c r="M1616" s="269"/>
      <c r="N1616" s="269"/>
      <c r="O1616" s="269"/>
      <c r="P1616" s="269"/>
      <c r="Q1616" s="269"/>
      <c r="R1616" s="269"/>
      <c r="S1616" s="269"/>
      <c r="T1616" s="269"/>
      <c r="U1616" s="269"/>
      <c r="V1616" s="269"/>
      <c r="W1616" s="269"/>
      <c r="X1616" s="269"/>
      <c r="Y1616" s="269"/>
      <c r="Z1616" s="269"/>
      <c r="AA1616" s="269"/>
      <c r="AB1616" s="269"/>
      <c r="AC1616" s="269"/>
      <c r="AD1616" s="269"/>
      <c r="AE1616" s="269"/>
      <c r="AF1616" s="269"/>
      <c r="AG1616" s="269"/>
      <c r="AH1616" s="269"/>
      <c r="AI1616" s="269"/>
      <c r="AJ1616" s="269"/>
      <c r="AK1616" s="269"/>
      <c r="AL1616" s="269"/>
      <c r="AM1616" s="269"/>
      <c r="AN1616" s="269"/>
      <c r="AO1616" s="269"/>
      <c r="AP1616" s="269"/>
      <c r="AQ1616" s="269"/>
      <c r="AR1616" s="269"/>
    </row>
    <row r="1617">
      <c r="A1617" s="410"/>
      <c r="B1617" s="410"/>
      <c r="C1617" s="410"/>
      <c r="D1617" s="410"/>
      <c r="E1617" s="410"/>
      <c r="F1617" s="410"/>
      <c r="H1617" s="269"/>
      <c r="I1617" s="269"/>
      <c r="J1617" s="269"/>
      <c r="K1617" s="269"/>
      <c r="L1617" s="269"/>
      <c r="M1617" s="269"/>
      <c r="N1617" s="269"/>
      <c r="O1617" s="269"/>
      <c r="P1617" s="269"/>
      <c r="Q1617" s="269"/>
      <c r="R1617" s="269"/>
      <c r="S1617" s="269"/>
      <c r="T1617" s="269"/>
      <c r="U1617" s="269"/>
      <c r="V1617" s="269"/>
      <c r="W1617" s="269"/>
      <c r="X1617" s="269"/>
      <c r="Y1617" s="269"/>
      <c r="Z1617" s="269"/>
      <c r="AA1617" s="269"/>
      <c r="AB1617" s="269"/>
      <c r="AC1617" s="269"/>
      <c r="AD1617" s="269"/>
      <c r="AE1617" s="269"/>
      <c r="AF1617" s="269"/>
      <c r="AG1617" s="269"/>
      <c r="AH1617" s="269"/>
      <c r="AI1617" s="269"/>
      <c r="AJ1617" s="269"/>
      <c r="AK1617" s="269"/>
      <c r="AL1617" s="269"/>
      <c r="AM1617" s="269"/>
      <c r="AN1617" s="269"/>
      <c r="AO1617" s="269"/>
      <c r="AP1617" s="269"/>
      <c r="AQ1617" s="269"/>
      <c r="AR1617" s="269"/>
    </row>
    <row r="1618">
      <c r="A1618" s="410"/>
      <c r="B1618" s="410"/>
      <c r="C1618" s="410"/>
      <c r="D1618" s="410"/>
      <c r="E1618" s="410"/>
      <c r="F1618" s="410"/>
      <c r="H1618" s="269"/>
      <c r="I1618" s="269"/>
      <c r="J1618" s="269"/>
      <c r="K1618" s="269"/>
      <c r="L1618" s="269"/>
      <c r="M1618" s="269"/>
      <c r="N1618" s="269"/>
      <c r="O1618" s="269"/>
      <c r="P1618" s="269"/>
      <c r="Q1618" s="269"/>
      <c r="R1618" s="269"/>
      <c r="S1618" s="269"/>
      <c r="T1618" s="269"/>
      <c r="U1618" s="269"/>
      <c r="V1618" s="269"/>
      <c r="W1618" s="269"/>
      <c r="X1618" s="269"/>
      <c r="Y1618" s="269"/>
      <c r="Z1618" s="269"/>
      <c r="AA1618" s="269"/>
      <c r="AB1618" s="269"/>
      <c r="AC1618" s="269"/>
      <c r="AD1618" s="269"/>
      <c r="AE1618" s="269"/>
      <c r="AF1618" s="269"/>
      <c r="AG1618" s="269"/>
      <c r="AH1618" s="269"/>
      <c r="AI1618" s="269"/>
      <c r="AJ1618" s="269"/>
      <c r="AK1618" s="269"/>
      <c r="AL1618" s="269"/>
      <c r="AM1618" s="269"/>
      <c r="AN1618" s="269"/>
      <c r="AO1618" s="269"/>
      <c r="AP1618" s="269"/>
      <c r="AQ1618" s="269"/>
      <c r="AR1618" s="269"/>
    </row>
    <row r="1619">
      <c r="A1619" s="410"/>
      <c r="B1619" s="410"/>
      <c r="C1619" s="410"/>
      <c r="D1619" s="410"/>
      <c r="E1619" s="410"/>
      <c r="F1619" s="410"/>
      <c r="H1619" s="269"/>
      <c r="I1619" s="269"/>
      <c r="J1619" s="269"/>
      <c r="K1619" s="269"/>
      <c r="L1619" s="269"/>
      <c r="M1619" s="269"/>
      <c r="N1619" s="269"/>
      <c r="O1619" s="269"/>
      <c r="P1619" s="269"/>
      <c r="Q1619" s="269"/>
      <c r="R1619" s="269"/>
      <c r="S1619" s="269"/>
      <c r="T1619" s="269"/>
      <c r="U1619" s="269"/>
      <c r="V1619" s="269"/>
      <c r="W1619" s="269"/>
      <c r="X1619" s="269"/>
      <c r="Y1619" s="269"/>
      <c r="Z1619" s="269"/>
      <c r="AA1619" s="269"/>
      <c r="AB1619" s="269"/>
      <c r="AC1619" s="269"/>
      <c r="AD1619" s="269"/>
      <c r="AE1619" s="269"/>
      <c r="AF1619" s="269"/>
      <c r="AG1619" s="269"/>
      <c r="AH1619" s="269"/>
      <c r="AI1619" s="269"/>
      <c r="AJ1619" s="269"/>
      <c r="AK1619" s="269"/>
      <c r="AL1619" s="269"/>
      <c r="AM1619" s="269"/>
      <c r="AN1619" s="269"/>
      <c r="AO1619" s="269"/>
      <c r="AP1619" s="269"/>
      <c r="AQ1619" s="269"/>
      <c r="AR1619" s="269"/>
    </row>
    <row r="1620">
      <c r="A1620" s="410"/>
      <c r="B1620" s="410"/>
      <c r="C1620" s="410"/>
      <c r="D1620" s="410"/>
      <c r="E1620" s="410"/>
      <c r="F1620" s="410"/>
      <c r="H1620" s="269"/>
      <c r="I1620" s="269"/>
      <c r="J1620" s="269"/>
      <c r="K1620" s="269"/>
      <c r="L1620" s="269"/>
      <c r="M1620" s="269"/>
      <c r="N1620" s="269"/>
      <c r="O1620" s="269"/>
      <c r="P1620" s="269"/>
      <c r="Q1620" s="269"/>
      <c r="R1620" s="269"/>
      <c r="S1620" s="269"/>
      <c r="T1620" s="269"/>
      <c r="U1620" s="269"/>
      <c r="V1620" s="269"/>
      <c r="W1620" s="269"/>
      <c r="X1620" s="269"/>
      <c r="Y1620" s="269"/>
      <c r="Z1620" s="269"/>
      <c r="AA1620" s="269"/>
      <c r="AB1620" s="269"/>
      <c r="AC1620" s="269"/>
      <c r="AD1620" s="269"/>
      <c r="AE1620" s="269"/>
      <c r="AF1620" s="269"/>
      <c r="AG1620" s="269"/>
      <c r="AH1620" s="269"/>
      <c r="AI1620" s="269"/>
      <c r="AJ1620" s="269"/>
      <c r="AK1620" s="269"/>
      <c r="AL1620" s="269"/>
      <c r="AM1620" s="269"/>
      <c r="AN1620" s="269"/>
      <c r="AO1620" s="269"/>
      <c r="AP1620" s="269"/>
      <c r="AQ1620" s="269"/>
      <c r="AR1620" s="269"/>
    </row>
    <row r="1621">
      <c r="A1621" s="410"/>
      <c r="B1621" s="410"/>
      <c r="C1621" s="410"/>
      <c r="D1621" s="410"/>
      <c r="E1621" s="410"/>
      <c r="F1621" s="410"/>
      <c r="H1621" s="269"/>
      <c r="I1621" s="269"/>
      <c r="J1621" s="269"/>
      <c r="K1621" s="269"/>
      <c r="L1621" s="269"/>
      <c r="M1621" s="269"/>
      <c r="N1621" s="269"/>
      <c r="O1621" s="269"/>
      <c r="P1621" s="269"/>
      <c r="Q1621" s="269"/>
      <c r="R1621" s="269"/>
      <c r="S1621" s="269"/>
      <c r="T1621" s="269"/>
      <c r="U1621" s="269"/>
      <c r="V1621" s="269"/>
      <c r="W1621" s="269"/>
      <c r="X1621" s="269"/>
      <c r="Y1621" s="269"/>
      <c r="Z1621" s="269"/>
      <c r="AA1621" s="269"/>
      <c r="AB1621" s="269"/>
      <c r="AC1621" s="269"/>
      <c r="AD1621" s="269"/>
      <c r="AE1621" s="269"/>
      <c r="AF1621" s="269"/>
      <c r="AG1621" s="269"/>
      <c r="AH1621" s="269"/>
      <c r="AI1621" s="269"/>
      <c r="AJ1621" s="269"/>
      <c r="AK1621" s="269"/>
      <c r="AL1621" s="269"/>
      <c r="AM1621" s="269"/>
      <c r="AN1621" s="269"/>
      <c r="AO1621" s="269"/>
      <c r="AP1621" s="269"/>
      <c r="AQ1621" s="269"/>
      <c r="AR1621" s="269"/>
    </row>
    <row r="1622">
      <c r="A1622" s="410"/>
      <c r="B1622" s="410"/>
      <c r="C1622" s="410"/>
      <c r="D1622" s="410"/>
      <c r="E1622" s="410"/>
      <c r="F1622" s="410"/>
      <c r="H1622" s="269"/>
      <c r="I1622" s="269"/>
      <c r="J1622" s="269"/>
      <c r="K1622" s="269"/>
      <c r="L1622" s="269"/>
      <c r="M1622" s="269"/>
      <c r="N1622" s="269"/>
      <c r="O1622" s="269"/>
      <c r="P1622" s="269"/>
      <c r="Q1622" s="269"/>
      <c r="R1622" s="269"/>
      <c r="S1622" s="269"/>
      <c r="T1622" s="269"/>
      <c r="U1622" s="269"/>
      <c r="V1622" s="269"/>
      <c r="W1622" s="269"/>
      <c r="X1622" s="269"/>
      <c r="Y1622" s="269"/>
      <c r="Z1622" s="269"/>
      <c r="AA1622" s="269"/>
      <c r="AB1622" s="269"/>
      <c r="AC1622" s="269"/>
      <c r="AD1622" s="269"/>
      <c r="AE1622" s="269"/>
      <c r="AF1622" s="269"/>
      <c r="AG1622" s="269"/>
      <c r="AH1622" s="269"/>
      <c r="AI1622" s="269"/>
      <c r="AJ1622" s="269"/>
      <c r="AK1622" s="269"/>
      <c r="AL1622" s="269"/>
      <c r="AM1622" s="269"/>
      <c r="AN1622" s="269"/>
      <c r="AO1622" s="269"/>
      <c r="AP1622" s="269"/>
      <c r="AQ1622" s="269"/>
      <c r="AR1622" s="269"/>
    </row>
    <row r="1623">
      <c r="A1623" s="410"/>
      <c r="B1623" s="410"/>
      <c r="C1623" s="410"/>
      <c r="D1623" s="410"/>
      <c r="E1623" s="410"/>
      <c r="F1623" s="410"/>
      <c r="H1623" s="269"/>
      <c r="I1623" s="269"/>
      <c r="J1623" s="269"/>
      <c r="K1623" s="269"/>
      <c r="L1623" s="269"/>
      <c r="M1623" s="269"/>
      <c r="N1623" s="269"/>
      <c r="O1623" s="269"/>
      <c r="P1623" s="269"/>
      <c r="Q1623" s="269"/>
      <c r="R1623" s="269"/>
      <c r="S1623" s="269"/>
      <c r="T1623" s="269"/>
      <c r="U1623" s="269"/>
      <c r="V1623" s="269"/>
      <c r="W1623" s="269"/>
      <c r="X1623" s="269"/>
      <c r="Y1623" s="269"/>
      <c r="Z1623" s="269"/>
      <c r="AA1623" s="269"/>
      <c r="AB1623" s="269"/>
      <c r="AC1623" s="269"/>
      <c r="AD1623" s="269"/>
      <c r="AE1623" s="269"/>
      <c r="AF1623" s="269"/>
      <c r="AG1623" s="269"/>
      <c r="AH1623" s="269"/>
      <c r="AI1623" s="269"/>
      <c r="AJ1623" s="269"/>
      <c r="AK1623" s="269"/>
      <c r="AL1623" s="269"/>
      <c r="AM1623" s="269"/>
      <c r="AN1623" s="269"/>
      <c r="AO1623" s="269"/>
      <c r="AP1623" s="269"/>
      <c r="AQ1623" s="269"/>
      <c r="AR1623" s="269"/>
    </row>
    <row r="1624">
      <c r="A1624" s="410"/>
      <c r="B1624" s="410"/>
      <c r="C1624" s="410"/>
      <c r="D1624" s="410"/>
      <c r="E1624" s="410"/>
      <c r="F1624" s="410"/>
      <c r="H1624" s="269"/>
      <c r="I1624" s="269"/>
      <c r="J1624" s="269"/>
      <c r="K1624" s="269"/>
      <c r="L1624" s="269"/>
      <c r="M1624" s="269"/>
      <c r="N1624" s="269"/>
      <c r="O1624" s="269"/>
      <c r="P1624" s="269"/>
      <c r="Q1624" s="269"/>
      <c r="R1624" s="269"/>
      <c r="S1624" s="269"/>
      <c r="T1624" s="269"/>
      <c r="U1624" s="269"/>
      <c r="V1624" s="269"/>
      <c r="W1624" s="269"/>
      <c r="X1624" s="269"/>
      <c r="Y1624" s="269"/>
      <c r="Z1624" s="269"/>
      <c r="AA1624" s="269"/>
      <c r="AB1624" s="269"/>
      <c r="AC1624" s="269"/>
      <c r="AD1624" s="269"/>
      <c r="AE1624" s="269"/>
      <c r="AF1624" s="269"/>
      <c r="AG1624" s="269"/>
      <c r="AH1624" s="269"/>
      <c r="AI1624" s="269"/>
      <c r="AJ1624" s="269"/>
      <c r="AK1624" s="269"/>
      <c r="AL1624" s="269"/>
      <c r="AM1624" s="269"/>
      <c r="AN1624" s="269"/>
      <c r="AO1624" s="269"/>
      <c r="AP1624" s="269"/>
      <c r="AQ1624" s="269"/>
      <c r="AR1624" s="269"/>
    </row>
    <row r="1625">
      <c r="A1625" s="410"/>
      <c r="B1625" s="410"/>
      <c r="C1625" s="410"/>
      <c r="D1625" s="410"/>
      <c r="E1625" s="410"/>
      <c r="F1625" s="410"/>
      <c r="H1625" s="269"/>
      <c r="I1625" s="269"/>
      <c r="J1625" s="269"/>
      <c r="K1625" s="269"/>
      <c r="L1625" s="269"/>
      <c r="M1625" s="269"/>
      <c r="N1625" s="269"/>
      <c r="O1625" s="269"/>
      <c r="P1625" s="269"/>
      <c r="Q1625" s="269"/>
      <c r="R1625" s="269"/>
      <c r="S1625" s="269"/>
      <c r="T1625" s="269"/>
      <c r="U1625" s="269"/>
      <c r="V1625" s="269"/>
      <c r="W1625" s="269"/>
      <c r="X1625" s="269"/>
      <c r="Y1625" s="269"/>
      <c r="Z1625" s="269"/>
      <c r="AA1625" s="269"/>
      <c r="AB1625" s="269"/>
      <c r="AC1625" s="269"/>
      <c r="AD1625" s="269"/>
      <c r="AE1625" s="269"/>
      <c r="AF1625" s="269"/>
      <c r="AG1625" s="269"/>
      <c r="AH1625" s="269"/>
      <c r="AI1625" s="269"/>
      <c r="AJ1625" s="269"/>
      <c r="AK1625" s="269"/>
      <c r="AL1625" s="269"/>
      <c r="AM1625" s="269"/>
      <c r="AN1625" s="269"/>
      <c r="AO1625" s="269"/>
      <c r="AP1625" s="269"/>
      <c r="AQ1625" s="269"/>
      <c r="AR1625" s="269"/>
    </row>
    <row r="1626">
      <c r="A1626" s="410"/>
      <c r="B1626" s="410"/>
      <c r="C1626" s="410"/>
      <c r="D1626" s="410"/>
      <c r="E1626" s="410"/>
      <c r="F1626" s="410"/>
      <c r="H1626" s="269"/>
      <c r="I1626" s="269"/>
      <c r="J1626" s="269"/>
      <c r="K1626" s="269"/>
      <c r="L1626" s="269"/>
      <c r="M1626" s="269"/>
      <c r="N1626" s="269"/>
      <c r="O1626" s="269"/>
      <c r="P1626" s="269"/>
      <c r="Q1626" s="269"/>
      <c r="R1626" s="269"/>
      <c r="S1626" s="269"/>
      <c r="T1626" s="269"/>
      <c r="U1626" s="269"/>
      <c r="V1626" s="269"/>
      <c r="W1626" s="269"/>
      <c r="X1626" s="269"/>
      <c r="Y1626" s="269"/>
      <c r="Z1626" s="269"/>
      <c r="AA1626" s="269"/>
      <c r="AB1626" s="269"/>
      <c r="AC1626" s="269"/>
      <c r="AD1626" s="269"/>
      <c r="AE1626" s="269"/>
      <c r="AF1626" s="269"/>
      <c r="AG1626" s="269"/>
      <c r="AH1626" s="269"/>
      <c r="AI1626" s="269"/>
      <c r="AJ1626" s="269"/>
      <c r="AK1626" s="269"/>
      <c r="AL1626" s="269"/>
      <c r="AM1626" s="269"/>
      <c r="AN1626" s="269"/>
      <c r="AO1626" s="269"/>
      <c r="AP1626" s="269"/>
      <c r="AQ1626" s="269"/>
      <c r="AR1626" s="269"/>
    </row>
    <row r="1627">
      <c r="A1627" s="410"/>
      <c r="B1627" s="410"/>
      <c r="C1627" s="410"/>
      <c r="D1627" s="410"/>
      <c r="E1627" s="410"/>
      <c r="F1627" s="410"/>
      <c r="H1627" s="269"/>
      <c r="I1627" s="269"/>
      <c r="J1627" s="269"/>
      <c r="K1627" s="269"/>
      <c r="L1627" s="269"/>
      <c r="M1627" s="269"/>
      <c r="N1627" s="269"/>
      <c r="O1627" s="269"/>
      <c r="P1627" s="269"/>
      <c r="Q1627" s="269"/>
      <c r="R1627" s="269"/>
      <c r="S1627" s="269"/>
      <c r="T1627" s="269"/>
      <c r="U1627" s="269"/>
      <c r="V1627" s="269"/>
      <c r="W1627" s="269"/>
      <c r="X1627" s="269"/>
      <c r="Y1627" s="269"/>
      <c r="Z1627" s="269"/>
      <c r="AA1627" s="269"/>
      <c r="AB1627" s="269"/>
      <c r="AC1627" s="269"/>
      <c r="AD1627" s="269"/>
      <c r="AE1627" s="269"/>
      <c r="AF1627" s="269"/>
      <c r="AG1627" s="269"/>
      <c r="AH1627" s="269"/>
      <c r="AI1627" s="269"/>
      <c r="AJ1627" s="269"/>
      <c r="AK1627" s="269"/>
      <c r="AL1627" s="269"/>
      <c r="AM1627" s="269"/>
      <c r="AN1627" s="269"/>
      <c r="AO1627" s="269"/>
      <c r="AP1627" s="269"/>
      <c r="AQ1627" s="269"/>
      <c r="AR1627" s="269"/>
    </row>
    <row r="1628">
      <c r="A1628" s="410"/>
      <c r="B1628" s="410"/>
      <c r="C1628" s="410"/>
      <c r="D1628" s="410"/>
      <c r="E1628" s="410"/>
      <c r="F1628" s="410"/>
      <c r="H1628" s="269"/>
      <c r="I1628" s="269"/>
      <c r="J1628" s="269"/>
      <c r="K1628" s="269"/>
      <c r="L1628" s="269"/>
      <c r="M1628" s="269"/>
      <c r="N1628" s="269"/>
      <c r="O1628" s="269"/>
      <c r="P1628" s="269"/>
      <c r="Q1628" s="269"/>
      <c r="R1628" s="269"/>
      <c r="S1628" s="269"/>
      <c r="T1628" s="269"/>
      <c r="U1628" s="269"/>
      <c r="V1628" s="269"/>
      <c r="W1628" s="269"/>
      <c r="X1628" s="269"/>
      <c r="Y1628" s="269"/>
      <c r="Z1628" s="269"/>
      <c r="AA1628" s="269"/>
      <c r="AB1628" s="269"/>
      <c r="AC1628" s="269"/>
      <c r="AD1628" s="269"/>
      <c r="AE1628" s="269"/>
      <c r="AF1628" s="269"/>
      <c r="AG1628" s="269"/>
      <c r="AH1628" s="269"/>
      <c r="AI1628" s="269"/>
      <c r="AJ1628" s="269"/>
      <c r="AK1628" s="269"/>
      <c r="AL1628" s="269"/>
      <c r="AM1628" s="269"/>
      <c r="AN1628" s="269"/>
      <c r="AO1628" s="269"/>
      <c r="AP1628" s="269"/>
      <c r="AQ1628" s="269"/>
      <c r="AR1628" s="269"/>
    </row>
    <row r="1629">
      <c r="A1629" s="410"/>
      <c r="B1629" s="410"/>
      <c r="C1629" s="410"/>
      <c r="D1629" s="410"/>
      <c r="E1629" s="410"/>
      <c r="F1629" s="410"/>
      <c r="H1629" s="269"/>
      <c r="I1629" s="269"/>
      <c r="J1629" s="269"/>
      <c r="K1629" s="269"/>
      <c r="L1629" s="269"/>
      <c r="M1629" s="269"/>
      <c r="N1629" s="269"/>
      <c r="O1629" s="269"/>
      <c r="P1629" s="269"/>
      <c r="Q1629" s="269"/>
      <c r="R1629" s="269"/>
      <c r="S1629" s="269"/>
      <c r="T1629" s="269"/>
      <c r="U1629" s="269"/>
      <c r="V1629" s="269"/>
      <c r="W1629" s="269"/>
      <c r="X1629" s="269"/>
      <c r="Y1629" s="269"/>
      <c r="Z1629" s="269"/>
      <c r="AA1629" s="269"/>
      <c r="AB1629" s="269"/>
      <c r="AC1629" s="269"/>
      <c r="AD1629" s="269"/>
      <c r="AE1629" s="269"/>
      <c r="AF1629" s="269"/>
      <c r="AG1629" s="269"/>
      <c r="AH1629" s="269"/>
      <c r="AI1629" s="269"/>
      <c r="AJ1629" s="269"/>
      <c r="AK1629" s="269"/>
      <c r="AL1629" s="269"/>
      <c r="AM1629" s="269"/>
      <c r="AN1629" s="269"/>
      <c r="AO1629" s="269"/>
      <c r="AP1629" s="269"/>
      <c r="AQ1629" s="269"/>
      <c r="AR1629" s="269"/>
    </row>
    <row r="1630">
      <c r="A1630" s="410"/>
      <c r="B1630" s="410"/>
      <c r="C1630" s="410"/>
      <c r="D1630" s="410"/>
      <c r="E1630" s="410"/>
      <c r="F1630" s="410"/>
      <c r="H1630" s="269"/>
      <c r="I1630" s="269"/>
      <c r="J1630" s="269"/>
      <c r="K1630" s="269"/>
      <c r="L1630" s="269"/>
      <c r="M1630" s="269"/>
      <c r="N1630" s="269"/>
      <c r="O1630" s="269"/>
      <c r="P1630" s="269"/>
      <c r="Q1630" s="269"/>
      <c r="R1630" s="269"/>
      <c r="S1630" s="269"/>
      <c r="T1630" s="269"/>
      <c r="U1630" s="269"/>
      <c r="V1630" s="269"/>
      <c r="W1630" s="269"/>
      <c r="X1630" s="269"/>
      <c r="Y1630" s="269"/>
      <c r="Z1630" s="269"/>
      <c r="AA1630" s="269"/>
      <c r="AB1630" s="269"/>
      <c r="AC1630" s="269"/>
      <c r="AD1630" s="269"/>
      <c r="AE1630" s="269"/>
      <c r="AF1630" s="269"/>
      <c r="AG1630" s="269"/>
      <c r="AH1630" s="269"/>
      <c r="AI1630" s="269"/>
      <c r="AJ1630" s="269"/>
      <c r="AK1630" s="269"/>
      <c r="AL1630" s="269"/>
      <c r="AM1630" s="269"/>
      <c r="AN1630" s="269"/>
      <c r="AO1630" s="269"/>
      <c r="AP1630" s="269"/>
      <c r="AQ1630" s="269"/>
      <c r="AR1630" s="269"/>
    </row>
    <row r="1631">
      <c r="A1631" s="410"/>
      <c r="B1631" s="410"/>
      <c r="C1631" s="410"/>
      <c r="D1631" s="410"/>
      <c r="E1631" s="410"/>
      <c r="F1631" s="410"/>
      <c r="H1631" s="269"/>
      <c r="I1631" s="269"/>
      <c r="J1631" s="269"/>
      <c r="K1631" s="269"/>
      <c r="L1631" s="269"/>
      <c r="M1631" s="269"/>
      <c r="N1631" s="269"/>
      <c r="O1631" s="269"/>
      <c r="P1631" s="269"/>
      <c r="Q1631" s="269"/>
      <c r="R1631" s="269"/>
      <c r="S1631" s="269"/>
      <c r="T1631" s="269"/>
      <c r="U1631" s="269"/>
      <c r="V1631" s="269"/>
      <c r="W1631" s="269"/>
      <c r="X1631" s="269"/>
      <c r="Y1631" s="269"/>
      <c r="Z1631" s="269"/>
      <c r="AA1631" s="269"/>
      <c r="AB1631" s="269"/>
      <c r="AC1631" s="269"/>
      <c r="AD1631" s="269"/>
      <c r="AE1631" s="269"/>
      <c r="AF1631" s="269"/>
      <c r="AG1631" s="269"/>
      <c r="AH1631" s="269"/>
      <c r="AI1631" s="269"/>
      <c r="AJ1631" s="269"/>
      <c r="AK1631" s="269"/>
      <c r="AL1631" s="269"/>
      <c r="AM1631" s="269"/>
      <c r="AN1631" s="269"/>
      <c r="AO1631" s="269"/>
      <c r="AP1631" s="269"/>
      <c r="AQ1631" s="269"/>
      <c r="AR1631" s="269"/>
    </row>
    <row r="1632">
      <c r="A1632" s="410"/>
      <c r="B1632" s="410"/>
      <c r="C1632" s="410"/>
      <c r="D1632" s="410"/>
      <c r="E1632" s="410"/>
      <c r="F1632" s="410"/>
      <c r="H1632" s="269"/>
      <c r="I1632" s="269"/>
      <c r="J1632" s="269"/>
      <c r="K1632" s="269"/>
      <c r="L1632" s="269"/>
      <c r="M1632" s="269"/>
      <c r="N1632" s="269"/>
      <c r="O1632" s="269"/>
      <c r="P1632" s="269"/>
      <c r="Q1632" s="269"/>
      <c r="R1632" s="269"/>
      <c r="S1632" s="269"/>
      <c r="T1632" s="269"/>
      <c r="U1632" s="269"/>
      <c r="V1632" s="269"/>
      <c r="W1632" s="269"/>
      <c r="X1632" s="269"/>
      <c r="Y1632" s="269"/>
      <c r="Z1632" s="269"/>
      <c r="AA1632" s="269"/>
      <c r="AB1632" s="269"/>
      <c r="AC1632" s="269"/>
      <c r="AD1632" s="269"/>
      <c r="AE1632" s="269"/>
      <c r="AF1632" s="269"/>
      <c r="AG1632" s="269"/>
      <c r="AH1632" s="269"/>
      <c r="AI1632" s="269"/>
      <c r="AJ1632" s="269"/>
      <c r="AK1632" s="269"/>
      <c r="AL1632" s="269"/>
      <c r="AM1632" s="269"/>
      <c r="AN1632" s="269"/>
      <c r="AO1632" s="269"/>
      <c r="AP1632" s="269"/>
      <c r="AQ1632" s="269"/>
      <c r="AR1632" s="269"/>
    </row>
    <row r="1633">
      <c r="A1633" s="410"/>
      <c r="B1633" s="410"/>
      <c r="C1633" s="410"/>
      <c r="D1633" s="410"/>
      <c r="E1633" s="410"/>
      <c r="F1633" s="410"/>
      <c r="H1633" s="269"/>
      <c r="I1633" s="269"/>
      <c r="J1633" s="269"/>
      <c r="K1633" s="269"/>
      <c r="L1633" s="269"/>
      <c r="M1633" s="269"/>
      <c r="N1633" s="269"/>
      <c r="O1633" s="269"/>
      <c r="P1633" s="269"/>
      <c r="Q1633" s="269"/>
      <c r="R1633" s="269"/>
      <c r="S1633" s="269"/>
      <c r="T1633" s="269"/>
      <c r="U1633" s="269"/>
      <c r="V1633" s="269"/>
      <c r="W1633" s="269"/>
      <c r="X1633" s="269"/>
      <c r="Y1633" s="269"/>
      <c r="Z1633" s="269"/>
      <c r="AA1633" s="269"/>
      <c r="AB1633" s="269"/>
      <c r="AC1633" s="269"/>
      <c r="AD1633" s="269"/>
      <c r="AE1633" s="269"/>
      <c r="AF1633" s="269"/>
      <c r="AG1633" s="269"/>
      <c r="AH1633" s="269"/>
      <c r="AI1633" s="269"/>
      <c r="AJ1633" s="269"/>
      <c r="AK1633" s="269"/>
      <c r="AL1633" s="269"/>
      <c r="AM1633" s="269"/>
      <c r="AN1633" s="269"/>
      <c r="AO1633" s="269"/>
      <c r="AP1633" s="269"/>
      <c r="AQ1633" s="269"/>
      <c r="AR1633" s="269"/>
    </row>
    <row r="1634">
      <c r="A1634" s="410"/>
      <c r="B1634" s="410"/>
      <c r="C1634" s="410"/>
      <c r="D1634" s="410"/>
      <c r="E1634" s="410"/>
      <c r="F1634" s="410"/>
      <c r="H1634" s="269"/>
      <c r="I1634" s="269"/>
      <c r="J1634" s="269"/>
      <c r="K1634" s="269"/>
      <c r="L1634" s="269"/>
      <c r="M1634" s="269"/>
      <c r="N1634" s="269"/>
      <c r="O1634" s="269"/>
      <c r="P1634" s="269"/>
      <c r="Q1634" s="269"/>
      <c r="R1634" s="269"/>
      <c r="S1634" s="269"/>
      <c r="T1634" s="269"/>
      <c r="U1634" s="269"/>
      <c r="V1634" s="269"/>
      <c r="W1634" s="269"/>
      <c r="X1634" s="269"/>
      <c r="Y1634" s="269"/>
      <c r="Z1634" s="269"/>
      <c r="AA1634" s="269"/>
      <c r="AB1634" s="269"/>
      <c r="AC1634" s="269"/>
      <c r="AD1634" s="269"/>
      <c r="AE1634" s="269"/>
      <c r="AF1634" s="269"/>
      <c r="AG1634" s="269"/>
      <c r="AH1634" s="269"/>
      <c r="AI1634" s="269"/>
      <c r="AJ1634" s="269"/>
      <c r="AK1634" s="269"/>
      <c r="AL1634" s="269"/>
      <c r="AM1634" s="269"/>
      <c r="AN1634" s="269"/>
      <c r="AO1634" s="269"/>
      <c r="AP1634" s="269"/>
      <c r="AQ1634" s="269"/>
      <c r="AR1634" s="269"/>
    </row>
    <row r="1635">
      <c r="A1635" s="410"/>
      <c r="B1635" s="410"/>
      <c r="C1635" s="410"/>
      <c r="D1635" s="410"/>
      <c r="E1635" s="410"/>
      <c r="F1635" s="410"/>
      <c r="H1635" s="269"/>
      <c r="I1635" s="269"/>
      <c r="J1635" s="269"/>
      <c r="K1635" s="269"/>
      <c r="L1635" s="269"/>
      <c r="M1635" s="269"/>
      <c r="N1635" s="269"/>
      <c r="O1635" s="269"/>
      <c r="P1635" s="269"/>
      <c r="Q1635" s="269"/>
      <c r="R1635" s="269"/>
      <c r="S1635" s="269"/>
      <c r="T1635" s="269"/>
      <c r="U1635" s="269"/>
      <c r="V1635" s="269"/>
      <c r="W1635" s="269"/>
      <c r="X1635" s="269"/>
      <c r="Y1635" s="269"/>
      <c r="Z1635" s="269"/>
      <c r="AA1635" s="269"/>
      <c r="AB1635" s="269"/>
      <c r="AC1635" s="269"/>
      <c r="AD1635" s="269"/>
      <c r="AE1635" s="269"/>
      <c r="AF1635" s="269"/>
      <c r="AG1635" s="269"/>
      <c r="AH1635" s="269"/>
      <c r="AI1635" s="269"/>
      <c r="AJ1635" s="269"/>
      <c r="AK1635" s="269"/>
      <c r="AL1635" s="269"/>
      <c r="AM1635" s="269"/>
      <c r="AN1635" s="269"/>
      <c r="AO1635" s="269"/>
      <c r="AP1635" s="269"/>
      <c r="AQ1635" s="269"/>
      <c r="AR1635" s="269"/>
    </row>
    <row r="1636">
      <c r="A1636" s="410"/>
      <c r="B1636" s="410"/>
      <c r="C1636" s="410"/>
      <c r="D1636" s="410"/>
      <c r="E1636" s="410"/>
      <c r="F1636" s="410"/>
      <c r="H1636" s="269"/>
      <c r="I1636" s="269"/>
      <c r="J1636" s="269"/>
      <c r="K1636" s="269"/>
      <c r="L1636" s="269"/>
      <c r="M1636" s="269"/>
      <c r="N1636" s="269"/>
      <c r="O1636" s="269"/>
      <c r="P1636" s="269"/>
      <c r="Q1636" s="269"/>
      <c r="R1636" s="269"/>
      <c r="S1636" s="269"/>
      <c r="T1636" s="269"/>
      <c r="U1636" s="269"/>
      <c r="V1636" s="269"/>
      <c r="W1636" s="269"/>
      <c r="X1636" s="269"/>
      <c r="Y1636" s="269"/>
      <c r="Z1636" s="269"/>
      <c r="AA1636" s="269"/>
      <c r="AB1636" s="269"/>
      <c r="AC1636" s="269"/>
      <c r="AD1636" s="269"/>
      <c r="AE1636" s="269"/>
      <c r="AF1636" s="269"/>
      <c r="AG1636" s="269"/>
      <c r="AH1636" s="269"/>
      <c r="AI1636" s="269"/>
      <c r="AJ1636" s="269"/>
      <c r="AK1636" s="269"/>
      <c r="AL1636" s="269"/>
      <c r="AM1636" s="269"/>
      <c r="AN1636" s="269"/>
      <c r="AO1636" s="269"/>
      <c r="AP1636" s="269"/>
      <c r="AQ1636" s="269"/>
      <c r="AR1636" s="269"/>
    </row>
    <row r="1637">
      <c r="A1637" s="410"/>
      <c r="B1637" s="410"/>
      <c r="C1637" s="410"/>
      <c r="D1637" s="410"/>
      <c r="E1637" s="410"/>
      <c r="F1637" s="410"/>
      <c r="H1637" s="269"/>
      <c r="I1637" s="269"/>
      <c r="J1637" s="269"/>
      <c r="K1637" s="269"/>
      <c r="L1637" s="269"/>
      <c r="M1637" s="269"/>
      <c r="N1637" s="269"/>
      <c r="O1637" s="269"/>
      <c r="P1637" s="269"/>
      <c r="Q1637" s="269"/>
      <c r="R1637" s="269"/>
      <c r="S1637" s="269"/>
      <c r="T1637" s="269"/>
      <c r="U1637" s="269"/>
      <c r="V1637" s="269"/>
      <c r="W1637" s="269"/>
      <c r="X1637" s="269"/>
      <c r="Y1637" s="269"/>
      <c r="Z1637" s="269"/>
      <c r="AA1637" s="269"/>
      <c r="AB1637" s="269"/>
      <c r="AC1637" s="269"/>
      <c r="AD1637" s="269"/>
      <c r="AE1637" s="269"/>
      <c r="AF1637" s="269"/>
      <c r="AG1637" s="269"/>
      <c r="AH1637" s="269"/>
      <c r="AI1637" s="269"/>
      <c r="AJ1637" s="269"/>
      <c r="AK1637" s="269"/>
      <c r="AL1637" s="269"/>
      <c r="AM1637" s="269"/>
      <c r="AN1637" s="269"/>
      <c r="AO1637" s="269"/>
      <c r="AP1637" s="269"/>
      <c r="AQ1637" s="269"/>
      <c r="AR1637" s="269"/>
    </row>
    <row r="1638">
      <c r="A1638" s="410"/>
      <c r="B1638" s="410"/>
      <c r="C1638" s="410"/>
      <c r="D1638" s="410"/>
      <c r="E1638" s="410"/>
      <c r="F1638" s="410"/>
      <c r="H1638" s="269"/>
      <c r="I1638" s="269"/>
      <c r="J1638" s="269"/>
      <c r="K1638" s="269"/>
      <c r="L1638" s="269"/>
      <c r="M1638" s="269"/>
      <c r="N1638" s="269"/>
      <c r="O1638" s="269"/>
      <c r="P1638" s="269"/>
      <c r="Q1638" s="269"/>
      <c r="R1638" s="269"/>
      <c r="S1638" s="269"/>
      <c r="T1638" s="269"/>
      <c r="U1638" s="269"/>
      <c r="V1638" s="269"/>
      <c r="W1638" s="269"/>
      <c r="X1638" s="269"/>
      <c r="Y1638" s="269"/>
      <c r="Z1638" s="269"/>
      <c r="AA1638" s="269"/>
      <c r="AB1638" s="269"/>
      <c r="AC1638" s="269"/>
      <c r="AD1638" s="269"/>
      <c r="AE1638" s="269"/>
      <c r="AF1638" s="269"/>
      <c r="AG1638" s="269"/>
      <c r="AH1638" s="269"/>
      <c r="AI1638" s="269"/>
      <c r="AJ1638" s="269"/>
      <c r="AK1638" s="269"/>
      <c r="AL1638" s="269"/>
      <c r="AM1638" s="269"/>
      <c r="AN1638" s="269"/>
      <c r="AO1638" s="269"/>
      <c r="AP1638" s="269"/>
      <c r="AQ1638" s="269"/>
      <c r="AR1638" s="269"/>
    </row>
    <row r="1639">
      <c r="A1639" s="410"/>
      <c r="B1639" s="410"/>
      <c r="C1639" s="410"/>
      <c r="D1639" s="410"/>
      <c r="E1639" s="410"/>
      <c r="F1639" s="410"/>
      <c r="H1639" s="269"/>
      <c r="I1639" s="269"/>
      <c r="J1639" s="269"/>
      <c r="K1639" s="269"/>
      <c r="L1639" s="269"/>
      <c r="M1639" s="269"/>
      <c r="N1639" s="269"/>
      <c r="O1639" s="269"/>
      <c r="P1639" s="269"/>
      <c r="Q1639" s="269"/>
      <c r="R1639" s="269"/>
      <c r="S1639" s="269"/>
      <c r="T1639" s="269"/>
      <c r="U1639" s="269"/>
      <c r="V1639" s="269"/>
      <c r="W1639" s="269"/>
      <c r="X1639" s="269"/>
      <c r="Y1639" s="269"/>
      <c r="Z1639" s="269"/>
      <c r="AA1639" s="269"/>
      <c r="AB1639" s="269"/>
      <c r="AC1639" s="269"/>
      <c r="AD1639" s="269"/>
      <c r="AE1639" s="269"/>
      <c r="AF1639" s="269"/>
      <c r="AG1639" s="269"/>
      <c r="AH1639" s="269"/>
      <c r="AI1639" s="269"/>
      <c r="AJ1639" s="269"/>
      <c r="AK1639" s="269"/>
      <c r="AL1639" s="269"/>
      <c r="AM1639" s="269"/>
      <c r="AN1639" s="269"/>
      <c r="AO1639" s="269"/>
      <c r="AP1639" s="269"/>
      <c r="AQ1639" s="269"/>
      <c r="AR1639" s="269"/>
    </row>
    <row r="1640">
      <c r="A1640" s="410"/>
      <c r="B1640" s="410"/>
      <c r="C1640" s="410"/>
      <c r="D1640" s="410"/>
      <c r="E1640" s="410"/>
      <c r="F1640" s="410"/>
      <c r="H1640" s="269"/>
      <c r="I1640" s="269"/>
      <c r="J1640" s="269"/>
      <c r="K1640" s="269"/>
      <c r="L1640" s="269"/>
      <c r="M1640" s="269"/>
      <c r="N1640" s="269"/>
      <c r="O1640" s="269"/>
      <c r="P1640" s="269"/>
      <c r="Q1640" s="269"/>
      <c r="R1640" s="269"/>
      <c r="S1640" s="269"/>
      <c r="T1640" s="269"/>
      <c r="U1640" s="269"/>
      <c r="V1640" s="269"/>
      <c r="W1640" s="269"/>
      <c r="X1640" s="269"/>
      <c r="Y1640" s="269"/>
      <c r="Z1640" s="269"/>
      <c r="AA1640" s="269"/>
      <c r="AB1640" s="269"/>
      <c r="AC1640" s="269"/>
      <c r="AD1640" s="269"/>
      <c r="AE1640" s="269"/>
      <c r="AF1640" s="269"/>
      <c r="AG1640" s="269"/>
      <c r="AH1640" s="269"/>
      <c r="AI1640" s="269"/>
      <c r="AJ1640" s="269"/>
      <c r="AK1640" s="269"/>
      <c r="AL1640" s="269"/>
      <c r="AM1640" s="269"/>
      <c r="AN1640" s="269"/>
      <c r="AO1640" s="269"/>
      <c r="AP1640" s="269"/>
      <c r="AQ1640" s="269"/>
      <c r="AR1640" s="269"/>
    </row>
    <row r="1641">
      <c r="A1641" s="410"/>
      <c r="B1641" s="410"/>
      <c r="C1641" s="410"/>
      <c r="D1641" s="410"/>
      <c r="E1641" s="410"/>
      <c r="F1641" s="410"/>
      <c r="H1641" s="269"/>
      <c r="I1641" s="269"/>
      <c r="J1641" s="269"/>
      <c r="K1641" s="269"/>
      <c r="L1641" s="269"/>
      <c r="M1641" s="269"/>
      <c r="N1641" s="269"/>
      <c r="O1641" s="269"/>
      <c r="P1641" s="269"/>
      <c r="Q1641" s="269"/>
      <c r="R1641" s="269"/>
      <c r="S1641" s="269"/>
      <c r="T1641" s="269"/>
      <c r="U1641" s="269"/>
      <c r="V1641" s="269"/>
      <c r="W1641" s="269"/>
      <c r="X1641" s="269"/>
      <c r="Y1641" s="269"/>
      <c r="Z1641" s="269"/>
      <c r="AA1641" s="269"/>
      <c r="AB1641" s="269"/>
      <c r="AC1641" s="269"/>
      <c r="AD1641" s="269"/>
      <c r="AE1641" s="269"/>
      <c r="AF1641" s="269"/>
      <c r="AG1641" s="269"/>
      <c r="AH1641" s="269"/>
      <c r="AI1641" s="269"/>
      <c r="AJ1641" s="269"/>
      <c r="AK1641" s="269"/>
      <c r="AL1641" s="269"/>
      <c r="AM1641" s="269"/>
      <c r="AN1641" s="269"/>
      <c r="AO1641" s="269"/>
      <c r="AP1641" s="269"/>
      <c r="AQ1641" s="269"/>
      <c r="AR1641" s="269"/>
    </row>
    <row r="1642">
      <c r="A1642" s="410"/>
      <c r="B1642" s="410"/>
      <c r="C1642" s="410"/>
      <c r="D1642" s="410"/>
      <c r="E1642" s="410"/>
      <c r="F1642" s="410"/>
      <c r="H1642" s="269"/>
      <c r="I1642" s="269"/>
      <c r="J1642" s="269"/>
      <c r="K1642" s="269"/>
      <c r="L1642" s="269"/>
      <c r="M1642" s="269"/>
      <c r="N1642" s="269"/>
      <c r="O1642" s="269"/>
      <c r="P1642" s="269"/>
      <c r="Q1642" s="269"/>
      <c r="R1642" s="269"/>
      <c r="S1642" s="269"/>
      <c r="T1642" s="269"/>
      <c r="U1642" s="269"/>
      <c r="V1642" s="269"/>
      <c r="W1642" s="269"/>
      <c r="X1642" s="269"/>
      <c r="Y1642" s="269"/>
      <c r="Z1642" s="269"/>
      <c r="AA1642" s="269"/>
      <c r="AB1642" s="269"/>
      <c r="AC1642" s="269"/>
      <c r="AD1642" s="269"/>
      <c r="AE1642" s="269"/>
      <c r="AF1642" s="269"/>
      <c r="AG1642" s="269"/>
      <c r="AH1642" s="269"/>
      <c r="AI1642" s="269"/>
      <c r="AJ1642" s="269"/>
      <c r="AK1642" s="269"/>
      <c r="AL1642" s="269"/>
      <c r="AM1642" s="269"/>
      <c r="AN1642" s="269"/>
      <c r="AO1642" s="269"/>
      <c r="AP1642" s="269"/>
      <c r="AQ1642" s="269"/>
      <c r="AR1642" s="269"/>
    </row>
    <row r="1643">
      <c r="A1643" s="410"/>
      <c r="B1643" s="410"/>
      <c r="C1643" s="410"/>
      <c r="D1643" s="410"/>
      <c r="E1643" s="410"/>
      <c r="F1643" s="410"/>
      <c r="H1643" s="269"/>
      <c r="I1643" s="269"/>
      <c r="J1643" s="269"/>
      <c r="K1643" s="269"/>
      <c r="L1643" s="269"/>
      <c r="M1643" s="269"/>
      <c r="N1643" s="269"/>
      <c r="O1643" s="269"/>
      <c r="P1643" s="269"/>
      <c r="Q1643" s="269"/>
      <c r="R1643" s="269"/>
      <c r="S1643" s="269"/>
      <c r="T1643" s="269"/>
      <c r="U1643" s="269"/>
      <c r="V1643" s="269"/>
      <c r="W1643" s="269"/>
      <c r="X1643" s="269"/>
      <c r="Y1643" s="269"/>
      <c r="Z1643" s="269"/>
      <c r="AA1643" s="269"/>
      <c r="AB1643" s="269"/>
      <c r="AC1643" s="269"/>
      <c r="AD1643" s="269"/>
      <c r="AE1643" s="269"/>
      <c r="AF1643" s="269"/>
      <c r="AG1643" s="269"/>
      <c r="AH1643" s="269"/>
      <c r="AI1643" s="269"/>
      <c r="AJ1643" s="269"/>
      <c r="AK1643" s="269"/>
      <c r="AL1643" s="269"/>
      <c r="AM1643" s="269"/>
      <c r="AN1643" s="269"/>
      <c r="AO1643" s="269"/>
      <c r="AP1643" s="269"/>
      <c r="AQ1643" s="269"/>
      <c r="AR1643" s="269"/>
    </row>
    <row r="1644">
      <c r="A1644" s="410"/>
      <c r="B1644" s="410"/>
      <c r="C1644" s="410"/>
      <c r="D1644" s="410"/>
      <c r="E1644" s="410"/>
      <c r="F1644" s="410"/>
      <c r="H1644" s="269"/>
      <c r="I1644" s="269"/>
      <c r="J1644" s="269"/>
      <c r="K1644" s="269"/>
      <c r="L1644" s="269"/>
      <c r="M1644" s="269"/>
      <c r="N1644" s="269"/>
      <c r="O1644" s="269"/>
      <c r="P1644" s="269"/>
      <c r="Q1644" s="269"/>
      <c r="R1644" s="269"/>
      <c r="S1644" s="269"/>
      <c r="T1644" s="269"/>
      <c r="U1644" s="269"/>
      <c r="V1644" s="269"/>
      <c r="W1644" s="269"/>
      <c r="X1644" s="269"/>
      <c r="Y1644" s="269"/>
      <c r="Z1644" s="269"/>
      <c r="AA1644" s="269"/>
      <c r="AB1644" s="269"/>
      <c r="AC1644" s="269"/>
      <c r="AD1644" s="269"/>
      <c r="AE1644" s="269"/>
      <c r="AF1644" s="269"/>
      <c r="AG1644" s="269"/>
      <c r="AH1644" s="269"/>
      <c r="AI1644" s="269"/>
      <c r="AJ1644" s="269"/>
      <c r="AK1644" s="269"/>
      <c r="AL1644" s="269"/>
      <c r="AM1644" s="269"/>
      <c r="AN1644" s="269"/>
      <c r="AO1644" s="269"/>
      <c r="AP1644" s="269"/>
      <c r="AQ1644" s="269"/>
      <c r="AR1644" s="269"/>
    </row>
    <row r="1645">
      <c r="A1645" s="410"/>
      <c r="B1645" s="410"/>
      <c r="C1645" s="410"/>
      <c r="D1645" s="410"/>
      <c r="E1645" s="410"/>
      <c r="F1645" s="410"/>
      <c r="H1645" s="269"/>
      <c r="I1645" s="269"/>
      <c r="J1645" s="269"/>
      <c r="K1645" s="269"/>
      <c r="L1645" s="269"/>
      <c r="M1645" s="269"/>
      <c r="N1645" s="269"/>
      <c r="O1645" s="269"/>
      <c r="P1645" s="269"/>
      <c r="Q1645" s="269"/>
      <c r="R1645" s="269"/>
      <c r="S1645" s="269"/>
      <c r="T1645" s="269"/>
      <c r="U1645" s="269"/>
      <c r="V1645" s="269"/>
      <c r="W1645" s="269"/>
      <c r="X1645" s="269"/>
      <c r="Y1645" s="269"/>
      <c r="Z1645" s="269"/>
      <c r="AA1645" s="269"/>
      <c r="AB1645" s="269"/>
      <c r="AC1645" s="269"/>
      <c r="AD1645" s="269"/>
      <c r="AE1645" s="269"/>
      <c r="AF1645" s="269"/>
      <c r="AG1645" s="269"/>
      <c r="AH1645" s="269"/>
      <c r="AI1645" s="269"/>
      <c r="AJ1645" s="269"/>
      <c r="AK1645" s="269"/>
      <c r="AL1645" s="269"/>
      <c r="AM1645" s="269"/>
      <c r="AN1645" s="269"/>
      <c r="AO1645" s="269"/>
      <c r="AP1645" s="269"/>
      <c r="AQ1645" s="269"/>
      <c r="AR1645" s="269"/>
    </row>
    <row r="1646">
      <c r="A1646" s="410"/>
      <c r="B1646" s="410"/>
      <c r="C1646" s="410"/>
      <c r="D1646" s="410"/>
      <c r="E1646" s="410"/>
      <c r="F1646" s="410"/>
      <c r="H1646" s="269"/>
      <c r="I1646" s="269"/>
      <c r="J1646" s="269"/>
      <c r="K1646" s="269"/>
      <c r="L1646" s="269"/>
      <c r="M1646" s="269"/>
      <c r="N1646" s="269"/>
      <c r="O1646" s="269"/>
      <c r="P1646" s="269"/>
      <c r="Q1646" s="269"/>
      <c r="R1646" s="269"/>
      <c r="S1646" s="269"/>
      <c r="T1646" s="269"/>
      <c r="U1646" s="269"/>
      <c r="V1646" s="269"/>
      <c r="W1646" s="269"/>
      <c r="X1646" s="269"/>
      <c r="Y1646" s="269"/>
      <c r="Z1646" s="269"/>
      <c r="AA1646" s="269"/>
      <c r="AB1646" s="269"/>
      <c r="AC1646" s="269"/>
      <c r="AD1646" s="269"/>
      <c r="AE1646" s="269"/>
      <c r="AF1646" s="269"/>
      <c r="AG1646" s="269"/>
      <c r="AH1646" s="269"/>
      <c r="AI1646" s="269"/>
      <c r="AJ1646" s="269"/>
      <c r="AK1646" s="269"/>
      <c r="AL1646" s="269"/>
      <c r="AM1646" s="269"/>
      <c r="AN1646" s="269"/>
      <c r="AO1646" s="269"/>
      <c r="AP1646" s="269"/>
      <c r="AQ1646" s="269"/>
      <c r="AR1646" s="269"/>
    </row>
    <row r="1647">
      <c r="A1647" s="410"/>
      <c r="B1647" s="410"/>
      <c r="C1647" s="410"/>
      <c r="D1647" s="410"/>
      <c r="E1647" s="410"/>
      <c r="F1647" s="410"/>
      <c r="H1647" s="269"/>
      <c r="I1647" s="269"/>
      <c r="J1647" s="269"/>
      <c r="K1647" s="269"/>
      <c r="L1647" s="269"/>
      <c r="M1647" s="269"/>
      <c r="N1647" s="269"/>
      <c r="O1647" s="269"/>
      <c r="P1647" s="269"/>
      <c r="Q1647" s="269"/>
      <c r="R1647" s="269"/>
      <c r="S1647" s="269"/>
      <c r="T1647" s="269"/>
      <c r="U1647" s="269"/>
      <c r="V1647" s="269"/>
      <c r="W1647" s="269"/>
      <c r="X1647" s="269"/>
      <c r="Y1647" s="269"/>
      <c r="Z1647" s="269"/>
      <c r="AA1647" s="269"/>
      <c r="AB1647" s="269"/>
      <c r="AC1647" s="269"/>
      <c r="AD1647" s="269"/>
      <c r="AE1647" s="269"/>
      <c r="AF1647" s="269"/>
      <c r="AG1647" s="269"/>
      <c r="AH1647" s="269"/>
      <c r="AI1647" s="269"/>
      <c r="AJ1647" s="269"/>
      <c r="AK1647" s="269"/>
      <c r="AL1647" s="269"/>
      <c r="AM1647" s="269"/>
      <c r="AN1647" s="269"/>
      <c r="AO1647" s="269"/>
      <c r="AP1647" s="269"/>
      <c r="AQ1647" s="269"/>
      <c r="AR1647" s="269"/>
    </row>
    <row r="1648">
      <c r="A1648" s="410"/>
      <c r="B1648" s="410"/>
      <c r="C1648" s="410"/>
      <c r="D1648" s="410"/>
      <c r="E1648" s="410"/>
      <c r="F1648" s="410"/>
      <c r="H1648" s="269"/>
      <c r="I1648" s="269"/>
      <c r="J1648" s="269"/>
      <c r="K1648" s="269"/>
      <c r="L1648" s="269"/>
      <c r="M1648" s="269"/>
      <c r="N1648" s="269"/>
      <c r="O1648" s="269"/>
      <c r="P1648" s="269"/>
      <c r="Q1648" s="269"/>
      <c r="R1648" s="269"/>
      <c r="S1648" s="269"/>
      <c r="T1648" s="269"/>
      <c r="U1648" s="269"/>
      <c r="V1648" s="269"/>
      <c r="W1648" s="269"/>
      <c r="X1648" s="269"/>
      <c r="Y1648" s="269"/>
      <c r="Z1648" s="269"/>
      <c r="AA1648" s="269"/>
      <c r="AB1648" s="269"/>
      <c r="AC1648" s="269"/>
      <c r="AD1648" s="269"/>
      <c r="AE1648" s="269"/>
      <c r="AF1648" s="269"/>
      <c r="AG1648" s="269"/>
      <c r="AH1648" s="269"/>
      <c r="AI1648" s="269"/>
      <c r="AJ1648" s="269"/>
      <c r="AK1648" s="269"/>
      <c r="AL1648" s="269"/>
      <c r="AM1648" s="269"/>
      <c r="AN1648" s="269"/>
      <c r="AO1648" s="269"/>
      <c r="AP1648" s="269"/>
      <c r="AQ1648" s="269"/>
      <c r="AR1648" s="269"/>
    </row>
    <row r="1649">
      <c r="A1649" s="410"/>
      <c r="B1649" s="410"/>
      <c r="C1649" s="410"/>
      <c r="D1649" s="410"/>
      <c r="E1649" s="410"/>
      <c r="F1649" s="410"/>
      <c r="H1649" s="269"/>
      <c r="I1649" s="269"/>
      <c r="J1649" s="269"/>
      <c r="K1649" s="269"/>
      <c r="L1649" s="269"/>
      <c r="M1649" s="269"/>
      <c r="N1649" s="269"/>
      <c r="O1649" s="269"/>
      <c r="P1649" s="269"/>
      <c r="Q1649" s="269"/>
      <c r="R1649" s="269"/>
      <c r="S1649" s="269"/>
      <c r="T1649" s="269"/>
      <c r="U1649" s="269"/>
      <c r="V1649" s="269"/>
      <c r="W1649" s="269"/>
      <c r="X1649" s="269"/>
      <c r="Y1649" s="269"/>
      <c r="Z1649" s="269"/>
      <c r="AA1649" s="269"/>
      <c r="AB1649" s="269"/>
      <c r="AC1649" s="269"/>
      <c r="AD1649" s="269"/>
      <c r="AE1649" s="269"/>
      <c r="AF1649" s="269"/>
      <c r="AG1649" s="269"/>
      <c r="AH1649" s="269"/>
      <c r="AI1649" s="269"/>
      <c r="AJ1649" s="269"/>
      <c r="AK1649" s="269"/>
      <c r="AL1649" s="269"/>
      <c r="AM1649" s="269"/>
      <c r="AN1649" s="269"/>
      <c r="AO1649" s="269"/>
      <c r="AP1649" s="269"/>
      <c r="AQ1649" s="269"/>
      <c r="AR1649" s="269"/>
    </row>
    <row r="1650">
      <c r="A1650" s="410"/>
      <c r="B1650" s="410"/>
      <c r="C1650" s="410"/>
      <c r="D1650" s="410"/>
      <c r="E1650" s="410"/>
      <c r="F1650" s="410"/>
      <c r="H1650" s="269"/>
      <c r="I1650" s="269"/>
      <c r="J1650" s="269"/>
      <c r="K1650" s="269"/>
      <c r="L1650" s="269"/>
      <c r="M1650" s="269"/>
      <c r="N1650" s="269"/>
      <c r="O1650" s="269"/>
      <c r="P1650" s="269"/>
      <c r="Q1650" s="269"/>
      <c r="R1650" s="269"/>
      <c r="S1650" s="269"/>
      <c r="T1650" s="269"/>
      <c r="U1650" s="269"/>
      <c r="V1650" s="269"/>
      <c r="W1650" s="269"/>
      <c r="X1650" s="269"/>
      <c r="Y1650" s="269"/>
      <c r="Z1650" s="269"/>
      <c r="AA1650" s="269"/>
      <c r="AB1650" s="269"/>
      <c r="AC1650" s="269"/>
      <c r="AD1650" s="269"/>
      <c r="AE1650" s="269"/>
      <c r="AF1650" s="269"/>
      <c r="AG1650" s="269"/>
      <c r="AH1650" s="269"/>
      <c r="AI1650" s="269"/>
      <c r="AJ1650" s="269"/>
      <c r="AK1650" s="269"/>
      <c r="AL1650" s="269"/>
      <c r="AM1650" s="269"/>
      <c r="AN1650" s="269"/>
      <c r="AO1650" s="269"/>
      <c r="AP1650" s="269"/>
      <c r="AQ1650" s="269"/>
      <c r="AR1650" s="269"/>
    </row>
    <row r="1651">
      <c r="A1651" s="410"/>
      <c r="B1651" s="410"/>
      <c r="C1651" s="410"/>
      <c r="D1651" s="410"/>
      <c r="E1651" s="410"/>
      <c r="F1651" s="410"/>
      <c r="H1651" s="269"/>
      <c r="I1651" s="269"/>
      <c r="J1651" s="269"/>
      <c r="K1651" s="269"/>
      <c r="L1651" s="269"/>
      <c r="M1651" s="269"/>
      <c r="N1651" s="269"/>
      <c r="O1651" s="269"/>
      <c r="P1651" s="269"/>
      <c r="Q1651" s="269"/>
      <c r="R1651" s="269"/>
      <c r="S1651" s="269"/>
      <c r="T1651" s="269"/>
      <c r="U1651" s="269"/>
      <c r="V1651" s="269"/>
      <c r="W1651" s="269"/>
      <c r="X1651" s="269"/>
      <c r="Y1651" s="269"/>
      <c r="Z1651" s="269"/>
      <c r="AA1651" s="269"/>
      <c r="AB1651" s="269"/>
      <c r="AC1651" s="269"/>
      <c r="AD1651" s="269"/>
      <c r="AE1651" s="269"/>
      <c r="AF1651" s="269"/>
      <c r="AG1651" s="269"/>
      <c r="AH1651" s="269"/>
      <c r="AI1651" s="269"/>
      <c r="AJ1651" s="269"/>
      <c r="AK1651" s="269"/>
      <c r="AL1651" s="269"/>
      <c r="AM1651" s="269"/>
      <c r="AN1651" s="269"/>
      <c r="AO1651" s="269"/>
      <c r="AP1651" s="269"/>
      <c r="AQ1651" s="269"/>
      <c r="AR1651" s="269"/>
    </row>
    <row r="1652">
      <c r="A1652" s="410"/>
      <c r="B1652" s="410"/>
      <c r="C1652" s="410"/>
      <c r="D1652" s="410"/>
      <c r="E1652" s="410"/>
      <c r="F1652" s="410"/>
      <c r="H1652" s="269"/>
      <c r="I1652" s="269"/>
      <c r="J1652" s="269"/>
      <c r="K1652" s="269"/>
      <c r="L1652" s="269"/>
      <c r="M1652" s="269"/>
      <c r="N1652" s="269"/>
      <c r="O1652" s="269"/>
      <c r="P1652" s="269"/>
      <c r="Q1652" s="269"/>
      <c r="R1652" s="269"/>
      <c r="S1652" s="269"/>
      <c r="T1652" s="269"/>
      <c r="U1652" s="269"/>
      <c r="V1652" s="269"/>
      <c r="W1652" s="269"/>
      <c r="X1652" s="269"/>
      <c r="Y1652" s="269"/>
      <c r="Z1652" s="269"/>
      <c r="AA1652" s="269"/>
      <c r="AB1652" s="269"/>
      <c r="AC1652" s="269"/>
      <c r="AD1652" s="269"/>
      <c r="AE1652" s="269"/>
      <c r="AF1652" s="269"/>
      <c r="AG1652" s="269"/>
      <c r="AH1652" s="269"/>
      <c r="AI1652" s="269"/>
      <c r="AJ1652" s="269"/>
      <c r="AK1652" s="269"/>
      <c r="AL1652" s="269"/>
      <c r="AM1652" s="269"/>
      <c r="AN1652" s="269"/>
      <c r="AO1652" s="269"/>
      <c r="AP1652" s="269"/>
      <c r="AQ1652" s="269"/>
      <c r="AR1652" s="269"/>
    </row>
    <row r="1653">
      <c r="A1653" s="410"/>
      <c r="B1653" s="410"/>
      <c r="C1653" s="410"/>
      <c r="D1653" s="410"/>
      <c r="E1653" s="410"/>
      <c r="F1653" s="410"/>
      <c r="H1653" s="269"/>
      <c r="I1653" s="269"/>
      <c r="J1653" s="269"/>
      <c r="K1653" s="269"/>
      <c r="L1653" s="269"/>
      <c r="M1653" s="269"/>
      <c r="N1653" s="269"/>
      <c r="O1653" s="269"/>
      <c r="P1653" s="269"/>
      <c r="Q1653" s="269"/>
      <c r="R1653" s="269"/>
      <c r="S1653" s="269"/>
      <c r="T1653" s="269"/>
      <c r="U1653" s="269"/>
      <c r="V1653" s="269"/>
      <c r="W1653" s="269"/>
      <c r="X1653" s="269"/>
      <c r="Y1653" s="269"/>
      <c r="Z1653" s="269"/>
      <c r="AA1653" s="269"/>
      <c r="AB1653" s="269"/>
      <c r="AC1653" s="269"/>
      <c r="AD1653" s="269"/>
      <c r="AE1653" s="269"/>
      <c r="AF1653" s="269"/>
      <c r="AG1653" s="269"/>
      <c r="AH1653" s="269"/>
      <c r="AI1653" s="269"/>
      <c r="AJ1653" s="269"/>
      <c r="AK1653" s="269"/>
      <c r="AL1653" s="269"/>
      <c r="AM1653" s="269"/>
      <c r="AN1653" s="269"/>
      <c r="AO1653" s="269"/>
      <c r="AP1653" s="269"/>
      <c r="AQ1653" s="269"/>
      <c r="AR1653" s="269"/>
    </row>
    <row r="1654">
      <c r="A1654" s="410"/>
      <c r="B1654" s="410"/>
      <c r="C1654" s="410"/>
      <c r="D1654" s="410"/>
      <c r="E1654" s="410"/>
      <c r="F1654" s="410"/>
      <c r="H1654" s="269"/>
      <c r="I1654" s="269"/>
      <c r="J1654" s="269"/>
      <c r="K1654" s="269"/>
      <c r="L1654" s="269"/>
      <c r="M1654" s="269"/>
      <c r="N1654" s="269"/>
      <c r="O1654" s="269"/>
      <c r="P1654" s="269"/>
      <c r="Q1654" s="269"/>
      <c r="R1654" s="269"/>
      <c r="S1654" s="269"/>
      <c r="T1654" s="269"/>
      <c r="U1654" s="269"/>
      <c r="V1654" s="269"/>
      <c r="W1654" s="269"/>
      <c r="X1654" s="269"/>
      <c r="Y1654" s="269"/>
      <c r="Z1654" s="269"/>
      <c r="AA1654" s="269"/>
      <c r="AB1654" s="269"/>
      <c r="AC1654" s="269"/>
      <c r="AD1654" s="269"/>
      <c r="AE1654" s="269"/>
      <c r="AF1654" s="269"/>
      <c r="AG1654" s="269"/>
      <c r="AH1654" s="269"/>
      <c r="AI1654" s="269"/>
      <c r="AJ1654" s="269"/>
      <c r="AK1654" s="269"/>
      <c r="AL1654" s="269"/>
      <c r="AM1654" s="269"/>
      <c r="AN1654" s="269"/>
      <c r="AO1654" s="269"/>
      <c r="AP1654" s="269"/>
      <c r="AQ1654" s="269"/>
      <c r="AR1654" s="269"/>
    </row>
    <row r="1655">
      <c r="A1655" s="410"/>
      <c r="B1655" s="410"/>
      <c r="C1655" s="410"/>
      <c r="D1655" s="410"/>
      <c r="E1655" s="410"/>
      <c r="F1655" s="410"/>
      <c r="H1655" s="269"/>
      <c r="I1655" s="269"/>
      <c r="J1655" s="269"/>
      <c r="K1655" s="269"/>
      <c r="L1655" s="269"/>
      <c r="M1655" s="269"/>
      <c r="N1655" s="269"/>
      <c r="O1655" s="269"/>
      <c r="P1655" s="269"/>
      <c r="Q1655" s="269"/>
      <c r="R1655" s="269"/>
      <c r="S1655" s="269"/>
      <c r="T1655" s="269"/>
      <c r="U1655" s="269"/>
      <c r="V1655" s="269"/>
      <c r="W1655" s="269"/>
      <c r="X1655" s="269"/>
      <c r="Y1655" s="269"/>
      <c r="Z1655" s="269"/>
      <c r="AA1655" s="269"/>
      <c r="AB1655" s="269"/>
      <c r="AC1655" s="269"/>
      <c r="AD1655" s="269"/>
      <c r="AE1655" s="269"/>
      <c r="AF1655" s="269"/>
      <c r="AG1655" s="269"/>
      <c r="AH1655" s="269"/>
      <c r="AI1655" s="269"/>
      <c r="AJ1655" s="269"/>
      <c r="AK1655" s="269"/>
      <c r="AL1655" s="269"/>
      <c r="AM1655" s="269"/>
      <c r="AN1655" s="269"/>
      <c r="AO1655" s="269"/>
      <c r="AP1655" s="269"/>
      <c r="AQ1655" s="269"/>
      <c r="AR1655" s="269"/>
    </row>
    <row r="1656">
      <c r="A1656" s="410"/>
      <c r="B1656" s="410"/>
      <c r="C1656" s="410"/>
      <c r="D1656" s="410"/>
      <c r="E1656" s="410"/>
      <c r="F1656" s="410"/>
      <c r="H1656" s="269"/>
      <c r="I1656" s="269"/>
      <c r="J1656" s="269"/>
      <c r="K1656" s="269"/>
      <c r="L1656" s="269"/>
      <c r="M1656" s="269"/>
      <c r="N1656" s="269"/>
      <c r="O1656" s="269"/>
      <c r="P1656" s="269"/>
      <c r="Q1656" s="269"/>
      <c r="R1656" s="269"/>
      <c r="S1656" s="269"/>
      <c r="T1656" s="269"/>
      <c r="U1656" s="269"/>
      <c r="V1656" s="269"/>
      <c r="W1656" s="269"/>
      <c r="X1656" s="269"/>
      <c r="Y1656" s="269"/>
      <c r="Z1656" s="269"/>
      <c r="AA1656" s="269"/>
      <c r="AB1656" s="269"/>
      <c r="AC1656" s="269"/>
      <c r="AD1656" s="269"/>
      <c r="AE1656" s="269"/>
      <c r="AF1656" s="269"/>
      <c r="AG1656" s="269"/>
      <c r="AH1656" s="269"/>
      <c r="AI1656" s="269"/>
      <c r="AJ1656" s="269"/>
      <c r="AK1656" s="269"/>
      <c r="AL1656" s="269"/>
      <c r="AM1656" s="269"/>
      <c r="AN1656" s="269"/>
      <c r="AO1656" s="269"/>
      <c r="AP1656" s="269"/>
      <c r="AQ1656" s="269"/>
      <c r="AR1656" s="269"/>
    </row>
    <row r="1657">
      <c r="A1657" s="410"/>
      <c r="B1657" s="410"/>
      <c r="C1657" s="410"/>
      <c r="D1657" s="410"/>
      <c r="E1657" s="410"/>
      <c r="F1657" s="410"/>
      <c r="H1657" s="269"/>
      <c r="I1657" s="269"/>
      <c r="J1657" s="269"/>
      <c r="K1657" s="269"/>
      <c r="L1657" s="269"/>
      <c r="M1657" s="269"/>
      <c r="N1657" s="269"/>
      <c r="O1657" s="269"/>
      <c r="P1657" s="269"/>
      <c r="Q1657" s="269"/>
      <c r="R1657" s="269"/>
      <c r="S1657" s="269"/>
      <c r="T1657" s="269"/>
      <c r="U1657" s="269"/>
      <c r="V1657" s="269"/>
      <c r="W1657" s="269"/>
      <c r="X1657" s="269"/>
      <c r="Y1657" s="269"/>
      <c r="Z1657" s="269"/>
      <c r="AA1657" s="269"/>
      <c r="AB1657" s="269"/>
      <c r="AC1657" s="269"/>
      <c r="AD1657" s="269"/>
      <c r="AE1657" s="269"/>
      <c r="AF1657" s="269"/>
      <c r="AG1657" s="269"/>
      <c r="AH1657" s="269"/>
      <c r="AI1657" s="269"/>
      <c r="AJ1657" s="269"/>
      <c r="AK1657" s="269"/>
      <c r="AL1657" s="269"/>
      <c r="AM1657" s="269"/>
      <c r="AN1657" s="269"/>
      <c r="AO1657" s="269"/>
      <c r="AP1657" s="269"/>
      <c r="AQ1657" s="269"/>
      <c r="AR1657" s="269"/>
    </row>
    <row r="1658">
      <c r="A1658" s="410"/>
      <c r="B1658" s="410"/>
      <c r="C1658" s="410"/>
      <c r="D1658" s="410"/>
      <c r="E1658" s="410"/>
      <c r="F1658" s="410"/>
      <c r="H1658" s="269"/>
      <c r="I1658" s="269"/>
      <c r="J1658" s="269"/>
      <c r="K1658" s="269"/>
      <c r="L1658" s="269"/>
      <c r="M1658" s="269"/>
      <c r="N1658" s="269"/>
      <c r="O1658" s="269"/>
      <c r="P1658" s="269"/>
      <c r="Q1658" s="269"/>
      <c r="R1658" s="269"/>
      <c r="S1658" s="269"/>
      <c r="T1658" s="269"/>
      <c r="U1658" s="269"/>
      <c r="V1658" s="269"/>
      <c r="W1658" s="269"/>
      <c r="X1658" s="269"/>
      <c r="Y1658" s="269"/>
      <c r="Z1658" s="269"/>
      <c r="AA1658" s="269"/>
      <c r="AB1658" s="269"/>
      <c r="AC1658" s="269"/>
      <c r="AD1658" s="269"/>
      <c r="AE1658" s="269"/>
      <c r="AF1658" s="269"/>
      <c r="AG1658" s="269"/>
      <c r="AH1658" s="269"/>
      <c r="AI1658" s="269"/>
      <c r="AJ1658" s="269"/>
      <c r="AK1658" s="269"/>
      <c r="AL1658" s="269"/>
      <c r="AM1658" s="269"/>
      <c r="AN1658" s="269"/>
      <c r="AO1658" s="269"/>
      <c r="AP1658" s="269"/>
      <c r="AQ1658" s="269"/>
      <c r="AR1658" s="269"/>
    </row>
    <row r="1659">
      <c r="A1659" s="410"/>
      <c r="B1659" s="410"/>
      <c r="C1659" s="410"/>
      <c r="D1659" s="410"/>
      <c r="E1659" s="410"/>
      <c r="F1659" s="410"/>
      <c r="H1659" s="269"/>
      <c r="I1659" s="269"/>
      <c r="J1659" s="269"/>
      <c r="K1659" s="269"/>
      <c r="L1659" s="269"/>
      <c r="M1659" s="269"/>
      <c r="N1659" s="269"/>
      <c r="O1659" s="269"/>
      <c r="P1659" s="269"/>
      <c r="Q1659" s="269"/>
      <c r="R1659" s="269"/>
      <c r="S1659" s="269"/>
      <c r="T1659" s="269"/>
      <c r="U1659" s="269"/>
      <c r="V1659" s="269"/>
      <c r="W1659" s="269"/>
      <c r="X1659" s="269"/>
      <c r="Y1659" s="269"/>
      <c r="Z1659" s="269"/>
      <c r="AA1659" s="269"/>
      <c r="AB1659" s="269"/>
      <c r="AC1659" s="269"/>
      <c r="AD1659" s="269"/>
      <c r="AE1659" s="269"/>
      <c r="AF1659" s="269"/>
      <c r="AG1659" s="269"/>
      <c r="AH1659" s="269"/>
      <c r="AI1659" s="269"/>
      <c r="AJ1659" s="269"/>
      <c r="AK1659" s="269"/>
      <c r="AL1659" s="269"/>
      <c r="AM1659" s="269"/>
      <c r="AN1659" s="269"/>
      <c r="AO1659" s="269"/>
      <c r="AP1659" s="269"/>
      <c r="AQ1659" s="269"/>
      <c r="AR1659" s="269"/>
    </row>
    <row r="1660">
      <c r="A1660" s="410"/>
      <c r="B1660" s="410"/>
      <c r="C1660" s="410"/>
      <c r="D1660" s="410"/>
      <c r="E1660" s="410"/>
      <c r="F1660" s="410"/>
      <c r="H1660" s="269"/>
      <c r="I1660" s="269"/>
      <c r="J1660" s="269"/>
      <c r="K1660" s="269"/>
      <c r="L1660" s="269"/>
      <c r="M1660" s="269"/>
      <c r="N1660" s="269"/>
      <c r="O1660" s="269"/>
      <c r="P1660" s="269"/>
      <c r="Q1660" s="269"/>
      <c r="R1660" s="269"/>
      <c r="S1660" s="269"/>
      <c r="T1660" s="269"/>
      <c r="U1660" s="269"/>
      <c r="V1660" s="269"/>
      <c r="W1660" s="269"/>
      <c r="X1660" s="269"/>
      <c r="Y1660" s="269"/>
      <c r="Z1660" s="269"/>
      <c r="AA1660" s="269"/>
      <c r="AB1660" s="269"/>
      <c r="AC1660" s="269"/>
      <c r="AD1660" s="269"/>
      <c r="AE1660" s="269"/>
      <c r="AF1660" s="269"/>
      <c r="AG1660" s="269"/>
      <c r="AH1660" s="269"/>
      <c r="AI1660" s="269"/>
      <c r="AJ1660" s="269"/>
      <c r="AK1660" s="269"/>
      <c r="AL1660" s="269"/>
      <c r="AM1660" s="269"/>
      <c r="AN1660" s="269"/>
      <c r="AO1660" s="269"/>
      <c r="AP1660" s="269"/>
      <c r="AQ1660" s="269"/>
      <c r="AR1660" s="269"/>
    </row>
    <row r="1661">
      <c r="A1661" s="410"/>
      <c r="B1661" s="410"/>
      <c r="C1661" s="410"/>
      <c r="D1661" s="410"/>
      <c r="E1661" s="410"/>
      <c r="F1661" s="410"/>
      <c r="H1661" s="269"/>
      <c r="I1661" s="269"/>
      <c r="J1661" s="269"/>
      <c r="K1661" s="269"/>
      <c r="L1661" s="269"/>
      <c r="M1661" s="269"/>
      <c r="N1661" s="269"/>
      <c r="O1661" s="269"/>
      <c r="P1661" s="269"/>
      <c r="Q1661" s="269"/>
      <c r="R1661" s="269"/>
      <c r="S1661" s="269"/>
      <c r="T1661" s="269"/>
      <c r="U1661" s="269"/>
      <c r="V1661" s="269"/>
      <c r="W1661" s="269"/>
      <c r="X1661" s="269"/>
      <c r="Y1661" s="269"/>
      <c r="Z1661" s="269"/>
      <c r="AA1661" s="269"/>
      <c r="AB1661" s="269"/>
      <c r="AC1661" s="269"/>
      <c r="AD1661" s="269"/>
      <c r="AE1661" s="269"/>
      <c r="AF1661" s="269"/>
      <c r="AG1661" s="269"/>
      <c r="AH1661" s="269"/>
      <c r="AI1661" s="269"/>
      <c r="AJ1661" s="269"/>
      <c r="AK1661" s="269"/>
      <c r="AL1661" s="269"/>
      <c r="AM1661" s="269"/>
      <c r="AN1661" s="269"/>
      <c r="AO1661" s="269"/>
      <c r="AP1661" s="269"/>
      <c r="AQ1661" s="269"/>
      <c r="AR1661" s="269"/>
    </row>
    <row r="1662">
      <c r="A1662" s="410"/>
      <c r="B1662" s="410"/>
      <c r="C1662" s="410"/>
      <c r="D1662" s="410"/>
      <c r="E1662" s="410"/>
      <c r="F1662" s="410"/>
      <c r="H1662" s="269"/>
      <c r="I1662" s="269"/>
      <c r="J1662" s="269"/>
      <c r="K1662" s="269"/>
      <c r="L1662" s="269"/>
      <c r="M1662" s="269"/>
      <c r="N1662" s="269"/>
      <c r="O1662" s="269"/>
      <c r="P1662" s="269"/>
      <c r="Q1662" s="269"/>
      <c r="R1662" s="269"/>
      <c r="S1662" s="269"/>
      <c r="T1662" s="269"/>
      <c r="U1662" s="269"/>
      <c r="V1662" s="269"/>
      <c r="W1662" s="269"/>
      <c r="X1662" s="269"/>
      <c r="Y1662" s="269"/>
      <c r="Z1662" s="269"/>
      <c r="AA1662" s="269"/>
      <c r="AB1662" s="269"/>
      <c r="AC1662" s="269"/>
      <c r="AD1662" s="269"/>
      <c r="AE1662" s="269"/>
      <c r="AF1662" s="269"/>
      <c r="AG1662" s="269"/>
      <c r="AH1662" s="269"/>
      <c r="AI1662" s="269"/>
      <c r="AJ1662" s="269"/>
      <c r="AK1662" s="269"/>
      <c r="AL1662" s="269"/>
      <c r="AM1662" s="269"/>
      <c r="AN1662" s="269"/>
      <c r="AO1662" s="269"/>
      <c r="AP1662" s="269"/>
      <c r="AQ1662" s="269"/>
      <c r="AR1662" s="269"/>
    </row>
    <row r="1663">
      <c r="A1663" s="410"/>
      <c r="B1663" s="410"/>
      <c r="C1663" s="410"/>
      <c r="D1663" s="410"/>
      <c r="E1663" s="410"/>
      <c r="F1663" s="410"/>
      <c r="H1663" s="269"/>
      <c r="I1663" s="269"/>
      <c r="J1663" s="269"/>
      <c r="K1663" s="269"/>
      <c r="L1663" s="269"/>
      <c r="M1663" s="269"/>
      <c r="N1663" s="269"/>
      <c r="O1663" s="269"/>
      <c r="P1663" s="269"/>
      <c r="Q1663" s="269"/>
      <c r="R1663" s="269"/>
      <c r="S1663" s="269"/>
      <c r="T1663" s="269"/>
      <c r="U1663" s="269"/>
      <c r="V1663" s="269"/>
      <c r="W1663" s="269"/>
      <c r="X1663" s="269"/>
      <c r="Y1663" s="269"/>
      <c r="Z1663" s="269"/>
      <c r="AA1663" s="269"/>
      <c r="AB1663" s="269"/>
      <c r="AC1663" s="269"/>
      <c r="AD1663" s="269"/>
      <c r="AE1663" s="269"/>
      <c r="AF1663" s="269"/>
      <c r="AG1663" s="269"/>
      <c r="AH1663" s="269"/>
      <c r="AI1663" s="269"/>
      <c r="AJ1663" s="269"/>
      <c r="AK1663" s="269"/>
      <c r="AL1663" s="269"/>
      <c r="AM1663" s="269"/>
      <c r="AN1663" s="269"/>
      <c r="AO1663" s="269"/>
      <c r="AP1663" s="269"/>
      <c r="AQ1663" s="269"/>
      <c r="AR1663" s="269"/>
    </row>
    <row r="1664">
      <c r="A1664" s="410"/>
      <c r="B1664" s="410"/>
      <c r="C1664" s="410"/>
      <c r="D1664" s="410"/>
      <c r="E1664" s="410"/>
      <c r="F1664" s="410"/>
      <c r="H1664" s="269"/>
      <c r="I1664" s="269"/>
      <c r="J1664" s="269"/>
      <c r="K1664" s="269"/>
      <c r="L1664" s="269"/>
      <c r="M1664" s="269"/>
      <c r="N1664" s="269"/>
      <c r="O1664" s="269"/>
      <c r="P1664" s="269"/>
      <c r="Q1664" s="269"/>
      <c r="R1664" s="269"/>
      <c r="S1664" s="269"/>
      <c r="T1664" s="269"/>
      <c r="U1664" s="269"/>
      <c r="V1664" s="269"/>
      <c r="W1664" s="269"/>
      <c r="X1664" s="269"/>
      <c r="Y1664" s="269"/>
      <c r="Z1664" s="269"/>
      <c r="AA1664" s="269"/>
      <c r="AB1664" s="269"/>
      <c r="AC1664" s="269"/>
      <c r="AD1664" s="269"/>
      <c r="AE1664" s="269"/>
      <c r="AF1664" s="269"/>
      <c r="AG1664" s="269"/>
      <c r="AH1664" s="269"/>
      <c r="AI1664" s="269"/>
      <c r="AJ1664" s="269"/>
      <c r="AK1664" s="269"/>
      <c r="AL1664" s="269"/>
      <c r="AM1664" s="269"/>
      <c r="AN1664" s="269"/>
      <c r="AO1664" s="269"/>
      <c r="AP1664" s="269"/>
      <c r="AQ1664" s="269"/>
      <c r="AR1664" s="269"/>
    </row>
    <row r="1665">
      <c r="A1665" s="410"/>
      <c r="B1665" s="410"/>
      <c r="C1665" s="410"/>
      <c r="D1665" s="410"/>
      <c r="E1665" s="410"/>
      <c r="F1665" s="410"/>
      <c r="H1665" s="269"/>
      <c r="I1665" s="269"/>
      <c r="J1665" s="269"/>
      <c r="K1665" s="269"/>
      <c r="L1665" s="269"/>
      <c r="M1665" s="269"/>
      <c r="N1665" s="269"/>
      <c r="O1665" s="269"/>
      <c r="P1665" s="269"/>
      <c r="Q1665" s="269"/>
      <c r="R1665" s="269"/>
      <c r="S1665" s="269"/>
      <c r="T1665" s="269"/>
      <c r="U1665" s="269"/>
      <c r="V1665" s="269"/>
      <c r="W1665" s="269"/>
      <c r="X1665" s="269"/>
      <c r="Y1665" s="269"/>
      <c r="Z1665" s="269"/>
      <c r="AA1665" s="269"/>
      <c r="AB1665" s="269"/>
      <c r="AC1665" s="269"/>
      <c r="AD1665" s="269"/>
      <c r="AE1665" s="269"/>
      <c r="AF1665" s="269"/>
      <c r="AG1665" s="269"/>
      <c r="AH1665" s="269"/>
      <c r="AI1665" s="269"/>
      <c r="AJ1665" s="269"/>
      <c r="AK1665" s="269"/>
      <c r="AL1665" s="269"/>
      <c r="AM1665" s="269"/>
      <c r="AN1665" s="269"/>
      <c r="AO1665" s="269"/>
      <c r="AP1665" s="269"/>
      <c r="AQ1665" s="269"/>
      <c r="AR1665" s="269"/>
    </row>
    <row r="1666">
      <c r="A1666" s="410"/>
      <c r="B1666" s="410"/>
      <c r="C1666" s="410"/>
      <c r="D1666" s="410"/>
      <c r="E1666" s="410"/>
      <c r="F1666" s="410"/>
      <c r="H1666" s="269"/>
      <c r="I1666" s="269"/>
      <c r="J1666" s="269"/>
      <c r="K1666" s="269"/>
      <c r="L1666" s="269"/>
      <c r="M1666" s="269"/>
      <c r="N1666" s="269"/>
      <c r="O1666" s="269"/>
      <c r="P1666" s="269"/>
      <c r="Q1666" s="269"/>
      <c r="R1666" s="269"/>
      <c r="S1666" s="269"/>
      <c r="T1666" s="269"/>
      <c r="U1666" s="269"/>
      <c r="V1666" s="269"/>
      <c r="W1666" s="269"/>
      <c r="X1666" s="269"/>
      <c r="Y1666" s="269"/>
      <c r="Z1666" s="269"/>
      <c r="AA1666" s="269"/>
      <c r="AB1666" s="269"/>
      <c r="AC1666" s="269"/>
      <c r="AD1666" s="269"/>
      <c r="AE1666" s="269"/>
      <c r="AF1666" s="269"/>
      <c r="AG1666" s="269"/>
      <c r="AH1666" s="269"/>
      <c r="AI1666" s="269"/>
      <c r="AJ1666" s="269"/>
      <c r="AK1666" s="269"/>
      <c r="AL1666" s="269"/>
      <c r="AM1666" s="269"/>
      <c r="AN1666" s="269"/>
      <c r="AO1666" s="269"/>
      <c r="AP1666" s="269"/>
      <c r="AQ1666" s="269"/>
      <c r="AR1666" s="269"/>
    </row>
    <row r="1667">
      <c r="A1667" s="410"/>
      <c r="B1667" s="410"/>
      <c r="C1667" s="410"/>
      <c r="D1667" s="410"/>
      <c r="E1667" s="410"/>
      <c r="F1667" s="410"/>
      <c r="H1667" s="269"/>
      <c r="I1667" s="269"/>
      <c r="J1667" s="269"/>
      <c r="K1667" s="269"/>
      <c r="L1667" s="269"/>
      <c r="M1667" s="269"/>
      <c r="N1667" s="269"/>
      <c r="O1667" s="269"/>
      <c r="P1667" s="269"/>
      <c r="Q1667" s="269"/>
      <c r="R1667" s="269"/>
      <c r="S1667" s="269"/>
      <c r="T1667" s="269"/>
      <c r="U1667" s="269"/>
      <c r="V1667" s="269"/>
      <c r="W1667" s="269"/>
      <c r="X1667" s="269"/>
      <c r="Y1667" s="269"/>
      <c r="Z1667" s="269"/>
      <c r="AA1667" s="269"/>
      <c r="AB1667" s="269"/>
      <c r="AC1667" s="269"/>
      <c r="AD1667" s="269"/>
      <c r="AE1667" s="269"/>
      <c r="AF1667" s="269"/>
      <c r="AG1667" s="269"/>
      <c r="AH1667" s="269"/>
      <c r="AI1667" s="269"/>
      <c r="AJ1667" s="269"/>
      <c r="AK1667" s="269"/>
      <c r="AL1667" s="269"/>
      <c r="AM1667" s="269"/>
      <c r="AN1667" s="269"/>
      <c r="AO1667" s="269"/>
      <c r="AP1667" s="269"/>
      <c r="AQ1667" s="269"/>
      <c r="AR1667" s="269"/>
    </row>
    <row r="1668">
      <c r="A1668" s="410"/>
      <c r="B1668" s="410"/>
      <c r="C1668" s="410"/>
      <c r="D1668" s="410"/>
      <c r="E1668" s="410"/>
      <c r="F1668" s="410"/>
      <c r="H1668" s="269"/>
      <c r="I1668" s="269"/>
      <c r="J1668" s="269"/>
      <c r="K1668" s="269"/>
      <c r="L1668" s="269"/>
      <c r="M1668" s="269"/>
      <c r="N1668" s="269"/>
      <c r="O1668" s="269"/>
      <c r="P1668" s="269"/>
      <c r="Q1668" s="269"/>
      <c r="R1668" s="269"/>
      <c r="S1668" s="269"/>
      <c r="T1668" s="269"/>
      <c r="U1668" s="269"/>
      <c r="V1668" s="269"/>
      <c r="W1668" s="269"/>
      <c r="X1668" s="269"/>
      <c r="Y1668" s="269"/>
      <c r="Z1668" s="269"/>
      <c r="AA1668" s="269"/>
      <c r="AB1668" s="269"/>
      <c r="AC1668" s="269"/>
      <c r="AD1668" s="269"/>
      <c r="AE1668" s="269"/>
      <c r="AF1668" s="269"/>
      <c r="AG1668" s="269"/>
      <c r="AH1668" s="269"/>
      <c r="AI1668" s="269"/>
      <c r="AJ1668" s="269"/>
      <c r="AK1668" s="269"/>
      <c r="AL1668" s="269"/>
      <c r="AM1668" s="269"/>
      <c r="AN1668" s="269"/>
      <c r="AO1668" s="269"/>
      <c r="AP1668" s="269"/>
      <c r="AQ1668" s="269"/>
      <c r="AR1668" s="269"/>
    </row>
    <row r="1669">
      <c r="A1669" s="410"/>
      <c r="B1669" s="410"/>
      <c r="C1669" s="410"/>
      <c r="D1669" s="410"/>
      <c r="E1669" s="410"/>
      <c r="F1669" s="410"/>
      <c r="H1669" s="269"/>
      <c r="I1669" s="269"/>
      <c r="J1669" s="269"/>
      <c r="K1669" s="269"/>
      <c r="L1669" s="269"/>
      <c r="M1669" s="269"/>
      <c r="N1669" s="269"/>
      <c r="O1669" s="269"/>
      <c r="P1669" s="269"/>
      <c r="Q1669" s="269"/>
      <c r="R1669" s="269"/>
      <c r="S1669" s="269"/>
      <c r="T1669" s="269"/>
      <c r="U1669" s="269"/>
      <c r="V1669" s="269"/>
      <c r="W1669" s="269"/>
      <c r="X1669" s="269"/>
      <c r="Y1669" s="269"/>
      <c r="Z1669" s="269"/>
      <c r="AA1669" s="269"/>
      <c r="AB1669" s="269"/>
      <c r="AC1669" s="269"/>
      <c r="AD1669" s="269"/>
      <c r="AE1669" s="269"/>
      <c r="AF1669" s="269"/>
      <c r="AG1669" s="269"/>
      <c r="AH1669" s="269"/>
      <c r="AI1669" s="269"/>
      <c r="AJ1669" s="269"/>
      <c r="AK1669" s="269"/>
      <c r="AL1669" s="269"/>
      <c r="AM1669" s="269"/>
      <c r="AN1669" s="269"/>
      <c r="AO1669" s="269"/>
      <c r="AP1669" s="269"/>
      <c r="AQ1669" s="269"/>
      <c r="AR1669" s="269"/>
    </row>
    <row r="1670">
      <c r="A1670" s="410"/>
      <c r="B1670" s="410"/>
      <c r="C1670" s="410"/>
      <c r="D1670" s="410"/>
      <c r="E1670" s="410"/>
      <c r="F1670" s="410"/>
      <c r="H1670" s="269"/>
      <c r="I1670" s="269"/>
      <c r="J1670" s="269"/>
      <c r="K1670" s="269"/>
      <c r="L1670" s="269"/>
      <c r="M1670" s="269"/>
      <c r="N1670" s="269"/>
      <c r="O1670" s="269"/>
      <c r="P1670" s="269"/>
      <c r="Q1670" s="269"/>
      <c r="R1670" s="269"/>
      <c r="S1670" s="269"/>
      <c r="T1670" s="269"/>
      <c r="U1670" s="269"/>
      <c r="V1670" s="269"/>
      <c r="W1670" s="269"/>
      <c r="X1670" s="269"/>
      <c r="Y1670" s="269"/>
      <c r="Z1670" s="269"/>
      <c r="AA1670" s="269"/>
      <c r="AB1670" s="269"/>
      <c r="AC1670" s="269"/>
      <c r="AD1670" s="269"/>
      <c r="AE1670" s="269"/>
      <c r="AF1670" s="269"/>
      <c r="AG1670" s="269"/>
      <c r="AH1670" s="269"/>
      <c r="AI1670" s="269"/>
      <c r="AJ1670" s="269"/>
      <c r="AK1670" s="269"/>
      <c r="AL1670" s="269"/>
      <c r="AM1670" s="269"/>
      <c r="AN1670" s="269"/>
      <c r="AO1670" s="269"/>
      <c r="AP1670" s="269"/>
      <c r="AQ1670" s="269"/>
      <c r="AR1670" s="269"/>
    </row>
    <row r="1671">
      <c r="A1671" s="410"/>
      <c r="B1671" s="410"/>
      <c r="C1671" s="410"/>
      <c r="D1671" s="410"/>
      <c r="E1671" s="410"/>
      <c r="F1671" s="410"/>
      <c r="H1671" s="269"/>
      <c r="I1671" s="269"/>
      <c r="J1671" s="269"/>
      <c r="K1671" s="269"/>
      <c r="L1671" s="269"/>
      <c r="M1671" s="269"/>
      <c r="N1671" s="269"/>
      <c r="O1671" s="269"/>
      <c r="P1671" s="269"/>
      <c r="Q1671" s="269"/>
      <c r="R1671" s="269"/>
      <c r="S1671" s="269"/>
      <c r="T1671" s="269"/>
      <c r="U1671" s="269"/>
      <c r="V1671" s="269"/>
      <c r="W1671" s="269"/>
      <c r="X1671" s="269"/>
      <c r="Y1671" s="269"/>
      <c r="Z1671" s="269"/>
      <c r="AA1671" s="269"/>
      <c r="AB1671" s="269"/>
      <c r="AC1671" s="269"/>
      <c r="AD1671" s="269"/>
      <c r="AE1671" s="269"/>
      <c r="AF1671" s="269"/>
      <c r="AG1671" s="269"/>
      <c r="AH1671" s="269"/>
      <c r="AI1671" s="269"/>
      <c r="AJ1671" s="269"/>
      <c r="AK1671" s="269"/>
      <c r="AL1671" s="269"/>
      <c r="AM1671" s="269"/>
      <c r="AN1671" s="269"/>
      <c r="AO1671" s="269"/>
      <c r="AP1671" s="269"/>
      <c r="AQ1671" s="269"/>
      <c r="AR1671" s="269"/>
    </row>
    <row r="1672">
      <c r="A1672" s="410"/>
      <c r="B1672" s="410"/>
      <c r="C1672" s="410"/>
      <c r="D1672" s="410"/>
      <c r="E1672" s="410"/>
      <c r="F1672" s="410"/>
      <c r="H1672" s="269"/>
      <c r="I1672" s="269"/>
      <c r="J1672" s="269"/>
      <c r="K1672" s="269"/>
      <c r="L1672" s="269"/>
      <c r="M1672" s="269"/>
      <c r="N1672" s="269"/>
      <c r="O1672" s="269"/>
      <c r="P1672" s="269"/>
      <c r="Q1672" s="269"/>
      <c r="R1672" s="269"/>
      <c r="S1672" s="269"/>
      <c r="T1672" s="269"/>
      <c r="U1672" s="269"/>
      <c r="V1672" s="269"/>
      <c r="W1672" s="269"/>
      <c r="X1672" s="269"/>
      <c r="Y1672" s="269"/>
      <c r="Z1672" s="269"/>
      <c r="AA1672" s="269"/>
      <c r="AB1672" s="269"/>
      <c r="AC1672" s="269"/>
      <c r="AD1672" s="269"/>
      <c r="AE1672" s="269"/>
      <c r="AF1672" s="269"/>
      <c r="AG1672" s="269"/>
      <c r="AH1672" s="269"/>
      <c r="AI1672" s="269"/>
      <c r="AJ1672" s="269"/>
      <c r="AK1672" s="269"/>
      <c r="AL1672" s="269"/>
      <c r="AM1672" s="269"/>
      <c r="AN1672" s="269"/>
      <c r="AO1672" s="269"/>
      <c r="AP1672" s="269"/>
      <c r="AQ1672" s="269"/>
      <c r="AR1672" s="269"/>
    </row>
    <row r="1673">
      <c r="A1673" s="410"/>
      <c r="B1673" s="410"/>
      <c r="C1673" s="410"/>
      <c r="D1673" s="410"/>
      <c r="E1673" s="410"/>
      <c r="F1673" s="410"/>
      <c r="H1673" s="269"/>
      <c r="I1673" s="269"/>
      <c r="J1673" s="269"/>
      <c r="K1673" s="269"/>
      <c r="L1673" s="269"/>
      <c r="M1673" s="269"/>
      <c r="N1673" s="269"/>
      <c r="O1673" s="269"/>
      <c r="P1673" s="269"/>
      <c r="Q1673" s="269"/>
      <c r="R1673" s="269"/>
      <c r="S1673" s="269"/>
      <c r="T1673" s="269"/>
      <c r="U1673" s="269"/>
      <c r="V1673" s="269"/>
      <c r="W1673" s="269"/>
      <c r="X1673" s="269"/>
      <c r="Y1673" s="269"/>
      <c r="Z1673" s="269"/>
      <c r="AA1673" s="269"/>
      <c r="AB1673" s="269"/>
      <c r="AC1673" s="269"/>
      <c r="AD1673" s="269"/>
      <c r="AE1673" s="269"/>
      <c r="AF1673" s="269"/>
      <c r="AG1673" s="269"/>
      <c r="AH1673" s="269"/>
      <c r="AI1673" s="269"/>
      <c r="AJ1673" s="269"/>
      <c r="AK1673" s="269"/>
      <c r="AL1673" s="269"/>
      <c r="AM1673" s="269"/>
      <c r="AN1673" s="269"/>
      <c r="AO1673" s="269"/>
      <c r="AP1673" s="269"/>
      <c r="AQ1673" s="269"/>
      <c r="AR1673" s="269"/>
    </row>
    <row r="1674">
      <c r="A1674" s="410"/>
      <c r="B1674" s="410"/>
      <c r="C1674" s="410"/>
      <c r="D1674" s="410"/>
      <c r="E1674" s="410"/>
      <c r="F1674" s="410"/>
      <c r="H1674" s="269"/>
      <c r="I1674" s="269"/>
      <c r="J1674" s="269"/>
      <c r="K1674" s="269"/>
      <c r="L1674" s="269"/>
      <c r="M1674" s="269"/>
      <c r="N1674" s="269"/>
      <c r="O1674" s="269"/>
      <c r="P1674" s="269"/>
      <c r="Q1674" s="269"/>
      <c r="R1674" s="269"/>
      <c r="S1674" s="269"/>
      <c r="T1674" s="269"/>
      <c r="U1674" s="269"/>
      <c r="V1674" s="269"/>
      <c r="W1674" s="269"/>
      <c r="X1674" s="269"/>
      <c r="Y1674" s="269"/>
      <c r="Z1674" s="269"/>
      <c r="AA1674" s="269"/>
      <c r="AB1674" s="269"/>
      <c r="AC1674" s="269"/>
      <c r="AD1674" s="269"/>
      <c r="AE1674" s="269"/>
      <c r="AF1674" s="269"/>
      <c r="AG1674" s="269"/>
      <c r="AH1674" s="269"/>
      <c r="AI1674" s="269"/>
      <c r="AJ1674" s="269"/>
      <c r="AK1674" s="269"/>
      <c r="AL1674" s="269"/>
      <c r="AM1674" s="269"/>
      <c r="AN1674" s="269"/>
      <c r="AO1674" s="269"/>
      <c r="AP1674" s="269"/>
      <c r="AQ1674" s="269"/>
      <c r="AR1674" s="269"/>
    </row>
    <row r="1675">
      <c r="A1675" s="410"/>
      <c r="B1675" s="410"/>
      <c r="C1675" s="410"/>
      <c r="D1675" s="410"/>
      <c r="E1675" s="410"/>
      <c r="F1675" s="410"/>
      <c r="H1675" s="269"/>
      <c r="I1675" s="269"/>
      <c r="J1675" s="269"/>
      <c r="K1675" s="269"/>
      <c r="L1675" s="269"/>
      <c r="M1675" s="269"/>
      <c r="N1675" s="269"/>
      <c r="O1675" s="269"/>
      <c r="P1675" s="269"/>
      <c r="Q1675" s="269"/>
      <c r="R1675" s="269"/>
      <c r="S1675" s="269"/>
      <c r="T1675" s="269"/>
      <c r="U1675" s="269"/>
      <c r="V1675" s="269"/>
      <c r="W1675" s="269"/>
      <c r="X1675" s="269"/>
      <c r="Y1675" s="269"/>
      <c r="Z1675" s="269"/>
      <c r="AA1675" s="269"/>
      <c r="AB1675" s="269"/>
      <c r="AC1675" s="269"/>
      <c r="AD1675" s="269"/>
      <c r="AE1675" s="269"/>
      <c r="AF1675" s="269"/>
      <c r="AG1675" s="269"/>
      <c r="AH1675" s="269"/>
      <c r="AI1675" s="269"/>
      <c r="AJ1675" s="269"/>
      <c r="AK1675" s="269"/>
      <c r="AL1675" s="269"/>
      <c r="AM1675" s="269"/>
      <c r="AN1675" s="269"/>
      <c r="AO1675" s="269"/>
      <c r="AP1675" s="269"/>
      <c r="AQ1675" s="269"/>
      <c r="AR1675" s="269"/>
    </row>
    <row r="1676">
      <c r="A1676" s="410"/>
      <c r="B1676" s="410"/>
      <c r="C1676" s="410"/>
      <c r="D1676" s="410"/>
      <c r="E1676" s="410"/>
      <c r="F1676" s="410"/>
      <c r="H1676" s="269"/>
      <c r="I1676" s="269"/>
      <c r="J1676" s="269"/>
      <c r="K1676" s="269"/>
      <c r="L1676" s="269"/>
      <c r="M1676" s="269"/>
      <c r="N1676" s="269"/>
      <c r="O1676" s="269"/>
      <c r="P1676" s="269"/>
      <c r="Q1676" s="269"/>
      <c r="R1676" s="269"/>
      <c r="S1676" s="269"/>
      <c r="T1676" s="269"/>
      <c r="U1676" s="269"/>
      <c r="V1676" s="269"/>
      <c r="W1676" s="269"/>
      <c r="X1676" s="269"/>
      <c r="Y1676" s="269"/>
      <c r="Z1676" s="269"/>
      <c r="AA1676" s="269"/>
      <c r="AB1676" s="269"/>
      <c r="AC1676" s="269"/>
      <c r="AD1676" s="269"/>
      <c r="AE1676" s="269"/>
      <c r="AF1676" s="269"/>
      <c r="AG1676" s="269"/>
      <c r="AH1676" s="269"/>
      <c r="AI1676" s="269"/>
      <c r="AJ1676" s="269"/>
      <c r="AK1676" s="269"/>
      <c r="AL1676" s="269"/>
      <c r="AM1676" s="269"/>
      <c r="AN1676" s="269"/>
      <c r="AO1676" s="269"/>
      <c r="AP1676" s="269"/>
      <c r="AQ1676" s="269"/>
      <c r="AR1676" s="269"/>
    </row>
    <row r="1677">
      <c r="A1677" s="410"/>
      <c r="B1677" s="410"/>
      <c r="C1677" s="410"/>
      <c r="D1677" s="410"/>
      <c r="E1677" s="410"/>
      <c r="F1677" s="410"/>
      <c r="H1677" s="269"/>
      <c r="I1677" s="269"/>
      <c r="J1677" s="269"/>
      <c r="K1677" s="269"/>
      <c r="L1677" s="269"/>
      <c r="M1677" s="269"/>
      <c r="N1677" s="269"/>
      <c r="O1677" s="269"/>
      <c r="P1677" s="269"/>
      <c r="Q1677" s="269"/>
      <c r="R1677" s="269"/>
      <c r="S1677" s="269"/>
      <c r="T1677" s="269"/>
      <c r="U1677" s="269"/>
      <c r="V1677" s="269"/>
      <c r="W1677" s="269"/>
      <c r="X1677" s="269"/>
      <c r="Y1677" s="269"/>
      <c r="Z1677" s="269"/>
      <c r="AA1677" s="269"/>
      <c r="AB1677" s="269"/>
      <c r="AC1677" s="269"/>
      <c r="AD1677" s="269"/>
      <c r="AE1677" s="269"/>
      <c r="AF1677" s="269"/>
      <c r="AG1677" s="269"/>
      <c r="AH1677" s="269"/>
      <c r="AI1677" s="269"/>
      <c r="AJ1677" s="269"/>
      <c r="AK1677" s="269"/>
      <c r="AL1677" s="269"/>
      <c r="AM1677" s="269"/>
      <c r="AN1677" s="269"/>
      <c r="AO1677" s="269"/>
      <c r="AP1677" s="269"/>
      <c r="AQ1677" s="269"/>
      <c r="AR1677" s="269"/>
    </row>
    <row r="1678">
      <c r="A1678" s="410"/>
      <c r="B1678" s="410"/>
      <c r="C1678" s="410"/>
      <c r="D1678" s="410"/>
      <c r="E1678" s="410"/>
      <c r="F1678" s="410"/>
      <c r="H1678" s="269"/>
      <c r="I1678" s="269"/>
      <c r="J1678" s="269"/>
      <c r="K1678" s="269"/>
      <c r="L1678" s="269"/>
      <c r="M1678" s="269"/>
      <c r="N1678" s="269"/>
      <c r="O1678" s="269"/>
      <c r="P1678" s="269"/>
      <c r="Q1678" s="269"/>
      <c r="R1678" s="269"/>
      <c r="S1678" s="269"/>
      <c r="T1678" s="269"/>
      <c r="U1678" s="269"/>
      <c r="V1678" s="269"/>
      <c r="W1678" s="269"/>
      <c r="X1678" s="269"/>
      <c r="Y1678" s="269"/>
      <c r="Z1678" s="269"/>
      <c r="AA1678" s="269"/>
      <c r="AB1678" s="269"/>
      <c r="AC1678" s="269"/>
      <c r="AD1678" s="269"/>
      <c r="AE1678" s="269"/>
      <c r="AF1678" s="269"/>
      <c r="AG1678" s="269"/>
      <c r="AH1678" s="269"/>
      <c r="AI1678" s="269"/>
      <c r="AJ1678" s="269"/>
      <c r="AK1678" s="269"/>
      <c r="AL1678" s="269"/>
      <c r="AM1678" s="269"/>
      <c r="AN1678" s="269"/>
      <c r="AO1678" s="269"/>
      <c r="AP1678" s="269"/>
      <c r="AQ1678" s="269"/>
      <c r="AR1678" s="269"/>
    </row>
    <row r="1679">
      <c r="A1679" s="410"/>
      <c r="B1679" s="410"/>
      <c r="C1679" s="410"/>
      <c r="D1679" s="410"/>
      <c r="E1679" s="410"/>
      <c r="F1679" s="410"/>
      <c r="H1679" s="269"/>
      <c r="I1679" s="269"/>
      <c r="J1679" s="269"/>
      <c r="K1679" s="269"/>
      <c r="L1679" s="269"/>
      <c r="M1679" s="269"/>
      <c r="N1679" s="269"/>
      <c r="O1679" s="269"/>
      <c r="P1679" s="269"/>
      <c r="Q1679" s="269"/>
      <c r="R1679" s="269"/>
      <c r="S1679" s="269"/>
      <c r="T1679" s="269"/>
      <c r="U1679" s="269"/>
      <c r="V1679" s="269"/>
      <c r="W1679" s="269"/>
      <c r="X1679" s="269"/>
      <c r="Y1679" s="269"/>
      <c r="Z1679" s="269"/>
      <c r="AA1679" s="269"/>
      <c r="AB1679" s="269"/>
      <c r="AC1679" s="269"/>
      <c r="AD1679" s="269"/>
      <c r="AE1679" s="269"/>
      <c r="AF1679" s="269"/>
      <c r="AG1679" s="269"/>
      <c r="AH1679" s="269"/>
      <c r="AI1679" s="269"/>
      <c r="AJ1679" s="269"/>
      <c r="AK1679" s="269"/>
      <c r="AL1679" s="269"/>
      <c r="AM1679" s="269"/>
      <c r="AN1679" s="269"/>
      <c r="AO1679" s="269"/>
      <c r="AP1679" s="269"/>
      <c r="AQ1679" s="269"/>
      <c r="AR1679" s="269"/>
    </row>
    <row r="1680">
      <c r="A1680" s="410"/>
      <c r="B1680" s="410"/>
      <c r="C1680" s="410"/>
      <c r="D1680" s="410"/>
      <c r="E1680" s="410"/>
      <c r="F1680" s="410"/>
      <c r="H1680" s="269"/>
      <c r="I1680" s="269"/>
      <c r="J1680" s="269"/>
      <c r="K1680" s="269"/>
      <c r="L1680" s="269"/>
      <c r="M1680" s="269"/>
      <c r="N1680" s="269"/>
      <c r="O1680" s="269"/>
      <c r="P1680" s="269"/>
      <c r="Q1680" s="269"/>
      <c r="R1680" s="269"/>
      <c r="S1680" s="269"/>
      <c r="T1680" s="269"/>
      <c r="U1680" s="269"/>
      <c r="V1680" s="269"/>
      <c r="W1680" s="269"/>
      <c r="X1680" s="269"/>
      <c r="Y1680" s="269"/>
      <c r="Z1680" s="269"/>
      <c r="AA1680" s="269"/>
      <c r="AB1680" s="269"/>
      <c r="AC1680" s="269"/>
      <c r="AD1680" s="269"/>
      <c r="AE1680" s="269"/>
      <c r="AF1680" s="269"/>
      <c r="AG1680" s="269"/>
      <c r="AH1680" s="269"/>
      <c r="AI1680" s="269"/>
      <c r="AJ1680" s="269"/>
      <c r="AK1680" s="269"/>
      <c r="AL1680" s="269"/>
      <c r="AM1680" s="269"/>
      <c r="AN1680" s="269"/>
      <c r="AO1680" s="269"/>
      <c r="AP1680" s="269"/>
      <c r="AQ1680" s="269"/>
      <c r="AR1680" s="269"/>
    </row>
    <row r="1681">
      <c r="A1681" s="410"/>
      <c r="B1681" s="410"/>
      <c r="C1681" s="410"/>
      <c r="D1681" s="410"/>
      <c r="E1681" s="410"/>
      <c r="F1681" s="410"/>
      <c r="H1681" s="269"/>
      <c r="I1681" s="269"/>
      <c r="J1681" s="269"/>
      <c r="K1681" s="269"/>
      <c r="L1681" s="269"/>
      <c r="M1681" s="269"/>
      <c r="N1681" s="269"/>
      <c r="O1681" s="269"/>
      <c r="P1681" s="269"/>
      <c r="Q1681" s="269"/>
      <c r="R1681" s="269"/>
      <c r="S1681" s="269"/>
      <c r="T1681" s="269"/>
      <c r="U1681" s="269"/>
      <c r="V1681" s="269"/>
      <c r="W1681" s="269"/>
      <c r="X1681" s="269"/>
      <c r="Y1681" s="269"/>
      <c r="Z1681" s="269"/>
      <c r="AA1681" s="269"/>
      <c r="AB1681" s="269"/>
      <c r="AC1681" s="269"/>
      <c r="AD1681" s="269"/>
      <c r="AE1681" s="269"/>
      <c r="AF1681" s="269"/>
      <c r="AG1681" s="269"/>
      <c r="AH1681" s="269"/>
      <c r="AI1681" s="269"/>
      <c r="AJ1681" s="269"/>
      <c r="AK1681" s="269"/>
      <c r="AL1681" s="269"/>
      <c r="AM1681" s="269"/>
      <c r="AN1681" s="269"/>
      <c r="AO1681" s="269"/>
      <c r="AP1681" s="269"/>
      <c r="AQ1681" s="269"/>
      <c r="AR1681" s="269"/>
    </row>
    <row r="1682">
      <c r="A1682" s="410"/>
      <c r="B1682" s="410"/>
      <c r="C1682" s="410"/>
      <c r="D1682" s="410"/>
      <c r="E1682" s="410"/>
      <c r="F1682" s="410"/>
      <c r="H1682" s="269"/>
      <c r="I1682" s="269"/>
      <c r="J1682" s="269"/>
      <c r="K1682" s="269"/>
      <c r="L1682" s="269"/>
      <c r="M1682" s="269"/>
      <c r="N1682" s="269"/>
      <c r="O1682" s="269"/>
      <c r="P1682" s="269"/>
      <c r="Q1682" s="269"/>
      <c r="R1682" s="269"/>
      <c r="S1682" s="269"/>
      <c r="T1682" s="269"/>
      <c r="U1682" s="269"/>
      <c r="V1682" s="269"/>
      <c r="W1682" s="269"/>
      <c r="X1682" s="269"/>
      <c r="Y1682" s="269"/>
      <c r="Z1682" s="269"/>
      <c r="AA1682" s="269"/>
      <c r="AB1682" s="269"/>
      <c r="AC1682" s="269"/>
      <c r="AD1682" s="269"/>
      <c r="AE1682" s="269"/>
      <c r="AF1682" s="269"/>
      <c r="AG1682" s="269"/>
      <c r="AH1682" s="269"/>
      <c r="AI1682" s="269"/>
      <c r="AJ1682" s="269"/>
      <c r="AK1682" s="269"/>
      <c r="AL1682" s="269"/>
      <c r="AM1682" s="269"/>
      <c r="AN1682" s="269"/>
      <c r="AO1682" s="269"/>
      <c r="AP1682" s="269"/>
      <c r="AQ1682" s="269"/>
      <c r="AR1682" s="269"/>
    </row>
    <row r="1683">
      <c r="A1683" s="410"/>
      <c r="B1683" s="410"/>
      <c r="C1683" s="410"/>
      <c r="D1683" s="410"/>
      <c r="E1683" s="410"/>
      <c r="F1683" s="410"/>
      <c r="H1683" s="269"/>
      <c r="I1683" s="269"/>
      <c r="J1683" s="269"/>
      <c r="K1683" s="269"/>
      <c r="L1683" s="269"/>
      <c r="M1683" s="269"/>
      <c r="N1683" s="269"/>
      <c r="O1683" s="269"/>
      <c r="P1683" s="269"/>
      <c r="Q1683" s="269"/>
      <c r="R1683" s="269"/>
      <c r="S1683" s="269"/>
      <c r="T1683" s="269"/>
      <c r="U1683" s="269"/>
      <c r="V1683" s="269"/>
      <c r="W1683" s="269"/>
      <c r="X1683" s="269"/>
      <c r="Y1683" s="269"/>
      <c r="Z1683" s="269"/>
      <c r="AA1683" s="269"/>
      <c r="AB1683" s="269"/>
      <c r="AC1683" s="269"/>
      <c r="AD1683" s="269"/>
      <c r="AE1683" s="269"/>
      <c r="AF1683" s="269"/>
      <c r="AG1683" s="269"/>
      <c r="AH1683" s="269"/>
      <c r="AI1683" s="269"/>
      <c r="AJ1683" s="269"/>
      <c r="AK1683" s="269"/>
      <c r="AL1683" s="269"/>
      <c r="AM1683" s="269"/>
      <c r="AN1683" s="269"/>
      <c r="AO1683" s="269"/>
      <c r="AP1683" s="269"/>
      <c r="AQ1683" s="269"/>
      <c r="AR1683" s="269"/>
    </row>
    <row r="1684">
      <c r="A1684" s="410"/>
      <c r="B1684" s="410"/>
      <c r="C1684" s="410"/>
      <c r="D1684" s="410"/>
      <c r="E1684" s="410"/>
      <c r="F1684" s="410"/>
      <c r="H1684" s="269"/>
      <c r="I1684" s="269"/>
      <c r="J1684" s="269"/>
      <c r="K1684" s="269"/>
      <c r="L1684" s="269"/>
      <c r="M1684" s="269"/>
      <c r="N1684" s="269"/>
      <c r="O1684" s="269"/>
      <c r="P1684" s="269"/>
      <c r="Q1684" s="269"/>
      <c r="R1684" s="269"/>
      <c r="S1684" s="269"/>
      <c r="T1684" s="269"/>
      <c r="U1684" s="269"/>
      <c r="V1684" s="269"/>
      <c r="W1684" s="269"/>
      <c r="X1684" s="269"/>
      <c r="Y1684" s="269"/>
      <c r="Z1684" s="269"/>
      <c r="AA1684" s="269"/>
      <c r="AB1684" s="269"/>
      <c r="AC1684" s="269"/>
      <c r="AD1684" s="269"/>
      <c r="AE1684" s="269"/>
      <c r="AF1684" s="269"/>
      <c r="AG1684" s="269"/>
      <c r="AH1684" s="269"/>
      <c r="AI1684" s="269"/>
      <c r="AJ1684" s="269"/>
      <c r="AK1684" s="269"/>
      <c r="AL1684" s="269"/>
      <c r="AM1684" s="269"/>
      <c r="AN1684" s="269"/>
      <c r="AO1684" s="269"/>
      <c r="AP1684" s="269"/>
      <c r="AQ1684" s="269"/>
      <c r="AR1684" s="269"/>
    </row>
    <row r="1685">
      <c r="A1685" s="410"/>
      <c r="B1685" s="410"/>
      <c r="C1685" s="410"/>
      <c r="D1685" s="410"/>
      <c r="E1685" s="410"/>
      <c r="F1685" s="410"/>
      <c r="H1685" s="269"/>
      <c r="I1685" s="269"/>
      <c r="J1685" s="269"/>
      <c r="K1685" s="269"/>
      <c r="L1685" s="269"/>
      <c r="M1685" s="269"/>
      <c r="N1685" s="269"/>
      <c r="O1685" s="269"/>
      <c r="P1685" s="269"/>
      <c r="Q1685" s="269"/>
      <c r="R1685" s="269"/>
      <c r="S1685" s="269"/>
      <c r="T1685" s="269"/>
      <c r="U1685" s="269"/>
      <c r="V1685" s="269"/>
      <c r="W1685" s="269"/>
      <c r="X1685" s="269"/>
      <c r="Y1685" s="269"/>
      <c r="Z1685" s="269"/>
      <c r="AA1685" s="269"/>
      <c r="AB1685" s="269"/>
      <c r="AC1685" s="269"/>
      <c r="AD1685" s="269"/>
      <c r="AE1685" s="269"/>
      <c r="AF1685" s="269"/>
      <c r="AG1685" s="269"/>
      <c r="AH1685" s="269"/>
      <c r="AI1685" s="269"/>
      <c r="AJ1685" s="269"/>
      <c r="AK1685" s="269"/>
      <c r="AL1685" s="269"/>
      <c r="AM1685" s="269"/>
      <c r="AN1685" s="269"/>
      <c r="AO1685" s="269"/>
      <c r="AP1685" s="269"/>
      <c r="AQ1685" s="269"/>
      <c r="AR1685" s="269"/>
    </row>
    <row r="1686">
      <c r="A1686" s="410"/>
      <c r="B1686" s="410"/>
      <c r="C1686" s="410"/>
      <c r="D1686" s="410"/>
      <c r="E1686" s="410"/>
      <c r="F1686" s="410"/>
      <c r="H1686" s="269"/>
      <c r="I1686" s="269"/>
      <c r="J1686" s="269"/>
      <c r="K1686" s="269"/>
      <c r="L1686" s="269"/>
      <c r="M1686" s="269"/>
      <c r="N1686" s="269"/>
      <c r="O1686" s="269"/>
      <c r="P1686" s="269"/>
      <c r="Q1686" s="269"/>
      <c r="R1686" s="269"/>
      <c r="S1686" s="269"/>
      <c r="T1686" s="269"/>
      <c r="U1686" s="269"/>
      <c r="V1686" s="269"/>
      <c r="W1686" s="269"/>
      <c r="X1686" s="269"/>
      <c r="Y1686" s="269"/>
      <c r="Z1686" s="269"/>
      <c r="AA1686" s="269"/>
      <c r="AB1686" s="269"/>
      <c r="AC1686" s="269"/>
      <c r="AD1686" s="269"/>
      <c r="AE1686" s="269"/>
      <c r="AF1686" s="269"/>
      <c r="AG1686" s="269"/>
      <c r="AH1686" s="269"/>
      <c r="AI1686" s="269"/>
      <c r="AJ1686" s="269"/>
      <c r="AK1686" s="269"/>
      <c r="AL1686" s="269"/>
      <c r="AM1686" s="269"/>
      <c r="AN1686" s="269"/>
      <c r="AO1686" s="269"/>
      <c r="AP1686" s="269"/>
      <c r="AQ1686" s="269"/>
      <c r="AR1686" s="269"/>
    </row>
    <row r="1687">
      <c r="A1687" s="410"/>
      <c r="B1687" s="410"/>
      <c r="C1687" s="410"/>
      <c r="D1687" s="410"/>
      <c r="E1687" s="410"/>
      <c r="F1687" s="410"/>
      <c r="H1687" s="269"/>
      <c r="I1687" s="269"/>
      <c r="J1687" s="269"/>
      <c r="K1687" s="269"/>
      <c r="L1687" s="269"/>
      <c r="M1687" s="269"/>
      <c r="N1687" s="269"/>
      <c r="O1687" s="269"/>
      <c r="P1687" s="269"/>
      <c r="Q1687" s="269"/>
      <c r="R1687" s="269"/>
      <c r="S1687" s="269"/>
      <c r="T1687" s="269"/>
      <c r="U1687" s="269"/>
      <c r="V1687" s="269"/>
      <c r="W1687" s="269"/>
      <c r="X1687" s="269"/>
      <c r="Y1687" s="269"/>
      <c r="Z1687" s="269"/>
      <c r="AA1687" s="269"/>
      <c r="AB1687" s="269"/>
      <c r="AC1687" s="269"/>
      <c r="AD1687" s="269"/>
      <c r="AE1687" s="269"/>
      <c r="AF1687" s="269"/>
      <c r="AG1687" s="269"/>
      <c r="AH1687" s="269"/>
      <c r="AI1687" s="269"/>
      <c r="AJ1687" s="269"/>
      <c r="AK1687" s="269"/>
      <c r="AL1687" s="269"/>
      <c r="AM1687" s="269"/>
      <c r="AN1687" s="269"/>
      <c r="AO1687" s="269"/>
      <c r="AP1687" s="269"/>
      <c r="AQ1687" s="269"/>
      <c r="AR1687" s="269"/>
    </row>
    <row r="1688">
      <c r="A1688" s="410"/>
      <c r="B1688" s="410"/>
      <c r="C1688" s="410"/>
      <c r="D1688" s="410"/>
      <c r="E1688" s="410"/>
      <c r="F1688" s="410"/>
      <c r="H1688" s="269"/>
      <c r="I1688" s="269"/>
      <c r="J1688" s="269"/>
      <c r="K1688" s="269"/>
      <c r="L1688" s="269"/>
      <c r="M1688" s="269"/>
      <c r="N1688" s="269"/>
      <c r="O1688" s="269"/>
      <c r="P1688" s="269"/>
      <c r="Q1688" s="269"/>
      <c r="R1688" s="269"/>
      <c r="S1688" s="269"/>
      <c r="T1688" s="269"/>
      <c r="U1688" s="269"/>
      <c r="V1688" s="269"/>
      <c r="W1688" s="269"/>
      <c r="X1688" s="269"/>
      <c r="Y1688" s="269"/>
      <c r="Z1688" s="269"/>
      <c r="AA1688" s="269"/>
      <c r="AB1688" s="269"/>
      <c r="AC1688" s="269"/>
      <c r="AD1688" s="269"/>
      <c r="AE1688" s="269"/>
      <c r="AF1688" s="269"/>
      <c r="AG1688" s="269"/>
      <c r="AH1688" s="269"/>
      <c r="AI1688" s="269"/>
      <c r="AJ1688" s="269"/>
      <c r="AK1688" s="269"/>
      <c r="AL1688" s="269"/>
      <c r="AM1688" s="269"/>
      <c r="AN1688" s="269"/>
      <c r="AO1688" s="269"/>
      <c r="AP1688" s="269"/>
      <c r="AQ1688" s="269"/>
      <c r="AR1688" s="269"/>
    </row>
    <row r="1689">
      <c r="A1689" s="410"/>
      <c r="B1689" s="410"/>
      <c r="C1689" s="410"/>
      <c r="D1689" s="410"/>
      <c r="E1689" s="410"/>
      <c r="F1689" s="410"/>
      <c r="H1689" s="269"/>
      <c r="I1689" s="269"/>
      <c r="J1689" s="269"/>
      <c r="K1689" s="269"/>
      <c r="L1689" s="269"/>
      <c r="M1689" s="269"/>
      <c r="N1689" s="269"/>
      <c r="O1689" s="269"/>
      <c r="P1689" s="269"/>
      <c r="Q1689" s="269"/>
      <c r="R1689" s="269"/>
      <c r="S1689" s="269"/>
      <c r="T1689" s="269"/>
      <c r="U1689" s="269"/>
      <c r="V1689" s="269"/>
      <c r="W1689" s="269"/>
      <c r="X1689" s="269"/>
      <c r="Y1689" s="269"/>
      <c r="Z1689" s="269"/>
      <c r="AA1689" s="269"/>
      <c r="AB1689" s="269"/>
      <c r="AC1689" s="269"/>
      <c r="AD1689" s="269"/>
      <c r="AE1689" s="269"/>
      <c r="AF1689" s="269"/>
      <c r="AG1689" s="269"/>
      <c r="AH1689" s="269"/>
      <c r="AI1689" s="269"/>
      <c r="AJ1689" s="269"/>
      <c r="AK1689" s="269"/>
      <c r="AL1689" s="269"/>
      <c r="AM1689" s="269"/>
      <c r="AN1689" s="269"/>
      <c r="AO1689" s="269"/>
      <c r="AP1689" s="269"/>
      <c r="AQ1689" s="269"/>
      <c r="AR1689" s="269"/>
    </row>
    <row r="1690">
      <c r="A1690" s="410"/>
      <c r="B1690" s="410"/>
      <c r="C1690" s="410"/>
      <c r="D1690" s="410"/>
      <c r="E1690" s="410"/>
      <c r="F1690" s="410"/>
      <c r="H1690" s="269"/>
      <c r="I1690" s="269"/>
      <c r="J1690" s="269"/>
      <c r="K1690" s="269"/>
      <c r="L1690" s="269"/>
      <c r="M1690" s="269"/>
      <c r="N1690" s="269"/>
      <c r="O1690" s="269"/>
      <c r="P1690" s="269"/>
      <c r="Q1690" s="269"/>
      <c r="R1690" s="269"/>
      <c r="S1690" s="269"/>
      <c r="T1690" s="269"/>
      <c r="U1690" s="269"/>
      <c r="V1690" s="269"/>
      <c r="W1690" s="269"/>
      <c r="X1690" s="269"/>
      <c r="Y1690" s="269"/>
      <c r="Z1690" s="269"/>
      <c r="AA1690" s="269"/>
      <c r="AB1690" s="269"/>
      <c r="AC1690" s="269"/>
      <c r="AD1690" s="269"/>
      <c r="AE1690" s="269"/>
      <c r="AF1690" s="269"/>
      <c r="AG1690" s="269"/>
      <c r="AH1690" s="269"/>
      <c r="AI1690" s="269"/>
      <c r="AJ1690" s="269"/>
      <c r="AK1690" s="269"/>
      <c r="AL1690" s="269"/>
      <c r="AM1690" s="269"/>
      <c r="AN1690" s="269"/>
      <c r="AO1690" s="269"/>
      <c r="AP1690" s="269"/>
      <c r="AQ1690" s="269"/>
      <c r="AR1690" s="269"/>
    </row>
    <row r="1691">
      <c r="A1691" s="410"/>
      <c r="B1691" s="410"/>
      <c r="C1691" s="410"/>
      <c r="D1691" s="410"/>
      <c r="E1691" s="410"/>
      <c r="F1691" s="410"/>
      <c r="H1691" s="269"/>
      <c r="I1691" s="269"/>
      <c r="J1691" s="269"/>
      <c r="K1691" s="269"/>
      <c r="L1691" s="269"/>
      <c r="M1691" s="269"/>
      <c r="N1691" s="269"/>
      <c r="O1691" s="269"/>
      <c r="P1691" s="269"/>
      <c r="Q1691" s="269"/>
      <c r="R1691" s="269"/>
      <c r="S1691" s="269"/>
      <c r="T1691" s="269"/>
      <c r="U1691" s="269"/>
      <c r="V1691" s="269"/>
      <c r="W1691" s="269"/>
      <c r="X1691" s="269"/>
      <c r="Y1691" s="269"/>
      <c r="Z1691" s="269"/>
      <c r="AA1691" s="269"/>
      <c r="AB1691" s="269"/>
      <c r="AC1691" s="269"/>
      <c r="AD1691" s="269"/>
      <c r="AE1691" s="269"/>
      <c r="AF1691" s="269"/>
      <c r="AG1691" s="269"/>
      <c r="AH1691" s="269"/>
      <c r="AI1691" s="269"/>
      <c r="AJ1691" s="269"/>
      <c r="AK1691" s="269"/>
      <c r="AL1691" s="269"/>
      <c r="AM1691" s="269"/>
      <c r="AN1691" s="269"/>
      <c r="AO1691" s="269"/>
      <c r="AP1691" s="269"/>
      <c r="AQ1691" s="269"/>
      <c r="AR1691" s="269"/>
    </row>
    <row r="1692">
      <c r="A1692" s="410"/>
      <c r="B1692" s="410"/>
      <c r="C1692" s="410"/>
      <c r="D1692" s="410"/>
      <c r="E1692" s="410"/>
      <c r="F1692" s="410"/>
      <c r="H1692" s="269"/>
      <c r="I1692" s="269"/>
      <c r="J1692" s="269"/>
      <c r="K1692" s="269"/>
      <c r="L1692" s="269"/>
      <c r="M1692" s="269"/>
      <c r="N1692" s="269"/>
      <c r="O1692" s="269"/>
      <c r="P1692" s="269"/>
      <c r="Q1692" s="269"/>
      <c r="R1692" s="269"/>
      <c r="S1692" s="269"/>
      <c r="T1692" s="269"/>
      <c r="U1692" s="269"/>
      <c r="V1692" s="269"/>
      <c r="W1692" s="269"/>
      <c r="X1692" s="269"/>
      <c r="Y1692" s="269"/>
      <c r="Z1692" s="269"/>
      <c r="AA1692" s="269"/>
      <c r="AB1692" s="269"/>
      <c r="AC1692" s="269"/>
      <c r="AD1692" s="269"/>
      <c r="AE1692" s="269"/>
      <c r="AF1692" s="269"/>
      <c r="AG1692" s="269"/>
      <c r="AH1692" s="269"/>
      <c r="AI1692" s="269"/>
      <c r="AJ1692" s="269"/>
      <c r="AK1692" s="269"/>
      <c r="AL1692" s="269"/>
      <c r="AM1692" s="269"/>
      <c r="AN1692" s="269"/>
      <c r="AO1692" s="269"/>
      <c r="AP1692" s="269"/>
      <c r="AQ1692" s="269"/>
      <c r="AR1692" s="269"/>
    </row>
    <row r="1693">
      <c r="A1693" s="410"/>
      <c r="B1693" s="410"/>
      <c r="C1693" s="410"/>
      <c r="D1693" s="410"/>
      <c r="E1693" s="410"/>
      <c r="F1693" s="410"/>
      <c r="H1693" s="269"/>
      <c r="I1693" s="269"/>
      <c r="J1693" s="269"/>
      <c r="K1693" s="269"/>
      <c r="L1693" s="269"/>
      <c r="M1693" s="269"/>
      <c r="N1693" s="269"/>
      <c r="O1693" s="269"/>
      <c r="P1693" s="269"/>
      <c r="Q1693" s="269"/>
      <c r="R1693" s="269"/>
      <c r="S1693" s="269"/>
      <c r="T1693" s="269"/>
      <c r="U1693" s="269"/>
      <c r="V1693" s="269"/>
      <c r="W1693" s="269"/>
      <c r="X1693" s="269"/>
      <c r="Y1693" s="269"/>
      <c r="Z1693" s="269"/>
      <c r="AA1693" s="269"/>
      <c r="AB1693" s="269"/>
      <c r="AC1693" s="269"/>
      <c r="AD1693" s="269"/>
      <c r="AE1693" s="269"/>
      <c r="AF1693" s="269"/>
      <c r="AG1693" s="269"/>
      <c r="AH1693" s="269"/>
      <c r="AI1693" s="269"/>
      <c r="AJ1693" s="269"/>
      <c r="AK1693" s="269"/>
      <c r="AL1693" s="269"/>
      <c r="AM1693" s="269"/>
      <c r="AN1693" s="269"/>
      <c r="AO1693" s="269"/>
      <c r="AP1693" s="269"/>
      <c r="AQ1693" s="269"/>
      <c r="AR1693" s="269"/>
    </row>
    <row r="1694">
      <c r="A1694" s="410"/>
      <c r="B1694" s="410"/>
      <c r="C1694" s="410"/>
      <c r="D1694" s="410"/>
      <c r="E1694" s="410"/>
      <c r="F1694" s="410"/>
      <c r="H1694" s="269"/>
      <c r="I1694" s="269"/>
      <c r="J1694" s="269"/>
      <c r="K1694" s="269"/>
      <c r="L1694" s="269"/>
      <c r="M1694" s="269"/>
      <c r="N1694" s="269"/>
      <c r="O1694" s="269"/>
      <c r="P1694" s="269"/>
      <c r="Q1694" s="269"/>
      <c r="R1694" s="269"/>
      <c r="S1694" s="269"/>
      <c r="T1694" s="269"/>
      <c r="U1694" s="269"/>
      <c r="V1694" s="269"/>
      <c r="W1694" s="269"/>
      <c r="X1694" s="269"/>
      <c r="Y1694" s="269"/>
      <c r="Z1694" s="269"/>
      <c r="AA1694" s="269"/>
      <c r="AB1694" s="269"/>
      <c r="AC1694" s="269"/>
      <c r="AD1694" s="269"/>
      <c r="AE1694" s="269"/>
      <c r="AF1694" s="269"/>
      <c r="AG1694" s="269"/>
      <c r="AH1694" s="269"/>
      <c r="AI1694" s="269"/>
      <c r="AJ1694" s="269"/>
      <c r="AK1694" s="269"/>
      <c r="AL1694" s="269"/>
      <c r="AM1694" s="269"/>
      <c r="AN1694" s="269"/>
      <c r="AO1694" s="269"/>
      <c r="AP1694" s="269"/>
      <c r="AQ1694" s="269"/>
      <c r="AR1694" s="269"/>
    </row>
    <row r="1695">
      <c r="A1695" s="410"/>
      <c r="B1695" s="410"/>
      <c r="C1695" s="410"/>
      <c r="D1695" s="410"/>
      <c r="E1695" s="410"/>
      <c r="F1695" s="410"/>
      <c r="H1695" s="269"/>
      <c r="I1695" s="269"/>
      <c r="J1695" s="269"/>
      <c r="K1695" s="269"/>
      <c r="L1695" s="269"/>
      <c r="M1695" s="269"/>
      <c r="N1695" s="269"/>
      <c r="O1695" s="269"/>
      <c r="P1695" s="269"/>
      <c r="Q1695" s="269"/>
      <c r="R1695" s="269"/>
      <c r="S1695" s="269"/>
      <c r="T1695" s="269"/>
      <c r="U1695" s="269"/>
      <c r="V1695" s="269"/>
      <c r="W1695" s="269"/>
      <c r="X1695" s="269"/>
      <c r="Y1695" s="269"/>
      <c r="Z1695" s="269"/>
      <c r="AA1695" s="269"/>
      <c r="AB1695" s="269"/>
      <c r="AC1695" s="269"/>
      <c r="AD1695" s="269"/>
      <c r="AE1695" s="269"/>
      <c r="AF1695" s="269"/>
      <c r="AG1695" s="269"/>
      <c r="AH1695" s="269"/>
      <c r="AI1695" s="269"/>
      <c r="AJ1695" s="269"/>
      <c r="AK1695" s="269"/>
      <c r="AL1695" s="269"/>
      <c r="AM1695" s="269"/>
      <c r="AN1695" s="269"/>
      <c r="AO1695" s="269"/>
      <c r="AP1695" s="269"/>
      <c r="AQ1695" s="269"/>
      <c r="AR1695" s="269"/>
    </row>
    <row r="1696">
      <c r="A1696" s="410"/>
      <c r="B1696" s="410"/>
      <c r="C1696" s="410"/>
      <c r="D1696" s="410"/>
      <c r="E1696" s="410"/>
      <c r="F1696" s="410"/>
      <c r="H1696" s="269"/>
      <c r="I1696" s="269"/>
      <c r="J1696" s="269"/>
      <c r="K1696" s="269"/>
      <c r="L1696" s="269"/>
      <c r="M1696" s="269"/>
      <c r="N1696" s="269"/>
      <c r="O1696" s="269"/>
      <c r="P1696" s="269"/>
      <c r="Q1696" s="269"/>
      <c r="R1696" s="269"/>
      <c r="S1696" s="269"/>
      <c r="T1696" s="269"/>
      <c r="U1696" s="269"/>
      <c r="V1696" s="269"/>
      <c r="W1696" s="269"/>
      <c r="X1696" s="269"/>
      <c r="Y1696" s="269"/>
      <c r="Z1696" s="269"/>
      <c r="AA1696" s="269"/>
      <c r="AB1696" s="269"/>
      <c r="AC1696" s="269"/>
      <c r="AD1696" s="269"/>
      <c r="AE1696" s="269"/>
      <c r="AF1696" s="269"/>
      <c r="AG1696" s="269"/>
      <c r="AH1696" s="269"/>
      <c r="AI1696" s="269"/>
      <c r="AJ1696" s="269"/>
      <c r="AK1696" s="269"/>
      <c r="AL1696" s="269"/>
      <c r="AM1696" s="269"/>
      <c r="AN1696" s="269"/>
      <c r="AO1696" s="269"/>
      <c r="AP1696" s="269"/>
      <c r="AQ1696" s="269"/>
      <c r="AR1696" s="269"/>
    </row>
    <row r="1697">
      <c r="A1697" s="410"/>
      <c r="B1697" s="410"/>
      <c r="C1697" s="410"/>
      <c r="D1697" s="410"/>
      <c r="E1697" s="410"/>
      <c r="F1697" s="410"/>
      <c r="H1697" s="269"/>
      <c r="I1697" s="269"/>
      <c r="J1697" s="269"/>
      <c r="K1697" s="269"/>
      <c r="L1697" s="269"/>
      <c r="M1697" s="269"/>
      <c r="N1697" s="269"/>
      <c r="O1697" s="269"/>
      <c r="P1697" s="269"/>
      <c r="Q1697" s="269"/>
      <c r="R1697" s="269"/>
      <c r="S1697" s="269"/>
      <c r="T1697" s="269"/>
      <c r="U1697" s="269"/>
      <c r="V1697" s="269"/>
      <c r="W1697" s="269"/>
      <c r="X1697" s="269"/>
      <c r="Y1697" s="269"/>
      <c r="Z1697" s="269"/>
      <c r="AA1697" s="269"/>
      <c r="AB1697" s="269"/>
      <c r="AC1697" s="269"/>
      <c r="AD1697" s="269"/>
      <c r="AE1697" s="269"/>
      <c r="AF1697" s="269"/>
      <c r="AG1697" s="269"/>
      <c r="AH1697" s="269"/>
      <c r="AI1697" s="269"/>
      <c r="AJ1697" s="269"/>
      <c r="AK1697" s="269"/>
      <c r="AL1697" s="269"/>
      <c r="AM1697" s="269"/>
      <c r="AN1697" s="269"/>
      <c r="AO1697" s="269"/>
      <c r="AP1697" s="269"/>
      <c r="AQ1697" s="269"/>
      <c r="AR1697" s="269"/>
    </row>
    <row r="1698">
      <c r="A1698" s="410"/>
      <c r="B1698" s="410"/>
      <c r="C1698" s="410"/>
      <c r="D1698" s="410"/>
      <c r="E1698" s="410"/>
      <c r="F1698" s="410"/>
      <c r="H1698" s="269"/>
      <c r="I1698" s="269"/>
      <c r="J1698" s="269"/>
      <c r="K1698" s="269"/>
      <c r="L1698" s="269"/>
      <c r="M1698" s="269"/>
      <c r="N1698" s="269"/>
      <c r="O1698" s="269"/>
      <c r="P1698" s="269"/>
      <c r="Q1698" s="269"/>
      <c r="R1698" s="269"/>
      <c r="S1698" s="269"/>
      <c r="T1698" s="269"/>
      <c r="U1698" s="269"/>
      <c r="V1698" s="269"/>
      <c r="W1698" s="269"/>
      <c r="X1698" s="269"/>
      <c r="Y1698" s="269"/>
      <c r="Z1698" s="269"/>
      <c r="AA1698" s="269"/>
      <c r="AB1698" s="269"/>
      <c r="AC1698" s="269"/>
      <c r="AD1698" s="269"/>
      <c r="AE1698" s="269"/>
      <c r="AF1698" s="269"/>
      <c r="AG1698" s="269"/>
      <c r="AH1698" s="269"/>
      <c r="AI1698" s="269"/>
      <c r="AJ1698" s="269"/>
      <c r="AK1698" s="269"/>
      <c r="AL1698" s="269"/>
      <c r="AM1698" s="269"/>
      <c r="AN1698" s="269"/>
      <c r="AO1698" s="269"/>
      <c r="AP1698" s="269"/>
      <c r="AQ1698" s="269"/>
      <c r="AR1698" s="269"/>
    </row>
    <row r="1699">
      <c r="A1699" s="410"/>
      <c r="B1699" s="410"/>
      <c r="C1699" s="410"/>
      <c r="D1699" s="410"/>
      <c r="E1699" s="410"/>
      <c r="F1699" s="410"/>
      <c r="H1699" s="269"/>
      <c r="I1699" s="269"/>
      <c r="J1699" s="269"/>
      <c r="K1699" s="269"/>
      <c r="L1699" s="269"/>
      <c r="M1699" s="269"/>
      <c r="N1699" s="269"/>
      <c r="O1699" s="269"/>
      <c r="P1699" s="269"/>
      <c r="Q1699" s="269"/>
      <c r="R1699" s="269"/>
      <c r="S1699" s="269"/>
      <c r="T1699" s="269"/>
      <c r="U1699" s="269"/>
      <c r="V1699" s="269"/>
      <c r="W1699" s="269"/>
      <c r="X1699" s="269"/>
      <c r="Y1699" s="269"/>
      <c r="Z1699" s="269"/>
      <c r="AA1699" s="269"/>
      <c r="AB1699" s="269"/>
      <c r="AC1699" s="269"/>
      <c r="AD1699" s="269"/>
      <c r="AE1699" s="269"/>
      <c r="AF1699" s="269"/>
      <c r="AG1699" s="269"/>
      <c r="AH1699" s="269"/>
      <c r="AI1699" s="269"/>
      <c r="AJ1699" s="269"/>
      <c r="AK1699" s="269"/>
      <c r="AL1699" s="269"/>
      <c r="AM1699" s="269"/>
      <c r="AN1699" s="269"/>
      <c r="AO1699" s="269"/>
      <c r="AP1699" s="269"/>
      <c r="AQ1699" s="269"/>
      <c r="AR1699" s="269"/>
    </row>
    <row r="1700">
      <c r="A1700" s="410"/>
      <c r="B1700" s="410"/>
      <c r="C1700" s="410"/>
      <c r="D1700" s="410"/>
      <c r="E1700" s="410"/>
      <c r="F1700" s="410"/>
      <c r="H1700" s="269"/>
      <c r="I1700" s="269"/>
      <c r="J1700" s="269"/>
      <c r="K1700" s="269"/>
      <c r="L1700" s="269"/>
      <c r="M1700" s="269"/>
      <c r="N1700" s="269"/>
      <c r="O1700" s="269"/>
      <c r="P1700" s="269"/>
      <c r="Q1700" s="269"/>
      <c r="R1700" s="269"/>
      <c r="S1700" s="269"/>
      <c r="T1700" s="269"/>
      <c r="U1700" s="269"/>
      <c r="V1700" s="269"/>
      <c r="W1700" s="269"/>
      <c r="X1700" s="269"/>
      <c r="Y1700" s="269"/>
      <c r="Z1700" s="269"/>
      <c r="AA1700" s="269"/>
      <c r="AB1700" s="269"/>
      <c r="AC1700" s="269"/>
      <c r="AD1700" s="269"/>
      <c r="AE1700" s="269"/>
      <c r="AF1700" s="269"/>
      <c r="AG1700" s="269"/>
      <c r="AH1700" s="269"/>
      <c r="AI1700" s="269"/>
      <c r="AJ1700" s="269"/>
      <c r="AK1700" s="269"/>
      <c r="AL1700" s="269"/>
      <c r="AM1700" s="269"/>
      <c r="AN1700" s="269"/>
      <c r="AO1700" s="269"/>
      <c r="AP1700" s="269"/>
      <c r="AQ1700" s="269"/>
      <c r="AR1700" s="269"/>
    </row>
    <row r="1701">
      <c r="A1701" s="410"/>
      <c r="B1701" s="410"/>
      <c r="C1701" s="410"/>
      <c r="D1701" s="410"/>
      <c r="E1701" s="410"/>
      <c r="F1701" s="410"/>
      <c r="H1701" s="269"/>
      <c r="I1701" s="269"/>
      <c r="J1701" s="269"/>
      <c r="K1701" s="269"/>
      <c r="L1701" s="269"/>
      <c r="M1701" s="269"/>
      <c r="N1701" s="269"/>
      <c r="O1701" s="269"/>
      <c r="P1701" s="269"/>
      <c r="Q1701" s="269"/>
      <c r="R1701" s="269"/>
      <c r="S1701" s="269"/>
      <c r="T1701" s="269"/>
      <c r="U1701" s="269"/>
      <c r="V1701" s="269"/>
      <c r="W1701" s="269"/>
      <c r="X1701" s="269"/>
      <c r="Y1701" s="269"/>
      <c r="Z1701" s="269"/>
      <c r="AA1701" s="269"/>
      <c r="AB1701" s="269"/>
      <c r="AC1701" s="269"/>
      <c r="AD1701" s="269"/>
      <c r="AE1701" s="269"/>
      <c r="AF1701" s="269"/>
      <c r="AG1701" s="269"/>
      <c r="AH1701" s="269"/>
      <c r="AI1701" s="269"/>
      <c r="AJ1701" s="269"/>
      <c r="AK1701" s="269"/>
      <c r="AL1701" s="269"/>
      <c r="AM1701" s="269"/>
      <c r="AN1701" s="269"/>
      <c r="AO1701" s="269"/>
      <c r="AP1701" s="269"/>
      <c r="AQ1701" s="269"/>
      <c r="AR1701" s="269"/>
    </row>
    <row r="1702">
      <c r="A1702" s="410"/>
      <c r="B1702" s="410"/>
      <c r="C1702" s="410"/>
      <c r="D1702" s="410"/>
      <c r="E1702" s="410"/>
      <c r="F1702" s="410"/>
      <c r="H1702" s="269"/>
      <c r="I1702" s="269"/>
      <c r="J1702" s="269"/>
      <c r="K1702" s="269"/>
      <c r="L1702" s="269"/>
      <c r="M1702" s="269"/>
      <c r="N1702" s="269"/>
      <c r="O1702" s="269"/>
      <c r="P1702" s="269"/>
      <c r="Q1702" s="269"/>
      <c r="R1702" s="269"/>
      <c r="S1702" s="269"/>
      <c r="T1702" s="269"/>
      <c r="U1702" s="269"/>
      <c r="V1702" s="269"/>
      <c r="W1702" s="269"/>
      <c r="X1702" s="269"/>
      <c r="Y1702" s="269"/>
      <c r="Z1702" s="269"/>
      <c r="AA1702" s="269"/>
      <c r="AB1702" s="269"/>
      <c r="AC1702" s="269"/>
      <c r="AD1702" s="269"/>
      <c r="AE1702" s="269"/>
      <c r="AF1702" s="269"/>
      <c r="AG1702" s="269"/>
      <c r="AH1702" s="269"/>
      <c r="AI1702" s="269"/>
      <c r="AJ1702" s="269"/>
      <c r="AK1702" s="269"/>
      <c r="AL1702" s="269"/>
      <c r="AM1702" s="269"/>
      <c r="AN1702" s="269"/>
      <c r="AO1702" s="269"/>
      <c r="AP1702" s="269"/>
      <c r="AQ1702" s="269"/>
      <c r="AR1702" s="269"/>
    </row>
    <row r="1703">
      <c r="A1703" s="410"/>
      <c r="B1703" s="410"/>
      <c r="C1703" s="410"/>
      <c r="D1703" s="410"/>
      <c r="E1703" s="410"/>
      <c r="F1703" s="410"/>
      <c r="H1703" s="269"/>
      <c r="I1703" s="269"/>
      <c r="J1703" s="269"/>
      <c r="K1703" s="269"/>
      <c r="L1703" s="269"/>
      <c r="M1703" s="269"/>
      <c r="N1703" s="269"/>
      <c r="O1703" s="269"/>
      <c r="P1703" s="269"/>
      <c r="Q1703" s="269"/>
      <c r="R1703" s="269"/>
      <c r="S1703" s="269"/>
      <c r="T1703" s="269"/>
      <c r="U1703" s="269"/>
      <c r="V1703" s="269"/>
      <c r="W1703" s="269"/>
      <c r="X1703" s="269"/>
      <c r="Y1703" s="269"/>
      <c r="Z1703" s="269"/>
      <c r="AA1703" s="269"/>
      <c r="AB1703" s="269"/>
      <c r="AC1703" s="269"/>
      <c r="AD1703" s="269"/>
      <c r="AE1703" s="269"/>
      <c r="AF1703" s="269"/>
      <c r="AG1703" s="269"/>
      <c r="AH1703" s="269"/>
      <c r="AI1703" s="269"/>
      <c r="AJ1703" s="269"/>
      <c r="AK1703" s="269"/>
      <c r="AL1703" s="269"/>
      <c r="AM1703" s="269"/>
      <c r="AN1703" s="269"/>
      <c r="AO1703" s="269"/>
      <c r="AP1703" s="269"/>
      <c r="AQ1703" s="269"/>
      <c r="AR1703" s="269"/>
    </row>
    <row r="1704">
      <c r="A1704" s="410"/>
      <c r="B1704" s="410"/>
      <c r="C1704" s="410"/>
      <c r="D1704" s="410"/>
      <c r="E1704" s="410"/>
      <c r="F1704" s="410"/>
      <c r="H1704" s="269"/>
      <c r="I1704" s="269"/>
      <c r="J1704" s="269"/>
      <c r="K1704" s="269"/>
      <c r="L1704" s="269"/>
      <c r="M1704" s="269"/>
      <c r="N1704" s="269"/>
      <c r="O1704" s="269"/>
      <c r="P1704" s="269"/>
      <c r="Q1704" s="269"/>
      <c r="R1704" s="269"/>
      <c r="S1704" s="269"/>
      <c r="T1704" s="269"/>
      <c r="U1704" s="269"/>
      <c r="V1704" s="269"/>
      <c r="W1704" s="269"/>
      <c r="X1704" s="269"/>
      <c r="Y1704" s="269"/>
      <c r="Z1704" s="269"/>
      <c r="AA1704" s="269"/>
      <c r="AB1704" s="269"/>
      <c r="AC1704" s="269"/>
      <c r="AD1704" s="269"/>
      <c r="AE1704" s="269"/>
      <c r="AF1704" s="269"/>
      <c r="AG1704" s="269"/>
      <c r="AH1704" s="269"/>
      <c r="AI1704" s="269"/>
      <c r="AJ1704" s="269"/>
      <c r="AK1704" s="269"/>
      <c r="AL1704" s="269"/>
      <c r="AM1704" s="269"/>
      <c r="AN1704" s="269"/>
      <c r="AO1704" s="269"/>
      <c r="AP1704" s="269"/>
      <c r="AQ1704" s="269"/>
      <c r="AR1704" s="269"/>
    </row>
    <row r="1705">
      <c r="A1705" s="410"/>
      <c r="B1705" s="410"/>
      <c r="C1705" s="410"/>
      <c r="D1705" s="410"/>
      <c r="E1705" s="410"/>
      <c r="F1705" s="410"/>
      <c r="H1705" s="269"/>
      <c r="I1705" s="269"/>
      <c r="J1705" s="269"/>
      <c r="K1705" s="269"/>
      <c r="L1705" s="269"/>
      <c r="M1705" s="269"/>
      <c r="N1705" s="269"/>
      <c r="O1705" s="269"/>
      <c r="P1705" s="269"/>
      <c r="Q1705" s="269"/>
      <c r="R1705" s="269"/>
      <c r="S1705" s="269"/>
      <c r="T1705" s="269"/>
      <c r="U1705" s="269"/>
      <c r="V1705" s="269"/>
      <c r="W1705" s="269"/>
      <c r="X1705" s="269"/>
      <c r="Y1705" s="269"/>
      <c r="Z1705" s="269"/>
      <c r="AA1705" s="269"/>
      <c r="AB1705" s="269"/>
      <c r="AC1705" s="269"/>
      <c r="AD1705" s="269"/>
      <c r="AE1705" s="269"/>
      <c r="AF1705" s="269"/>
      <c r="AG1705" s="269"/>
      <c r="AH1705" s="269"/>
      <c r="AI1705" s="269"/>
      <c r="AJ1705" s="269"/>
      <c r="AK1705" s="269"/>
      <c r="AL1705" s="269"/>
      <c r="AM1705" s="269"/>
      <c r="AN1705" s="269"/>
      <c r="AO1705" s="269"/>
      <c r="AP1705" s="269"/>
      <c r="AQ1705" s="269"/>
      <c r="AR1705" s="269"/>
    </row>
    <row r="1706">
      <c r="A1706" s="410"/>
      <c r="B1706" s="410"/>
      <c r="C1706" s="410"/>
      <c r="D1706" s="410"/>
      <c r="E1706" s="410"/>
      <c r="F1706" s="410"/>
      <c r="H1706" s="269"/>
      <c r="I1706" s="269"/>
      <c r="J1706" s="269"/>
      <c r="K1706" s="269"/>
      <c r="L1706" s="269"/>
      <c r="M1706" s="269"/>
      <c r="N1706" s="269"/>
      <c r="O1706" s="269"/>
      <c r="P1706" s="269"/>
      <c r="Q1706" s="269"/>
      <c r="R1706" s="269"/>
      <c r="S1706" s="269"/>
      <c r="T1706" s="269"/>
      <c r="U1706" s="269"/>
      <c r="V1706" s="269"/>
      <c r="W1706" s="269"/>
      <c r="X1706" s="269"/>
      <c r="Y1706" s="269"/>
      <c r="Z1706" s="269"/>
      <c r="AA1706" s="269"/>
      <c r="AB1706" s="269"/>
      <c r="AC1706" s="269"/>
      <c r="AD1706" s="269"/>
      <c r="AE1706" s="269"/>
      <c r="AF1706" s="269"/>
      <c r="AG1706" s="269"/>
      <c r="AH1706" s="269"/>
      <c r="AI1706" s="269"/>
      <c r="AJ1706" s="269"/>
      <c r="AK1706" s="269"/>
      <c r="AL1706" s="269"/>
      <c r="AM1706" s="269"/>
      <c r="AN1706" s="269"/>
      <c r="AO1706" s="269"/>
      <c r="AP1706" s="269"/>
      <c r="AQ1706" s="269"/>
      <c r="AR1706" s="269"/>
    </row>
    <row r="1707">
      <c r="A1707" s="410"/>
      <c r="B1707" s="410"/>
      <c r="C1707" s="410"/>
      <c r="D1707" s="410"/>
      <c r="E1707" s="410"/>
      <c r="F1707" s="410"/>
      <c r="H1707" s="269"/>
      <c r="I1707" s="269"/>
      <c r="J1707" s="269"/>
      <c r="K1707" s="269"/>
      <c r="L1707" s="269"/>
      <c r="M1707" s="269"/>
      <c r="N1707" s="269"/>
      <c r="O1707" s="269"/>
      <c r="P1707" s="269"/>
      <c r="Q1707" s="269"/>
      <c r="R1707" s="269"/>
      <c r="S1707" s="269"/>
      <c r="T1707" s="269"/>
      <c r="U1707" s="269"/>
      <c r="V1707" s="269"/>
      <c r="W1707" s="269"/>
      <c r="X1707" s="269"/>
      <c r="Y1707" s="269"/>
      <c r="Z1707" s="269"/>
      <c r="AA1707" s="269"/>
      <c r="AB1707" s="269"/>
      <c r="AC1707" s="269"/>
      <c r="AD1707" s="269"/>
      <c r="AE1707" s="269"/>
      <c r="AF1707" s="269"/>
      <c r="AG1707" s="269"/>
      <c r="AH1707" s="269"/>
      <c r="AI1707" s="269"/>
      <c r="AJ1707" s="269"/>
      <c r="AK1707" s="269"/>
      <c r="AL1707" s="269"/>
      <c r="AM1707" s="269"/>
      <c r="AN1707" s="269"/>
      <c r="AO1707" s="269"/>
      <c r="AP1707" s="269"/>
      <c r="AQ1707" s="269"/>
      <c r="AR1707" s="269"/>
    </row>
    <row r="1708">
      <c r="A1708" s="410"/>
      <c r="B1708" s="410"/>
      <c r="C1708" s="410"/>
      <c r="D1708" s="410"/>
      <c r="E1708" s="410"/>
      <c r="F1708" s="410"/>
      <c r="H1708" s="269"/>
      <c r="I1708" s="269"/>
      <c r="J1708" s="269"/>
      <c r="K1708" s="269"/>
      <c r="L1708" s="269"/>
      <c r="M1708" s="269"/>
      <c r="N1708" s="269"/>
      <c r="O1708" s="269"/>
      <c r="P1708" s="269"/>
      <c r="Q1708" s="269"/>
      <c r="R1708" s="269"/>
      <c r="S1708" s="269"/>
      <c r="T1708" s="269"/>
      <c r="U1708" s="269"/>
      <c r="V1708" s="269"/>
      <c r="W1708" s="269"/>
      <c r="X1708" s="269"/>
      <c r="Y1708" s="269"/>
      <c r="Z1708" s="269"/>
      <c r="AA1708" s="269"/>
      <c r="AB1708" s="269"/>
      <c r="AC1708" s="269"/>
      <c r="AD1708" s="269"/>
      <c r="AE1708" s="269"/>
      <c r="AF1708" s="269"/>
      <c r="AG1708" s="269"/>
      <c r="AH1708" s="269"/>
      <c r="AI1708" s="269"/>
      <c r="AJ1708" s="269"/>
      <c r="AK1708" s="269"/>
      <c r="AL1708" s="269"/>
      <c r="AM1708" s="269"/>
      <c r="AN1708" s="269"/>
      <c r="AO1708" s="269"/>
      <c r="AP1708" s="269"/>
      <c r="AQ1708" s="269"/>
      <c r="AR1708" s="269"/>
    </row>
    <row r="1709">
      <c r="A1709" s="410"/>
      <c r="B1709" s="410"/>
      <c r="C1709" s="410"/>
      <c r="D1709" s="410"/>
      <c r="E1709" s="410"/>
      <c r="F1709" s="410"/>
      <c r="H1709" s="269"/>
      <c r="I1709" s="269"/>
      <c r="J1709" s="269"/>
      <c r="K1709" s="269"/>
      <c r="L1709" s="269"/>
      <c r="M1709" s="269"/>
      <c r="N1709" s="269"/>
      <c r="O1709" s="269"/>
      <c r="P1709" s="269"/>
      <c r="Q1709" s="269"/>
      <c r="R1709" s="269"/>
      <c r="S1709" s="269"/>
      <c r="T1709" s="269"/>
      <c r="U1709" s="269"/>
      <c r="V1709" s="269"/>
      <c r="W1709" s="269"/>
      <c r="X1709" s="269"/>
      <c r="Y1709" s="269"/>
      <c r="Z1709" s="269"/>
      <c r="AA1709" s="269"/>
      <c r="AB1709" s="269"/>
      <c r="AC1709" s="269"/>
      <c r="AD1709" s="269"/>
      <c r="AE1709" s="269"/>
      <c r="AF1709" s="269"/>
      <c r="AG1709" s="269"/>
      <c r="AH1709" s="269"/>
      <c r="AI1709" s="269"/>
      <c r="AJ1709" s="269"/>
      <c r="AK1709" s="269"/>
      <c r="AL1709" s="269"/>
      <c r="AM1709" s="269"/>
      <c r="AN1709" s="269"/>
      <c r="AO1709" s="269"/>
      <c r="AP1709" s="269"/>
      <c r="AQ1709" s="269"/>
      <c r="AR1709" s="269"/>
    </row>
    <row r="1710">
      <c r="A1710" s="410"/>
      <c r="B1710" s="410"/>
      <c r="C1710" s="410"/>
      <c r="D1710" s="410"/>
      <c r="E1710" s="410"/>
      <c r="F1710" s="410"/>
      <c r="H1710" s="269"/>
      <c r="I1710" s="269"/>
      <c r="J1710" s="269"/>
      <c r="K1710" s="269"/>
      <c r="L1710" s="269"/>
      <c r="M1710" s="269"/>
      <c r="N1710" s="269"/>
      <c r="O1710" s="269"/>
      <c r="P1710" s="269"/>
      <c r="Q1710" s="269"/>
      <c r="R1710" s="269"/>
      <c r="S1710" s="269"/>
      <c r="T1710" s="269"/>
      <c r="U1710" s="269"/>
      <c r="V1710" s="269"/>
      <c r="W1710" s="269"/>
      <c r="X1710" s="269"/>
      <c r="Y1710" s="269"/>
      <c r="Z1710" s="269"/>
      <c r="AA1710" s="269"/>
      <c r="AB1710" s="269"/>
      <c r="AC1710" s="269"/>
      <c r="AD1710" s="269"/>
      <c r="AE1710" s="269"/>
      <c r="AF1710" s="269"/>
      <c r="AG1710" s="269"/>
      <c r="AH1710" s="269"/>
      <c r="AI1710" s="269"/>
      <c r="AJ1710" s="269"/>
      <c r="AK1710" s="269"/>
      <c r="AL1710" s="269"/>
      <c r="AM1710" s="269"/>
      <c r="AN1710" s="269"/>
      <c r="AO1710" s="269"/>
      <c r="AP1710" s="269"/>
      <c r="AQ1710" s="269"/>
      <c r="AR1710" s="269"/>
    </row>
    <row r="1711">
      <c r="A1711" s="410"/>
      <c r="B1711" s="410"/>
      <c r="C1711" s="410"/>
      <c r="D1711" s="410"/>
      <c r="E1711" s="410"/>
      <c r="F1711" s="410"/>
      <c r="H1711" s="269"/>
      <c r="I1711" s="269"/>
      <c r="J1711" s="269"/>
      <c r="K1711" s="269"/>
      <c r="L1711" s="269"/>
      <c r="M1711" s="269"/>
      <c r="N1711" s="269"/>
      <c r="O1711" s="269"/>
      <c r="P1711" s="269"/>
      <c r="Q1711" s="269"/>
      <c r="R1711" s="269"/>
      <c r="S1711" s="269"/>
      <c r="T1711" s="269"/>
      <c r="U1711" s="269"/>
      <c r="V1711" s="269"/>
      <c r="W1711" s="269"/>
      <c r="X1711" s="269"/>
      <c r="Y1711" s="269"/>
      <c r="Z1711" s="269"/>
      <c r="AA1711" s="269"/>
      <c r="AB1711" s="269"/>
      <c r="AC1711" s="269"/>
      <c r="AD1711" s="269"/>
      <c r="AE1711" s="269"/>
      <c r="AF1711" s="269"/>
      <c r="AG1711" s="269"/>
      <c r="AH1711" s="269"/>
      <c r="AI1711" s="269"/>
      <c r="AJ1711" s="269"/>
      <c r="AK1711" s="269"/>
      <c r="AL1711" s="269"/>
      <c r="AM1711" s="269"/>
      <c r="AN1711" s="269"/>
      <c r="AO1711" s="269"/>
      <c r="AP1711" s="269"/>
      <c r="AQ1711" s="269"/>
      <c r="AR1711" s="269"/>
    </row>
    <row r="1712">
      <c r="A1712" s="410"/>
      <c r="B1712" s="410"/>
      <c r="C1712" s="410"/>
      <c r="D1712" s="410"/>
      <c r="E1712" s="410"/>
      <c r="F1712" s="410"/>
      <c r="H1712" s="269"/>
      <c r="I1712" s="269"/>
      <c r="J1712" s="269"/>
      <c r="K1712" s="269"/>
      <c r="L1712" s="269"/>
      <c r="M1712" s="269"/>
      <c r="N1712" s="269"/>
      <c r="O1712" s="269"/>
      <c r="P1712" s="269"/>
      <c r="Q1712" s="269"/>
      <c r="R1712" s="269"/>
      <c r="S1712" s="269"/>
      <c r="T1712" s="269"/>
      <c r="U1712" s="269"/>
      <c r="V1712" s="269"/>
      <c r="W1712" s="269"/>
      <c r="X1712" s="269"/>
      <c r="Y1712" s="269"/>
      <c r="Z1712" s="269"/>
      <c r="AA1712" s="269"/>
      <c r="AB1712" s="269"/>
      <c r="AC1712" s="269"/>
      <c r="AD1712" s="269"/>
      <c r="AE1712" s="269"/>
      <c r="AF1712" s="269"/>
      <c r="AG1712" s="269"/>
      <c r="AH1712" s="269"/>
      <c r="AI1712" s="269"/>
      <c r="AJ1712" s="269"/>
      <c r="AK1712" s="269"/>
      <c r="AL1712" s="269"/>
      <c r="AM1712" s="269"/>
      <c r="AN1712" s="269"/>
      <c r="AO1712" s="269"/>
      <c r="AP1712" s="269"/>
      <c r="AQ1712" s="269"/>
      <c r="AR1712" s="269"/>
    </row>
    <row r="1713">
      <c r="A1713" s="410"/>
      <c r="B1713" s="410"/>
      <c r="C1713" s="410"/>
      <c r="D1713" s="410"/>
      <c r="E1713" s="410"/>
      <c r="F1713" s="410"/>
      <c r="H1713" s="269"/>
      <c r="I1713" s="269"/>
      <c r="J1713" s="269"/>
      <c r="K1713" s="269"/>
      <c r="L1713" s="269"/>
      <c r="M1713" s="269"/>
      <c r="N1713" s="269"/>
      <c r="O1713" s="269"/>
      <c r="P1713" s="269"/>
      <c r="Q1713" s="269"/>
      <c r="R1713" s="269"/>
      <c r="S1713" s="269"/>
      <c r="T1713" s="269"/>
      <c r="U1713" s="269"/>
      <c r="V1713" s="269"/>
      <c r="W1713" s="269"/>
      <c r="X1713" s="269"/>
      <c r="Y1713" s="269"/>
      <c r="Z1713" s="269"/>
      <c r="AA1713" s="269"/>
      <c r="AB1713" s="269"/>
      <c r="AC1713" s="269"/>
      <c r="AD1713" s="269"/>
      <c r="AE1713" s="269"/>
      <c r="AF1713" s="269"/>
      <c r="AG1713" s="269"/>
      <c r="AH1713" s="269"/>
      <c r="AI1713" s="269"/>
      <c r="AJ1713" s="269"/>
      <c r="AK1713" s="269"/>
      <c r="AL1713" s="269"/>
      <c r="AM1713" s="269"/>
      <c r="AN1713" s="269"/>
      <c r="AO1713" s="269"/>
      <c r="AP1713" s="269"/>
      <c r="AQ1713" s="269"/>
      <c r="AR1713" s="269"/>
    </row>
    <row r="1714">
      <c r="A1714" s="410"/>
      <c r="B1714" s="410"/>
      <c r="C1714" s="410"/>
      <c r="D1714" s="410"/>
      <c r="E1714" s="410"/>
      <c r="F1714" s="410"/>
      <c r="H1714" s="269"/>
      <c r="I1714" s="269"/>
      <c r="J1714" s="269"/>
      <c r="K1714" s="269"/>
      <c r="L1714" s="269"/>
      <c r="M1714" s="269"/>
      <c r="N1714" s="269"/>
      <c r="O1714" s="269"/>
      <c r="P1714" s="269"/>
      <c r="Q1714" s="269"/>
      <c r="R1714" s="269"/>
      <c r="S1714" s="269"/>
      <c r="T1714" s="269"/>
      <c r="U1714" s="269"/>
      <c r="V1714" s="269"/>
      <c r="W1714" s="269"/>
      <c r="X1714" s="269"/>
      <c r="Y1714" s="269"/>
      <c r="Z1714" s="269"/>
      <c r="AA1714" s="269"/>
      <c r="AB1714" s="269"/>
      <c r="AC1714" s="269"/>
      <c r="AD1714" s="269"/>
      <c r="AE1714" s="269"/>
      <c r="AF1714" s="269"/>
      <c r="AG1714" s="269"/>
      <c r="AH1714" s="269"/>
      <c r="AI1714" s="269"/>
      <c r="AJ1714" s="269"/>
      <c r="AK1714" s="269"/>
      <c r="AL1714" s="269"/>
      <c r="AM1714" s="269"/>
      <c r="AN1714" s="269"/>
      <c r="AO1714" s="269"/>
      <c r="AP1714" s="269"/>
      <c r="AQ1714" s="269"/>
      <c r="AR1714" s="269"/>
    </row>
    <row r="1715">
      <c r="A1715" s="410"/>
      <c r="B1715" s="410"/>
      <c r="C1715" s="410"/>
      <c r="D1715" s="410"/>
      <c r="E1715" s="410"/>
      <c r="F1715" s="410"/>
      <c r="H1715" s="269"/>
      <c r="I1715" s="269"/>
      <c r="J1715" s="269"/>
      <c r="K1715" s="269"/>
      <c r="L1715" s="269"/>
      <c r="M1715" s="269"/>
      <c r="N1715" s="269"/>
      <c r="O1715" s="269"/>
      <c r="P1715" s="269"/>
      <c r="Q1715" s="269"/>
      <c r="R1715" s="269"/>
      <c r="S1715" s="269"/>
      <c r="T1715" s="269"/>
      <c r="U1715" s="269"/>
      <c r="V1715" s="269"/>
      <c r="W1715" s="269"/>
      <c r="X1715" s="269"/>
      <c r="Y1715" s="269"/>
      <c r="Z1715" s="269"/>
      <c r="AA1715" s="269"/>
      <c r="AB1715" s="269"/>
      <c r="AC1715" s="269"/>
      <c r="AD1715" s="269"/>
      <c r="AE1715" s="269"/>
      <c r="AF1715" s="269"/>
      <c r="AG1715" s="269"/>
      <c r="AH1715" s="269"/>
      <c r="AI1715" s="269"/>
      <c r="AJ1715" s="269"/>
      <c r="AK1715" s="269"/>
      <c r="AL1715" s="269"/>
      <c r="AM1715" s="269"/>
      <c r="AN1715" s="269"/>
      <c r="AO1715" s="269"/>
      <c r="AP1715" s="269"/>
      <c r="AQ1715" s="269"/>
      <c r="AR1715" s="269"/>
    </row>
    <row r="1716">
      <c r="A1716" s="410"/>
      <c r="B1716" s="410"/>
      <c r="C1716" s="410"/>
      <c r="D1716" s="410"/>
      <c r="E1716" s="410"/>
      <c r="F1716" s="410"/>
      <c r="H1716" s="269"/>
      <c r="I1716" s="269"/>
      <c r="J1716" s="269"/>
      <c r="K1716" s="269"/>
      <c r="L1716" s="269"/>
      <c r="M1716" s="269"/>
      <c r="N1716" s="269"/>
      <c r="O1716" s="269"/>
      <c r="P1716" s="269"/>
      <c r="Q1716" s="269"/>
      <c r="R1716" s="269"/>
      <c r="S1716" s="269"/>
      <c r="T1716" s="269"/>
      <c r="U1716" s="269"/>
      <c r="V1716" s="269"/>
      <c r="W1716" s="269"/>
      <c r="X1716" s="269"/>
      <c r="Y1716" s="269"/>
      <c r="Z1716" s="269"/>
      <c r="AA1716" s="269"/>
      <c r="AB1716" s="269"/>
      <c r="AC1716" s="269"/>
      <c r="AD1716" s="269"/>
      <c r="AE1716" s="269"/>
      <c r="AF1716" s="269"/>
      <c r="AG1716" s="269"/>
      <c r="AH1716" s="269"/>
      <c r="AI1716" s="269"/>
      <c r="AJ1716" s="269"/>
      <c r="AK1716" s="269"/>
      <c r="AL1716" s="269"/>
      <c r="AM1716" s="269"/>
      <c r="AN1716" s="269"/>
      <c r="AO1716" s="269"/>
      <c r="AP1716" s="269"/>
      <c r="AQ1716" s="269"/>
      <c r="AR1716" s="269"/>
    </row>
    <row r="1717">
      <c r="A1717" s="410"/>
      <c r="B1717" s="410"/>
      <c r="C1717" s="410"/>
      <c r="D1717" s="410"/>
      <c r="E1717" s="410"/>
      <c r="F1717" s="410"/>
      <c r="H1717" s="269"/>
      <c r="I1717" s="269"/>
      <c r="J1717" s="269"/>
      <c r="K1717" s="269"/>
      <c r="L1717" s="269"/>
      <c r="M1717" s="269"/>
      <c r="N1717" s="269"/>
      <c r="O1717" s="269"/>
      <c r="P1717" s="269"/>
      <c r="Q1717" s="269"/>
      <c r="R1717" s="269"/>
      <c r="S1717" s="269"/>
      <c r="T1717" s="269"/>
      <c r="U1717" s="269"/>
      <c r="V1717" s="269"/>
      <c r="W1717" s="269"/>
      <c r="X1717" s="269"/>
      <c r="Y1717" s="269"/>
      <c r="Z1717" s="269"/>
      <c r="AA1717" s="269"/>
      <c r="AB1717" s="269"/>
      <c r="AC1717" s="269"/>
      <c r="AD1717" s="269"/>
      <c r="AE1717" s="269"/>
      <c r="AF1717" s="269"/>
      <c r="AG1717" s="269"/>
      <c r="AH1717" s="269"/>
      <c r="AI1717" s="269"/>
      <c r="AJ1717" s="269"/>
      <c r="AK1717" s="269"/>
      <c r="AL1717" s="269"/>
      <c r="AM1717" s="269"/>
      <c r="AN1717" s="269"/>
      <c r="AO1717" s="269"/>
      <c r="AP1717" s="269"/>
      <c r="AQ1717" s="269"/>
      <c r="AR1717" s="269"/>
    </row>
    <row r="1718">
      <c r="A1718" s="410"/>
      <c r="B1718" s="410"/>
      <c r="C1718" s="410"/>
      <c r="D1718" s="410"/>
      <c r="E1718" s="410"/>
      <c r="F1718" s="410"/>
      <c r="H1718" s="269"/>
      <c r="I1718" s="269"/>
      <c r="J1718" s="269"/>
      <c r="K1718" s="269"/>
      <c r="L1718" s="269"/>
      <c r="M1718" s="269"/>
      <c r="N1718" s="269"/>
      <c r="O1718" s="269"/>
      <c r="P1718" s="269"/>
      <c r="Q1718" s="269"/>
      <c r="R1718" s="269"/>
      <c r="S1718" s="269"/>
      <c r="T1718" s="269"/>
      <c r="U1718" s="269"/>
      <c r="V1718" s="269"/>
      <c r="W1718" s="269"/>
      <c r="X1718" s="269"/>
      <c r="Y1718" s="269"/>
      <c r="Z1718" s="269"/>
      <c r="AA1718" s="269"/>
      <c r="AB1718" s="269"/>
      <c r="AC1718" s="269"/>
      <c r="AD1718" s="269"/>
      <c r="AE1718" s="269"/>
      <c r="AF1718" s="269"/>
      <c r="AG1718" s="269"/>
      <c r="AH1718" s="269"/>
      <c r="AI1718" s="269"/>
      <c r="AJ1718" s="269"/>
      <c r="AK1718" s="269"/>
      <c r="AL1718" s="269"/>
      <c r="AM1718" s="269"/>
      <c r="AN1718" s="269"/>
      <c r="AO1718" s="269"/>
      <c r="AP1718" s="269"/>
      <c r="AQ1718" s="269"/>
      <c r="AR1718" s="269"/>
    </row>
    <row r="1719">
      <c r="A1719" s="410"/>
      <c r="B1719" s="410"/>
      <c r="C1719" s="410"/>
      <c r="D1719" s="410"/>
      <c r="E1719" s="410"/>
      <c r="F1719" s="410"/>
      <c r="H1719" s="269"/>
      <c r="I1719" s="269"/>
      <c r="J1719" s="269"/>
      <c r="K1719" s="269"/>
      <c r="L1719" s="269"/>
      <c r="M1719" s="269"/>
      <c r="N1719" s="269"/>
      <c r="O1719" s="269"/>
      <c r="P1719" s="269"/>
      <c r="Q1719" s="269"/>
      <c r="R1719" s="269"/>
      <c r="S1719" s="269"/>
      <c r="T1719" s="269"/>
      <c r="U1719" s="269"/>
      <c r="V1719" s="269"/>
      <c r="W1719" s="269"/>
      <c r="X1719" s="269"/>
      <c r="Y1719" s="269"/>
      <c r="Z1719" s="269"/>
      <c r="AA1719" s="269"/>
      <c r="AB1719" s="269"/>
      <c r="AC1719" s="269"/>
      <c r="AD1719" s="269"/>
      <c r="AE1719" s="269"/>
      <c r="AF1719" s="269"/>
      <c r="AG1719" s="269"/>
      <c r="AH1719" s="269"/>
      <c r="AI1719" s="269"/>
      <c r="AJ1719" s="269"/>
      <c r="AK1719" s="269"/>
      <c r="AL1719" s="269"/>
      <c r="AM1719" s="269"/>
      <c r="AN1719" s="269"/>
      <c r="AO1719" s="269"/>
      <c r="AP1719" s="269"/>
      <c r="AQ1719" s="269"/>
      <c r="AR1719" s="269"/>
    </row>
    <row r="1720">
      <c r="A1720" s="410"/>
      <c r="B1720" s="410"/>
      <c r="C1720" s="410"/>
      <c r="D1720" s="410"/>
      <c r="E1720" s="410"/>
      <c r="F1720" s="410"/>
      <c r="H1720" s="269"/>
      <c r="I1720" s="269"/>
      <c r="J1720" s="269"/>
      <c r="K1720" s="269"/>
      <c r="L1720" s="269"/>
      <c r="M1720" s="269"/>
      <c r="N1720" s="269"/>
      <c r="O1720" s="269"/>
      <c r="P1720" s="269"/>
      <c r="Q1720" s="269"/>
      <c r="R1720" s="269"/>
      <c r="S1720" s="269"/>
      <c r="T1720" s="269"/>
      <c r="U1720" s="269"/>
      <c r="V1720" s="269"/>
      <c r="W1720" s="269"/>
      <c r="X1720" s="269"/>
      <c r="Y1720" s="269"/>
      <c r="Z1720" s="269"/>
      <c r="AA1720" s="269"/>
      <c r="AB1720" s="269"/>
      <c r="AC1720" s="269"/>
      <c r="AD1720" s="269"/>
      <c r="AE1720" s="269"/>
      <c r="AF1720" s="269"/>
      <c r="AG1720" s="269"/>
      <c r="AH1720" s="269"/>
      <c r="AI1720" s="269"/>
      <c r="AJ1720" s="269"/>
      <c r="AK1720" s="269"/>
      <c r="AL1720" s="269"/>
      <c r="AM1720" s="269"/>
      <c r="AN1720" s="269"/>
      <c r="AO1720" s="269"/>
      <c r="AP1720" s="269"/>
      <c r="AQ1720" s="269"/>
      <c r="AR1720" s="269"/>
    </row>
    <row r="1721">
      <c r="A1721" s="410"/>
      <c r="B1721" s="410"/>
      <c r="C1721" s="410"/>
      <c r="D1721" s="410"/>
      <c r="E1721" s="410"/>
      <c r="F1721" s="410"/>
      <c r="H1721" s="269"/>
      <c r="I1721" s="269"/>
      <c r="J1721" s="269"/>
      <c r="K1721" s="269"/>
      <c r="L1721" s="269"/>
      <c r="M1721" s="269"/>
      <c r="N1721" s="269"/>
      <c r="O1721" s="269"/>
      <c r="P1721" s="269"/>
      <c r="Q1721" s="269"/>
      <c r="R1721" s="269"/>
      <c r="S1721" s="269"/>
      <c r="T1721" s="269"/>
      <c r="U1721" s="269"/>
      <c r="V1721" s="269"/>
      <c r="W1721" s="269"/>
      <c r="X1721" s="269"/>
      <c r="Y1721" s="269"/>
      <c r="Z1721" s="269"/>
      <c r="AA1721" s="269"/>
      <c r="AB1721" s="269"/>
      <c r="AC1721" s="269"/>
      <c r="AD1721" s="269"/>
      <c r="AE1721" s="269"/>
      <c r="AF1721" s="269"/>
      <c r="AG1721" s="269"/>
      <c r="AH1721" s="269"/>
      <c r="AI1721" s="269"/>
      <c r="AJ1721" s="269"/>
      <c r="AK1721" s="269"/>
      <c r="AL1721" s="269"/>
      <c r="AM1721" s="269"/>
      <c r="AN1721" s="269"/>
      <c r="AO1721" s="269"/>
      <c r="AP1721" s="269"/>
      <c r="AQ1721" s="269"/>
      <c r="AR1721" s="269"/>
    </row>
    <row r="1722">
      <c r="A1722" s="410"/>
      <c r="B1722" s="410"/>
      <c r="C1722" s="410"/>
      <c r="D1722" s="410"/>
      <c r="E1722" s="410"/>
      <c r="F1722" s="410"/>
      <c r="H1722" s="269"/>
      <c r="I1722" s="269"/>
      <c r="J1722" s="269"/>
      <c r="K1722" s="269"/>
      <c r="L1722" s="269"/>
      <c r="M1722" s="269"/>
      <c r="N1722" s="269"/>
      <c r="O1722" s="269"/>
      <c r="P1722" s="269"/>
      <c r="Q1722" s="269"/>
      <c r="R1722" s="269"/>
      <c r="S1722" s="269"/>
      <c r="T1722" s="269"/>
      <c r="U1722" s="269"/>
      <c r="V1722" s="269"/>
      <c r="W1722" s="269"/>
      <c r="X1722" s="269"/>
      <c r="Y1722" s="269"/>
      <c r="Z1722" s="269"/>
      <c r="AA1722" s="269"/>
      <c r="AB1722" s="269"/>
      <c r="AC1722" s="269"/>
      <c r="AD1722" s="269"/>
      <c r="AE1722" s="269"/>
      <c r="AF1722" s="269"/>
      <c r="AG1722" s="269"/>
      <c r="AH1722" s="269"/>
      <c r="AI1722" s="269"/>
      <c r="AJ1722" s="269"/>
      <c r="AK1722" s="269"/>
      <c r="AL1722" s="269"/>
      <c r="AM1722" s="269"/>
      <c r="AN1722" s="269"/>
      <c r="AO1722" s="269"/>
      <c r="AP1722" s="269"/>
      <c r="AQ1722" s="269"/>
      <c r="AR1722" s="269"/>
    </row>
    <row r="1723">
      <c r="A1723" s="410"/>
      <c r="B1723" s="410"/>
      <c r="C1723" s="410"/>
      <c r="D1723" s="410"/>
      <c r="E1723" s="410"/>
      <c r="F1723" s="410"/>
      <c r="H1723" s="269"/>
      <c r="I1723" s="269"/>
      <c r="J1723" s="269"/>
      <c r="K1723" s="269"/>
      <c r="L1723" s="269"/>
      <c r="M1723" s="269"/>
      <c r="N1723" s="269"/>
      <c r="O1723" s="269"/>
      <c r="P1723" s="269"/>
      <c r="Q1723" s="269"/>
      <c r="R1723" s="269"/>
      <c r="S1723" s="269"/>
      <c r="T1723" s="269"/>
      <c r="U1723" s="269"/>
      <c r="V1723" s="269"/>
      <c r="W1723" s="269"/>
      <c r="X1723" s="269"/>
      <c r="Y1723" s="269"/>
      <c r="Z1723" s="269"/>
      <c r="AA1723" s="269"/>
      <c r="AB1723" s="269"/>
      <c r="AC1723" s="269"/>
      <c r="AD1723" s="269"/>
      <c r="AE1723" s="269"/>
      <c r="AF1723" s="269"/>
      <c r="AG1723" s="269"/>
      <c r="AH1723" s="269"/>
      <c r="AI1723" s="269"/>
      <c r="AJ1723" s="269"/>
      <c r="AK1723" s="269"/>
      <c r="AL1723" s="269"/>
      <c r="AM1723" s="269"/>
      <c r="AN1723" s="269"/>
      <c r="AO1723" s="269"/>
      <c r="AP1723" s="269"/>
      <c r="AQ1723" s="269"/>
      <c r="AR1723" s="269"/>
    </row>
    <row r="1724">
      <c r="A1724" s="410"/>
      <c r="B1724" s="410"/>
      <c r="C1724" s="410"/>
      <c r="D1724" s="410"/>
      <c r="E1724" s="410"/>
      <c r="F1724" s="410"/>
      <c r="H1724" s="269"/>
      <c r="I1724" s="269"/>
      <c r="J1724" s="269"/>
      <c r="K1724" s="269"/>
      <c r="L1724" s="269"/>
      <c r="M1724" s="269"/>
      <c r="N1724" s="269"/>
      <c r="O1724" s="269"/>
      <c r="P1724" s="269"/>
      <c r="Q1724" s="269"/>
      <c r="R1724" s="269"/>
      <c r="S1724" s="269"/>
      <c r="T1724" s="269"/>
      <c r="U1724" s="269"/>
      <c r="V1724" s="269"/>
      <c r="W1724" s="269"/>
      <c r="X1724" s="269"/>
      <c r="Y1724" s="269"/>
      <c r="Z1724" s="269"/>
      <c r="AA1724" s="269"/>
      <c r="AB1724" s="269"/>
      <c r="AC1724" s="269"/>
      <c r="AD1724" s="269"/>
      <c r="AE1724" s="269"/>
      <c r="AF1724" s="269"/>
      <c r="AG1724" s="269"/>
      <c r="AH1724" s="269"/>
      <c r="AI1724" s="269"/>
      <c r="AJ1724" s="269"/>
      <c r="AK1724" s="269"/>
      <c r="AL1724" s="269"/>
      <c r="AM1724" s="269"/>
      <c r="AN1724" s="269"/>
      <c r="AO1724" s="269"/>
      <c r="AP1724" s="269"/>
      <c r="AQ1724" s="269"/>
      <c r="AR1724" s="269"/>
    </row>
    <row r="1725">
      <c r="A1725" s="410"/>
      <c r="B1725" s="410"/>
      <c r="C1725" s="410"/>
      <c r="D1725" s="410"/>
      <c r="E1725" s="410"/>
      <c r="F1725" s="410"/>
      <c r="H1725" s="269"/>
      <c r="I1725" s="269"/>
      <c r="J1725" s="269"/>
      <c r="K1725" s="269"/>
      <c r="L1725" s="269"/>
      <c r="M1725" s="269"/>
      <c r="N1725" s="269"/>
      <c r="O1725" s="269"/>
      <c r="P1725" s="269"/>
      <c r="Q1725" s="269"/>
      <c r="R1725" s="269"/>
      <c r="S1725" s="269"/>
      <c r="T1725" s="269"/>
      <c r="U1725" s="269"/>
      <c r="V1725" s="269"/>
      <c r="W1725" s="269"/>
      <c r="X1725" s="269"/>
      <c r="Y1725" s="269"/>
      <c r="Z1725" s="269"/>
      <c r="AA1725" s="269"/>
      <c r="AB1725" s="269"/>
      <c r="AC1725" s="269"/>
      <c r="AD1725" s="269"/>
      <c r="AE1725" s="269"/>
      <c r="AF1725" s="269"/>
      <c r="AG1725" s="269"/>
      <c r="AH1725" s="269"/>
      <c r="AI1725" s="269"/>
      <c r="AJ1725" s="269"/>
      <c r="AK1725" s="269"/>
      <c r="AL1725" s="269"/>
      <c r="AM1725" s="269"/>
      <c r="AN1725" s="269"/>
      <c r="AO1725" s="269"/>
      <c r="AP1725" s="269"/>
      <c r="AQ1725" s="269"/>
      <c r="AR1725" s="269"/>
    </row>
    <row r="1726">
      <c r="A1726" s="410"/>
      <c r="B1726" s="410"/>
      <c r="C1726" s="410"/>
      <c r="D1726" s="410"/>
      <c r="E1726" s="410"/>
      <c r="F1726" s="410"/>
      <c r="H1726" s="269"/>
      <c r="I1726" s="269"/>
      <c r="J1726" s="269"/>
      <c r="K1726" s="269"/>
      <c r="L1726" s="269"/>
      <c r="M1726" s="269"/>
      <c r="N1726" s="269"/>
      <c r="O1726" s="269"/>
      <c r="P1726" s="269"/>
      <c r="Q1726" s="269"/>
      <c r="R1726" s="269"/>
      <c r="S1726" s="269"/>
      <c r="T1726" s="269"/>
      <c r="U1726" s="269"/>
      <c r="V1726" s="269"/>
      <c r="W1726" s="269"/>
      <c r="X1726" s="269"/>
      <c r="Y1726" s="269"/>
      <c r="Z1726" s="269"/>
      <c r="AA1726" s="269"/>
      <c r="AB1726" s="269"/>
      <c r="AC1726" s="269"/>
      <c r="AD1726" s="269"/>
      <c r="AE1726" s="269"/>
      <c r="AF1726" s="269"/>
      <c r="AG1726" s="269"/>
      <c r="AH1726" s="269"/>
      <c r="AI1726" s="269"/>
      <c r="AJ1726" s="269"/>
      <c r="AK1726" s="269"/>
      <c r="AL1726" s="269"/>
      <c r="AM1726" s="269"/>
      <c r="AN1726" s="269"/>
      <c r="AO1726" s="269"/>
      <c r="AP1726" s="269"/>
      <c r="AQ1726" s="269"/>
      <c r="AR1726" s="269"/>
    </row>
    <row r="1727">
      <c r="A1727" s="410"/>
      <c r="B1727" s="410"/>
      <c r="C1727" s="410"/>
      <c r="D1727" s="410"/>
      <c r="E1727" s="410"/>
      <c r="F1727" s="410"/>
      <c r="H1727" s="269"/>
      <c r="I1727" s="269"/>
      <c r="J1727" s="269"/>
      <c r="K1727" s="269"/>
      <c r="L1727" s="269"/>
      <c r="M1727" s="269"/>
      <c r="N1727" s="269"/>
      <c r="O1727" s="269"/>
      <c r="P1727" s="269"/>
      <c r="Q1727" s="269"/>
      <c r="R1727" s="269"/>
      <c r="S1727" s="269"/>
      <c r="T1727" s="269"/>
      <c r="U1727" s="269"/>
      <c r="V1727" s="269"/>
      <c r="W1727" s="269"/>
      <c r="X1727" s="269"/>
      <c r="Y1727" s="269"/>
      <c r="Z1727" s="269"/>
      <c r="AA1727" s="269"/>
      <c r="AB1727" s="269"/>
      <c r="AC1727" s="269"/>
      <c r="AD1727" s="269"/>
      <c r="AE1727" s="269"/>
      <c r="AF1727" s="269"/>
      <c r="AG1727" s="269"/>
      <c r="AH1727" s="269"/>
      <c r="AI1727" s="269"/>
      <c r="AJ1727" s="269"/>
      <c r="AK1727" s="269"/>
      <c r="AL1727" s="269"/>
      <c r="AM1727" s="269"/>
      <c r="AN1727" s="269"/>
      <c r="AO1727" s="269"/>
      <c r="AP1727" s="269"/>
      <c r="AQ1727" s="269"/>
      <c r="AR1727" s="269"/>
    </row>
    <row r="1728">
      <c r="A1728" s="410"/>
      <c r="B1728" s="410"/>
      <c r="C1728" s="410"/>
      <c r="D1728" s="410"/>
      <c r="E1728" s="410"/>
      <c r="F1728" s="410"/>
      <c r="H1728" s="269"/>
      <c r="I1728" s="269"/>
      <c r="J1728" s="269"/>
      <c r="K1728" s="269"/>
      <c r="L1728" s="269"/>
      <c r="M1728" s="269"/>
      <c r="N1728" s="269"/>
      <c r="O1728" s="269"/>
      <c r="P1728" s="269"/>
      <c r="Q1728" s="269"/>
      <c r="R1728" s="269"/>
      <c r="S1728" s="269"/>
      <c r="T1728" s="269"/>
      <c r="U1728" s="269"/>
      <c r="V1728" s="269"/>
      <c r="W1728" s="269"/>
      <c r="X1728" s="269"/>
      <c r="Y1728" s="269"/>
      <c r="Z1728" s="269"/>
      <c r="AA1728" s="269"/>
      <c r="AB1728" s="269"/>
      <c r="AC1728" s="269"/>
      <c r="AD1728" s="269"/>
      <c r="AE1728" s="269"/>
      <c r="AF1728" s="269"/>
      <c r="AG1728" s="269"/>
      <c r="AH1728" s="269"/>
      <c r="AI1728" s="269"/>
      <c r="AJ1728" s="269"/>
      <c r="AK1728" s="269"/>
      <c r="AL1728" s="269"/>
      <c r="AM1728" s="269"/>
      <c r="AN1728" s="269"/>
      <c r="AO1728" s="269"/>
      <c r="AP1728" s="269"/>
      <c r="AQ1728" s="269"/>
      <c r="AR1728" s="269"/>
    </row>
    <row r="1729">
      <c r="A1729" s="410"/>
      <c r="B1729" s="410"/>
      <c r="C1729" s="410"/>
      <c r="D1729" s="410"/>
      <c r="E1729" s="410"/>
      <c r="F1729" s="410"/>
      <c r="H1729" s="269"/>
      <c r="I1729" s="269"/>
      <c r="J1729" s="269"/>
      <c r="K1729" s="269"/>
      <c r="L1729" s="269"/>
      <c r="M1729" s="269"/>
      <c r="N1729" s="269"/>
      <c r="O1729" s="269"/>
      <c r="P1729" s="269"/>
      <c r="Q1729" s="269"/>
      <c r="R1729" s="269"/>
      <c r="S1729" s="269"/>
      <c r="T1729" s="269"/>
      <c r="U1729" s="269"/>
      <c r="V1729" s="269"/>
      <c r="W1729" s="269"/>
      <c r="X1729" s="269"/>
      <c r="Y1729" s="269"/>
      <c r="Z1729" s="269"/>
      <c r="AA1729" s="269"/>
      <c r="AB1729" s="269"/>
      <c r="AC1729" s="269"/>
      <c r="AD1729" s="269"/>
      <c r="AE1729" s="269"/>
      <c r="AF1729" s="269"/>
      <c r="AG1729" s="269"/>
      <c r="AH1729" s="269"/>
      <c r="AI1729" s="269"/>
      <c r="AJ1729" s="269"/>
      <c r="AK1729" s="269"/>
      <c r="AL1729" s="269"/>
      <c r="AM1729" s="269"/>
      <c r="AN1729" s="269"/>
      <c r="AO1729" s="269"/>
      <c r="AP1729" s="269"/>
      <c r="AQ1729" s="269"/>
      <c r="AR1729" s="269"/>
    </row>
    <row r="1730">
      <c r="A1730" s="410"/>
      <c r="B1730" s="410"/>
      <c r="C1730" s="410"/>
      <c r="D1730" s="410"/>
      <c r="E1730" s="410"/>
      <c r="F1730" s="410"/>
      <c r="H1730" s="269"/>
      <c r="I1730" s="269"/>
      <c r="J1730" s="269"/>
      <c r="K1730" s="269"/>
      <c r="L1730" s="269"/>
      <c r="M1730" s="269"/>
      <c r="N1730" s="269"/>
      <c r="O1730" s="269"/>
      <c r="P1730" s="269"/>
      <c r="Q1730" s="269"/>
      <c r="R1730" s="269"/>
      <c r="S1730" s="269"/>
      <c r="T1730" s="269"/>
      <c r="U1730" s="269"/>
      <c r="V1730" s="269"/>
      <c r="W1730" s="269"/>
      <c r="X1730" s="269"/>
      <c r="Y1730" s="269"/>
      <c r="Z1730" s="269"/>
      <c r="AA1730" s="269"/>
      <c r="AB1730" s="269"/>
      <c r="AC1730" s="269"/>
      <c r="AD1730" s="269"/>
      <c r="AE1730" s="269"/>
      <c r="AF1730" s="269"/>
      <c r="AG1730" s="269"/>
      <c r="AH1730" s="269"/>
      <c r="AI1730" s="269"/>
      <c r="AJ1730" s="269"/>
      <c r="AK1730" s="269"/>
      <c r="AL1730" s="269"/>
      <c r="AM1730" s="269"/>
      <c r="AN1730" s="269"/>
      <c r="AO1730" s="269"/>
      <c r="AP1730" s="269"/>
      <c r="AQ1730" s="269"/>
      <c r="AR1730" s="269"/>
    </row>
    <row r="1731">
      <c r="A1731" s="410"/>
      <c r="B1731" s="410"/>
      <c r="C1731" s="410"/>
      <c r="D1731" s="410"/>
      <c r="E1731" s="410"/>
      <c r="F1731" s="410"/>
      <c r="H1731" s="269"/>
      <c r="I1731" s="269"/>
      <c r="J1731" s="269"/>
      <c r="K1731" s="269"/>
      <c r="L1731" s="269"/>
      <c r="M1731" s="269"/>
      <c r="N1731" s="269"/>
      <c r="O1731" s="269"/>
      <c r="P1731" s="269"/>
      <c r="Q1731" s="269"/>
      <c r="R1731" s="269"/>
      <c r="S1731" s="269"/>
      <c r="T1731" s="269"/>
      <c r="U1731" s="269"/>
      <c r="V1731" s="269"/>
      <c r="W1731" s="269"/>
      <c r="X1731" s="269"/>
      <c r="Y1731" s="269"/>
      <c r="Z1731" s="269"/>
      <c r="AA1731" s="269"/>
      <c r="AB1731" s="269"/>
      <c r="AC1731" s="269"/>
      <c r="AD1731" s="269"/>
      <c r="AE1731" s="269"/>
      <c r="AF1731" s="269"/>
      <c r="AG1731" s="269"/>
      <c r="AH1731" s="269"/>
      <c r="AI1731" s="269"/>
      <c r="AJ1731" s="269"/>
      <c r="AK1731" s="269"/>
      <c r="AL1731" s="269"/>
      <c r="AM1731" s="269"/>
      <c r="AN1731" s="269"/>
      <c r="AO1731" s="269"/>
      <c r="AP1731" s="269"/>
      <c r="AQ1731" s="269"/>
      <c r="AR1731" s="269"/>
    </row>
    <row r="1732">
      <c r="A1732" s="410"/>
      <c r="B1732" s="410"/>
      <c r="C1732" s="410"/>
      <c r="D1732" s="410"/>
      <c r="E1732" s="410"/>
      <c r="F1732" s="410"/>
      <c r="H1732" s="269"/>
      <c r="I1732" s="269"/>
      <c r="J1732" s="269"/>
      <c r="K1732" s="269"/>
      <c r="L1732" s="269"/>
      <c r="M1732" s="269"/>
      <c r="N1732" s="269"/>
      <c r="O1732" s="269"/>
      <c r="P1732" s="269"/>
      <c r="Q1732" s="269"/>
      <c r="R1732" s="269"/>
      <c r="S1732" s="269"/>
      <c r="T1732" s="269"/>
      <c r="U1732" s="269"/>
      <c r="V1732" s="269"/>
      <c r="W1732" s="269"/>
      <c r="X1732" s="269"/>
      <c r="Y1732" s="269"/>
      <c r="Z1732" s="269"/>
      <c r="AA1732" s="269"/>
      <c r="AB1732" s="269"/>
      <c r="AC1732" s="269"/>
      <c r="AD1732" s="269"/>
      <c r="AE1732" s="269"/>
      <c r="AF1732" s="269"/>
      <c r="AG1732" s="269"/>
      <c r="AH1732" s="269"/>
      <c r="AI1732" s="269"/>
      <c r="AJ1732" s="269"/>
      <c r="AK1732" s="269"/>
      <c r="AL1732" s="269"/>
      <c r="AM1732" s="269"/>
      <c r="AN1732" s="269"/>
      <c r="AO1732" s="269"/>
      <c r="AP1732" s="269"/>
      <c r="AQ1732" s="269"/>
      <c r="AR1732" s="269"/>
    </row>
    <row r="1733">
      <c r="A1733" s="410"/>
      <c r="B1733" s="410"/>
      <c r="C1733" s="410"/>
      <c r="D1733" s="410"/>
      <c r="E1733" s="410"/>
      <c r="F1733" s="410"/>
      <c r="H1733" s="269"/>
      <c r="I1733" s="269"/>
      <c r="J1733" s="269"/>
      <c r="K1733" s="269"/>
      <c r="L1733" s="269"/>
      <c r="M1733" s="269"/>
      <c r="N1733" s="269"/>
      <c r="O1733" s="269"/>
      <c r="P1733" s="269"/>
      <c r="Q1733" s="269"/>
      <c r="R1733" s="269"/>
      <c r="S1733" s="269"/>
      <c r="T1733" s="269"/>
      <c r="U1733" s="269"/>
      <c r="V1733" s="269"/>
      <c r="W1733" s="269"/>
      <c r="X1733" s="269"/>
      <c r="Y1733" s="269"/>
      <c r="Z1733" s="269"/>
      <c r="AA1733" s="269"/>
      <c r="AB1733" s="269"/>
      <c r="AC1733" s="269"/>
      <c r="AD1733" s="269"/>
      <c r="AE1733" s="269"/>
      <c r="AF1733" s="269"/>
      <c r="AG1733" s="269"/>
      <c r="AH1733" s="269"/>
      <c r="AI1733" s="269"/>
      <c r="AJ1733" s="269"/>
      <c r="AK1733" s="269"/>
      <c r="AL1733" s="269"/>
      <c r="AM1733" s="269"/>
      <c r="AN1733" s="269"/>
      <c r="AO1733" s="269"/>
      <c r="AP1733" s="269"/>
      <c r="AQ1733" s="269"/>
      <c r="AR1733" s="269"/>
    </row>
    <row r="1734">
      <c r="A1734" s="410"/>
      <c r="B1734" s="410"/>
      <c r="C1734" s="410"/>
      <c r="D1734" s="410"/>
      <c r="E1734" s="410"/>
      <c r="F1734" s="410"/>
      <c r="H1734" s="269"/>
      <c r="I1734" s="269"/>
      <c r="J1734" s="269"/>
      <c r="K1734" s="269"/>
      <c r="L1734" s="269"/>
      <c r="M1734" s="269"/>
      <c r="N1734" s="269"/>
      <c r="O1734" s="269"/>
      <c r="P1734" s="269"/>
      <c r="Q1734" s="269"/>
      <c r="R1734" s="269"/>
      <c r="S1734" s="269"/>
      <c r="T1734" s="269"/>
      <c r="U1734" s="269"/>
      <c r="V1734" s="269"/>
      <c r="W1734" s="269"/>
      <c r="X1734" s="269"/>
      <c r="Y1734" s="269"/>
      <c r="Z1734" s="269"/>
      <c r="AA1734" s="269"/>
      <c r="AB1734" s="269"/>
      <c r="AC1734" s="269"/>
      <c r="AD1734" s="269"/>
      <c r="AE1734" s="269"/>
      <c r="AF1734" s="269"/>
      <c r="AG1734" s="269"/>
      <c r="AH1734" s="269"/>
      <c r="AI1734" s="269"/>
      <c r="AJ1734" s="269"/>
      <c r="AK1734" s="269"/>
      <c r="AL1734" s="269"/>
      <c r="AM1734" s="269"/>
      <c r="AN1734" s="269"/>
      <c r="AO1734" s="269"/>
      <c r="AP1734" s="269"/>
      <c r="AQ1734" s="269"/>
      <c r="AR1734" s="269"/>
    </row>
    <row r="1735">
      <c r="A1735" s="410"/>
      <c r="B1735" s="410"/>
      <c r="C1735" s="410"/>
      <c r="D1735" s="410"/>
      <c r="E1735" s="410"/>
      <c r="F1735" s="410"/>
      <c r="H1735" s="269"/>
      <c r="I1735" s="269"/>
      <c r="J1735" s="269"/>
      <c r="K1735" s="269"/>
      <c r="L1735" s="269"/>
      <c r="M1735" s="269"/>
      <c r="N1735" s="269"/>
      <c r="O1735" s="269"/>
      <c r="P1735" s="269"/>
      <c r="Q1735" s="269"/>
      <c r="R1735" s="269"/>
      <c r="S1735" s="269"/>
      <c r="T1735" s="269"/>
      <c r="U1735" s="269"/>
      <c r="V1735" s="269"/>
      <c r="W1735" s="269"/>
      <c r="X1735" s="269"/>
      <c r="Y1735" s="269"/>
      <c r="Z1735" s="269"/>
      <c r="AA1735" s="269"/>
      <c r="AB1735" s="269"/>
      <c r="AC1735" s="269"/>
      <c r="AD1735" s="269"/>
      <c r="AE1735" s="269"/>
      <c r="AF1735" s="269"/>
      <c r="AG1735" s="269"/>
      <c r="AH1735" s="269"/>
      <c r="AI1735" s="269"/>
      <c r="AJ1735" s="269"/>
      <c r="AK1735" s="269"/>
      <c r="AL1735" s="269"/>
      <c r="AM1735" s="269"/>
      <c r="AN1735" s="269"/>
      <c r="AO1735" s="269"/>
      <c r="AP1735" s="269"/>
      <c r="AQ1735" s="269"/>
      <c r="AR1735" s="269"/>
    </row>
    <row r="1736">
      <c r="A1736" s="410"/>
      <c r="B1736" s="410"/>
      <c r="C1736" s="410"/>
      <c r="D1736" s="410"/>
      <c r="E1736" s="410"/>
      <c r="F1736" s="410"/>
      <c r="H1736" s="269"/>
      <c r="I1736" s="269"/>
      <c r="J1736" s="269"/>
      <c r="K1736" s="269"/>
      <c r="L1736" s="269"/>
      <c r="M1736" s="269"/>
      <c r="N1736" s="269"/>
      <c r="O1736" s="269"/>
      <c r="P1736" s="269"/>
      <c r="Q1736" s="269"/>
      <c r="R1736" s="269"/>
      <c r="S1736" s="269"/>
      <c r="T1736" s="269"/>
      <c r="U1736" s="269"/>
      <c r="V1736" s="269"/>
      <c r="W1736" s="269"/>
      <c r="X1736" s="269"/>
      <c r="Y1736" s="269"/>
      <c r="Z1736" s="269"/>
      <c r="AA1736" s="269"/>
      <c r="AB1736" s="269"/>
      <c r="AC1736" s="269"/>
      <c r="AD1736" s="269"/>
      <c r="AE1736" s="269"/>
      <c r="AF1736" s="269"/>
      <c r="AG1736" s="269"/>
      <c r="AH1736" s="269"/>
      <c r="AI1736" s="269"/>
      <c r="AJ1736" s="269"/>
      <c r="AK1736" s="269"/>
      <c r="AL1736" s="269"/>
      <c r="AM1736" s="269"/>
      <c r="AN1736" s="269"/>
      <c r="AO1736" s="269"/>
      <c r="AP1736" s="269"/>
      <c r="AQ1736" s="269"/>
      <c r="AR1736" s="269"/>
    </row>
    <row r="1737">
      <c r="A1737" s="410"/>
      <c r="B1737" s="410"/>
      <c r="C1737" s="410"/>
      <c r="D1737" s="410"/>
      <c r="E1737" s="410"/>
      <c r="F1737" s="410"/>
      <c r="H1737" s="269"/>
      <c r="I1737" s="269"/>
      <c r="J1737" s="269"/>
      <c r="K1737" s="269"/>
      <c r="L1737" s="269"/>
      <c r="M1737" s="269"/>
      <c r="N1737" s="269"/>
      <c r="O1737" s="269"/>
      <c r="P1737" s="269"/>
      <c r="Q1737" s="269"/>
      <c r="R1737" s="269"/>
      <c r="S1737" s="269"/>
      <c r="T1737" s="269"/>
      <c r="U1737" s="269"/>
      <c r="V1737" s="269"/>
      <c r="W1737" s="269"/>
      <c r="X1737" s="269"/>
      <c r="Y1737" s="269"/>
      <c r="Z1737" s="269"/>
      <c r="AA1737" s="269"/>
      <c r="AB1737" s="269"/>
      <c r="AC1737" s="269"/>
      <c r="AD1737" s="269"/>
      <c r="AE1737" s="269"/>
      <c r="AF1737" s="269"/>
      <c r="AG1737" s="269"/>
      <c r="AH1737" s="269"/>
      <c r="AI1737" s="269"/>
      <c r="AJ1737" s="269"/>
      <c r="AK1737" s="269"/>
      <c r="AL1737" s="269"/>
      <c r="AM1737" s="269"/>
      <c r="AN1737" s="269"/>
      <c r="AO1737" s="269"/>
      <c r="AP1737" s="269"/>
      <c r="AQ1737" s="269"/>
      <c r="AR1737" s="269"/>
    </row>
    <row r="1738">
      <c r="A1738" s="410"/>
      <c r="B1738" s="410"/>
      <c r="C1738" s="410"/>
      <c r="D1738" s="410"/>
      <c r="E1738" s="410"/>
      <c r="F1738" s="410"/>
      <c r="H1738" s="269"/>
      <c r="I1738" s="269"/>
      <c r="J1738" s="269"/>
      <c r="K1738" s="269"/>
      <c r="L1738" s="269"/>
      <c r="M1738" s="269"/>
      <c r="N1738" s="269"/>
      <c r="O1738" s="269"/>
      <c r="P1738" s="269"/>
      <c r="Q1738" s="269"/>
      <c r="R1738" s="269"/>
      <c r="S1738" s="269"/>
      <c r="T1738" s="269"/>
      <c r="U1738" s="269"/>
      <c r="V1738" s="269"/>
      <c r="W1738" s="269"/>
      <c r="X1738" s="269"/>
      <c r="Y1738" s="269"/>
      <c r="Z1738" s="269"/>
      <c r="AA1738" s="269"/>
      <c r="AB1738" s="269"/>
      <c r="AC1738" s="269"/>
      <c r="AD1738" s="269"/>
      <c r="AE1738" s="269"/>
      <c r="AF1738" s="269"/>
      <c r="AG1738" s="269"/>
      <c r="AH1738" s="269"/>
      <c r="AI1738" s="269"/>
      <c r="AJ1738" s="269"/>
      <c r="AK1738" s="269"/>
      <c r="AL1738" s="269"/>
      <c r="AM1738" s="269"/>
      <c r="AN1738" s="269"/>
      <c r="AO1738" s="269"/>
      <c r="AP1738" s="269"/>
      <c r="AQ1738" s="269"/>
      <c r="AR1738" s="269"/>
    </row>
    <row r="1739">
      <c r="A1739" s="410"/>
      <c r="B1739" s="410"/>
      <c r="C1739" s="410"/>
      <c r="D1739" s="410"/>
      <c r="E1739" s="410"/>
      <c r="F1739" s="410"/>
      <c r="H1739" s="269"/>
      <c r="I1739" s="269"/>
      <c r="J1739" s="269"/>
      <c r="K1739" s="269"/>
      <c r="L1739" s="269"/>
      <c r="M1739" s="269"/>
      <c r="N1739" s="269"/>
      <c r="O1739" s="269"/>
      <c r="P1739" s="269"/>
      <c r="Q1739" s="269"/>
      <c r="R1739" s="269"/>
      <c r="S1739" s="269"/>
      <c r="T1739" s="269"/>
      <c r="U1739" s="269"/>
      <c r="V1739" s="269"/>
      <c r="W1739" s="269"/>
      <c r="X1739" s="269"/>
      <c r="Y1739" s="269"/>
      <c r="Z1739" s="269"/>
      <c r="AA1739" s="269"/>
      <c r="AB1739" s="269"/>
      <c r="AC1739" s="269"/>
      <c r="AD1739" s="269"/>
      <c r="AE1739" s="269"/>
      <c r="AF1739" s="269"/>
      <c r="AG1739" s="269"/>
      <c r="AH1739" s="269"/>
      <c r="AI1739" s="269"/>
      <c r="AJ1739" s="269"/>
      <c r="AK1739" s="269"/>
      <c r="AL1739" s="269"/>
      <c r="AM1739" s="269"/>
      <c r="AN1739" s="269"/>
      <c r="AO1739" s="269"/>
      <c r="AP1739" s="269"/>
      <c r="AQ1739" s="269"/>
      <c r="AR1739" s="269"/>
    </row>
    <row r="1740">
      <c r="A1740" s="410"/>
      <c r="B1740" s="410"/>
      <c r="C1740" s="410"/>
      <c r="D1740" s="410"/>
      <c r="E1740" s="410"/>
      <c r="F1740" s="410"/>
      <c r="H1740" s="269"/>
      <c r="I1740" s="269"/>
      <c r="J1740" s="269"/>
      <c r="K1740" s="269"/>
      <c r="L1740" s="269"/>
      <c r="M1740" s="269"/>
      <c r="N1740" s="269"/>
      <c r="O1740" s="269"/>
      <c r="P1740" s="269"/>
      <c r="Q1740" s="269"/>
      <c r="R1740" s="269"/>
      <c r="S1740" s="269"/>
      <c r="T1740" s="269"/>
      <c r="U1740" s="269"/>
      <c r="V1740" s="269"/>
      <c r="W1740" s="269"/>
      <c r="X1740" s="269"/>
      <c r="Y1740" s="269"/>
      <c r="Z1740" s="269"/>
      <c r="AA1740" s="269"/>
      <c r="AB1740" s="269"/>
      <c r="AC1740" s="269"/>
      <c r="AD1740" s="269"/>
      <c r="AE1740" s="269"/>
      <c r="AF1740" s="269"/>
      <c r="AG1740" s="269"/>
      <c r="AH1740" s="269"/>
      <c r="AI1740" s="269"/>
      <c r="AJ1740" s="269"/>
      <c r="AK1740" s="269"/>
      <c r="AL1740" s="269"/>
      <c r="AM1740" s="269"/>
      <c r="AN1740" s="269"/>
      <c r="AO1740" s="269"/>
      <c r="AP1740" s="269"/>
      <c r="AQ1740" s="269"/>
      <c r="AR1740" s="269"/>
    </row>
    <row r="1741">
      <c r="A1741" s="410"/>
      <c r="B1741" s="410"/>
      <c r="C1741" s="410"/>
      <c r="D1741" s="410"/>
      <c r="E1741" s="410"/>
      <c r="F1741" s="410"/>
      <c r="H1741" s="269"/>
      <c r="I1741" s="269"/>
      <c r="J1741" s="269"/>
      <c r="K1741" s="269"/>
      <c r="L1741" s="269"/>
      <c r="M1741" s="269"/>
      <c r="N1741" s="269"/>
      <c r="O1741" s="269"/>
      <c r="P1741" s="269"/>
      <c r="Q1741" s="269"/>
      <c r="R1741" s="269"/>
      <c r="S1741" s="269"/>
      <c r="T1741" s="269"/>
      <c r="U1741" s="269"/>
      <c r="V1741" s="269"/>
      <c r="W1741" s="269"/>
      <c r="X1741" s="269"/>
      <c r="Y1741" s="269"/>
      <c r="Z1741" s="269"/>
      <c r="AA1741" s="269"/>
      <c r="AB1741" s="269"/>
      <c r="AC1741" s="269"/>
      <c r="AD1741" s="269"/>
      <c r="AE1741" s="269"/>
      <c r="AF1741" s="269"/>
      <c r="AG1741" s="269"/>
      <c r="AH1741" s="269"/>
      <c r="AI1741" s="269"/>
      <c r="AJ1741" s="269"/>
      <c r="AK1741" s="269"/>
      <c r="AL1741" s="269"/>
      <c r="AM1741" s="269"/>
      <c r="AN1741" s="269"/>
      <c r="AO1741" s="269"/>
      <c r="AP1741" s="269"/>
      <c r="AQ1741" s="269"/>
      <c r="AR1741" s="269"/>
    </row>
    <row r="1742">
      <c r="A1742" s="410"/>
      <c r="B1742" s="410"/>
      <c r="C1742" s="410"/>
      <c r="D1742" s="410"/>
      <c r="E1742" s="410"/>
      <c r="F1742" s="410"/>
      <c r="H1742" s="269"/>
      <c r="I1742" s="269"/>
      <c r="J1742" s="269"/>
      <c r="K1742" s="269"/>
      <c r="L1742" s="269"/>
      <c r="M1742" s="269"/>
      <c r="N1742" s="269"/>
      <c r="O1742" s="269"/>
      <c r="P1742" s="269"/>
      <c r="Q1742" s="269"/>
      <c r="R1742" s="269"/>
      <c r="S1742" s="269"/>
      <c r="T1742" s="269"/>
      <c r="U1742" s="269"/>
      <c r="V1742" s="269"/>
      <c r="W1742" s="269"/>
      <c r="X1742" s="269"/>
      <c r="Y1742" s="269"/>
      <c r="Z1742" s="269"/>
      <c r="AA1742" s="269"/>
      <c r="AB1742" s="269"/>
      <c r="AC1742" s="269"/>
      <c r="AD1742" s="269"/>
      <c r="AE1742" s="269"/>
      <c r="AF1742" s="269"/>
      <c r="AG1742" s="269"/>
      <c r="AH1742" s="269"/>
      <c r="AI1742" s="269"/>
      <c r="AJ1742" s="269"/>
      <c r="AK1742" s="269"/>
      <c r="AL1742" s="269"/>
      <c r="AM1742" s="269"/>
      <c r="AN1742" s="269"/>
      <c r="AO1742" s="269"/>
      <c r="AP1742" s="269"/>
      <c r="AQ1742" s="269"/>
      <c r="AR1742" s="269"/>
    </row>
    <row r="1743">
      <c r="A1743" s="410"/>
      <c r="B1743" s="410"/>
      <c r="C1743" s="410"/>
      <c r="D1743" s="410"/>
      <c r="E1743" s="410"/>
      <c r="F1743" s="410"/>
      <c r="H1743" s="269"/>
      <c r="I1743" s="269"/>
      <c r="J1743" s="269"/>
      <c r="K1743" s="269"/>
      <c r="L1743" s="269"/>
      <c r="M1743" s="269"/>
      <c r="N1743" s="269"/>
      <c r="O1743" s="269"/>
      <c r="P1743" s="269"/>
      <c r="Q1743" s="269"/>
      <c r="R1743" s="269"/>
      <c r="S1743" s="269"/>
      <c r="T1743" s="269"/>
      <c r="U1743" s="269"/>
      <c r="V1743" s="269"/>
      <c r="W1743" s="269"/>
      <c r="X1743" s="269"/>
      <c r="Y1743" s="269"/>
      <c r="Z1743" s="269"/>
      <c r="AA1743" s="269"/>
      <c r="AB1743" s="269"/>
      <c r="AC1743" s="269"/>
      <c r="AD1743" s="269"/>
      <c r="AE1743" s="269"/>
      <c r="AF1743" s="269"/>
      <c r="AG1743" s="269"/>
      <c r="AH1743" s="269"/>
      <c r="AI1743" s="269"/>
      <c r="AJ1743" s="269"/>
      <c r="AK1743" s="269"/>
      <c r="AL1743" s="269"/>
      <c r="AM1743" s="269"/>
      <c r="AN1743" s="269"/>
      <c r="AO1743" s="269"/>
      <c r="AP1743" s="269"/>
      <c r="AQ1743" s="269"/>
      <c r="AR1743" s="269"/>
    </row>
    <row r="1744">
      <c r="A1744" s="410"/>
      <c r="B1744" s="410"/>
      <c r="C1744" s="410"/>
      <c r="D1744" s="410"/>
      <c r="E1744" s="410"/>
      <c r="F1744" s="410"/>
      <c r="H1744" s="269"/>
      <c r="I1744" s="269"/>
      <c r="J1744" s="269"/>
      <c r="K1744" s="269"/>
      <c r="L1744" s="269"/>
      <c r="M1744" s="269"/>
      <c r="N1744" s="269"/>
      <c r="O1744" s="269"/>
      <c r="P1744" s="269"/>
      <c r="Q1744" s="269"/>
      <c r="R1744" s="269"/>
      <c r="S1744" s="269"/>
      <c r="T1744" s="269"/>
      <c r="U1744" s="269"/>
      <c r="V1744" s="269"/>
      <c r="W1744" s="269"/>
      <c r="X1744" s="269"/>
      <c r="Y1744" s="269"/>
      <c r="Z1744" s="269"/>
      <c r="AA1744" s="269"/>
      <c r="AB1744" s="269"/>
      <c r="AC1744" s="269"/>
      <c r="AD1744" s="269"/>
      <c r="AE1744" s="269"/>
      <c r="AF1744" s="269"/>
      <c r="AG1744" s="269"/>
      <c r="AH1744" s="269"/>
      <c r="AI1744" s="269"/>
      <c r="AJ1744" s="269"/>
      <c r="AK1744" s="269"/>
      <c r="AL1744" s="269"/>
      <c r="AM1744" s="269"/>
      <c r="AN1744" s="269"/>
      <c r="AO1744" s="269"/>
      <c r="AP1744" s="269"/>
      <c r="AQ1744" s="269"/>
      <c r="AR1744" s="269"/>
    </row>
    <row r="1745">
      <c r="A1745" s="410"/>
      <c r="B1745" s="410"/>
      <c r="C1745" s="410"/>
      <c r="D1745" s="410"/>
      <c r="E1745" s="410"/>
      <c r="F1745" s="410"/>
      <c r="H1745" s="269"/>
      <c r="I1745" s="269"/>
      <c r="J1745" s="269"/>
      <c r="K1745" s="269"/>
      <c r="L1745" s="269"/>
      <c r="M1745" s="269"/>
      <c r="N1745" s="269"/>
      <c r="O1745" s="269"/>
      <c r="P1745" s="269"/>
      <c r="Q1745" s="269"/>
      <c r="R1745" s="269"/>
      <c r="S1745" s="269"/>
      <c r="T1745" s="269"/>
      <c r="U1745" s="269"/>
      <c r="V1745" s="269"/>
      <c r="W1745" s="269"/>
      <c r="X1745" s="269"/>
      <c r="Y1745" s="269"/>
      <c r="Z1745" s="269"/>
      <c r="AA1745" s="269"/>
      <c r="AB1745" s="269"/>
      <c r="AC1745" s="269"/>
      <c r="AD1745" s="269"/>
      <c r="AE1745" s="269"/>
      <c r="AF1745" s="269"/>
      <c r="AG1745" s="269"/>
      <c r="AH1745" s="269"/>
      <c r="AI1745" s="269"/>
      <c r="AJ1745" s="269"/>
      <c r="AK1745" s="269"/>
      <c r="AL1745" s="269"/>
      <c r="AM1745" s="269"/>
      <c r="AN1745" s="269"/>
      <c r="AO1745" s="269"/>
      <c r="AP1745" s="269"/>
      <c r="AQ1745" s="269"/>
      <c r="AR1745" s="269"/>
    </row>
    <row r="1746">
      <c r="A1746" s="410"/>
      <c r="B1746" s="410"/>
      <c r="C1746" s="410"/>
      <c r="D1746" s="410"/>
      <c r="E1746" s="410"/>
      <c r="F1746" s="410"/>
      <c r="H1746" s="269"/>
      <c r="I1746" s="269"/>
      <c r="J1746" s="269"/>
      <c r="K1746" s="269"/>
      <c r="L1746" s="269"/>
      <c r="M1746" s="269"/>
      <c r="N1746" s="269"/>
      <c r="O1746" s="269"/>
      <c r="P1746" s="269"/>
      <c r="Q1746" s="269"/>
      <c r="R1746" s="269"/>
      <c r="S1746" s="269"/>
      <c r="T1746" s="269"/>
      <c r="U1746" s="269"/>
      <c r="V1746" s="269"/>
      <c r="W1746" s="269"/>
      <c r="X1746" s="269"/>
      <c r="Y1746" s="269"/>
      <c r="Z1746" s="269"/>
      <c r="AA1746" s="269"/>
      <c r="AB1746" s="269"/>
      <c r="AC1746" s="269"/>
      <c r="AD1746" s="269"/>
      <c r="AE1746" s="269"/>
      <c r="AF1746" s="269"/>
      <c r="AG1746" s="269"/>
      <c r="AH1746" s="269"/>
      <c r="AI1746" s="269"/>
      <c r="AJ1746" s="269"/>
      <c r="AK1746" s="269"/>
      <c r="AL1746" s="269"/>
      <c r="AM1746" s="269"/>
      <c r="AN1746" s="269"/>
      <c r="AO1746" s="269"/>
      <c r="AP1746" s="269"/>
      <c r="AQ1746" s="269"/>
      <c r="AR1746" s="269"/>
    </row>
    <row r="1747">
      <c r="A1747" s="410"/>
      <c r="B1747" s="410"/>
      <c r="C1747" s="410"/>
      <c r="D1747" s="410"/>
      <c r="E1747" s="410"/>
      <c r="F1747" s="410"/>
      <c r="H1747" s="269"/>
      <c r="I1747" s="269"/>
      <c r="J1747" s="269"/>
      <c r="K1747" s="269"/>
      <c r="L1747" s="269"/>
      <c r="M1747" s="269"/>
      <c r="N1747" s="269"/>
      <c r="O1747" s="269"/>
      <c r="P1747" s="269"/>
      <c r="Q1747" s="269"/>
      <c r="R1747" s="269"/>
      <c r="S1747" s="269"/>
      <c r="T1747" s="269"/>
      <c r="U1747" s="269"/>
      <c r="V1747" s="269"/>
      <c r="W1747" s="269"/>
      <c r="X1747" s="269"/>
      <c r="Y1747" s="269"/>
      <c r="Z1747" s="269"/>
      <c r="AA1747" s="269"/>
      <c r="AB1747" s="269"/>
      <c r="AC1747" s="269"/>
      <c r="AD1747" s="269"/>
      <c r="AE1747" s="269"/>
      <c r="AF1747" s="269"/>
      <c r="AG1747" s="269"/>
      <c r="AH1747" s="269"/>
      <c r="AI1747" s="269"/>
      <c r="AJ1747" s="269"/>
      <c r="AK1747" s="269"/>
      <c r="AL1747" s="269"/>
      <c r="AM1747" s="269"/>
      <c r="AN1747" s="269"/>
      <c r="AO1747" s="269"/>
      <c r="AP1747" s="269"/>
      <c r="AQ1747" s="269"/>
      <c r="AR1747" s="269"/>
    </row>
    <row r="1748">
      <c r="A1748" s="410"/>
      <c r="B1748" s="410"/>
      <c r="C1748" s="410"/>
      <c r="D1748" s="410"/>
      <c r="E1748" s="410"/>
      <c r="F1748" s="410"/>
      <c r="H1748" s="269"/>
      <c r="I1748" s="269"/>
      <c r="J1748" s="269"/>
      <c r="K1748" s="269"/>
      <c r="L1748" s="269"/>
      <c r="M1748" s="269"/>
      <c r="N1748" s="269"/>
      <c r="O1748" s="269"/>
      <c r="P1748" s="269"/>
      <c r="Q1748" s="269"/>
      <c r="R1748" s="269"/>
      <c r="S1748" s="269"/>
      <c r="T1748" s="269"/>
      <c r="U1748" s="269"/>
      <c r="V1748" s="269"/>
      <c r="W1748" s="269"/>
      <c r="X1748" s="269"/>
      <c r="Y1748" s="269"/>
      <c r="Z1748" s="269"/>
      <c r="AA1748" s="269"/>
      <c r="AB1748" s="269"/>
      <c r="AC1748" s="269"/>
      <c r="AD1748" s="269"/>
      <c r="AE1748" s="269"/>
      <c r="AF1748" s="269"/>
      <c r="AG1748" s="269"/>
      <c r="AH1748" s="269"/>
      <c r="AI1748" s="269"/>
      <c r="AJ1748" s="269"/>
      <c r="AK1748" s="269"/>
      <c r="AL1748" s="269"/>
      <c r="AM1748" s="269"/>
      <c r="AN1748" s="269"/>
      <c r="AO1748" s="269"/>
      <c r="AP1748" s="269"/>
      <c r="AQ1748" s="269"/>
      <c r="AR1748" s="269"/>
    </row>
    <row r="1749">
      <c r="A1749" s="410"/>
      <c r="B1749" s="410"/>
      <c r="C1749" s="410"/>
      <c r="D1749" s="410"/>
      <c r="E1749" s="410"/>
      <c r="F1749" s="410"/>
      <c r="H1749" s="269"/>
      <c r="I1749" s="269"/>
      <c r="J1749" s="269"/>
      <c r="K1749" s="269"/>
      <c r="L1749" s="269"/>
      <c r="M1749" s="269"/>
      <c r="N1749" s="269"/>
      <c r="O1749" s="269"/>
      <c r="P1749" s="269"/>
      <c r="Q1749" s="269"/>
      <c r="R1749" s="269"/>
      <c r="S1749" s="269"/>
      <c r="T1749" s="269"/>
      <c r="U1749" s="269"/>
      <c r="V1749" s="269"/>
      <c r="W1749" s="269"/>
      <c r="X1749" s="269"/>
      <c r="Y1749" s="269"/>
      <c r="Z1749" s="269"/>
      <c r="AA1749" s="269"/>
      <c r="AB1749" s="269"/>
      <c r="AC1749" s="269"/>
      <c r="AD1749" s="269"/>
      <c r="AE1749" s="269"/>
      <c r="AF1749" s="269"/>
      <c r="AG1749" s="269"/>
      <c r="AH1749" s="269"/>
      <c r="AI1749" s="269"/>
      <c r="AJ1749" s="269"/>
      <c r="AK1749" s="269"/>
      <c r="AL1749" s="269"/>
      <c r="AM1749" s="269"/>
      <c r="AN1749" s="269"/>
      <c r="AO1749" s="269"/>
      <c r="AP1749" s="269"/>
      <c r="AQ1749" s="269"/>
      <c r="AR1749" s="269"/>
    </row>
    <row r="1750">
      <c r="A1750" s="410"/>
      <c r="B1750" s="410"/>
      <c r="C1750" s="410"/>
      <c r="D1750" s="410"/>
      <c r="E1750" s="410"/>
      <c r="F1750" s="410"/>
      <c r="H1750" s="269"/>
      <c r="I1750" s="269"/>
      <c r="J1750" s="269"/>
      <c r="K1750" s="269"/>
      <c r="L1750" s="269"/>
      <c r="M1750" s="269"/>
      <c r="N1750" s="269"/>
      <c r="O1750" s="269"/>
      <c r="P1750" s="269"/>
      <c r="Q1750" s="269"/>
      <c r="R1750" s="269"/>
      <c r="S1750" s="269"/>
      <c r="T1750" s="269"/>
      <c r="U1750" s="269"/>
      <c r="V1750" s="269"/>
      <c r="W1750" s="269"/>
      <c r="X1750" s="269"/>
      <c r="Y1750" s="269"/>
      <c r="Z1750" s="269"/>
      <c r="AA1750" s="269"/>
      <c r="AB1750" s="269"/>
      <c r="AC1750" s="269"/>
      <c r="AD1750" s="269"/>
      <c r="AE1750" s="269"/>
      <c r="AF1750" s="269"/>
      <c r="AG1750" s="269"/>
      <c r="AH1750" s="269"/>
      <c r="AI1750" s="269"/>
      <c r="AJ1750" s="269"/>
      <c r="AK1750" s="269"/>
      <c r="AL1750" s="269"/>
      <c r="AM1750" s="269"/>
      <c r="AN1750" s="269"/>
      <c r="AO1750" s="269"/>
      <c r="AP1750" s="269"/>
      <c r="AQ1750" s="269"/>
      <c r="AR1750" s="269"/>
    </row>
    <row r="1751">
      <c r="A1751" s="410"/>
      <c r="B1751" s="410"/>
      <c r="C1751" s="410"/>
      <c r="D1751" s="410"/>
      <c r="E1751" s="410"/>
      <c r="F1751" s="410"/>
      <c r="H1751" s="269"/>
      <c r="I1751" s="269"/>
      <c r="J1751" s="269"/>
      <c r="K1751" s="269"/>
      <c r="L1751" s="269"/>
      <c r="M1751" s="269"/>
      <c r="N1751" s="269"/>
      <c r="O1751" s="269"/>
      <c r="P1751" s="269"/>
      <c r="Q1751" s="269"/>
      <c r="R1751" s="269"/>
      <c r="S1751" s="269"/>
      <c r="T1751" s="269"/>
      <c r="U1751" s="269"/>
      <c r="V1751" s="269"/>
      <c r="W1751" s="269"/>
      <c r="X1751" s="269"/>
      <c r="Y1751" s="269"/>
      <c r="Z1751" s="269"/>
      <c r="AA1751" s="269"/>
      <c r="AB1751" s="269"/>
      <c r="AC1751" s="269"/>
      <c r="AD1751" s="269"/>
      <c r="AE1751" s="269"/>
      <c r="AF1751" s="269"/>
      <c r="AG1751" s="269"/>
      <c r="AH1751" s="269"/>
      <c r="AI1751" s="269"/>
      <c r="AJ1751" s="269"/>
      <c r="AK1751" s="269"/>
      <c r="AL1751" s="269"/>
      <c r="AM1751" s="269"/>
      <c r="AN1751" s="269"/>
      <c r="AO1751" s="269"/>
      <c r="AP1751" s="269"/>
      <c r="AQ1751" s="269"/>
      <c r="AR1751" s="269"/>
    </row>
    <row r="1752">
      <c r="A1752" s="410"/>
      <c r="B1752" s="410"/>
      <c r="C1752" s="410"/>
      <c r="D1752" s="410"/>
      <c r="E1752" s="410"/>
      <c r="F1752" s="410"/>
      <c r="H1752" s="269"/>
      <c r="I1752" s="269"/>
      <c r="J1752" s="269"/>
      <c r="K1752" s="269"/>
      <c r="L1752" s="269"/>
      <c r="M1752" s="269"/>
      <c r="N1752" s="269"/>
      <c r="O1752" s="269"/>
      <c r="P1752" s="269"/>
      <c r="Q1752" s="269"/>
      <c r="R1752" s="269"/>
      <c r="S1752" s="269"/>
      <c r="T1752" s="269"/>
      <c r="U1752" s="269"/>
      <c r="V1752" s="269"/>
      <c r="W1752" s="269"/>
      <c r="X1752" s="269"/>
      <c r="Y1752" s="269"/>
      <c r="Z1752" s="269"/>
      <c r="AA1752" s="269"/>
      <c r="AB1752" s="269"/>
      <c r="AC1752" s="269"/>
      <c r="AD1752" s="269"/>
      <c r="AE1752" s="269"/>
      <c r="AF1752" s="269"/>
      <c r="AG1752" s="269"/>
      <c r="AH1752" s="269"/>
      <c r="AI1752" s="269"/>
      <c r="AJ1752" s="269"/>
      <c r="AK1752" s="269"/>
      <c r="AL1752" s="269"/>
      <c r="AM1752" s="269"/>
      <c r="AN1752" s="269"/>
      <c r="AO1752" s="269"/>
      <c r="AP1752" s="269"/>
      <c r="AQ1752" s="269"/>
      <c r="AR1752" s="269"/>
    </row>
    <row r="1753">
      <c r="A1753" s="410"/>
      <c r="B1753" s="410"/>
      <c r="C1753" s="410"/>
      <c r="D1753" s="410"/>
      <c r="E1753" s="410"/>
      <c r="F1753" s="410"/>
      <c r="H1753" s="269"/>
      <c r="I1753" s="269"/>
      <c r="J1753" s="269"/>
      <c r="K1753" s="269"/>
      <c r="L1753" s="269"/>
      <c r="M1753" s="269"/>
      <c r="N1753" s="269"/>
      <c r="O1753" s="269"/>
      <c r="P1753" s="269"/>
      <c r="Q1753" s="269"/>
      <c r="R1753" s="269"/>
      <c r="S1753" s="269"/>
      <c r="T1753" s="269"/>
      <c r="U1753" s="269"/>
      <c r="V1753" s="269"/>
      <c r="W1753" s="269"/>
      <c r="X1753" s="269"/>
      <c r="Y1753" s="269"/>
      <c r="Z1753" s="269"/>
      <c r="AA1753" s="269"/>
      <c r="AB1753" s="269"/>
      <c r="AC1753" s="269"/>
      <c r="AD1753" s="269"/>
      <c r="AE1753" s="269"/>
      <c r="AF1753" s="269"/>
      <c r="AG1753" s="269"/>
      <c r="AH1753" s="269"/>
      <c r="AI1753" s="269"/>
      <c r="AJ1753" s="269"/>
      <c r="AK1753" s="269"/>
      <c r="AL1753" s="269"/>
      <c r="AM1753" s="269"/>
      <c r="AN1753" s="269"/>
      <c r="AO1753" s="269"/>
      <c r="AP1753" s="269"/>
      <c r="AQ1753" s="269"/>
      <c r="AR1753" s="269"/>
    </row>
    <row r="1754">
      <c r="A1754" s="410"/>
      <c r="B1754" s="410"/>
      <c r="C1754" s="410"/>
      <c r="D1754" s="410"/>
      <c r="E1754" s="410"/>
      <c r="F1754" s="410"/>
      <c r="H1754" s="269"/>
      <c r="I1754" s="269"/>
      <c r="J1754" s="269"/>
      <c r="K1754" s="269"/>
      <c r="L1754" s="269"/>
      <c r="M1754" s="269"/>
      <c r="N1754" s="269"/>
      <c r="O1754" s="269"/>
      <c r="P1754" s="269"/>
      <c r="Q1754" s="269"/>
      <c r="R1754" s="269"/>
      <c r="S1754" s="269"/>
      <c r="T1754" s="269"/>
      <c r="U1754" s="269"/>
      <c r="V1754" s="269"/>
      <c r="W1754" s="269"/>
      <c r="X1754" s="269"/>
      <c r="Y1754" s="269"/>
      <c r="Z1754" s="269"/>
      <c r="AA1754" s="269"/>
      <c r="AB1754" s="269"/>
      <c r="AC1754" s="269"/>
      <c r="AD1754" s="269"/>
      <c r="AE1754" s="269"/>
      <c r="AF1754" s="269"/>
      <c r="AG1754" s="269"/>
      <c r="AH1754" s="269"/>
      <c r="AI1754" s="269"/>
      <c r="AJ1754" s="269"/>
      <c r="AK1754" s="269"/>
      <c r="AL1754" s="269"/>
      <c r="AM1754" s="269"/>
      <c r="AN1754" s="269"/>
      <c r="AO1754" s="269"/>
      <c r="AP1754" s="269"/>
      <c r="AQ1754" s="269"/>
      <c r="AR1754" s="269"/>
    </row>
    <row r="1755">
      <c r="A1755" s="410"/>
      <c r="B1755" s="410"/>
      <c r="C1755" s="410"/>
      <c r="D1755" s="410"/>
      <c r="E1755" s="410"/>
      <c r="F1755" s="410"/>
      <c r="H1755" s="269"/>
      <c r="I1755" s="269"/>
      <c r="J1755" s="269"/>
      <c r="K1755" s="269"/>
      <c r="L1755" s="269"/>
      <c r="M1755" s="269"/>
      <c r="N1755" s="269"/>
      <c r="O1755" s="269"/>
      <c r="P1755" s="269"/>
      <c r="Q1755" s="269"/>
      <c r="R1755" s="269"/>
      <c r="S1755" s="269"/>
      <c r="T1755" s="269"/>
      <c r="U1755" s="269"/>
      <c r="V1755" s="269"/>
      <c r="W1755" s="269"/>
      <c r="X1755" s="269"/>
      <c r="Y1755" s="269"/>
      <c r="Z1755" s="269"/>
      <c r="AA1755" s="269"/>
      <c r="AB1755" s="269"/>
      <c r="AC1755" s="269"/>
      <c r="AD1755" s="269"/>
      <c r="AE1755" s="269"/>
      <c r="AF1755" s="269"/>
      <c r="AG1755" s="269"/>
      <c r="AH1755" s="269"/>
      <c r="AI1755" s="269"/>
      <c r="AJ1755" s="269"/>
      <c r="AK1755" s="269"/>
      <c r="AL1755" s="269"/>
      <c r="AM1755" s="269"/>
      <c r="AN1755" s="269"/>
      <c r="AO1755" s="269"/>
      <c r="AP1755" s="269"/>
      <c r="AQ1755" s="269"/>
      <c r="AR1755" s="269"/>
    </row>
    <row r="1756">
      <c r="A1756" s="410"/>
      <c r="B1756" s="410"/>
      <c r="C1756" s="410"/>
      <c r="D1756" s="410"/>
      <c r="E1756" s="410"/>
      <c r="F1756" s="410"/>
      <c r="H1756" s="269"/>
      <c r="I1756" s="269"/>
      <c r="J1756" s="269"/>
      <c r="K1756" s="269"/>
      <c r="L1756" s="269"/>
      <c r="M1756" s="269"/>
      <c r="N1756" s="269"/>
      <c r="O1756" s="269"/>
      <c r="P1756" s="269"/>
      <c r="Q1756" s="269"/>
      <c r="R1756" s="269"/>
      <c r="S1756" s="269"/>
      <c r="T1756" s="269"/>
      <c r="U1756" s="269"/>
      <c r="V1756" s="269"/>
      <c r="W1756" s="269"/>
      <c r="X1756" s="269"/>
      <c r="Y1756" s="269"/>
      <c r="Z1756" s="269"/>
      <c r="AA1756" s="269"/>
      <c r="AB1756" s="269"/>
      <c r="AC1756" s="269"/>
      <c r="AD1756" s="269"/>
      <c r="AE1756" s="269"/>
      <c r="AF1756" s="269"/>
      <c r="AG1756" s="269"/>
      <c r="AH1756" s="269"/>
      <c r="AI1756" s="269"/>
      <c r="AJ1756" s="269"/>
      <c r="AK1756" s="269"/>
      <c r="AL1756" s="269"/>
      <c r="AM1756" s="269"/>
      <c r="AN1756" s="269"/>
      <c r="AO1756" s="269"/>
      <c r="AP1756" s="269"/>
      <c r="AQ1756" s="269"/>
      <c r="AR1756" s="269"/>
    </row>
    <row r="1757">
      <c r="A1757" s="410"/>
      <c r="B1757" s="410"/>
      <c r="C1757" s="410"/>
      <c r="D1757" s="410"/>
      <c r="E1757" s="410"/>
      <c r="F1757" s="410"/>
      <c r="H1757" s="269"/>
      <c r="I1757" s="269"/>
      <c r="J1757" s="269"/>
      <c r="K1757" s="269"/>
      <c r="L1757" s="269"/>
      <c r="M1757" s="269"/>
      <c r="N1757" s="269"/>
      <c r="O1757" s="269"/>
      <c r="P1757" s="269"/>
      <c r="Q1757" s="269"/>
      <c r="R1757" s="269"/>
      <c r="S1757" s="269"/>
      <c r="T1757" s="269"/>
      <c r="U1757" s="269"/>
      <c r="V1757" s="269"/>
      <c r="W1757" s="269"/>
      <c r="X1757" s="269"/>
      <c r="Y1757" s="269"/>
      <c r="Z1757" s="269"/>
      <c r="AA1757" s="269"/>
      <c r="AB1757" s="269"/>
      <c r="AC1757" s="269"/>
      <c r="AD1757" s="269"/>
      <c r="AE1757" s="269"/>
      <c r="AF1757" s="269"/>
      <c r="AG1757" s="269"/>
      <c r="AH1757" s="269"/>
      <c r="AI1757" s="269"/>
      <c r="AJ1757" s="269"/>
      <c r="AK1757" s="269"/>
      <c r="AL1757" s="269"/>
      <c r="AM1757" s="269"/>
      <c r="AN1757" s="269"/>
      <c r="AO1757" s="269"/>
      <c r="AP1757" s="269"/>
      <c r="AQ1757" s="269"/>
      <c r="AR1757" s="269"/>
    </row>
    <row r="1758">
      <c r="A1758" s="410"/>
      <c r="B1758" s="410"/>
      <c r="C1758" s="410"/>
      <c r="D1758" s="410"/>
      <c r="E1758" s="410"/>
      <c r="F1758" s="410"/>
      <c r="H1758" s="269"/>
      <c r="I1758" s="269"/>
      <c r="J1758" s="269"/>
      <c r="K1758" s="269"/>
      <c r="L1758" s="269"/>
      <c r="M1758" s="269"/>
      <c r="N1758" s="269"/>
      <c r="O1758" s="269"/>
      <c r="P1758" s="269"/>
      <c r="Q1758" s="269"/>
      <c r="R1758" s="269"/>
      <c r="S1758" s="269"/>
      <c r="T1758" s="269"/>
      <c r="U1758" s="269"/>
      <c r="V1758" s="269"/>
      <c r="W1758" s="269"/>
      <c r="X1758" s="269"/>
      <c r="Y1758" s="269"/>
      <c r="Z1758" s="269"/>
      <c r="AA1758" s="269"/>
      <c r="AB1758" s="269"/>
      <c r="AC1758" s="269"/>
      <c r="AD1758" s="269"/>
      <c r="AE1758" s="269"/>
      <c r="AF1758" s="269"/>
      <c r="AG1758" s="269"/>
      <c r="AH1758" s="269"/>
      <c r="AI1758" s="269"/>
      <c r="AJ1758" s="269"/>
      <c r="AK1758" s="269"/>
      <c r="AL1758" s="269"/>
      <c r="AM1758" s="269"/>
      <c r="AN1758" s="269"/>
      <c r="AO1758" s="269"/>
      <c r="AP1758" s="269"/>
      <c r="AQ1758" s="269"/>
      <c r="AR1758" s="269"/>
    </row>
    <row r="1759">
      <c r="A1759" s="410"/>
      <c r="B1759" s="410"/>
      <c r="C1759" s="410"/>
      <c r="D1759" s="410"/>
      <c r="E1759" s="410"/>
      <c r="F1759" s="410"/>
      <c r="H1759" s="269"/>
      <c r="I1759" s="269"/>
      <c r="J1759" s="269"/>
      <c r="K1759" s="269"/>
      <c r="L1759" s="269"/>
      <c r="M1759" s="269"/>
      <c r="N1759" s="269"/>
      <c r="O1759" s="269"/>
      <c r="P1759" s="269"/>
      <c r="Q1759" s="269"/>
      <c r="R1759" s="269"/>
      <c r="S1759" s="269"/>
      <c r="T1759" s="269"/>
      <c r="U1759" s="269"/>
      <c r="V1759" s="269"/>
      <c r="W1759" s="269"/>
      <c r="X1759" s="269"/>
      <c r="Y1759" s="269"/>
      <c r="Z1759" s="269"/>
      <c r="AA1759" s="269"/>
      <c r="AB1759" s="269"/>
      <c r="AC1759" s="269"/>
      <c r="AD1759" s="269"/>
      <c r="AE1759" s="269"/>
      <c r="AF1759" s="269"/>
      <c r="AG1759" s="269"/>
      <c r="AH1759" s="269"/>
      <c r="AI1759" s="269"/>
      <c r="AJ1759" s="269"/>
      <c r="AK1759" s="269"/>
      <c r="AL1759" s="269"/>
      <c r="AM1759" s="269"/>
      <c r="AN1759" s="269"/>
      <c r="AO1759" s="269"/>
      <c r="AP1759" s="269"/>
      <c r="AQ1759" s="269"/>
      <c r="AR1759" s="269"/>
    </row>
    <row r="1760">
      <c r="A1760" s="410"/>
      <c r="B1760" s="410"/>
      <c r="C1760" s="410"/>
      <c r="D1760" s="410"/>
      <c r="E1760" s="410"/>
      <c r="F1760" s="410"/>
      <c r="H1760" s="269"/>
      <c r="I1760" s="269"/>
      <c r="J1760" s="269"/>
      <c r="K1760" s="269"/>
      <c r="L1760" s="269"/>
      <c r="M1760" s="269"/>
      <c r="N1760" s="269"/>
      <c r="O1760" s="269"/>
      <c r="P1760" s="269"/>
      <c r="Q1760" s="269"/>
      <c r="R1760" s="269"/>
      <c r="S1760" s="269"/>
      <c r="T1760" s="269"/>
      <c r="U1760" s="269"/>
      <c r="V1760" s="269"/>
      <c r="W1760" s="269"/>
      <c r="X1760" s="269"/>
      <c r="Y1760" s="269"/>
      <c r="Z1760" s="269"/>
      <c r="AA1760" s="269"/>
      <c r="AB1760" s="269"/>
      <c r="AC1760" s="269"/>
      <c r="AD1760" s="269"/>
      <c r="AE1760" s="269"/>
      <c r="AF1760" s="269"/>
      <c r="AG1760" s="269"/>
      <c r="AH1760" s="269"/>
      <c r="AI1760" s="269"/>
      <c r="AJ1760" s="269"/>
      <c r="AK1760" s="269"/>
      <c r="AL1760" s="269"/>
      <c r="AM1760" s="269"/>
      <c r="AN1760" s="269"/>
      <c r="AO1760" s="269"/>
      <c r="AP1760" s="269"/>
      <c r="AQ1760" s="269"/>
      <c r="AR1760" s="269"/>
    </row>
    <row r="1761">
      <c r="A1761" s="410"/>
      <c r="B1761" s="410"/>
      <c r="C1761" s="410"/>
      <c r="D1761" s="410"/>
      <c r="E1761" s="410"/>
      <c r="F1761" s="410"/>
      <c r="H1761" s="269"/>
      <c r="I1761" s="269"/>
      <c r="J1761" s="269"/>
      <c r="K1761" s="269"/>
      <c r="L1761" s="269"/>
      <c r="M1761" s="269"/>
      <c r="N1761" s="269"/>
      <c r="O1761" s="269"/>
      <c r="P1761" s="269"/>
      <c r="Q1761" s="269"/>
      <c r="R1761" s="269"/>
      <c r="S1761" s="269"/>
      <c r="T1761" s="269"/>
      <c r="U1761" s="269"/>
      <c r="V1761" s="269"/>
      <c r="W1761" s="269"/>
      <c r="X1761" s="269"/>
      <c r="Y1761" s="269"/>
      <c r="Z1761" s="269"/>
      <c r="AA1761" s="269"/>
      <c r="AB1761" s="269"/>
      <c r="AC1761" s="269"/>
      <c r="AD1761" s="269"/>
      <c r="AE1761" s="269"/>
      <c r="AF1761" s="269"/>
      <c r="AG1761" s="269"/>
      <c r="AH1761" s="269"/>
      <c r="AI1761" s="269"/>
      <c r="AJ1761" s="269"/>
      <c r="AK1761" s="269"/>
      <c r="AL1761" s="269"/>
      <c r="AM1761" s="269"/>
      <c r="AN1761" s="269"/>
      <c r="AO1761" s="269"/>
      <c r="AP1761" s="269"/>
      <c r="AQ1761" s="269"/>
      <c r="AR1761" s="269"/>
    </row>
    <row r="1762">
      <c r="A1762" s="410"/>
      <c r="B1762" s="410"/>
      <c r="C1762" s="410"/>
      <c r="D1762" s="410"/>
      <c r="E1762" s="410"/>
      <c r="F1762" s="410"/>
      <c r="H1762" s="269"/>
      <c r="I1762" s="269"/>
      <c r="J1762" s="269"/>
      <c r="K1762" s="269"/>
      <c r="L1762" s="269"/>
      <c r="M1762" s="269"/>
      <c r="N1762" s="269"/>
      <c r="O1762" s="269"/>
      <c r="P1762" s="269"/>
      <c r="Q1762" s="269"/>
      <c r="R1762" s="269"/>
      <c r="S1762" s="269"/>
      <c r="T1762" s="269"/>
      <c r="U1762" s="269"/>
      <c r="V1762" s="269"/>
      <c r="W1762" s="269"/>
      <c r="X1762" s="269"/>
      <c r="Y1762" s="269"/>
      <c r="Z1762" s="269"/>
      <c r="AA1762" s="269"/>
      <c r="AB1762" s="269"/>
      <c r="AC1762" s="269"/>
      <c r="AD1762" s="269"/>
      <c r="AE1762" s="269"/>
      <c r="AF1762" s="269"/>
      <c r="AG1762" s="269"/>
      <c r="AH1762" s="269"/>
      <c r="AI1762" s="269"/>
      <c r="AJ1762" s="269"/>
      <c r="AK1762" s="269"/>
      <c r="AL1762" s="269"/>
      <c r="AM1762" s="269"/>
      <c r="AN1762" s="269"/>
      <c r="AO1762" s="269"/>
      <c r="AP1762" s="269"/>
      <c r="AQ1762" s="269"/>
      <c r="AR1762" s="269"/>
    </row>
    <row r="1763">
      <c r="A1763" s="410"/>
      <c r="B1763" s="410"/>
      <c r="C1763" s="410"/>
      <c r="D1763" s="410"/>
      <c r="E1763" s="410"/>
      <c r="F1763" s="410"/>
      <c r="H1763" s="269"/>
      <c r="I1763" s="269"/>
      <c r="J1763" s="269"/>
      <c r="K1763" s="269"/>
      <c r="L1763" s="269"/>
      <c r="M1763" s="269"/>
      <c r="N1763" s="269"/>
      <c r="O1763" s="269"/>
      <c r="P1763" s="269"/>
      <c r="Q1763" s="269"/>
      <c r="R1763" s="269"/>
      <c r="S1763" s="269"/>
      <c r="T1763" s="269"/>
      <c r="U1763" s="269"/>
      <c r="V1763" s="269"/>
      <c r="W1763" s="269"/>
      <c r="X1763" s="269"/>
      <c r="Y1763" s="269"/>
      <c r="Z1763" s="269"/>
      <c r="AA1763" s="269"/>
      <c r="AB1763" s="269"/>
      <c r="AC1763" s="269"/>
      <c r="AD1763" s="269"/>
      <c r="AE1763" s="269"/>
      <c r="AF1763" s="269"/>
      <c r="AG1763" s="269"/>
      <c r="AH1763" s="269"/>
      <c r="AI1763" s="269"/>
      <c r="AJ1763" s="269"/>
      <c r="AK1763" s="269"/>
      <c r="AL1763" s="269"/>
      <c r="AM1763" s="269"/>
      <c r="AN1763" s="269"/>
      <c r="AO1763" s="269"/>
      <c r="AP1763" s="269"/>
      <c r="AQ1763" s="269"/>
      <c r="AR1763" s="269"/>
    </row>
    <row r="1764">
      <c r="A1764" s="410"/>
      <c r="B1764" s="410"/>
      <c r="C1764" s="410"/>
      <c r="D1764" s="410"/>
      <c r="E1764" s="410"/>
      <c r="F1764" s="410"/>
      <c r="H1764" s="269"/>
      <c r="I1764" s="269"/>
      <c r="J1764" s="269"/>
      <c r="K1764" s="269"/>
      <c r="L1764" s="269"/>
      <c r="M1764" s="269"/>
      <c r="N1764" s="269"/>
      <c r="O1764" s="269"/>
      <c r="P1764" s="269"/>
      <c r="Q1764" s="269"/>
      <c r="R1764" s="269"/>
      <c r="S1764" s="269"/>
      <c r="T1764" s="269"/>
      <c r="U1764" s="269"/>
      <c r="V1764" s="269"/>
      <c r="W1764" s="269"/>
      <c r="X1764" s="269"/>
      <c r="Y1764" s="269"/>
      <c r="Z1764" s="269"/>
      <c r="AA1764" s="269"/>
      <c r="AB1764" s="269"/>
      <c r="AC1764" s="269"/>
      <c r="AD1764" s="269"/>
      <c r="AE1764" s="269"/>
      <c r="AF1764" s="269"/>
      <c r="AG1764" s="269"/>
      <c r="AH1764" s="269"/>
      <c r="AI1764" s="269"/>
      <c r="AJ1764" s="269"/>
      <c r="AK1764" s="269"/>
      <c r="AL1764" s="269"/>
      <c r="AM1764" s="269"/>
      <c r="AN1764" s="269"/>
      <c r="AO1764" s="269"/>
      <c r="AP1764" s="269"/>
      <c r="AQ1764" s="269"/>
      <c r="AR1764" s="269"/>
    </row>
    <row r="1765">
      <c r="A1765" s="410"/>
      <c r="B1765" s="410"/>
      <c r="C1765" s="410"/>
      <c r="D1765" s="410"/>
      <c r="E1765" s="410"/>
      <c r="F1765" s="410"/>
      <c r="H1765" s="269"/>
      <c r="I1765" s="269"/>
      <c r="J1765" s="269"/>
      <c r="K1765" s="269"/>
      <c r="L1765" s="269"/>
      <c r="M1765" s="269"/>
      <c r="N1765" s="269"/>
      <c r="O1765" s="269"/>
      <c r="P1765" s="269"/>
      <c r="Q1765" s="269"/>
      <c r="R1765" s="269"/>
      <c r="S1765" s="269"/>
      <c r="T1765" s="269"/>
      <c r="U1765" s="269"/>
      <c r="V1765" s="269"/>
      <c r="W1765" s="269"/>
      <c r="X1765" s="269"/>
      <c r="Y1765" s="269"/>
      <c r="Z1765" s="269"/>
      <c r="AA1765" s="269"/>
      <c r="AB1765" s="269"/>
      <c r="AC1765" s="269"/>
      <c r="AD1765" s="269"/>
      <c r="AE1765" s="269"/>
      <c r="AF1765" s="269"/>
      <c r="AG1765" s="269"/>
      <c r="AH1765" s="269"/>
      <c r="AI1765" s="269"/>
      <c r="AJ1765" s="269"/>
      <c r="AK1765" s="269"/>
      <c r="AL1765" s="269"/>
      <c r="AM1765" s="269"/>
      <c r="AN1765" s="269"/>
      <c r="AO1765" s="269"/>
      <c r="AP1765" s="269"/>
      <c r="AQ1765" s="269"/>
      <c r="AR1765" s="269"/>
    </row>
    <row r="1766">
      <c r="A1766" s="410"/>
      <c r="B1766" s="410"/>
      <c r="C1766" s="410"/>
      <c r="D1766" s="410"/>
      <c r="E1766" s="410"/>
      <c r="F1766" s="410"/>
      <c r="H1766" s="269"/>
      <c r="I1766" s="269"/>
      <c r="J1766" s="269"/>
      <c r="K1766" s="269"/>
      <c r="L1766" s="269"/>
      <c r="M1766" s="269"/>
      <c r="N1766" s="269"/>
      <c r="O1766" s="269"/>
      <c r="P1766" s="269"/>
      <c r="Q1766" s="269"/>
      <c r="R1766" s="269"/>
      <c r="S1766" s="269"/>
      <c r="T1766" s="269"/>
      <c r="U1766" s="269"/>
      <c r="V1766" s="269"/>
      <c r="W1766" s="269"/>
      <c r="X1766" s="269"/>
      <c r="Y1766" s="269"/>
      <c r="Z1766" s="269"/>
      <c r="AA1766" s="269"/>
      <c r="AB1766" s="269"/>
      <c r="AC1766" s="269"/>
      <c r="AD1766" s="269"/>
      <c r="AE1766" s="269"/>
      <c r="AF1766" s="269"/>
      <c r="AG1766" s="269"/>
      <c r="AH1766" s="269"/>
      <c r="AI1766" s="269"/>
      <c r="AJ1766" s="269"/>
      <c r="AK1766" s="269"/>
      <c r="AL1766" s="269"/>
      <c r="AM1766" s="269"/>
      <c r="AN1766" s="269"/>
      <c r="AO1766" s="269"/>
      <c r="AP1766" s="269"/>
      <c r="AQ1766" s="269"/>
      <c r="AR1766" s="269"/>
    </row>
    <row r="1767">
      <c r="A1767" s="410"/>
      <c r="B1767" s="410"/>
      <c r="C1767" s="410"/>
      <c r="D1767" s="410"/>
      <c r="E1767" s="410"/>
      <c r="F1767" s="410"/>
      <c r="H1767" s="269"/>
      <c r="I1767" s="269"/>
      <c r="J1767" s="269"/>
      <c r="K1767" s="269"/>
      <c r="L1767" s="269"/>
      <c r="M1767" s="269"/>
      <c r="N1767" s="269"/>
      <c r="O1767" s="269"/>
      <c r="P1767" s="269"/>
      <c r="Q1767" s="269"/>
      <c r="R1767" s="269"/>
      <c r="S1767" s="269"/>
      <c r="T1767" s="269"/>
      <c r="U1767" s="269"/>
      <c r="V1767" s="269"/>
      <c r="W1767" s="269"/>
      <c r="X1767" s="269"/>
      <c r="Y1767" s="269"/>
      <c r="Z1767" s="269"/>
      <c r="AA1767" s="269"/>
      <c r="AB1767" s="269"/>
      <c r="AC1767" s="269"/>
      <c r="AD1767" s="269"/>
      <c r="AE1767" s="269"/>
      <c r="AF1767" s="269"/>
      <c r="AG1767" s="269"/>
      <c r="AH1767" s="269"/>
      <c r="AI1767" s="269"/>
      <c r="AJ1767" s="269"/>
      <c r="AK1767" s="269"/>
      <c r="AL1767" s="269"/>
      <c r="AM1767" s="269"/>
      <c r="AN1767" s="269"/>
      <c r="AO1767" s="269"/>
      <c r="AP1767" s="269"/>
      <c r="AQ1767" s="269"/>
      <c r="AR1767" s="269"/>
    </row>
    <row r="1768">
      <c r="A1768" s="410"/>
      <c r="B1768" s="410"/>
      <c r="C1768" s="410"/>
      <c r="D1768" s="410"/>
      <c r="E1768" s="410"/>
      <c r="F1768" s="410"/>
      <c r="H1768" s="269"/>
      <c r="I1768" s="269"/>
      <c r="J1768" s="269"/>
      <c r="K1768" s="269"/>
      <c r="L1768" s="269"/>
      <c r="M1768" s="269"/>
      <c r="N1768" s="269"/>
      <c r="O1768" s="269"/>
      <c r="P1768" s="269"/>
      <c r="Q1768" s="269"/>
      <c r="R1768" s="269"/>
      <c r="S1768" s="269"/>
      <c r="T1768" s="269"/>
      <c r="U1768" s="269"/>
      <c r="V1768" s="269"/>
      <c r="W1768" s="269"/>
      <c r="X1768" s="269"/>
      <c r="Y1768" s="269"/>
      <c r="Z1768" s="269"/>
      <c r="AA1768" s="269"/>
      <c r="AB1768" s="269"/>
      <c r="AC1768" s="269"/>
      <c r="AD1768" s="269"/>
      <c r="AE1768" s="269"/>
      <c r="AF1768" s="269"/>
      <c r="AG1768" s="269"/>
      <c r="AH1768" s="269"/>
      <c r="AI1768" s="269"/>
      <c r="AJ1768" s="269"/>
      <c r="AK1768" s="269"/>
      <c r="AL1768" s="269"/>
      <c r="AM1768" s="269"/>
      <c r="AN1768" s="269"/>
      <c r="AO1768" s="269"/>
      <c r="AP1768" s="269"/>
      <c r="AQ1768" s="269"/>
      <c r="AR1768" s="269"/>
    </row>
    <row r="1769">
      <c r="A1769" s="410"/>
      <c r="B1769" s="410"/>
      <c r="C1769" s="410"/>
      <c r="D1769" s="410"/>
      <c r="E1769" s="410"/>
      <c r="F1769" s="410"/>
      <c r="H1769" s="269"/>
      <c r="I1769" s="269"/>
      <c r="J1769" s="269"/>
      <c r="K1769" s="269"/>
      <c r="L1769" s="269"/>
      <c r="M1769" s="269"/>
      <c r="N1769" s="269"/>
      <c r="O1769" s="269"/>
      <c r="P1769" s="269"/>
      <c r="Q1769" s="269"/>
      <c r="R1769" s="269"/>
      <c r="S1769" s="269"/>
      <c r="T1769" s="269"/>
      <c r="U1769" s="269"/>
      <c r="V1769" s="269"/>
      <c r="W1769" s="269"/>
      <c r="X1769" s="269"/>
      <c r="Y1769" s="269"/>
      <c r="Z1769" s="269"/>
      <c r="AA1769" s="269"/>
      <c r="AB1769" s="269"/>
      <c r="AC1769" s="269"/>
      <c r="AD1769" s="269"/>
      <c r="AE1769" s="269"/>
      <c r="AF1769" s="269"/>
      <c r="AG1769" s="269"/>
      <c r="AH1769" s="269"/>
      <c r="AI1769" s="269"/>
      <c r="AJ1769" s="269"/>
      <c r="AK1769" s="269"/>
      <c r="AL1769" s="269"/>
      <c r="AM1769" s="269"/>
      <c r="AN1769" s="269"/>
      <c r="AO1769" s="269"/>
      <c r="AP1769" s="269"/>
      <c r="AQ1769" s="269"/>
      <c r="AR1769" s="269"/>
    </row>
    <row r="1770">
      <c r="A1770" s="410"/>
      <c r="B1770" s="410"/>
      <c r="C1770" s="410"/>
      <c r="D1770" s="410"/>
      <c r="E1770" s="410"/>
      <c r="F1770" s="410"/>
      <c r="H1770" s="269"/>
      <c r="I1770" s="269"/>
      <c r="J1770" s="269"/>
      <c r="K1770" s="269"/>
      <c r="L1770" s="269"/>
      <c r="M1770" s="269"/>
      <c r="N1770" s="269"/>
      <c r="O1770" s="269"/>
      <c r="P1770" s="269"/>
      <c r="Q1770" s="269"/>
      <c r="R1770" s="269"/>
      <c r="S1770" s="269"/>
      <c r="T1770" s="269"/>
      <c r="U1770" s="269"/>
      <c r="V1770" s="269"/>
      <c r="W1770" s="269"/>
      <c r="X1770" s="269"/>
      <c r="Y1770" s="269"/>
      <c r="Z1770" s="269"/>
      <c r="AA1770" s="269"/>
      <c r="AB1770" s="269"/>
      <c r="AC1770" s="269"/>
      <c r="AD1770" s="269"/>
      <c r="AE1770" s="269"/>
      <c r="AF1770" s="269"/>
      <c r="AG1770" s="269"/>
      <c r="AH1770" s="269"/>
      <c r="AI1770" s="269"/>
      <c r="AJ1770" s="269"/>
      <c r="AK1770" s="269"/>
      <c r="AL1770" s="269"/>
      <c r="AM1770" s="269"/>
      <c r="AN1770" s="269"/>
      <c r="AO1770" s="269"/>
      <c r="AP1770" s="269"/>
      <c r="AQ1770" s="269"/>
      <c r="AR1770" s="269"/>
    </row>
    <row r="1771">
      <c r="A1771" s="410"/>
      <c r="B1771" s="410"/>
      <c r="C1771" s="410"/>
      <c r="D1771" s="410"/>
      <c r="E1771" s="410"/>
      <c r="F1771" s="410"/>
      <c r="H1771" s="269"/>
      <c r="I1771" s="269"/>
      <c r="J1771" s="269"/>
      <c r="K1771" s="269"/>
      <c r="L1771" s="269"/>
      <c r="M1771" s="269"/>
      <c r="N1771" s="269"/>
      <c r="O1771" s="269"/>
      <c r="P1771" s="269"/>
      <c r="Q1771" s="269"/>
      <c r="R1771" s="269"/>
      <c r="S1771" s="269"/>
      <c r="T1771" s="269"/>
      <c r="U1771" s="269"/>
      <c r="V1771" s="269"/>
      <c r="W1771" s="269"/>
      <c r="X1771" s="269"/>
      <c r="Y1771" s="269"/>
      <c r="Z1771" s="269"/>
      <c r="AA1771" s="269"/>
      <c r="AB1771" s="269"/>
      <c r="AC1771" s="269"/>
      <c r="AD1771" s="269"/>
      <c r="AE1771" s="269"/>
      <c r="AF1771" s="269"/>
      <c r="AG1771" s="269"/>
      <c r="AH1771" s="269"/>
      <c r="AI1771" s="269"/>
      <c r="AJ1771" s="269"/>
      <c r="AK1771" s="269"/>
      <c r="AL1771" s="269"/>
      <c r="AM1771" s="269"/>
      <c r="AN1771" s="269"/>
      <c r="AO1771" s="269"/>
      <c r="AP1771" s="269"/>
      <c r="AQ1771" s="269"/>
      <c r="AR1771" s="269"/>
    </row>
    <row r="1772">
      <c r="A1772" s="410"/>
      <c r="B1772" s="410"/>
      <c r="C1772" s="410"/>
      <c r="D1772" s="410"/>
      <c r="E1772" s="410"/>
      <c r="F1772" s="410"/>
      <c r="H1772" s="269"/>
      <c r="I1772" s="269"/>
      <c r="J1772" s="269"/>
      <c r="K1772" s="269"/>
      <c r="L1772" s="269"/>
      <c r="M1772" s="269"/>
      <c r="N1772" s="269"/>
      <c r="O1772" s="269"/>
      <c r="P1772" s="269"/>
      <c r="Q1772" s="269"/>
      <c r="R1772" s="269"/>
      <c r="S1772" s="269"/>
      <c r="T1772" s="269"/>
      <c r="U1772" s="269"/>
      <c r="V1772" s="269"/>
      <c r="W1772" s="269"/>
      <c r="X1772" s="269"/>
      <c r="Y1772" s="269"/>
      <c r="Z1772" s="269"/>
      <c r="AA1772" s="269"/>
      <c r="AB1772" s="269"/>
      <c r="AC1772" s="269"/>
      <c r="AD1772" s="269"/>
      <c r="AE1772" s="269"/>
      <c r="AF1772" s="269"/>
      <c r="AG1772" s="269"/>
      <c r="AH1772" s="269"/>
      <c r="AI1772" s="269"/>
      <c r="AJ1772" s="269"/>
      <c r="AK1772" s="269"/>
      <c r="AL1772" s="269"/>
      <c r="AM1772" s="269"/>
      <c r="AN1772" s="269"/>
      <c r="AO1772" s="269"/>
      <c r="AP1772" s="269"/>
      <c r="AQ1772" s="269"/>
      <c r="AR1772" s="269"/>
    </row>
    <row r="1773">
      <c r="A1773" s="410"/>
      <c r="B1773" s="410"/>
      <c r="C1773" s="410"/>
      <c r="D1773" s="410"/>
      <c r="E1773" s="410"/>
      <c r="F1773" s="410"/>
      <c r="H1773" s="269"/>
      <c r="I1773" s="269"/>
      <c r="J1773" s="269"/>
      <c r="K1773" s="269"/>
      <c r="L1773" s="269"/>
      <c r="M1773" s="269"/>
      <c r="N1773" s="269"/>
      <c r="O1773" s="269"/>
      <c r="P1773" s="269"/>
      <c r="Q1773" s="269"/>
      <c r="R1773" s="269"/>
      <c r="S1773" s="269"/>
      <c r="T1773" s="269"/>
      <c r="U1773" s="269"/>
      <c r="V1773" s="269"/>
      <c r="W1773" s="269"/>
      <c r="X1773" s="269"/>
      <c r="Y1773" s="269"/>
      <c r="Z1773" s="269"/>
      <c r="AA1773" s="269"/>
      <c r="AB1773" s="269"/>
      <c r="AC1773" s="269"/>
      <c r="AD1773" s="269"/>
      <c r="AE1773" s="269"/>
      <c r="AF1773" s="269"/>
      <c r="AG1773" s="269"/>
      <c r="AH1773" s="269"/>
      <c r="AI1773" s="269"/>
      <c r="AJ1773" s="269"/>
      <c r="AK1773" s="269"/>
      <c r="AL1773" s="269"/>
      <c r="AM1773" s="269"/>
      <c r="AN1773" s="269"/>
      <c r="AO1773" s="269"/>
      <c r="AP1773" s="269"/>
      <c r="AQ1773" s="269"/>
      <c r="AR1773" s="269"/>
    </row>
    <row r="1774">
      <c r="A1774" s="410"/>
      <c r="B1774" s="410"/>
      <c r="C1774" s="410"/>
      <c r="D1774" s="410"/>
      <c r="E1774" s="410"/>
      <c r="F1774" s="410"/>
      <c r="H1774" s="269"/>
      <c r="I1774" s="269"/>
      <c r="J1774" s="269"/>
      <c r="K1774" s="269"/>
      <c r="L1774" s="269"/>
      <c r="M1774" s="269"/>
      <c r="N1774" s="269"/>
      <c r="O1774" s="269"/>
      <c r="P1774" s="269"/>
      <c r="Q1774" s="269"/>
      <c r="R1774" s="269"/>
      <c r="S1774" s="269"/>
      <c r="T1774" s="269"/>
      <c r="U1774" s="269"/>
      <c r="V1774" s="269"/>
      <c r="W1774" s="269"/>
      <c r="X1774" s="269"/>
      <c r="Y1774" s="269"/>
      <c r="Z1774" s="269"/>
      <c r="AA1774" s="269"/>
      <c r="AB1774" s="269"/>
      <c r="AC1774" s="269"/>
      <c r="AD1774" s="269"/>
      <c r="AE1774" s="269"/>
      <c r="AF1774" s="269"/>
      <c r="AG1774" s="269"/>
      <c r="AH1774" s="269"/>
      <c r="AI1774" s="269"/>
      <c r="AJ1774" s="269"/>
      <c r="AK1774" s="269"/>
      <c r="AL1774" s="269"/>
      <c r="AM1774" s="269"/>
      <c r="AN1774" s="269"/>
      <c r="AO1774" s="269"/>
      <c r="AP1774" s="269"/>
      <c r="AQ1774" s="269"/>
      <c r="AR1774" s="269"/>
    </row>
    <row r="1775">
      <c r="A1775" s="410"/>
      <c r="B1775" s="410"/>
      <c r="C1775" s="410"/>
      <c r="D1775" s="410"/>
      <c r="E1775" s="410"/>
      <c r="F1775" s="410"/>
      <c r="H1775" s="269"/>
      <c r="I1775" s="269"/>
      <c r="J1775" s="269"/>
      <c r="K1775" s="269"/>
      <c r="L1775" s="269"/>
      <c r="M1775" s="269"/>
      <c r="N1775" s="269"/>
      <c r="O1775" s="269"/>
      <c r="P1775" s="269"/>
      <c r="Q1775" s="269"/>
      <c r="R1775" s="269"/>
      <c r="S1775" s="269"/>
      <c r="T1775" s="269"/>
      <c r="U1775" s="269"/>
      <c r="V1775" s="269"/>
      <c r="W1775" s="269"/>
      <c r="X1775" s="269"/>
      <c r="Y1775" s="269"/>
      <c r="Z1775" s="269"/>
      <c r="AA1775" s="269"/>
      <c r="AB1775" s="269"/>
      <c r="AC1775" s="269"/>
      <c r="AD1775" s="269"/>
      <c r="AE1775" s="269"/>
      <c r="AF1775" s="269"/>
      <c r="AG1775" s="269"/>
      <c r="AH1775" s="269"/>
      <c r="AI1775" s="269"/>
      <c r="AJ1775" s="269"/>
      <c r="AK1775" s="269"/>
      <c r="AL1775" s="269"/>
      <c r="AM1775" s="269"/>
      <c r="AN1775" s="269"/>
      <c r="AO1775" s="269"/>
      <c r="AP1775" s="269"/>
      <c r="AQ1775" s="269"/>
      <c r="AR1775" s="269"/>
    </row>
    <row r="1776">
      <c r="A1776" s="410"/>
      <c r="B1776" s="410"/>
      <c r="C1776" s="410"/>
      <c r="D1776" s="410"/>
      <c r="E1776" s="410"/>
      <c r="F1776" s="410"/>
      <c r="H1776" s="269"/>
      <c r="I1776" s="269"/>
      <c r="J1776" s="269"/>
      <c r="K1776" s="269"/>
      <c r="L1776" s="269"/>
      <c r="M1776" s="269"/>
      <c r="N1776" s="269"/>
      <c r="O1776" s="269"/>
      <c r="P1776" s="269"/>
      <c r="Q1776" s="269"/>
      <c r="R1776" s="269"/>
      <c r="S1776" s="269"/>
      <c r="T1776" s="269"/>
      <c r="U1776" s="269"/>
      <c r="V1776" s="269"/>
      <c r="W1776" s="269"/>
      <c r="X1776" s="269"/>
      <c r="Y1776" s="269"/>
      <c r="Z1776" s="269"/>
      <c r="AA1776" s="269"/>
      <c r="AB1776" s="269"/>
      <c r="AC1776" s="269"/>
      <c r="AD1776" s="269"/>
      <c r="AE1776" s="269"/>
      <c r="AF1776" s="269"/>
      <c r="AG1776" s="269"/>
      <c r="AH1776" s="269"/>
      <c r="AI1776" s="269"/>
      <c r="AJ1776" s="269"/>
      <c r="AK1776" s="269"/>
      <c r="AL1776" s="269"/>
      <c r="AM1776" s="269"/>
      <c r="AN1776" s="269"/>
      <c r="AO1776" s="269"/>
      <c r="AP1776" s="269"/>
      <c r="AQ1776" s="269"/>
      <c r="AR1776" s="269"/>
    </row>
    <row r="1777">
      <c r="A1777" s="410"/>
      <c r="B1777" s="410"/>
      <c r="C1777" s="410"/>
      <c r="D1777" s="410"/>
      <c r="E1777" s="410"/>
      <c r="F1777" s="410"/>
      <c r="H1777" s="269"/>
      <c r="I1777" s="269"/>
      <c r="J1777" s="269"/>
      <c r="K1777" s="269"/>
      <c r="L1777" s="269"/>
      <c r="M1777" s="269"/>
      <c r="N1777" s="269"/>
      <c r="O1777" s="269"/>
      <c r="P1777" s="269"/>
      <c r="Q1777" s="269"/>
      <c r="R1777" s="269"/>
      <c r="S1777" s="269"/>
      <c r="T1777" s="269"/>
      <c r="U1777" s="269"/>
      <c r="V1777" s="269"/>
      <c r="W1777" s="269"/>
      <c r="X1777" s="269"/>
      <c r="Y1777" s="269"/>
      <c r="Z1777" s="269"/>
      <c r="AA1777" s="269"/>
      <c r="AB1777" s="269"/>
      <c r="AC1777" s="269"/>
      <c r="AD1777" s="269"/>
      <c r="AE1777" s="269"/>
      <c r="AF1777" s="269"/>
      <c r="AG1777" s="269"/>
      <c r="AH1777" s="269"/>
      <c r="AI1777" s="269"/>
      <c r="AJ1777" s="269"/>
      <c r="AK1777" s="269"/>
      <c r="AL1777" s="269"/>
      <c r="AM1777" s="269"/>
      <c r="AN1777" s="269"/>
      <c r="AO1777" s="269"/>
      <c r="AP1777" s="269"/>
      <c r="AQ1777" s="269"/>
      <c r="AR1777" s="269"/>
    </row>
    <row r="1778">
      <c r="A1778" s="410"/>
      <c r="B1778" s="410"/>
      <c r="C1778" s="410"/>
      <c r="D1778" s="410"/>
      <c r="E1778" s="410"/>
      <c r="F1778" s="410"/>
      <c r="H1778" s="269"/>
      <c r="I1778" s="269"/>
      <c r="J1778" s="269"/>
      <c r="K1778" s="269"/>
      <c r="L1778" s="269"/>
      <c r="M1778" s="269"/>
      <c r="N1778" s="269"/>
      <c r="O1778" s="269"/>
      <c r="P1778" s="269"/>
      <c r="Q1778" s="269"/>
      <c r="R1778" s="269"/>
      <c r="S1778" s="269"/>
      <c r="T1778" s="269"/>
      <c r="U1778" s="269"/>
      <c r="V1778" s="269"/>
      <c r="W1778" s="269"/>
      <c r="X1778" s="269"/>
      <c r="Y1778" s="269"/>
      <c r="Z1778" s="269"/>
      <c r="AA1778" s="269"/>
      <c r="AB1778" s="269"/>
      <c r="AC1778" s="269"/>
      <c r="AD1778" s="269"/>
      <c r="AE1778" s="269"/>
      <c r="AF1778" s="269"/>
      <c r="AG1778" s="269"/>
      <c r="AH1778" s="269"/>
      <c r="AI1778" s="269"/>
      <c r="AJ1778" s="269"/>
      <c r="AK1778" s="269"/>
      <c r="AL1778" s="269"/>
      <c r="AM1778" s="269"/>
      <c r="AN1778" s="269"/>
      <c r="AO1778" s="269"/>
      <c r="AP1778" s="269"/>
      <c r="AQ1778" s="269"/>
      <c r="AR1778" s="269"/>
    </row>
    <row r="1779">
      <c r="A1779" s="410"/>
      <c r="B1779" s="410"/>
      <c r="C1779" s="410"/>
      <c r="D1779" s="410"/>
      <c r="E1779" s="410"/>
      <c r="F1779" s="410"/>
      <c r="H1779" s="269"/>
      <c r="I1779" s="269"/>
      <c r="J1779" s="269"/>
      <c r="K1779" s="269"/>
      <c r="L1779" s="269"/>
      <c r="M1779" s="269"/>
      <c r="N1779" s="269"/>
      <c r="O1779" s="269"/>
      <c r="P1779" s="269"/>
      <c r="Q1779" s="269"/>
      <c r="R1779" s="269"/>
      <c r="S1779" s="269"/>
      <c r="T1779" s="269"/>
      <c r="U1779" s="269"/>
      <c r="V1779" s="269"/>
      <c r="W1779" s="269"/>
      <c r="X1779" s="269"/>
      <c r="Y1779" s="269"/>
      <c r="Z1779" s="269"/>
      <c r="AA1779" s="269"/>
      <c r="AB1779" s="269"/>
      <c r="AC1779" s="269"/>
      <c r="AD1779" s="269"/>
      <c r="AE1779" s="269"/>
      <c r="AF1779" s="269"/>
      <c r="AG1779" s="269"/>
      <c r="AH1779" s="269"/>
      <c r="AI1779" s="269"/>
      <c r="AJ1779" s="269"/>
      <c r="AK1779" s="269"/>
      <c r="AL1779" s="269"/>
      <c r="AM1779" s="269"/>
      <c r="AN1779" s="269"/>
      <c r="AO1779" s="269"/>
      <c r="AP1779" s="269"/>
      <c r="AQ1779" s="269"/>
      <c r="AR1779" s="269"/>
    </row>
    <row r="1780">
      <c r="A1780" s="410"/>
      <c r="B1780" s="410"/>
      <c r="C1780" s="410"/>
      <c r="D1780" s="410"/>
      <c r="E1780" s="410"/>
      <c r="F1780" s="410"/>
      <c r="H1780" s="269"/>
      <c r="I1780" s="269"/>
      <c r="J1780" s="269"/>
      <c r="K1780" s="269"/>
      <c r="L1780" s="269"/>
      <c r="M1780" s="269"/>
      <c r="N1780" s="269"/>
      <c r="O1780" s="269"/>
      <c r="P1780" s="269"/>
      <c r="Q1780" s="269"/>
      <c r="R1780" s="269"/>
      <c r="S1780" s="269"/>
      <c r="T1780" s="269"/>
      <c r="U1780" s="269"/>
      <c r="V1780" s="269"/>
      <c r="W1780" s="269"/>
      <c r="X1780" s="269"/>
      <c r="Y1780" s="269"/>
      <c r="Z1780" s="269"/>
      <c r="AA1780" s="269"/>
      <c r="AB1780" s="269"/>
      <c r="AC1780" s="269"/>
      <c r="AD1780" s="269"/>
      <c r="AE1780" s="269"/>
      <c r="AF1780" s="269"/>
      <c r="AG1780" s="269"/>
      <c r="AH1780" s="269"/>
      <c r="AI1780" s="269"/>
      <c r="AJ1780" s="269"/>
      <c r="AK1780" s="269"/>
      <c r="AL1780" s="269"/>
      <c r="AM1780" s="269"/>
      <c r="AN1780" s="269"/>
      <c r="AO1780" s="269"/>
      <c r="AP1780" s="269"/>
      <c r="AQ1780" s="269"/>
      <c r="AR1780" s="269"/>
    </row>
    <row r="1781">
      <c r="A1781" s="410"/>
      <c r="B1781" s="410"/>
      <c r="C1781" s="410"/>
      <c r="D1781" s="410"/>
      <c r="E1781" s="410"/>
      <c r="F1781" s="410"/>
      <c r="H1781" s="269"/>
      <c r="I1781" s="269"/>
      <c r="J1781" s="269"/>
      <c r="K1781" s="269"/>
      <c r="L1781" s="269"/>
      <c r="M1781" s="269"/>
      <c r="N1781" s="269"/>
      <c r="O1781" s="269"/>
      <c r="P1781" s="269"/>
      <c r="Q1781" s="269"/>
      <c r="R1781" s="269"/>
      <c r="S1781" s="269"/>
      <c r="T1781" s="269"/>
      <c r="U1781" s="269"/>
      <c r="V1781" s="269"/>
      <c r="W1781" s="269"/>
      <c r="X1781" s="269"/>
      <c r="Y1781" s="269"/>
      <c r="Z1781" s="269"/>
      <c r="AA1781" s="269"/>
      <c r="AB1781" s="269"/>
      <c r="AC1781" s="269"/>
      <c r="AD1781" s="269"/>
      <c r="AE1781" s="269"/>
      <c r="AF1781" s="269"/>
      <c r="AG1781" s="269"/>
      <c r="AH1781" s="269"/>
      <c r="AI1781" s="269"/>
      <c r="AJ1781" s="269"/>
      <c r="AK1781" s="269"/>
      <c r="AL1781" s="269"/>
      <c r="AM1781" s="269"/>
      <c r="AN1781" s="269"/>
      <c r="AO1781" s="269"/>
      <c r="AP1781" s="269"/>
      <c r="AQ1781" s="269"/>
      <c r="AR1781" s="269"/>
    </row>
    <row r="1782">
      <c r="A1782" s="410"/>
      <c r="B1782" s="410"/>
      <c r="C1782" s="410"/>
      <c r="D1782" s="410"/>
      <c r="E1782" s="410"/>
      <c r="F1782" s="410"/>
      <c r="H1782" s="269"/>
      <c r="I1782" s="269"/>
      <c r="J1782" s="269"/>
      <c r="K1782" s="269"/>
      <c r="L1782" s="269"/>
      <c r="M1782" s="269"/>
      <c r="N1782" s="269"/>
      <c r="O1782" s="269"/>
      <c r="P1782" s="269"/>
      <c r="Q1782" s="269"/>
      <c r="R1782" s="269"/>
      <c r="S1782" s="269"/>
      <c r="T1782" s="269"/>
      <c r="U1782" s="269"/>
      <c r="V1782" s="269"/>
      <c r="W1782" s="269"/>
      <c r="X1782" s="269"/>
      <c r="Y1782" s="269"/>
      <c r="Z1782" s="269"/>
      <c r="AA1782" s="269"/>
      <c r="AB1782" s="269"/>
      <c r="AC1782" s="269"/>
      <c r="AD1782" s="269"/>
      <c r="AE1782" s="269"/>
      <c r="AF1782" s="269"/>
      <c r="AG1782" s="269"/>
      <c r="AH1782" s="269"/>
      <c r="AI1782" s="269"/>
      <c r="AJ1782" s="269"/>
      <c r="AK1782" s="269"/>
      <c r="AL1782" s="269"/>
      <c r="AM1782" s="269"/>
      <c r="AN1782" s="269"/>
      <c r="AO1782" s="269"/>
      <c r="AP1782" s="269"/>
      <c r="AQ1782" s="269"/>
      <c r="AR1782" s="269"/>
    </row>
    <row r="1783">
      <c r="A1783" s="410"/>
      <c r="B1783" s="410"/>
      <c r="C1783" s="410"/>
      <c r="D1783" s="410"/>
      <c r="E1783" s="410"/>
      <c r="F1783" s="410"/>
      <c r="H1783" s="269"/>
      <c r="I1783" s="269"/>
      <c r="J1783" s="269"/>
      <c r="K1783" s="269"/>
      <c r="L1783" s="269"/>
      <c r="M1783" s="269"/>
      <c r="N1783" s="269"/>
      <c r="O1783" s="269"/>
      <c r="P1783" s="269"/>
      <c r="Q1783" s="269"/>
      <c r="R1783" s="269"/>
      <c r="S1783" s="269"/>
      <c r="T1783" s="269"/>
      <c r="U1783" s="269"/>
      <c r="V1783" s="269"/>
      <c r="W1783" s="269"/>
      <c r="X1783" s="269"/>
      <c r="Y1783" s="269"/>
      <c r="Z1783" s="269"/>
      <c r="AA1783" s="269"/>
      <c r="AB1783" s="269"/>
      <c r="AC1783" s="269"/>
      <c r="AD1783" s="269"/>
      <c r="AE1783" s="269"/>
      <c r="AF1783" s="269"/>
      <c r="AG1783" s="269"/>
      <c r="AH1783" s="269"/>
      <c r="AI1783" s="269"/>
      <c r="AJ1783" s="269"/>
      <c r="AK1783" s="269"/>
      <c r="AL1783" s="269"/>
      <c r="AM1783" s="269"/>
      <c r="AN1783" s="269"/>
      <c r="AO1783" s="269"/>
      <c r="AP1783" s="269"/>
      <c r="AQ1783" s="269"/>
      <c r="AR1783" s="269"/>
    </row>
    <row r="1784">
      <c r="A1784" s="410"/>
      <c r="B1784" s="410"/>
      <c r="C1784" s="410"/>
      <c r="D1784" s="410"/>
      <c r="E1784" s="410"/>
      <c r="F1784" s="410"/>
      <c r="H1784" s="269"/>
      <c r="I1784" s="269"/>
      <c r="J1784" s="269"/>
      <c r="K1784" s="269"/>
      <c r="L1784" s="269"/>
      <c r="M1784" s="269"/>
      <c r="N1784" s="269"/>
      <c r="O1784" s="269"/>
      <c r="P1784" s="269"/>
      <c r="Q1784" s="269"/>
      <c r="R1784" s="269"/>
      <c r="S1784" s="269"/>
      <c r="T1784" s="269"/>
      <c r="U1784" s="269"/>
      <c r="V1784" s="269"/>
      <c r="W1784" s="269"/>
      <c r="X1784" s="269"/>
      <c r="Y1784" s="269"/>
      <c r="Z1784" s="269"/>
      <c r="AA1784" s="269"/>
      <c r="AB1784" s="269"/>
      <c r="AC1784" s="269"/>
      <c r="AD1784" s="269"/>
      <c r="AE1784" s="269"/>
      <c r="AF1784" s="269"/>
      <c r="AG1784" s="269"/>
      <c r="AH1784" s="269"/>
      <c r="AI1784" s="269"/>
      <c r="AJ1784" s="269"/>
      <c r="AK1784" s="269"/>
      <c r="AL1784" s="269"/>
      <c r="AM1784" s="269"/>
      <c r="AN1784" s="269"/>
      <c r="AO1784" s="269"/>
      <c r="AP1784" s="269"/>
      <c r="AQ1784" s="269"/>
      <c r="AR1784" s="269"/>
    </row>
    <row r="1785">
      <c r="A1785" s="410"/>
      <c r="B1785" s="410"/>
      <c r="C1785" s="410"/>
      <c r="D1785" s="410"/>
      <c r="E1785" s="410"/>
      <c r="F1785" s="410"/>
      <c r="H1785" s="269"/>
      <c r="I1785" s="269"/>
      <c r="J1785" s="269"/>
      <c r="K1785" s="269"/>
      <c r="L1785" s="269"/>
      <c r="M1785" s="269"/>
      <c r="N1785" s="269"/>
      <c r="O1785" s="269"/>
      <c r="P1785" s="269"/>
      <c r="Q1785" s="269"/>
      <c r="R1785" s="269"/>
      <c r="S1785" s="269"/>
      <c r="T1785" s="269"/>
      <c r="U1785" s="269"/>
      <c r="V1785" s="269"/>
      <c r="W1785" s="269"/>
      <c r="X1785" s="269"/>
      <c r="Y1785" s="269"/>
      <c r="Z1785" s="269"/>
      <c r="AA1785" s="269"/>
      <c r="AB1785" s="269"/>
      <c r="AC1785" s="269"/>
      <c r="AD1785" s="269"/>
      <c r="AE1785" s="269"/>
      <c r="AF1785" s="269"/>
      <c r="AG1785" s="269"/>
      <c r="AH1785" s="269"/>
      <c r="AI1785" s="269"/>
      <c r="AJ1785" s="269"/>
      <c r="AK1785" s="269"/>
      <c r="AL1785" s="269"/>
      <c r="AM1785" s="269"/>
      <c r="AN1785" s="269"/>
      <c r="AO1785" s="269"/>
      <c r="AP1785" s="269"/>
      <c r="AQ1785" s="269"/>
      <c r="AR1785" s="269"/>
    </row>
    <row r="1786">
      <c r="A1786" s="410"/>
      <c r="B1786" s="410"/>
      <c r="C1786" s="410"/>
      <c r="D1786" s="410"/>
      <c r="E1786" s="410"/>
      <c r="F1786" s="410"/>
      <c r="H1786" s="269"/>
      <c r="I1786" s="269"/>
      <c r="J1786" s="269"/>
      <c r="K1786" s="269"/>
      <c r="L1786" s="269"/>
      <c r="M1786" s="269"/>
      <c r="N1786" s="269"/>
      <c r="O1786" s="269"/>
      <c r="P1786" s="269"/>
      <c r="Q1786" s="269"/>
      <c r="R1786" s="269"/>
      <c r="S1786" s="269"/>
      <c r="T1786" s="269"/>
      <c r="U1786" s="269"/>
      <c r="V1786" s="269"/>
      <c r="W1786" s="269"/>
      <c r="X1786" s="269"/>
      <c r="Y1786" s="269"/>
      <c r="Z1786" s="269"/>
      <c r="AA1786" s="269"/>
      <c r="AB1786" s="269"/>
      <c r="AC1786" s="269"/>
      <c r="AD1786" s="269"/>
      <c r="AE1786" s="269"/>
      <c r="AF1786" s="269"/>
      <c r="AG1786" s="269"/>
      <c r="AH1786" s="269"/>
      <c r="AI1786" s="269"/>
      <c r="AJ1786" s="269"/>
      <c r="AK1786" s="269"/>
      <c r="AL1786" s="269"/>
      <c r="AM1786" s="269"/>
      <c r="AN1786" s="269"/>
      <c r="AO1786" s="269"/>
      <c r="AP1786" s="269"/>
      <c r="AQ1786" s="269"/>
      <c r="AR1786" s="269"/>
    </row>
    <row r="1787">
      <c r="A1787" s="410"/>
      <c r="B1787" s="410"/>
      <c r="C1787" s="410"/>
      <c r="D1787" s="410"/>
      <c r="E1787" s="410"/>
      <c r="F1787" s="410"/>
      <c r="H1787" s="269"/>
      <c r="I1787" s="269"/>
      <c r="J1787" s="269"/>
      <c r="K1787" s="269"/>
      <c r="L1787" s="269"/>
      <c r="M1787" s="269"/>
      <c r="N1787" s="269"/>
      <c r="O1787" s="269"/>
      <c r="P1787" s="269"/>
      <c r="Q1787" s="269"/>
      <c r="R1787" s="269"/>
      <c r="S1787" s="269"/>
      <c r="T1787" s="269"/>
      <c r="U1787" s="269"/>
      <c r="V1787" s="269"/>
      <c r="W1787" s="269"/>
      <c r="X1787" s="269"/>
      <c r="Y1787" s="269"/>
      <c r="Z1787" s="269"/>
      <c r="AA1787" s="269"/>
      <c r="AB1787" s="269"/>
      <c r="AC1787" s="269"/>
      <c r="AD1787" s="269"/>
      <c r="AE1787" s="269"/>
      <c r="AF1787" s="269"/>
      <c r="AG1787" s="269"/>
      <c r="AH1787" s="269"/>
      <c r="AI1787" s="269"/>
      <c r="AJ1787" s="269"/>
      <c r="AK1787" s="269"/>
      <c r="AL1787" s="269"/>
      <c r="AM1787" s="269"/>
      <c r="AN1787" s="269"/>
      <c r="AO1787" s="269"/>
      <c r="AP1787" s="269"/>
      <c r="AQ1787" s="269"/>
      <c r="AR1787" s="269"/>
    </row>
    <row r="1788">
      <c r="A1788" s="410"/>
      <c r="B1788" s="410"/>
      <c r="C1788" s="410"/>
      <c r="D1788" s="410"/>
      <c r="E1788" s="410"/>
      <c r="F1788" s="410"/>
      <c r="H1788" s="269"/>
      <c r="I1788" s="269"/>
      <c r="J1788" s="269"/>
      <c r="K1788" s="269"/>
      <c r="L1788" s="269"/>
      <c r="M1788" s="269"/>
      <c r="N1788" s="269"/>
      <c r="O1788" s="269"/>
      <c r="P1788" s="269"/>
      <c r="Q1788" s="269"/>
      <c r="R1788" s="269"/>
      <c r="S1788" s="269"/>
      <c r="T1788" s="269"/>
      <c r="U1788" s="269"/>
      <c r="V1788" s="269"/>
      <c r="W1788" s="269"/>
      <c r="X1788" s="269"/>
      <c r="Y1788" s="269"/>
      <c r="Z1788" s="269"/>
      <c r="AA1788" s="269"/>
      <c r="AB1788" s="269"/>
      <c r="AC1788" s="269"/>
      <c r="AD1788" s="269"/>
      <c r="AE1788" s="269"/>
      <c r="AF1788" s="269"/>
      <c r="AG1788" s="269"/>
      <c r="AH1788" s="269"/>
      <c r="AI1788" s="269"/>
      <c r="AJ1788" s="269"/>
      <c r="AK1788" s="269"/>
      <c r="AL1788" s="269"/>
      <c r="AM1788" s="269"/>
      <c r="AN1788" s="269"/>
      <c r="AO1788" s="269"/>
      <c r="AP1788" s="269"/>
      <c r="AQ1788" s="269"/>
      <c r="AR1788" s="269"/>
    </row>
    <row r="1789">
      <c r="A1789" s="410"/>
      <c r="B1789" s="410"/>
      <c r="C1789" s="410"/>
      <c r="D1789" s="410"/>
      <c r="E1789" s="410"/>
      <c r="F1789" s="410"/>
      <c r="H1789" s="269"/>
      <c r="I1789" s="269"/>
      <c r="J1789" s="269"/>
      <c r="K1789" s="269"/>
      <c r="L1789" s="269"/>
      <c r="M1789" s="269"/>
      <c r="N1789" s="269"/>
      <c r="O1789" s="269"/>
      <c r="P1789" s="269"/>
      <c r="Q1789" s="269"/>
      <c r="R1789" s="269"/>
      <c r="S1789" s="269"/>
      <c r="T1789" s="269"/>
      <c r="U1789" s="269"/>
      <c r="V1789" s="269"/>
      <c r="W1789" s="269"/>
      <c r="X1789" s="269"/>
      <c r="Y1789" s="269"/>
      <c r="Z1789" s="269"/>
      <c r="AA1789" s="269"/>
      <c r="AB1789" s="269"/>
      <c r="AC1789" s="269"/>
      <c r="AD1789" s="269"/>
      <c r="AE1789" s="269"/>
      <c r="AF1789" s="269"/>
      <c r="AG1789" s="269"/>
      <c r="AH1789" s="269"/>
      <c r="AI1789" s="269"/>
      <c r="AJ1789" s="269"/>
      <c r="AK1789" s="269"/>
      <c r="AL1789" s="269"/>
      <c r="AM1789" s="269"/>
      <c r="AN1789" s="269"/>
      <c r="AO1789" s="269"/>
      <c r="AP1789" s="269"/>
      <c r="AQ1789" s="269"/>
      <c r="AR1789" s="269"/>
    </row>
    <row r="1790">
      <c r="A1790" s="410"/>
      <c r="B1790" s="410"/>
      <c r="C1790" s="410"/>
      <c r="D1790" s="410"/>
      <c r="E1790" s="410"/>
      <c r="F1790" s="410"/>
      <c r="H1790" s="269"/>
      <c r="I1790" s="269"/>
      <c r="J1790" s="269"/>
      <c r="K1790" s="269"/>
      <c r="L1790" s="269"/>
      <c r="M1790" s="269"/>
      <c r="N1790" s="269"/>
      <c r="O1790" s="269"/>
      <c r="P1790" s="269"/>
      <c r="Q1790" s="269"/>
      <c r="R1790" s="269"/>
      <c r="S1790" s="269"/>
      <c r="T1790" s="269"/>
      <c r="U1790" s="269"/>
      <c r="V1790" s="269"/>
      <c r="W1790" s="269"/>
      <c r="X1790" s="269"/>
      <c r="Y1790" s="269"/>
      <c r="Z1790" s="269"/>
      <c r="AA1790" s="269"/>
      <c r="AB1790" s="269"/>
      <c r="AC1790" s="269"/>
      <c r="AD1790" s="269"/>
      <c r="AE1790" s="269"/>
      <c r="AF1790" s="269"/>
      <c r="AG1790" s="269"/>
      <c r="AH1790" s="269"/>
      <c r="AI1790" s="269"/>
      <c r="AJ1790" s="269"/>
      <c r="AK1790" s="269"/>
      <c r="AL1790" s="269"/>
      <c r="AM1790" s="269"/>
      <c r="AN1790" s="269"/>
      <c r="AO1790" s="269"/>
      <c r="AP1790" s="269"/>
      <c r="AQ1790" s="269"/>
      <c r="AR1790" s="269"/>
    </row>
    <row r="1791">
      <c r="A1791" s="410"/>
      <c r="B1791" s="410"/>
      <c r="C1791" s="410"/>
      <c r="D1791" s="410"/>
      <c r="E1791" s="410"/>
      <c r="F1791" s="410"/>
      <c r="H1791" s="269"/>
      <c r="I1791" s="269"/>
      <c r="J1791" s="269"/>
      <c r="K1791" s="269"/>
      <c r="L1791" s="269"/>
      <c r="M1791" s="269"/>
      <c r="N1791" s="269"/>
      <c r="O1791" s="269"/>
      <c r="P1791" s="269"/>
      <c r="Q1791" s="269"/>
      <c r="R1791" s="269"/>
      <c r="S1791" s="269"/>
      <c r="T1791" s="269"/>
      <c r="U1791" s="269"/>
      <c r="V1791" s="269"/>
      <c r="W1791" s="269"/>
      <c r="X1791" s="269"/>
      <c r="Y1791" s="269"/>
      <c r="Z1791" s="269"/>
      <c r="AA1791" s="269"/>
      <c r="AB1791" s="269"/>
      <c r="AC1791" s="269"/>
      <c r="AD1791" s="269"/>
      <c r="AE1791" s="269"/>
      <c r="AF1791" s="269"/>
      <c r="AG1791" s="269"/>
      <c r="AH1791" s="269"/>
      <c r="AI1791" s="269"/>
      <c r="AJ1791" s="269"/>
      <c r="AK1791" s="269"/>
      <c r="AL1791" s="269"/>
      <c r="AM1791" s="269"/>
      <c r="AN1791" s="269"/>
      <c r="AO1791" s="269"/>
      <c r="AP1791" s="269"/>
      <c r="AQ1791" s="269"/>
      <c r="AR1791" s="269"/>
    </row>
    <row r="1792">
      <c r="A1792" s="410"/>
      <c r="B1792" s="410"/>
      <c r="C1792" s="410"/>
      <c r="D1792" s="410"/>
      <c r="E1792" s="410"/>
      <c r="F1792" s="410"/>
      <c r="H1792" s="269"/>
      <c r="I1792" s="269"/>
      <c r="J1792" s="269"/>
      <c r="K1792" s="269"/>
      <c r="L1792" s="269"/>
      <c r="M1792" s="269"/>
      <c r="N1792" s="269"/>
      <c r="O1792" s="269"/>
      <c r="P1792" s="269"/>
      <c r="Q1792" s="269"/>
      <c r="R1792" s="269"/>
      <c r="S1792" s="269"/>
      <c r="T1792" s="269"/>
      <c r="U1792" s="269"/>
      <c r="V1792" s="269"/>
      <c r="W1792" s="269"/>
      <c r="X1792" s="269"/>
      <c r="Y1792" s="269"/>
      <c r="Z1792" s="269"/>
      <c r="AA1792" s="269"/>
      <c r="AB1792" s="269"/>
      <c r="AC1792" s="269"/>
      <c r="AD1792" s="269"/>
      <c r="AE1792" s="269"/>
      <c r="AF1792" s="269"/>
      <c r="AG1792" s="269"/>
      <c r="AH1792" s="269"/>
      <c r="AI1792" s="269"/>
      <c r="AJ1792" s="269"/>
      <c r="AK1792" s="269"/>
      <c r="AL1792" s="269"/>
      <c r="AM1792" s="269"/>
      <c r="AN1792" s="269"/>
      <c r="AO1792" s="269"/>
      <c r="AP1792" s="269"/>
      <c r="AQ1792" s="269"/>
      <c r="AR1792" s="269"/>
    </row>
    <row r="1793">
      <c r="A1793" s="410"/>
      <c r="B1793" s="410"/>
      <c r="C1793" s="410"/>
      <c r="D1793" s="410"/>
      <c r="E1793" s="410"/>
      <c r="F1793" s="410"/>
      <c r="H1793" s="269"/>
      <c r="I1793" s="269"/>
      <c r="J1793" s="269"/>
      <c r="K1793" s="269"/>
      <c r="L1793" s="269"/>
      <c r="M1793" s="269"/>
      <c r="N1793" s="269"/>
      <c r="O1793" s="269"/>
      <c r="P1793" s="269"/>
      <c r="Q1793" s="269"/>
      <c r="R1793" s="269"/>
      <c r="S1793" s="269"/>
      <c r="T1793" s="269"/>
      <c r="U1793" s="269"/>
      <c r="V1793" s="269"/>
      <c r="W1793" s="269"/>
      <c r="X1793" s="269"/>
      <c r="Y1793" s="269"/>
      <c r="Z1793" s="269"/>
      <c r="AA1793" s="269"/>
      <c r="AB1793" s="269"/>
      <c r="AC1793" s="269"/>
      <c r="AD1793" s="269"/>
      <c r="AE1793" s="269"/>
      <c r="AF1793" s="269"/>
      <c r="AG1793" s="269"/>
      <c r="AH1793" s="269"/>
      <c r="AI1793" s="269"/>
      <c r="AJ1793" s="269"/>
      <c r="AK1793" s="269"/>
      <c r="AL1793" s="269"/>
      <c r="AM1793" s="269"/>
      <c r="AN1793" s="269"/>
      <c r="AO1793" s="269"/>
      <c r="AP1793" s="269"/>
      <c r="AQ1793" s="269"/>
      <c r="AR1793" s="269"/>
    </row>
    <row r="1794">
      <c r="A1794" s="410"/>
      <c r="B1794" s="410"/>
      <c r="C1794" s="410"/>
      <c r="D1794" s="410"/>
      <c r="E1794" s="410"/>
      <c r="F1794" s="410"/>
      <c r="H1794" s="269"/>
      <c r="I1794" s="269"/>
      <c r="J1794" s="269"/>
      <c r="K1794" s="269"/>
      <c r="L1794" s="269"/>
      <c r="M1794" s="269"/>
      <c r="N1794" s="269"/>
      <c r="O1794" s="269"/>
      <c r="P1794" s="269"/>
      <c r="Q1794" s="269"/>
      <c r="R1794" s="269"/>
      <c r="S1794" s="269"/>
      <c r="T1794" s="269"/>
      <c r="U1794" s="269"/>
      <c r="V1794" s="269"/>
      <c r="W1794" s="269"/>
      <c r="X1794" s="269"/>
      <c r="Y1794" s="269"/>
      <c r="Z1794" s="269"/>
      <c r="AA1794" s="269"/>
      <c r="AB1794" s="269"/>
      <c r="AC1794" s="269"/>
      <c r="AD1794" s="269"/>
      <c r="AE1794" s="269"/>
      <c r="AF1794" s="269"/>
      <c r="AG1794" s="269"/>
      <c r="AH1794" s="269"/>
      <c r="AI1794" s="269"/>
      <c r="AJ1794" s="269"/>
      <c r="AK1794" s="269"/>
      <c r="AL1794" s="269"/>
      <c r="AM1794" s="269"/>
      <c r="AN1794" s="269"/>
      <c r="AO1794" s="269"/>
      <c r="AP1794" s="269"/>
      <c r="AQ1794" s="269"/>
      <c r="AR1794" s="269"/>
    </row>
    <row r="1795">
      <c r="A1795" s="410"/>
      <c r="B1795" s="410"/>
      <c r="C1795" s="410"/>
      <c r="D1795" s="410"/>
      <c r="E1795" s="410"/>
      <c r="F1795" s="410"/>
      <c r="H1795" s="269"/>
      <c r="I1795" s="269"/>
      <c r="J1795" s="269"/>
      <c r="K1795" s="269"/>
      <c r="L1795" s="269"/>
      <c r="M1795" s="269"/>
      <c r="N1795" s="269"/>
      <c r="O1795" s="269"/>
      <c r="P1795" s="269"/>
      <c r="Q1795" s="269"/>
      <c r="R1795" s="269"/>
      <c r="S1795" s="269"/>
      <c r="T1795" s="269"/>
      <c r="U1795" s="269"/>
      <c r="V1795" s="269"/>
      <c r="W1795" s="269"/>
      <c r="X1795" s="269"/>
      <c r="Y1795" s="269"/>
      <c r="Z1795" s="269"/>
      <c r="AA1795" s="269"/>
      <c r="AB1795" s="269"/>
      <c r="AC1795" s="269"/>
      <c r="AD1795" s="269"/>
      <c r="AE1795" s="269"/>
      <c r="AF1795" s="269"/>
      <c r="AG1795" s="269"/>
      <c r="AH1795" s="269"/>
      <c r="AI1795" s="269"/>
      <c r="AJ1795" s="269"/>
      <c r="AK1795" s="269"/>
      <c r="AL1795" s="269"/>
      <c r="AM1795" s="269"/>
      <c r="AN1795" s="269"/>
      <c r="AO1795" s="269"/>
      <c r="AP1795" s="269"/>
      <c r="AQ1795" s="269"/>
      <c r="AR1795" s="269"/>
    </row>
    <row r="1796">
      <c r="A1796" s="410"/>
      <c r="B1796" s="410"/>
      <c r="C1796" s="410"/>
      <c r="D1796" s="410"/>
      <c r="E1796" s="410"/>
      <c r="F1796" s="410"/>
      <c r="H1796" s="269"/>
      <c r="I1796" s="269"/>
      <c r="J1796" s="269"/>
      <c r="K1796" s="269"/>
      <c r="L1796" s="269"/>
      <c r="M1796" s="269"/>
      <c r="N1796" s="269"/>
      <c r="O1796" s="269"/>
      <c r="P1796" s="269"/>
      <c r="Q1796" s="269"/>
      <c r="R1796" s="269"/>
      <c r="S1796" s="269"/>
      <c r="T1796" s="269"/>
      <c r="U1796" s="269"/>
      <c r="V1796" s="269"/>
      <c r="W1796" s="269"/>
      <c r="X1796" s="269"/>
      <c r="Y1796" s="269"/>
      <c r="Z1796" s="269"/>
      <c r="AA1796" s="269"/>
      <c r="AB1796" s="269"/>
      <c r="AC1796" s="269"/>
      <c r="AD1796" s="269"/>
      <c r="AE1796" s="269"/>
      <c r="AF1796" s="269"/>
      <c r="AG1796" s="269"/>
      <c r="AH1796" s="269"/>
      <c r="AI1796" s="269"/>
      <c r="AJ1796" s="269"/>
      <c r="AK1796" s="269"/>
      <c r="AL1796" s="269"/>
      <c r="AM1796" s="269"/>
      <c r="AN1796" s="269"/>
      <c r="AO1796" s="269"/>
      <c r="AP1796" s="269"/>
      <c r="AQ1796" s="269"/>
      <c r="AR1796" s="269"/>
    </row>
    <row r="1797">
      <c r="A1797" s="410"/>
      <c r="B1797" s="410"/>
      <c r="C1797" s="410"/>
      <c r="D1797" s="410"/>
      <c r="E1797" s="410"/>
      <c r="F1797" s="410"/>
      <c r="H1797" s="269"/>
      <c r="I1797" s="269"/>
      <c r="J1797" s="269"/>
      <c r="K1797" s="269"/>
      <c r="L1797" s="269"/>
      <c r="M1797" s="269"/>
      <c r="N1797" s="269"/>
      <c r="O1797" s="269"/>
      <c r="P1797" s="269"/>
      <c r="Q1797" s="269"/>
      <c r="R1797" s="269"/>
      <c r="S1797" s="269"/>
      <c r="T1797" s="269"/>
      <c r="U1797" s="269"/>
      <c r="V1797" s="269"/>
      <c r="W1797" s="269"/>
      <c r="X1797" s="269"/>
      <c r="Y1797" s="269"/>
      <c r="Z1797" s="269"/>
      <c r="AA1797" s="269"/>
      <c r="AB1797" s="269"/>
      <c r="AC1797" s="269"/>
      <c r="AD1797" s="269"/>
      <c r="AE1797" s="269"/>
      <c r="AF1797" s="269"/>
      <c r="AG1797" s="269"/>
      <c r="AH1797" s="269"/>
      <c r="AI1797" s="269"/>
      <c r="AJ1797" s="269"/>
      <c r="AK1797" s="269"/>
      <c r="AL1797" s="269"/>
      <c r="AM1797" s="269"/>
      <c r="AN1797" s="269"/>
      <c r="AO1797" s="269"/>
      <c r="AP1797" s="269"/>
      <c r="AQ1797" s="269"/>
      <c r="AR1797" s="269"/>
    </row>
    <row r="1798">
      <c r="A1798" s="410"/>
      <c r="B1798" s="410"/>
      <c r="C1798" s="410"/>
      <c r="D1798" s="410"/>
      <c r="E1798" s="410"/>
      <c r="F1798" s="410"/>
      <c r="H1798" s="269"/>
      <c r="I1798" s="269"/>
      <c r="J1798" s="269"/>
      <c r="K1798" s="269"/>
      <c r="L1798" s="269"/>
      <c r="M1798" s="269"/>
      <c r="N1798" s="269"/>
      <c r="O1798" s="269"/>
      <c r="P1798" s="269"/>
      <c r="Q1798" s="269"/>
      <c r="R1798" s="269"/>
      <c r="S1798" s="269"/>
      <c r="T1798" s="269"/>
      <c r="U1798" s="269"/>
      <c r="V1798" s="269"/>
      <c r="W1798" s="269"/>
      <c r="X1798" s="269"/>
      <c r="Y1798" s="269"/>
      <c r="Z1798" s="269"/>
      <c r="AA1798" s="269"/>
      <c r="AB1798" s="269"/>
      <c r="AC1798" s="269"/>
      <c r="AD1798" s="269"/>
      <c r="AE1798" s="269"/>
      <c r="AF1798" s="269"/>
      <c r="AG1798" s="269"/>
      <c r="AH1798" s="269"/>
      <c r="AI1798" s="269"/>
      <c r="AJ1798" s="269"/>
      <c r="AK1798" s="269"/>
      <c r="AL1798" s="269"/>
      <c r="AM1798" s="269"/>
      <c r="AN1798" s="269"/>
      <c r="AO1798" s="269"/>
      <c r="AP1798" s="269"/>
      <c r="AQ1798" s="269"/>
      <c r="AR1798" s="269"/>
    </row>
    <row r="1799">
      <c r="A1799" s="410"/>
      <c r="B1799" s="410"/>
      <c r="C1799" s="410"/>
      <c r="D1799" s="410"/>
      <c r="E1799" s="410"/>
      <c r="F1799" s="410"/>
      <c r="H1799" s="269"/>
      <c r="I1799" s="269"/>
      <c r="J1799" s="269"/>
      <c r="K1799" s="269"/>
      <c r="L1799" s="269"/>
      <c r="M1799" s="269"/>
      <c r="N1799" s="269"/>
      <c r="O1799" s="269"/>
      <c r="P1799" s="269"/>
      <c r="Q1799" s="269"/>
      <c r="R1799" s="269"/>
      <c r="S1799" s="269"/>
      <c r="T1799" s="269"/>
      <c r="U1799" s="269"/>
      <c r="V1799" s="269"/>
      <c r="W1799" s="269"/>
      <c r="X1799" s="269"/>
      <c r="Y1799" s="269"/>
      <c r="Z1799" s="269"/>
      <c r="AA1799" s="269"/>
      <c r="AB1799" s="269"/>
      <c r="AC1799" s="269"/>
      <c r="AD1799" s="269"/>
      <c r="AE1799" s="269"/>
      <c r="AF1799" s="269"/>
      <c r="AG1799" s="269"/>
      <c r="AH1799" s="269"/>
      <c r="AI1799" s="269"/>
      <c r="AJ1799" s="269"/>
      <c r="AK1799" s="269"/>
      <c r="AL1799" s="269"/>
      <c r="AM1799" s="269"/>
      <c r="AN1799" s="269"/>
      <c r="AO1799" s="269"/>
      <c r="AP1799" s="269"/>
      <c r="AQ1799" s="269"/>
      <c r="AR1799" s="269"/>
    </row>
    <row r="1800">
      <c r="A1800" s="410"/>
      <c r="B1800" s="410"/>
      <c r="C1800" s="410"/>
      <c r="D1800" s="410"/>
      <c r="E1800" s="410"/>
      <c r="F1800" s="410"/>
      <c r="H1800" s="269"/>
      <c r="I1800" s="269"/>
      <c r="J1800" s="269"/>
      <c r="K1800" s="269"/>
      <c r="L1800" s="269"/>
      <c r="M1800" s="269"/>
      <c r="N1800" s="269"/>
      <c r="O1800" s="269"/>
      <c r="P1800" s="269"/>
      <c r="Q1800" s="269"/>
      <c r="R1800" s="269"/>
      <c r="S1800" s="269"/>
      <c r="T1800" s="269"/>
      <c r="U1800" s="269"/>
      <c r="V1800" s="269"/>
      <c r="W1800" s="269"/>
      <c r="X1800" s="269"/>
      <c r="Y1800" s="269"/>
      <c r="Z1800" s="269"/>
      <c r="AA1800" s="269"/>
      <c r="AB1800" s="269"/>
      <c r="AC1800" s="269"/>
      <c r="AD1800" s="269"/>
      <c r="AE1800" s="269"/>
      <c r="AF1800" s="269"/>
      <c r="AG1800" s="269"/>
      <c r="AH1800" s="269"/>
      <c r="AI1800" s="269"/>
      <c r="AJ1800" s="269"/>
      <c r="AK1800" s="269"/>
      <c r="AL1800" s="269"/>
      <c r="AM1800" s="269"/>
      <c r="AN1800" s="269"/>
      <c r="AO1800" s="269"/>
      <c r="AP1800" s="269"/>
      <c r="AQ1800" s="269"/>
      <c r="AR1800" s="269"/>
    </row>
    <row r="1801">
      <c r="A1801" s="410"/>
      <c r="B1801" s="410"/>
      <c r="C1801" s="410"/>
      <c r="D1801" s="410"/>
      <c r="E1801" s="410"/>
      <c r="F1801" s="410"/>
      <c r="H1801" s="269"/>
      <c r="I1801" s="269"/>
      <c r="J1801" s="269"/>
      <c r="K1801" s="269"/>
      <c r="L1801" s="269"/>
      <c r="M1801" s="269"/>
      <c r="N1801" s="269"/>
      <c r="O1801" s="269"/>
      <c r="P1801" s="269"/>
      <c r="Q1801" s="269"/>
      <c r="R1801" s="269"/>
      <c r="S1801" s="269"/>
      <c r="T1801" s="269"/>
      <c r="U1801" s="269"/>
      <c r="V1801" s="269"/>
      <c r="W1801" s="269"/>
      <c r="X1801" s="269"/>
      <c r="Y1801" s="269"/>
      <c r="Z1801" s="269"/>
      <c r="AA1801" s="269"/>
      <c r="AB1801" s="269"/>
      <c r="AC1801" s="269"/>
      <c r="AD1801" s="269"/>
      <c r="AE1801" s="269"/>
      <c r="AF1801" s="269"/>
      <c r="AG1801" s="269"/>
      <c r="AH1801" s="269"/>
      <c r="AI1801" s="269"/>
      <c r="AJ1801" s="269"/>
      <c r="AK1801" s="269"/>
      <c r="AL1801" s="269"/>
      <c r="AM1801" s="269"/>
      <c r="AN1801" s="269"/>
      <c r="AO1801" s="269"/>
      <c r="AP1801" s="269"/>
      <c r="AQ1801" s="269"/>
      <c r="AR1801" s="269"/>
    </row>
    <row r="1802">
      <c r="A1802" s="410"/>
      <c r="B1802" s="410"/>
      <c r="C1802" s="410"/>
      <c r="D1802" s="410"/>
      <c r="E1802" s="410"/>
      <c r="F1802" s="410"/>
      <c r="H1802" s="269"/>
      <c r="I1802" s="269"/>
      <c r="J1802" s="269"/>
      <c r="K1802" s="269"/>
      <c r="L1802" s="269"/>
      <c r="M1802" s="269"/>
      <c r="N1802" s="269"/>
      <c r="O1802" s="269"/>
      <c r="P1802" s="269"/>
      <c r="Q1802" s="269"/>
      <c r="R1802" s="269"/>
      <c r="S1802" s="269"/>
      <c r="T1802" s="269"/>
      <c r="U1802" s="269"/>
      <c r="V1802" s="269"/>
      <c r="W1802" s="269"/>
      <c r="X1802" s="269"/>
      <c r="Y1802" s="269"/>
      <c r="Z1802" s="269"/>
      <c r="AA1802" s="269"/>
      <c r="AB1802" s="269"/>
      <c r="AC1802" s="269"/>
      <c r="AD1802" s="269"/>
      <c r="AE1802" s="269"/>
      <c r="AF1802" s="269"/>
      <c r="AG1802" s="269"/>
      <c r="AH1802" s="269"/>
      <c r="AI1802" s="269"/>
      <c r="AJ1802" s="269"/>
      <c r="AK1802" s="269"/>
      <c r="AL1802" s="269"/>
      <c r="AM1802" s="269"/>
      <c r="AN1802" s="269"/>
      <c r="AO1802" s="269"/>
      <c r="AP1802" s="269"/>
      <c r="AQ1802" s="269"/>
      <c r="AR1802" s="269"/>
    </row>
    <row r="1803">
      <c r="A1803" s="410"/>
      <c r="B1803" s="410"/>
      <c r="C1803" s="410"/>
      <c r="D1803" s="410"/>
      <c r="E1803" s="410"/>
      <c r="F1803" s="410"/>
      <c r="H1803" s="269"/>
      <c r="I1803" s="269"/>
      <c r="J1803" s="269"/>
      <c r="K1803" s="269"/>
      <c r="L1803" s="269"/>
      <c r="M1803" s="269"/>
      <c r="N1803" s="269"/>
      <c r="O1803" s="269"/>
      <c r="P1803" s="269"/>
      <c r="Q1803" s="269"/>
      <c r="R1803" s="269"/>
      <c r="S1803" s="269"/>
      <c r="T1803" s="269"/>
      <c r="U1803" s="269"/>
      <c r="V1803" s="269"/>
      <c r="W1803" s="269"/>
      <c r="X1803" s="269"/>
      <c r="Y1803" s="269"/>
      <c r="Z1803" s="269"/>
      <c r="AA1803" s="269"/>
      <c r="AB1803" s="269"/>
      <c r="AC1803" s="269"/>
      <c r="AD1803" s="269"/>
      <c r="AE1803" s="269"/>
      <c r="AF1803" s="269"/>
      <c r="AG1803" s="269"/>
      <c r="AH1803" s="269"/>
      <c r="AI1803" s="269"/>
      <c r="AJ1803" s="269"/>
      <c r="AK1803" s="269"/>
      <c r="AL1803" s="269"/>
      <c r="AM1803" s="269"/>
      <c r="AN1803" s="269"/>
      <c r="AO1803" s="269"/>
      <c r="AP1803" s="269"/>
      <c r="AQ1803" s="269"/>
      <c r="AR1803" s="269"/>
    </row>
    <row r="1804">
      <c r="A1804" s="410"/>
      <c r="B1804" s="410"/>
      <c r="C1804" s="410"/>
      <c r="D1804" s="410"/>
      <c r="E1804" s="410"/>
      <c r="F1804" s="410"/>
      <c r="H1804" s="269"/>
      <c r="I1804" s="269"/>
      <c r="J1804" s="269"/>
      <c r="K1804" s="269"/>
      <c r="L1804" s="269"/>
      <c r="M1804" s="269"/>
      <c r="N1804" s="269"/>
      <c r="O1804" s="269"/>
      <c r="P1804" s="269"/>
      <c r="Q1804" s="269"/>
      <c r="R1804" s="269"/>
      <c r="S1804" s="269"/>
      <c r="T1804" s="269"/>
      <c r="U1804" s="269"/>
      <c r="V1804" s="269"/>
      <c r="W1804" s="269"/>
      <c r="X1804" s="269"/>
      <c r="Y1804" s="269"/>
      <c r="Z1804" s="269"/>
      <c r="AA1804" s="269"/>
      <c r="AB1804" s="269"/>
      <c r="AC1804" s="269"/>
      <c r="AD1804" s="269"/>
      <c r="AE1804" s="269"/>
      <c r="AF1804" s="269"/>
      <c r="AG1804" s="269"/>
      <c r="AH1804" s="269"/>
      <c r="AI1804" s="269"/>
      <c r="AJ1804" s="269"/>
      <c r="AK1804" s="269"/>
      <c r="AL1804" s="269"/>
      <c r="AM1804" s="269"/>
      <c r="AN1804" s="269"/>
      <c r="AO1804" s="269"/>
      <c r="AP1804" s="269"/>
      <c r="AQ1804" s="269"/>
      <c r="AR1804" s="269"/>
    </row>
    <row r="1805">
      <c r="A1805" s="410"/>
      <c r="B1805" s="410"/>
      <c r="C1805" s="410"/>
      <c r="D1805" s="410"/>
      <c r="E1805" s="410"/>
      <c r="F1805" s="410"/>
      <c r="H1805" s="269"/>
      <c r="I1805" s="269"/>
      <c r="J1805" s="269"/>
      <c r="K1805" s="269"/>
      <c r="L1805" s="269"/>
      <c r="M1805" s="269"/>
      <c r="N1805" s="269"/>
      <c r="O1805" s="269"/>
      <c r="P1805" s="269"/>
      <c r="Q1805" s="269"/>
      <c r="R1805" s="269"/>
      <c r="S1805" s="269"/>
      <c r="T1805" s="269"/>
      <c r="U1805" s="269"/>
      <c r="V1805" s="269"/>
      <c r="W1805" s="269"/>
      <c r="X1805" s="269"/>
      <c r="Y1805" s="269"/>
      <c r="Z1805" s="269"/>
      <c r="AA1805" s="269"/>
      <c r="AB1805" s="269"/>
      <c r="AC1805" s="269"/>
      <c r="AD1805" s="269"/>
      <c r="AE1805" s="269"/>
      <c r="AF1805" s="269"/>
      <c r="AG1805" s="269"/>
      <c r="AH1805" s="269"/>
      <c r="AI1805" s="269"/>
      <c r="AJ1805" s="269"/>
      <c r="AK1805" s="269"/>
      <c r="AL1805" s="269"/>
      <c r="AM1805" s="269"/>
      <c r="AN1805" s="269"/>
      <c r="AO1805" s="269"/>
      <c r="AP1805" s="269"/>
      <c r="AQ1805" s="269"/>
      <c r="AR1805" s="269"/>
    </row>
    <row r="1806">
      <c r="A1806" s="410"/>
      <c r="B1806" s="410"/>
      <c r="C1806" s="410"/>
      <c r="D1806" s="410"/>
      <c r="E1806" s="410"/>
      <c r="F1806" s="410"/>
      <c r="H1806" s="269"/>
      <c r="I1806" s="269"/>
      <c r="J1806" s="269"/>
      <c r="K1806" s="269"/>
      <c r="L1806" s="269"/>
      <c r="M1806" s="269"/>
      <c r="N1806" s="269"/>
      <c r="O1806" s="269"/>
      <c r="P1806" s="269"/>
      <c r="Q1806" s="269"/>
      <c r="R1806" s="269"/>
      <c r="S1806" s="269"/>
      <c r="T1806" s="269"/>
      <c r="U1806" s="269"/>
      <c r="V1806" s="269"/>
      <c r="W1806" s="269"/>
      <c r="X1806" s="269"/>
      <c r="Y1806" s="269"/>
      <c r="Z1806" s="269"/>
      <c r="AA1806" s="269"/>
      <c r="AB1806" s="269"/>
      <c r="AC1806" s="269"/>
      <c r="AD1806" s="269"/>
      <c r="AE1806" s="269"/>
      <c r="AF1806" s="269"/>
      <c r="AG1806" s="269"/>
      <c r="AH1806" s="269"/>
      <c r="AI1806" s="269"/>
      <c r="AJ1806" s="269"/>
      <c r="AK1806" s="269"/>
      <c r="AL1806" s="269"/>
      <c r="AM1806" s="269"/>
      <c r="AN1806" s="269"/>
      <c r="AO1806" s="269"/>
      <c r="AP1806" s="269"/>
      <c r="AQ1806" s="269"/>
      <c r="AR1806" s="269"/>
    </row>
    <row r="1807">
      <c r="A1807" s="410"/>
      <c r="B1807" s="410"/>
      <c r="C1807" s="410"/>
      <c r="D1807" s="410"/>
      <c r="E1807" s="410"/>
      <c r="F1807" s="410"/>
      <c r="H1807" s="269"/>
      <c r="I1807" s="269"/>
      <c r="J1807" s="269"/>
      <c r="K1807" s="269"/>
      <c r="L1807" s="269"/>
      <c r="M1807" s="269"/>
      <c r="N1807" s="269"/>
      <c r="O1807" s="269"/>
      <c r="P1807" s="269"/>
      <c r="Q1807" s="269"/>
      <c r="R1807" s="269"/>
      <c r="S1807" s="269"/>
      <c r="T1807" s="269"/>
      <c r="U1807" s="269"/>
      <c r="V1807" s="269"/>
      <c r="W1807" s="269"/>
      <c r="X1807" s="269"/>
      <c r="Y1807" s="269"/>
      <c r="Z1807" s="269"/>
      <c r="AA1807" s="269"/>
      <c r="AB1807" s="269"/>
      <c r="AC1807" s="269"/>
      <c r="AD1807" s="269"/>
      <c r="AE1807" s="269"/>
      <c r="AF1807" s="269"/>
      <c r="AG1807" s="269"/>
      <c r="AH1807" s="269"/>
      <c r="AI1807" s="269"/>
      <c r="AJ1807" s="269"/>
      <c r="AK1807" s="269"/>
      <c r="AL1807" s="269"/>
      <c r="AM1807" s="269"/>
      <c r="AN1807" s="269"/>
      <c r="AO1807" s="269"/>
      <c r="AP1807" s="269"/>
      <c r="AQ1807" s="269"/>
      <c r="AR1807" s="269"/>
    </row>
    <row r="1808">
      <c r="A1808" s="410"/>
      <c r="B1808" s="410"/>
      <c r="C1808" s="410"/>
      <c r="D1808" s="410"/>
      <c r="E1808" s="410"/>
      <c r="F1808" s="410"/>
      <c r="H1808" s="269"/>
      <c r="I1808" s="269"/>
      <c r="J1808" s="269"/>
      <c r="K1808" s="269"/>
      <c r="L1808" s="269"/>
      <c r="M1808" s="269"/>
      <c r="N1808" s="269"/>
      <c r="O1808" s="269"/>
      <c r="P1808" s="269"/>
      <c r="Q1808" s="269"/>
      <c r="R1808" s="269"/>
      <c r="S1808" s="269"/>
      <c r="T1808" s="269"/>
      <c r="U1808" s="269"/>
      <c r="V1808" s="269"/>
      <c r="W1808" s="269"/>
      <c r="X1808" s="269"/>
      <c r="Y1808" s="269"/>
      <c r="Z1808" s="269"/>
      <c r="AA1808" s="269"/>
      <c r="AB1808" s="269"/>
      <c r="AC1808" s="269"/>
      <c r="AD1808" s="269"/>
      <c r="AE1808" s="269"/>
      <c r="AF1808" s="269"/>
      <c r="AG1808" s="269"/>
      <c r="AH1808" s="269"/>
      <c r="AI1808" s="269"/>
      <c r="AJ1808" s="269"/>
      <c r="AK1808" s="269"/>
      <c r="AL1808" s="269"/>
      <c r="AM1808" s="269"/>
      <c r="AN1808" s="269"/>
      <c r="AO1808" s="269"/>
      <c r="AP1808" s="269"/>
      <c r="AQ1808" s="269"/>
      <c r="AR1808" s="269"/>
    </row>
    <row r="1809">
      <c r="A1809" s="410"/>
      <c r="B1809" s="410"/>
      <c r="C1809" s="410"/>
      <c r="D1809" s="410"/>
      <c r="E1809" s="410"/>
      <c r="F1809" s="410"/>
      <c r="H1809" s="269"/>
      <c r="I1809" s="269"/>
      <c r="J1809" s="269"/>
      <c r="K1809" s="269"/>
      <c r="L1809" s="269"/>
      <c r="M1809" s="269"/>
      <c r="N1809" s="269"/>
      <c r="O1809" s="269"/>
      <c r="P1809" s="269"/>
      <c r="Q1809" s="269"/>
      <c r="R1809" s="269"/>
      <c r="S1809" s="269"/>
      <c r="T1809" s="269"/>
      <c r="U1809" s="269"/>
      <c r="V1809" s="269"/>
      <c r="W1809" s="269"/>
      <c r="X1809" s="269"/>
      <c r="Y1809" s="269"/>
      <c r="Z1809" s="269"/>
      <c r="AA1809" s="269"/>
      <c r="AB1809" s="269"/>
      <c r="AC1809" s="269"/>
      <c r="AD1809" s="269"/>
      <c r="AE1809" s="269"/>
      <c r="AF1809" s="269"/>
      <c r="AG1809" s="269"/>
      <c r="AH1809" s="269"/>
      <c r="AI1809" s="269"/>
      <c r="AJ1809" s="269"/>
      <c r="AK1809" s="269"/>
      <c r="AL1809" s="269"/>
      <c r="AM1809" s="269"/>
      <c r="AN1809" s="269"/>
      <c r="AO1809" s="269"/>
      <c r="AP1809" s="269"/>
      <c r="AQ1809" s="269"/>
      <c r="AR1809" s="269"/>
    </row>
    <row r="1810">
      <c r="A1810" s="410"/>
      <c r="B1810" s="410"/>
      <c r="C1810" s="410"/>
      <c r="D1810" s="410"/>
      <c r="E1810" s="410"/>
      <c r="F1810" s="410"/>
      <c r="H1810" s="269"/>
      <c r="I1810" s="269"/>
      <c r="J1810" s="269"/>
      <c r="K1810" s="269"/>
      <c r="L1810" s="269"/>
      <c r="M1810" s="269"/>
      <c r="N1810" s="269"/>
      <c r="O1810" s="269"/>
      <c r="P1810" s="269"/>
      <c r="Q1810" s="269"/>
      <c r="R1810" s="269"/>
      <c r="S1810" s="269"/>
      <c r="T1810" s="269"/>
      <c r="U1810" s="269"/>
      <c r="V1810" s="269"/>
      <c r="W1810" s="269"/>
      <c r="X1810" s="269"/>
      <c r="Y1810" s="269"/>
      <c r="Z1810" s="269"/>
      <c r="AA1810" s="269"/>
      <c r="AB1810" s="269"/>
      <c r="AC1810" s="269"/>
      <c r="AD1810" s="269"/>
      <c r="AE1810" s="269"/>
      <c r="AF1810" s="269"/>
      <c r="AG1810" s="269"/>
      <c r="AH1810" s="269"/>
      <c r="AI1810" s="269"/>
      <c r="AJ1810" s="269"/>
      <c r="AK1810" s="269"/>
      <c r="AL1810" s="269"/>
      <c r="AM1810" s="269"/>
      <c r="AN1810" s="269"/>
      <c r="AO1810" s="269"/>
      <c r="AP1810" s="269"/>
      <c r="AQ1810" s="269"/>
      <c r="AR1810" s="269"/>
    </row>
    <row r="1811">
      <c r="A1811" s="410"/>
      <c r="B1811" s="410"/>
      <c r="C1811" s="410"/>
      <c r="D1811" s="410"/>
      <c r="E1811" s="410"/>
      <c r="F1811" s="410"/>
      <c r="H1811" s="269"/>
      <c r="I1811" s="269"/>
      <c r="J1811" s="269"/>
      <c r="K1811" s="269"/>
      <c r="L1811" s="269"/>
      <c r="M1811" s="269"/>
      <c r="N1811" s="269"/>
      <c r="O1811" s="269"/>
      <c r="P1811" s="269"/>
      <c r="Q1811" s="269"/>
      <c r="R1811" s="269"/>
      <c r="S1811" s="269"/>
      <c r="T1811" s="269"/>
      <c r="U1811" s="269"/>
      <c r="V1811" s="269"/>
      <c r="W1811" s="269"/>
      <c r="X1811" s="269"/>
      <c r="Y1811" s="269"/>
      <c r="Z1811" s="269"/>
      <c r="AA1811" s="269"/>
      <c r="AB1811" s="269"/>
      <c r="AC1811" s="269"/>
      <c r="AD1811" s="269"/>
      <c r="AE1811" s="269"/>
      <c r="AF1811" s="269"/>
      <c r="AG1811" s="269"/>
      <c r="AH1811" s="269"/>
      <c r="AI1811" s="269"/>
      <c r="AJ1811" s="269"/>
      <c r="AK1811" s="269"/>
      <c r="AL1811" s="269"/>
      <c r="AM1811" s="269"/>
      <c r="AN1811" s="269"/>
      <c r="AO1811" s="269"/>
      <c r="AP1811" s="269"/>
      <c r="AQ1811" s="269"/>
      <c r="AR1811" s="269"/>
    </row>
    <row r="1812">
      <c r="A1812" s="410"/>
      <c r="B1812" s="410"/>
      <c r="C1812" s="410"/>
      <c r="D1812" s="410"/>
      <c r="E1812" s="410"/>
      <c r="F1812" s="410"/>
      <c r="H1812" s="269"/>
      <c r="I1812" s="269"/>
      <c r="J1812" s="269"/>
      <c r="K1812" s="269"/>
      <c r="L1812" s="269"/>
      <c r="M1812" s="269"/>
      <c r="N1812" s="269"/>
      <c r="O1812" s="269"/>
      <c r="P1812" s="269"/>
      <c r="Q1812" s="269"/>
      <c r="R1812" s="269"/>
      <c r="S1812" s="269"/>
      <c r="T1812" s="269"/>
      <c r="U1812" s="269"/>
      <c r="V1812" s="269"/>
      <c r="W1812" s="269"/>
      <c r="X1812" s="269"/>
      <c r="Y1812" s="269"/>
      <c r="Z1812" s="269"/>
      <c r="AA1812" s="269"/>
      <c r="AB1812" s="269"/>
      <c r="AC1812" s="269"/>
      <c r="AD1812" s="269"/>
      <c r="AE1812" s="269"/>
      <c r="AF1812" s="269"/>
      <c r="AG1812" s="269"/>
      <c r="AH1812" s="269"/>
      <c r="AI1812" s="269"/>
      <c r="AJ1812" s="269"/>
      <c r="AK1812" s="269"/>
      <c r="AL1812" s="269"/>
      <c r="AM1812" s="269"/>
      <c r="AN1812" s="269"/>
      <c r="AO1812" s="269"/>
      <c r="AP1812" s="269"/>
      <c r="AQ1812" s="269"/>
      <c r="AR1812" s="269"/>
    </row>
    <row r="1813">
      <c r="A1813" s="410"/>
      <c r="B1813" s="410"/>
      <c r="C1813" s="410"/>
      <c r="D1813" s="410"/>
      <c r="E1813" s="410"/>
      <c r="F1813" s="410"/>
      <c r="H1813" s="269"/>
      <c r="I1813" s="269"/>
      <c r="J1813" s="269"/>
      <c r="K1813" s="269"/>
      <c r="L1813" s="269"/>
      <c r="M1813" s="269"/>
      <c r="N1813" s="269"/>
      <c r="O1813" s="269"/>
      <c r="P1813" s="269"/>
      <c r="Q1813" s="269"/>
      <c r="R1813" s="269"/>
      <c r="S1813" s="269"/>
      <c r="T1813" s="269"/>
      <c r="U1813" s="269"/>
      <c r="V1813" s="269"/>
      <c r="W1813" s="269"/>
      <c r="X1813" s="269"/>
      <c r="Y1813" s="269"/>
      <c r="Z1813" s="269"/>
      <c r="AA1813" s="269"/>
      <c r="AB1813" s="269"/>
      <c r="AC1813" s="269"/>
      <c r="AD1813" s="269"/>
      <c r="AE1813" s="269"/>
      <c r="AF1813" s="269"/>
      <c r="AG1813" s="269"/>
      <c r="AH1813" s="269"/>
      <c r="AI1813" s="269"/>
      <c r="AJ1813" s="269"/>
      <c r="AK1813" s="269"/>
      <c r="AL1813" s="269"/>
      <c r="AM1813" s="269"/>
      <c r="AN1813" s="269"/>
      <c r="AO1813" s="269"/>
      <c r="AP1813" s="269"/>
      <c r="AQ1813" s="269"/>
      <c r="AR1813" s="269"/>
    </row>
    <row r="1814">
      <c r="A1814" s="410"/>
      <c r="B1814" s="410"/>
      <c r="C1814" s="410"/>
      <c r="D1814" s="410"/>
      <c r="E1814" s="410"/>
      <c r="F1814" s="410"/>
      <c r="H1814" s="269"/>
      <c r="I1814" s="269"/>
      <c r="J1814" s="269"/>
      <c r="K1814" s="269"/>
      <c r="L1814" s="269"/>
      <c r="M1814" s="269"/>
      <c r="N1814" s="269"/>
      <c r="O1814" s="269"/>
      <c r="P1814" s="269"/>
      <c r="Q1814" s="269"/>
      <c r="R1814" s="269"/>
      <c r="S1814" s="269"/>
      <c r="T1814" s="269"/>
      <c r="U1814" s="269"/>
      <c r="V1814" s="269"/>
      <c r="W1814" s="269"/>
      <c r="X1814" s="269"/>
      <c r="Y1814" s="269"/>
      <c r="Z1814" s="269"/>
      <c r="AA1814" s="269"/>
      <c r="AB1814" s="269"/>
      <c r="AC1814" s="269"/>
      <c r="AD1814" s="269"/>
      <c r="AE1814" s="269"/>
      <c r="AF1814" s="269"/>
      <c r="AG1814" s="269"/>
      <c r="AH1814" s="269"/>
      <c r="AI1814" s="269"/>
      <c r="AJ1814" s="269"/>
      <c r="AK1814" s="269"/>
      <c r="AL1814" s="269"/>
      <c r="AM1814" s="269"/>
      <c r="AN1814" s="269"/>
      <c r="AO1814" s="269"/>
      <c r="AP1814" s="269"/>
      <c r="AQ1814" s="269"/>
      <c r="AR1814" s="269"/>
    </row>
    <row r="1815">
      <c r="A1815" s="410"/>
      <c r="B1815" s="410"/>
      <c r="C1815" s="410"/>
      <c r="D1815" s="410"/>
      <c r="E1815" s="410"/>
      <c r="F1815" s="410"/>
      <c r="H1815" s="269"/>
      <c r="I1815" s="269"/>
      <c r="J1815" s="269"/>
      <c r="K1815" s="269"/>
      <c r="L1815" s="269"/>
      <c r="M1815" s="269"/>
      <c r="N1815" s="269"/>
      <c r="O1815" s="269"/>
      <c r="P1815" s="269"/>
      <c r="Q1815" s="269"/>
      <c r="R1815" s="269"/>
      <c r="S1815" s="269"/>
      <c r="T1815" s="269"/>
      <c r="U1815" s="269"/>
      <c r="V1815" s="269"/>
      <c r="W1815" s="269"/>
      <c r="X1815" s="269"/>
      <c r="Y1815" s="269"/>
      <c r="Z1815" s="269"/>
      <c r="AA1815" s="269"/>
      <c r="AB1815" s="269"/>
      <c r="AC1815" s="269"/>
      <c r="AD1815" s="269"/>
      <c r="AE1815" s="269"/>
      <c r="AF1815" s="269"/>
      <c r="AG1815" s="269"/>
      <c r="AH1815" s="269"/>
      <c r="AI1815" s="269"/>
      <c r="AJ1815" s="269"/>
      <c r="AK1815" s="269"/>
      <c r="AL1815" s="269"/>
      <c r="AM1815" s="269"/>
      <c r="AN1815" s="269"/>
      <c r="AO1815" s="269"/>
      <c r="AP1815" s="269"/>
      <c r="AQ1815" s="269"/>
      <c r="AR1815" s="269"/>
    </row>
    <row r="1816">
      <c r="A1816" s="410"/>
      <c r="B1816" s="410"/>
      <c r="C1816" s="410"/>
      <c r="D1816" s="410"/>
      <c r="E1816" s="410"/>
      <c r="F1816" s="410"/>
      <c r="H1816" s="269"/>
      <c r="I1816" s="269"/>
      <c r="J1816" s="269"/>
      <c r="K1816" s="269"/>
      <c r="L1816" s="269"/>
      <c r="M1816" s="269"/>
      <c r="N1816" s="269"/>
      <c r="O1816" s="269"/>
      <c r="P1816" s="269"/>
      <c r="Q1816" s="269"/>
      <c r="R1816" s="269"/>
      <c r="S1816" s="269"/>
      <c r="T1816" s="269"/>
      <c r="U1816" s="269"/>
      <c r="V1816" s="269"/>
      <c r="W1816" s="269"/>
      <c r="X1816" s="269"/>
      <c r="Y1816" s="269"/>
      <c r="Z1816" s="269"/>
      <c r="AA1816" s="269"/>
      <c r="AB1816" s="269"/>
      <c r="AC1816" s="269"/>
      <c r="AD1816" s="269"/>
      <c r="AE1816" s="269"/>
      <c r="AF1816" s="269"/>
      <c r="AG1816" s="269"/>
      <c r="AH1816" s="269"/>
      <c r="AI1816" s="269"/>
      <c r="AJ1816" s="269"/>
      <c r="AK1816" s="269"/>
      <c r="AL1816" s="269"/>
      <c r="AM1816" s="269"/>
      <c r="AN1816" s="269"/>
      <c r="AO1816" s="269"/>
      <c r="AP1816" s="269"/>
      <c r="AQ1816" s="269"/>
      <c r="AR1816" s="269"/>
    </row>
    <row r="1817">
      <c r="A1817" s="410"/>
      <c r="B1817" s="410"/>
      <c r="C1817" s="410"/>
      <c r="D1817" s="410"/>
      <c r="E1817" s="410"/>
      <c r="F1817" s="410"/>
      <c r="H1817" s="269"/>
      <c r="I1817" s="269"/>
      <c r="J1817" s="269"/>
      <c r="K1817" s="269"/>
      <c r="L1817" s="269"/>
      <c r="M1817" s="269"/>
      <c r="N1817" s="269"/>
      <c r="O1817" s="269"/>
      <c r="P1817" s="269"/>
      <c r="Q1817" s="269"/>
      <c r="R1817" s="269"/>
      <c r="S1817" s="269"/>
      <c r="T1817" s="269"/>
      <c r="U1817" s="269"/>
      <c r="V1817" s="269"/>
      <c r="W1817" s="269"/>
      <c r="X1817" s="269"/>
      <c r="Y1817" s="269"/>
      <c r="Z1817" s="269"/>
      <c r="AA1817" s="269"/>
      <c r="AB1817" s="269"/>
      <c r="AC1817" s="269"/>
      <c r="AD1817" s="269"/>
      <c r="AE1817" s="269"/>
      <c r="AF1817" s="269"/>
      <c r="AG1817" s="269"/>
      <c r="AH1817" s="269"/>
      <c r="AI1817" s="269"/>
      <c r="AJ1817" s="269"/>
      <c r="AK1817" s="269"/>
      <c r="AL1817" s="269"/>
      <c r="AM1817" s="269"/>
      <c r="AN1817" s="269"/>
      <c r="AO1817" s="269"/>
      <c r="AP1817" s="269"/>
      <c r="AQ1817" s="269"/>
      <c r="AR1817" s="269"/>
    </row>
    <row r="1818">
      <c r="A1818" s="410"/>
      <c r="B1818" s="410"/>
      <c r="C1818" s="410"/>
      <c r="D1818" s="410"/>
      <c r="E1818" s="410"/>
      <c r="F1818" s="410"/>
      <c r="H1818" s="269"/>
      <c r="I1818" s="269"/>
      <c r="J1818" s="269"/>
      <c r="K1818" s="269"/>
      <c r="L1818" s="269"/>
      <c r="M1818" s="269"/>
      <c r="N1818" s="269"/>
      <c r="O1818" s="269"/>
      <c r="P1818" s="269"/>
      <c r="Q1818" s="269"/>
      <c r="R1818" s="269"/>
      <c r="S1818" s="269"/>
      <c r="T1818" s="269"/>
      <c r="U1818" s="269"/>
      <c r="V1818" s="269"/>
      <c r="W1818" s="269"/>
      <c r="X1818" s="269"/>
      <c r="Y1818" s="269"/>
      <c r="Z1818" s="269"/>
      <c r="AA1818" s="269"/>
      <c r="AB1818" s="269"/>
      <c r="AC1818" s="269"/>
      <c r="AD1818" s="269"/>
      <c r="AE1818" s="269"/>
      <c r="AF1818" s="269"/>
      <c r="AG1818" s="269"/>
      <c r="AH1818" s="269"/>
      <c r="AI1818" s="269"/>
      <c r="AJ1818" s="269"/>
      <c r="AK1818" s="269"/>
      <c r="AL1818" s="269"/>
      <c r="AM1818" s="269"/>
      <c r="AN1818" s="269"/>
      <c r="AO1818" s="269"/>
      <c r="AP1818" s="269"/>
      <c r="AQ1818" s="269"/>
      <c r="AR1818" s="269"/>
    </row>
    <row r="1819">
      <c r="A1819" s="410"/>
      <c r="B1819" s="410"/>
      <c r="C1819" s="410"/>
      <c r="D1819" s="410"/>
      <c r="E1819" s="410"/>
      <c r="F1819" s="410"/>
      <c r="H1819" s="269"/>
      <c r="I1819" s="269"/>
      <c r="J1819" s="269"/>
      <c r="K1819" s="269"/>
      <c r="L1819" s="269"/>
      <c r="M1819" s="269"/>
      <c r="N1819" s="269"/>
      <c r="O1819" s="269"/>
      <c r="P1819" s="269"/>
      <c r="Q1819" s="269"/>
      <c r="R1819" s="269"/>
      <c r="S1819" s="269"/>
      <c r="T1819" s="269"/>
      <c r="U1819" s="269"/>
      <c r="V1819" s="269"/>
      <c r="W1819" s="269"/>
      <c r="X1819" s="269"/>
      <c r="Y1819" s="269"/>
      <c r="Z1819" s="269"/>
      <c r="AA1819" s="269"/>
      <c r="AB1819" s="269"/>
      <c r="AC1819" s="269"/>
      <c r="AD1819" s="269"/>
      <c r="AE1819" s="269"/>
      <c r="AF1819" s="269"/>
      <c r="AG1819" s="269"/>
      <c r="AH1819" s="269"/>
      <c r="AI1819" s="269"/>
      <c r="AJ1819" s="269"/>
      <c r="AK1819" s="269"/>
      <c r="AL1819" s="269"/>
      <c r="AM1819" s="269"/>
      <c r="AN1819" s="269"/>
      <c r="AO1819" s="269"/>
      <c r="AP1819" s="269"/>
      <c r="AQ1819" s="269"/>
      <c r="AR1819" s="269"/>
    </row>
    <row r="1820">
      <c r="A1820" s="410"/>
      <c r="B1820" s="410"/>
      <c r="C1820" s="410"/>
      <c r="D1820" s="410"/>
      <c r="E1820" s="410"/>
      <c r="F1820" s="410"/>
      <c r="H1820" s="269"/>
      <c r="I1820" s="269"/>
      <c r="J1820" s="269"/>
      <c r="K1820" s="269"/>
      <c r="L1820" s="269"/>
      <c r="M1820" s="269"/>
      <c r="N1820" s="269"/>
      <c r="O1820" s="269"/>
      <c r="P1820" s="269"/>
      <c r="Q1820" s="269"/>
      <c r="R1820" s="269"/>
      <c r="S1820" s="269"/>
      <c r="T1820" s="269"/>
      <c r="U1820" s="269"/>
      <c r="V1820" s="269"/>
      <c r="W1820" s="269"/>
      <c r="X1820" s="269"/>
      <c r="Y1820" s="269"/>
      <c r="Z1820" s="269"/>
      <c r="AA1820" s="269"/>
      <c r="AB1820" s="269"/>
      <c r="AC1820" s="269"/>
      <c r="AD1820" s="269"/>
      <c r="AE1820" s="269"/>
      <c r="AF1820" s="269"/>
      <c r="AG1820" s="269"/>
      <c r="AH1820" s="269"/>
      <c r="AI1820" s="269"/>
      <c r="AJ1820" s="269"/>
      <c r="AK1820" s="269"/>
      <c r="AL1820" s="269"/>
      <c r="AM1820" s="269"/>
      <c r="AN1820" s="269"/>
      <c r="AO1820" s="269"/>
      <c r="AP1820" s="269"/>
      <c r="AQ1820" s="269"/>
      <c r="AR1820" s="269"/>
    </row>
    <row r="1821">
      <c r="A1821" s="410"/>
      <c r="B1821" s="410"/>
      <c r="C1821" s="410"/>
      <c r="D1821" s="410"/>
      <c r="E1821" s="410"/>
      <c r="F1821" s="410"/>
      <c r="H1821" s="269"/>
      <c r="I1821" s="269"/>
      <c r="J1821" s="269"/>
      <c r="K1821" s="269"/>
      <c r="L1821" s="269"/>
      <c r="M1821" s="269"/>
      <c r="N1821" s="269"/>
      <c r="O1821" s="269"/>
      <c r="P1821" s="269"/>
      <c r="Q1821" s="269"/>
      <c r="R1821" s="269"/>
      <c r="S1821" s="269"/>
      <c r="T1821" s="269"/>
      <c r="U1821" s="269"/>
      <c r="V1821" s="269"/>
      <c r="W1821" s="269"/>
      <c r="X1821" s="269"/>
      <c r="Y1821" s="269"/>
      <c r="Z1821" s="269"/>
      <c r="AA1821" s="269"/>
      <c r="AB1821" s="269"/>
      <c r="AC1821" s="269"/>
      <c r="AD1821" s="269"/>
      <c r="AE1821" s="269"/>
      <c r="AF1821" s="269"/>
      <c r="AG1821" s="269"/>
      <c r="AH1821" s="269"/>
      <c r="AI1821" s="269"/>
      <c r="AJ1821" s="269"/>
      <c r="AK1821" s="269"/>
      <c r="AL1821" s="269"/>
      <c r="AM1821" s="269"/>
      <c r="AN1821" s="269"/>
      <c r="AO1821" s="269"/>
      <c r="AP1821" s="269"/>
      <c r="AQ1821" s="269"/>
      <c r="AR1821" s="269"/>
    </row>
    <row r="1822">
      <c r="A1822" s="410"/>
      <c r="B1822" s="410"/>
      <c r="C1822" s="410"/>
      <c r="D1822" s="410"/>
      <c r="E1822" s="410"/>
      <c r="F1822" s="410"/>
      <c r="H1822" s="269"/>
      <c r="I1822" s="269"/>
      <c r="J1822" s="269"/>
      <c r="K1822" s="269"/>
      <c r="L1822" s="269"/>
      <c r="M1822" s="269"/>
      <c r="N1822" s="269"/>
      <c r="O1822" s="269"/>
      <c r="P1822" s="269"/>
      <c r="Q1822" s="269"/>
      <c r="R1822" s="269"/>
      <c r="S1822" s="269"/>
      <c r="T1822" s="269"/>
      <c r="U1822" s="269"/>
      <c r="V1822" s="269"/>
      <c r="W1822" s="269"/>
      <c r="X1822" s="269"/>
      <c r="Y1822" s="269"/>
      <c r="Z1822" s="269"/>
      <c r="AA1822" s="269"/>
      <c r="AB1822" s="269"/>
      <c r="AC1822" s="269"/>
      <c r="AD1822" s="269"/>
      <c r="AE1822" s="269"/>
      <c r="AF1822" s="269"/>
      <c r="AG1822" s="269"/>
      <c r="AH1822" s="269"/>
      <c r="AI1822" s="269"/>
      <c r="AJ1822" s="269"/>
      <c r="AK1822" s="269"/>
      <c r="AL1822" s="269"/>
      <c r="AM1822" s="269"/>
      <c r="AN1822" s="269"/>
      <c r="AO1822" s="269"/>
      <c r="AP1822" s="269"/>
      <c r="AQ1822" s="269"/>
      <c r="AR1822" s="269"/>
    </row>
    <row r="1823">
      <c r="A1823" s="410"/>
      <c r="B1823" s="410"/>
      <c r="C1823" s="410"/>
      <c r="D1823" s="410"/>
      <c r="E1823" s="410"/>
      <c r="F1823" s="410"/>
      <c r="H1823" s="269"/>
      <c r="I1823" s="269"/>
      <c r="J1823" s="269"/>
      <c r="K1823" s="269"/>
      <c r="L1823" s="269"/>
      <c r="M1823" s="269"/>
      <c r="N1823" s="269"/>
      <c r="O1823" s="269"/>
      <c r="P1823" s="269"/>
      <c r="Q1823" s="269"/>
      <c r="R1823" s="269"/>
      <c r="S1823" s="269"/>
      <c r="T1823" s="269"/>
      <c r="U1823" s="269"/>
      <c r="V1823" s="269"/>
      <c r="W1823" s="269"/>
      <c r="X1823" s="269"/>
      <c r="Y1823" s="269"/>
      <c r="Z1823" s="269"/>
      <c r="AA1823" s="269"/>
      <c r="AB1823" s="269"/>
      <c r="AC1823" s="269"/>
      <c r="AD1823" s="269"/>
      <c r="AE1823" s="269"/>
      <c r="AF1823" s="269"/>
      <c r="AG1823" s="269"/>
      <c r="AH1823" s="269"/>
      <c r="AI1823" s="269"/>
      <c r="AJ1823" s="269"/>
      <c r="AK1823" s="269"/>
      <c r="AL1823" s="269"/>
      <c r="AM1823" s="269"/>
      <c r="AN1823" s="269"/>
      <c r="AO1823" s="269"/>
      <c r="AP1823" s="269"/>
      <c r="AQ1823" s="269"/>
      <c r="AR1823" s="269"/>
    </row>
    <row r="1824">
      <c r="A1824" s="410"/>
      <c r="B1824" s="410"/>
      <c r="C1824" s="410"/>
      <c r="D1824" s="410"/>
      <c r="E1824" s="410"/>
      <c r="F1824" s="410"/>
      <c r="H1824" s="269"/>
      <c r="I1824" s="269"/>
      <c r="J1824" s="269"/>
      <c r="K1824" s="269"/>
      <c r="L1824" s="269"/>
      <c r="M1824" s="269"/>
      <c r="N1824" s="269"/>
      <c r="O1824" s="269"/>
      <c r="P1824" s="269"/>
      <c r="Q1824" s="269"/>
      <c r="R1824" s="269"/>
      <c r="S1824" s="269"/>
      <c r="T1824" s="269"/>
      <c r="U1824" s="269"/>
      <c r="V1824" s="269"/>
      <c r="W1824" s="269"/>
      <c r="X1824" s="269"/>
      <c r="Y1824" s="269"/>
      <c r="Z1824" s="269"/>
      <c r="AA1824" s="269"/>
      <c r="AB1824" s="269"/>
      <c r="AC1824" s="269"/>
      <c r="AD1824" s="269"/>
      <c r="AE1824" s="269"/>
      <c r="AF1824" s="269"/>
      <c r="AG1824" s="269"/>
      <c r="AH1824" s="269"/>
      <c r="AI1824" s="269"/>
      <c r="AJ1824" s="269"/>
      <c r="AK1824" s="269"/>
      <c r="AL1824" s="269"/>
      <c r="AM1824" s="269"/>
      <c r="AN1824" s="269"/>
      <c r="AO1824" s="269"/>
      <c r="AP1824" s="269"/>
      <c r="AQ1824" s="269"/>
      <c r="AR1824" s="269"/>
    </row>
    <row r="1825">
      <c r="A1825" s="410"/>
      <c r="B1825" s="410"/>
      <c r="C1825" s="410"/>
      <c r="D1825" s="410"/>
      <c r="E1825" s="410"/>
      <c r="F1825" s="410"/>
      <c r="H1825" s="269"/>
      <c r="I1825" s="269"/>
      <c r="J1825" s="269"/>
      <c r="K1825" s="269"/>
      <c r="L1825" s="269"/>
      <c r="M1825" s="269"/>
      <c r="N1825" s="269"/>
      <c r="O1825" s="269"/>
      <c r="P1825" s="269"/>
      <c r="Q1825" s="269"/>
      <c r="R1825" s="269"/>
      <c r="S1825" s="269"/>
      <c r="T1825" s="269"/>
      <c r="U1825" s="269"/>
      <c r="V1825" s="269"/>
      <c r="W1825" s="269"/>
      <c r="X1825" s="269"/>
      <c r="Y1825" s="269"/>
      <c r="Z1825" s="269"/>
      <c r="AA1825" s="269"/>
      <c r="AB1825" s="269"/>
      <c r="AC1825" s="269"/>
      <c r="AD1825" s="269"/>
      <c r="AE1825" s="269"/>
      <c r="AF1825" s="269"/>
      <c r="AG1825" s="269"/>
      <c r="AH1825" s="269"/>
      <c r="AI1825" s="269"/>
      <c r="AJ1825" s="269"/>
      <c r="AK1825" s="269"/>
      <c r="AL1825" s="269"/>
      <c r="AM1825" s="269"/>
      <c r="AN1825" s="269"/>
      <c r="AO1825" s="269"/>
      <c r="AP1825" s="269"/>
      <c r="AQ1825" s="269"/>
      <c r="AR1825" s="269"/>
    </row>
    <row r="1826">
      <c r="A1826" s="410"/>
      <c r="B1826" s="410"/>
      <c r="C1826" s="410"/>
      <c r="D1826" s="410"/>
      <c r="E1826" s="410"/>
      <c r="F1826" s="410"/>
      <c r="H1826" s="269"/>
      <c r="I1826" s="269"/>
      <c r="J1826" s="269"/>
      <c r="K1826" s="269"/>
      <c r="L1826" s="269"/>
      <c r="M1826" s="269"/>
      <c r="N1826" s="269"/>
      <c r="O1826" s="269"/>
      <c r="P1826" s="269"/>
      <c r="Q1826" s="269"/>
      <c r="R1826" s="269"/>
      <c r="S1826" s="269"/>
      <c r="T1826" s="269"/>
      <c r="U1826" s="269"/>
      <c r="V1826" s="269"/>
      <c r="W1826" s="269"/>
      <c r="X1826" s="269"/>
      <c r="Y1826" s="269"/>
      <c r="Z1826" s="269"/>
      <c r="AA1826" s="269"/>
      <c r="AB1826" s="269"/>
      <c r="AC1826" s="269"/>
      <c r="AD1826" s="269"/>
      <c r="AE1826" s="269"/>
      <c r="AF1826" s="269"/>
      <c r="AG1826" s="269"/>
      <c r="AH1826" s="269"/>
      <c r="AI1826" s="269"/>
      <c r="AJ1826" s="269"/>
      <c r="AK1826" s="269"/>
      <c r="AL1826" s="269"/>
      <c r="AM1826" s="269"/>
      <c r="AN1826" s="269"/>
      <c r="AO1826" s="269"/>
      <c r="AP1826" s="269"/>
      <c r="AQ1826" s="269"/>
      <c r="AR1826" s="269"/>
    </row>
    <row r="1827">
      <c r="A1827" s="410"/>
      <c r="B1827" s="410"/>
      <c r="C1827" s="410"/>
      <c r="D1827" s="410"/>
      <c r="E1827" s="410"/>
      <c r="F1827" s="410"/>
      <c r="H1827" s="269"/>
      <c r="I1827" s="269"/>
      <c r="J1827" s="269"/>
      <c r="K1827" s="269"/>
      <c r="L1827" s="269"/>
      <c r="M1827" s="269"/>
      <c r="N1827" s="269"/>
      <c r="O1827" s="269"/>
      <c r="P1827" s="269"/>
      <c r="Q1827" s="269"/>
      <c r="R1827" s="269"/>
      <c r="S1827" s="269"/>
      <c r="T1827" s="269"/>
      <c r="U1827" s="269"/>
      <c r="V1827" s="269"/>
      <c r="W1827" s="269"/>
      <c r="X1827" s="269"/>
      <c r="Y1827" s="269"/>
      <c r="Z1827" s="269"/>
      <c r="AA1827" s="269"/>
      <c r="AB1827" s="269"/>
      <c r="AC1827" s="269"/>
      <c r="AD1827" s="269"/>
      <c r="AE1827" s="269"/>
      <c r="AF1827" s="269"/>
      <c r="AG1827" s="269"/>
      <c r="AH1827" s="269"/>
      <c r="AI1827" s="269"/>
      <c r="AJ1827" s="269"/>
      <c r="AK1827" s="269"/>
      <c r="AL1827" s="269"/>
      <c r="AM1827" s="269"/>
      <c r="AN1827" s="269"/>
      <c r="AO1827" s="269"/>
      <c r="AP1827" s="269"/>
      <c r="AQ1827" s="269"/>
      <c r="AR1827" s="269"/>
    </row>
    <row r="1828">
      <c r="A1828" s="410"/>
      <c r="B1828" s="410"/>
      <c r="C1828" s="410"/>
      <c r="D1828" s="410"/>
      <c r="E1828" s="410"/>
      <c r="F1828" s="410"/>
      <c r="H1828" s="269"/>
      <c r="I1828" s="269"/>
      <c r="J1828" s="269"/>
      <c r="K1828" s="269"/>
      <c r="L1828" s="269"/>
      <c r="M1828" s="269"/>
      <c r="N1828" s="269"/>
      <c r="O1828" s="269"/>
      <c r="P1828" s="269"/>
      <c r="Q1828" s="269"/>
      <c r="R1828" s="269"/>
      <c r="S1828" s="269"/>
      <c r="T1828" s="269"/>
      <c r="U1828" s="269"/>
      <c r="V1828" s="269"/>
      <c r="W1828" s="269"/>
      <c r="X1828" s="269"/>
      <c r="Y1828" s="269"/>
      <c r="Z1828" s="269"/>
      <c r="AA1828" s="269"/>
      <c r="AB1828" s="269"/>
      <c r="AC1828" s="269"/>
      <c r="AD1828" s="269"/>
      <c r="AE1828" s="269"/>
      <c r="AF1828" s="269"/>
      <c r="AG1828" s="269"/>
      <c r="AH1828" s="269"/>
      <c r="AI1828" s="269"/>
      <c r="AJ1828" s="269"/>
      <c r="AK1828" s="269"/>
      <c r="AL1828" s="269"/>
      <c r="AM1828" s="269"/>
      <c r="AN1828" s="269"/>
      <c r="AO1828" s="269"/>
      <c r="AP1828" s="269"/>
      <c r="AQ1828" s="269"/>
      <c r="AR1828" s="269"/>
    </row>
    <row r="1829">
      <c r="A1829" s="410"/>
      <c r="B1829" s="410"/>
      <c r="C1829" s="410"/>
      <c r="D1829" s="410"/>
      <c r="E1829" s="410"/>
      <c r="F1829" s="410"/>
      <c r="H1829" s="269"/>
      <c r="I1829" s="269"/>
      <c r="J1829" s="269"/>
      <c r="K1829" s="269"/>
      <c r="L1829" s="269"/>
      <c r="M1829" s="269"/>
      <c r="N1829" s="269"/>
      <c r="O1829" s="269"/>
      <c r="P1829" s="269"/>
      <c r="Q1829" s="269"/>
      <c r="R1829" s="269"/>
      <c r="S1829" s="269"/>
      <c r="T1829" s="269"/>
      <c r="U1829" s="269"/>
      <c r="V1829" s="269"/>
      <c r="W1829" s="269"/>
      <c r="X1829" s="269"/>
      <c r="Y1829" s="269"/>
      <c r="Z1829" s="269"/>
      <c r="AA1829" s="269"/>
      <c r="AB1829" s="269"/>
      <c r="AC1829" s="269"/>
      <c r="AD1829" s="269"/>
      <c r="AE1829" s="269"/>
      <c r="AF1829" s="269"/>
      <c r="AG1829" s="269"/>
      <c r="AH1829" s="269"/>
      <c r="AI1829" s="269"/>
      <c r="AJ1829" s="269"/>
      <c r="AK1829" s="269"/>
      <c r="AL1829" s="269"/>
      <c r="AM1829" s="269"/>
      <c r="AN1829" s="269"/>
      <c r="AO1829" s="269"/>
      <c r="AP1829" s="269"/>
      <c r="AQ1829" s="269"/>
      <c r="AR1829" s="269"/>
    </row>
    <row r="1830">
      <c r="A1830" s="410"/>
      <c r="B1830" s="410"/>
      <c r="C1830" s="410"/>
      <c r="D1830" s="410"/>
      <c r="E1830" s="410"/>
      <c r="F1830" s="410"/>
      <c r="H1830" s="269"/>
      <c r="I1830" s="269"/>
      <c r="J1830" s="269"/>
      <c r="K1830" s="269"/>
      <c r="L1830" s="269"/>
      <c r="M1830" s="269"/>
      <c r="N1830" s="269"/>
      <c r="O1830" s="269"/>
      <c r="P1830" s="269"/>
      <c r="Q1830" s="269"/>
      <c r="R1830" s="269"/>
      <c r="S1830" s="269"/>
      <c r="T1830" s="269"/>
      <c r="U1830" s="269"/>
      <c r="V1830" s="269"/>
      <c r="W1830" s="269"/>
      <c r="X1830" s="269"/>
      <c r="Y1830" s="269"/>
      <c r="Z1830" s="269"/>
      <c r="AA1830" s="269"/>
      <c r="AB1830" s="269"/>
      <c r="AC1830" s="269"/>
      <c r="AD1830" s="269"/>
      <c r="AE1830" s="269"/>
      <c r="AF1830" s="269"/>
      <c r="AG1830" s="269"/>
      <c r="AH1830" s="269"/>
      <c r="AI1830" s="269"/>
      <c r="AJ1830" s="269"/>
      <c r="AK1830" s="269"/>
      <c r="AL1830" s="269"/>
      <c r="AM1830" s="269"/>
      <c r="AN1830" s="269"/>
      <c r="AO1830" s="269"/>
      <c r="AP1830" s="269"/>
      <c r="AQ1830" s="269"/>
      <c r="AR1830" s="269"/>
    </row>
    <row r="1831">
      <c r="A1831" s="410"/>
      <c r="B1831" s="410"/>
      <c r="C1831" s="410"/>
      <c r="D1831" s="410"/>
      <c r="E1831" s="410"/>
      <c r="F1831" s="410"/>
      <c r="H1831" s="269"/>
      <c r="I1831" s="269"/>
      <c r="J1831" s="269"/>
      <c r="K1831" s="269"/>
      <c r="L1831" s="269"/>
      <c r="M1831" s="269"/>
      <c r="N1831" s="269"/>
      <c r="O1831" s="269"/>
      <c r="P1831" s="269"/>
      <c r="Q1831" s="269"/>
      <c r="R1831" s="269"/>
      <c r="S1831" s="269"/>
      <c r="T1831" s="269"/>
      <c r="U1831" s="269"/>
      <c r="V1831" s="269"/>
      <c r="W1831" s="269"/>
      <c r="X1831" s="269"/>
      <c r="Y1831" s="269"/>
      <c r="Z1831" s="269"/>
      <c r="AA1831" s="269"/>
      <c r="AB1831" s="269"/>
      <c r="AC1831" s="269"/>
      <c r="AD1831" s="269"/>
      <c r="AE1831" s="269"/>
      <c r="AF1831" s="269"/>
      <c r="AG1831" s="269"/>
      <c r="AH1831" s="269"/>
      <c r="AI1831" s="269"/>
      <c r="AJ1831" s="269"/>
      <c r="AK1831" s="269"/>
      <c r="AL1831" s="269"/>
      <c r="AM1831" s="269"/>
      <c r="AN1831" s="269"/>
      <c r="AO1831" s="269"/>
      <c r="AP1831" s="269"/>
      <c r="AQ1831" s="269"/>
      <c r="AR1831" s="269"/>
    </row>
    <row r="1832">
      <c r="A1832" s="410"/>
      <c r="B1832" s="410"/>
      <c r="C1832" s="410"/>
      <c r="D1832" s="410"/>
      <c r="E1832" s="410"/>
      <c r="F1832" s="410"/>
      <c r="H1832" s="269"/>
      <c r="I1832" s="269"/>
      <c r="J1832" s="269"/>
      <c r="K1832" s="269"/>
      <c r="L1832" s="269"/>
      <c r="M1832" s="269"/>
      <c r="N1832" s="269"/>
      <c r="O1832" s="269"/>
      <c r="P1832" s="269"/>
      <c r="Q1832" s="269"/>
      <c r="R1832" s="269"/>
      <c r="S1832" s="269"/>
      <c r="T1832" s="269"/>
      <c r="U1832" s="269"/>
      <c r="V1832" s="269"/>
      <c r="W1832" s="269"/>
      <c r="X1832" s="269"/>
      <c r="Y1832" s="269"/>
      <c r="Z1832" s="269"/>
      <c r="AA1832" s="269"/>
      <c r="AB1832" s="269"/>
      <c r="AC1832" s="269"/>
      <c r="AD1832" s="269"/>
      <c r="AE1832" s="269"/>
      <c r="AF1832" s="269"/>
      <c r="AG1832" s="269"/>
      <c r="AH1832" s="269"/>
      <c r="AI1832" s="269"/>
      <c r="AJ1832" s="269"/>
      <c r="AK1832" s="269"/>
      <c r="AL1832" s="269"/>
      <c r="AM1832" s="269"/>
      <c r="AN1832" s="269"/>
      <c r="AO1832" s="269"/>
      <c r="AP1832" s="269"/>
      <c r="AQ1832" s="269"/>
      <c r="AR1832" s="269"/>
    </row>
    <row r="1833">
      <c r="A1833" s="410"/>
      <c r="B1833" s="410"/>
      <c r="C1833" s="410"/>
      <c r="D1833" s="410"/>
      <c r="E1833" s="410"/>
      <c r="F1833" s="410"/>
      <c r="H1833" s="269"/>
      <c r="I1833" s="269"/>
      <c r="J1833" s="269"/>
      <c r="K1833" s="269"/>
      <c r="L1833" s="269"/>
      <c r="M1833" s="269"/>
      <c r="N1833" s="269"/>
      <c r="O1833" s="269"/>
      <c r="P1833" s="269"/>
      <c r="Q1833" s="269"/>
      <c r="R1833" s="269"/>
      <c r="S1833" s="269"/>
      <c r="T1833" s="269"/>
      <c r="U1833" s="269"/>
      <c r="V1833" s="269"/>
      <c r="W1833" s="269"/>
      <c r="X1833" s="269"/>
      <c r="Y1833" s="269"/>
      <c r="Z1833" s="269"/>
      <c r="AA1833" s="269"/>
      <c r="AB1833" s="269"/>
      <c r="AC1833" s="269"/>
      <c r="AD1833" s="269"/>
      <c r="AE1833" s="269"/>
      <c r="AF1833" s="269"/>
      <c r="AG1833" s="269"/>
      <c r="AH1833" s="269"/>
      <c r="AI1833" s="269"/>
      <c r="AJ1833" s="269"/>
      <c r="AK1833" s="269"/>
      <c r="AL1833" s="269"/>
      <c r="AM1833" s="269"/>
      <c r="AN1833" s="269"/>
      <c r="AO1833" s="269"/>
      <c r="AP1833" s="269"/>
      <c r="AQ1833" s="269"/>
      <c r="AR1833" s="269"/>
    </row>
    <row r="1834">
      <c r="A1834" s="410"/>
      <c r="B1834" s="410"/>
      <c r="C1834" s="410"/>
      <c r="D1834" s="410"/>
      <c r="E1834" s="410"/>
      <c r="F1834" s="410"/>
      <c r="H1834" s="269"/>
      <c r="I1834" s="269"/>
      <c r="J1834" s="269"/>
      <c r="K1834" s="269"/>
      <c r="L1834" s="269"/>
      <c r="M1834" s="269"/>
      <c r="N1834" s="269"/>
      <c r="O1834" s="269"/>
      <c r="P1834" s="269"/>
      <c r="Q1834" s="269"/>
      <c r="R1834" s="269"/>
      <c r="S1834" s="269"/>
      <c r="T1834" s="269"/>
      <c r="U1834" s="269"/>
      <c r="V1834" s="269"/>
      <c r="W1834" s="269"/>
      <c r="X1834" s="269"/>
      <c r="Y1834" s="269"/>
      <c r="Z1834" s="269"/>
      <c r="AA1834" s="269"/>
      <c r="AB1834" s="269"/>
      <c r="AC1834" s="269"/>
      <c r="AD1834" s="269"/>
      <c r="AE1834" s="269"/>
      <c r="AF1834" s="269"/>
      <c r="AG1834" s="269"/>
      <c r="AH1834" s="269"/>
      <c r="AI1834" s="269"/>
      <c r="AJ1834" s="269"/>
      <c r="AK1834" s="269"/>
      <c r="AL1834" s="269"/>
      <c r="AM1834" s="269"/>
      <c r="AN1834" s="269"/>
      <c r="AO1834" s="269"/>
      <c r="AP1834" s="269"/>
      <c r="AQ1834" s="269"/>
      <c r="AR1834" s="269"/>
    </row>
    <row r="1835">
      <c r="A1835" s="410"/>
      <c r="B1835" s="410"/>
      <c r="C1835" s="410"/>
      <c r="D1835" s="410"/>
      <c r="E1835" s="410"/>
      <c r="F1835" s="410"/>
      <c r="H1835" s="269"/>
      <c r="I1835" s="269"/>
      <c r="J1835" s="269"/>
      <c r="K1835" s="269"/>
      <c r="L1835" s="269"/>
      <c r="M1835" s="269"/>
      <c r="N1835" s="269"/>
      <c r="O1835" s="269"/>
      <c r="P1835" s="269"/>
      <c r="Q1835" s="269"/>
      <c r="R1835" s="269"/>
      <c r="S1835" s="269"/>
      <c r="T1835" s="269"/>
      <c r="U1835" s="269"/>
      <c r="V1835" s="269"/>
      <c r="W1835" s="269"/>
      <c r="X1835" s="269"/>
      <c r="Y1835" s="269"/>
      <c r="Z1835" s="269"/>
      <c r="AA1835" s="269"/>
      <c r="AB1835" s="269"/>
      <c r="AC1835" s="269"/>
      <c r="AD1835" s="269"/>
      <c r="AE1835" s="269"/>
      <c r="AF1835" s="269"/>
      <c r="AG1835" s="269"/>
      <c r="AH1835" s="269"/>
      <c r="AI1835" s="269"/>
      <c r="AJ1835" s="269"/>
      <c r="AK1835" s="269"/>
      <c r="AL1835" s="269"/>
      <c r="AM1835" s="269"/>
      <c r="AN1835" s="269"/>
      <c r="AO1835" s="269"/>
      <c r="AP1835" s="269"/>
      <c r="AQ1835" s="269"/>
      <c r="AR1835" s="269"/>
    </row>
    <row r="1836">
      <c r="A1836" s="410"/>
      <c r="B1836" s="410"/>
      <c r="C1836" s="410"/>
      <c r="D1836" s="410"/>
      <c r="E1836" s="410"/>
      <c r="F1836" s="410"/>
      <c r="H1836" s="269"/>
      <c r="I1836" s="269"/>
      <c r="J1836" s="269"/>
      <c r="K1836" s="269"/>
      <c r="L1836" s="269"/>
      <c r="M1836" s="269"/>
      <c r="N1836" s="269"/>
      <c r="O1836" s="269"/>
      <c r="P1836" s="269"/>
      <c r="Q1836" s="269"/>
      <c r="R1836" s="269"/>
      <c r="S1836" s="269"/>
      <c r="T1836" s="269"/>
      <c r="U1836" s="269"/>
      <c r="V1836" s="269"/>
      <c r="W1836" s="269"/>
      <c r="X1836" s="269"/>
      <c r="Y1836" s="269"/>
      <c r="Z1836" s="269"/>
      <c r="AA1836" s="269"/>
      <c r="AB1836" s="269"/>
      <c r="AC1836" s="269"/>
      <c r="AD1836" s="269"/>
      <c r="AE1836" s="269"/>
      <c r="AF1836" s="269"/>
      <c r="AG1836" s="269"/>
      <c r="AH1836" s="269"/>
      <c r="AI1836" s="269"/>
      <c r="AJ1836" s="269"/>
      <c r="AK1836" s="269"/>
      <c r="AL1836" s="269"/>
      <c r="AM1836" s="269"/>
      <c r="AN1836" s="269"/>
      <c r="AO1836" s="269"/>
      <c r="AP1836" s="269"/>
      <c r="AQ1836" s="269"/>
      <c r="AR1836" s="269"/>
    </row>
    <row r="1837">
      <c r="A1837" s="410"/>
      <c r="B1837" s="410"/>
      <c r="C1837" s="410"/>
      <c r="D1837" s="410"/>
      <c r="E1837" s="410"/>
      <c r="F1837" s="410"/>
      <c r="H1837" s="269"/>
      <c r="I1837" s="269"/>
      <c r="J1837" s="269"/>
      <c r="K1837" s="269"/>
      <c r="L1837" s="269"/>
      <c r="M1837" s="269"/>
      <c r="N1837" s="269"/>
      <c r="O1837" s="269"/>
      <c r="P1837" s="269"/>
      <c r="Q1837" s="269"/>
      <c r="R1837" s="269"/>
      <c r="S1837" s="269"/>
      <c r="T1837" s="269"/>
      <c r="U1837" s="269"/>
      <c r="V1837" s="269"/>
      <c r="W1837" s="269"/>
      <c r="X1837" s="269"/>
      <c r="Y1837" s="269"/>
      <c r="Z1837" s="269"/>
      <c r="AA1837" s="269"/>
      <c r="AB1837" s="269"/>
      <c r="AC1837" s="269"/>
      <c r="AD1837" s="269"/>
      <c r="AE1837" s="269"/>
      <c r="AF1837" s="269"/>
      <c r="AG1837" s="269"/>
      <c r="AH1837" s="269"/>
      <c r="AI1837" s="269"/>
      <c r="AJ1837" s="269"/>
      <c r="AK1837" s="269"/>
      <c r="AL1837" s="269"/>
      <c r="AM1837" s="269"/>
      <c r="AN1837" s="269"/>
      <c r="AO1837" s="269"/>
      <c r="AP1837" s="269"/>
      <c r="AQ1837" s="269"/>
      <c r="AR1837" s="269"/>
    </row>
    <row r="1838">
      <c r="A1838" s="410"/>
      <c r="B1838" s="410"/>
      <c r="C1838" s="410"/>
      <c r="D1838" s="410"/>
      <c r="E1838" s="410"/>
      <c r="F1838" s="410"/>
      <c r="H1838" s="269"/>
      <c r="I1838" s="269"/>
      <c r="J1838" s="269"/>
      <c r="K1838" s="269"/>
      <c r="L1838" s="269"/>
      <c r="M1838" s="269"/>
      <c r="N1838" s="269"/>
      <c r="O1838" s="269"/>
      <c r="P1838" s="269"/>
      <c r="Q1838" s="269"/>
      <c r="R1838" s="269"/>
      <c r="S1838" s="269"/>
      <c r="T1838" s="269"/>
      <c r="U1838" s="269"/>
      <c r="V1838" s="269"/>
      <c r="W1838" s="269"/>
      <c r="X1838" s="269"/>
      <c r="Y1838" s="269"/>
      <c r="Z1838" s="269"/>
      <c r="AA1838" s="269"/>
      <c r="AB1838" s="269"/>
      <c r="AC1838" s="269"/>
      <c r="AD1838" s="269"/>
      <c r="AE1838" s="269"/>
      <c r="AF1838" s="269"/>
      <c r="AG1838" s="269"/>
      <c r="AH1838" s="269"/>
      <c r="AI1838" s="269"/>
      <c r="AJ1838" s="269"/>
      <c r="AK1838" s="269"/>
      <c r="AL1838" s="269"/>
      <c r="AM1838" s="269"/>
      <c r="AN1838" s="269"/>
      <c r="AO1838" s="269"/>
      <c r="AP1838" s="269"/>
      <c r="AQ1838" s="269"/>
      <c r="AR1838" s="269"/>
    </row>
    <row r="1839">
      <c r="A1839" s="410"/>
      <c r="B1839" s="410"/>
      <c r="C1839" s="410"/>
      <c r="D1839" s="410"/>
      <c r="E1839" s="410"/>
      <c r="F1839" s="410"/>
      <c r="H1839" s="269"/>
      <c r="I1839" s="269"/>
      <c r="J1839" s="269"/>
      <c r="K1839" s="269"/>
      <c r="L1839" s="269"/>
      <c r="M1839" s="269"/>
      <c r="N1839" s="269"/>
      <c r="O1839" s="269"/>
      <c r="P1839" s="269"/>
      <c r="Q1839" s="269"/>
      <c r="R1839" s="269"/>
      <c r="S1839" s="269"/>
      <c r="T1839" s="269"/>
      <c r="U1839" s="269"/>
      <c r="V1839" s="269"/>
      <c r="W1839" s="269"/>
      <c r="X1839" s="269"/>
      <c r="Y1839" s="269"/>
      <c r="Z1839" s="269"/>
      <c r="AA1839" s="269"/>
      <c r="AB1839" s="269"/>
      <c r="AC1839" s="269"/>
      <c r="AD1839" s="269"/>
      <c r="AE1839" s="269"/>
      <c r="AF1839" s="269"/>
      <c r="AG1839" s="269"/>
      <c r="AH1839" s="269"/>
      <c r="AI1839" s="269"/>
      <c r="AJ1839" s="269"/>
      <c r="AK1839" s="269"/>
      <c r="AL1839" s="269"/>
      <c r="AM1839" s="269"/>
      <c r="AN1839" s="269"/>
      <c r="AO1839" s="269"/>
      <c r="AP1839" s="269"/>
      <c r="AQ1839" s="269"/>
      <c r="AR1839" s="269"/>
    </row>
    <row r="1840">
      <c r="A1840" s="410"/>
      <c r="B1840" s="410"/>
      <c r="C1840" s="410"/>
      <c r="D1840" s="410"/>
      <c r="E1840" s="410"/>
      <c r="F1840" s="410"/>
      <c r="H1840" s="269"/>
      <c r="I1840" s="269"/>
      <c r="J1840" s="269"/>
      <c r="K1840" s="269"/>
      <c r="L1840" s="269"/>
      <c r="M1840" s="269"/>
      <c r="N1840" s="269"/>
      <c r="O1840" s="269"/>
      <c r="P1840" s="269"/>
      <c r="Q1840" s="269"/>
      <c r="R1840" s="269"/>
      <c r="S1840" s="269"/>
      <c r="T1840" s="269"/>
      <c r="U1840" s="269"/>
      <c r="V1840" s="269"/>
      <c r="W1840" s="269"/>
      <c r="X1840" s="269"/>
      <c r="Y1840" s="269"/>
      <c r="Z1840" s="269"/>
      <c r="AA1840" s="269"/>
      <c r="AB1840" s="269"/>
      <c r="AC1840" s="269"/>
      <c r="AD1840" s="269"/>
      <c r="AE1840" s="269"/>
      <c r="AF1840" s="269"/>
      <c r="AG1840" s="269"/>
      <c r="AH1840" s="269"/>
      <c r="AI1840" s="269"/>
      <c r="AJ1840" s="269"/>
      <c r="AK1840" s="269"/>
      <c r="AL1840" s="269"/>
      <c r="AM1840" s="269"/>
      <c r="AN1840" s="269"/>
      <c r="AO1840" s="269"/>
      <c r="AP1840" s="269"/>
      <c r="AQ1840" s="269"/>
      <c r="AR1840" s="269"/>
    </row>
    <row r="1841">
      <c r="A1841" s="410"/>
      <c r="B1841" s="410"/>
      <c r="C1841" s="410"/>
      <c r="D1841" s="410"/>
      <c r="E1841" s="410"/>
      <c r="F1841" s="410"/>
      <c r="H1841" s="269"/>
      <c r="I1841" s="269"/>
      <c r="J1841" s="269"/>
      <c r="K1841" s="269"/>
      <c r="L1841" s="269"/>
      <c r="M1841" s="269"/>
      <c r="N1841" s="269"/>
      <c r="O1841" s="269"/>
      <c r="P1841" s="269"/>
      <c r="Q1841" s="269"/>
      <c r="R1841" s="269"/>
      <c r="S1841" s="269"/>
      <c r="T1841" s="269"/>
      <c r="U1841" s="269"/>
      <c r="V1841" s="269"/>
      <c r="W1841" s="269"/>
      <c r="X1841" s="269"/>
      <c r="Y1841" s="269"/>
      <c r="Z1841" s="269"/>
      <c r="AA1841" s="269"/>
      <c r="AB1841" s="269"/>
      <c r="AC1841" s="269"/>
      <c r="AD1841" s="269"/>
      <c r="AE1841" s="269"/>
      <c r="AF1841" s="269"/>
      <c r="AG1841" s="269"/>
      <c r="AH1841" s="269"/>
      <c r="AI1841" s="269"/>
      <c r="AJ1841" s="269"/>
      <c r="AK1841" s="269"/>
      <c r="AL1841" s="269"/>
      <c r="AM1841" s="269"/>
      <c r="AN1841" s="269"/>
      <c r="AO1841" s="269"/>
      <c r="AP1841" s="269"/>
      <c r="AQ1841" s="269"/>
      <c r="AR1841" s="269"/>
    </row>
    <row r="1842">
      <c r="A1842" s="410"/>
      <c r="B1842" s="410"/>
      <c r="C1842" s="410"/>
      <c r="D1842" s="410"/>
      <c r="E1842" s="410"/>
      <c r="F1842" s="410"/>
      <c r="H1842" s="269"/>
      <c r="I1842" s="269"/>
      <c r="J1842" s="269"/>
      <c r="K1842" s="269"/>
      <c r="L1842" s="269"/>
      <c r="M1842" s="269"/>
      <c r="N1842" s="269"/>
      <c r="O1842" s="269"/>
      <c r="P1842" s="269"/>
      <c r="Q1842" s="269"/>
      <c r="R1842" s="269"/>
      <c r="S1842" s="269"/>
      <c r="T1842" s="269"/>
      <c r="U1842" s="269"/>
      <c r="V1842" s="269"/>
      <c r="W1842" s="269"/>
      <c r="X1842" s="269"/>
      <c r="Y1842" s="269"/>
      <c r="Z1842" s="269"/>
      <c r="AA1842" s="269"/>
      <c r="AB1842" s="269"/>
      <c r="AC1842" s="269"/>
      <c r="AD1842" s="269"/>
      <c r="AE1842" s="269"/>
      <c r="AF1842" s="269"/>
      <c r="AG1842" s="269"/>
      <c r="AH1842" s="269"/>
      <c r="AI1842" s="269"/>
      <c r="AJ1842" s="269"/>
      <c r="AK1842" s="269"/>
      <c r="AL1842" s="269"/>
      <c r="AM1842" s="269"/>
      <c r="AN1842" s="269"/>
      <c r="AO1842" s="269"/>
      <c r="AP1842" s="269"/>
      <c r="AQ1842" s="269"/>
      <c r="AR1842" s="269"/>
    </row>
    <row r="1843">
      <c r="A1843" s="410"/>
      <c r="B1843" s="410"/>
      <c r="C1843" s="410"/>
      <c r="D1843" s="410"/>
      <c r="E1843" s="410"/>
      <c r="F1843" s="410"/>
      <c r="H1843" s="269"/>
      <c r="I1843" s="269"/>
      <c r="J1843" s="269"/>
      <c r="K1843" s="269"/>
      <c r="L1843" s="269"/>
      <c r="M1843" s="269"/>
      <c r="N1843" s="269"/>
      <c r="O1843" s="269"/>
      <c r="P1843" s="269"/>
      <c r="Q1843" s="269"/>
      <c r="R1843" s="269"/>
      <c r="S1843" s="269"/>
      <c r="T1843" s="269"/>
      <c r="U1843" s="269"/>
      <c r="V1843" s="269"/>
      <c r="W1843" s="269"/>
      <c r="X1843" s="269"/>
      <c r="Y1843" s="269"/>
      <c r="Z1843" s="269"/>
      <c r="AA1843" s="269"/>
      <c r="AB1843" s="269"/>
      <c r="AC1843" s="269"/>
      <c r="AD1843" s="269"/>
      <c r="AE1843" s="269"/>
      <c r="AF1843" s="269"/>
      <c r="AG1843" s="269"/>
      <c r="AH1843" s="269"/>
      <c r="AI1843" s="269"/>
      <c r="AJ1843" s="269"/>
      <c r="AK1843" s="269"/>
      <c r="AL1843" s="269"/>
      <c r="AM1843" s="269"/>
      <c r="AN1843" s="269"/>
      <c r="AO1843" s="269"/>
      <c r="AP1843" s="269"/>
      <c r="AQ1843" s="269"/>
      <c r="AR1843" s="269"/>
    </row>
    <row r="1844">
      <c r="A1844" s="410"/>
      <c r="B1844" s="410"/>
      <c r="C1844" s="410"/>
      <c r="D1844" s="410"/>
      <c r="E1844" s="410"/>
      <c r="F1844" s="410"/>
      <c r="H1844" s="269"/>
      <c r="I1844" s="269"/>
      <c r="J1844" s="269"/>
      <c r="K1844" s="269"/>
      <c r="L1844" s="269"/>
      <c r="M1844" s="269"/>
      <c r="N1844" s="269"/>
      <c r="O1844" s="269"/>
      <c r="P1844" s="269"/>
      <c r="Q1844" s="269"/>
      <c r="R1844" s="269"/>
      <c r="S1844" s="269"/>
      <c r="T1844" s="269"/>
      <c r="U1844" s="269"/>
      <c r="V1844" s="269"/>
      <c r="W1844" s="269"/>
      <c r="X1844" s="269"/>
      <c r="Y1844" s="269"/>
      <c r="Z1844" s="269"/>
      <c r="AA1844" s="269"/>
      <c r="AB1844" s="269"/>
      <c r="AC1844" s="269"/>
      <c r="AD1844" s="269"/>
      <c r="AE1844" s="269"/>
      <c r="AF1844" s="269"/>
      <c r="AG1844" s="269"/>
      <c r="AH1844" s="269"/>
      <c r="AI1844" s="269"/>
      <c r="AJ1844" s="269"/>
      <c r="AK1844" s="269"/>
      <c r="AL1844" s="269"/>
      <c r="AM1844" s="269"/>
      <c r="AN1844" s="269"/>
      <c r="AO1844" s="269"/>
      <c r="AP1844" s="269"/>
      <c r="AQ1844" s="269"/>
      <c r="AR1844" s="269"/>
    </row>
    <row r="1845">
      <c r="A1845" s="410"/>
      <c r="B1845" s="410"/>
      <c r="C1845" s="410"/>
      <c r="D1845" s="410"/>
      <c r="E1845" s="410"/>
      <c r="F1845" s="410"/>
      <c r="H1845" s="269"/>
      <c r="I1845" s="269"/>
      <c r="J1845" s="269"/>
      <c r="K1845" s="269"/>
      <c r="L1845" s="269"/>
      <c r="M1845" s="269"/>
      <c r="N1845" s="269"/>
      <c r="O1845" s="269"/>
      <c r="P1845" s="269"/>
      <c r="Q1845" s="269"/>
      <c r="R1845" s="269"/>
      <c r="S1845" s="269"/>
      <c r="T1845" s="269"/>
      <c r="U1845" s="269"/>
      <c r="V1845" s="269"/>
      <c r="W1845" s="269"/>
      <c r="X1845" s="269"/>
      <c r="Y1845" s="269"/>
      <c r="Z1845" s="269"/>
      <c r="AA1845" s="269"/>
      <c r="AB1845" s="269"/>
      <c r="AC1845" s="269"/>
      <c r="AD1845" s="269"/>
      <c r="AE1845" s="269"/>
      <c r="AF1845" s="269"/>
      <c r="AG1845" s="269"/>
      <c r="AH1845" s="269"/>
      <c r="AI1845" s="269"/>
      <c r="AJ1845" s="269"/>
      <c r="AK1845" s="269"/>
      <c r="AL1845" s="269"/>
      <c r="AM1845" s="269"/>
      <c r="AN1845" s="269"/>
      <c r="AO1845" s="269"/>
      <c r="AP1845" s="269"/>
      <c r="AQ1845" s="269"/>
      <c r="AR1845" s="269"/>
    </row>
    <row r="1846">
      <c r="A1846" s="410"/>
      <c r="B1846" s="410"/>
      <c r="C1846" s="410"/>
      <c r="D1846" s="410"/>
      <c r="E1846" s="410"/>
      <c r="F1846" s="410"/>
      <c r="H1846" s="269"/>
      <c r="I1846" s="269"/>
      <c r="J1846" s="269"/>
      <c r="K1846" s="269"/>
      <c r="L1846" s="269"/>
      <c r="M1846" s="269"/>
      <c r="N1846" s="269"/>
      <c r="O1846" s="269"/>
      <c r="P1846" s="269"/>
      <c r="Q1846" s="269"/>
      <c r="R1846" s="269"/>
      <c r="S1846" s="269"/>
      <c r="T1846" s="269"/>
      <c r="U1846" s="269"/>
      <c r="V1846" s="269"/>
      <c r="W1846" s="269"/>
      <c r="X1846" s="269"/>
      <c r="Y1846" s="269"/>
      <c r="Z1846" s="269"/>
      <c r="AA1846" s="269"/>
      <c r="AB1846" s="269"/>
      <c r="AC1846" s="269"/>
      <c r="AD1846" s="269"/>
      <c r="AE1846" s="269"/>
      <c r="AF1846" s="269"/>
      <c r="AG1846" s="269"/>
      <c r="AH1846" s="269"/>
      <c r="AI1846" s="269"/>
      <c r="AJ1846" s="269"/>
      <c r="AK1846" s="269"/>
      <c r="AL1846" s="269"/>
      <c r="AM1846" s="269"/>
      <c r="AN1846" s="269"/>
      <c r="AO1846" s="269"/>
      <c r="AP1846" s="269"/>
      <c r="AQ1846" s="269"/>
      <c r="AR1846" s="269"/>
    </row>
    <row r="1847">
      <c r="A1847" s="410"/>
      <c r="B1847" s="410"/>
      <c r="C1847" s="410"/>
      <c r="D1847" s="410"/>
      <c r="E1847" s="410"/>
      <c r="F1847" s="410"/>
      <c r="H1847" s="269"/>
      <c r="I1847" s="269"/>
      <c r="J1847" s="269"/>
      <c r="K1847" s="269"/>
      <c r="L1847" s="269"/>
      <c r="M1847" s="269"/>
      <c r="N1847" s="269"/>
      <c r="O1847" s="269"/>
      <c r="P1847" s="269"/>
      <c r="Q1847" s="269"/>
      <c r="R1847" s="269"/>
      <c r="S1847" s="269"/>
      <c r="T1847" s="269"/>
      <c r="U1847" s="269"/>
      <c r="V1847" s="269"/>
      <c r="W1847" s="269"/>
      <c r="X1847" s="269"/>
      <c r="Y1847" s="269"/>
      <c r="Z1847" s="269"/>
      <c r="AA1847" s="269"/>
      <c r="AB1847" s="269"/>
      <c r="AC1847" s="269"/>
      <c r="AD1847" s="269"/>
      <c r="AE1847" s="269"/>
      <c r="AF1847" s="269"/>
      <c r="AG1847" s="269"/>
      <c r="AH1847" s="269"/>
      <c r="AI1847" s="269"/>
      <c r="AJ1847" s="269"/>
      <c r="AK1847" s="269"/>
      <c r="AL1847" s="269"/>
      <c r="AM1847" s="269"/>
      <c r="AN1847" s="269"/>
      <c r="AO1847" s="269"/>
      <c r="AP1847" s="269"/>
      <c r="AQ1847" s="269"/>
      <c r="AR1847" s="269"/>
    </row>
    <row r="1848">
      <c r="A1848" s="410"/>
      <c r="B1848" s="410"/>
      <c r="C1848" s="410"/>
      <c r="D1848" s="410"/>
      <c r="E1848" s="410"/>
      <c r="F1848" s="410"/>
      <c r="H1848" s="269"/>
      <c r="I1848" s="269"/>
      <c r="J1848" s="269"/>
      <c r="K1848" s="269"/>
      <c r="L1848" s="269"/>
      <c r="M1848" s="269"/>
      <c r="N1848" s="269"/>
      <c r="O1848" s="269"/>
      <c r="P1848" s="269"/>
      <c r="Q1848" s="269"/>
      <c r="R1848" s="269"/>
      <c r="S1848" s="269"/>
      <c r="T1848" s="269"/>
      <c r="U1848" s="269"/>
      <c r="V1848" s="269"/>
      <c r="W1848" s="269"/>
      <c r="X1848" s="269"/>
      <c r="Y1848" s="269"/>
      <c r="Z1848" s="269"/>
      <c r="AA1848" s="269"/>
      <c r="AB1848" s="269"/>
      <c r="AC1848" s="269"/>
      <c r="AD1848" s="269"/>
      <c r="AE1848" s="269"/>
      <c r="AF1848" s="269"/>
      <c r="AG1848" s="269"/>
      <c r="AH1848" s="269"/>
      <c r="AI1848" s="269"/>
      <c r="AJ1848" s="269"/>
      <c r="AK1848" s="269"/>
      <c r="AL1848" s="269"/>
      <c r="AM1848" s="269"/>
      <c r="AN1848" s="269"/>
      <c r="AO1848" s="269"/>
      <c r="AP1848" s="269"/>
      <c r="AQ1848" s="269"/>
      <c r="AR1848" s="269"/>
    </row>
    <row r="1849">
      <c r="A1849" s="410"/>
      <c r="B1849" s="410"/>
      <c r="C1849" s="410"/>
      <c r="D1849" s="410"/>
      <c r="E1849" s="410"/>
      <c r="F1849" s="410"/>
      <c r="H1849" s="269"/>
      <c r="I1849" s="269"/>
      <c r="J1849" s="269"/>
      <c r="K1849" s="269"/>
      <c r="L1849" s="269"/>
      <c r="M1849" s="269"/>
      <c r="N1849" s="269"/>
      <c r="O1849" s="269"/>
      <c r="P1849" s="269"/>
      <c r="Q1849" s="269"/>
      <c r="R1849" s="269"/>
      <c r="S1849" s="269"/>
      <c r="T1849" s="269"/>
      <c r="U1849" s="269"/>
      <c r="V1849" s="269"/>
      <c r="W1849" s="269"/>
      <c r="X1849" s="269"/>
      <c r="Y1849" s="269"/>
      <c r="Z1849" s="269"/>
      <c r="AA1849" s="269"/>
      <c r="AB1849" s="269"/>
      <c r="AC1849" s="269"/>
      <c r="AD1849" s="269"/>
      <c r="AE1849" s="269"/>
      <c r="AF1849" s="269"/>
      <c r="AG1849" s="269"/>
      <c r="AH1849" s="269"/>
      <c r="AI1849" s="269"/>
      <c r="AJ1849" s="269"/>
      <c r="AK1849" s="269"/>
      <c r="AL1849" s="269"/>
      <c r="AM1849" s="269"/>
      <c r="AN1849" s="269"/>
      <c r="AO1849" s="269"/>
      <c r="AP1849" s="269"/>
      <c r="AQ1849" s="269"/>
      <c r="AR1849" s="269"/>
    </row>
    <row r="1850">
      <c r="A1850" s="410"/>
      <c r="B1850" s="410"/>
      <c r="C1850" s="410"/>
      <c r="D1850" s="410"/>
      <c r="E1850" s="410"/>
      <c r="F1850" s="410"/>
      <c r="H1850" s="269"/>
      <c r="I1850" s="269"/>
      <c r="J1850" s="269"/>
      <c r="K1850" s="269"/>
      <c r="L1850" s="269"/>
      <c r="M1850" s="269"/>
      <c r="N1850" s="269"/>
      <c r="O1850" s="269"/>
      <c r="P1850" s="269"/>
      <c r="Q1850" s="269"/>
      <c r="R1850" s="269"/>
      <c r="S1850" s="269"/>
      <c r="T1850" s="269"/>
      <c r="U1850" s="269"/>
      <c r="V1850" s="269"/>
      <c r="W1850" s="269"/>
      <c r="X1850" s="269"/>
      <c r="Y1850" s="269"/>
      <c r="Z1850" s="269"/>
      <c r="AA1850" s="269"/>
      <c r="AB1850" s="269"/>
      <c r="AC1850" s="269"/>
      <c r="AD1850" s="269"/>
      <c r="AE1850" s="269"/>
      <c r="AF1850" s="269"/>
      <c r="AG1850" s="269"/>
      <c r="AH1850" s="269"/>
      <c r="AI1850" s="269"/>
      <c r="AJ1850" s="269"/>
      <c r="AK1850" s="269"/>
      <c r="AL1850" s="269"/>
      <c r="AM1850" s="269"/>
      <c r="AN1850" s="269"/>
      <c r="AO1850" s="269"/>
      <c r="AP1850" s="269"/>
      <c r="AQ1850" s="269"/>
      <c r="AR1850" s="269"/>
    </row>
    <row r="1851">
      <c r="A1851" s="410"/>
      <c r="B1851" s="410"/>
      <c r="C1851" s="410"/>
      <c r="D1851" s="410"/>
      <c r="E1851" s="410"/>
      <c r="F1851" s="410"/>
      <c r="H1851" s="269"/>
      <c r="I1851" s="269"/>
      <c r="J1851" s="269"/>
      <c r="K1851" s="269"/>
      <c r="L1851" s="269"/>
      <c r="M1851" s="269"/>
      <c r="N1851" s="269"/>
      <c r="O1851" s="269"/>
      <c r="P1851" s="269"/>
      <c r="Q1851" s="269"/>
      <c r="R1851" s="269"/>
      <c r="S1851" s="269"/>
      <c r="T1851" s="269"/>
      <c r="U1851" s="269"/>
      <c r="V1851" s="269"/>
      <c r="W1851" s="269"/>
      <c r="X1851" s="269"/>
      <c r="Y1851" s="269"/>
      <c r="Z1851" s="269"/>
      <c r="AA1851" s="269"/>
      <c r="AB1851" s="269"/>
      <c r="AC1851" s="269"/>
      <c r="AD1851" s="269"/>
      <c r="AE1851" s="269"/>
      <c r="AF1851" s="269"/>
      <c r="AG1851" s="269"/>
      <c r="AH1851" s="269"/>
      <c r="AI1851" s="269"/>
      <c r="AJ1851" s="269"/>
      <c r="AK1851" s="269"/>
      <c r="AL1851" s="269"/>
      <c r="AM1851" s="269"/>
      <c r="AN1851" s="269"/>
      <c r="AO1851" s="269"/>
      <c r="AP1851" s="269"/>
      <c r="AQ1851" s="269"/>
      <c r="AR1851" s="269"/>
    </row>
    <row r="1852">
      <c r="A1852" s="410"/>
      <c r="B1852" s="410"/>
      <c r="C1852" s="410"/>
      <c r="D1852" s="410"/>
      <c r="E1852" s="410"/>
      <c r="F1852" s="410"/>
      <c r="H1852" s="269"/>
      <c r="I1852" s="269"/>
      <c r="J1852" s="269"/>
      <c r="K1852" s="269"/>
      <c r="L1852" s="269"/>
      <c r="M1852" s="269"/>
      <c r="N1852" s="269"/>
      <c r="O1852" s="269"/>
      <c r="P1852" s="269"/>
      <c r="Q1852" s="269"/>
      <c r="R1852" s="269"/>
      <c r="S1852" s="269"/>
      <c r="T1852" s="269"/>
      <c r="U1852" s="269"/>
      <c r="V1852" s="269"/>
      <c r="W1852" s="269"/>
      <c r="X1852" s="269"/>
      <c r="Y1852" s="269"/>
      <c r="Z1852" s="269"/>
      <c r="AA1852" s="269"/>
      <c r="AB1852" s="269"/>
      <c r="AC1852" s="269"/>
      <c r="AD1852" s="269"/>
      <c r="AE1852" s="269"/>
      <c r="AF1852" s="269"/>
      <c r="AG1852" s="269"/>
      <c r="AH1852" s="269"/>
      <c r="AI1852" s="269"/>
      <c r="AJ1852" s="269"/>
      <c r="AK1852" s="269"/>
      <c r="AL1852" s="269"/>
      <c r="AM1852" s="269"/>
      <c r="AN1852" s="269"/>
      <c r="AO1852" s="269"/>
      <c r="AP1852" s="269"/>
      <c r="AQ1852" s="269"/>
      <c r="AR1852" s="269"/>
    </row>
    <row r="1853">
      <c r="A1853" s="410"/>
      <c r="B1853" s="410"/>
      <c r="C1853" s="410"/>
      <c r="D1853" s="410"/>
      <c r="E1853" s="410"/>
      <c r="F1853" s="410"/>
      <c r="H1853" s="269"/>
      <c r="I1853" s="269"/>
      <c r="J1853" s="269"/>
      <c r="K1853" s="269"/>
      <c r="L1853" s="269"/>
      <c r="M1853" s="269"/>
      <c r="N1853" s="269"/>
      <c r="O1853" s="269"/>
      <c r="P1853" s="269"/>
      <c r="Q1853" s="269"/>
      <c r="R1853" s="269"/>
      <c r="S1853" s="269"/>
      <c r="T1853" s="269"/>
      <c r="U1853" s="269"/>
      <c r="V1853" s="269"/>
      <c r="W1853" s="269"/>
      <c r="X1853" s="269"/>
      <c r="Y1853" s="269"/>
      <c r="Z1853" s="269"/>
      <c r="AA1853" s="269"/>
      <c r="AB1853" s="269"/>
      <c r="AC1853" s="269"/>
      <c r="AD1853" s="269"/>
      <c r="AE1853" s="269"/>
      <c r="AF1853" s="269"/>
      <c r="AG1853" s="269"/>
      <c r="AH1853" s="269"/>
      <c r="AI1853" s="269"/>
      <c r="AJ1853" s="269"/>
      <c r="AK1853" s="269"/>
      <c r="AL1853" s="269"/>
      <c r="AM1853" s="269"/>
      <c r="AN1853" s="269"/>
      <c r="AO1853" s="269"/>
      <c r="AP1853" s="269"/>
      <c r="AQ1853" s="269"/>
      <c r="AR1853" s="269"/>
    </row>
    <row r="1854">
      <c r="A1854" s="410"/>
      <c r="B1854" s="410"/>
      <c r="C1854" s="410"/>
      <c r="D1854" s="410"/>
      <c r="E1854" s="410"/>
      <c r="F1854" s="410"/>
      <c r="H1854" s="269"/>
      <c r="I1854" s="269"/>
      <c r="J1854" s="269"/>
      <c r="K1854" s="269"/>
      <c r="L1854" s="269"/>
      <c r="M1854" s="269"/>
      <c r="N1854" s="269"/>
      <c r="O1854" s="269"/>
      <c r="P1854" s="269"/>
      <c r="Q1854" s="269"/>
      <c r="R1854" s="269"/>
      <c r="S1854" s="269"/>
      <c r="T1854" s="269"/>
      <c r="U1854" s="269"/>
      <c r="V1854" s="269"/>
      <c r="W1854" s="269"/>
      <c r="X1854" s="269"/>
      <c r="Y1854" s="269"/>
      <c r="Z1854" s="269"/>
      <c r="AA1854" s="269"/>
      <c r="AB1854" s="269"/>
      <c r="AC1854" s="269"/>
      <c r="AD1854" s="269"/>
      <c r="AE1854" s="269"/>
      <c r="AF1854" s="269"/>
      <c r="AG1854" s="269"/>
      <c r="AH1854" s="269"/>
      <c r="AI1854" s="269"/>
      <c r="AJ1854" s="269"/>
      <c r="AK1854" s="269"/>
      <c r="AL1854" s="269"/>
      <c r="AM1854" s="269"/>
      <c r="AN1854" s="269"/>
      <c r="AO1854" s="269"/>
      <c r="AP1854" s="269"/>
      <c r="AQ1854" s="269"/>
      <c r="AR1854" s="269"/>
    </row>
    <row r="1855">
      <c r="A1855" s="410"/>
      <c r="B1855" s="410"/>
      <c r="C1855" s="410"/>
      <c r="D1855" s="410"/>
      <c r="E1855" s="410"/>
      <c r="F1855" s="410"/>
      <c r="H1855" s="269"/>
      <c r="I1855" s="269"/>
      <c r="J1855" s="269"/>
      <c r="K1855" s="269"/>
      <c r="L1855" s="269"/>
      <c r="M1855" s="269"/>
      <c r="N1855" s="269"/>
      <c r="O1855" s="269"/>
      <c r="P1855" s="269"/>
      <c r="Q1855" s="269"/>
      <c r="R1855" s="269"/>
      <c r="S1855" s="269"/>
      <c r="T1855" s="269"/>
      <c r="U1855" s="269"/>
      <c r="V1855" s="269"/>
      <c r="W1855" s="269"/>
      <c r="X1855" s="269"/>
      <c r="Y1855" s="269"/>
      <c r="Z1855" s="269"/>
      <c r="AA1855" s="269"/>
      <c r="AB1855" s="269"/>
      <c r="AC1855" s="269"/>
      <c r="AD1855" s="269"/>
      <c r="AE1855" s="269"/>
      <c r="AF1855" s="269"/>
      <c r="AG1855" s="269"/>
      <c r="AH1855" s="269"/>
      <c r="AI1855" s="269"/>
      <c r="AJ1855" s="269"/>
      <c r="AK1855" s="269"/>
      <c r="AL1855" s="269"/>
      <c r="AM1855" s="269"/>
      <c r="AN1855" s="269"/>
      <c r="AO1855" s="269"/>
      <c r="AP1855" s="269"/>
      <c r="AQ1855" s="269"/>
      <c r="AR1855" s="269"/>
    </row>
    <row r="1856">
      <c r="A1856" s="410"/>
      <c r="B1856" s="410"/>
      <c r="C1856" s="410"/>
      <c r="D1856" s="410"/>
      <c r="E1856" s="410"/>
      <c r="F1856" s="410"/>
      <c r="H1856" s="269"/>
      <c r="I1856" s="269"/>
      <c r="J1856" s="269"/>
      <c r="K1856" s="269"/>
      <c r="L1856" s="269"/>
      <c r="M1856" s="269"/>
      <c r="N1856" s="269"/>
      <c r="O1856" s="269"/>
      <c r="P1856" s="269"/>
      <c r="Q1856" s="269"/>
      <c r="R1856" s="269"/>
      <c r="S1856" s="269"/>
      <c r="T1856" s="269"/>
      <c r="U1856" s="269"/>
      <c r="V1856" s="269"/>
      <c r="W1856" s="269"/>
      <c r="X1856" s="269"/>
      <c r="Y1856" s="269"/>
      <c r="Z1856" s="269"/>
      <c r="AA1856" s="269"/>
      <c r="AB1856" s="269"/>
      <c r="AC1856" s="269"/>
      <c r="AD1856" s="269"/>
      <c r="AE1856" s="269"/>
      <c r="AF1856" s="269"/>
      <c r="AG1856" s="269"/>
      <c r="AH1856" s="269"/>
      <c r="AI1856" s="269"/>
      <c r="AJ1856" s="269"/>
      <c r="AK1856" s="269"/>
      <c r="AL1856" s="269"/>
      <c r="AM1856" s="269"/>
      <c r="AN1856" s="269"/>
      <c r="AO1856" s="269"/>
      <c r="AP1856" s="269"/>
      <c r="AQ1856" s="269"/>
      <c r="AR1856" s="269"/>
    </row>
    <row r="1857">
      <c r="A1857" s="410"/>
      <c r="B1857" s="410"/>
      <c r="C1857" s="410"/>
      <c r="D1857" s="410"/>
      <c r="E1857" s="410"/>
      <c r="F1857" s="410"/>
      <c r="H1857" s="269"/>
      <c r="I1857" s="269"/>
      <c r="J1857" s="269"/>
      <c r="K1857" s="269"/>
      <c r="L1857" s="269"/>
      <c r="M1857" s="269"/>
      <c r="N1857" s="269"/>
      <c r="O1857" s="269"/>
      <c r="P1857" s="269"/>
      <c r="Q1857" s="269"/>
      <c r="R1857" s="269"/>
      <c r="S1857" s="269"/>
      <c r="T1857" s="269"/>
      <c r="U1857" s="269"/>
      <c r="V1857" s="269"/>
      <c r="W1857" s="269"/>
      <c r="X1857" s="269"/>
      <c r="Y1857" s="269"/>
      <c r="Z1857" s="269"/>
      <c r="AA1857" s="269"/>
      <c r="AB1857" s="269"/>
      <c r="AC1857" s="269"/>
      <c r="AD1857" s="269"/>
      <c r="AE1857" s="269"/>
      <c r="AF1857" s="269"/>
      <c r="AG1857" s="269"/>
      <c r="AH1857" s="269"/>
      <c r="AI1857" s="269"/>
      <c r="AJ1857" s="269"/>
      <c r="AK1857" s="269"/>
      <c r="AL1857" s="269"/>
      <c r="AM1857" s="269"/>
      <c r="AN1857" s="269"/>
      <c r="AO1857" s="269"/>
      <c r="AP1857" s="269"/>
      <c r="AQ1857" s="269"/>
      <c r="AR1857" s="269"/>
    </row>
    <row r="1858">
      <c r="A1858" s="410"/>
      <c r="B1858" s="410"/>
      <c r="C1858" s="410"/>
      <c r="D1858" s="410"/>
      <c r="E1858" s="410"/>
      <c r="F1858" s="410"/>
      <c r="H1858" s="269"/>
      <c r="I1858" s="269"/>
      <c r="J1858" s="269"/>
      <c r="K1858" s="269"/>
      <c r="L1858" s="269"/>
      <c r="M1858" s="269"/>
      <c r="N1858" s="269"/>
      <c r="O1858" s="269"/>
      <c r="P1858" s="269"/>
      <c r="Q1858" s="269"/>
      <c r="R1858" s="269"/>
      <c r="S1858" s="269"/>
      <c r="T1858" s="269"/>
      <c r="U1858" s="269"/>
      <c r="V1858" s="269"/>
      <c r="W1858" s="269"/>
      <c r="X1858" s="269"/>
      <c r="Y1858" s="269"/>
      <c r="Z1858" s="269"/>
      <c r="AA1858" s="269"/>
      <c r="AB1858" s="269"/>
      <c r="AC1858" s="269"/>
      <c r="AD1858" s="269"/>
      <c r="AE1858" s="269"/>
      <c r="AF1858" s="269"/>
      <c r="AG1858" s="269"/>
      <c r="AH1858" s="269"/>
      <c r="AI1858" s="269"/>
      <c r="AJ1858" s="269"/>
      <c r="AK1858" s="269"/>
      <c r="AL1858" s="269"/>
      <c r="AM1858" s="269"/>
      <c r="AN1858" s="269"/>
      <c r="AO1858" s="269"/>
      <c r="AP1858" s="269"/>
      <c r="AQ1858" s="269"/>
      <c r="AR1858" s="269"/>
    </row>
    <row r="1859">
      <c r="A1859" s="410"/>
      <c r="B1859" s="410"/>
      <c r="C1859" s="410"/>
      <c r="D1859" s="410"/>
      <c r="E1859" s="410"/>
      <c r="F1859" s="410"/>
      <c r="H1859" s="269"/>
      <c r="I1859" s="269"/>
      <c r="J1859" s="269"/>
      <c r="K1859" s="269"/>
      <c r="L1859" s="269"/>
      <c r="M1859" s="269"/>
      <c r="N1859" s="269"/>
      <c r="O1859" s="269"/>
      <c r="P1859" s="269"/>
      <c r="Q1859" s="269"/>
      <c r="R1859" s="269"/>
      <c r="S1859" s="269"/>
      <c r="T1859" s="269"/>
      <c r="U1859" s="269"/>
      <c r="V1859" s="269"/>
      <c r="W1859" s="269"/>
      <c r="X1859" s="269"/>
      <c r="Y1859" s="269"/>
      <c r="Z1859" s="269"/>
      <c r="AA1859" s="269"/>
      <c r="AB1859" s="269"/>
      <c r="AC1859" s="269"/>
      <c r="AD1859" s="269"/>
      <c r="AE1859" s="269"/>
      <c r="AF1859" s="269"/>
      <c r="AG1859" s="269"/>
      <c r="AH1859" s="269"/>
      <c r="AI1859" s="269"/>
      <c r="AJ1859" s="269"/>
      <c r="AK1859" s="269"/>
      <c r="AL1859" s="269"/>
      <c r="AM1859" s="269"/>
      <c r="AN1859" s="269"/>
      <c r="AO1859" s="269"/>
      <c r="AP1859" s="269"/>
      <c r="AQ1859" s="269"/>
      <c r="AR1859" s="269"/>
    </row>
    <row r="1860">
      <c r="A1860" s="410"/>
      <c r="B1860" s="410"/>
      <c r="C1860" s="410"/>
      <c r="D1860" s="410"/>
      <c r="E1860" s="410"/>
      <c r="F1860" s="410"/>
      <c r="H1860" s="269"/>
      <c r="I1860" s="269"/>
      <c r="J1860" s="269"/>
      <c r="K1860" s="269"/>
      <c r="L1860" s="269"/>
      <c r="M1860" s="269"/>
      <c r="N1860" s="269"/>
      <c r="O1860" s="269"/>
      <c r="P1860" s="269"/>
      <c r="Q1860" s="269"/>
      <c r="R1860" s="269"/>
      <c r="S1860" s="269"/>
      <c r="T1860" s="269"/>
      <c r="U1860" s="269"/>
      <c r="V1860" s="269"/>
      <c r="W1860" s="269"/>
      <c r="X1860" s="269"/>
      <c r="Y1860" s="269"/>
      <c r="Z1860" s="269"/>
      <c r="AA1860" s="269"/>
      <c r="AB1860" s="269"/>
      <c r="AC1860" s="269"/>
      <c r="AD1860" s="269"/>
      <c r="AE1860" s="269"/>
      <c r="AF1860" s="269"/>
      <c r="AG1860" s="269"/>
      <c r="AH1860" s="269"/>
      <c r="AI1860" s="269"/>
      <c r="AJ1860" s="269"/>
      <c r="AK1860" s="269"/>
      <c r="AL1860" s="269"/>
      <c r="AM1860" s="269"/>
      <c r="AN1860" s="269"/>
      <c r="AO1860" s="269"/>
      <c r="AP1860" s="269"/>
      <c r="AQ1860" s="269"/>
      <c r="AR1860" s="269"/>
    </row>
    <row r="1861">
      <c r="A1861" s="410"/>
      <c r="B1861" s="410"/>
      <c r="C1861" s="410"/>
      <c r="D1861" s="410"/>
      <c r="E1861" s="410"/>
      <c r="F1861" s="410"/>
      <c r="H1861" s="269"/>
      <c r="I1861" s="269"/>
      <c r="J1861" s="269"/>
      <c r="K1861" s="269"/>
      <c r="L1861" s="269"/>
      <c r="M1861" s="269"/>
      <c r="N1861" s="269"/>
      <c r="O1861" s="269"/>
      <c r="P1861" s="269"/>
      <c r="Q1861" s="269"/>
      <c r="R1861" s="269"/>
      <c r="S1861" s="269"/>
      <c r="T1861" s="269"/>
      <c r="U1861" s="269"/>
      <c r="V1861" s="269"/>
      <c r="W1861" s="269"/>
      <c r="X1861" s="269"/>
      <c r="Y1861" s="269"/>
      <c r="Z1861" s="269"/>
      <c r="AA1861" s="269"/>
      <c r="AB1861" s="269"/>
      <c r="AC1861" s="269"/>
      <c r="AD1861" s="269"/>
      <c r="AE1861" s="269"/>
      <c r="AF1861" s="269"/>
      <c r="AG1861" s="269"/>
      <c r="AH1861" s="269"/>
      <c r="AI1861" s="269"/>
      <c r="AJ1861" s="269"/>
      <c r="AK1861" s="269"/>
      <c r="AL1861" s="269"/>
      <c r="AM1861" s="269"/>
      <c r="AN1861" s="269"/>
      <c r="AO1861" s="269"/>
      <c r="AP1861" s="269"/>
      <c r="AQ1861" s="269"/>
      <c r="AR1861" s="269"/>
    </row>
    <row r="1862">
      <c r="A1862" s="410"/>
      <c r="B1862" s="410"/>
      <c r="C1862" s="410"/>
      <c r="D1862" s="410"/>
      <c r="E1862" s="410"/>
      <c r="F1862" s="410"/>
      <c r="H1862" s="269"/>
      <c r="I1862" s="269"/>
      <c r="J1862" s="269"/>
      <c r="K1862" s="269"/>
      <c r="L1862" s="269"/>
      <c r="M1862" s="269"/>
      <c r="N1862" s="269"/>
      <c r="O1862" s="269"/>
      <c r="P1862" s="269"/>
      <c r="Q1862" s="269"/>
      <c r="R1862" s="269"/>
      <c r="S1862" s="269"/>
      <c r="T1862" s="269"/>
      <c r="U1862" s="269"/>
      <c r="V1862" s="269"/>
      <c r="W1862" s="269"/>
      <c r="X1862" s="269"/>
      <c r="Y1862" s="269"/>
      <c r="Z1862" s="269"/>
      <c r="AA1862" s="269"/>
      <c r="AB1862" s="269"/>
      <c r="AC1862" s="269"/>
      <c r="AD1862" s="269"/>
      <c r="AE1862" s="269"/>
      <c r="AF1862" s="269"/>
      <c r="AG1862" s="269"/>
      <c r="AH1862" s="269"/>
      <c r="AI1862" s="269"/>
      <c r="AJ1862" s="269"/>
      <c r="AK1862" s="269"/>
      <c r="AL1862" s="269"/>
      <c r="AM1862" s="269"/>
      <c r="AN1862" s="269"/>
      <c r="AO1862" s="269"/>
      <c r="AP1862" s="269"/>
      <c r="AQ1862" s="269"/>
      <c r="AR1862" s="269"/>
    </row>
    <row r="1863">
      <c r="A1863" s="410"/>
      <c r="B1863" s="410"/>
      <c r="C1863" s="410"/>
      <c r="D1863" s="410"/>
      <c r="E1863" s="410"/>
      <c r="F1863" s="410"/>
      <c r="H1863" s="269"/>
      <c r="I1863" s="269"/>
      <c r="J1863" s="269"/>
      <c r="K1863" s="269"/>
      <c r="L1863" s="269"/>
      <c r="M1863" s="269"/>
      <c r="N1863" s="269"/>
      <c r="O1863" s="269"/>
      <c r="P1863" s="269"/>
      <c r="Q1863" s="269"/>
      <c r="R1863" s="269"/>
      <c r="S1863" s="269"/>
      <c r="T1863" s="269"/>
      <c r="U1863" s="269"/>
      <c r="V1863" s="269"/>
      <c r="W1863" s="269"/>
      <c r="X1863" s="269"/>
      <c r="Y1863" s="269"/>
      <c r="Z1863" s="269"/>
      <c r="AA1863" s="269"/>
      <c r="AB1863" s="269"/>
      <c r="AC1863" s="269"/>
      <c r="AD1863" s="269"/>
      <c r="AE1863" s="269"/>
      <c r="AF1863" s="269"/>
      <c r="AG1863" s="269"/>
      <c r="AH1863" s="269"/>
      <c r="AI1863" s="269"/>
      <c r="AJ1863" s="269"/>
      <c r="AK1863" s="269"/>
      <c r="AL1863" s="269"/>
      <c r="AM1863" s="269"/>
      <c r="AN1863" s="269"/>
      <c r="AO1863" s="269"/>
      <c r="AP1863" s="269"/>
      <c r="AQ1863" s="269"/>
      <c r="AR1863" s="269"/>
    </row>
    <row r="1864">
      <c r="A1864" s="410"/>
      <c r="B1864" s="410"/>
      <c r="C1864" s="410"/>
      <c r="D1864" s="410"/>
      <c r="E1864" s="410"/>
      <c r="F1864" s="410"/>
      <c r="H1864" s="269"/>
      <c r="I1864" s="269"/>
      <c r="J1864" s="269"/>
      <c r="K1864" s="269"/>
      <c r="L1864" s="269"/>
      <c r="M1864" s="269"/>
      <c r="N1864" s="269"/>
      <c r="O1864" s="269"/>
      <c r="P1864" s="269"/>
      <c r="Q1864" s="269"/>
      <c r="R1864" s="269"/>
      <c r="S1864" s="269"/>
      <c r="T1864" s="269"/>
      <c r="U1864" s="269"/>
      <c r="V1864" s="269"/>
      <c r="W1864" s="269"/>
      <c r="X1864" s="269"/>
      <c r="Y1864" s="269"/>
      <c r="Z1864" s="269"/>
      <c r="AA1864" s="269"/>
      <c r="AB1864" s="269"/>
      <c r="AC1864" s="269"/>
      <c r="AD1864" s="269"/>
      <c r="AE1864" s="269"/>
      <c r="AF1864" s="269"/>
      <c r="AG1864" s="269"/>
      <c r="AH1864" s="269"/>
      <c r="AI1864" s="269"/>
      <c r="AJ1864" s="269"/>
      <c r="AK1864" s="269"/>
      <c r="AL1864" s="269"/>
      <c r="AM1864" s="269"/>
      <c r="AN1864" s="269"/>
      <c r="AO1864" s="269"/>
      <c r="AP1864" s="269"/>
      <c r="AQ1864" s="269"/>
      <c r="AR1864" s="269"/>
    </row>
    <row r="1865">
      <c r="A1865" s="410"/>
      <c r="B1865" s="410"/>
      <c r="C1865" s="410"/>
      <c r="D1865" s="410"/>
      <c r="E1865" s="410"/>
      <c r="F1865" s="410"/>
      <c r="H1865" s="269"/>
      <c r="I1865" s="269"/>
      <c r="J1865" s="269"/>
      <c r="K1865" s="269"/>
      <c r="L1865" s="269"/>
      <c r="M1865" s="269"/>
      <c r="N1865" s="269"/>
      <c r="O1865" s="269"/>
      <c r="P1865" s="269"/>
      <c r="Q1865" s="269"/>
      <c r="R1865" s="269"/>
      <c r="S1865" s="269"/>
      <c r="T1865" s="269"/>
      <c r="U1865" s="269"/>
      <c r="V1865" s="269"/>
      <c r="W1865" s="269"/>
      <c r="X1865" s="269"/>
      <c r="Y1865" s="269"/>
      <c r="Z1865" s="269"/>
      <c r="AA1865" s="269"/>
      <c r="AB1865" s="269"/>
      <c r="AC1865" s="269"/>
      <c r="AD1865" s="269"/>
      <c r="AE1865" s="269"/>
      <c r="AF1865" s="269"/>
      <c r="AG1865" s="269"/>
      <c r="AH1865" s="269"/>
      <c r="AI1865" s="269"/>
      <c r="AJ1865" s="269"/>
      <c r="AK1865" s="269"/>
      <c r="AL1865" s="269"/>
      <c r="AM1865" s="269"/>
      <c r="AN1865" s="269"/>
      <c r="AO1865" s="269"/>
      <c r="AP1865" s="269"/>
      <c r="AQ1865" s="269"/>
      <c r="AR1865" s="269"/>
    </row>
    <row r="1866">
      <c r="A1866" s="410"/>
      <c r="B1866" s="410"/>
      <c r="C1866" s="410"/>
      <c r="D1866" s="410"/>
      <c r="E1866" s="410"/>
      <c r="F1866" s="410"/>
      <c r="H1866" s="269"/>
      <c r="I1866" s="269"/>
      <c r="J1866" s="269"/>
      <c r="K1866" s="269"/>
      <c r="L1866" s="269"/>
      <c r="M1866" s="269"/>
      <c r="N1866" s="269"/>
      <c r="O1866" s="269"/>
      <c r="P1866" s="269"/>
      <c r="Q1866" s="269"/>
      <c r="R1866" s="269"/>
      <c r="S1866" s="269"/>
      <c r="T1866" s="269"/>
      <c r="U1866" s="269"/>
      <c r="V1866" s="269"/>
      <c r="W1866" s="269"/>
      <c r="X1866" s="269"/>
      <c r="Y1866" s="269"/>
      <c r="Z1866" s="269"/>
      <c r="AA1866" s="269"/>
      <c r="AB1866" s="269"/>
      <c r="AC1866" s="269"/>
      <c r="AD1866" s="269"/>
      <c r="AE1866" s="269"/>
      <c r="AF1866" s="269"/>
      <c r="AG1866" s="269"/>
      <c r="AH1866" s="269"/>
      <c r="AI1866" s="269"/>
      <c r="AJ1866" s="269"/>
      <c r="AK1866" s="269"/>
      <c r="AL1866" s="269"/>
      <c r="AM1866" s="269"/>
      <c r="AN1866" s="269"/>
      <c r="AO1866" s="269"/>
      <c r="AP1866" s="269"/>
      <c r="AQ1866" s="269"/>
      <c r="AR1866" s="269"/>
    </row>
    <row r="1867">
      <c r="A1867" s="410"/>
      <c r="B1867" s="410"/>
      <c r="C1867" s="410"/>
      <c r="D1867" s="410"/>
      <c r="E1867" s="410"/>
      <c r="F1867" s="410"/>
      <c r="H1867" s="269"/>
      <c r="I1867" s="269"/>
      <c r="J1867" s="269"/>
      <c r="K1867" s="269"/>
      <c r="L1867" s="269"/>
      <c r="M1867" s="269"/>
      <c r="N1867" s="269"/>
      <c r="O1867" s="269"/>
      <c r="P1867" s="269"/>
      <c r="Q1867" s="269"/>
      <c r="R1867" s="269"/>
      <c r="S1867" s="269"/>
      <c r="T1867" s="269"/>
      <c r="U1867" s="269"/>
      <c r="V1867" s="269"/>
      <c r="W1867" s="269"/>
      <c r="X1867" s="269"/>
      <c r="Y1867" s="269"/>
      <c r="Z1867" s="269"/>
      <c r="AA1867" s="269"/>
      <c r="AB1867" s="269"/>
      <c r="AC1867" s="269"/>
      <c r="AD1867" s="269"/>
      <c r="AE1867" s="269"/>
      <c r="AF1867" s="269"/>
      <c r="AG1867" s="269"/>
      <c r="AH1867" s="269"/>
      <c r="AI1867" s="269"/>
      <c r="AJ1867" s="269"/>
      <c r="AK1867" s="269"/>
      <c r="AL1867" s="269"/>
      <c r="AM1867" s="269"/>
      <c r="AN1867" s="269"/>
      <c r="AO1867" s="269"/>
      <c r="AP1867" s="269"/>
      <c r="AQ1867" s="269"/>
      <c r="AR1867" s="269"/>
    </row>
    <row r="1868">
      <c r="A1868" s="410"/>
      <c r="B1868" s="410"/>
      <c r="C1868" s="410"/>
      <c r="D1868" s="410"/>
      <c r="E1868" s="410"/>
      <c r="F1868" s="410"/>
      <c r="H1868" s="269"/>
      <c r="I1868" s="269"/>
      <c r="J1868" s="269"/>
      <c r="K1868" s="269"/>
      <c r="L1868" s="269"/>
      <c r="M1868" s="269"/>
      <c r="N1868" s="269"/>
      <c r="O1868" s="269"/>
      <c r="P1868" s="269"/>
      <c r="Q1868" s="269"/>
      <c r="R1868" s="269"/>
      <c r="S1868" s="269"/>
      <c r="T1868" s="269"/>
      <c r="U1868" s="269"/>
      <c r="V1868" s="269"/>
      <c r="W1868" s="269"/>
      <c r="X1868" s="269"/>
      <c r="Y1868" s="269"/>
      <c r="Z1868" s="269"/>
      <c r="AA1868" s="269"/>
      <c r="AB1868" s="269"/>
      <c r="AC1868" s="269"/>
      <c r="AD1868" s="269"/>
      <c r="AE1868" s="269"/>
      <c r="AF1868" s="269"/>
      <c r="AG1868" s="269"/>
      <c r="AH1868" s="269"/>
      <c r="AI1868" s="269"/>
      <c r="AJ1868" s="269"/>
      <c r="AK1868" s="269"/>
      <c r="AL1868" s="269"/>
      <c r="AM1868" s="269"/>
      <c r="AN1868" s="269"/>
      <c r="AO1868" s="269"/>
      <c r="AP1868" s="269"/>
      <c r="AQ1868" s="269"/>
      <c r="AR1868" s="269"/>
    </row>
    <row r="1869">
      <c r="A1869" s="410"/>
      <c r="B1869" s="410"/>
      <c r="C1869" s="410"/>
      <c r="D1869" s="410"/>
      <c r="E1869" s="410"/>
      <c r="F1869" s="410"/>
      <c r="H1869" s="269"/>
      <c r="I1869" s="269"/>
      <c r="J1869" s="269"/>
      <c r="K1869" s="269"/>
      <c r="L1869" s="269"/>
      <c r="M1869" s="269"/>
      <c r="N1869" s="269"/>
      <c r="O1869" s="269"/>
      <c r="P1869" s="269"/>
      <c r="Q1869" s="269"/>
      <c r="R1869" s="269"/>
      <c r="S1869" s="269"/>
      <c r="T1869" s="269"/>
      <c r="U1869" s="269"/>
      <c r="V1869" s="269"/>
      <c r="W1869" s="269"/>
      <c r="X1869" s="269"/>
      <c r="Y1869" s="269"/>
      <c r="Z1869" s="269"/>
      <c r="AA1869" s="269"/>
      <c r="AB1869" s="269"/>
      <c r="AC1869" s="269"/>
      <c r="AD1869" s="269"/>
      <c r="AE1869" s="269"/>
      <c r="AF1869" s="269"/>
      <c r="AG1869" s="269"/>
      <c r="AH1869" s="269"/>
      <c r="AI1869" s="269"/>
      <c r="AJ1869" s="269"/>
      <c r="AK1869" s="269"/>
      <c r="AL1869" s="269"/>
      <c r="AM1869" s="269"/>
      <c r="AN1869" s="269"/>
      <c r="AO1869" s="269"/>
      <c r="AP1869" s="269"/>
      <c r="AQ1869" s="269"/>
      <c r="AR1869" s="269"/>
    </row>
    <row r="1870">
      <c r="A1870" s="410"/>
      <c r="B1870" s="410"/>
      <c r="C1870" s="410"/>
      <c r="D1870" s="410"/>
      <c r="E1870" s="410"/>
      <c r="F1870" s="410"/>
      <c r="H1870" s="269"/>
      <c r="I1870" s="269"/>
      <c r="J1870" s="269"/>
      <c r="K1870" s="269"/>
      <c r="L1870" s="269"/>
      <c r="M1870" s="269"/>
      <c r="N1870" s="269"/>
      <c r="O1870" s="269"/>
      <c r="P1870" s="269"/>
      <c r="Q1870" s="269"/>
      <c r="R1870" s="269"/>
      <c r="S1870" s="269"/>
      <c r="T1870" s="269"/>
      <c r="U1870" s="269"/>
      <c r="V1870" s="269"/>
      <c r="W1870" s="269"/>
      <c r="X1870" s="269"/>
      <c r="Y1870" s="269"/>
      <c r="Z1870" s="269"/>
      <c r="AA1870" s="269"/>
      <c r="AB1870" s="269"/>
      <c r="AC1870" s="269"/>
      <c r="AD1870" s="269"/>
      <c r="AE1870" s="269"/>
      <c r="AF1870" s="269"/>
      <c r="AG1870" s="269"/>
      <c r="AH1870" s="269"/>
      <c r="AI1870" s="269"/>
      <c r="AJ1870" s="269"/>
      <c r="AK1870" s="269"/>
      <c r="AL1870" s="269"/>
      <c r="AM1870" s="269"/>
      <c r="AN1870" s="269"/>
      <c r="AO1870" s="269"/>
      <c r="AP1870" s="269"/>
      <c r="AQ1870" s="269"/>
      <c r="AR1870" s="269"/>
    </row>
    <row r="1871">
      <c r="A1871" s="410"/>
      <c r="B1871" s="410"/>
      <c r="C1871" s="410"/>
      <c r="D1871" s="410"/>
      <c r="E1871" s="410"/>
      <c r="F1871" s="410"/>
      <c r="H1871" s="269"/>
      <c r="I1871" s="269"/>
      <c r="J1871" s="269"/>
      <c r="K1871" s="269"/>
      <c r="L1871" s="269"/>
      <c r="M1871" s="269"/>
      <c r="N1871" s="269"/>
      <c r="O1871" s="269"/>
      <c r="P1871" s="269"/>
      <c r="Q1871" s="269"/>
      <c r="R1871" s="269"/>
      <c r="S1871" s="269"/>
      <c r="T1871" s="269"/>
      <c r="U1871" s="269"/>
      <c r="V1871" s="269"/>
      <c r="W1871" s="269"/>
      <c r="X1871" s="269"/>
      <c r="Y1871" s="269"/>
      <c r="Z1871" s="269"/>
      <c r="AA1871" s="269"/>
      <c r="AB1871" s="269"/>
      <c r="AC1871" s="269"/>
      <c r="AD1871" s="269"/>
      <c r="AE1871" s="269"/>
      <c r="AF1871" s="269"/>
      <c r="AG1871" s="269"/>
      <c r="AH1871" s="269"/>
      <c r="AI1871" s="269"/>
      <c r="AJ1871" s="269"/>
      <c r="AK1871" s="269"/>
      <c r="AL1871" s="269"/>
      <c r="AM1871" s="269"/>
      <c r="AN1871" s="269"/>
      <c r="AO1871" s="269"/>
      <c r="AP1871" s="269"/>
      <c r="AQ1871" s="269"/>
      <c r="AR1871" s="269"/>
    </row>
    <row r="1872">
      <c r="A1872" s="410"/>
      <c r="B1872" s="410"/>
      <c r="C1872" s="410"/>
      <c r="D1872" s="410"/>
      <c r="E1872" s="410"/>
      <c r="F1872" s="410"/>
      <c r="H1872" s="269"/>
      <c r="I1872" s="269"/>
      <c r="J1872" s="269"/>
      <c r="K1872" s="269"/>
      <c r="L1872" s="269"/>
      <c r="M1872" s="269"/>
      <c r="N1872" s="269"/>
      <c r="O1872" s="269"/>
      <c r="P1872" s="269"/>
      <c r="Q1872" s="269"/>
      <c r="R1872" s="269"/>
      <c r="S1872" s="269"/>
      <c r="T1872" s="269"/>
      <c r="U1872" s="269"/>
      <c r="V1872" s="269"/>
      <c r="W1872" s="269"/>
      <c r="X1872" s="269"/>
      <c r="Y1872" s="269"/>
      <c r="Z1872" s="269"/>
      <c r="AA1872" s="269"/>
      <c r="AB1872" s="269"/>
      <c r="AC1872" s="269"/>
      <c r="AD1872" s="269"/>
      <c r="AE1872" s="269"/>
      <c r="AF1872" s="269"/>
      <c r="AG1872" s="269"/>
      <c r="AH1872" s="269"/>
      <c r="AI1872" s="269"/>
      <c r="AJ1872" s="269"/>
      <c r="AK1872" s="269"/>
      <c r="AL1872" s="269"/>
      <c r="AM1872" s="269"/>
      <c r="AN1872" s="269"/>
      <c r="AO1872" s="269"/>
      <c r="AP1872" s="269"/>
      <c r="AQ1872" s="269"/>
      <c r="AR1872" s="269"/>
    </row>
    <row r="1873">
      <c r="A1873" s="410"/>
      <c r="B1873" s="410"/>
      <c r="C1873" s="410"/>
      <c r="D1873" s="410"/>
      <c r="E1873" s="410"/>
      <c r="F1873" s="410"/>
      <c r="H1873" s="269"/>
      <c r="I1873" s="269"/>
      <c r="J1873" s="269"/>
      <c r="K1873" s="269"/>
      <c r="L1873" s="269"/>
      <c r="M1873" s="269"/>
      <c r="N1873" s="269"/>
      <c r="O1873" s="269"/>
      <c r="P1873" s="269"/>
      <c r="Q1873" s="269"/>
      <c r="R1873" s="269"/>
      <c r="S1873" s="269"/>
      <c r="T1873" s="269"/>
      <c r="U1873" s="269"/>
      <c r="V1873" s="269"/>
      <c r="W1873" s="269"/>
      <c r="X1873" s="269"/>
      <c r="Y1873" s="269"/>
      <c r="Z1873" s="269"/>
      <c r="AA1873" s="269"/>
      <c r="AB1873" s="269"/>
      <c r="AC1873" s="269"/>
      <c r="AD1873" s="269"/>
      <c r="AE1873" s="269"/>
      <c r="AF1873" s="269"/>
      <c r="AG1873" s="269"/>
      <c r="AH1873" s="269"/>
      <c r="AI1873" s="269"/>
      <c r="AJ1873" s="269"/>
      <c r="AK1873" s="269"/>
      <c r="AL1873" s="269"/>
      <c r="AM1873" s="269"/>
      <c r="AN1873" s="269"/>
      <c r="AO1873" s="269"/>
      <c r="AP1873" s="269"/>
      <c r="AQ1873" s="269"/>
      <c r="AR1873" s="269"/>
    </row>
    <row r="1874">
      <c r="A1874" s="410"/>
      <c r="B1874" s="410"/>
      <c r="C1874" s="410"/>
      <c r="D1874" s="410"/>
      <c r="E1874" s="410"/>
      <c r="F1874" s="410"/>
      <c r="H1874" s="269"/>
      <c r="I1874" s="269"/>
      <c r="J1874" s="269"/>
      <c r="K1874" s="269"/>
      <c r="L1874" s="269"/>
      <c r="M1874" s="269"/>
      <c r="N1874" s="269"/>
      <c r="O1874" s="269"/>
      <c r="P1874" s="269"/>
      <c r="Q1874" s="269"/>
      <c r="R1874" s="269"/>
      <c r="S1874" s="269"/>
      <c r="T1874" s="269"/>
      <c r="U1874" s="269"/>
      <c r="V1874" s="269"/>
      <c r="W1874" s="269"/>
      <c r="X1874" s="269"/>
      <c r="Y1874" s="269"/>
      <c r="Z1874" s="269"/>
      <c r="AA1874" s="269"/>
      <c r="AB1874" s="269"/>
      <c r="AC1874" s="269"/>
      <c r="AD1874" s="269"/>
      <c r="AE1874" s="269"/>
      <c r="AF1874" s="269"/>
      <c r="AG1874" s="269"/>
      <c r="AH1874" s="269"/>
      <c r="AI1874" s="269"/>
      <c r="AJ1874" s="269"/>
      <c r="AK1874" s="269"/>
      <c r="AL1874" s="269"/>
      <c r="AM1874" s="269"/>
      <c r="AN1874" s="269"/>
      <c r="AO1874" s="269"/>
      <c r="AP1874" s="269"/>
      <c r="AQ1874" s="269"/>
      <c r="AR1874" s="269"/>
    </row>
    <row r="1875">
      <c r="A1875" s="410"/>
      <c r="B1875" s="410"/>
      <c r="C1875" s="410"/>
      <c r="D1875" s="410"/>
      <c r="E1875" s="410"/>
      <c r="F1875" s="410"/>
      <c r="H1875" s="269"/>
      <c r="I1875" s="269"/>
      <c r="J1875" s="269"/>
      <c r="K1875" s="269"/>
      <c r="L1875" s="269"/>
      <c r="M1875" s="269"/>
      <c r="N1875" s="269"/>
      <c r="O1875" s="269"/>
      <c r="P1875" s="269"/>
      <c r="Q1875" s="269"/>
      <c r="R1875" s="269"/>
      <c r="S1875" s="269"/>
      <c r="T1875" s="269"/>
      <c r="U1875" s="269"/>
      <c r="V1875" s="269"/>
      <c r="W1875" s="269"/>
      <c r="X1875" s="269"/>
      <c r="Y1875" s="269"/>
      <c r="Z1875" s="269"/>
      <c r="AA1875" s="269"/>
      <c r="AB1875" s="269"/>
      <c r="AC1875" s="269"/>
      <c r="AD1875" s="269"/>
      <c r="AE1875" s="269"/>
      <c r="AF1875" s="269"/>
      <c r="AG1875" s="269"/>
      <c r="AH1875" s="269"/>
      <c r="AI1875" s="269"/>
      <c r="AJ1875" s="269"/>
      <c r="AK1875" s="269"/>
      <c r="AL1875" s="269"/>
      <c r="AM1875" s="269"/>
      <c r="AN1875" s="269"/>
      <c r="AO1875" s="269"/>
      <c r="AP1875" s="269"/>
      <c r="AQ1875" s="269"/>
      <c r="AR1875" s="269"/>
    </row>
    <row r="1876">
      <c r="A1876" s="410"/>
      <c r="B1876" s="410"/>
      <c r="C1876" s="410"/>
      <c r="D1876" s="410"/>
      <c r="E1876" s="410"/>
      <c r="F1876" s="410"/>
      <c r="H1876" s="269"/>
      <c r="I1876" s="269"/>
      <c r="J1876" s="269"/>
      <c r="K1876" s="269"/>
      <c r="L1876" s="269"/>
      <c r="M1876" s="269"/>
      <c r="N1876" s="269"/>
      <c r="O1876" s="269"/>
      <c r="P1876" s="269"/>
      <c r="Q1876" s="269"/>
      <c r="R1876" s="269"/>
      <c r="S1876" s="269"/>
      <c r="T1876" s="269"/>
      <c r="U1876" s="269"/>
      <c r="V1876" s="269"/>
      <c r="W1876" s="269"/>
      <c r="X1876" s="269"/>
      <c r="Y1876" s="269"/>
      <c r="Z1876" s="269"/>
      <c r="AA1876" s="269"/>
      <c r="AB1876" s="269"/>
      <c r="AC1876" s="269"/>
      <c r="AD1876" s="269"/>
      <c r="AE1876" s="269"/>
      <c r="AF1876" s="269"/>
      <c r="AG1876" s="269"/>
      <c r="AH1876" s="269"/>
      <c r="AI1876" s="269"/>
      <c r="AJ1876" s="269"/>
      <c r="AK1876" s="269"/>
      <c r="AL1876" s="269"/>
      <c r="AM1876" s="269"/>
      <c r="AN1876" s="269"/>
      <c r="AO1876" s="269"/>
      <c r="AP1876" s="269"/>
      <c r="AQ1876" s="269"/>
      <c r="AR1876" s="269"/>
    </row>
    <row r="1877">
      <c r="A1877" s="410"/>
      <c r="B1877" s="410"/>
      <c r="C1877" s="410"/>
      <c r="D1877" s="410"/>
      <c r="E1877" s="410"/>
      <c r="F1877" s="410"/>
      <c r="H1877" s="269"/>
      <c r="I1877" s="269"/>
      <c r="J1877" s="269"/>
      <c r="K1877" s="269"/>
      <c r="L1877" s="269"/>
      <c r="M1877" s="269"/>
      <c r="N1877" s="269"/>
      <c r="O1877" s="269"/>
      <c r="P1877" s="269"/>
      <c r="Q1877" s="269"/>
      <c r="R1877" s="269"/>
      <c r="S1877" s="269"/>
      <c r="T1877" s="269"/>
      <c r="U1877" s="269"/>
      <c r="V1877" s="269"/>
      <c r="W1877" s="269"/>
      <c r="X1877" s="269"/>
      <c r="Y1877" s="269"/>
      <c r="Z1877" s="269"/>
      <c r="AA1877" s="269"/>
      <c r="AB1877" s="269"/>
      <c r="AC1877" s="269"/>
      <c r="AD1877" s="269"/>
      <c r="AE1877" s="269"/>
      <c r="AF1877" s="269"/>
      <c r="AG1877" s="269"/>
      <c r="AH1877" s="269"/>
      <c r="AI1877" s="269"/>
      <c r="AJ1877" s="269"/>
      <c r="AK1877" s="269"/>
      <c r="AL1877" s="269"/>
      <c r="AM1877" s="269"/>
      <c r="AN1877" s="269"/>
      <c r="AO1877" s="269"/>
      <c r="AP1877" s="269"/>
      <c r="AQ1877" s="269"/>
      <c r="AR1877" s="269"/>
    </row>
    <row r="1878">
      <c r="A1878" s="410"/>
      <c r="B1878" s="410"/>
      <c r="C1878" s="410"/>
      <c r="D1878" s="410"/>
      <c r="E1878" s="410"/>
      <c r="F1878" s="410"/>
      <c r="H1878" s="269"/>
      <c r="I1878" s="269"/>
      <c r="J1878" s="269"/>
      <c r="K1878" s="269"/>
      <c r="L1878" s="269"/>
      <c r="M1878" s="269"/>
      <c r="N1878" s="269"/>
      <c r="O1878" s="269"/>
      <c r="P1878" s="269"/>
      <c r="Q1878" s="269"/>
      <c r="R1878" s="269"/>
      <c r="S1878" s="269"/>
      <c r="T1878" s="269"/>
      <c r="U1878" s="269"/>
      <c r="V1878" s="269"/>
      <c r="W1878" s="269"/>
      <c r="X1878" s="269"/>
      <c r="Y1878" s="269"/>
      <c r="Z1878" s="269"/>
      <c r="AA1878" s="269"/>
      <c r="AB1878" s="269"/>
      <c r="AC1878" s="269"/>
      <c r="AD1878" s="269"/>
      <c r="AE1878" s="269"/>
      <c r="AF1878" s="269"/>
      <c r="AG1878" s="269"/>
      <c r="AH1878" s="269"/>
      <c r="AI1878" s="269"/>
      <c r="AJ1878" s="269"/>
      <c r="AK1878" s="269"/>
      <c r="AL1878" s="269"/>
      <c r="AM1878" s="269"/>
      <c r="AN1878" s="269"/>
      <c r="AO1878" s="269"/>
      <c r="AP1878" s="269"/>
      <c r="AQ1878" s="269"/>
      <c r="AR1878" s="269"/>
    </row>
    <row r="1879">
      <c r="A1879" s="410"/>
      <c r="B1879" s="410"/>
      <c r="C1879" s="410"/>
      <c r="D1879" s="410"/>
      <c r="E1879" s="410"/>
      <c r="F1879" s="410"/>
      <c r="H1879" s="269"/>
      <c r="I1879" s="269"/>
      <c r="J1879" s="269"/>
      <c r="K1879" s="269"/>
      <c r="L1879" s="269"/>
      <c r="M1879" s="269"/>
      <c r="N1879" s="269"/>
      <c r="O1879" s="269"/>
      <c r="P1879" s="269"/>
      <c r="Q1879" s="269"/>
      <c r="R1879" s="269"/>
      <c r="S1879" s="269"/>
      <c r="T1879" s="269"/>
      <c r="U1879" s="269"/>
      <c r="V1879" s="269"/>
      <c r="W1879" s="269"/>
      <c r="X1879" s="269"/>
      <c r="Y1879" s="269"/>
      <c r="Z1879" s="269"/>
      <c r="AA1879" s="269"/>
      <c r="AB1879" s="269"/>
      <c r="AC1879" s="269"/>
      <c r="AD1879" s="269"/>
      <c r="AE1879" s="269"/>
      <c r="AF1879" s="269"/>
      <c r="AG1879" s="269"/>
      <c r="AH1879" s="269"/>
      <c r="AI1879" s="269"/>
      <c r="AJ1879" s="269"/>
      <c r="AK1879" s="269"/>
      <c r="AL1879" s="269"/>
      <c r="AM1879" s="269"/>
      <c r="AN1879" s="269"/>
      <c r="AO1879" s="269"/>
      <c r="AP1879" s="269"/>
      <c r="AQ1879" s="269"/>
      <c r="AR1879" s="269"/>
    </row>
    <row r="1880">
      <c r="A1880" s="410"/>
      <c r="B1880" s="410"/>
      <c r="C1880" s="410"/>
      <c r="D1880" s="410"/>
      <c r="E1880" s="410"/>
      <c r="F1880" s="410"/>
      <c r="H1880" s="269"/>
      <c r="I1880" s="269"/>
      <c r="J1880" s="269"/>
      <c r="K1880" s="269"/>
      <c r="L1880" s="269"/>
      <c r="M1880" s="269"/>
      <c r="N1880" s="269"/>
      <c r="O1880" s="269"/>
      <c r="P1880" s="269"/>
      <c r="Q1880" s="269"/>
      <c r="R1880" s="269"/>
      <c r="S1880" s="269"/>
      <c r="T1880" s="269"/>
      <c r="U1880" s="269"/>
      <c r="V1880" s="269"/>
      <c r="W1880" s="269"/>
      <c r="X1880" s="269"/>
      <c r="Y1880" s="269"/>
      <c r="Z1880" s="269"/>
      <c r="AA1880" s="269"/>
      <c r="AB1880" s="269"/>
      <c r="AC1880" s="269"/>
      <c r="AD1880" s="269"/>
      <c r="AE1880" s="269"/>
      <c r="AF1880" s="269"/>
      <c r="AG1880" s="269"/>
      <c r="AH1880" s="269"/>
      <c r="AI1880" s="269"/>
      <c r="AJ1880" s="269"/>
      <c r="AK1880" s="269"/>
      <c r="AL1880" s="269"/>
      <c r="AM1880" s="269"/>
      <c r="AN1880" s="269"/>
      <c r="AO1880" s="269"/>
      <c r="AP1880" s="269"/>
      <c r="AQ1880" s="269"/>
      <c r="AR1880" s="269"/>
    </row>
    <row r="1881">
      <c r="A1881" s="410"/>
      <c r="B1881" s="410"/>
      <c r="C1881" s="410"/>
      <c r="D1881" s="410"/>
      <c r="E1881" s="410"/>
      <c r="F1881" s="410"/>
      <c r="H1881" s="269"/>
      <c r="I1881" s="269"/>
      <c r="J1881" s="269"/>
      <c r="K1881" s="269"/>
      <c r="L1881" s="269"/>
      <c r="M1881" s="269"/>
      <c r="N1881" s="269"/>
      <c r="O1881" s="269"/>
      <c r="P1881" s="269"/>
      <c r="Q1881" s="269"/>
      <c r="R1881" s="269"/>
      <c r="S1881" s="269"/>
      <c r="T1881" s="269"/>
      <c r="U1881" s="269"/>
      <c r="V1881" s="269"/>
      <c r="W1881" s="269"/>
      <c r="X1881" s="269"/>
      <c r="Y1881" s="269"/>
      <c r="Z1881" s="269"/>
      <c r="AA1881" s="269"/>
      <c r="AB1881" s="269"/>
      <c r="AC1881" s="269"/>
      <c r="AD1881" s="269"/>
      <c r="AE1881" s="269"/>
      <c r="AF1881" s="269"/>
      <c r="AG1881" s="269"/>
      <c r="AH1881" s="269"/>
      <c r="AI1881" s="269"/>
      <c r="AJ1881" s="269"/>
      <c r="AK1881" s="269"/>
      <c r="AL1881" s="269"/>
      <c r="AM1881" s="269"/>
      <c r="AN1881" s="269"/>
      <c r="AO1881" s="269"/>
      <c r="AP1881" s="269"/>
      <c r="AQ1881" s="269"/>
      <c r="AR1881" s="269"/>
    </row>
    <row r="1882">
      <c r="A1882" s="410"/>
      <c r="B1882" s="410"/>
      <c r="C1882" s="410"/>
      <c r="D1882" s="410"/>
      <c r="E1882" s="410"/>
      <c r="F1882" s="410"/>
      <c r="H1882" s="269"/>
      <c r="I1882" s="269"/>
      <c r="J1882" s="269"/>
      <c r="K1882" s="269"/>
      <c r="L1882" s="269"/>
      <c r="M1882" s="269"/>
      <c r="N1882" s="269"/>
      <c r="O1882" s="269"/>
      <c r="P1882" s="269"/>
      <c r="Q1882" s="269"/>
      <c r="R1882" s="269"/>
      <c r="S1882" s="269"/>
      <c r="T1882" s="269"/>
      <c r="U1882" s="269"/>
      <c r="V1882" s="269"/>
      <c r="W1882" s="269"/>
      <c r="X1882" s="269"/>
      <c r="Y1882" s="269"/>
      <c r="Z1882" s="269"/>
      <c r="AA1882" s="269"/>
      <c r="AB1882" s="269"/>
      <c r="AC1882" s="269"/>
      <c r="AD1882" s="269"/>
      <c r="AE1882" s="269"/>
      <c r="AF1882" s="269"/>
      <c r="AG1882" s="269"/>
      <c r="AH1882" s="269"/>
      <c r="AI1882" s="269"/>
      <c r="AJ1882" s="269"/>
      <c r="AK1882" s="269"/>
      <c r="AL1882" s="269"/>
      <c r="AM1882" s="269"/>
      <c r="AN1882" s="269"/>
      <c r="AO1882" s="269"/>
      <c r="AP1882" s="269"/>
      <c r="AQ1882" s="269"/>
      <c r="AR1882" s="269"/>
    </row>
    <row r="1883">
      <c r="A1883" s="410"/>
      <c r="B1883" s="410"/>
      <c r="C1883" s="410"/>
      <c r="D1883" s="410"/>
      <c r="E1883" s="410"/>
      <c r="F1883" s="410"/>
      <c r="H1883" s="269"/>
      <c r="I1883" s="269"/>
      <c r="J1883" s="269"/>
      <c r="K1883" s="269"/>
      <c r="L1883" s="269"/>
      <c r="M1883" s="269"/>
      <c r="N1883" s="269"/>
      <c r="O1883" s="269"/>
      <c r="P1883" s="269"/>
      <c r="Q1883" s="269"/>
      <c r="R1883" s="269"/>
      <c r="S1883" s="269"/>
      <c r="T1883" s="269"/>
      <c r="U1883" s="269"/>
      <c r="V1883" s="269"/>
      <c r="W1883" s="269"/>
      <c r="X1883" s="269"/>
      <c r="Y1883" s="269"/>
      <c r="Z1883" s="269"/>
      <c r="AA1883" s="269"/>
      <c r="AB1883" s="269"/>
      <c r="AC1883" s="269"/>
      <c r="AD1883" s="269"/>
      <c r="AE1883" s="269"/>
      <c r="AF1883" s="269"/>
      <c r="AG1883" s="269"/>
      <c r="AH1883" s="269"/>
      <c r="AI1883" s="269"/>
      <c r="AJ1883" s="269"/>
      <c r="AK1883" s="269"/>
      <c r="AL1883" s="269"/>
      <c r="AM1883" s="269"/>
      <c r="AN1883" s="269"/>
      <c r="AO1883" s="269"/>
      <c r="AP1883" s="269"/>
      <c r="AQ1883" s="269"/>
      <c r="AR1883" s="269"/>
    </row>
    <row r="1884">
      <c r="A1884" s="410"/>
      <c r="B1884" s="410"/>
      <c r="C1884" s="410"/>
      <c r="D1884" s="410"/>
      <c r="E1884" s="410"/>
      <c r="F1884" s="410"/>
      <c r="H1884" s="269"/>
      <c r="I1884" s="269"/>
      <c r="J1884" s="269"/>
      <c r="K1884" s="269"/>
      <c r="L1884" s="269"/>
      <c r="M1884" s="269"/>
      <c r="N1884" s="269"/>
      <c r="O1884" s="269"/>
      <c r="P1884" s="269"/>
      <c r="Q1884" s="269"/>
      <c r="R1884" s="269"/>
      <c r="S1884" s="269"/>
      <c r="T1884" s="269"/>
      <c r="U1884" s="269"/>
      <c r="V1884" s="269"/>
      <c r="W1884" s="269"/>
      <c r="X1884" s="269"/>
      <c r="Y1884" s="269"/>
      <c r="Z1884" s="269"/>
      <c r="AA1884" s="269"/>
      <c r="AB1884" s="269"/>
      <c r="AC1884" s="269"/>
      <c r="AD1884" s="269"/>
      <c r="AE1884" s="269"/>
      <c r="AF1884" s="269"/>
      <c r="AG1884" s="269"/>
      <c r="AH1884" s="269"/>
      <c r="AI1884" s="269"/>
      <c r="AJ1884" s="269"/>
      <c r="AK1884" s="269"/>
      <c r="AL1884" s="269"/>
      <c r="AM1884" s="269"/>
      <c r="AN1884" s="269"/>
      <c r="AO1884" s="269"/>
      <c r="AP1884" s="269"/>
      <c r="AQ1884" s="269"/>
      <c r="AR1884" s="269"/>
    </row>
    <row r="1885">
      <c r="A1885" s="410"/>
      <c r="B1885" s="410"/>
      <c r="C1885" s="410"/>
      <c r="D1885" s="410"/>
      <c r="E1885" s="410"/>
      <c r="F1885" s="410"/>
      <c r="H1885" s="269"/>
      <c r="I1885" s="269"/>
      <c r="J1885" s="269"/>
      <c r="K1885" s="269"/>
      <c r="L1885" s="269"/>
      <c r="M1885" s="269"/>
      <c r="N1885" s="269"/>
      <c r="O1885" s="269"/>
      <c r="P1885" s="269"/>
      <c r="Q1885" s="269"/>
      <c r="R1885" s="269"/>
      <c r="S1885" s="269"/>
      <c r="T1885" s="269"/>
      <c r="U1885" s="269"/>
      <c r="V1885" s="269"/>
      <c r="W1885" s="269"/>
      <c r="X1885" s="269"/>
      <c r="Y1885" s="269"/>
      <c r="Z1885" s="269"/>
      <c r="AA1885" s="269"/>
      <c r="AB1885" s="269"/>
      <c r="AC1885" s="269"/>
      <c r="AD1885" s="269"/>
      <c r="AE1885" s="269"/>
      <c r="AF1885" s="269"/>
      <c r="AG1885" s="269"/>
      <c r="AH1885" s="269"/>
      <c r="AI1885" s="269"/>
      <c r="AJ1885" s="269"/>
      <c r="AK1885" s="269"/>
      <c r="AL1885" s="269"/>
      <c r="AM1885" s="269"/>
      <c r="AN1885" s="269"/>
      <c r="AO1885" s="269"/>
      <c r="AP1885" s="269"/>
      <c r="AQ1885" s="269"/>
      <c r="AR1885" s="269"/>
    </row>
    <row r="1886">
      <c r="A1886" s="410"/>
      <c r="B1886" s="410"/>
      <c r="C1886" s="410"/>
      <c r="D1886" s="410"/>
      <c r="E1886" s="410"/>
      <c r="F1886" s="410"/>
      <c r="H1886" s="269"/>
      <c r="I1886" s="269"/>
      <c r="J1886" s="269"/>
      <c r="K1886" s="269"/>
      <c r="L1886" s="269"/>
      <c r="M1886" s="269"/>
      <c r="N1886" s="269"/>
      <c r="O1886" s="269"/>
      <c r="P1886" s="269"/>
      <c r="Q1886" s="269"/>
      <c r="R1886" s="269"/>
      <c r="S1886" s="269"/>
      <c r="T1886" s="269"/>
      <c r="U1886" s="269"/>
      <c r="V1886" s="269"/>
      <c r="W1886" s="269"/>
      <c r="X1886" s="269"/>
      <c r="Y1886" s="269"/>
      <c r="Z1886" s="269"/>
      <c r="AA1886" s="269"/>
      <c r="AB1886" s="269"/>
      <c r="AC1886" s="269"/>
      <c r="AD1886" s="269"/>
      <c r="AE1886" s="269"/>
      <c r="AF1886" s="269"/>
      <c r="AG1886" s="269"/>
      <c r="AH1886" s="269"/>
      <c r="AI1886" s="269"/>
      <c r="AJ1886" s="269"/>
      <c r="AK1886" s="269"/>
      <c r="AL1886" s="269"/>
      <c r="AM1886" s="269"/>
      <c r="AN1886" s="269"/>
      <c r="AO1886" s="269"/>
      <c r="AP1886" s="269"/>
      <c r="AQ1886" s="269"/>
      <c r="AR1886" s="269"/>
    </row>
    <row r="1887">
      <c r="A1887" s="410"/>
      <c r="B1887" s="410"/>
      <c r="C1887" s="410"/>
      <c r="D1887" s="410"/>
      <c r="E1887" s="410"/>
      <c r="F1887" s="410"/>
      <c r="H1887" s="269"/>
      <c r="I1887" s="269"/>
      <c r="J1887" s="269"/>
      <c r="K1887" s="269"/>
      <c r="L1887" s="269"/>
      <c r="M1887" s="269"/>
      <c r="N1887" s="269"/>
      <c r="O1887" s="269"/>
      <c r="P1887" s="269"/>
      <c r="Q1887" s="269"/>
      <c r="R1887" s="269"/>
      <c r="S1887" s="269"/>
      <c r="T1887" s="269"/>
      <c r="U1887" s="269"/>
      <c r="V1887" s="269"/>
      <c r="W1887" s="269"/>
      <c r="X1887" s="269"/>
      <c r="Y1887" s="269"/>
      <c r="Z1887" s="269"/>
      <c r="AA1887" s="269"/>
      <c r="AB1887" s="269"/>
      <c r="AC1887" s="269"/>
      <c r="AD1887" s="269"/>
      <c r="AE1887" s="269"/>
      <c r="AF1887" s="269"/>
      <c r="AG1887" s="269"/>
      <c r="AH1887" s="269"/>
      <c r="AI1887" s="269"/>
      <c r="AJ1887" s="269"/>
      <c r="AK1887" s="269"/>
      <c r="AL1887" s="269"/>
      <c r="AM1887" s="269"/>
      <c r="AN1887" s="269"/>
      <c r="AO1887" s="269"/>
      <c r="AP1887" s="269"/>
      <c r="AQ1887" s="269"/>
      <c r="AR1887" s="269"/>
    </row>
    <row r="1888">
      <c r="A1888" s="410"/>
      <c r="B1888" s="410"/>
      <c r="C1888" s="410"/>
      <c r="D1888" s="410"/>
      <c r="E1888" s="410"/>
      <c r="F1888" s="410"/>
      <c r="H1888" s="269"/>
      <c r="I1888" s="269"/>
      <c r="J1888" s="269"/>
      <c r="K1888" s="269"/>
      <c r="L1888" s="269"/>
      <c r="M1888" s="269"/>
      <c r="N1888" s="269"/>
      <c r="O1888" s="269"/>
      <c r="P1888" s="269"/>
      <c r="Q1888" s="269"/>
      <c r="R1888" s="269"/>
      <c r="S1888" s="269"/>
      <c r="T1888" s="269"/>
      <c r="U1888" s="269"/>
      <c r="V1888" s="269"/>
      <c r="W1888" s="269"/>
      <c r="X1888" s="269"/>
      <c r="Y1888" s="269"/>
      <c r="Z1888" s="269"/>
      <c r="AA1888" s="269"/>
      <c r="AB1888" s="269"/>
      <c r="AC1888" s="269"/>
      <c r="AD1888" s="269"/>
      <c r="AE1888" s="269"/>
      <c r="AF1888" s="269"/>
      <c r="AG1888" s="269"/>
      <c r="AH1888" s="269"/>
      <c r="AI1888" s="269"/>
      <c r="AJ1888" s="269"/>
      <c r="AK1888" s="269"/>
      <c r="AL1888" s="269"/>
      <c r="AM1888" s="269"/>
      <c r="AN1888" s="269"/>
      <c r="AO1888" s="269"/>
      <c r="AP1888" s="269"/>
      <c r="AQ1888" s="269"/>
      <c r="AR1888" s="269"/>
    </row>
    <row r="1889">
      <c r="A1889" s="410"/>
      <c r="B1889" s="410"/>
      <c r="C1889" s="410"/>
      <c r="D1889" s="410"/>
      <c r="E1889" s="410"/>
      <c r="F1889" s="410"/>
      <c r="H1889" s="269"/>
      <c r="I1889" s="269"/>
      <c r="J1889" s="269"/>
      <c r="K1889" s="269"/>
      <c r="L1889" s="269"/>
      <c r="M1889" s="269"/>
      <c r="N1889" s="269"/>
      <c r="O1889" s="269"/>
      <c r="P1889" s="269"/>
      <c r="Q1889" s="269"/>
      <c r="R1889" s="269"/>
      <c r="S1889" s="269"/>
      <c r="T1889" s="269"/>
      <c r="U1889" s="269"/>
      <c r="V1889" s="269"/>
      <c r="W1889" s="269"/>
      <c r="X1889" s="269"/>
      <c r="Y1889" s="269"/>
      <c r="Z1889" s="269"/>
      <c r="AA1889" s="269"/>
      <c r="AB1889" s="269"/>
      <c r="AC1889" s="269"/>
      <c r="AD1889" s="269"/>
      <c r="AE1889" s="269"/>
      <c r="AF1889" s="269"/>
      <c r="AG1889" s="269"/>
      <c r="AH1889" s="269"/>
      <c r="AI1889" s="269"/>
      <c r="AJ1889" s="269"/>
      <c r="AK1889" s="269"/>
      <c r="AL1889" s="269"/>
      <c r="AM1889" s="269"/>
      <c r="AN1889" s="269"/>
      <c r="AO1889" s="269"/>
      <c r="AP1889" s="269"/>
      <c r="AQ1889" s="269"/>
      <c r="AR1889" s="269"/>
    </row>
    <row r="1890">
      <c r="A1890" s="410"/>
      <c r="B1890" s="410"/>
      <c r="C1890" s="410"/>
      <c r="D1890" s="410"/>
      <c r="E1890" s="410"/>
      <c r="F1890" s="410"/>
      <c r="H1890" s="269"/>
      <c r="I1890" s="269"/>
      <c r="J1890" s="269"/>
      <c r="K1890" s="269"/>
      <c r="L1890" s="269"/>
      <c r="M1890" s="269"/>
      <c r="N1890" s="269"/>
      <c r="O1890" s="269"/>
      <c r="P1890" s="269"/>
      <c r="Q1890" s="269"/>
      <c r="R1890" s="269"/>
      <c r="S1890" s="269"/>
      <c r="T1890" s="269"/>
      <c r="U1890" s="269"/>
      <c r="V1890" s="269"/>
      <c r="W1890" s="269"/>
      <c r="X1890" s="269"/>
      <c r="Y1890" s="269"/>
      <c r="Z1890" s="269"/>
      <c r="AA1890" s="269"/>
      <c r="AB1890" s="269"/>
      <c r="AC1890" s="269"/>
      <c r="AD1890" s="269"/>
      <c r="AE1890" s="269"/>
      <c r="AF1890" s="269"/>
      <c r="AG1890" s="269"/>
      <c r="AH1890" s="269"/>
      <c r="AI1890" s="269"/>
      <c r="AJ1890" s="269"/>
      <c r="AK1890" s="269"/>
      <c r="AL1890" s="269"/>
      <c r="AM1890" s="269"/>
      <c r="AN1890" s="269"/>
      <c r="AO1890" s="269"/>
      <c r="AP1890" s="269"/>
      <c r="AQ1890" s="269"/>
      <c r="AR1890" s="269"/>
    </row>
    <row r="1891">
      <c r="A1891" s="410"/>
      <c r="B1891" s="410"/>
      <c r="C1891" s="410"/>
      <c r="D1891" s="410"/>
      <c r="E1891" s="410"/>
      <c r="F1891" s="410"/>
      <c r="H1891" s="269"/>
      <c r="I1891" s="269"/>
      <c r="J1891" s="269"/>
      <c r="K1891" s="269"/>
      <c r="L1891" s="269"/>
      <c r="M1891" s="269"/>
      <c r="N1891" s="269"/>
      <c r="O1891" s="269"/>
      <c r="P1891" s="269"/>
      <c r="Q1891" s="269"/>
      <c r="R1891" s="269"/>
      <c r="S1891" s="269"/>
      <c r="T1891" s="269"/>
      <c r="U1891" s="269"/>
      <c r="V1891" s="269"/>
      <c r="W1891" s="269"/>
      <c r="X1891" s="269"/>
      <c r="Y1891" s="269"/>
      <c r="Z1891" s="269"/>
      <c r="AA1891" s="269"/>
      <c r="AB1891" s="269"/>
      <c r="AC1891" s="269"/>
      <c r="AD1891" s="269"/>
      <c r="AE1891" s="269"/>
      <c r="AF1891" s="269"/>
      <c r="AG1891" s="269"/>
      <c r="AH1891" s="269"/>
      <c r="AI1891" s="269"/>
      <c r="AJ1891" s="269"/>
      <c r="AK1891" s="269"/>
      <c r="AL1891" s="269"/>
      <c r="AM1891" s="269"/>
      <c r="AN1891" s="269"/>
      <c r="AO1891" s="269"/>
      <c r="AP1891" s="269"/>
      <c r="AQ1891" s="269"/>
      <c r="AR1891" s="269"/>
    </row>
    <row r="1892">
      <c r="A1892" s="410"/>
      <c r="B1892" s="410"/>
      <c r="C1892" s="410"/>
      <c r="D1892" s="410"/>
      <c r="E1892" s="410"/>
      <c r="F1892" s="410"/>
      <c r="H1892" s="269"/>
      <c r="I1892" s="269"/>
      <c r="J1892" s="269"/>
      <c r="K1892" s="269"/>
      <c r="L1892" s="269"/>
      <c r="M1892" s="269"/>
      <c r="N1892" s="269"/>
      <c r="O1892" s="269"/>
      <c r="P1892" s="269"/>
      <c r="Q1892" s="269"/>
      <c r="R1892" s="269"/>
      <c r="S1892" s="269"/>
      <c r="T1892" s="269"/>
      <c r="U1892" s="269"/>
      <c r="V1892" s="269"/>
      <c r="W1892" s="269"/>
      <c r="X1892" s="269"/>
      <c r="Y1892" s="269"/>
      <c r="Z1892" s="269"/>
      <c r="AA1892" s="269"/>
      <c r="AB1892" s="269"/>
      <c r="AC1892" s="269"/>
      <c r="AD1892" s="269"/>
      <c r="AE1892" s="269"/>
      <c r="AF1892" s="269"/>
      <c r="AG1892" s="269"/>
      <c r="AH1892" s="269"/>
      <c r="AI1892" s="269"/>
      <c r="AJ1892" s="269"/>
      <c r="AK1892" s="269"/>
      <c r="AL1892" s="269"/>
      <c r="AM1892" s="269"/>
      <c r="AN1892" s="269"/>
      <c r="AO1892" s="269"/>
      <c r="AP1892" s="269"/>
      <c r="AQ1892" s="269"/>
      <c r="AR1892" s="269"/>
    </row>
    <row r="1893">
      <c r="A1893" s="410"/>
      <c r="B1893" s="410"/>
      <c r="C1893" s="410"/>
      <c r="D1893" s="410"/>
      <c r="E1893" s="410"/>
      <c r="F1893" s="410"/>
      <c r="H1893" s="269"/>
      <c r="I1893" s="269"/>
      <c r="J1893" s="269"/>
      <c r="K1893" s="269"/>
      <c r="L1893" s="269"/>
      <c r="M1893" s="269"/>
      <c r="N1893" s="269"/>
      <c r="O1893" s="269"/>
      <c r="P1893" s="269"/>
      <c r="Q1893" s="269"/>
      <c r="R1893" s="269"/>
      <c r="S1893" s="269"/>
      <c r="T1893" s="269"/>
      <c r="U1893" s="269"/>
      <c r="V1893" s="269"/>
      <c r="W1893" s="269"/>
      <c r="X1893" s="269"/>
      <c r="Y1893" s="269"/>
      <c r="Z1893" s="269"/>
      <c r="AA1893" s="269"/>
      <c r="AB1893" s="269"/>
      <c r="AC1893" s="269"/>
      <c r="AD1893" s="269"/>
      <c r="AE1893" s="269"/>
      <c r="AF1893" s="269"/>
      <c r="AG1893" s="269"/>
      <c r="AH1893" s="269"/>
      <c r="AI1893" s="269"/>
      <c r="AJ1893" s="269"/>
      <c r="AK1893" s="269"/>
      <c r="AL1893" s="269"/>
      <c r="AM1893" s="269"/>
      <c r="AN1893" s="269"/>
      <c r="AO1893" s="269"/>
      <c r="AP1893" s="269"/>
      <c r="AQ1893" s="269"/>
      <c r="AR1893" s="269"/>
    </row>
    <row r="1894">
      <c r="A1894" s="410"/>
      <c r="B1894" s="410"/>
      <c r="C1894" s="410"/>
      <c r="D1894" s="410"/>
      <c r="E1894" s="410"/>
      <c r="F1894" s="410"/>
      <c r="H1894" s="269"/>
      <c r="I1894" s="269"/>
      <c r="J1894" s="269"/>
      <c r="K1894" s="269"/>
      <c r="L1894" s="269"/>
      <c r="M1894" s="269"/>
      <c r="N1894" s="269"/>
      <c r="O1894" s="269"/>
      <c r="P1894" s="269"/>
      <c r="Q1894" s="269"/>
      <c r="R1894" s="269"/>
      <c r="S1894" s="269"/>
      <c r="T1894" s="269"/>
      <c r="U1894" s="269"/>
      <c r="V1894" s="269"/>
      <c r="W1894" s="269"/>
      <c r="X1894" s="269"/>
      <c r="Y1894" s="269"/>
      <c r="Z1894" s="269"/>
      <c r="AA1894" s="269"/>
      <c r="AB1894" s="269"/>
      <c r="AC1894" s="269"/>
      <c r="AD1894" s="269"/>
      <c r="AE1894" s="269"/>
      <c r="AF1894" s="269"/>
      <c r="AG1894" s="269"/>
      <c r="AH1894" s="269"/>
      <c r="AI1894" s="269"/>
      <c r="AJ1894" s="269"/>
      <c r="AK1894" s="269"/>
      <c r="AL1894" s="269"/>
      <c r="AM1894" s="269"/>
      <c r="AN1894" s="269"/>
      <c r="AO1894" s="269"/>
      <c r="AP1894" s="269"/>
      <c r="AQ1894" s="269"/>
      <c r="AR1894" s="269"/>
    </row>
    <row r="1895">
      <c r="A1895" s="410"/>
      <c r="B1895" s="410"/>
      <c r="C1895" s="410"/>
      <c r="D1895" s="410"/>
      <c r="E1895" s="410"/>
      <c r="F1895" s="410"/>
      <c r="H1895" s="269"/>
      <c r="I1895" s="269"/>
      <c r="J1895" s="269"/>
      <c r="K1895" s="269"/>
      <c r="L1895" s="269"/>
      <c r="M1895" s="269"/>
      <c r="N1895" s="269"/>
      <c r="O1895" s="269"/>
      <c r="P1895" s="269"/>
      <c r="Q1895" s="269"/>
      <c r="R1895" s="269"/>
      <c r="S1895" s="269"/>
      <c r="T1895" s="269"/>
      <c r="U1895" s="269"/>
      <c r="V1895" s="269"/>
      <c r="W1895" s="269"/>
      <c r="X1895" s="269"/>
      <c r="Y1895" s="269"/>
      <c r="Z1895" s="269"/>
      <c r="AA1895" s="269"/>
      <c r="AB1895" s="269"/>
      <c r="AC1895" s="269"/>
      <c r="AD1895" s="269"/>
      <c r="AE1895" s="269"/>
      <c r="AF1895" s="269"/>
      <c r="AG1895" s="269"/>
      <c r="AH1895" s="269"/>
      <c r="AI1895" s="269"/>
      <c r="AJ1895" s="269"/>
      <c r="AK1895" s="269"/>
      <c r="AL1895" s="269"/>
      <c r="AM1895" s="269"/>
      <c r="AN1895" s="269"/>
      <c r="AO1895" s="269"/>
      <c r="AP1895" s="269"/>
      <c r="AQ1895" s="269"/>
      <c r="AR1895" s="269"/>
    </row>
    <row r="1896">
      <c r="A1896" s="410"/>
      <c r="B1896" s="410"/>
      <c r="C1896" s="410"/>
      <c r="D1896" s="410"/>
      <c r="E1896" s="410"/>
      <c r="F1896" s="410"/>
      <c r="H1896" s="269"/>
      <c r="I1896" s="269"/>
      <c r="J1896" s="269"/>
      <c r="K1896" s="269"/>
      <c r="L1896" s="269"/>
      <c r="M1896" s="269"/>
      <c r="N1896" s="269"/>
      <c r="O1896" s="269"/>
      <c r="P1896" s="269"/>
      <c r="Q1896" s="269"/>
      <c r="R1896" s="269"/>
      <c r="S1896" s="269"/>
      <c r="T1896" s="269"/>
      <c r="U1896" s="269"/>
      <c r="V1896" s="269"/>
      <c r="W1896" s="269"/>
      <c r="X1896" s="269"/>
      <c r="Y1896" s="269"/>
      <c r="Z1896" s="269"/>
      <c r="AA1896" s="269"/>
      <c r="AB1896" s="269"/>
      <c r="AC1896" s="269"/>
      <c r="AD1896" s="269"/>
      <c r="AE1896" s="269"/>
      <c r="AF1896" s="269"/>
      <c r="AG1896" s="269"/>
      <c r="AH1896" s="269"/>
      <c r="AI1896" s="269"/>
      <c r="AJ1896" s="269"/>
      <c r="AK1896" s="269"/>
      <c r="AL1896" s="269"/>
      <c r="AM1896" s="269"/>
      <c r="AN1896" s="269"/>
      <c r="AO1896" s="269"/>
      <c r="AP1896" s="269"/>
      <c r="AQ1896" s="269"/>
      <c r="AR1896" s="269"/>
    </row>
    <row r="1897">
      <c r="A1897" s="410"/>
      <c r="B1897" s="410"/>
      <c r="C1897" s="410"/>
      <c r="D1897" s="410"/>
      <c r="E1897" s="410"/>
      <c r="F1897" s="410"/>
      <c r="H1897" s="269"/>
      <c r="I1897" s="269"/>
      <c r="J1897" s="269"/>
      <c r="K1897" s="269"/>
      <c r="L1897" s="269"/>
      <c r="M1897" s="269"/>
      <c r="N1897" s="269"/>
      <c r="O1897" s="269"/>
      <c r="P1897" s="269"/>
      <c r="Q1897" s="269"/>
      <c r="R1897" s="269"/>
      <c r="S1897" s="269"/>
      <c r="T1897" s="269"/>
      <c r="U1897" s="269"/>
      <c r="V1897" s="269"/>
      <c r="W1897" s="269"/>
      <c r="X1897" s="269"/>
      <c r="Y1897" s="269"/>
      <c r="Z1897" s="269"/>
      <c r="AA1897" s="269"/>
      <c r="AB1897" s="269"/>
      <c r="AC1897" s="269"/>
      <c r="AD1897" s="269"/>
      <c r="AE1897" s="269"/>
      <c r="AF1897" s="269"/>
      <c r="AG1897" s="269"/>
      <c r="AH1897" s="269"/>
      <c r="AI1897" s="269"/>
      <c r="AJ1897" s="269"/>
      <c r="AK1897" s="269"/>
      <c r="AL1897" s="269"/>
      <c r="AM1897" s="269"/>
      <c r="AN1897" s="269"/>
      <c r="AO1897" s="269"/>
      <c r="AP1897" s="269"/>
      <c r="AQ1897" s="269"/>
      <c r="AR1897" s="269"/>
    </row>
    <row r="1898">
      <c r="A1898" s="410"/>
      <c r="B1898" s="410"/>
      <c r="C1898" s="410"/>
      <c r="D1898" s="410"/>
      <c r="E1898" s="410"/>
      <c r="F1898" s="410"/>
      <c r="H1898" s="269"/>
      <c r="I1898" s="269"/>
      <c r="J1898" s="269"/>
      <c r="K1898" s="269"/>
      <c r="L1898" s="269"/>
      <c r="M1898" s="269"/>
      <c r="N1898" s="269"/>
      <c r="O1898" s="269"/>
      <c r="P1898" s="269"/>
      <c r="Q1898" s="269"/>
      <c r="R1898" s="269"/>
      <c r="S1898" s="269"/>
      <c r="T1898" s="269"/>
      <c r="U1898" s="269"/>
      <c r="V1898" s="269"/>
      <c r="W1898" s="269"/>
      <c r="X1898" s="269"/>
      <c r="Y1898" s="269"/>
      <c r="Z1898" s="269"/>
      <c r="AA1898" s="269"/>
      <c r="AB1898" s="269"/>
      <c r="AC1898" s="269"/>
      <c r="AD1898" s="269"/>
      <c r="AE1898" s="269"/>
      <c r="AF1898" s="269"/>
      <c r="AG1898" s="269"/>
      <c r="AH1898" s="269"/>
      <c r="AI1898" s="269"/>
      <c r="AJ1898" s="269"/>
      <c r="AK1898" s="269"/>
      <c r="AL1898" s="269"/>
      <c r="AM1898" s="269"/>
      <c r="AN1898" s="269"/>
      <c r="AO1898" s="269"/>
      <c r="AP1898" s="269"/>
      <c r="AQ1898" s="269"/>
      <c r="AR1898" s="269"/>
    </row>
    <row r="1899">
      <c r="A1899" s="410"/>
      <c r="B1899" s="410"/>
      <c r="C1899" s="410"/>
      <c r="D1899" s="410"/>
      <c r="E1899" s="410"/>
      <c r="F1899" s="410"/>
      <c r="H1899" s="269"/>
      <c r="I1899" s="269"/>
      <c r="J1899" s="269"/>
      <c r="K1899" s="269"/>
      <c r="L1899" s="269"/>
      <c r="M1899" s="269"/>
      <c r="N1899" s="269"/>
      <c r="O1899" s="269"/>
      <c r="P1899" s="269"/>
      <c r="Q1899" s="269"/>
      <c r="R1899" s="269"/>
      <c r="S1899" s="269"/>
      <c r="T1899" s="269"/>
      <c r="U1899" s="269"/>
      <c r="V1899" s="269"/>
      <c r="W1899" s="269"/>
      <c r="X1899" s="269"/>
      <c r="Y1899" s="269"/>
      <c r="Z1899" s="269"/>
      <c r="AA1899" s="269"/>
      <c r="AB1899" s="269"/>
      <c r="AC1899" s="269"/>
      <c r="AD1899" s="269"/>
      <c r="AE1899" s="269"/>
      <c r="AF1899" s="269"/>
      <c r="AG1899" s="269"/>
      <c r="AH1899" s="269"/>
      <c r="AI1899" s="269"/>
      <c r="AJ1899" s="269"/>
      <c r="AK1899" s="269"/>
      <c r="AL1899" s="269"/>
      <c r="AM1899" s="269"/>
      <c r="AN1899" s="269"/>
      <c r="AO1899" s="269"/>
      <c r="AP1899" s="269"/>
      <c r="AQ1899" s="269"/>
      <c r="AR1899" s="269"/>
    </row>
    <row r="1900">
      <c r="A1900" s="410"/>
      <c r="B1900" s="410"/>
      <c r="C1900" s="410"/>
      <c r="D1900" s="410"/>
      <c r="E1900" s="410"/>
      <c r="F1900" s="410"/>
      <c r="H1900" s="269"/>
      <c r="I1900" s="269"/>
      <c r="J1900" s="269"/>
      <c r="K1900" s="269"/>
      <c r="L1900" s="269"/>
      <c r="M1900" s="269"/>
      <c r="N1900" s="269"/>
      <c r="O1900" s="269"/>
      <c r="P1900" s="269"/>
      <c r="Q1900" s="269"/>
      <c r="R1900" s="269"/>
      <c r="S1900" s="269"/>
      <c r="T1900" s="269"/>
      <c r="U1900" s="269"/>
      <c r="V1900" s="269"/>
      <c r="W1900" s="269"/>
      <c r="X1900" s="269"/>
      <c r="Y1900" s="269"/>
      <c r="Z1900" s="269"/>
      <c r="AA1900" s="269"/>
      <c r="AB1900" s="269"/>
      <c r="AC1900" s="269"/>
      <c r="AD1900" s="269"/>
      <c r="AE1900" s="269"/>
      <c r="AF1900" s="269"/>
      <c r="AG1900" s="269"/>
      <c r="AH1900" s="269"/>
      <c r="AI1900" s="269"/>
      <c r="AJ1900" s="269"/>
      <c r="AK1900" s="269"/>
      <c r="AL1900" s="269"/>
      <c r="AM1900" s="269"/>
      <c r="AN1900" s="269"/>
      <c r="AO1900" s="269"/>
      <c r="AP1900" s="269"/>
      <c r="AQ1900" s="269"/>
      <c r="AR1900" s="269"/>
    </row>
    <row r="1901">
      <c r="A1901" s="410"/>
      <c r="B1901" s="410"/>
      <c r="C1901" s="410"/>
      <c r="D1901" s="410"/>
      <c r="E1901" s="410"/>
      <c r="F1901" s="410"/>
      <c r="H1901" s="269"/>
      <c r="I1901" s="269"/>
      <c r="J1901" s="269"/>
      <c r="K1901" s="269"/>
      <c r="L1901" s="269"/>
      <c r="M1901" s="269"/>
      <c r="N1901" s="269"/>
      <c r="O1901" s="269"/>
      <c r="P1901" s="269"/>
      <c r="Q1901" s="269"/>
      <c r="R1901" s="269"/>
      <c r="S1901" s="269"/>
      <c r="T1901" s="269"/>
      <c r="U1901" s="269"/>
      <c r="V1901" s="269"/>
      <c r="W1901" s="269"/>
      <c r="X1901" s="269"/>
      <c r="Y1901" s="269"/>
      <c r="Z1901" s="269"/>
      <c r="AA1901" s="269"/>
      <c r="AB1901" s="269"/>
      <c r="AC1901" s="269"/>
      <c r="AD1901" s="269"/>
      <c r="AE1901" s="269"/>
      <c r="AF1901" s="269"/>
      <c r="AG1901" s="269"/>
      <c r="AH1901" s="269"/>
      <c r="AI1901" s="269"/>
      <c r="AJ1901" s="269"/>
      <c r="AK1901" s="269"/>
      <c r="AL1901" s="269"/>
      <c r="AM1901" s="269"/>
      <c r="AN1901" s="269"/>
      <c r="AO1901" s="269"/>
      <c r="AP1901" s="269"/>
      <c r="AQ1901" s="269"/>
      <c r="AR1901" s="269"/>
    </row>
    <row r="1902">
      <c r="A1902" s="410"/>
      <c r="B1902" s="410"/>
      <c r="C1902" s="410"/>
      <c r="D1902" s="410"/>
      <c r="E1902" s="410"/>
      <c r="F1902" s="410"/>
      <c r="H1902" s="269"/>
      <c r="I1902" s="269"/>
      <c r="J1902" s="269"/>
      <c r="K1902" s="269"/>
      <c r="L1902" s="269"/>
      <c r="M1902" s="269"/>
      <c r="N1902" s="269"/>
      <c r="O1902" s="269"/>
      <c r="P1902" s="269"/>
      <c r="Q1902" s="269"/>
      <c r="R1902" s="269"/>
      <c r="S1902" s="269"/>
      <c r="T1902" s="269"/>
      <c r="U1902" s="269"/>
      <c r="V1902" s="269"/>
      <c r="W1902" s="269"/>
      <c r="X1902" s="269"/>
      <c r="Y1902" s="269"/>
      <c r="Z1902" s="269"/>
      <c r="AA1902" s="269"/>
      <c r="AB1902" s="269"/>
      <c r="AC1902" s="269"/>
      <c r="AD1902" s="269"/>
      <c r="AE1902" s="269"/>
      <c r="AF1902" s="269"/>
      <c r="AG1902" s="269"/>
      <c r="AH1902" s="269"/>
      <c r="AI1902" s="269"/>
      <c r="AJ1902" s="269"/>
      <c r="AK1902" s="269"/>
      <c r="AL1902" s="269"/>
      <c r="AM1902" s="269"/>
      <c r="AN1902" s="269"/>
      <c r="AO1902" s="269"/>
      <c r="AP1902" s="269"/>
      <c r="AQ1902" s="269"/>
      <c r="AR1902" s="269"/>
    </row>
    <row r="1903">
      <c r="A1903" s="410"/>
      <c r="B1903" s="410"/>
      <c r="C1903" s="410"/>
      <c r="D1903" s="410"/>
      <c r="E1903" s="410"/>
      <c r="F1903" s="410"/>
      <c r="H1903" s="269"/>
      <c r="I1903" s="269"/>
      <c r="J1903" s="269"/>
      <c r="K1903" s="269"/>
      <c r="L1903" s="269"/>
      <c r="M1903" s="269"/>
      <c r="N1903" s="269"/>
      <c r="O1903" s="269"/>
      <c r="P1903" s="269"/>
      <c r="Q1903" s="269"/>
      <c r="R1903" s="269"/>
      <c r="S1903" s="269"/>
      <c r="T1903" s="269"/>
      <c r="U1903" s="269"/>
      <c r="V1903" s="269"/>
      <c r="W1903" s="269"/>
      <c r="X1903" s="269"/>
      <c r="Y1903" s="269"/>
      <c r="Z1903" s="269"/>
      <c r="AA1903" s="269"/>
      <c r="AB1903" s="269"/>
      <c r="AC1903" s="269"/>
      <c r="AD1903" s="269"/>
      <c r="AE1903" s="269"/>
      <c r="AF1903" s="269"/>
      <c r="AG1903" s="269"/>
      <c r="AH1903" s="269"/>
      <c r="AI1903" s="269"/>
      <c r="AJ1903" s="269"/>
      <c r="AK1903" s="269"/>
      <c r="AL1903" s="269"/>
      <c r="AM1903" s="269"/>
      <c r="AN1903" s="269"/>
      <c r="AO1903" s="269"/>
      <c r="AP1903" s="269"/>
      <c r="AQ1903" s="269"/>
      <c r="AR1903" s="269"/>
    </row>
    <row r="1904">
      <c r="A1904" s="410"/>
      <c r="B1904" s="410"/>
      <c r="C1904" s="410"/>
      <c r="D1904" s="410"/>
      <c r="E1904" s="410"/>
      <c r="F1904" s="410"/>
      <c r="H1904" s="269"/>
      <c r="I1904" s="269"/>
      <c r="J1904" s="269"/>
      <c r="K1904" s="269"/>
      <c r="L1904" s="269"/>
      <c r="M1904" s="269"/>
      <c r="N1904" s="269"/>
      <c r="O1904" s="269"/>
      <c r="P1904" s="269"/>
      <c r="Q1904" s="269"/>
      <c r="R1904" s="269"/>
      <c r="S1904" s="269"/>
      <c r="T1904" s="269"/>
      <c r="U1904" s="269"/>
      <c r="V1904" s="269"/>
      <c r="W1904" s="269"/>
      <c r="X1904" s="269"/>
      <c r="Y1904" s="269"/>
      <c r="Z1904" s="269"/>
      <c r="AA1904" s="269"/>
      <c r="AB1904" s="269"/>
      <c r="AC1904" s="269"/>
      <c r="AD1904" s="269"/>
      <c r="AE1904" s="269"/>
      <c r="AF1904" s="269"/>
      <c r="AG1904" s="269"/>
      <c r="AH1904" s="269"/>
      <c r="AI1904" s="269"/>
      <c r="AJ1904" s="269"/>
      <c r="AK1904" s="269"/>
      <c r="AL1904" s="269"/>
      <c r="AM1904" s="269"/>
      <c r="AN1904" s="269"/>
      <c r="AO1904" s="269"/>
      <c r="AP1904" s="269"/>
      <c r="AQ1904" s="269"/>
      <c r="AR1904" s="269"/>
    </row>
    <row r="1905">
      <c r="A1905" s="410"/>
      <c r="B1905" s="410"/>
      <c r="C1905" s="410"/>
      <c r="D1905" s="410"/>
      <c r="E1905" s="410"/>
      <c r="F1905" s="410"/>
      <c r="H1905" s="269"/>
      <c r="I1905" s="269"/>
      <c r="J1905" s="269"/>
      <c r="K1905" s="269"/>
      <c r="L1905" s="269"/>
      <c r="M1905" s="269"/>
      <c r="N1905" s="269"/>
      <c r="O1905" s="269"/>
      <c r="P1905" s="269"/>
      <c r="Q1905" s="269"/>
      <c r="R1905" s="269"/>
      <c r="S1905" s="269"/>
      <c r="T1905" s="269"/>
      <c r="U1905" s="269"/>
      <c r="V1905" s="269"/>
      <c r="W1905" s="269"/>
      <c r="X1905" s="269"/>
      <c r="Y1905" s="269"/>
      <c r="Z1905" s="269"/>
      <c r="AA1905" s="269"/>
      <c r="AB1905" s="269"/>
      <c r="AC1905" s="269"/>
      <c r="AD1905" s="269"/>
      <c r="AE1905" s="269"/>
      <c r="AF1905" s="269"/>
      <c r="AG1905" s="269"/>
      <c r="AH1905" s="269"/>
      <c r="AI1905" s="269"/>
      <c r="AJ1905" s="269"/>
      <c r="AK1905" s="269"/>
      <c r="AL1905" s="269"/>
      <c r="AM1905" s="269"/>
      <c r="AN1905" s="269"/>
      <c r="AO1905" s="269"/>
      <c r="AP1905" s="269"/>
      <c r="AQ1905" s="269"/>
      <c r="AR1905" s="269"/>
    </row>
    <row r="1906">
      <c r="A1906" s="410"/>
      <c r="B1906" s="410"/>
      <c r="C1906" s="410"/>
      <c r="D1906" s="410"/>
      <c r="E1906" s="410"/>
      <c r="F1906" s="410"/>
      <c r="H1906" s="269"/>
      <c r="I1906" s="269"/>
      <c r="J1906" s="269"/>
      <c r="K1906" s="269"/>
      <c r="L1906" s="269"/>
      <c r="M1906" s="269"/>
      <c r="N1906" s="269"/>
      <c r="O1906" s="269"/>
      <c r="P1906" s="269"/>
      <c r="Q1906" s="269"/>
      <c r="R1906" s="269"/>
      <c r="S1906" s="269"/>
      <c r="T1906" s="269"/>
      <c r="U1906" s="269"/>
      <c r="V1906" s="269"/>
      <c r="W1906" s="269"/>
      <c r="X1906" s="269"/>
      <c r="Y1906" s="269"/>
      <c r="Z1906" s="269"/>
      <c r="AA1906" s="269"/>
      <c r="AB1906" s="269"/>
      <c r="AC1906" s="269"/>
      <c r="AD1906" s="269"/>
      <c r="AE1906" s="269"/>
      <c r="AF1906" s="269"/>
      <c r="AG1906" s="269"/>
      <c r="AH1906" s="269"/>
      <c r="AI1906" s="269"/>
      <c r="AJ1906" s="269"/>
      <c r="AK1906" s="269"/>
      <c r="AL1906" s="269"/>
      <c r="AM1906" s="269"/>
      <c r="AN1906" s="269"/>
      <c r="AO1906" s="269"/>
      <c r="AP1906" s="269"/>
      <c r="AQ1906" s="269"/>
      <c r="AR1906" s="269"/>
    </row>
    <row r="1907">
      <c r="A1907" s="410"/>
      <c r="B1907" s="410"/>
      <c r="C1907" s="410"/>
      <c r="D1907" s="410"/>
      <c r="E1907" s="410"/>
      <c r="F1907" s="410"/>
      <c r="H1907" s="269"/>
      <c r="I1907" s="269"/>
      <c r="J1907" s="269"/>
      <c r="K1907" s="269"/>
      <c r="L1907" s="269"/>
      <c r="M1907" s="269"/>
      <c r="N1907" s="269"/>
      <c r="O1907" s="269"/>
      <c r="P1907" s="269"/>
      <c r="Q1907" s="269"/>
      <c r="R1907" s="269"/>
      <c r="S1907" s="269"/>
      <c r="T1907" s="269"/>
      <c r="U1907" s="269"/>
      <c r="V1907" s="269"/>
      <c r="W1907" s="269"/>
      <c r="X1907" s="269"/>
      <c r="Y1907" s="269"/>
      <c r="Z1907" s="269"/>
      <c r="AA1907" s="269"/>
      <c r="AB1907" s="269"/>
      <c r="AC1907" s="269"/>
      <c r="AD1907" s="269"/>
      <c r="AE1907" s="269"/>
      <c r="AF1907" s="269"/>
      <c r="AG1907" s="269"/>
      <c r="AH1907" s="269"/>
      <c r="AI1907" s="269"/>
      <c r="AJ1907" s="269"/>
      <c r="AK1907" s="269"/>
      <c r="AL1907" s="269"/>
      <c r="AM1907" s="269"/>
      <c r="AN1907" s="269"/>
      <c r="AO1907" s="269"/>
      <c r="AP1907" s="269"/>
      <c r="AQ1907" s="269"/>
      <c r="AR1907" s="269"/>
    </row>
    <row r="1908">
      <c r="A1908" s="410"/>
      <c r="B1908" s="410"/>
      <c r="C1908" s="410"/>
      <c r="D1908" s="410"/>
      <c r="E1908" s="410"/>
      <c r="F1908" s="410"/>
      <c r="H1908" s="269"/>
      <c r="I1908" s="269"/>
      <c r="J1908" s="269"/>
      <c r="K1908" s="269"/>
      <c r="L1908" s="269"/>
      <c r="M1908" s="269"/>
      <c r="N1908" s="269"/>
      <c r="O1908" s="269"/>
      <c r="P1908" s="269"/>
      <c r="Q1908" s="269"/>
      <c r="R1908" s="269"/>
      <c r="S1908" s="269"/>
      <c r="T1908" s="269"/>
      <c r="U1908" s="269"/>
      <c r="V1908" s="269"/>
      <c r="W1908" s="269"/>
      <c r="X1908" s="269"/>
      <c r="Y1908" s="269"/>
      <c r="Z1908" s="269"/>
      <c r="AA1908" s="269"/>
      <c r="AB1908" s="269"/>
      <c r="AC1908" s="269"/>
      <c r="AD1908" s="269"/>
      <c r="AE1908" s="269"/>
      <c r="AF1908" s="269"/>
      <c r="AG1908" s="269"/>
      <c r="AH1908" s="269"/>
      <c r="AI1908" s="269"/>
      <c r="AJ1908" s="269"/>
      <c r="AK1908" s="269"/>
      <c r="AL1908" s="269"/>
      <c r="AM1908" s="269"/>
      <c r="AN1908" s="269"/>
      <c r="AO1908" s="269"/>
      <c r="AP1908" s="269"/>
      <c r="AQ1908" s="269"/>
      <c r="AR1908" s="269"/>
    </row>
    <row r="1909">
      <c r="A1909" s="410"/>
      <c r="B1909" s="410"/>
      <c r="C1909" s="410"/>
      <c r="D1909" s="410"/>
      <c r="E1909" s="410"/>
      <c r="F1909" s="410"/>
      <c r="H1909" s="269"/>
      <c r="I1909" s="269"/>
      <c r="J1909" s="269"/>
      <c r="K1909" s="269"/>
      <c r="L1909" s="269"/>
      <c r="M1909" s="269"/>
      <c r="N1909" s="269"/>
      <c r="O1909" s="269"/>
      <c r="P1909" s="269"/>
      <c r="Q1909" s="269"/>
      <c r="R1909" s="269"/>
      <c r="S1909" s="269"/>
      <c r="T1909" s="269"/>
      <c r="U1909" s="269"/>
      <c r="V1909" s="269"/>
      <c r="W1909" s="269"/>
      <c r="X1909" s="269"/>
      <c r="Y1909" s="269"/>
      <c r="Z1909" s="269"/>
      <c r="AA1909" s="269"/>
      <c r="AB1909" s="269"/>
      <c r="AC1909" s="269"/>
      <c r="AD1909" s="269"/>
      <c r="AE1909" s="269"/>
      <c r="AF1909" s="269"/>
      <c r="AG1909" s="269"/>
      <c r="AH1909" s="269"/>
      <c r="AI1909" s="269"/>
      <c r="AJ1909" s="269"/>
      <c r="AK1909" s="269"/>
      <c r="AL1909" s="269"/>
      <c r="AM1909" s="269"/>
      <c r="AN1909" s="269"/>
      <c r="AO1909" s="269"/>
      <c r="AP1909" s="269"/>
      <c r="AQ1909" s="269"/>
      <c r="AR1909" s="269"/>
    </row>
    <row r="1910">
      <c r="A1910" s="410"/>
      <c r="B1910" s="410"/>
      <c r="C1910" s="410"/>
      <c r="D1910" s="410"/>
      <c r="E1910" s="410"/>
      <c r="F1910" s="410"/>
      <c r="H1910" s="269"/>
      <c r="I1910" s="269"/>
      <c r="J1910" s="269"/>
      <c r="K1910" s="269"/>
      <c r="L1910" s="269"/>
      <c r="M1910" s="269"/>
      <c r="N1910" s="269"/>
      <c r="O1910" s="269"/>
      <c r="P1910" s="269"/>
      <c r="Q1910" s="269"/>
      <c r="R1910" s="269"/>
      <c r="S1910" s="269"/>
      <c r="T1910" s="269"/>
      <c r="U1910" s="269"/>
      <c r="V1910" s="269"/>
      <c r="W1910" s="269"/>
      <c r="X1910" s="269"/>
      <c r="Y1910" s="269"/>
      <c r="Z1910" s="269"/>
      <c r="AA1910" s="269"/>
      <c r="AB1910" s="269"/>
      <c r="AC1910" s="269"/>
      <c r="AD1910" s="269"/>
      <c r="AE1910" s="269"/>
      <c r="AF1910" s="269"/>
      <c r="AG1910" s="269"/>
      <c r="AH1910" s="269"/>
      <c r="AI1910" s="269"/>
      <c r="AJ1910" s="269"/>
      <c r="AK1910" s="269"/>
      <c r="AL1910" s="269"/>
      <c r="AM1910" s="269"/>
      <c r="AN1910" s="269"/>
      <c r="AO1910" s="269"/>
      <c r="AP1910" s="269"/>
      <c r="AQ1910" s="269"/>
      <c r="AR1910" s="269"/>
    </row>
    <row r="1911">
      <c r="A1911" s="410"/>
      <c r="B1911" s="410"/>
      <c r="C1911" s="410"/>
      <c r="D1911" s="410"/>
      <c r="E1911" s="410"/>
      <c r="F1911" s="410"/>
      <c r="H1911" s="269"/>
      <c r="I1911" s="269"/>
      <c r="J1911" s="269"/>
      <c r="K1911" s="269"/>
      <c r="L1911" s="269"/>
      <c r="M1911" s="269"/>
      <c r="N1911" s="269"/>
      <c r="O1911" s="269"/>
      <c r="P1911" s="269"/>
      <c r="Q1911" s="269"/>
      <c r="R1911" s="269"/>
      <c r="S1911" s="269"/>
      <c r="T1911" s="269"/>
      <c r="U1911" s="269"/>
      <c r="V1911" s="269"/>
      <c r="W1911" s="269"/>
      <c r="X1911" s="269"/>
      <c r="Y1911" s="269"/>
      <c r="Z1911" s="269"/>
      <c r="AA1911" s="269"/>
      <c r="AB1911" s="269"/>
      <c r="AC1911" s="269"/>
      <c r="AD1911" s="269"/>
      <c r="AE1911" s="269"/>
      <c r="AF1911" s="269"/>
      <c r="AG1911" s="269"/>
      <c r="AH1911" s="269"/>
      <c r="AI1911" s="269"/>
      <c r="AJ1911" s="269"/>
      <c r="AK1911" s="269"/>
      <c r="AL1911" s="269"/>
      <c r="AM1911" s="269"/>
      <c r="AN1911" s="269"/>
      <c r="AO1911" s="269"/>
      <c r="AP1911" s="269"/>
      <c r="AQ1911" s="269"/>
      <c r="AR1911" s="269"/>
    </row>
    <row r="1912">
      <c r="A1912" s="410"/>
      <c r="B1912" s="410"/>
      <c r="C1912" s="410"/>
      <c r="D1912" s="410"/>
      <c r="E1912" s="410"/>
      <c r="F1912" s="410"/>
      <c r="H1912" s="269"/>
      <c r="I1912" s="269"/>
      <c r="J1912" s="269"/>
      <c r="K1912" s="269"/>
      <c r="L1912" s="269"/>
      <c r="M1912" s="269"/>
      <c r="N1912" s="269"/>
      <c r="O1912" s="269"/>
      <c r="P1912" s="269"/>
      <c r="Q1912" s="269"/>
      <c r="R1912" s="269"/>
      <c r="S1912" s="269"/>
      <c r="T1912" s="269"/>
      <c r="U1912" s="269"/>
      <c r="V1912" s="269"/>
      <c r="W1912" s="269"/>
      <c r="X1912" s="269"/>
      <c r="Y1912" s="269"/>
      <c r="Z1912" s="269"/>
      <c r="AA1912" s="269"/>
      <c r="AB1912" s="269"/>
      <c r="AC1912" s="269"/>
      <c r="AD1912" s="269"/>
      <c r="AE1912" s="269"/>
      <c r="AF1912" s="269"/>
      <c r="AG1912" s="269"/>
      <c r="AH1912" s="269"/>
      <c r="AI1912" s="269"/>
      <c r="AJ1912" s="269"/>
      <c r="AK1912" s="269"/>
      <c r="AL1912" s="269"/>
      <c r="AM1912" s="269"/>
      <c r="AN1912" s="269"/>
      <c r="AO1912" s="269"/>
      <c r="AP1912" s="269"/>
      <c r="AQ1912" s="269"/>
      <c r="AR1912" s="269"/>
    </row>
    <row r="1913">
      <c r="A1913" s="410"/>
      <c r="B1913" s="410"/>
      <c r="C1913" s="410"/>
      <c r="D1913" s="410"/>
      <c r="E1913" s="410"/>
      <c r="F1913" s="410"/>
      <c r="H1913" s="269"/>
      <c r="I1913" s="269"/>
      <c r="J1913" s="269"/>
      <c r="K1913" s="269"/>
      <c r="L1913" s="269"/>
      <c r="M1913" s="269"/>
      <c r="N1913" s="269"/>
      <c r="O1913" s="269"/>
      <c r="P1913" s="269"/>
      <c r="Q1913" s="269"/>
      <c r="R1913" s="269"/>
      <c r="S1913" s="269"/>
      <c r="T1913" s="269"/>
      <c r="U1913" s="269"/>
      <c r="V1913" s="269"/>
      <c r="W1913" s="269"/>
      <c r="X1913" s="269"/>
      <c r="Y1913" s="269"/>
      <c r="Z1913" s="269"/>
      <c r="AA1913" s="269"/>
      <c r="AB1913" s="269"/>
      <c r="AC1913" s="269"/>
      <c r="AD1913" s="269"/>
      <c r="AE1913" s="269"/>
      <c r="AF1913" s="269"/>
      <c r="AG1913" s="269"/>
      <c r="AH1913" s="269"/>
      <c r="AI1913" s="269"/>
      <c r="AJ1913" s="269"/>
      <c r="AK1913" s="269"/>
      <c r="AL1913" s="269"/>
      <c r="AM1913" s="269"/>
      <c r="AN1913" s="269"/>
      <c r="AO1913" s="269"/>
      <c r="AP1913" s="269"/>
      <c r="AQ1913" s="269"/>
      <c r="AR1913" s="269"/>
    </row>
    <row r="1914">
      <c r="A1914" s="410"/>
      <c r="B1914" s="410"/>
      <c r="C1914" s="410"/>
      <c r="D1914" s="410"/>
      <c r="E1914" s="410"/>
      <c r="F1914" s="410"/>
      <c r="H1914" s="269"/>
      <c r="I1914" s="269"/>
      <c r="J1914" s="269"/>
      <c r="K1914" s="269"/>
      <c r="L1914" s="269"/>
      <c r="M1914" s="269"/>
      <c r="N1914" s="269"/>
      <c r="O1914" s="269"/>
      <c r="P1914" s="269"/>
      <c r="Q1914" s="269"/>
      <c r="R1914" s="269"/>
      <c r="S1914" s="269"/>
      <c r="T1914" s="269"/>
      <c r="U1914" s="269"/>
      <c r="V1914" s="269"/>
      <c r="W1914" s="269"/>
      <c r="X1914" s="269"/>
      <c r="Y1914" s="269"/>
      <c r="Z1914" s="269"/>
      <c r="AA1914" s="269"/>
      <c r="AB1914" s="269"/>
      <c r="AC1914" s="269"/>
      <c r="AD1914" s="269"/>
      <c r="AE1914" s="269"/>
      <c r="AF1914" s="269"/>
      <c r="AG1914" s="269"/>
      <c r="AH1914" s="269"/>
      <c r="AI1914" s="269"/>
      <c r="AJ1914" s="269"/>
      <c r="AK1914" s="269"/>
      <c r="AL1914" s="269"/>
      <c r="AM1914" s="269"/>
      <c r="AN1914" s="269"/>
      <c r="AO1914" s="269"/>
      <c r="AP1914" s="269"/>
      <c r="AQ1914" s="269"/>
      <c r="AR1914" s="269"/>
    </row>
    <row r="1915">
      <c r="A1915" s="410"/>
      <c r="B1915" s="410"/>
      <c r="C1915" s="410"/>
      <c r="D1915" s="410"/>
      <c r="E1915" s="410"/>
      <c r="F1915" s="410"/>
      <c r="H1915" s="269"/>
      <c r="I1915" s="269"/>
      <c r="J1915" s="269"/>
      <c r="K1915" s="269"/>
      <c r="L1915" s="269"/>
      <c r="M1915" s="269"/>
      <c r="N1915" s="269"/>
      <c r="O1915" s="269"/>
      <c r="P1915" s="269"/>
      <c r="Q1915" s="269"/>
      <c r="R1915" s="269"/>
      <c r="S1915" s="269"/>
      <c r="T1915" s="269"/>
      <c r="U1915" s="269"/>
      <c r="V1915" s="269"/>
      <c r="W1915" s="269"/>
      <c r="X1915" s="269"/>
      <c r="Y1915" s="269"/>
      <c r="Z1915" s="269"/>
      <c r="AA1915" s="269"/>
      <c r="AB1915" s="269"/>
      <c r="AC1915" s="269"/>
      <c r="AD1915" s="269"/>
      <c r="AE1915" s="269"/>
      <c r="AF1915" s="269"/>
      <c r="AG1915" s="269"/>
      <c r="AH1915" s="269"/>
      <c r="AI1915" s="269"/>
      <c r="AJ1915" s="269"/>
      <c r="AK1915" s="269"/>
      <c r="AL1915" s="269"/>
      <c r="AM1915" s="269"/>
      <c r="AN1915" s="269"/>
      <c r="AO1915" s="269"/>
      <c r="AP1915" s="269"/>
      <c r="AQ1915" s="269"/>
      <c r="AR1915" s="269"/>
    </row>
    <row r="1916">
      <c r="A1916" s="410"/>
      <c r="B1916" s="410"/>
      <c r="C1916" s="410"/>
      <c r="D1916" s="410"/>
      <c r="E1916" s="410"/>
      <c r="F1916" s="410"/>
      <c r="H1916" s="269"/>
      <c r="I1916" s="269"/>
      <c r="J1916" s="269"/>
      <c r="K1916" s="269"/>
      <c r="L1916" s="269"/>
      <c r="M1916" s="269"/>
      <c r="N1916" s="269"/>
      <c r="O1916" s="269"/>
      <c r="P1916" s="269"/>
      <c r="Q1916" s="269"/>
      <c r="R1916" s="269"/>
      <c r="S1916" s="269"/>
      <c r="T1916" s="269"/>
      <c r="U1916" s="269"/>
      <c r="V1916" s="269"/>
      <c r="W1916" s="269"/>
      <c r="X1916" s="269"/>
      <c r="Y1916" s="269"/>
      <c r="Z1916" s="269"/>
      <c r="AA1916" s="269"/>
      <c r="AB1916" s="269"/>
      <c r="AC1916" s="269"/>
      <c r="AD1916" s="269"/>
      <c r="AE1916" s="269"/>
      <c r="AF1916" s="269"/>
      <c r="AG1916" s="269"/>
      <c r="AH1916" s="269"/>
      <c r="AI1916" s="269"/>
      <c r="AJ1916" s="269"/>
      <c r="AK1916" s="269"/>
      <c r="AL1916" s="269"/>
      <c r="AM1916" s="269"/>
      <c r="AN1916" s="269"/>
      <c r="AO1916" s="269"/>
      <c r="AP1916" s="269"/>
      <c r="AQ1916" s="269"/>
      <c r="AR1916" s="269"/>
    </row>
    <row r="1917">
      <c r="A1917" s="410"/>
      <c r="B1917" s="410"/>
      <c r="C1917" s="410"/>
      <c r="D1917" s="410"/>
      <c r="E1917" s="410"/>
      <c r="F1917" s="410"/>
      <c r="H1917" s="269"/>
      <c r="I1917" s="269"/>
      <c r="J1917" s="269"/>
      <c r="K1917" s="269"/>
      <c r="L1917" s="269"/>
      <c r="M1917" s="269"/>
      <c r="N1917" s="269"/>
      <c r="O1917" s="269"/>
      <c r="P1917" s="269"/>
      <c r="Q1917" s="269"/>
      <c r="R1917" s="269"/>
      <c r="S1917" s="269"/>
      <c r="T1917" s="269"/>
      <c r="U1917" s="269"/>
      <c r="V1917" s="269"/>
      <c r="W1917" s="269"/>
      <c r="X1917" s="269"/>
      <c r="Y1917" s="269"/>
      <c r="Z1917" s="269"/>
      <c r="AA1917" s="269"/>
      <c r="AB1917" s="269"/>
      <c r="AC1917" s="269"/>
      <c r="AD1917" s="269"/>
      <c r="AE1917" s="269"/>
      <c r="AF1917" s="269"/>
      <c r="AG1917" s="269"/>
      <c r="AH1917" s="269"/>
      <c r="AI1917" s="269"/>
      <c r="AJ1917" s="269"/>
      <c r="AK1917" s="269"/>
      <c r="AL1917" s="269"/>
      <c r="AM1917" s="269"/>
      <c r="AN1917" s="269"/>
      <c r="AO1917" s="269"/>
      <c r="AP1917" s="269"/>
      <c r="AQ1917" s="269"/>
      <c r="AR1917" s="269"/>
    </row>
    <row r="1918">
      <c r="A1918" s="410"/>
      <c r="B1918" s="410"/>
      <c r="C1918" s="410"/>
      <c r="D1918" s="410"/>
      <c r="E1918" s="410"/>
      <c r="F1918" s="410"/>
      <c r="H1918" s="269"/>
      <c r="I1918" s="269"/>
      <c r="J1918" s="269"/>
      <c r="K1918" s="269"/>
      <c r="L1918" s="269"/>
      <c r="M1918" s="269"/>
      <c r="N1918" s="269"/>
      <c r="O1918" s="269"/>
      <c r="P1918" s="269"/>
      <c r="Q1918" s="269"/>
      <c r="R1918" s="269"/>
      <c r="S1918" s="269"/>
      <c r="T1918" s="269"/>
      <c r="U1918" s="269"/>
      <c r="V1918" s="269"/>
      <c r="W1918" s="269"/>
      <c r="X1918" s="269"/>
      <c r="Y1918" s="269"/>
      <c r="Z1918" s="269"/>
      <c r="AA1918" s="269"/>
      <c r="AB1918" s="269"/>
      <c r="AC1918" s="269"/>
      <c r="AD1918" s="269"/>
      <c r="AE1918" s="269"/>
      <c r="AF1918" s="269"/>
      <c r="AG1918" s="269"/>
      <c r="AH1918" s="269"/>
      <c r="AI1918" s="269"/>
      <c r="AJ1918" s="269"/>
      <c r="AK1918" s="269"/>
      <c r="AL1918" s="269"/>
      <c r="AM1918" s="269"/>
      <c r="AN1918" s="269"/>
      <c r="AO1918" s="269"/>
      <c r="AP1918" s="269"/>
      <c r="AQ1918" s="269"/>
      <c r="AR1918" s="269"/>
    </row>
    <row r="1919">
      <c r="A1919" s="410"/>
      <c r="B1919" s="410"/>
      <c r="C1919" s="410"/>
      <c r="D1919" s="410"/>
      <c r="E1919" s="410"/>
      <c r="F1919" s="410"/>
      <c r="H1919" s="269"/>
      <c r="I1919" s="269"/>
      <c r="J1919" s="269"/>
      <c r="K1919" s="269"/>
      <c r="L1919" s="269"/>
      <c r="M1919" s="269"/>
      <c r="N1919" s="269"/>
      <c r="O1919" s="269"/>
      <c r="P1919" s="269"/>
      <c r="Q1919" s="269"/>
      <c r="R1919" s="269"/>
      <c r="S1919" s="269"/>
      <c r="T1919" s="269"/>
      <c r="U1919" s="269"/>
      <c r="V1919" s="269"/>
      <c r="W1919" s="269"/>
      <c r="X1919" s="269"/>
      <c r="Y1919" s="269"/>
      <c r="Z1919" s="269"/>
      <c r="AA1919" s="269"/>
      <c r="AB1919" s="269"/>
      <c r="AC1919" s="269"/>
      <c r="AD1919" s="269"/>
      <c r="AE1919" s="269"/>
      <c r="AF1919" s="269"/>
      <c r="AG1919" s="269"/>
      <c r="AH1919" s="269"/>
      <c r="AI1919" s="269"/>
      <c r="AJ1919" s="269"/>
      <c r="AK1919" s="269"/>
      <c r="AL1919" s="269"/>
      <c r="AM1919" s="269"/>
      <c r="AN1919" s="269"/>
      <c r="AO1919" s="269"/>
      <c r="AP1919" s="269"/>
      <c r="AQ1919" s="269"/>
      <c r="AR1919" s="269"/>
    </row>
    <row r="1920">
      <c r="A1920" s="410"/>
      <c r="B1920" s="410"/>
      <c r="C1920" s="410"/>
      <c r="D1920" s="410"/>
      <c r="E1920" s="410"/>
      <c r="F1920" s="410"/>
      <c r="H1920" s="269"/>
      <c r="I1920" s="269"/>
      <c r="J1920" s="269"/>
      <c r="K1920" s="269"/>
      <c r="L1920" s="269"/>
      <c r="M1920" s="269"/>
      <c r="N1920" s="269"/>
      <c r="O1920" s="269"/>
      <c r="P1920" s="269"/>
      <c r="Q1920" s="269"/>
      <c r="R1920" s="269"/>
      <c r="S1920" s="269"/>
      <c r="T1920" s="269"/>
      <c r="U1920" s="269"/>
      <c r="V1920" s="269"/>
      <c r="W1920" s="269"/>
      <c r="X1920" s="269"/>
      <c r="Y1920" s="269"/>
      <c r="Z1920" s="269"/>
      <c r="AA1920" s="269"/>
      <c r="AB1920" s="269"/>
      <c r="AC1920" s="269"/>
      <c r="AD1920" s="269"/>
      <c r="AE1920" s="269"/>
      <c r="AF1920" s="269"/>
      <c r="AG1920" s="269"/>
      <c r="AH1920" s="269"/>
      <c r="AI1920" s="269"/>
      <c r="AJ1920" s="269"/>
      <c r="AK1920" s="269"/>
      <c r="AL1920" s="269"/>
      <c r="AM1920" s="269"/>
      <c r="AN1920" s="269"/>
      <c r="AO1920" s="269"/>
      <c r="AP1920" s="269"/>
      <c r="AQ1920" s="269"/>
      <c r="AR1920" s="269"/>
    </row>
    <row r="1921">
      <c r="A1921" s="410"/>
      <c r="B1921" s="410"/>
      <c r="C1921" s="410"/>
      <c r="D1921" s="410"/>
      <c r="E1921" s="410"/>
      <c r="F1921" s="410"/>
      <c r="H1921" s="269"/>
      <c r="I1921" s="269"/>
      <c r="J1921" s="269"/>
      <c r="K1921" s="269"/>
      <c r="L1921" s="269"/>
      <c r="M1921" s="269"/>
      <c r="N1921" s="269"/>
      <c r="O1921" s="269"/>
      <c r="P1921" s="269"/>
      <c r="Q1921" s="269"/>
      <c r="R1921" s="269"/>
      <c r="S1921" s="269"/>
      <c r="T1921" s="269"/>
      <c r="U1921" s="269"/>
      <c r="V1921" s="269"/>
      <c r="W1921" s="269"/>
      <c r="X1921" s="269"/>
      <c r="Y1921" s="269"/>
      <c r="Z1921" s="269"/>
      <c r="AA1921" s="269"/>
      <c r="AB1921" s="269"/>
      <c r="AC1921" s="269"/>
      <c r="AD1921" s="269"/>
      <c r="AE1921" s="269"/>
      <c r="AF1921" s="269"/>
      <c r="AG1921" s="269"/>
      <c r="AH1921" s="269"/>
      <c r="AI1921" s="269"/>
      <c r="AJ1921" s="269"/>
      <c r="AK1921" s="269"/>
      <c r="AL1921" s="269"/>
      <c r="AM1921" s="269"/>
      <c r="AN1921" s="269"/>
      <c r="AO1921" s="269"/>
      <c r="AP1921" s="269"/>
      <c r="AQ1921" s="269"/>
      <c r="AR1921" s="269"/>
    </row>
    <row r="1922">
      <c r="A1922" s="410"/>
      <c r="B1922" s="410"/>
      <c r="C1922" s="410"/>
      <c r="D1922" s="410"/>
      <c r="E1922" s="410"/>
      <c r="F1922" s="410"/>
      <c r="H1922" s="269"/>
      <c r="I1922" s="269"/>
      <c r="J1922" s="269"/>
      <c r="K1922" s="269"/>
      <c r="L1922" s="269"/>
      <c r="M1922" s="269"/>
      <c r="N1922" s="269"/>
      <c r="O1922" s="269"/>
      <c r="P1922" s="269"/>
      <c r="Q1922" s="269"/>
      <c r="R1922" s="269"/>
      <c r="S1922" s="269"/>
      <c r="T1922" s="269"/>
      <c r="U1922" s="269"/>
      <c r="V1922" s="269"/>
      <c r="W1922" s="269"/>
      <c r="X1922" s="269"/>
      <c r="Y1922" s="269"/>
      <c r="Z1922" s="269"/>
      <c r="AA1922" s="269"/>
      <c r="AB1922" s="269"/>
      <c r="AC1922" s="269"/>
      <c r="AD1922" s="269"/>
      <c r="AE1922" s="269"/>
      <c r="AF1922" s="269"/>
      <c r="AG1922" s="269"/>
      <c r="AH1922" s="269"/>
      <c r="AI1922" s="269"/>
      <c r="AJ1922" s="269"/>
      <c r="AK1922" s="269"/>
      <c r="AL1922" s="269"/>
      <c r="AM1922" s="269"/>
      <c r="AN1922" s="269"/>
      <c r="AO1922" s="269"/>
      <c r="AP1922" s="269"/>
      <c r="AQ1922" s="269"/>
      <c r="AR1922" s="269"/>
    </row>
    <row r="1923">
      <c r="A1923" s="410"/>
      <c r="B1923" s="410"/>
      <c r="C1923" s="410"/>
      <c r="D1923" s="410"/>
      <c r="E1923" s="410"/>
      <c r="F1923" s="410"/>
      <c r="H1923" s="269"/>
      <c r="I1923" s="269"/>
      <c r="J1923" s="269"/>
      <c r="K1923" s="269"/>
      <c r="L1923" s="269"/>
      <c r="M1923" s="269"/>
      <c r="N1923" s="269"/>
      <c r="O1923" s="269"/>
      <c r="P1923" s="269"/>
      <c r="Q1923" s="269"/>
      <c r="R1923" s="269"/>
      <c r="S1923" s="269"/>
      <c r="T1923" s="269"/>
      <c r="U1923" s="269"/>
      <c r="V1923" s="269"/>
      <c r="W1923" s="269"/>
      <c r="X1923" s="269"/>
      <c r="Y1923" s="269"/>
      <c r="Z1923" s="269"/>
      <c r="AA1923" s="269"/>
      <c r="AB1923" s="269"/>
      <c r="AC1923" s="269"/>
      <c r="AD1923" s="269"/>
      <c r="AE1923" s="269"/>
      <c r="AF1923" s="269"/>
      <c r="AG1923" s="269"/>
      <c r="AH1923" s="269"/>
      <c r="AI1923" s="269"/>
      <c r="AJ1923" s="269"/>
      <c r="AK1923" s="269"/>
      <c r="AL1923" s="269"/>
      <c r="AM1923" s="269"/>
      <c r="AN1923" s="269"/>
      <c r="AO1923" s="269"/>
      <c r="AP1923" s="269"/>
      <c r="AQ1923" s="269"/>
      <c r="AR1923" s="269"/>
    </row>
    <row r="1924">
      <c r="A1924" s="410"/>
      <c r="B1924" s="410"/>
      <c r="C1924" s="410"/>
      <c r="D1924" s="410"/>
      <c r="E1924" s="410"/>
      <c r="F1924" s="410"/>
      <c r="H1924" s="269"/>
      <c r="I1924" s="269"/>
      <c r="J1924" s="269"/>
      <c r="K1924" s="269"/>
      <c r="L1924" s="269"/>
      <c r="M1924" s="269"/>
      <c r="N1924" s="269"/>
      <c r="O1924" s="269"/>
      <c r="P1924" s="269"/>
      <c r="Q1924" s="269"/>
      <c r="R1924" s="269"/>
      <c r="S1924" s="269"/>
      <c r="T1924" s="269"/>
      <c r="U1924" s="269"/>
      <c r="V1924" s="269"/>
      <c r="W1924" s="269"/>
      <c r="X1924" s="269"/>
      <c r="Y1924" s="269"/>
      <c r="Z1924" s="269"/>
      <c r="AA1924" s="269"/>
      <c r="AB1924" s="269"/>
      <c r="AC1924" s="269"/>
      <c r="AD1924" s="269"/>
      <c r="AE1924" s="269"/>
      <c r="AF1924" s="269"/>
      <c r="AG1924" s="269"/>
      <c r="AH1924" s="269"/>
      <c r="AI1924" s="269"/>
      <c r="AJ1924" s="269"/>
      <c r="AK1924" s="269"/>
      <c r="AL1924" s="269"/>
      <c r="AM1924" s="269"/>
      <c r="AN1924" s="269"/>
      <c r="AO1924" s="269"/>
      <c r="AP1924" s="269"/>
      <c r="AQ1924" s="269"/>
      <c r="AR1924" s="269"/>
    </row>
    <row r="1925">
      <c r="A1925" s="410"/>
      <c r="B1925" s="410"/>
      <c r="C1925" s="410"/>
      <c r="D1925" s="410"/>
      <c r="E1925" s="410"/>
      <c r="F1925" s="410"/>
      <c r="H1925" s="269"/>
      <c r="I1925" s="269"/>
      <c r="J1925" s="269"/>
      <c r="K1925" s="269"/>
      <c r="L1925" s="269"/>
      <c r="M1925" s="269"/>
      <c r="N1925" s="269"/>
      <c r="O1925" s="269"/>
      <c r="P1925" s="269"/>
      <c r="Q1925" s="269"/>
      <c r="R1925" s="269"/>
      <c r="S1925" s="269"/>
      <c r="T1925" s="269"/>
      <c r="U1925" s="269"/>
      <c r="V1925" s="269"/>
      <c r="W1925" s="269"/>
      <c r="X1925" s="269"/>
      <c r="Y1925" s="269"/>
      <c r="Z1925" s="269"/>
      <c r="AA1925" s="269"/>
      <c r="AB1925" s="269"/>
      <c r="AC1925" s="269"/>
      <c r="AD1925" s="269"/>
      <c r="AE1925" s="269"/>
      <c r="AF1925" s="269"/>
      <c r="AG1925" s="269"/>
      <c r="AH1925" s="269"/>
      <c r="AI1925" s="269"/>
      <c r="AJ1925" s="269"/>
      <c r="AK1925" s="269"/>
      <c r="AL1925" s="269"/>
      <c r="AM1925" s="269"/>
      <c r="AN1925" s="269"/>
      <c r="AO1925" s="269"/>
      <c r="AP1925" s="269"/>
      <c r="AQ1925" s="269"/>
      <c r="AR1925" s="269"/>
    </row>
    <row r="1926">
      <c r="A1926" s="410"/>
      <c r="B1926" s="410"/>
      <c r="C1926" s="410"/>
      <c r="D1926" s="410"/>
      <c r="E1926" s="410"/>
      <c r="F1926" s="410"/>
      <c r="H1926" s="269"/>
      <c r="I1926" s="269"/>
      <c r="J1926" s="269"/>
      <c r="K1926" s="269"/>
      <c r="L1926" s="269"/>
      <c r="M1926" s="269"/>
      <c r="N1926" s="269"/>
      <c r="O1926" s="269"/>
      <c r="P1926" s="269"/>
      <c r="Q1926" s="269"/>
      <c r="R1926" s="269"/>
      <c r="S1926" s="269"/>
      <c r="T1926" s="269"/>
      <c r="U1926" s="269"/>
      <c r="V1926" s="269"/>
      <c r="W1926" s="269"/>
      <c r="X1926" s="269"/>
      <c r="Y1926" s="269"/>
      <c r="Z1926" s="269"/>
      <c r="AA1926" s="269"/>
      <c r="AB1926" s="269"/>
      <c r="AC1926" s="269"/>
      <c r="AD1926" s="269"/>
      <c r="AE1926" s="269"/>
      <c r="AF1926" s="269"/>
      <c r="AG1926" s="269"/>
      <c r="AH1926" s="269"/>
      <c r="AI1926" s="269"/>
      <c r="AJ1926" s="269"/>
      <c r="AK1926" s="269"/>
      <c r="AL1926" s="269"/>
      <c r="AM1926" s="269"/>
      <c r="AN1926" s="269"/>
      <c r="AO1926" s="269"/>
      <c r="AP1926" s="269"/>
      <c r="AQ1926" s="269"/>
      <c r="AR1926" s="269"/>
    </row>
    <row r="1927">
      <c r="A1927" s="410"/>
      <c r="B1927" s="410"/>
      <c r="C1927" s="410"/>
      <c r="D1927" s="410"/>
      <c r="E1927" s="410"/>
      <c r="F1927" s="410"/>
      <c r="H1927" s="269"/>
      <c r="I1927" s="269"/>
      <c r="J1927" s="269"/>
      <c r="K1927" s="269"/>
      <c r="L1927" s="269"/>
      <c r="M1927" s="269"/>
      <c r="N1927" s="269"/>
      <c r="O1927" s="269"/>
      <c r="P1927" s="269"/>
      <c r="Q1927" s="269"/>
      <c r="R1927" s="269"/>
      <c r="S1927" s="269"/>
      <c r="T1927" s="269"/>
      <c r="U1927" s="269"/>
      <c r="V1927" s="269"/>
      <c r="W1927" s="269"/>
      <c r="X1927" s="269"/>
      <c r="Y1927" s="269"/>
      <c r="Z1927" s="269"/>
      <c r="AA1927" s="269"/>
      <c r="AB1927" s="269"/>
      <c r="AC1927" s="269"/>
      <c r="AD1927" s="269"/>
      <c r="AE1927" s="269"/>
      <c r="AF1927" s="269"/>
      <c r="AG1927" s="269"/>
      <c r="AH1927" s="269"/>
      <c r="AI1927" s="269"/>
      <c r="AJ1927" s="269"/>
      <c r="AK1927" s="269"/>
      <c r="AL1927" s="269"/>
      <c r="AM1927" s="269"/>
      <c r="AN1927" s="269"/>
      <c r="AO1927" s="269"/>
      <c r="AP1927" s="269"/>
      <c r="AQ1927" s="269"/>
      <c r="AR1927" s="269"/>
    </row>
    <row r="1928">
      <c r="A1928" s="410"/>
      <c r="B1928" s="410"/>
      <c r="C1928" s="410"/>
      <c r="D1928" s="410"/>
      <c r="E1928" s="410"/>
      <c r="F1928" s="410"/>
      <c r="H1928" s="269"/>
      <c r="I1928" s="269"/>
      <c r="J1928" s="269"/>
      <c r="K1928" s="269"/>
      <c r="L1928" s="269"/>
      <c r="M1928" s="269"/>
      <c r="N1928" s="269"/>
      <c r="O1928" s="269"/>
      <c r="P1928" s="269"/>
      <c r="Q1928" s="269"/>
      <c r="R1928" s="269"/>
      <c r="S1928" s="269"/>
      <c r="T1928" s="269"/>
      <c r="U1928" s="269"/>
      <c r="V1928" s="269"/>
      <c r="W1928" s="269"/>
      <c r="X1928" s="269"/>
      <c r="Y1928" s="269"/>
      <c r="Z1928" s="269"/>
      <c r="AA1928" s="269"/>
      <c r="AB1928" s="269"/>
      <c r="AC1928" s="269"/>
      <c r="AD1928" s="269"/>
      <c r="AE1928" s="269"/>
      <c r="AF1928" s="269"/>
      <c r="AG1928" s="269"/>
      <c r="AH1928" s="269"/>
      <c r="AI1928" s="269"/>
      <c r="AJ1928" s="269"/>
      <c r="AK1928" s="269"/>
      <c r="AL1928" s="269"/>
      <c r="AM1928" s="269"/>
      <c r="AN1928" s="269"/>
      <c r="AO1928" s="269"/>
      <c r="AP1928" s="269"/>
      <c r="AQ1928" s="269"/>
      <c r="AR1928" s="269"/>
    </row>
    <row r="1929">
      <c r="A1929" s="410"/>
      <c r="B1929" s="410"/>
      <c r="C1929" s="410"/>
      <c r="D1929" s="410"/>
      <c r="E1929" s="410"/>
      <c r="F1929" s="410"/>
      <c r="H1929" s="269"/>
      <c r="I1929" s="269"/>
      <c r="J1929" s="269"/>
      <c r="K1929" s="269"/>
      <c r="L1929" s="269"/>
      <c r="M1929" s="269"/>
      <c r="N1929" s="269"/>
      <c r="O1929" s="269"/>
      <c r="P1929" s="269"/>
      <c r="Q1929" s="269"/>
      <c r="R1929" s="269"/>
      <c r="S1929" s="269"/>
      <c r="T1929" s="269"/>
      <c r="U1929" s="269"/>
      <c r="V1929" s="269"/>
      <c r="W1929" s="269"/>
      <c r="X1929" s="269"/>
      <c r="Y1929" s="269"/>
      <c r="Z1929" s="269"/>
      <c r="AA1929" s="269"/>
      <c r="AB1929" s="269"/>
      <c r="AC1929" s="269"/>
      <c r="AD1929" s="269"/>
      <c r="AE1929" s="269"/>
      <c r="AF1929" s="269"/>
      <c r="AG1929" s="269"/>
      <c r="AH1929" s="269"/>
      <c r="AI1929" s="269"/>
      <c r="AJ1929" s="269"/>
      <c r="AK1929" s="269"/>
      <c r="AL1929" s="269"/>
      <c r="AM1929" s="269"/>
      <c r="AN1929" s="269"/>
      <c r="AO1929" s="269"/>
      <c r="AP1929" s="269"/>
      <c r="AQ1929" s="269"/>
      <c r="AR1929" s="269"/>
    </row>
    <row r="1930">
      <c r="A1930" s="410"/>
      <c r="B1930" s="410"/>
      <c r="C1930" s="410"/>
      <c r="D1930" s="410"/>
      <c r="E1930" s="410"/>
      <c r="F1930" s="410"/>
      <c r="H1930" s="269"/>
      <c r="I1930" s="269"/>
      <c r="J1930" s="269"/>
      <c r="K1930" s="269"/>
      <c r="L1930" s="269"/>
      <c r="M1930" s="269"/>
      <c r="N1930" s="269"/>
      <c r="O1930" s="269"/>
      <c r="P1930" s="269"/>
      <c r="Q1930" s="269"/>
      <c r="R1930" s="269"/>
      <c r="S1930" s="269"/>
      <c r="T1930" s="269"/>
      <c r="U1930" s="269"/>
      <c r="V1930" s="269"/>
      <c r="W1930" s="269"/>
      <c r="X1930" s="269"/>
      <c r="Y1930" s="269"/>
      <c r="Z1930" s="269"/>
      <c r="AA1930" s="269"/>
      <c r="AB1930" s="269"/>
      <c r="AC1930" s="269"/>
      <c r="AD1930" s="269"/>
      <c r="AE1930" s="269"/>
      <c r="AF1930" s="269"/>
      <c r="AG1930" s="269"/>
      <c r="AH1930" s="269"/>
      <c r="AI1930" s="269"/>
      <c r="AJ1930" s="269"/>
      <c r="AK1930" s="269"/>
      <c r="AL1930" s="269"/>
      <c r="AM1930" s="269"/>
      <c r="AN1930" s="269"/>
      <c r="AO1930" s="269"/>
      <c r="AP1930" s="269"/>
      <c r="AQ1930" s="269"/>
      <c r="AR1930" s="269"/>
    </row>
    <row r="1931">
      <c r="A1931" s="410"/>
      <c r="B1931" s="410"/>
      <c r="C1931" s="410"/>
      <c r="D1931" s="410"/>
      <c r="E1931" s="410"/>
      <c r="F1931" s="410"/>
      <c r="H1931" s="269"/>
      <c r="I1931" s="269"/>
      <c r="J1931" s="269"/>
      <c r="K1931" s="269"/>
      <c r="L1931" s="269"/>
      <c r="M1931" s="269"/>
      <c r="N1931" s="269"/>
      <c r="O1931" s="269"/>
      <c r="P1931" s="269"/>
      <c r="Q1931" s="269"/>
      <c r="R1931" s="269"/>
      <c r="S1931" s="269"/>
      <c r="T1931" s="269"/>
      <c r="U1931" s="269"/>
      <c r="V1931" s="269"/>
      <c r="W1931" s="269"/>
      <c r="X1931" s="269"/>
      <c r="Y1931" s="269"/>
      <c r="Z1931" s="269"/>
      <c r="AA1931" s="269"/>
      <c r="AB1931" s="269"/>
      <c r="AC1931" s="269"/>
      <c r="AD1931" s="269"/>
      <c r="AE1931" s="269"/>
      <c r="AF1931" s="269"/>
      <c r="AG1931" s="269"/>
      <c r="AH1931" s="269"/>
      <c r="AI1931" s="269"/>
      <c r="AJ1931" s="269"/>
      <c r="AK1931" s="269"/>
      <c r="AL1931" s="269"/>
      <c r="AM1931" s="269"/>
      <c r="AN1931" s="269"/>
      <c r="AO1931" s="269"/>
      <c r="AP1931" s="269"/>
      <c r="AQ1931" s="269"/>
      <c r="AR1931" s="269"/>
    </row>
    <row r="1932">
      <c r="A1932" s="410"/>
      <c r="B1932" s="410"/>
      <c r="C1932" s="410"/>
      <c r="D1932" s="410"/>
      <c r="E1932" s="410"/>
      <c r="F1932" s="410"/>
      <c r="H1932" s="269"/>
      <c r="I1932" s="269"/>
      <c r="J1932" s="269"/>
      <c r="K1932" s="269"/>
      <c r="L1932" s="269"/>
      <c r="M1932" s="269"/>
      <c r="N1932" s="269"/>
      <c r="O1932" s="269"/>
      <c r="P1932" s="269"/>
      <c r="Q1932" s="269"/>
      <c r="R1932" s="269"/>
      <c r="S1932" s="269"/>
      <c r="T1932" s="269"/>
      <c r="U1932" s="269"/>
      <c r="V1932" s="269"/>
      <c r="W1932" s="269"/>
      <c r="X1932" s="269"/>
      <c r="Y1932" s="269"/>
      <c r="Z1932" s="269"/>
      <c r="AA1932" s="269"/>
      <c r="AB1932" s="269"/>
      <c r="AC1932" s="269"/>
      <c r="AD1932" s="269"/>
      <c r="AE1932" s="269"/>
      <c r="AF1932" s="269"/>
      <c r="AG1932" s="269"/>
      <c r="AH1932" s="269"/>
      <c r="AI1932" s="269"/>
      <c r="AJ1932" s="269"/>
      <c r="AK1932" s="269"/>
      <c r="AL1932" s="269"/>
      <c r="AM1932" s="269"/>
      <c r="AN1932" s="269"/>
      <c r="AO1932" s="269"/>
      <c r="AP1932" s="269"/>
      <c r="AQ1932" s="269"/>
      <c r="AR1932" s="269"/>
    </row>
    <row r="1933">
      <c r="A1933" s="410"/>
      <c r="B1933" s="410"/>
      <c r="C1933" s="410"/>
      <c r="D1933" s="410"/>
      <c r="E1933" s="410"/>
      <c r="F1933" s="410"/>
      <c r="H1933" s="269"/>
      <c r="I1933" s="269"/>
      <c r="J1933" s="269"/>
      <c r="K1933" s="269"/>
      <c r="L1933" s="269"/>
      <c r="M1933" s="269"/>
      <c r="N1933" s="269"/>
      <c r="O1933" s="269"/>
      <c r="P1933" s="269"/>
      <c r="Q1933" s="269"/>
      <c r="R1933" s="269"/>
      <c r="S1933" s="269"/>
      <c r="T1933" s="269"/>
      <c r="U1933" s="269"/>
      <c r="V1933" s="269"/>
      <c r="W1933" s="269"/>
      <c r="X1933" s="269"/>
      <c r="Y1933" s="269"/>
      <c r="Z1933" s="269"/>
      <c r="AA1933" s="269"/>
      <c r="AB1933" s="269"/>
      <c r="AC1933" s="269"/>
      <c r="AD1933" s="269"/>
      <c r="AE1933" s="269"/>
      <c r="AF1933" s="269"/>
      <c r="AG1933" s="269"/>
      <c r="AH1933" s="269"/>
      <c r="AI1933" s="269"/>
      <c r="AJ1933" s="269"/>
      <c r="AK1933" s="269"/>
      <c r="AL1933" s="269"/>
      <c r="AM1933" s="269"/>
      <c r="AN1933" s="269"/>
      <c r="AO1933" s="269"/>
      <c r="AP1933" s="269"/>
      <c r="AQ1933" s="269"/>
      <c r="AR1933" s="269"/>
    </row>
    <row r="1934">
      <c r="A1934" s="410"/>
      <c r="B1934" s="410"/>
      <c r="C1934" s="410"/>
      <c r="D1934" s="410"/>
      <c r="E1934" s="410"/>
      <c r="F1934" s="410"/>
      <c r="H1934" s="269"/>
      <c r="I1934" s="269"/>
      <c r="J1934" s="269"/>
      <c r="K1934" s="269"/>
      <c r="L1934" s="269"/>
      <c r="M1934" s="269"/>
      <c r="N1934" s="269"/>
      <c r="O1934" s="269"/>
      <c r="P1934" s="269"/>
      <c r="Q1934" s="269"/>
      <c r="R1934" s="269"/>
      <c r="S1934" s="269"/>
      <c r="T1934" s="269"/>
      <c r="U1934" s="269"/>
      <c r="V1934" s="269"/>
      <c r="W1934" s="269"/>
      <c r="X1934" s="269"/>
      <c r="Y1934" s="269"/>
      <c r="Z1934" s="269"/>
      <c r="AA1934" s="269"/>
      <c r="AB1934" s="269"/>
      <c r="AC1934" s="269"/>
      <c r="AD1934" s="269"/>
      <c r="AE1934" s="269"/>
      <c r="AF1934" s="269"/>
      <c r="AG1934" s="269"/>
      <c r="AH1934" s="269"/>
      <c r="AI1934" s="269"/>
      <c r="AJ1934" s="269"/>
      <c r="AK1934" s="269"/>
      <c r="AL1934" s="269"/>
      <c r="AM1934" s="269"/>
      <c r="AN1934" s="269"/>
      <c r="AO1934" s="269"/>
      <c r="AP1934" s="269"/>
      <c r="AQ1934" s="269"/>
      <c r="AR1934" s="269"/>
    </row>
    <row r="1935">
      <c r="A1935" s="410"/>
      <c r="B1935" s="410"/>
      <c r="C1935" s="410"/>
      <c r="D1935" s="410"/>
      <c r="E1935" s="410"/>
      <c r="F1935" s="410"/>
      <c r="H1935" s="269"/>
      <c r="I1935" s="269"/>
      <c r="J1935" s="269"/>
      <c r="K1935" s="269"/>
      <c r="L1935" s="269"/>
      <c r="M1935" s="269"/>
      <c r="N1935" s="269"/>
      <c r="O1935" s="269"/>
      <c r="P1935" s="269"/>
      <c r="Q1935" s="269"/>
      <c r="R1935" s="269"/>
      <c r="S1935" s="269"/>
      <c r="T1935" s="269"/>
      <c r="U1935" s="269"/>
      <c r="V1935" s="269"/>
      <c r="W1935" s="269"/>
      <c r="X1935" s="269"/>
      <c r="Y1935" s="269"/>
      <c r="Z1935" s="269"/>
      <c r="AA1935" s="269"/>
      <c r="AB1935" s="269"/>
      <c r="AC1935" s="269"/>
      <c r="AD1935" s="269"/>
      <c r="AE1935" s="269"/>
      <c r="AF1935" s="269"/>
      <c r="AG1935" s="269"/>
      <c r="AH1935" s="269"/>
      <c r="AI1935" s="269"/>
      <c r="AJ1935" s="269"/>
      <c r="AK1935" s="269"/>
      <c r="AL1935" s="269"/>
      <c r="AM1935" s="269"/>
      <c r="AN1935" s="269"/>
      <c r="AO1935" s="269"/>
      <c r="AP1935" s="269"/>
      <c r="AQ1935" s="269"/>
      <c r="AR1935" s="269"/>
    </row>
    <row r="1936">
      <c r="A1936" s="410"/>
      <c r="B1936" s="410"/>
      <c r="C1936" s="410"/>
      <c r="D1936" s="410"/>
      <c r="E1936" s="410"/>
      <c r="F1936" s="410"/>
      <c r="H1936" s="269"/>
      <c r="I1936" s="269"/>
      <c r="J1936" s="269"/>
      <c r="K1936" s="269"/>
      <c r="L1936" s="269"/>
      <c r="M1936" s="269"/>
      <c r="N1936" s="269"/>
      <c r="O1936" s="269"/>
      <c r="P1936" s="269"/>
      <c r="Q1936" s="269"/>
      <c r="R1936" s="269"/>
      <c r="S1936" s="269"/>
      <c r="T1936" s="269"/>
      <c r="U1936" s="269"/>
      <c r="V1936" s="269"/>
      <c r="W1936" s="269"/>
      <c r="X1936" s="269"/>
      <c r="Y1936" s="269"/>
      <c r="Z1936" s="269"/>
      <c r="AA1936" s="269"/>
      <c r="AB1936" s="269"/>
      <c r="AC1936" s="269"/>
      <c r="AD1936" s="269"/>
      <c r="AE1936" s="269"/>
      <c r="AF1936" s="269"/>
      <c r="AG1936" s="269"/>
      <c r="AH1936" s="269"/>
      <c r="AI1936" s="269"/>
      <c r="AJ1936" s="269"/>
      <c r="AK1936" s="269"/>
      <c r="AL1936" s="269"/>
      <c r="AM1936" s="269"/>
      <c r="AN1936" s="269"/>
      <c r="AO1936" s="269"/>
      <c r="AP1936" s="269"/>
      <c r="AQ1936" s="269"/>
      <c r="AR1936" s="269"/>
    </row>
    <row r="1937">
      <c r="A1937" s="410"/>
      <c r="B1937" s="410"/>
      <c r="C1937" s="410"/>
      <c r="D1937" s="410"/>
      <c r="E1937" s="410"/>
      <c r="F1937" s="410"/>
      <c r="H1937" s="269"/>
      <c r="I1937" s="269"/>
      <c r="J1937" s="269"/>
      <c r="K1937" s="269"/>
      <c r="L1937" s="269"/>
      <c r="M1937" s="269"/>
      <c r="N1937" s="269"/>
      <c r="O1937" s="269"/>
      <c r="P1937" s="269"/>
      <c r="Q1937" s="269"/>
      <c r="R1937" s="269"/>
      <c r="S1937" s="269"/>
      <c r="T1937" s="269"/>
      <c r="U1937" s="269"/>
      <c r="V1937" s="269"/>
      <c r="W1937" s="269"/>
      <c r="X1937" s="269"/>
      <c r="Y1937" s="269"/>
      <c r="Z1937" s="269"/>
      <c r="AA1937" s="269"/>
      <c r="AB1937" s="269"/>
      <c r="AC1937" s="269"/>
      <c r="AD1937" s="269"/>
      <c r="AE1937" s="269"/>
      <c r="AF1937" s="269"/>
      <c r="AG1937" s="269"/>
      <c r="AH1937" s="269"/>
      <c r="AI1937" s="269"/>
      <c r="AJ1937" s="269"/>
      <c r="AK1937" s="269"/>
      <c r="AL1937" s="269"/>
      <c r="AM1937" s="269"/>
      <c r="AN1937" s="269"/>
      <c r="AO1937" s="269"/>
      <c r="AP1937" s="269"/>
      <c r="AQ1937" s="269"/>
      <c r="AR1937" s="269"/>
    </row>
    <row r="1938">
      <c r="A1938" s="410"/>
      <c r="B1938" s="410"/>
      <c r="C1938" s="410"/>
      <c r="D1938" s="410"/>
      <c r="E1938" s="410"/>
      <c r="F1938" s="410"/>
      <c r="H1938" s="269"/>
      <c r="I1938" s="269"/>
      <c r="J1938" s="269"/>
      <c r="K1938" s="269"/>
      <c r="L1938" s="269"/>
      <c r="M1938" s="269"/>
      <c r="N1938" s="269"/>
      <c r="O1938" s="269"/>
      <c r="P1938" s="269"/>
      <c r="Q1938" s="269"/>
      <c r="R1938" s="269"/>
      <c r="S1938" s="269"/>
      <c r="T1938" s="269"/>
      <c r="U1938" s="269"/>
      <c r="V1938" s="269"/>
      <c r="W1938" s="269"/>
      <c r="X1938" s="269"/>
      <c r="Y1938" s="269"/>
      <c r="Z1938" s="269"/>
      <c r="AA1938" s="269"/>
      <c r="AB1938" s="269"/>
      <c r="AC1938" s="269"/>
      <c r="AD1938" s="269"/>
      <c r="AE1938" s="269"/>
      <c r="AF1938" s="269"/>
      <c r="AG1938" s="269"/>
      <c r="AH1938" s="269"/>
      <c r="AI1938" s="269"/>
      <c r="AJ1938" s="269"/>
      <c r="AK1938" s="269"/>
      <c r="AL1938" s="269"/>
      <c r="AM1938" s="269"/>
      <c r="AN1938" s="269"/>
      <c r="AO1938" s="269"/>
      <c r="AP1938" s="269"/>
      <c r="AQ1938" s="269"/>
      <c r="AR1938" s="269"/>
    </row>
    <row r="1939">
      <c r="A1939" s="410"/>
      <c r="B1939" s="410"/>
      <c r="C1939" s="410"/>
      <c r="D1939" s="410"/>
      <c r="E1939" s="410"/>
      <c r="F1939" s="410"/>
      <c r="H1939" s="269"/>
      <c r="I1939" s="269"/>
      <c r="J1939" s="269"/>
      <c r="K1939" s="269"/>
      <c r="L1939" s="269"/>
      <c r="M1939" s="269"/>
      <c r="N1939" s="269"/>
      <c r="O1939" s="269"/>
      <c r="P1939" s="269"/>
      <c r="Q1939" s="269"/>
      <c r="R1939" s="269"/>
      <c r="S1939" s="269"/>
      <c r="T1939" s="269"/>
      <c r="U1939" s="269"/>
      <c r="V1939" s="269"/>
      <c r="W1939" s="269"/>
      <c r="X1939" s="269"/>
      <c r="Y1939" s="269"/>
      <c r="Z1939" s="269"/>
      <c r="AA1939" s="269"/>
      <c r="AB1939" s="269"/>
      <c r="AC1939" s="269"/>
      <c r="AD1939" s="269"/>
      <c r="AE1939" s="269"/>
      <c r="AF1939" s="269"/>
      <c r="AG1939" s="269"/>
      <c r="AH1939" s="269"/>
      <c r="AI1939" s="269"/>
      <c r="AJ1939" s="269"/>
      <c r="AK1939" s="269"/>
      <c r="AL1939" s="269"/>
      <c r="AM1939" s="269"/>
      <c r="AN1939" s="269"/>
      <c r="AO1939" s="269"/>
      <c r="AP1939" s="269"/>
      <c r="AQ1939" s="269"/>
      <c r="AR1939" s="269"/>
    </row>
    <row r="1940">
      <c r="A1940" s="410"/>
      <c r="B1940" s="410"/>
      <c r="C1940" s="410"/>
      <c r="D1940" s="410"/>
      <c r="E1940" s="410"/>
      <c r="F1940" s="410"/>
      <c r="H1940" s="269"/>
      <c r="I1940" s="269"/>
      <c r="J1940" s="269"/>
      <c r="K1940" s="269"/>
      <c r="L1940" s="269"/>
      <c r="M1940" s="269"/>
      <c r="N1940" s="269"/>
      <c r="O1940" s="269"/>
      <c r="P1940" s="269"/>
      <c r="Q1940" s="269"/>
      <c r="R1940" s="269"/>
      <c r="S1940" s="269"/>
      <c r="T1940" s="269"/>
      <c r="U1940" s="269"/>
      <c r="V1940" s="269"/>
      <c r="W1940" s="269"/>
      <c r="X1940" s="269"/>
      <c r="Y1940" s="269"/>
      <c r="Z1940" s="269"/>
      <c r="AA1940" s="269"/>
      <c r="AB1940" s="269"/>
      <c r="AC1940" s="269"/>
      <c r="AD1940" s="269"/>
      <c r="AE1940" s="269"/>
      <c r="AF1940" s="269"/>
      <c r="AG1940" s="269"/>
      <c r="AH1940" s="269"/>
      <c r="AI1940" s="269"/>
      <c r="AJ1940" s="269"/>
      <c r="AK1940" s="269"/>
      <c r="AL1940" s="269"/>
      <c r="AM1940" s="269"/>
      <c r="AN1940" s="269"/>
      <c r="AO1940" s="269"/>
      <c r="AP1940" s="269"/>
      <c r="AQ1940" s="269"/>
      <c r="AR1940" s="269"/>
    </row>
    <row r="1941">
      <c r="A1941" s="410"/>
      <c r="B1941" s="410"/>
      <c r="C1941" s="410"/>
      <c r="D1941" s="410"/>
      <c r="E1941" s="410"/>
      <c r="F1941" s="410"/>
      <c r="H1941" s="269"/>
      <c r="I1941" s="269"/>
      <c r="J1941" s="269"/>
      <c r="K1941" s="269"/>
      <c r="L1941" s="269"/>
      <c r="M1941" s="269"/>
      <c r="N1941" s="269"/>
      <c r="O1941" s="269"/>
      <c r="P1941" s="269"/>
      <c r="Q1941" s="269"/>
      <c r="R1941" s="269"/>
      <c r="S1941" s="269"/>
      <c r="T1941" s="269"/>
      <c r="U1941" s="269"/>
      <c r="V1941" s="269"/>
      <c r="W1941" s="269"/>
      <c r="X1941" s="269"/>
      <c r="Y1941" s="269"/>
      <c r="Z1941" s="269"/>
      <c r="AA1941" s="269"/>
      <c r="AB1941" s="269"/>
      <c r="AC1941" s="269"/>
      <c r="AD1941" s="269"/>
      <c r="AE1941" s="269"/>
      <c r="AF1941" s="269"/>
      <c r="AG1941" s="269"/>
      <c r="AH1941" s="269"/>
      <c r="AI1941" s="269"/>
      <c r="AJ1941" s="269"/>
      <c r="AK1941" s="269"/>
      <c r="AL1941" s="269"/>
      <c r="AM1941" s="269"/>
      <c r="AN1941" s="269"/>
      <c r="AO1941" s="269"/>
      <c r="AP1941" s="269"/>
      <c r="AQ1941" s="269"/>
      <c r="AR1941" s="269"/>
    </row>
    <row r="1942">
      <c r="A1942" s="410"/>
      <c r="B1942" s="410"/>
      <c r="C1942" s="410"/>
      <c r="D1942" s="410"/>
      <c r="E1942" s="410"/>
      <c r="F1942" s="410"/>
      <c r="H1942" s="269"/>
      <c r="I1942" s="269"/>
      <c r="J1942" s="269"/>
      <c r="K1942" s="269"/>
      <c r="L1942" s="269"/>
      <c r="M1942" s="269"/>
      <c r="N1942" s="269"/>
      <c r="O1942" s="269"/>
      <c r="P1942" s="269"/>
      <c r="Q1942" s="269"/>
      <c r="R1942" s="269"/>
      <c r="S1942" s="269"/>
      <c r="T1942" s="269"/>
      <c r="U1942" s="269"/>
      <c r="V1942" s="269"/>
      <c r="W1942" s="269"/>
      <c r="X1942" s="269"/>
      <c r="Y1942" s="269"/>
      <c r="Z1942" s="269"/>
      <c r="AA1942" s="269"/>
      <c r="AB1942" s="269"/>
      <c r="AC1942" s="269"/>
      <c r="AD1942" s="269"/>
      <c r="AE1942" s="269"/>
      <c r="AF1942" s="269"/>
      <c r="AG1942" s="269"/>
      <c r="AH1942" s="269"/>
      <c r="AI1942" s="269"/>
      <c r="AJ1942" s="269"/>
      <c r="AK1942" s="269"/>
      <c r="AL1942" s="269"/>
      <c r="AM1942" s="269"/>
      <c r="AN1942" s="269"/>
      <c r="AO1942" s="269"/>
      <c r="AP1942" s="269"/>
      <c r="AQ1942" s="269"/>
      <c r="AR1942" s="269"/>
    </row>
    <row r="1943">
      <c r="A1943" s="410"/>
      <c r="B1943" s="410"/>
      <c r="C1943" s="410"/>
      <c r="D1943" s="410"/>
      <c r="E1943" s="410"/>
      <c r="F1943" s="410"/>
      <c r="H1943" s="269"/>
      <c r="I1943" s="269"/>
      <c r="J1943" s="269"/>
      <c r="K1943" s="269"/>
      <c r="L1943" s="269"/>
      <c r="M1943" s="269"/>
      <c r="N1943" s="269"/>
      <c r="O1943" s="269"/>
      <c r="P1943" s="269"/>
      <c r="Q1943" s="269"/>
      <c r="R1943" s="269"/>
      <c r="S1943" s="269"/>
      <c r="T1943" s="269"/>
      <c r="U1943" s="269"/>
      <c r="V1943" s="269"/>
      <c r="W1943" s="269"/>
      <c r="X1943" s="269"/>
      <c r="Y1943" s="269"/>
      <c r="Z1943" s="269"/>
      <c r="AA1943" s="269"/>
      <c r="AB1943" s="269"/>
      <c r="AC1943" s="269"/>
      <c r="AD1943" s="269"/>
      <c r="AE1943" s="269"/>
      <c r="AF1943" s="269"/>
      <c r="AG1943" s="269"/>
      <c r="AH1943" s="269"/>
      <c r="AI1943" s="269"/>
      <c r="AJ1943" s="269"/>
      <c r="AK1943" s="269"/>
      <c r="AL1943" s="269"/>
      <c r="AM1943" s="269"/>
      <c r="AN1943" s="269"/>
      <c r="AO1943" s="269"/>
      <c r="AP1943" s="269"/>
      <c r="AQ1943" s="269"/>
      <c r="AR1943" s="269"/>
    </row>
    <row r="1944">
      <c r="A1944" s="410"/>
      <c r="B1944" s="410"/>
      <c r="C1944" s="410"/>
      <c r="D1944" s="410"/>
      <c r="E1944" s="410"/>
      <c r="F1944" s="410"/>
      <c r="H1944" s="269"/>
      <c r="I1944" s="269"/>
      <c r="J1944" s="269"/>
      <c r="K1944" s="269"/>
      <c r="L1944" s="269"/>
      <c r="M1944" s="269"/>
      <c r="N1944" s="269"/>
      <c r="O1944" s="269"/>
      <c r="P1944" s="269"/>
      <c r="Q1944" s="269"/>
      <c r="R1944" s="269"/>
      <c r="S1944" s="269"/>
      <c r="T1944" s="269"/>
      <c r="U1944" s="269"/>
      <c r="V1944" s="269"/>
      <c r="W1944" s="269"/>
      <c r="X1944" s="269"/>
      <c r="Y1944" s="269"/>
      <c r="Z1944" s="269"/>
      <c r="AA1944" s="269"/>
      <c r="AB1944" s="269"/>
      <c r="AC1944" s="269"/>
      <c r="AD1944" s="269"/>
      <c r="AE1944" s="269"/>
      <c r="AF1944" s="269"/>
      <c r="AG1944" s="269"/>
      <c r="AH1944" s="269"/>
      <c r="AI1944" s="269"/>
      <c r="AJ1944" s="269"/>
      <c r="AK1944" s="269"/>
      <c r="AL1944" s="269"/>
      <c r="AM1944" s="269"/>
      <c r="AN1944" s="269"/>
      <c r="AO1944" s="269"/>
      <c r="AP1944" s="269"/>
      <c r="AQ1944" s="269"/>
      <c r="AR1944" s="269"/>
    </row>
    <row r="1945">
      <c r="A1945" s="410"/>
      <c r="B1945" s="410"/>
      <c r="C1945" s="410"/>
      <c r="D1945" s="410"/>
      <c r="E1945" s="410"/>
      <c r="F1945" s="410"/>
      <c r="H1945" s="269"/>
      <c r="I1945" s="269"/>
      <c r="J1945" s="269"/>
      <c r="K1945" s="269"/>
      <c r="L1945" s="269"/>
      <c r="M1945" s="269"/>
      <c r="N1945" s="269"/>
      <c r="O1945" s="269"/>
      <c r="P1945" s="269"/>
      <c r="Q1945" s="269"/>
      <c r="R1945" s="269"/>
      <c r="S1945" s="269"/>
      <c r="T1945" s="269"/>
      <c r="U1945" s="269"/>
      <c r="V1945" s="269"/>
      <c r="W1945" s="269"/>
      <c r="X1945" s="269"/>
      <c r="Y1945" s="269"/>
      <c r="Z1945" s="269"/>
      <c r="AA1945" s="269"/>
      <c r="AB1945" s="269"/>
      <c r="AC1945" s="269"/>
      <c r="AD1945" s="269"/>
      <c r="AE1945" s="269"/>
      <c r="AF1945" s="269"/>
      <c r="AG1945" s="269"/>
      <c r="AH1945" s="269"/>
      <c r="AI1945" s="269"/>
      <c r="AJ1945" s="269"/>
      <c r="AK1945" s="269"/>
      <c r="AL1945" s="269"/>
      <c r="AM1945" s="269"/>
      <c r="AN1945" s="269"/>
      <c r="AO1945" s="269"/>
      <c r="AP1945" s="269"/>
      <c r="AQ1945" s="269"/>
      <c r="AR1945" s="269"/>
    </row>
    <row r="1946">
      <c r="A1946" s="410"/>
      <c r="B1946" s="410"/>
      <c r="C1946" s="410"/>
      <c r="D1946" s="410"/>
      <c r="E1946" s="410"/>
      <c r="F1946" s="410"/>
      <c r="H1946" s="269"/>
      <c r="I1946" s="269"/>
      <c r="J1946" s="269"/>
      <c r="K1946" s="269"/>
      <c r="L1946" s="269"/>
      <c r="M1946" s="269"/>
      <c r="N1946" s="269"/>
      <c r="O1946" s="269"/>
      <c r="P1946" s="269"/>
      <c r="Q1946" s="269"/>
      <c r="R1946" s="269"/>
      <c r="S1946" s="269"/>
      <c r="T1946" s="269"/>
      <c r="U1946" s="269"/>
      <c r="V1946" s="269"/>
      <c r="W1946" s="269"/>
      <c r="X1946" s="269"/>
      <c r="Y1946" s="269"/>
      <c r="Z1946" s="269"/>
      <c r="AA1946" s="269"/>
      <c r="AB1946" s="269"/>
      <c r="AC1946" s="269"/>
      <c r="AD1946" s="269"/>
      <c r="AE1946" s="269"/>
      <c r="AF1946" s="269"/>
      <c r="AG1946" s="269"/>
      <c r="AH1946" s="269"/>
      <c r="AI1946" s="269"/>
      <c r="AJ1946" s="269"/>
      <c r="AK1946" s="269"/>
      <c r="AL1946" s="269"/>
      <c r="AM1946" s="269"/>
      <c r="AN1946" s="269"/>
      <c r="AO1946" s="269"/>
      <c r="AP1946" s="269"/>
      <c r="AQ1946" s="269"/>
      <c r="AR1946" s="269"/>
    </row>
    <row r="1947">
      <c r="A1947" s="410"/>
      <c r="B1947" s="410"/>
      <c r="C1947" s="410"/>
      <c r="D1947" s="410"/>
      <c r="E1947" s="410"/>
      <c r="F1947" s="410"/>
      <c r="H1947" s="269"/>
      <c r="I1947" s="269"/>
      <c r="J1947" s="269"/>
      <c r="K1947" s="269"/>
      <c r="L1947" s="269"/>
      <c r="M1947" s="269"/>
      <c r="N1947" s="269"/>
      <c r="O1947" s="269"/>
      <c r="P1947" s="269"/>
      <c r="Q1947" s="269"/>
      <c r="R1947" s="269"/>
      <c r="S1947" s="269"/>
      <c r="T1947" s="269"/>
      <c r="U1947" s="269"/>
      <c r="V1947" s="269"/>
      <c r="W1947" s="269"/>
      <c r="X1947" s="269"/>
      <c r="Y1947" s="269"/>
      <c r="Z1947" s="269"/>
      <c r="AA1947" s="269"/>
      <c r="AB1947" s="269"/>
      <c r="AC1947" s="269"/>
      <c r="AD1947" s="269"/>
      <c r="AE1947" s="269"/>
      <c r="AF1947" s="269"/>
      <c r="AG1947" s="269"/>
      <c r="AH1947" s="269"/>
      <c r="AI1947" s="269"/>
      <c r="AJ1947" s="269"/>
      <c r="AK1947" s="269"/>
      <c r="AL1947" s="269"/>
      <c r="AM1947" s="269"/>
      <c r="AN1947" s="269"/>
      <c r="AO1947" s="269"/>
      <c r="AP1947" s="269"/>
      <c r="AQ1947" s="269"/>
      <c r="AR1947" s="269"/>
    </row>
    <row r="1948">
      <c r="A1948" s="410"/>
      <c r="B1948" s="410"/>
      <c r="C1948" s="410"/>
      <c r="D1948" s="410"/>
      <c r="E1948" s="410"/>
      <c r="F1948" s="410"/>
      <c r="H1948" s="269"/>
      <c r="I1948" s="269"/>
      <c r="J1948" s="269"/>
      <c r="K1948" s="269"/>
      <c r="L1948" s="269"/>
      <c r="M1948" s="269"/>
      <c r="N1948" s="269"/>
      <c r="O1948" s="269"/>
      <c r="P1948" s="269"/>
      <c r="Q1948" s="269"/>
      <c r="R1948" s="269"/>
      <c r="S1948" s="269"/>
      <c r="T1948" s="269"/>
      <c r="U1948" s="269"/>
      <c r="V1948" s="269"/>
      <c r="W1948" s="269"/>
      <c r="X1948" s="269"/>
      <c r="Y1948" s="269"/>
      <c r="Z1948" s="269"/>
      <c r="AA1948" s="269"/>
      <c r="AB1948" s="269"/>
      <c r="AC1948" s="269"/>
      <c r="AD1948" s="269"/>
      <c r="AE1948" s="269"/>
      <c r="AF1948" s="269"/>
      <c r="AG1948" s="269"/>
      <c r="AH1948" s="269"/>
      <c r="AI1948" s="269"/>
      <c r="AJ1948" s="269"/>
      <c r="AK1948" s="269"/>
      <c r="AL1948" s="269"/>
      <c r="AM1948" s="269"/>
      <c r="AN1948" s="269"/>
      <c r="AO1948" s="269"/>
      <c r="AP1948" s="269"/>
      <c r="AQ1948" s="269"/>
      <c r="AR1948" s="269"/>
    </row>
    <row r="1949">
      <c r="A1949" s="410"/>
      <c r="B1949" s="410"/>
      <c r="C1949" s="410"/>
      <c r="D1949" s="410"/>
      <c r="E1949" s="410"/>
      <c r="F1949" s="410"/>
      <c r="H1949" s="269"/>
      <c r="I1949" s="269"/>
      <c r="J1949" s="269"/>
      <c r="K1949" s="269"/>
      <c r="L1949" s="269"/>
      <c r="M1949" s="269"/>
      <c r="N1949" s="269"/>
      <c r="O1949" s="269"/>
      <c r="P1949" s="269"/>
      <c r="Q1949" s="269"/>
      <c r="R1949" s="269"/>
      <c r="S1949" s="269"/>
      <c r="T1949" s="269"/>
      <c r="U1949" s="269"/>
      <c r="V1949" s="269"/>
      <c r="W1949" s="269"/>
      <c r="X1949" s="269"/>
      <c r="Y1949" s="269"/>
      <c r="Z1949" s="269"/>
      <c r="AA1949" s="269"/>
      <c r="AB1949" s="269"/>
      <c r="AC1949" s="269"/>
      <c r="AD1949" s="269"/>
      <c r="AE1949" s="269"/>
      <c r="AF1949" s="269"/>
      <c r="AG1949" s="269"/>
      <c r="AH1949" s="269"/>
      <c r="AI1949" s="269"/>
      <c r="AJ1949" s="269"/>
      <c r="AK1949" s="269"/>
      <c r="AL1949" s="269"/>
      <c r="AM1949" s="269"/>
      <c r="AN1949" s="269"/>
      <c r="AO1949" s="269"/>
      <c r="AP1949" s="269"/>
      <c r="AQ1949" s="269"/>
      <c r="AR1949" s="269"/>
    </row>
    <row r="1950">
      <c r="A1950" s="410"/>
      <c r="B1950" s="410"/>
      <c r="C1950" s="410"/>
      <c r="D1950" s="410"/>
      <c r="E1950" s="410"/>
      <c r="F1950" s="410"/>
      <c r="H1950" s="269"/>
      <c r="I1950" s="269"/>
      <c r="J1950" s="269"/>
      <c r="K1950" s="269"/>
      <c r="L1950" s="269"/>
      <c r="M1950" s="269"/>
      <c r="N1950" s="269"/>
      <c r="O1950" s="269"/>
      <c r="P1950" s="269"/>
      <c r="Q1950" s="269"/>
      <c r="R1950" s="269"/>
      <c r="S1950" s="269"/>
      <c r="T1950" s="269"/>
      <c r="U1950" s="269"/>
      <c r="V1950" s="269"/>
      <c r="W1950" s="269"/>
      <c r="X1950" s="269"/>
      <c r="Y1950" s="269"/>
      <c r="Z1950" s="269"/>
      <c r="AA1950" s="269"/>
      <c r="AB1950" s="269"/>
      <c r="AC1950" s="269"/>
      <c r="AD1950" s="269"/>
      <c r="AE1950" s="269"/>
      <c r="AF1950" s="269"/>
      <c r="AG1950" s="269"/>
      <c r="AH1950" s="269"/>
      <c r="AI1950" s="269"/>
      <c r="AJ1950" s="269"/>
      <c r="AK1950" s="269"/>
      <c r="AL1950" s="269"/>
      <c r="AM1950" s="269"/>
      <c r="AN1950" s="269"/>
      <c r="AO1950" s="269"/>
      <c r="AP1950" s="269"/>
      <c r="AQ1950" s="269"/>
      <c r="AR1950" s="269"/>
    </row>
    <row r="1951">
      <c r="A1951" s="410"/>
      <c r="B1951" s="410"/>
      <c r="C1951" s="410"/>
      <c r="D1951" s="410"/>
      <c r="E1951" s="410"/>
      <c r="F1951" s="410"/>
      <c r="H1951" s="269"/>
      <c r="I1951" s="269"/>
      <c r="J1951" s="269"/>
      <c r="K1951" s="269"/>
      <c r="L1951" s="269"/>
      <c r="M1951" s="269"/>
      <c r="N1951" s="269"/>
      <c r="O1951" s="269"/>
      <c r="P1951" s="269"/>
      <c r="Q1951" s="269"/>
      <c r="R1951" s="269"/>
      <c r="S1951" s="269"/>
      <c r="T1951" s="269"/>
      <c r="U1951" s="269"/>
      <c r="V1951" s="269"/>
      <c r="W1951" s="269"/>
      <c r="X1951" s="269"/>
      <c r="Y1951" s="269"/>
      <c r="Z1951" s="269"/>
      <c r="AA1951" s="269"/>
      <c r="AB1951" s="269"/>
      <c r="AC1951" s="269"/>
      <c r="AD1951" s="269"/>
      <c r="AE1951" s="269"/>
      <c r="AF1951" s="269"/>
      <c r="AG1951" s="269"/>
      <c r="AH1951" s="269"/>
      <c r="AI1951" s="269"/>
      <c r="AJ1951" s="269"/>
      <c r="AK1951" s="269"/>
      <c r="AL1951" s="269"/>
      <c r="AM1951" s="269"/>
      <c r="AN1951" s="269"/>
      <c r="AO1951" s="269"/>
      <c r="AP1951" s="269"/>
      <c r="AQ1951" s="269"/>
      <c r="AR1951" s="269"/>
    </row>
    <row r="1952">
      <c r="A1952" s="410"/>
      <c r="B1952" s="410"/>
      <c r="C1952" s="410"/>
      <c r="D1952" s="410"/>
      <c r="E1952" s="410"/>
      <c r="F1952" s="410"/>
      <c r="H1952" s="269"/>
      <c r="I1952" s="269"/>
      <c r="J1952" s="269"/>
      <c r="K1952" s="269"/>
      <c r="L1952" s="269"/>
      <c r="M1952" s="269"/>
      <c r="N1952" s="269"/>
      <c r="O1952" s="269"/>
      <c r="P1952" s="269"/>
      <c r="Q1952" s="269"/>
      <c r="R1952" s="269"/>
      <c r="S1952" s="269"/>
      <c r="T1952" s="269"/>
      <c r="U1952" s="269"/>
      <c r="V1952" s="269"/>
      <c r="W1952" s="269"/>
      <c r="X1952" s="269"/>
      <c r="Y1952" s="269"/>
      <c r="Z1952" s="269"/>
      <c r="AA1952" s="269"/>
      <c r="AB1952" s="269"/>
      <c r="AC1952" s="269"/>
      <c r="AD1952" s="269"/>
      <c r="AE1952" s="269"/>
      <c r="AF1952" s="269"/>
      <c r="AG1952" s="269"/>
      <c r="AH1952" s="269"/>
      <c r="AI1952" s="269"/>
      <c r="AJ1952" s="269"/>
      <c r="AK1952" s="269"/>
      <c r="AL1952" s="269"/>
      <c r="AM1952" s="269"/>
      <c r="AN1952" s="269"/>
      <c r="AO1952" s="269"/>
      <c r="AP1952" s="269"/>
      <c r="AQ1952" s="269"/>
      <c r="AR1952" s="269"/>
    </row>
    <row r="1953">
      <c r="A1953" s="410"/>
      <c r="B1953" s="410"/>
      <c r="C1953" s="410"/>
      <c r="D1953" s="410"/>
      <c r="E1953" s="410"/>
      <c r="F1953" s="410"/>
      <c r="H1953" s="269"/>
      <c r="I1953" s="269"/>
      <c r="J1953" s="269"/>
      <c r="K1953" s="269"/>
      <c r="L1953" s="269"/>
      <c r="M1953" s="269"/>
      <c r="N1953" s="269"/>
      <c r="O1953" s="269"/>
      <c r="P1953" s="269"/>
      <c r="Q1953" s="269"/>
      <c r="R1953" s="269"/>
      <c r="S1953" s="269"/>
      <c r="T1953" s="269"/>
      <c r="U1953" s="269"/>
      <c r="V1953" s="269"/>
      <c r="W1953" s="269"/>
      <c r="X1953" s="269"/>
      <c r="Y1953" s="269"/>
      <c r="Z1953" s="269"/>
      <c r="AA1953" s="269"/>
      <c r="AB1953" s="269"/>
      <c r="AC1953" s="269"/>
      <c r="AD1953" s="269"/>
      <c r="AE1953" s="269"/>
      <c r="AF1953" s="269"/>
      <c r="AG1953" s="269"/>
      <c r="AH1953" s="269"/>
      <c r="AI1953" s="269"/>
      <c r="AJ1953" s="269"/>
      <c r="AK1953" s="269"/>
      <c r="AL1953" s="269"/>
      <c r="AM1953" s="269"/>
      <c r="AN1953" s="269"/>
      <c r="AO1953" s="269"/>
      <c r="AP1953" s="269"/>
      <c r="AQ1953" s="269"/>
      <c r="AR1953" s="269"/>
    </row>
    <row r="1954">
      <c r="A1954" s="410"/>
      <c r="B1954" s="410"/>
      <c r="C1954" s="410"/>
      <c r="D1954" s="410"/>
      <c r="E1954" s="410"/>
      <c r="F1954" s="410"/>
      <c r="H1954" s="269"/>
      <c r="I1954" s="269"/>
      <c r="J1954" s="269"/>
      <c r="K1954" s="269"/>
      <c r="L1954" s="269"/>
      <c r="M1954" s="269"/>
      <c r="N1954" s="269"/>
      <c r="O1954" s="269"/>
      <c r="P1954" s="269"/>
      <c r="Q1954" s="269"/>
      <c r="R1954" s="269"/>
      <c r="S1954" s="269"/>
      <c r="T1954" s="269"/>
      <c r="U1954" s="269"/>
      <c r="V1954" s="269"/>
      <c r="W1954" s="269"/>
      <c r="X1954" s="269"/>
      <c r="Y1954" s="269"/>
      <c r="Z1954" s="269"/>
      <c r="AA1954" s="269"/>
      <c r="AB1954" s="269"/>
      <c r="AC1954" s="269"/>
      <c r="AD1954" s="269"/>
      <c r="AE1954" s="269"/>
      <c r="AF1954" s="269"/>
      <c r="AG1954" s="269"/>
      <c r="AH1954" s="269"/>
      <c r="AI1954" s="269"/>
      <c r="AJ1954" s="269"/>
      <c r="AK1954" s="269"/>
      <c r="AL1954" s="269"/>
      <c r="AM1954" s="269"/>
      <c r="AN1954" s="269"/>
      <c r="AO1954" s="269"/>
      <c r="AP1954" s="269"/>
      <c r="AQ1954" s="269"/>
      <c r="AR1954" s="269"/>
    </row>
    <row r="1955">
      <c r="A1955" s="410"/>
      <c r="B1955" s="410"/>
      <c r="C1955" s="410"/>
      <c r="D1955" s="410"/>
      <c r="E1955" s="410"/>
      <c r="F1955" s="410"/>
      <c r="H1955" s="269"/>
      <c r="I1955" s="269"/>
      <c r="J1955" s="269"/>
      <c r="K1955" s="269"/>
      <c r="L1955" s="269"/>
      <c r="M1955" s="269"/>
      <c r="N1955" s="269"/>
      <c r="O1955" s="269"/>
      <c r="P1955" s="269"/>
      <c r="Q1955" s="269"/>
      <c r="R1955" s="269"/>
      <c r="S1955" s="269"/>
      <c r="T1955" s="269"/>
      <c r="U1955" s="269"/>
      <c r="V1955" s="269"/>
      <c r="W1955" s="269"/>
      <c r="X1955" s="269"/>
      <c r="Y1955" s="269"/>
      <c r="Z1955" s="269"/>
      <c r="AA1955" s="269"/>
      <c r="AB1955" s="269"/>
      <c r="AC1955" s="269"/>
      <c r="AD1955" s="269"/>
      <c r="AE1955" s="269"/>
      <c r="AF1955" s="269"/>
      <c r="AG1955" s="269"/>
      <c r="AH1955" s="269"/>
      <c r="AI1955" s="269"/>
      <c r="AJ1955" s="269"/>
      <c r="AK1955" s="269"/>
      <c r="AL1955" s="269"/>
      <c r="AM1955" s="269"/>
      <c r="AN1955" s="269"/>
      <c r="AO1955" s="269"/>
      <c r="AP1955" s="269"/>
      <c r="AQ1955" s="269"/>
      <c r="AR1955" s="269"/>
    </row>
    <row r="1956">
      <c r="A1956" s="410"/>
      <c r="B1956" s="410"/>
      <c r="C1956" s="410"/>
      <c r="D1956" s="410"/>
      <c r="E1956" s="410"/>
      <c r="F1956" s="410"/>
      <c r="H1956" s="269"/>
      <c r="I1956" s="269"/>
      <c r="J1956" s="269"/>
      <c r="K1956" s="269"/>
      <c r="L1956" s="269"/>
      <c r="M1956" s="269"/>
      <c r="N1956" s="269"/>
      <c r="O1956" s="269"/>
      <c r="P1956" s="269"/>
      <c r="Q1956" s="269"/>
      <c r="R1956" s="269"/>
      <c r="S1956" s="269"/>
      <c r="T1956" s="269"/>
      <c r="U1956" s="269"/>
      <c r="V1956" s="269"/>
      <c r="W1956" s="269"/>
      <c r="X1956" s="269"/>
      <c r="Y1956" s="269"/>
      <c r="Z1956" s="269"/>
      <c r="AA1956" s="269"/>
      <c r="AB1956" s="269"/>
      <c r="AC1956" s="269"/>
      <c r="AD1956" s="269"/>
      <c r="AE1956" s="269"/>
      <c r="AF1956" s="269"/>
      <c r="AG1956" s="269"/>
      <c r="AH1956" s="269"/>
      <c r="AI1956" s="269"/>
      <c r="AJ1956" s="269"/>
      <c r="AK1956" s="269"/>
      <c r="AL1956" s="269"/>
      <c r="AM1956" s="269"/>
      <c r="AN1956" s="269"/>
      <c r="AO1956" s="269"/>
      <c r="AP1956" s="269"/>
      <c r="AQ1956" s="269"/>
      <c r="AR1956" s="269"/>
    </row>
    <row r="1957">
      <c r="A1957" s="410"/>
      <c r="B1957" s="410"/>
      <c r="C1957" s="410"/>
      <c r="D1957" s="410"/>
      <c r="E1957" s="410"/>
      <c r="F1957" s="410"/>
      <c r="H1957" s="269"/>
      <c r="I1957" s="269"/>
      <c r="J1957" s="269"/>
      <c r="K1957" s="269"/>
      <c r="L1957" s="269"/>
      <c r="M1957" s="269"/>
      <c r="N1957" s="269"/>
      <c r="O1957" s="269"/>
      <c r="P1957" s="269"/>
      <c r="Q1957" s="269"/>
      <c r="R1957" s="269"/>
      <c r="S1957" s="269"/>
      <c r="T1957" s="269"/>
      <c r="U1957" s="269"/>
      <c r="V1957" s="269"/>
      <c r="W1957" s="269"/>
      <c r="X1957" s="269"/>
      <c r="Y1957" s="269"/>
      <c r="Z1957" s="269"/>
      <c r="AA1957" s="269"/>
      <c r="AB1957" s="269"/>
      <c r="AC1957" s="269"/>
      <c r="AD1957" s="269"/>
      <c r="AE1957" s="269"/>
      <c r="AF1957" s="269"/>
      <c r="AG1957" s="269"/>
      <c r="AH1957" s="269"/>
      <c r="AI1957" s="269"/>
      <c r="AJ1957" s="269"/>
      <c r="AK1957" s="269"/>
      <c r="AL1957" s="269"/>
      <c r="AM1957" s="269"/>
      <c r="AN1957" s="269"/>
      <c r="AO1957" s="269"/>
      <c r="AP1957" s="269"/>
      <c r="AQ1957" s="269"/>
      <c r="AR1957" s="269"/>
    </row>
    <row r="1958">
      <c r="A1958" s="410"/>
      <c r="B1958" s="410"/>
      <c r="C1958" s="410"/>
      <c r="D1958" s="410"/>
      <c r="E1958" s="410"/>
      <c r="F1958" s="410"/>
      <c r="H1958" s="269"/>
      <c r="I1958" s="269"/>
      <c r="J1958" s="269"/>
      <c r="K1958" s="269"/>
      <c r="L1958" s="269"/>
      <c r="M1958" s="269"/>
      <c r="N1958" s="269"/>
      <c r="O1958" s="269"/>
      <c r="P1958" s="269"/>
      <c r="Q1958" s="269"/>
      <c r="R1958" s="269"/>
      <c r="S1958" s="269"/>
      <c r="T1958" s="269"/>
      <c r="U1958" s="269"/>
      <c r="V1958" s="269"/>
      <c r="W1958" s="269"/>
      <c r="X1958" s="269"/>
      <c r="Y1958" s="269"/>
      <c r="Z1958" s="269"/>
      <c r="AA1958" s="269"/>
      <c r="AB1958" s="269"/>
      <c r="AC1958" s="269"/>
      <c r="AD1958" s="269"/>
      <c r="AE1958" s="269"/>
      <c r="AF1958" s="269"/>
      <c r="AG1958" s="269"/>
      <c r="AH1958" s="269"/>
      <c r="AI1958" s="269"/>
      <c r="AJ1958" s="269"/>
      <c r="AK1958" s="269"/>
      <c r="AL1958" s="269"/>
      <c r="AM1958" s="269"/>
      <c r="AN1958" s="269"/>
      <c r="AO1958" s="269"/>
      <c r="AP1958" s="269"/>
      <c r="AQ1958" s="269"/>
      <c r="AR1958" s="269"/>
    </row>
    <row r="1959">
      <c r="A1959" s="410"/>
      <c r="B1959" s="410"/>
      <c r="C1959" s="410"/>
      <c r="D1959" s="410"/>
      <c r="E1959" s="410"/>
      <c r="F1959" s="410"/>
      <c r="H1959" s="269"/>
      <c r="I1959" s="269"/>
      <c r="J1959" s="269"/>
      <c r="K1959" s="269"/>
      <c r="L1959" s="269"/>
      <c r="M1959" s="269"/>
      <c r="N1959" s="269"/>
      <c r="O1959" s="269"/>
      <c r="P1959" s="269"/>
      <c r="Q1959" s="269"/>
      <c r="R1959" s="269"/>
      <c r="S1959" s="269"/>
      <c r="T1959" s="269"/>
      <c r="U1959" s="269"/>
      <c r="V1959" s="269"/>
      <c r="W1959" s="269"/>
      <c r="X1959" s="269"/>
      <c r="Y1959" s="269"/>
      <c r="Z1959" s="269"/>
      <c r="AA1959" s="269"/>
      <c r="AB1959" s="269"/>
      <c r="AC1959" s="269"/>
      <c r="AD1959" s="269"/>
      <c r="AE1959" s="269"/>
      <c r="AF1959" s="269"/>
      <c r="AG1959" s="269"/>
      <c r="AH1959" s="269"/>
      <c r="AI1959" s="269"/>
      <c r="AJ1959" s="269"/>
      <c r="AK1959" s="269"/>
      <c r="AL1959" s="269"/>
      <c r="AM1959" s="269"/>
      <c r="AN1959" s="269"/>
      <c r="AO1959" s="269"/>
      <c r="AP1959" s="269"/>
      <c r="AQ1959" s="269"/>
      <c r="AR1959" s="269"/>
    </row>
    <row r="1960">
      <c r="A1960" s="410"/>
      <c r="B1960" s="410"/>
      <c r="C1960" s="410"/>
      <c r="D1960" s="410"/>
      <c r="E1960" s="410"/>
      <c r="F1960" s="410"/>
      <c r="H1960" s="269"/>
      <c r="I1960" s="269"/>
      <c r="J1960" s="269"/>
      <c r="K1960" s="269"/>
      <c r="L1960" s="269"/>
      <c r="M1960" s="269"/>
      <c r="N1960" s="269"/>
      <c r="O1960" s="269"/>
      <c r="P1960" s="269"/>
      <c r="Q1960" s="269"/>
      <c r="R1960" s="269"/>
      <c r="S1960" s="269"/>
      <c r="T1960" s="269"/>
      <c r="U1960" s="269"/>
      <c r="V1960" s="269"/>
      <c r="W1960" s="269"/>
      <c r="X1960" s="269"/>
      <c r="Y1960" s="269"/>
      <c r="Z1960" s="269"/>
      <c r="AA1960" s="269"/>
      <c r="AB1960" s="269"/>
      <c r="AC1960" s="269"/>
      <c r="AD1960" s="269"/>
      <c r="AE1960" s="269"/>
      <c r="AF1960" s="269"/>
      <c r="AG1960" s="269"/>
      <c r="AH1960" s="269"/>
      <c r="AI1960" s="269"/>
      <c r="AJ1960" s="269"/>
      <c r="AK1960" s="269"/>
      <c r="AL1960" s="269"/>
      <c r="AM1960" s="269"/>
      <c r="AN1960" s="269"/>
      <c r="AO1960" s="269"/>
      <c r="AP1960" s="269"/>
      <c r="AQ1960" s="269"/>
      <c r="AR1960" s="269"/>
    </row>
    <row r="1961">
      <c r="A1961" s="410"/>
      <c r="B1961" s="410"/>
      <c r="C1961" s="410"/>
      <c r="D1961" s="410"/>
      <c r="E1961" s="410"/>
      <c r="F1961" s="410"/>
      <c r="H1961" s="269"/>
      <c r="I1961" s="269"/>
      <c r="J1961" s="269"/>
      <c r="K1961" s="269"/>
      <c r="L1961" s="269"/>
      <c r="M1961" s="269"/>
      <c r="N1961" s="269"/>
      <c r="O1961" s="269"/>
      <c r="P1961" s="269"/>
      <c r="Q1961" s="269"/>
      <c r="R1961" s="269"/>
      <c r="S1961" s="269"/>
      <c r="T1961" s="269"/>
      <c r="U1961" s="269"/>
      <c r="V1961" s="269"/>
      <c r="W1961" s="269"/>
      <c r="X1961" s="269"/>
      <c r="Y1961" s="269"/>
      <c r="Z1961" s="269"/>
      <c r="AA1961" s="269"/>
      <c r="AB1961" s="269"/>
      <c r="AC1961" s="269"/>
      <c r="AD1961" s="269"/>
      <c r="AE1961" s="269"/>
      <c r="AF1961" s="269"/>
      <c r="AG1961" s="269"/>
      <c r="AH1961" s="269"/>
      <c r="AI1961" s="269"/>
      <c r="AJ1961" s="269"/>
      <c r="AK1961" s="269"/>
      <c r="AL1961" s="269"/>
      <c r="AM1961" s="269"/>
      <c r="AN1961" s="269"/>
      <c r="AO1961" s="269"/>
      <c r="AP1961" s="269"/>
      <c r="AQ1961" s="269"/>
      <c r="AR1961" s="269"/>
    </row>
    <row r="1962">
      <c r="A1962" s="410"/>
      <c r="B1962" s="410"/>
      <c r="C1962" s="410"/>
      <c r="D1962" s="410"/>
      <c r="E1962" s="410"/>
      <c r="F1962" s="410"/>
      <c r="H1962" s="269"/>
      <c r="I1962" s="269"/>
      <c r="J1962" s="269"/>
      <c r="K1962" s="269"/>
      <c r="L1962" s="269"/>
      <c r="M1962" s="269"/>
      <c r="N1962" s="269"/>
      <c r="O1962" s="269"/>
      <c r="P1962" s="269"/>
      <c r="Q1962" s="269"/>
      <c r="R1962" s="269"/>
      <c r="S1962" s="269"/>
      <c r="T1962" s="269"/>
      <c r="U1962" s="269"/>
      <c r="V1962" s="269"/>
      <c r="W1962" s="269"/>
      <c r="X1962" s="269"/>
      <c r="Y1962" s="269"/>
      <c r="Z1962" s="269"/>
      <c r="AA1962" s="269"/>
      <c r="AB1962" s="269"/>
      <c r="AC1962" s="269"/>
      <c r="AD1962" s="269"/>
      <c r="AE1962" s="269"/>
      <c r="AF1962" s="269"/>
      <c r="AG1962" s="269"/>
      <c r="AH1962" s="269"/>
      <c r="AI1962" s="269"/>
      <c r="AJ1962" s="269"/>
      <c r="AK1962" s="269"/>
      <c r="AL1962" s="269"/>
      <c r="AM1962" s="269"/>
      <c r="AN1962" s="269"/>
      <c r="AO1962" s="269"/>
      <c r="AP1962" s="269"/>
      <c r="AQ1962" s="269"/>
      <c r="AR1962" s="269"/>
    </row>
    <row r="1963">
      <c r="A1963" s="410"/>
      <c r="B1963" s="410"/>
      <c r="C1963" s="410"/>
      <c r="D1963" s="410"/>
      <c r="E1963" s="410"/>
      <c r="F1963" s="410"/>
      <c r="H1963" s="269"/>
      <c r="I1963" s="269"/>
      <c r="J1963" s="269"/>
      <c r="K1963" s="269"/>
      <c r="L1963" s="269"/>
      <c r="M1963" s="269"/>
      <c r="N1963" s="269"/>
      <c r="O1963" s="269"/>
      <c r="P1963" s="269"/>
      <c r="Q1963" s="269"/>
      <c r="R1963" s="269"/>
      <c r="S1963" s="269"/>
      <c r="T1963" s="269"/>
      <c r="U1963" s="269"/>
      <c r="V1963" s="269"/>
      <c r="W1963" s="269"/>
      <c r="X1963" s="269"/>
      <c r="Y1963" s="269"/>
      <c r="Z1963" s="269"/>
      <c r="AA1963" s="269"/>
      <c r="AB1963" s="269"/>
      <c r="AC1963" s="269"/>
      <c r="AD1963" s="269"/>
      <c r="AE1963" s="269"/>
      <c r="AF1963" s="269"/>
      <c r="AG1963" s="269"/>
      <c r="AH1963" s="269"/>
      <c r="AI1963" s="269"/>
      <c r="AJ1963" s="269"/>
      <c r="AK1963" s="269"/>
      <c r="AL1963" s="269"/>
      <c r="AM1963" s="269"/>
      <c r="AN1963" s="269"/>
      <c r="AO1963" s="269"/>
      <c r="AP1963" s="269"/>
      <c r="AQ1963" s="269"/>
      <c r="AR1963" s="269"/>
    </row>
    <row r="1964">
      <c r="A1964" s="410"/>
      <c r="B1964" s="410"/>
      <c r="C1964" s="410"/>
      <c r="D1964" s="410"/>
      <c r="E1964" s="410"/>
      <c r="F1964" s="410"/>
      <c r="H1964" s="269"/>
      <c r="I1964" s="269"/>
      <c r="J1964" s="269"/>
      <c r="K1964" s="269"/>
      <c r="L1964" s="269"/>
      <c r="M1964" s="269"/>
      <c r="N1964" s="269"/>
      <c r="O1964" s="269"/>
      <c r="P1964" s="269"/>
      <c r="Q1964" s="269"/>
      <c r="R1964" s="269"/>
      <c r="S1964" s="269"/>
      <c r="T1964" s="269"/>
      <c r="U1964" s="269"/>
      <c r="V1964" s="269"/>
      <c r="W1964" s="269"/>
      <c r="X1964" s="269"/>
      <c r="Y1964" s="269"/>
      <c r="Z1964" s="269"/>
      <c r="AA1964" s="269"/>
      <c r="AB1964" s="269"/>
      <c r="AC1964" s="269"/>
      <c r="AD1964" s="269"/>
      <c r="AE1964" s="269"/>
      <c r="AF1964" s="269"/>
      <c r="AG1964" s="269"/>
      <c r="AH1964" s="269"/>
      <c r="AI1964" s="269"/>
      <c r="AJ1964" s="269"/>
      <c r="AK1964" s="269"/>
      <c r="AL1964" s="269"/>
      <c r="AM1964" s="269"/>
      <c r="AN1964" s="269"/>
      <c r="AO1964" s="269"/>
      <c r="AP1964" s="269"/>
      <c r="AQ1964" s="269"/>
      <c r="AR1964" s="269"/>
    </row>
    <row r="1965">
      <c r="A1965" s="410"/>
      <c r="B1965" s="410"/>
      <c r="C1965" s="410"/>
      <c r="D1965" s="410"/>
      <c r="E1965" s="410"/>
      <c r="F1965" s="410"/>
      <c r="H1965" s="269"/>
      <c r="I1965" s="269"/>
      <c r="J1965" s="269"/>
      <c r="K1965" s="269"/>
      <c r="L1965" s="269"/>
      <c r="M1965" s="269"/>
      <c r="N1965" s="269"/>
      <c r="O1965" s="269"/>
      <c r="P1965" s="269"/>
      <c r="Q1965" s="269"/>
      <c r="R1965" s="269"/>
      <c r="S1965" s="269"/>
      <c r="T1965" s="269"/>
      <c r="U1965" s="269"/>
      <c r="V1965" s="269"/>
      <c r="W1965" s="269"/>
      <c r="X1965" s="269"/>
      <c r="Y1965" s="269"/>
      <c r="Z1965" s="269"/>
      <c r="AA1965" s="269"/>
      <c r="AB1965" s="269"/>
      <c r="AC1965" s="269"/>
      <c r="AD1965" s="269"/>
      <c r="AE1965" s="269"/>
      <c r="AF1965" s="269"/>
      <c r="AG1965" s="269"/>
      <c r="AH1965" s="269"/>
      <c r="AI1965" s="269"/>
      <c r="AJ1965" s="269"/>
      <c r="AK1965" s="269"/>
      <c r="AL1965" s="269"/>
      <c r="AM1965" s="269"/>
      <c r="AN1965" s="269"/>
      <c r="AO1965" s="269"/>
      <c r="AP1965" s="269"/>
      <c r="AQ1965" s="269"/>
      <c r="AR1965" s="269"/>
    </row>
    <row r="1966">
      <c r="A1966" s="410"/>
      <c r="B1966" s="410"/>
      <c r="C1966" s="410"/>
      <c r="D1966" s="410"/>
      <c r="E1966" s="410"/>
      <c r="F1966" s="410"/>
      <c r="H1966" s="269"/>
      <c r="I1966" s="269"/>
      <c r="J1966" s="269"/>
      <c r="K1966" s="269"/>
      <c r="L1966" s="269"/>
      <c r="M1966" s="269"/>
      <c r="N1966" s="269"/>
      <c r="O1966" s="269"/>
      <c r="P1966" s="269"/>
      <c r="Q1966" s="269"/>
      <c r="R1966" s="269"/>
      <c r="S1966" s="269"/>
      <c r="T1966" s="269"/>
      <c r="U1966" s="269"/>
      <c r="V1966" s="269"/>
      <c r="W1966" s="269"/>
      <c r="X1966" s="269"/>
      <c r="Y1966" s="269"/>
      <c r="Z1966" s="269"/>
      <c r="AA1966" s="269"/>
      <c r="AB1966" s="269"/>
      <c r="AC1966" s="269"/>
      <c r="AD1966" s="269"/>
      <c r="AE1966" s="269"/>
      <c r="AF1966" s="269"/>
      <c r="AG1966" s="269"/>
      <c r="AH1966" s="269"/>
      <c r="AI1966" s="269"/>
      <c r="AJ1966" s="269"/>
      <c r="AK1966" s="269"/>
      <c r="AL1966" s="269"/>
      <c r="AM1966" s="269"/>
      <c r="AN1966" s="269"/>
      <c r="AO1966" s="269"/>
      <c r="AP1966" s="269"/>
      <c r="AQ1966" s="269"/>
      <c r="AR1966" s="269"/>
    </row>
    <row r="1967">
      <c r="A1967" s="410"/>
      <c r="B1967" s="410"/>
      <c r="C1967" s="410"/>
      <c r="D1967" s="410"/>
      <c r="E1967" s="410"/>
      <c r="F1967" s="410"/>
      <c r="H1967" s="269"/>
      <c r="I1967" s="269"/>
      <c r="J1967" s="269"/>
      <c r="K1967" s="269"/>
      <c r="L1967" s="269"/>
      <c r="M1967" s="269"/>
      <c r="N1967" s="269"/>
      <c r="O1967" s="269"/>
      <c r="P1967" s="269"/>
      <c r="Q1967" s="269"/>
      <c r="R1967" s="269"/>
      <c r="S1967" s="269"/>
      <c r="T1967" s="269"/>
      <c r="U1967" s="269"/>
      <c r="V1967" s="269"/>
      <c r="W1967" s="269"/>
      <c r="X1967" s="269"/>
      <c r="Y1967" s="269"/>
      <c r="Z1967" s="269"/>
      <c r="AA1967" s="269"/>
      <c r="AB1967" s="269"/>
      <c r="AC1967" s="269"/>
      <c r="AD1967" s="269"/>
      <c r="AE1967" s="269"/>
      <c r="AF1967" s="269"/>
      <c r="AG1967" s="269"/>
      <c r="AH1967" s="269"/>
      <c r="AI1967" s="269"/>
      <c r="AJ1967" s="269"/>
      <c r="AK1967" s="269"/>
      <c r="AL1967" s="269"/>
      <c r="AM1967" s="269"/>
      <c r="AN1967" s="269"/>
      <c r="AO1967" s="269"/>
      <c r="AP1967" s="269"/>
      <c r="AQ1967" s="269"/>
      <c r="AR1967" s="269"/>
    </row>
    <row r="1968">
      <c r="A1968" s="410"/>
      <c r="B1968" s="410"/>
      <c r="C1968" s="410"/>
      <c r="D1968" s="410"/>
      <c r="E1968" s="410"/>
      <c r="F1968" s="410"/>
      <c r="H1968" s="269"/>
      <c r="I1968" s="269"/>
      <c r="J1968" s="269"/>
      <c r="K1968" s="269"/>
      <c r="L1968" s="269"/>
      <c r="M1968" s="269"/>
      <c r="N1968" s="269"/>
      <c r="O1968" s="269"/>
      <c r="P1968" s="269"/>
      <c r="Q1968" s="269"/>
      <c r="R1968" s="269"/>
      <c r="S1968" s="269"/>
      <c r="T1968" s="269"/>
      <c r="U1968" s="269"/>
      <c r="V1968" s="269"/>
      <c r="W1968" s="269"/>
      <c r="X1968" s="269"/>
      <c r="Y1968" s="269"/>
      <c r="Z1968" s="269"/>
      <c r="AA1968" s="269"/>
      <c r="AB1968" s="269"/>
      <c r="AC1968" s="269"/>
      <c r="AD1968" s="269"/>
      <c r="AE1968" s="269"/>
      <c r="AF1968" s="269"/>
      <c r="AG1968" s="269"/>
      <c r="AH1968" s="269"/>
      <c r="AI1968" s="269"/>
      <c r="AJ1968" s="269"/>
      <c r="AK1968" s="269"/>
      <c r="AL1968" s="269"/>
      <c r="AM1968" s="269"/>
      <c r="AN1968" s="269"/>
      <c r="AO1968" s="269"/>
      <c r="AP1968" s="269"/>
      <c r="AQ1968" s="269"/>
      <c r="AR1968" s="269"/>
    </row>
    <row r="1969">
      <c r="A1969" s="410"/>
      <c r="B1969" s="410"/>
      <c r="C1969" s="410"/>
      <c r="D1969" s="410"/>
      <c r="E1969" s="410"/>
      <c r="F1969" s="410"/>
      <c r="H1969" s="269"/>
      <c r="I1969" s="269"/>
      <c r="J1969" s="269"/>
      <c r="K1969" s="269"/>
      <c r="L1969" s="269"/>
      <c r="M1969" s="269"/>
      <c r="N1969" s="269"/>
      <c r="O1969" s="269"/>
      <c r="P1969" s="269"/>
      <c r="Q1969" s="269"/>
      <c r="R1969" s="269"/>
      <c r="S1969" s="269"/>
      <c r="T1969" s="269"/>
      <c r="U1969" s="269"/>
      <c r="V1969" s="269"/>
      <c r="W1969" s="269"/>
      <c r="X1969" s="269"/>
      <c r="Y1969" s="269"/>
      <c r="Z1969" s="269"/>
      <c r="AA1969" s="269"/>
      <c r="AB1969" s="269"/>
      <c r="AC1969" s="269"/>
      <c r="AD1969" s="269"/>
      <c r="AE1969" s="269"/>
      <c r="AF1969" s="269"/>
      <c r="AG1969" s="269"/>
      <c r="AH1969" s="269"/>
      <c r="AI1969" s="269"/>
      <c r="AJ1969" s="269"/>
      <c r="AK1969" s="269"/>
      <c r="AL1969" s="269"/>
      <c r="AM1969" s="269"/>
      <c r="AN1969" s="269"/>
      <c r="AO1969" s="269"/>
      <c r="AP1969" s="269"/>
      <c r="AQ1969" s="269"/>
      <c r="AR1969" s="269"/>
    </row>
    <row r="1970">
      <c r="A1970" s="410"/>
      <c r="B1970" s="410"/>
      <c r="C1970" s="410"/>
      <c r="D1970" s="410"/>
      <c r="E1970" s="410"/>
      <c r="F1970" s="410"/>
      <c r="H1970" s="269"/>
      <c r="I1970" s="269"/>
      <c r="J1970" s="269"/>
      <c r="K1970" s="269"/>
      <c r="L1970" s="269"/>
      <c r="M1970" s="269"/>
      <c r="N1970" s="269"/>
      <c r="O1970" s="269"/>
      <c r="P1970" s="269"/>
      <c r="Q1970" s="269"/>
      <c r="R1970" s="269"/>
      <c r="S1970" s="269"/>
      <c r="T1970" s="269"/>
      <c r="U1970" s="269"/>
      <c r="V1970" s="269"/>
      <c r="W1970" s="269"/>
      <c r="X1970" s="269"/>
      <c r="Y1970" s="269"/>
      <c r="Z1970" s="269"/>
      <c r="AA1970" s="269"/>
      <c r="AB1970" s="269"/>
      <c r="AC1970" s="269"/>
      <c r="AD1970" s="269"/>
      <c r="AE1970" s="269"/>
      <c r="AF1970" s="269"/>
      <c r="AG1970" s="269"/>
      <c r="AH1970" s="269"/>
      <c r="AI1970" s="269"/>
      <c r="AJ1970" s="269"/>
      <c r="AK1970" s="269"/>
      <c r="AL1970" s="269"/>
      <c r="AM1970" s="269"/>
      <c r="AN1970" s="269"/>
      <c r="AO1970" s="269"/>
      <c r="AP1970" s="269"/>
      <c r="AQ1970" s="269"/>
      <c r="AR1970" s="269"/>
    </row>
    <row r="1971">
      <c r="A1971" s="410"/>
      <c r="B1971" s="410"/>
      <c r="C1971" s="410"/>
      <c r="D1971" s="410"/>
      <c r="E1971" s="410"/>
      <c r="F1971" s="410"/>
      <c r="H1971" s="269"/>
      <c r="I1971" s="269"/>
      <c r="J1971" s="269"/>
      <c r="K1971" s="269"/>
      <c r="L1971" s="269"/>
      <c r="M1971" s="269"/>
      <c r="N1971" s="269"/>
      <c r="O1971" s="269"/>
      <c r="P1971" s="269"/>
      <c r="Q1971" s="269"/>
      <c r="R1971" s="269"/>
      <c r="S1971" s="269"/>
      <c r="T1971" s="269"/>
      <c r="U1971" s="269"/>
      <c r="V1971" s="269"/>
      <c r="W1971" s="269"/>
      <c r="X1971" s="269"/>
      <c r="Y1971" s="269"/>
      <c r="Z1971" s="269"/>
      <c r="AA1971" s="269"/>
      <c r="AB1971" s="269"/>
      <c r="AC1971" s="269"/>
      <c r="AD1971" s="269"/>
      <c r="AE1971" s="269"/>
      <c r="AF1971" s="269"/>
      <c r="AG1971" s="269"/>
      <c r="AH1971" s="269"/>
      <c r="AI1971" s="269"/>
      <c r="AJ1971" s="269"/>
      <c r="AK1971" s="269"/>
      <c r="AL1971" s="269"/>
      <c r="AM1971" s="269"/>
      <c r="AN1971" s="269"/>
      <c r="AO1971" s="269"/>
      <c r="AP1971" s="269"/>
      <c r="AQ1971" s="269"/>
      <c r="AR1971" s="269"/>
    </row>
    <row r="1972">
      <c r="A1972" s="410"/>
      <c r="B1972" s="410"/>
      <c r="C1972" s="410"/>
      <c r="D1972" s="410"/>
      <c r="E1972" s="410"/>
      <c r="F1972" s="410"/>
      <c r="H1972" s="269"/>
      <c r="I1972" s="269"/>
      <c r="J1972" s="269"/>
      <c r="K1972" s="269"/>
      <c r="L1972" s="269"/>
      <c r="M1972" s="269"/>
      <c r="N1972" s="269"/>
      <c r="O1972" s="269"/>
      <c r="P1972" s="269"/>
      <c r="Q1972" s="269"/>
      <c r="R1972" s="269"/>
      <c r="S1972" s="269"/>
      <c r="T1972" s="269"/>
      <c r="U1972" s="269"/>
      <c r="V1972" s="269"/>
      <c r="W1972" s="269"/>
      <c r="X1972" s="269"/>
      <c r="Y1972" s="269"/>
      <c r="Z1972" s="269"/>
      <c r="AA1972" s="269"/>
      <c r="AB1972" s="269"/>
      <c r="AC1972" s="269"/>
      <c r="AD1972" s="269"/>
      <c r="AE1972" s="269"/>
      <c r="AF1972" s="269"/>
      <c r="AG1972" s="269"/>
      <c r="AH1972" s="269"/>
      <c r="AI1972" s="269"/>
      <c r="AJ1972" s="269"/>
      <c r="AK1972" s="269"/>
      <c r="AL1972" s="269"/>
      <c r="AM1972" s="269"/>
      <c r="AN1972" s="269"/>
      <c r="AO1972" s="269"/>
      <c r="AP1972" s="269"/>
      <c r="AQ1972" s="269"/>
      <c r="AR1972" s="269"/>
    </row>
    <row r="1973">
      <c r="A1973" s="410"/>
      <c r="B1973" s="410"/>
      <c r="C1973" s="410"/>
      <c r="D1973" s="410"/>
      <c r="E1973" s="410"/>
      <c r="F1973" s="410"/>
      <c r="H1973" s="269"/>
      <c r="I1973" s="269"/>
      <c r="J1973" s="269"/>
      <c r="K1973" s="269"/>
      <c r="L1973" s="269"/>
      <c r="M1973" s="269"/>
      <c r="N1973" s="269"/>
      <c r="O1973" s="269"/>
      <c r="P1973" s="269"/>
      <c r="Q1973" s="269"/>
      <c r="R1973" s="269"/>
      <c r="S1973" s="269"/>
      <c r="T1973" s="269"/>
      <c r="U1973" s="269"/>
      <c r="V1973" s="269"/>
      <c r="W1973" s="269"/>
      <c r="X1973" s="269"/>
      <c r="Y1973" s="269"/>
      <c r="Z1973" s="269"/>
      <c r="AA1973" s="269"/>
      <c r="AB1973" s="269"/>
      <c r="AC1973" s="269"/>
      <c r="AD1973" s="269"/>
      <c r="AE1973" s="269"/>
      <c r="AF1973" s="269"/>
      <c r="AG1973" s="269"/>
      <c r="AH1973" s="269"/>
      <c r="AI1973" s="269"/>
      <c r="AJ1973" s="269"/>
      <c r="AK1973" s="269"/>
      <c r="AL1973" s="269"/>
      <c r="AM1973" s="269"/>
      <c r="AN1973" s="269"/>
      <c r="AO1973" s="269"/>
      <c r="AP1973" s="269"/>
      <c r="AQ1973" s="269"/>
      <c r="AR1973" s="269"/>
    </row>
    <row r="1974">
      <c r="A1974" s="410"/>
      <c r="B1974" s="410"/>
      <c r="C1974" s="410"/>
      <c r="D1974" s="410"/>
      <c r="E1974" s="410"/>
      <c r="F1974" s="410"/>
      <c r="H1974" s="269"/>
      <c r="I1974" s="269"/>
      <c r="J1974" s="269"/>
      <c r="K1974" s="269"/>
      <c r="L1974" s="269"/>
      <c r="M1974" s="269"/>
      <c r="N1974" s="269"/>
      <c r="O1974" s="269"/>
      <c r="P1974" s="269"/>
      <c r="Q1974" s="269"/>
      <c r="R1974" s="269"/>
      <c r="S1974" s="269"/>
      <c r="T1974" s="269"/>
      <c r="U1974" s="269"/>
      <c r="V1974" s="269"/>
      <c r="W1974" s="269"/>
      <c r="X1974" s="269"/>
      <c r="Y1974" s="269"/>
      <c r="Z1974" s="269"/>
      <c r="AA1974" s="269"/>
      <c r="AB1974" s="269"/>
      <c r="AC1974" s="269"/>
      <c r="AD1974" s="269"/>
      <c r="AE1974" s="269"/>
      <c r="AF1974" s="269"/>
      <c r="AG1974" s="269"/>
      <c r="AH1974" s="269"/>
      <c r="AI1974" s="269"/>
      <c r="AJ1974" s="269"/>
      <c r="AK1974" s="269"/>
      <c r="AL1974" s="269"/>
      <c r="AM1974" s="269"/>
      <c r="AN1974" s="269"/>
      <c r="AO1974" s="269"/>
      <c r="AP1974" s="269"/>
      <c r="AQ1974" s="269"/>
      <c r="AR1974" s="269"/>
    </row>
    <row r="1975">
      <c r="A1975" s="410"/>
      <c r="B1975" s="410"/>
      <c r="C1975" s="410"/>
      <c r="D1975" s="410"/>
      <c r="E1975" s="410"/>
      <c r="F1975" s="410"/>
      <c r="H1975" s="269"/>
      <c r="I1975" s="269"/>
      <c r="J1975" s="269"/>
      <c r="K1975" s="269"/>
      <c r="L1975" s="269"/>
      <c r="M1975" s="269"/>
      <c r="N1975" s="269"/>
      <c r="O1975" s="269"/>
      <c r="P1975" s="269"/>
      <c r="Q1975" s="269"/>
      <c r="R1975" s="269"/>
      <c r="S1975" s="269"/>
      <c r="T1975" s="269"/>
      <c r="U1975" s="269"/>
      <c r="V1975" s="269"/>
      <c r="W1975" s="269"/>
      <c r="X1975" s="269"/>
      <c r="Y1975" s="269"/>
      <c r="Z1975" s="269"/>
      <c r="AA1975" s="269"/>
      <c r="AB1975" s="269"/>
      <c r="AC1975" s="269"/>
      <c r="AD1975" s="269"/>
      <c r="AE1975" s="269"/>
      <c r="AF1975" s="269"/>
      <c r="AG1975" s="269"/>
      <c r="AH1975" s="269"/>
      <c r="AI1975" s="269"/>
      <c r="AJ1975" s="269"/>
      <c r="AK1975" s="269"/>
      <c r="AL1975" s="269"/>
      <c r="AM1975" s="269"/>
      <c r="AN1975" s="269"/>
      <c r="AO1975" s="269"/>
      <c r="AP1975" s="269"/>
      <c r="AQ1975" s="269"/>
      <c r="AR1975" s="269"/>
    </row>
    <row r="1976">
      <c r="A1976" s="410"/>
      <c r="B1976" s="410"/>
      <c r="C1976" s="410"/>
      <c r="D1976" s="410"/>
      <c r="E1976" s="410"/>
      <c r="F1976" s="410"/>
      <c r="H1976" s="269"/>
      <c r="I1976" s="269"/>
      <c r="J1976" s="269"/>
      <c r="K1976" s="269"/>
      <c r="L1976" s="269"/>
      <c r="M1976" s="269"/>
      <c r="N1976" s="269"/>
      <c r="O1976" s="269"/>
      <c r="P1976" s="269"/>
      <c r="Q1976" s="269"/>
      <c r="R1976" s="269"/>
      <c r="S1976" s="269"/>
      <c r="T1976" s="269"/>
      <c r="U1976" s="269"/>
      <c r="V1976" s="269"/>
      <c r="W1976" s="269"/>
      <c r="X1976" s="269"/>
      <c r="Y1976" s="269"/>
      <c r="Z1976" s="269"/>
      <c r="AA1976" s="269"/>
      <c r="AB1976" s="269"/>
      <c r="AC1976" s="269"/>
      <c r="AD1976" s="269"/>
      <c r="AE1976" s="269"/>
      <c r="AF1976" s="269"/>
      <c r="AG1976" s="269"/>
      <c r="AH1976" s="269"/>
      <c r="AI1976" s="269"/>
      <c r="AJ1976" s="269"/>
      <c r="AK1976" s="269"/>
      <c r="AL1976" s="269"/>
      <c r="AM1976" s="269"/>
      <c r="AN1976" s="269"/>
      <c r="AO1976" s="269"/>
      <c r="AP1976" s="269"/>
      <c r="AQ1976" s="269"/>
      <c r="AR1976" s="269"/>
    </row>
    <row r="1977">
      <c r="A1977" s="410"/>
      <c r="B1977" s="410"/>
      <c r="C1977" s="410"/>
      <c r="D1977" s="410"/>
      <c r="E1977" s="410"/>
      <c r="F1977" s="410"/>
      <c r="H1977" s="269"/>
      <c r="I1977" s="269"/>
      <c r="J1977" s="269"/>
      <c r="K1977" s="269"/>
      <c r="L1977" s="269"/>
      <c r="M1977" s="269"/>
      <c r="N1977" s="269"/>
      <c r="O1977" s="269"/>
      <c r="P1977" s="269"/>
      <c r="Q1977" s="269"/>
      <c r="R1977" s="269"/>
      <c r="S1977" s="269"/>
      <c r="T1977" s="269"/>
      <c r="U1977" s="269"/>
      <c r="V1977" s="269"/>
      <c r="W1977" s="269"/>
      <c r="X1977" s="269"/>
      <c r="Y1977" s="269"/>
      <c r="Z1977" s="269"/>
      <c r="AA1977" s="269"/>
      <c r="AB1977" s="269"/>
      <c r="AC1977" s="269"/>
      <c r="AD1977" s="269"/>
      <c r="AE1977" s="269"/>
      <c r="AF1977" s="269"/>
      <c r="AG1977" s="269"/>
      <c r="AH1977" s="269"/>
      <c r="AI1977" s="269"/>
      <c r="AJ1977" s="269"/>
      <c r="AK1977" s="269"/>
      <c r="AL1977" s="269"/>
      <c r="AM1977" s="269"/>
      <c r="AN1977" s="269"/>
      <c r="AO1977" s="269"/>
      <c r="AP1977" s="269"/>
      <c r="AQ1977" s="269"/>
      <c r="AR1977" s="269"/>
    </row>
    <row r="1978">
      <c r="A1978" s="410"/>
      <c r="B1978" s="410"/>
      <c r="C1978" s="410"/>
      <c r="D1978" s="410"/>
      <c r="E1978" s="410"/>
      <c r="F1978" s="410"/>
      <c r="H1978" s="269"/>
      <c r="I1978" s="269"/>
      <c r="J1978" s="269"/>
      <c r="K1978" s="269"/>
      <c r="L1978" s="269"/>
      <c r="M1978" s="269"/>
      <c r="N1978" s="269"/>
      <c r="O1978" s="269"/>
      <c r="P1978" s="269"/>
      <c r="Q1978" s="269"/>
      <c r="R1978" s="269"/>
      <c r="S1978" s="269"/>
      <c r="T1978" s="269"/>
      <c r="U1978" s="269"/>
      <c r="V1978" s="269"/>
      <c r="W1978" s="269"/>
      <c r="X1978" s="269"/>
      <c r="Y1978" s="269"/>
      <c r="Z1978" s="269"/>
      <c r="AA1978" s="269"/>
      <c r="AB1978" s="269"/>
      <c r="AC1978" s="269"/>
      <c r="AD1978" s="269"/>
      <c r="AE1978" s="269"/>
      <c r="AF1978" s="269"/>
      <c r="AG1978" s="269"/>
      <c r="AH1978" s="269"/>
      <c r="AI1978" s="269"/>
      <c r="AJ1978" s="269"/>
      <c r="AK1978" s="269"/>
      <c r="AL1978" s="269"/>
      <c r="AM1978" s="269"/>
      <c r="AN1978" s="269"/>
      <c r="AO1978" s="269"/>
      <c r="AP1978" s="269"/>
      <c r="AQ1978" s="269"/>
      <c r="AR1978" s="269"/>
    </row>
    <row r="1979">
      <c r="A1979" s="410"/>
      <c r="B1979" s="410"/>
      <c r="C1979" s="410"/>
      <c r="D1979" s="410"/>
      <c r="E1979" s="410"/>
      <c r="F1979" s="410"/>
      <c r="H1979" s="269"/>
      <c r="I1979" s="269"/>
      <c r="J1979" s="269"/>
      <c r="K1979" s="269"/>
      <c r="L1979" s="269"/>
      <c r="M1979" s="269"/>
      <c r="N1979" s="269"/>
      <c r="O1979" s="269"/>
      <c r="P1979" s="269"/>
      <c r="Q1979" s="269"/>
      <c r="R1979" s="269"/>
      <c r="S1979" s="269"/>
      <c r="T1979" s="269"/>
      <c r="U1979" s="269"/>
      <c r="V1979" s="269"/>
      <c r="W1979" s="269"/>
      <c r="X1979" s="269"/>
      <c r="Y1979" s="269"/>
      <c r="Z1979" s="269"/>
      <c r="AA1979" s="269"/>
      <c r="AB1979" s="269"/>
      <c r="AC1979" s="269"/>
      <c r="AD1979" s="269"/>
      <c r="AE1979" s="269"/>
      <c r="AF1979" s="269"/>
      <c r="AG1979" s="269"/>
      <c r="AH1979" s="269"/>
      <c r="AI1979" s="269"/>
      <c r="AJ1979" s="269"/>
      <c r="AK1979" s="269"/>
      <c r="AL1979" s="269"/>
      <c r="AM1979" s="269"/>
      <c r="AN1979" s="269"/>
      <c r="AO1979" s="269"/>
      <c r="AP1979" s="269"/>
      <c r="AQ1979" s="269"/>
      <c r="AR1979" s="269"/>
    </row>
    <row r="1980">
      <c r="A1980" s="410"/>
      <c r="B1980" s="410"/>
      <c r="C1980" s="410"/>
      <c r="D1980" s="410"/>
      <c r="E1980" s="410"/>
      <c r="F1980" s="410"/>
      <c r="H1980" s="269"/>
      <c r="I1980" s="269"/>
      <c r="J1980" s="269"/>
      <c r="K1980" s="269"/>
      <c r="L1980" s="269"/>
      <c r="M1980" s="269"/>
      <c r="N1980" s="269"/>
      <c r="O1980" s="269"/>
      <c r="P1980" s="269"/>
      <c r="Q1980" s="269"/>
      <c r="R1980" s="269"/>
      <c r="S1980" s="269"/>
      <c r="T1980" s="269"/>
      <c r="U1980" s="269"/>
      <c r="V1980" s="269"/>
      <c r="W1980" s="269"/>
      <c r="X1980" s="269"/>
      <c r="Y1980" s="269"/>
      <c r="Z1980" s="269"/>
      <c r="AA1980" s="269"/>
      <c r="AB1980" s="269"/>
      <c r="AC1980" s="269"/>
      <c r="AD1980" s="269"/>
      <c r="AE1980" s="269"/>
      <c r="AF1980" s="269"/>
      <c r="AG1980" s="269"/>
      <c r="AH1980" s="269"/>
      <c r="AI1980" s="269"/>
      <c r="AJ1980" s="269"/>
      <c r="AK1980" s="269"/>
      <c r="AL1980" s="269"/>
      <c r="AM1980" s="269"/>
      <c r="AN1980" s="269"/>
      <c r="AO1980" s="269"/>
      <c r="AP1980" s="269"/>
      <c r="AQ1980" s="269"/>
      <c r="AR1980" s="269"/>
    </row>
    <row r="1981">
      <c r="A1981" s="410"/>
      <c r="B1981" s="410"/>
      <c r="C1981" s="410"/>
      <c r="D1981" s="410"/>
      <c r="E1981" s="410"/>
      <c r="F1981" s="410"/>
      <c r="H1981" s="269"/>
      <c r="I1981" s="269"/>
      <c r="J1981" s="269"/>
      <c r="K1981" s="269"/>
      <c r="L1981" s="269"/>
      <c r="M1981" s="269"/>
      <c r="N1981" s="269"/>
      <c r="O1981" s="269"/>
      <c r="P1981" s="269"/>
      <c r="Q1981" s="269"/>
      <c r="R1981" s="269"/>
      <c r="S1981" s="269"/>
      <c r="T1981" s="269"/>
      <c r="U1981" s="269"/>
      <c r="V1981" s="269"/>
      <c r="W1981" s="269"/>
      <c r="X1981" s="269"/>
      <c r="Y1981" s="269"/>
      <c r="Z1981" s="269"/>
      <c r="AA1981" s="269"/>
      <c r="AB1981" s="269"/>
      <c r="AC1981" s="269"/>
      <c r="AD1981" s="269"/>
      <c r="AE1981" s="269"/>
      <c r="AF1981" s="269"/>
      <c r="AG1981" s="269"/>
      <c r="AH1981" s="269"/>
      <c r="AI1981" s="269"/>
      <c r="AJ1981" s="269"/>
      <c r="AK1981" s="269"/>
      <c r="AL1981" s="269"/>
      <c r="AM1981" s="269"/>
      <c r="AN1981" s="269"/>
      <c r="AO1981" s="269"/>
      <c r="AP1981" s="269"/>
      <c r="AQ1981" s="269"/>
      <c r="AR1981" s="269"/>
    </row>
    <row r="1982">
      <c r="A1982" s="410"/>
      <c r="B1982" s="410"/>
      <c r="C1982" s="410"/>
      <c r="D1982" s="410"/>
      <c r="E1982" s="410"/>
      <c r="F1982" s="410"/>
      <c r="H1982" s="269"/>
      <c r="I1982" s="269"/>
      <c r="J1982" s="269"/>
      <c r="K1982" s="269"/>
      <c r="L1982" s="269"/>
      <c r="M1982" s="269"/>
      <c r="N1982" s="269"/>
      <c r="O1982" s="269"/>
      <c r="P1982" s="269"/>
      <c r="Q1982" s="269"/>
      <c r="R1982" s="269"/>
      <c r="S1982" s="269"/>
      <c r="T1982" s="269"/>
      <c r="U1982" s="269"/>
      <c r="V1982" s="269"/>
      <c r="W1982" s="269"/>
      <c r="X1982" s="269"/>
      <c r="Y1982" s="269"/>
      <c r="Z1982" s="269"/>
      <c r="AA1982" s="269"/>
      <c r="AB1982" s="269"/>
      <c r="AC1982" s="269"/>
      <c r="AD1982" s="269"/>
      <c r="AE1982" s="269"/>
      <c r="AF1982" s="269"/>
      <c r="AG1982" s="269"/>
      <c r="AH1982" s="269"/>
      <c r="AI1982" s="269"/>
      <c r="AJ1982" s="269"/>
      <c r="AK1982" s="269"/>
      <c r="AL1982" s="269"/>
      <c r="AM1982" s="269"/>
      <c r="AN1982" s="269"/>
      <c r="AO1982" s="269"/>
      <c r="AP1982" s="269"/>
      <c r="AQ1982" s="269"/>
      <c r="AR1982" s="269"/>
    </row>
    <row r="1983">
      <c r="A1983" s="410"/>
      <c r="B1983" s="410"/>
      <c r="C1983" s="410"/>
      <c r="D1983" s="410"/>
      <c r="E1983" s="410"/>
      <c r="F1983" s="410"/>
      <c r="H1983" s="269"/>
      <c r="I1983" s="269"/>
      <c r="J1983" s="269"/>
      <c r="K1983" s="269"/>
      <c r="L1983" s="269"/>
      <c r="M1983" s="269"/>
      <c r="N1983" s="269"/>
      <c r="O1983" s="269"/>
      <c r="P1983" s="269"/>
      <c r="Q1983" s="269"/>
      <c r="R1983" s="269"/>
      <c r="S1983" s="269"/>
      <c r="T1983" s="269"/>
      <c r="U1983" s="269"/>
      <c r="V1983" s="269"/>
      <c r="W1983" s="269"/>
      <c r="X1983" s="269"/>
      <c r="Y1983" s="269"/>
      <c r="Z1983" s="269"/>
      <c r="AA1983" s="269"/>
      <c r="AB1983" s="269"/>
      <c r="AC1983" s="269"/>
      <c r="AD1983" s="269"/>
      <c r="AE1983" s="269"/>
      <c r="AF1983" s="269"/>
      <c r="AG1983" s="269"/>
      <c r="AH1983" s="269"/>
      <c r="AI1983" s="269"/>
      <c r="AJ1983" s="269"/>
      <c r="AK1983" s="269"/>
      <c r="AL1983" s="269"/>
      <c r="AM1983" s="269"/>
      <c r="AN1983" s="269"/>
      <c r="AO1983" s="269"/>
      <c r="AP1983" s="269"/>
      <c r="AQ1983" s="269"/>
      <c r="AR1983" s="269"/>
    </row>
    <row r="1984">
      <c r="A1984" s="410"/>
      <c r="B1984" s="410"/>
      <c r="C1984" s="410"/>
      <c r="D1984" s="410"/>
      <c r="E1984" s="410"/>
      <c r="F1984" s="410"/>
      <c r="H1984" s="269"/>
      <c r="I1984" s="269"/>
      <c r="J1984" s="269"/>
      <c r="K1984" s="269"/>
      <c r="L1984" s="269"/>
      <c r="M1984" s="269"/>
      <c r="N1984" s="269"/>
      <c r="O1984" s="269"/>
      <c r="P1984" s="269"/>
      <c r="Q1984" s="269"/>
      <c r="R1984" s="269"/>
      <c r="S1984" s="269"/>
      <c r="T1984" s="269"/>
      <c r="U1984" s="269"/>
      <c r="V1984" s="269"/>
      <c r="W1984" s="269"/>
      <c r="X1984" s="269"/>
      <c r="Y1984" s="269"/>
      <c r="Z1984" s="269"/>
      <c r="AA1984" s="269"/>
      <c r="AB1984" s="269"/>
      <c r="AC1984" s="269"/>
      <c r="AD1984" s="269"/>
      <c r="AE1984" s="269"/>
      <c r="AF1984" s="269"/>
      <c r="AG1984" s="269"/>
      <c r="AH1984" s="269"/>
      <c r="AI1984" s="269"/>
      <c r="AJ1984" s="269"/>
      <c r="AK1984" s="269"/>
      <c r="AL1984" s="269"/>
      <c r="AM1984" s="269"/>
      <c r="AN1984" s="269"/>
      <c r="AO1984" s="269"/>
      <c r="AP1984" s="269"/>
      <c r="AQ1984" s="269"/>
      <c r="AR1984" s="269"/>
    </row>
    <row r="1985">
      <c r="A1985" s="410"/>
      <c r="B1985" s="410"/>
      <c r="C1985" s="410"/>
      <c r="D1985" s="410"/>
      <c r="E1985" s="410"/>
      <c r="F1985" s="410"/>
      <c r="H1985" s="269"/>
      <c r="I1985" s="269"/>
      <c r="J1985" s="269"/>
      <c r="K1985" s="269"/>
      <c r="L1985" s="269"/>
      <c r="M1985" s="269"/>
      <c r="N1985" s="269"/>
      <c r="O1985" s="269"/>
      <c r="P1985" s="269"/>
      <c r="Q1985" s="269"/>
      <c r="R1985" s="269"/>
      <c r="S1985" s="269"/>
      <c r="T1985" s="269"/>
      <c r="U1985" s="269"/>
      <c r="V1985" s="269"/>
      <c r="W1985" s="269"/>
      <c r="X1985" s="269"/>
      <c r="Y1985" s="269"/>
      <c r="Z1985" s="269"/>
      <c r="AA1985" s="269"/>
      <c r="AB1985" s="269"/>
      <c r="AC1985" s="269"/>
      <c r="AD1985" s="269"/>
      <c r="AE1985" s="269"/>
      <c r="AF1985" s="269"/>
      <c r="AG1985" s="269"/>
      <c r="AH1985" s="269"/>
      <c r="AI1985" s="269"/>
      <c r="AJ1985" s="269"/>
      <c r="AK1985" s="269"/>
      <c r="AL1985" s="269"/>
      <c r="AM1985" s="269"/>
      <c r="AN1985" s="269"/>
      <c r="AO1985" s="269"/>
      <c r="AP1985" s="269"/>
      <c r="AQ1985" s="269"/>
      <c r="AR1985" s="269"/>
    </row>
    <row r="1986">
      <c r="A1986" s="410"/>
      <c r="B1986" s="410"/>
      <c r="C1986" s="410"/>
      <c r="D1986" s="410"/>
      <c r="E1986" s="410"/>
      <c r="F1986" s="410"/>
      <c r="H1986" s="269"/>
      <c r="I1986" s="269"/>
      <c r="J1986" s="269"/>
      <c r="K1986" s="269"/>
      <c r="L1986" s="269"/>
      <c r="M1986" s="269"/>
      <c r="N1986" s="269"/>
      <c r="O1986" s="269"/>
      <c r="P1986" s="269"/>
      <c r="Q1986" s="269"/>
      <c r="R1986" s="269"/>
      <c r="S1986" s="269"/>
      <c r="T1986" s="269"/>
      <c r="U1986" s="269"/>
      <c r="V1986" s="269"/>
      <c r="W1986" s="269"/>
      <c r="X1986" s="269"/>
      <c r="Y1986" s="269"/>
      <c r="Z1986" s="269"/>
      <c r="AA1986" s="269"/>
      <c r="AB1986" s="269"/>
      <c r="AC1986" s="269"/>
      <c r="AD1986" s="269"/>
      <c r="AE1986" s="269"/>
      <c r="AF1986" s="269"/>
      <c r="AG1986" s="269"/>
      <c r="AH1986" s="269"/>
      <c r="AI1986" s="269"/>
      <c r="AJ1986" s="269"/>
      <c r="AK1986" s="269"/>
      <c r="AL1986" s="269"/>
      <c r="AM1986" s="269"/>
      <c r="AN1986" s="269"/>
      <c r="AO1986" s="269"/>
      <c r="AP1986" s="269"/>
      <c r="AQ1986" s="269"/>
      <c r="AR1986" s="269"/>
    </row>
    <row r="1987">
      <c r="A1987" s="410"/>
      <c r="B1987" s="410"/>
      <c r="C1987" s="410"/>
      <c r="D1987" s="410"/>
      <c r="E1987" s="410"/>
      <c r="F1987" s="410"/>
      <c r="H1987" s="269"/>
      <c r="I1987" s="269"/>
      <c r="J1987" s="269"/>
      <c r="K1987" s="269"/>
      <c r="L1987" s="269"/>
      <c r="M1987" s="269"/>
      <c r="N1987" s="269"/>
      <c r="O1987" s="269"/>
      <c r="P1987" s="269"/>
      <c r="Q1987" s="269"/>
      <c r="R1987" s="269"/>
      <c r="S1987" s="269"/>
      <c r="T1987" s="269"/>
      <c r="U1987" s="269"/>
      <c r="V1987" s="269"/>
      <c r="W1987" s="269"/>
      <c r="X1987" s="269"/>
      <c r="Y1987" s="269"/>
      <c r="Z1987" s="269"/>
      <c r="AA1987" s="269"/>
      <c r="AB1987" s="269"/>
      <c r="AC1987" s="269"/>
      <c r="AD1987" s="269"/>
      <c r="AE1987" s="269"/>
      <c r="AF1987" s="269"/>
      <c r="AG1987" s="269"/>
      <c r="AH1987" s="269"/>
      <c r="AI1987" s="269"/>
      <c r="AJ1987" s="269"/>
      <c r="AK1987" s="269"/>
      <c r="AL1987" s="269"/>
      <c r="AM1987" s="269"/>
      <c r="AN1987" s="269"/>
      <c r="AO1987" s="269"/>
      <c r="AP1987" s="269"/>
      <c r="AQ1987" s="269"/>
      <c r="AR1987" s="269"/>
    </row>
    <row r="1988">
      <c r="A1988" s="410"/>
      <c r="B1988" s="410"/>
      <c r="C1988" s="410"/>
      <c r="D1988" s="410"/>
      <c r="E1988" s="410"/>
      <c r="F1988" s="410"/>
      <c r="H1988" s="269"/>
      <c r="I1988" s="269"/>
      <c r="J1988" s="269"/>
      <c r="K1988" s="269"/>
      <c r="L1988" s="269"/>
      <c r="M1988" s="269"/>
      <c r="N1988" s="269"/>
      <c r="O1988" s="269"/>
      <c r="P1988" s="269"/>
      <c r="Q1988" s="269"/>
      <c r="R1988" s="269"/>
      <c r="S1988" s="269"/>
      <c r="T1988" s="269"/>
      <c r="U1988" s="269"/>
      <c r="V1988" s="269"/>
      <c r="W1988" s="269"/>
      <c r="X1988" s="269"/>
      <c r="Y1988" s="269"/>
      <c r="Z1988" s="269"/>
      <c r="AA1988" s="269"/>
      <c r="AB1988" s="269"/>
      <c r="AC1988" s="269"/>
      <c r="AD1988" s="269"/>
      <c r="AE1988" s="269"/>
      <c r="AF1988" s="269"/>
      <c r="AG1988" s="269"/>
      <c r="AH1988" s="269"/>
      <c r="AI1988" s="269"/>
      <c r="AJ1988" s="269"/>
      <c r="AK1988" s="269"/>
      <c r="AL1988" s="269"/>
      <c r="AM1988" s="269"/>
      <c r="AN1988" s="269"/>
      <c r="AO1988" s="269"/>
      <c r="AP1988" s="269"/>
      <c r="AQ1988" s="269"/>
      <c r="AR1988" s="269"/>
    </row>
    <row r="1989">
      <c r="A1989" s="410"/>
      <c r="B1989" s="410"/>
      <c r="C1989" s="410"/>
      <c r="D1989" s="410"/>
      <c r="E1989" s="410"/>
      <c r="F1989" s="410"/>
      <c r="H1989" s="269"/>
      <c r="I1989" s="269"/>
      <c r="J1989" s="269"/>
      <c r="K1989" s="269"/>
      <c r="L1989" s="269"/>
      <c r="M1989" s="269"/>
      <c r="N1989" s="269"/>
      <c r="O1989" s="269"/>
      <c r="P1989" s="269"/>
      <c r="Q1989" s="269"/>
      <c r="R1989" s="269"/>
      <c r="S1989" s="269"/>
      <c r="T1989" s="269"/>
      <c r="U1989" s="269"/>
      <c r="V1989" s="269"/>
      <c r="W1989" s="269"/>
      <c r="X1989" s="269"/>
      <c r="Y1989" s="269"/>
      <c r="Z1989" s="269"/>
      <c r="AA1989" s="269"/>
      <c r="AB1989" s="269"/>
      <c r="AC1989" s="269"/>
      <c r="AD1989" s="269"/>
      <c r="AE1989" s="269"/>
      <c r="AF1989" s="269"/>
      <c r="AG1989" s="269"/>
      <c r="AH1989" s="269"/>
      <c r="AI1989" s="269"/>
      <c r="AJ1989" s="269"/>
      <c r="AK1989" s="269"/>
      <c r="AL1989" s="269"/>
      <c r="AM1989" s="269"/>
      <c r="AN1989" s="269"/>
      <c r="AO1989" s="269"/>
      <c r="AP1989" s="269"/>
      <c r="AQ1989" s="269"/>
      <c r="AR1989" s="269"/>
    </row>
    <row r="1990">
      <c r="A1990" s="410"/>
      <c r="B1990" s="410"/>
      <c r="C1990" s="410"/>
      <c r="D1990" s="410"/>
      <c r="E1990" s="410"/>
      <c r="F1990" s="410"/>
      <c r="H1990" s="269"/>
      <c r="I1990" s="269"/>
      <c r="J1990" s="269"/>
      <c r="K1990" s="269"/>
      <c r="L1990" s="269"/>
      <c r="M1990" s="269"/>
      <c r="N1990" s="269"/>
      <c r="O1990" s="269"/>
      <c r="P1990" s="269"/>
      <c r="Q1990" s="269"/>
      <c r="R1990" s="269"/>
      <c r="S1990" s="269"/>
      <c r="T1990" s="269"/>
      <c r="U1990" s="269"/>
      <c r="V1990" s="269"/>
      <c r="W1990" s="269"/>
      <c r="X1990" s="269"/>
      <c r="Y1990" s="269"/>
      <c r="Z1990" s="269"/>
      <c r="AA1990" s="269"/>
      <c r="AB1990" s="269"/>
      <c r="AC1990" s="269"/>
      <c r="AD1990" s="269"/>
      <c r="AE1990" s="269"/>
      <c r="AF1990" s="269"/>
      <c r="AG1990" s="269"/>
      <c r="AH1990" s="269"/>
      <c r="AI1990" s="269"/>
      <c r="AJ1990" s="269"/>
      <c r="AK1990" s="269"/>
      <c r="AL1990" s="269"/>
      <c r="AM1990" s="269"/>
      <c r="AN1990" s="269"/>
      <c r="AO1990" s="269"/>
      <c r="AP1990" s="269"/>
      <c r="AQ1990" s="269"/>
      <c r="AR1990" s="269"/>
    </row>
    <row r="1991">
      <c r="A1991" s="410"/>
      <c r="B1991" s="410"/>
      <c r="C1991" s="410"/>
      <c r="D1991" s="410"/>
      <c r="E1991" s="410"/>
      <c r="F1991" s="410"/>
      <c r="H1991" s="269"/>
      <c r="I1991" s="269"/>
      <c r="J1991" s="269"/>
      <c r="K1991" s="269"/>
      <c r="L1991" s="269"/>
      <c r="M1991" s="269"/>
      <c r="N1991" s="269"/>
      <c r="O1991" s="269"/>
      <c r="P1991" s="269"/>
      <c r="Q1991" s="269"/>
      <c r="R1991" s="269"/>
      <c r="S1991" s="269"/>
      <c r="T1991" s="269"/>
      <c r="U1991" s="269"/>
      <c r="V1991" s="269"/>
      <c r="W1991" s="269"/>
      <c r="X1991" s="269"/>
      <c r="Y1991" s="269"/>
      <c r="Z1991" s="269"/>
      <c r="AA1991" s="269"/>
      <c r="AB1991" s="269"/>
      <c r="AC1991" s="269"/>
      <c r="AD1991" s="269"/>
      <c r="AE1991" s="269"/>
      <c r="AF1991" s="269"/>
      <c r="AG1991" s="269"/>
      <c r="AH1991" s="269"/>
      <c r="AI1991" s="269"/>
      <c r="AJ1991" s="269"/>
      <c r="AK1991" s="269"/>
      <c r="AL1991" s="269"/>
      <c r="AM1991" s="269"/>
      <c r="AN1991" s="269"/>
      <c r="AO1991" s="269"/>
      <c r="AP1991" s="269"/>
      <c r="AQ1991" s="269"/>
      <c r="AR1991" s="269"/>
    </row>
    <row r="1992">
      <c r="A1992" s="410"/>
      <c r="B1992" s="410"/>
      <c r="C1992" s="410"/>
      <c r="D1992" s="410"/>
      <c r="E1992" s="410"/>
      <c r="F1992" s="410"/>
      <c r="H1992" s="269"/>
      <c r="I1992" s="269"/>
      <c r="J1992" s="269"/>
      <c r="K1992" s="269"/>
      <c r="L1992" s="269"/>
      <c r="M1992" s="269"/>
      <c r="N1992" s="269"/>
      <c r="O1992" s="269"/>
      <c r="P1992" s="269"/>
      <c r="Q1992" s="269"/>
      <c r="R1992" s="269"/>
      <c r="S1992" s="269"/>
      <c r="T1992" s="269"/>
      <c r="U1992" s="269"/>
      <c r="V1992" s="269"/>
      <c r="W1992" s="269"/>
      <c r="X1992" s="269"/>
      <c r="Y1992" s="269"/>
      <c r="Z1992" s="269"/>
      <c r="AA1992" s="269"/>
      <c r="AB1992" s="269"/>
      <c r="AC1992" s="269"/>
      <c r="AD1992" s="269"/>
      <c r="AE1992" s="269"/>
      <c r="AF1992" s="269"/>
      <c r="AG1992" s="269"/>
      <c r="AH1992" s="269"/>
      <c r="AI1992" s="269"/>
      <c r="AJ1992" s="269"/>
      <c r="AK1992" s="269"/>
      <c r="AL1992" s="269"/>
      <c r="AM1992" s="269"/>
      <c r="AN1992" s="269"/>
      <c r="AO1992" s="269"/>
      <c r="AP1992" s="269"/>
      <c r="AQ1992" s="269"/>
      <c r="AR1992" s="269"/>
    </row>
    <row r="1993">
      <c r="A1993" s="410"/>
      <c r="B1993" s="410"/>
      <c r="C1993" s="410"/>
      <c r="D1993" s="410"/>
      <c r="E1993" s="410"/>
      <c r="F1993" s="410"/>
      <c r="H1993" s="269"/>
      <c r="I1993" s="269"/>
      <c r="J1993" s="269"/>
      <c r="K1993" s="269"/>
      <c r="L1993" s="269"/>
      <c r="M1993" s="269"/>
      <c r="N1993" s="269"/>
      <c r="O1993" s="269"/>
      <c r="P1993" s="269"/>
      <c r="Q1993" s="269"/>
      <c r="R1993" s="269"/>
      <c r="S1993" s="269"/>
      <c r="T1993" s="269"/>
      <c r="U1993" s="269"/>
      <c r="V1993" s="269"/>
      <c r="W1993" s="269"/>
      <c r="X1993" s="269"/>
      <c r="Y1993" s="269"/>
      <c r="Z1993" s="269"/>
      <c r="AA1993" s="269"/>
      <c r="AB1993" s="269"/>
      <c r="AC1993" s="269"/>
      <c r="AD1993" s="269"/>
      <c r="AE1993" s="269"/>
      <c r="AF1993" s="269"/>
      <c r="AG1993" s="269"/>
      <c r="AH1993" s="269"/>
      <c r="AI1993" s="269"/>
      <c r="AJ1993" s="269"/>
      <c r="AK1993" s="269"/>
      <c r="AL1993" s="269"/>
      <c r="AM1993" s="269"/>
      <c r="AN1993" s="269"/>
      <c r="AO1993" s="269"/>
      <c r="AP1993" s="269"/>
      <c r="AQ1993" s="269"/>
      <c r="AR1993" s="269"/>
    </row>
    <row r="1994">
      <c r="A1994" s="410"/>
      <c r="B1994" s="410"/>
      <c r="C1994" s="410"/>
      <c r="D1994" s="410"/>
      <c r="E1994" s="410"/>
      <c r="F1994" s="410"/>
      <c r="H1994" s="269"/>
      <c r="I1994" s="269"/>
      <c r="J1994" s="269"/>
      <c r="K1994" s="269"/>
      <c r="L1994" s="269"/>
      <c r="M1994" s="269"/>
      <c r="N1994" s="269"/>
      <c r="O1994" s="269"/>
      <c r="P1994" s="269"/>
      <c r="Q1994" s="269"/>
      <c r="R1994" s="269"/>
      <c r="S1994" s="269"/>
      <c r="T1994" s="269"/>
      <c r="U1994" s="269"/>
      <c r="V1994" s="269"/>
      <c r="W1994" s="269"/>
      <c r="X1994" s="269"/>
      <c r="Y1994" s="269"/>
      <c r="Z1994" s="269"/>
      <c r="AA1994" s="269"/>
      <c r="AB1994" s="269"/>
      <c r="AC1994" s="269"/>
      <c r="AD1994" s="269"/>
      <c r="AE1994" s="269"/>
      <c r="AF1994" s="269"/>
      <c r="AG1994" s="269"/>
      <c r="AH1994" s="269"/>
      <c r="AI1994" s="269"/>
      <c r="AJ1994" s="269"/>
      <c r="AK1994" s="269"/>
      <c r="AL1994" s="269"/>
      <c r="AM1994" s="269"/>
      <c r="AN1994" s="269"/>
      <c r="AO1994" s="269"/>
      <c r="AP1994" s="269"/>
      <c r="AQ1994" s="269"/>
      <c r="AR1994" s="269"/>
    </row>
    <row r="1995">
      <c r="A1995" s="410"/>
      <c r="B1995" s="410"/>
      <c r="C1995" s="410"/>
      <c r="D1995" s="410"/>
      <c r="E1995" s="410"/>
      <c r="F1995" s="410"/>
      <c r="H1995" s="269"/>
      <c r="I1995" s="269"/>
      <c r="J1995" s="269"/>
      <c r="K1995" s="269"/>
      <c r="L1995" s="269"/>
      <c r="M1995" s="269"/>
      <c r="N1995" s="269"/>
      <c r="O1995" s="269"/>
      <c r="P1995" s="269"/>
      <c r="Q1995" s="269"/>
      <c r="R1995" s="269"/>
      <c r="S1995" s="269"/>
      <c r="T1995" s="269"/>
      <c r="U1995" s="269"/>
      <c r="V1995" s="269"/>
      <c r="W1995" s="269"/>
      <c r="X1995" s="269"/>
      <c r="Y1995" s="269"/>
      <c r="Z1995" s="269"/>
      <c r="AA1995" s="269"/>
      <c r="AB1995" s="269"/>
      <c r="AC1995" s="269"/>
      <c r="AD1995" s="269"/>
      <c r="AE1995" s="269"/>
      <c r="AF1995" s="269"/>
      <c r="AG1995" s="269"/>
      <c r="AH1995" s="269"/>
      <c r="AI1995" s="269"/>
      <c r="AJ1995" s="269"/>
      <c r="AK1995" s="269"/>
      <c r="AL1995" s="269"/>
      <c r="AM1995" s="269"/>
      <c r="AN1995" s="269"/>
      <c r="AO1995" s="269"/>
      <c r="AP1995" s="269"/>
      <c r="AQ1995" s="269"/>
      <c r="AR1995" s="269"/>
    </row>
    <row r="1996">
      <c r="A1996" s="410"/>
      <c r="B1996" s="410"/>
      <c r="C1996" s="410"/>
      <c r="D1996" s="410"/>
      <c r="E1996" s="410"/>
      <c r="F1996" s="410"/>
      <c r="H1996" s="269"/>
      <c r="I1996" s="269"/>
      <c r="J1996" s="269"/>
      <c r="K1996" s="269"/>
      <c r="L1996" s="269"/>
      <c r="M1996" s="269"/>
      <c r="N1996" s="269"/>
      <c r="O1996" s="269"/>
      <c r="P1996" s="269"/>
      <c r="Q1996" s="269"/>
      <c r="R1996" s="269"/>
      <c r="S1996" s="269"/>
      <c r="T1996" s="269"/>
      <c r="U1996" s="269"/>
      <c r="V1996" s="269"/>
      <c r="W1996" s="269"/>
      <c r="X1996" s="269"/>
      <c r="Y1996" s="269"/>
      <c r="Z1996" s="269"/>
      <c r="AA1996" s="269"/>
      <c r="AB1996" s="269"/>
      <c r="AC1996" s="269"/>
      <c r="AD1996" s="269"/>
      <c r="AE1996" s="269"/>
      <c r="AF1996" s="269"/>
      <c r="AG1996" s="269"/>
      <c r="AH1996" s="269"/>
      <c r="AI1996" s="269"/>
      <c r="AJ1996" s="269"/>
      <c r="AK1996" s="269"/>
      <c r="AL1996" s="269"/>
      <c r="AM1996" s="269"/>
      <c r="AN1996" s="269"/>
      <c r="AO1996" s="269"/>
      <c r="AP1996" s="269"/>
      <c r="AQ1996" s="269"/>
      <c r="AR1996" s="269"/>
    </row>
    <row r="1997">
      <c r="A1997" s="410"/>
      <c r="B1997" s="410"/>
      <c r="C1997" s="410"/>
      <c r="D1997" s="410"/>
      <c r="E1997" s="410"/>
      <c r="F1997" s="410"/>
      <c r="H1997" s="269"/>
      <c r="I1997" s="269"/>
      <c r="J1997" s="269"/>
      <c r="K1997" s="269"/>
      <c r="L1997" s="269"/>
      <c r="M1997" s="269"/>
      <c r="N1997" s="269"/>
      <c r="O1997" s="269"/>
      <c r="P1997" s="269"/>
      <c r="Q1997" s="269"/>
      <c r="R1997" s="269"/>
      <c r="S1997" s="269"/>
      <c r="T1997" s="269"/>
      <c r="U1997" s="269"/>
      <c r="V1997" s="269"/>
      <c r="W1997" s="269"/>
      <c r="X1997" s="269"/>
      <c r="Y1997" s="269"/>
      <c r="Z1997" s="269"/>
      <c r="AA1997" s="269"/>
      <c r="AB1997" s="269"/>
      <c r="AC1997" s="269"/>
      <c r="AD1997" s="269"/>
      <c r="AE1997" s="269"/>
      <c r="AF1997" s="269"/>
      <c r="AG1997" s="269"/>
      <c r="AH1997" s="269"/>
      <c r="AI1997" s="269"/>
      <c r="AJ1997" s="269"/>
      <c r="AK1997" s="269"/>
      <c r="AL1997" s="269"/>
      <c r="AM1997" s="269"/>
      <c r="AN1997" s="269"/>
      <c r="AO1997" s="269"/>
      <c r="AP1997" s="269"/>
      <c r="AQ1997" s="269"/>
      <c r="AR1997" s="269"/>
    </row>
    <row r="1998">
      <c r="A1998" s="410"/>
      <c r="B1998" s="410"/>
      <c r="C1998" s="410"/>
      <c r="D1998" s="410"/>
      <c r="E1998" s="410"/>
      <c r="F1998" s="410"/>
      <c r="H1998" s="269"/>
      <c r="I1998" s="269"/>
      <c r="J1998" s="269"/>
      <c r="K1998" s="269"/>
      <c r="L1998" s="269"/>
      <c r="M1998" s="269"/>
      <c r="N1998" s="269"/>
      <c r="O1998" s="269"/>
      <c r="P1998" s="269"/>
      <c r="Q1998" s="269"/>
      <c r="R1998" s="269"/>
      <c r="S1998" s="269"/>
      <c r="T1998" s="269"/>
      <c r="U1998" s="269"/>
      <c r="V1998" s="269"/>
      <c r="W1998" s="269"/>
      <c r="X1998" s="269"/>
      <c r="Y1998" s="269"/>
      <c r="Z1998" s="269"/>
      <c r="AA1998" s="269"/>
      <c r="AB1998" s="269"/>
      <c r="AC1998" s="269"/>
      <c r="AD1998" s="269"/>
      <c r="AE1998" s="269"/>
      <c r="AF1998" s="269"/>
      <c r="AG1998" s="269"/>
      <c r="AH1998" s="269"/>
      <c r="AI1998" s="269"/>
      <c r="AJ1998" s="269"/>
      <c r="AK1998" s="269"/>
      <c r="AL1998" s="269"/>
      <c r="AM1998" s="269"/>
      <c r="AN1998" s="269"/>
      <c r="AO1998" s="269"/>
      <c r="AP1998" s="269"/>
      <c r="AQ1998" s="269"/>
      <c r="AR1998" s="269"/>
    </row>
    <row r="1999">
      <c r="A1999" s="410"/>
      <c r="B1999" s="410"/>
      <c r="C1999" s="410"/>
      <c r="D1999" s="410"/>
      <c r="E1999" s="410"/>
      <c r="F1999" s="410"/>
      <c r="H1999" s="269"/>
      <c r="I1999" s="269"/>
      <c r="J1999" s="269"/>
      <c r="K1999" s="269"/>
      <c r="L1999" s="269"/>
      <c r="M1999" s="269"/>
      <c r="N1999" s="269"/>
      <c r="O1999" s="269"/>
      <c r="P1999" s="269"/>
      <c r="Q1999" s="269"/>
      <c r="R1999" s="269"/>
      <c r="S1999" s="269"/>
      <c r="T1999" s="269"/>
      <c r="U1999" s="269"/>
      <c r="V1999" s="269"/>
      <c r="W1999" s="269"/>
      <c r="X1999" s="269"/>
      <c r="Y1999" s="269"/>
      <c r="Z1999" s="269"/>
      <c r="AA1999" s="269"/>
      <c r="AB1999" s="269"/>
      <c r="AC1999" s="269"/>
      <c r="AD1999" s="269"/>
      <c r="AE1999" s="269"/>
      <c r="AF1999" s="269"/>
      <c r="AG1999" s="269"/>
      <c r="AH1999" s="269"/>
      <c r="AI1999" s="269"/>
      <c r="AJ1999" s="269"/>
      <c r="AK1999" s="269"/>
      <c r="AL1999" s="269"/>
      <c r="AM1999" s="269"/>
      <c r="AN1999" s="269"/>
      <c r="AO1999" s="269"/>
      <c r="AP1999" s="269"/>
      <c r="AQ1999" s="269"/>
      <c r="AR1999" s="269"/>
    </row>
    <row r="2000">
      <c r="A2000" s="410"/>
      <c r="B2000" s="410"/>
      <c r="C2000" s="410"/>
      <c r="D2000" s="410"/>
      <c r="E2000" s="410"/>
      <c r="F2000" s="410"/>
      <c r="H2000" s="269"/>
      <c r="I2000" s="269"/>
      <c r="J2000" s="269"/>
      <c r="K2000" s="269"/>
      <c r="L2000" s="269"/>
      <c r="M2000" s="269"/>
      <c r="N2000" s="269"/>
      <c r="O2000" s="269"/>
      <c r="P2000" s="269"/>
      <c r="Q2000" s="269"/>
      <c r="R2000" s="269"/>
      <c r="S2000" s="269"/>
      <c r="T2000" s="269"/>
      <c r="U2000" s="269"/>
      <c r="V2000" s="269"/>
      <c r="W2000" s="269"/>
      <c r="X2000" s="269"/>
      <c r="Y2000" s="269"/>
      <c r="Z2000" s="269"/>
      <c r="AA2000" s="269"/>
      <c r="AB2000" s="269"/>
      <c r="AC2000" s="269"/>
      <c r="AD2000" s="269"/>
      <c r="AE2000" s="269"/>
      <c r="AF2000" s="269"/>
      <c r="AG2000" s="269"/>
      <c r="AH2000" s="269"/>
      <c r="AI2000" s="269"/>
      <c r="AJ2000" s="269"/>
      <c r="AK2000" s="269"/>
      <c r="AL2000" s="269"/>
      <c r="AM2000" s="269"/>
      <c r="AN2000" s="269"/>
      <c r="AO2000" s="269"/>
      <c r="AP2000" s="269"/>
      <c r="AQ2000" s="269"/>
      <c r="AR2000" s="269"/>
    </row>
    <row r="2001">
      <c r="A2001" s="410"/>
      <c r="B2001" s="410"/>
      <c r="C2001" s="410"/>
      <c r="D2001" s="410"/>
      <c r="E2001" s="410"/>
      <c r="F2001" s="410"/>
      <c r="H2001" s="269"/>
      <c r="I2001" s="269"/>
      <c r="J2001" s="269"/>
      <c r="K2001" s="269"/>
      <c r="L2001" s="269"/>
      <c r="M2001" s="269"/>
      <c r="N2001" s="269"/>
      <c r="O2001" s="269"/>
      <c r="P2001" s="269"/>
      <c r="Q2001" s="269"/>
      <c r="R2001" s="269"/>
      <c r="S2001" s="269"/>
      <c r="T2001" s="269"/>
      <c r="U2001" s="269"/>
      <c r="V2001" s="269"/>
      <c r="W2001" s="269"/>
      <c r="X2001" s="269"/>
      <c r="Y2001" s="269"/>
      <c r="Z2001" s="269"/>
      <c r="AA2001" s="269"/>
      <c r="AB2001" s="269"/>
      <c r="AC2001" s="269"/>
      <c r="AD2001" s="269"/>
      <c r="AE2001" s="269"/>
      <c r="AF2001" s="269"/>
      <c r="AG2001" s="269"/>
      <c r="AH2001" s="269"/>
      <c r="AI2001" s="269"/>
      <c r="AJ2001" s="269"/>
      <c r="AK2001" s="269"/>
      <c r="AL2001" s="269"/>
      <c r="AM2001" s="269"/>
      <c r="AN2001" s="269"/>
      <c r="AO2001" s="269"/>
      <c r="AP2001" s="269"/>
      <c r="AQ2001" s="269"/>
      <c r="AR2001" s="269"/>
    </row>
    <row r="2002">
      <c r="A2002" s="410"/>
      <c r="B2002" s="410"/>
      <c r="C2002" s="410"/>
      <c r="D2002" s="410"/>
      <c r="E2002" s="410"/>
      <c r="F2002" s="410"/>
      <c r="H2002" s="269"/>
      <c r="I2002" s="269"/>
      <c r="J2002" s="269"/>
      <c r="K2002" s="269"/>
      <c r="L2002" s="269"/>
      <c r="M2002" s="269"/>
      <c r="N2002" s="269"/>
      <c r="O2002" s="269"/>
      <c r="P2002" s="269"/>
      <c r="Q2002" s="269"/>
      <c r="R2002" s="269"/>
      <c r="S2002" s="269"/>
      <c r="T2002" s="269"/>
      <c r="U2002" s="269"/>
      <c r="V2002" s="269"/>
      <c r="W2002" s="269"/>
      <c r="X2002" s="269"/>
      <c r="Y2002" s="269"/>
      <c r="Z2002" s="269"/>
      <c r="AA2002" s="269"/>
      <c r="AB2002" s="269"/>
      <c r="AC2002" s="269"/>
      <c r="AD2002" s="269"/>
      <c r="AE2002" s="269"/>
      <c r="AF2002" s="269"/>
      <c r="AG2002" s="269"/>
      <c r="AH2002" s="269"/>
      <c r="AI2002" s="269"/>
      <c r="AJ2002" s="269"/>
      <c r="AK2002" s="269"/>
      <c r="AL2002" s="269"/>
      <c r="AM2002" s="269"/>
      <c r="AN2002" s="269"/>
      <c r="AO2002" s="269"/>
      <c r="AP2002" s="269"/>
      <c r="AQ2002" s="269"/>
      <c r="AR2002" s="269"/>
    </row>
    <row r="2003">
      <c r="A2003" s="410"/>
      <c r="B2003" s="410"/>
      <c r="C2003" s="410"/>
      <c r="D2003" s="410"/>
      <c r="E2003" s="410"/>
      <c r="F2003" s="410"/>
      <c r="H2003" s="269"/>
      <c r="I2003" s="269"/>
      <c r="J2003" s="269"/>
      <c r="K2003" s="269"/>
      <c r="L2003" s="269"/>
      <c r="M2003" s="269"/>
      <c r="N2003" s="269"/>
      <c r="O2003" s="269"/>
      <c r="P2003" s="269"/>
      <c r="Q2003" s="269"/>
      <c r="R2003" s="269"/>
      <c r="S2003" s="269"/>
      <c r="T2003" s="269"/>
      <c r="U2003" s="269"/>
      <c r="V2003" s="269"/>
      <c r="W2003" s="269"/>
      <c r="X2003" s="269"/>
      <c r="Y2003" s="269"/>
      <c r="Z2003" s="269"/>
      <c r="AA2003" s="269"/>
      <c r="AB2003" s="269"/>
      <c r="AC2003" s="269"/>
      <c r="AD2003" s="269"/>
      <c r="AE2003" s="269"/>
      <c r="AF2003" s="269"/>
      <c r="AG2003" s="269"/>
      <c r="AH2003" s="269"/>
      <c r="AI2003" s="269"/>
      <c r="AJ2003" s="269"/>
      <c r="AK2003" s="269"/>
      <c r="AL2003" s="269"/>
      <c r="AM2003" s="269"/>
      <c r="AN2003" s="269"/>
      <c r="AO2003" s="269"/>
      <c r="AP2003" s="269"/>
      <c r="AQ2003" s="269"/>
      <c r="AR2003" s="269"/>
    </row>
    <row r="2004">
      <c r="A2004" s="410"/>
      <c r="B2004" s="410"/>
      <c r="C2004" s="410"/>
      <c r="D2004" s="410"/>
      <c r="E2004" s="410"/>
      <c r="F2004" s="410"/>
      <c r="H2004" s="269"/>
      <c r="I2004" s="269"/>
      <c r="J2004" s="269"/>
      <c r="K2004" s="269"/>
      <c r="L2004" s="269"/>
      <c r="M2004" s="269"/>
      <c r="N2004" s="269"/>
      <c r="O2004" s="269"/>
      <c r="P2004" s="269"/>
      <c r="Q2004" s="269"/>
      <c r="R2004" s="269"/>
      <c r="S2004" s="269"/>
      <c r="T2004" s="269"/>
      <c r="U2004" s="269"/>
      <c r="V2004" s="269"/>
      <c r="W2004" s="269"/>
      <c r="X2004" s="269"/>
      <c r="Y2004" s="269"/>
      <c r="Z2004" s="269"/>
      <c r="AA2004" s="269"/>
      <c r="AB2004" s="269"/>
      <c r="AC2004" s="269"/>
      <c r="AD2004" s="269"/>
      <c r="AE2004" s="269"/>
      <c r="AF2004" s="269"/>
      <c r="AG2004" s="269"/>
      <c r="AH2004" s="269"/>
      <c r="AI2004" s="269"/>
      <c r="AJ2004" s="269"/>
      <c r="AK2004" s="269"/>
      <c r="AL2004" s="269"/>
      <c r="AM2004" s="269"/>
      <c r="AN2004" s="269"/>
      <c r="AO2004" s="269"/>
      <c r="AP2004" s="269"/>
      <c r="AQ2004" s="269"/>
      <c r="AR2004" s="269"/>
    </row>
    <row r="2005">
      <c r="A2005" s="410"/>
      <c r="B2005" s="410"/>
      <c r="C2005" s="410"/>
      <c r="D2005" s="410"/>
      <c r="E2005" s="410"/>
      <c r="F2005" s="410"/>
      <c r="H2005" s="269"/>
      <c r="I2005" s="269"/>
      <c r="J2005" s="269"/>
      <c r="K2005" s="269"/>
      <c r="L2005" s="269"/>
      <c r="M2005" s="269"/>
      <c r="N2005" s="269"/>
      <c r="O2005" s="269"/>
      <c r="P2005" s="269"/>
      <c r="Q2005" s="269"/>
      <c r="R2005" s="269"/>
      <c r="S2005" s="269"/>
      <c r="T2005" s="269"/>
      <c r="U2005" s="269"/>
      <c r="V2005" s="269"/>
      <c r="W2005" s="269"/>
      <c r="X2005" s="269"/>
      <c r="Y2005" s="269"/>
      <c r="Z2005" s="269"/>
      <c r="AA2005" s="269"/>
      <c r="AB2005" s="269"/>
      <c r="AC2005" s="269"/>
      <c r="AD2005" s="269"/>
      <c r="AE2005" s="269"/>
      <c r="AF2005" s="269"/>
      <c r="AG2005" s="269"/>
      <c r="AH2005" s="269"/>
      <c r="AI2005" s="269"/>
      <c r="AJ2005" s="269"/>
      <c r="AK2005" s="269"/>
      <c r="AL2005" s="269"/>
      <c r="AM2005" s="269"/>
      <c r="AN2005" s="269"/>
      <c r="AO2005" s="269"/>
      <c r="AP2005" s="269"/>
      <c r="AQ2005" s="269"/>
      <c r="AR2005" s="269"/>
    </row>
    <row r="2006">
      <c r="A2006" s="410"/>
      <c r="B2006" s="410"/>
      <c r="C2006" s="410"/>
      <c r="D2006" s="410"/>
      <c r="E2006" s="410"/>
      <c r="F2006" s="410"/>
      <c r="H2006" s="269"/>
      <c r="I2006" s="269"/>
      <c r="J2006" s="269"/>
      <c r="K2006" s="269"/>
      <c r="L2006" s="269"/>
      <c r="M2006" s="269"/>
      <c r="N2006" s="269"/>
      <c r="O2006" s="269"/>
      <c r="P2006" s="269"/>
      <c r="Q2006" s="269"/>
      <c r="R2006" s="269"/>
      <c r="S2006" s="269"/>
      <c r="T2006" s="269"/>
      <c r="U2006" s="269"/>
      <c r="V2006" s="269"/>
      <c r="W2006" s="269"/>
      <c r="X2006" s="269"/>
      <c r="Y2006" s="269"/>
      <c r="Z2006" s="269"/>
      <c r="AA2006" s="269"/>
      <c r="AB2006" s="269"/>
      <c r="AC2006" s="269"/>
      <c r="AD2006" s="269"/>
      <c r="AE2006" s="269"/>
      <c r="AF2006" s="269"/>
      <c r="AG2006" s="269"/>
      <c r="AH2006" s="269"/>
      <c r="AI2006" s="269"/>
      <c r="AJ2006" s="269"/>
      <c r="AK2006" s="269"/>
      <c r="AL2006" s="269"/>
      <c r="AM2006" s="269"/>
      <c r="AN2006" s="269"/>
      <c r="AO2006" s="269"/>
      <c r="AP2006" s="269"/>
      <c r="AQ2006" s="269"/>
      <c r="AR2006" s="269"/>
    </row>
    <row r="2007">
      <c r="A2007" s="410"/>
      <c r="B2007" s="410"/>
      <c r="C2007" s="410"/>
      <c r="D2007" s="410"/>
      <c r="E2007" s="410"/>
      <c r="F2007" s="410"/>
      <c r="H2007" s="269"/>
      <c r="I2007" s="269"/>
      <c r="J2007" s="269"/>
      <c r="K2007" s="269"/>
      <c r="L2007" s="269"/>
      <c r="M2007" s="269"/>
      <c r="N2007" s="269"/>
      <c r="O2007" s="269"/>
      <c r="P2007" s="269"/>
      <c r="Q2007" s="269"/>
      <c r="R2007" s="269"/>
      <c r="S2007" s="269"/>
      <c r="T2007" s="269"/>
      <c r="U2007" s="269"/>
      <c r="V2007" s="269"/>
      <c r="W2007" s="269"/>
      <c r="X2007" s="269"/>
      <c r="Y2007" s="269"/>
      <c r="Z2007" s="269"/>
      <c r="AA2007" s="269"/>
      <c r="AB2007" s="269"/>
      <c r="AC2007" s="269"/>
      <c r="AD2007" s="269"/>
      <c r="AE2007" s="269"/>
      <c r="AF2007" s="269"/>
      <c r="AG2007" s="269"/>
      <c r="AH2007" s="269"/>
      <c r="AI2007" s="269"/>
      <c r="AJ2007" s="269"/>
      <c r="AK2007" s="269"/>
      <c r="AL2007" s="269"/>
      <c r="AM2007" s="269"/>
      <c r="AN2007" s="269"/>
      <c r="AO2007" s="269"/>
      <c r="AP2007" s="269"/>
      <c r="AQ2007" s="269"/>
      <c r="AR2007" s="269"/>
    </row>
    <row r="2008">
      <c r="A2008" s="410"/>
      <c r="B2008" s="410"/>
      <c r="C2008" s="410"/>
      <c r="D2008" s="410"/>
      <c r="E2008" s="410"/>
      <c r="F2008" s="410"/>
      <c r="H2008" s="269"/>
      <c r="I2008" s="269"/>
      <c r="J2008" s="269"/>
      <c r="K2008" s="269"/>
      <c r="L2008" s="269"/>
      <c r="M2008" s="269"/>
      <c r="N2008" s="269"/>
      <c r="O2008" s="269"/>
      <c r="P2008" s="269"/>
      <c r="Q2008" s="269"/>
      <c r="R2008" s="269"/>
      <c r="S2008" s="269"/>
      <c r="T2008" s="269"/>
      <c r="U2008" s="269"/>
      <c r="V2008" s="269"/>
      <c r="W2008" s="269"/>
      <c r="X2008" s="269"/>
      <c r="Y2008" s="269"/>
      <c r="Z2008" s="269"/>
      <c r="AA2008" s="269"/>
      <c r="AB2008" s="269"/>
      <c r="AC2008" s="269"/>
      <c r="AD2008" s="269"/>
      <c r="AE2008" s="269"/>
      <c r="AF2008" s="269"/>
      <c r="AG2008" s="269"/>
      <c r="AH2008" s="269"/>
      <c r="AI2008" s="269"/>
      <c r="AJ2008" s="269"/>
      <c r="AK2008" s="269"/>
      <c r="AL2008" s="269"/>
      <c r="AM2008" s="269"/>
      <c r="AN2008" s="269"/>
      <c r="AO2008" s="269"/>
      <c r="AP2008" s="269"/>
      <c r="AQ2008" s="269"/>
      <c r="AR2008" s="269"/>
    </row>
    <row r="2009">
      <c r="A2009" s="410"/>
      <c r="B2009" s="410"/>
      <c r="C2009" s="410"/>
      <c r="D2009" s="410"/>
      <c r="E2009" s="410"/>
      <c r="F2009" s="410"/>
      <c r="H2009" s="269"/>
      <c r="I2009" s="269"/>
      <c r="J2009" s="269"/>
      <c r="K2009" s="269"/>
      <c r="L2009" s="269"/>
      <c r="M2009" s="269"/>
      <c r="N2009" s="269"/>
      <c r="O2009" s="269"/>
      <c r="P2009" s="269"/>
      <c r="Q2009" s="269"/>
      <c r="R2009" s="269"/>
      <c r="S2009" s="269"/>
      <c r="T2009" s="269"/>
      <c r="U2009" s="269"/>
      <c r="V2009" s="269"/>
      <c r="W2009" s="269"/>
      <c r="X2009" s="269"/>
      <c r="Y2009" s="269"/>
      <c r="Z2009" s="269"/>
      <c r="AA2009" s="269"/>
      <c r="AB2009" s="269"/>
      <c r="AC2009" s="269"/>
      <c r="AD2009" s="269"/>
      <c r="AE2009" s="269"/>
      <c r="AF2009" s="269"/>
      <c r="AG2009" s="269"/>
      <c r="AH2009" s="269"/>
      <c r="AI2009" s="269"/>
      <c r="AJ2009" s="269"/>
      <c r="AK2009" s="269"/>
      <c r="AL2009" s="269"/>
      <c r="AM2009" s="269"/>
      <c r="AN2009" s="269"/>
      <c r="AO2009" s="269"/>
      <c r="AP2009" s="269"/>
      <c r="AQ2009" s="269"/>
      <c r="AR2009" s="269"/>
    </row>
    <row r="2010">
      <c r="A2010" s="410"/>
      <c r="B2010" s="410"/>
      <c r="C2010" s="410"/>
      <c r="D2010" s="410"/>
      <c r="E2010" s="410"/>
      <c r="F2010" s="410"/>
      <c r="H2010" s="269"/>
      <c r="I2010" s="269"/>
      <c r="J2010" s="269"/>
      <c r="K2010" s="269"/>
      <c r="L2010" s="269"/>
      <c r="M2010" s="269"/>
      <c r="N2010" s="269"/>
      <c r="O2010" s="269"/>
      <c r="P2010" s="269"/>
      <c r="Q2010" s="269"/>
      <c r="R2010" s="269"/>
      <c r="S2010" s="269"/>
      <c r="T2010" s="269"/>
      <c r="U2010" s="269"/>
      <c r="V2010" s="269"/>
      <c r="W2010" s="269"/>
      <c r="X2010" s="269"/>
      <c r="Y2010" s="269"/>
      <c r="Z2010" s="269"/>
      <c r="AA2010" s="269"/>
      <c r="AB2010" s="269"/>
      <c r="AC2010" s="269"/>
      <c r="AD2010" s="269"/>
      <c r="AE2010" s="269"/>
      <c r="AF2010" s="269"/>
      <c r="AG2010" s="269"/>
      <c r="AH2010" s="269"/>
      <c r="AI2010" s="269"/>
      <c r="AJ2010" s="269"/>
      <c r="AK2010" s="269"/>
      <c r="AL2010" s="269"/>
      <c r="AM2010" s="269"/>
      <c r="AN2010" s="269"/>
      <c r="AO2010" s="269"/>
      <c r="AP2010" s="269"/>
      <c r="AQ2010" s="269"/>
      <c r="AR2010" s="269"/>
    </row>
    <row r="2011">
      <c r="A2011" s="410"/>
      <c r="B2011" s="410"/>
      <c r="C2011" s="410"/>
      <c r="D2011" s="410"/>
      <c r="E2011" s="410"/>
      <c r="F2011" s="410"/>
      <c r="H2011" s="269"/>
      <c r="I2011" s="269"/>
      <c r="J2011" s="269"/>
      <c r="K2011" s="269"/>
      <c r="L2011" s="269"/>
      <c r="M2011" s="269"/>
      <c r="N2011" s="269"/>
      <c r="O2011" s="269"/>
      <c r="P2011" s="269"/>
      <c r="Q2011" s="269"/>
      <c r="R2011" s="269"/>
      <c r="S2011" s="269"/>
      <c r="T2011" s="269"/>
      <c r="U2011" s="269"/>
      <c r="V2011" s="269"/>
      <c r="W2011" s="269"/>
      <c r="X2011" s="269"/>
      <c r="Y2011" s="269"/>
      <c r="Z2011" s="269"/>
      <c r="AA2011" s="269"/>
      <c r="AB2011" s="269"/>
      <c r="AC2011" s="269"/>
      <c r="AD2011" s="269"/>
      <c r="AE2011" s="269"/>
      <c r="AF2011" s="269"/>
      <c r="AG2011" s="269"/>
      <c r="AH2011" s="269"/>
      <c r="AI2011" s="269"/>
      <c r="AJ2011" s="269"/>
      <c r="AK2011" s="269"/>
      <c r="AL2011" s="269"/>
      <c r="AM2011" s="269"/>
      <c r="AN2011" s="269"/>
      <c r="AO2011" s="269"/>
      <c r="AP2011" s="269"/>
      <c r="AQ2011" s="269"/>
      <c r="AR2011" s="269"/>
    </row>
    <row r="2012">
      <c r="A2012" s="410"/>
      <c r="B2012" s="410"/>
      <c r="C2012" s="410"/>
      <c r="D2012" s="410"/>
      <c r="E2012" s="410"/>
      <c r="F2012" s="410"/>
      <c r="H2012" s="269"/>
      <c r="I2012" s="269"/>
      <c r="J2012" s="269"/>
      <c r="K2012" s="269"/>
      <c r="L2012" s="269"/>
      <c r="M2012" s="269"/>
      <c r="N2012" s="269"/>
      <c r="O2012" s="269"/>
      <c r="P2012" s="269"/>
      <c r="Q2012" s="269"/>
      <c r="R2012" s="269"/>
      <c r="S2012" s="269"/>
      <c r="T2012" s="269"/>
      <c r="U2012" s="269"/>
      <c r="V2012" s="269"/>
      <c r="W2012" s="269"/>
      <c r="X2012" s="269"/>
      <c r="Y2012" s="269"/>
      <c r="Z2012" s="269"/>
      <c r="AA2012" s="269"/>
      <c r="AB2012" s="269"/>
      <c r="AC2012" s="269"/>
      <c r="AD2012" s="269"/>
      <c r="AE2012" s="269"/>
      <c r="AF2012" s="269"/>
      <c r="AG2012" s="269"/>
      <c r="AH2012" s="269"/>
      <c r="AI2012" s="269"/>
      <c r="AJ2012" s="269"/>
      <c r="AK2012" s="269"/>
      <c r="AL2012" s="269"/>
      <c r="AM2012" s="269"/>
      <c r="AN2012" s="269"/>
      <c r="AO2012" s="269"/>
      <c r="AP2012" s="269"/>
      <c r="AQ2012" s="269"/>
      <c r="AR2012" s="269"/>
    </row>
    <row r="2013">
      <c r="A2013" s="410"/>
      <c r="B2013" s="410"/>
      <c r="C2013" s="410"/>
      <c r="D2013" s="410"/>
      <c r="E2013" s="410"/>
      <c r="F2013" s="410"/>
      <c r="H2013" s="269"/>
      <c r="I2013" s="269"/>
      <c r="J2013" s="269"/>
      <c r="K2013" s="269"/>
      <c r="L2013" s="269"/>
      <c r="M2013" s="269"/>
      <c r="N2013" s="269"/>
      <c r="O2013" s="269"/>
      <c r="P2013" s="269"/>
      <c r="Q2013" s="269"/>
      <c r="R2013" s="269"/>
      <c r="S2013" s="269"/>
      <c r="T2013" s="269"/>
      <c r="U2013" s="269"/>
      <c r="V2013" s="269"/>
      <c r="W2013" s="269"/>
      <c r="X2013" s="269"/>
      <c r="Y2013" s="269"/>
      <c r="Z2013" s="269"/>
      <c r="AA2013" s="269"/>
      <c r="AB2013" s="269"/>
      <c r="AC2013" s="269"/>
      <c r="AD2013" s="269"/>
      <c r="AE2013" s="269"/>
      <c r="AF2013" s="269"/>
      <c r="AG2013" s="269"/>
      <c r="AH2013" s="269"/>
      <c r="AI2013" s="269"/>
      <c r="AJ2013" s="269"/>
      <c r="AK2013" s="269"/>
      <c r="AL2013" s="269"/>
      <c r="AM2013" s="269"/>
      <c r="AN2013" s="269"/>
      <c r="AO2013" s="269"/>
      <c r="AP2013" s="269"/>
      <c r="AQ2013" s="269"/>
      <c r="AR2013" s="269"/>
    </row>
    <row r="2014">
      <c r="A2014" s="410"/>
      <c r="B2014" s="410"/>
      <c r="C2014" s="410"/>
      <c r="D2014" s="410"/>
      <c r="E2014" s="410"/>
      <c r="F2014" s="410"/>
      <c r="H2014" s="269"/>
      <c r="I2014" s="269"/>
      <c r="J2014" s="269"/>
      <c r="K2014" s="269"/>
      <c r="L2014" s="269"/>
      <c r="M2014" s="269"/>
      <c r="N2014" s="269"/>
      <c r="O2014" s="269"/>
      <c r="P2014" s="269"/>
      <c r="Q2014" s="269"/>
      <c r="R2014" s="269"/>
      <c r="S2014" s="269"/>
      <c r="T2014" s="269"/>
      <c r="U2014" s="269"/>
      <c r="V2014" s="269"/>
      <c r="W2014" s="269"/>
      <c r="X2014" s="269"/>
      <c r="Y2014" s="269"/>
      <c r="Z2014" s="269"/>
      <c r="AA2014" s="269"/>
      <c r="AB2014" s="269"/>
      <c r="AC2014" s="269"/>
      <c r="AD2014" s="269"/>
      <c r="AE2014" s="269"/>
      <c r="AF2014" s="269"/>
      <c r="AG2014" s="269"/>
      <c r="AH2014" s="269"/>
      <c r="AI2014" s="269"/>
      <c r="AJ2014" s="269"/>
      <c r="AK2014" s="269"/>
      <c r="AL2014" s="269"/>
      <c r="AM2014" s="269"/>
      <c r="AN2014" s="269"/>
      <c r="AO2014" s="269"/>
      <c r="AP2014" s="269"/>
      <c r="AQ2014" s="269"/>
      <c r="AR2014" s="269"/>
    </row>
    <row r="2015">
      <c r="A2015" s="410"/>
      <c r="B2015" s="410"/>
      <c r="C2015" s="410"/>
      <c r="D2015" s="410"/>
      <c r="E2015" s="410"/>
      <c r="F2015" s="410"/>
      <c r="H2015" s="269"/>
      <c r="I2015" s="269"/>
      <c r="J2015" s="269"/>
      <c r="K2015" s="269"/>
      <c r="L2015" s="269"/>
      <c r="M2015" s="269"/>
      <c r="N2015" s="269"/>
      <c r="O2015" s="269"/>
      <c r="P2015" s="269"/>
      <c r="Q2015" s="269"/>
      <c r="R2015" s="269"/>
      <c r="S2015" s="269"/>
      <c r="T2015" s="269"/>
      <c r="U2015" s="269"/>
      <c r="V2015" s="269"/>
      <c r="W2015" s="269"/>
      <c r="X2015" s="269"/>
      <c r="Y2015" s="269"/>
      <c r="Z2015" s="269"/>
      <c r="AA2015" s="269"/>
      <c r="AB2015" s="269"/>
      <c r="AC2015" s="269"/>
      <c r="AD2015" s="269"/>
      <c r="AE2015" s="269"/>
      <c r="AF2015" s="269"/>
      <c r="AG2015" s="269"/>
      <c r="AH2015" s="269"/>
      <c r="AI2015" s="269"/>
      <c r="AJ2015" s="269"/>
      <c r="AK2015" s="269"/>
      <c r="AL2015" s="269"/>
      <c r="AM2015" s="269"/>
      <c r="AN2015" s="269"/>
      <c r="AO2015" s="269"/>
      <c r="AP2015" s="269"/>
      <c r="AQ2015" s="269"/>
      <c r="AR2015" s="269"/>
    </row>
    <row r="2016">
      <c r="A2016" s="410"/>
      <c r="B2016" s="410"/>
      <c r="C2016" s="410"/>
      <c r="D2016" s="410"/>
      <c r="E2016" s="410"/>
      <c r="F2016" s="410"/>
      <c r="H2016" s="269"/>
      <c r="I2016" s="269"/>
      <c r="J2016" s="269"/>
      <c r="K2016" s="269"/>
      <c r="L2016" s="269"/>
      <c r="M2016" s="269"/>
      <c r="N2016" s="269"/>
      <c r="O2016" s="269"/>
      <c r="P2016" s="269"/>
      <c r="Q2016" s="269"/>
      <c r="R2016" s="269"/>
      <c r="S2016" s="269"/>
      <c r="T2016" s="269"/>
      <c r="U2016" s="269"/>
      <c r="V2016" s="269"/>
      <c r="W2016" s="269"/>
      <c r="X2016" s="269"/>
      <c r="Y2016" s="269"/>
      <c r="Z2016" s="269"/>
      <c r="AA2016" s="269"/>
      <c r="AB2016" s="269"/>
      <c r="AC2016" s="269"/>
      <c r="AD2016" s="269"/>
      <c r="AE2016" s="269"/>
      <c r="AF2016" s="269"/>
      <c r="AG2016" s="269"/>
      <c r="AH2016" s="269"/>
      <c r="AI2016" s="269"/>
      <c r="AJ2016" s="269"/>
      <c r="AK2016" s="269"/>
      <c r="AL2016" s="269"/>
      <c r="AM2016" s="269"/>
      <c r="AN2016" s="269"/>
      <c r="AO2016" s="269"/>
      <c r="AP2016" s="269"/>
      <c r="AQ2016" s="269"/>
      <c r="AR2016" s="269"/>
    </row>
    <row r="2017">
      <c r="A2017" s="410"/>
      <c r="B2017" s="410"/>
      <c r="C2017" s="410"/>
      <c r="D2017" s="410"/>
      <c r="E2017" s="410"/>
      <c r="F2017" s="410"/>
      <c r="H2017" s="269"/>
      <c r="I2017" s="269"/>
      <c r="J2017" s="269"/>
      <c r="K2017" s="269"/>
      <c r="L2017" s="269"/>
      <c r="M2017" s="269"/>
      <c r="N2017" s="269"/>
      <c r="O2017" s="269"/>
      <c r="P2017" s="269"/>
      <c r="Q2017" s="269"/>
      <c r="R2017" s="269"/>
      <c r="S2017" s="269"/>
      <c r="T2017" s="269"/>
      <c r="U2017" s="269"/>
      <c r="V2017" s="269"/>
      <c r="W2017" s="269"/>
      <c r="X2017" s="269"/>
      <c r="Y2017" s="269"/>
      <c r="Z2017" s="269"/>
      <c r="AA2017" s="269"/>
      <c r="AB2017" s="269"/>
      <c r="AC2017" s="269"/>
      <c r="AD2017" s="269"/>
      <c r="AE2017" s="269"/>
      <c r="AF2017" s="269"/>
      <c r="AG2017" s="269"/>
      <c r="AH2017" s="269"/>
      <c r="AI2017" s="269"/>
      <c r="AJ2017" s="269"/>
      <c r="AK2017" s="269"/>
      <c r="AL2017" s="269"/>
      <c r="AM2017" s="269"/>
      <c r="AN2017" s="269"/>
      <c r="AO2017" s="269"/>
      <c r="AP2017" s="269"/>
      <c r="AQ2017" s="269"/>
      <c r="AR2017" s="269"/>
    </row>
    <row r="2018">
      <c r="A2018" s="410"/>
      <c r="B2018" s="410"/>
      <c r="C2018" s="410"/>
      <c r="D2018" s="410"/>
      <c r="E2018" s="410"/>
      <c r="F2018" s="410"/>
      <c r="H2018" s="269"/>
      <c r="I2018" s="269"/>
      <c r="J2018" s="269"/>
      <c r="K2018" s="269"/>
      <c r="L2018" s="269"/>
      <c r="M2018" s="269"/>
      <c r="N2018" s="269"/>
      <c r="O2018" s="269"/>
      <c r="P2018" s="269"/>
      <c r="Q2018" s="269"/>
      <c r="R2018" s="269"/>
      <c r="S2018" s="269"/>
      <c r="T2018" s="269"/>
      <c r="U2018" s="269"/>
      <c r="V2018" s="269"/>
      <c r="W2018" s="269"/>
      <c r="X2018" s="269"/>
      <c r="Y2018" s="269"/>
      <c r="Z2018" s="269"/>
      <c r="AA2018" s="269"/>
      <c r="AB2018" s="269"/>
      <c r="AC2018" s="269"/>
      <c r="AD2018" s="269"/>
      <c r="AE2018" s="269"/>
      <c r="AF2018" s="269"/>
      <c r="AG2018" s="269"/>
      <c r="AH2018" s="269"/>
      <c r="AI2018" s="269"/>
      <c r="AJ2018" s="269"/>
      <c r="AK2018" s="269"/>
      <c r="AL2018" s="269"/>
      <c r="AM2018" s="269"/>
      <c r="AN2018" s="269"/>
      <c r="AO2018" s="269"/>
      <c r="AP2018" s="269"/>
      <c r="AQ2018" s="269"/>
      <c r="AR2018" s="269"/>
    </row>
    <row r="2019">
      <c r="A2019" s="410"/>
      <c r="B2019" s="410"/>
      <c r="C2019" s="410"/>
      <c r="D2019" s="410"/>
      <c r="E2019" s="410"/>
      <c r="F2019" s="410"/>
      <c r="H2019" s="269"/>
      <c r="I2019" s="269"/>
      <c r="J2019" s="269"/>
      <c r="K2019" s="269"/>
      <c r="L2019" s="269"/>
      <c r="M2019" s="269"/>
      <c r="N2019" s="269"/>
      <c r="O2019" s="269"/>
      <c r="P2019" s="269"/>
      <c r="Q2019" s="269"/>
      <c r="R2019" s="269"/>
      <c r="S2019" s="269"/>
      <c r="T2019" s="269"/>
      <c r="U2019" s="269"/>
      <c r="V2019" s="269"/>
      <c r="W2019" s="269"/>
      <c r="X2019" s="269"/>
      <c r="Y2019" s="269"/>
      <c r="Z2019" s="269"/>
      <c r="AA2019" s="269"/>
      <c r="AB2019" s="269"/>
      <c r="AC2019" s="269"/>
      <c r="AD2019" s="269"/>
      <c r="AE2019" s="269"/>
      <c r="AF2019" s="269"/>
      <c r="AG2019" s="269"/>
      <c r="AH2019" s="269"/>
      <c r="AI2019" s="269"/>
      <c r="AJ2019" s="269"/>
      <c r="AK2019" s="269"/>
      <c r="AL2019" s="269"/>
      <c r="AM2019" s="269"/>
      <c r="AN2019" s="269"/>
      <c r="AO2019" s="269"/>
      <c r="AP2019" s="269"/>
      <c r="AQ2019" s="269"/>
      <c r="AR2019" s="269"/>
    </row>
    <row r="2020">
      <c r="A2020" s="410"/>
      <c r="B2020" s="410"/>
      <c r="C2020" s="410"/>
      <c r="D2020" s="410"/>
      <c r="E2020" s="410"/>
      <c r="F2020" s="410"/>
      <c r="H2020" s="269"/>
      <c r="I2020" s="269"/>
      <c r="J2020" s="269"/>
      <c r="K2020" s="269"/>
      <c r="L2020" s="269"/>
      <c r="M2020" s="269"/>
      <c r="N2020" s="269"/>
      <c r="O2020" s="269"/>
      <c r="P2020" s="269"/>
      <c r="Q2020" s="269"/>
      <c r="R2020" s="269"/>
      <c r="S2020" s="269"/>
      <c r="T2020" s="269"/>
      <c r="U2020" s="269"/>
      <c r="V2020" s="269"/>
      <c r="W2020" s="269"/>
      <c r="X2020" s="269"/>
      <c r="Y2020" s="269"/>
      <c r="Z2020" s="269"/>
      <c r="AA2020" s="269"/>
      <c r="AB2020" s="269"/>
      <c r="AC2020" s="269"/>
      <c r="AD2020" s="269"/>
      <c r="AE2020" s="269"/>
      <c r="AF2020" s="269"/>
      <c r="AG2020" s="269"/>
      <c r="AH2020" s="269"/>
      <c r="AI2020" s="269"/>
      <c r="AJ2020" s="269"/>
      <c r="AK2020" s="269"/>
      <c r="AL2020" s="269"/>
      <c r="AM2020" s="269"/>
      <c r="AN2020" s="269"/>
      <c r="AO2020" s="269"/>
      <c r="AP2020" s="269"/>
      <c r="AQ2020" s="269"/>
      <c r="AR2020" s="269"/>
    </row>
    <row r="2021">
      <c r="A2021" s="410"/>
      <c r="B2021" s="410"/>
      <c r="C2021" s="410"/>
      <c r="D2021" s="410"/>
      <c r="E2021" s="410"/>
      <c r="F2021" s="410"/>
      <c r="H2021" s="269"/>
      <c r="I2021" s="269"/>
      <c r="J2021" s="269"/>
      <c r="K2021" s="269"/>
      <c r="L2021" s="269"/>
      <c r="M2021" s="269"/>
      <c r="N2021" s="269"/>
      <c r="O2021" s="269"/>
      <c r="P2021" s="269"/>
      <c r="Q2021" s="269"/>
      <c r="R2021" s="269"/>
      <c r="S2021" s="269"/>
      <c r="T2021" s="269"/>
      <c r="U2021" s="269"/>
      <c r="V2021" s="269"/>
      <c r="W2021" s="269"/>
      <c r="X2021" s="269"/>
      <c r="Y2021" s="269"/>
      <c r="Z2021" s="269"/>
      <c r="AA2021" s="269"/>
      <c r="AB2021" s="269"/>
      <c r="AC2021" s="269"/>
      <c r="AD2021" s="269"/>
      <c r="AE2021" s="269"/>
      <c r="AF2021" s="269"/>
      <c r="AG2021" s="269"/>
      <c r="AH2021" s="269"/>
      <c r="AI2021" s="269"/>
      <c r="AJ2021" s="269"/>
      <c r="AK2021" s="269"/>
      <c r="AL2021" s="269"/>
      <c r="AM2021" s="269"/>
      <c r="AN2021" s="269"/>
      <c r="AO2021" s="269"/>
      <c r="AP2021" s="269"/>
      <c r="AQ2021" s="269"/>
      <c r="AR2021" s="269"/>
    </row>
    <row r="2022">
      <c r="A2022" s="410"/>
      <c r="B2022" s="410"/>
      <c r="C2022" s="410"/>
      <c r="D2022" s="410"/>
      <c r="E2022" s="410"/>
      <c r="F2022" s="410"/>
      <c r="H2022" s="269"/>
      <c r="I2022" s="269"/>
      <c r="J2022" s="269"/>
      <c r="K2022" s="269"/>
      <c r="L2022" s="269"/>
      <c r="M2022" s="269"/>
      <c r="N2022" s="269"/>
      <c r="O2022" s="269"/>
      <c r="P2022" s="269"/>
      <c r="Q2022" s="269"/>
      <c r="R2022" s="269"/>
      <c r="S2022" s="269"/>
      <c r="T2022" s="269"/>
      <c r="U2022" s="269"/>
      <c r="V2022" s="269"/>
      <c r="W2022" s="269"/>
      <c r="X2022" s="269"/>
      <c r="Y2022" s="269"/>
      <c r="Z2022" s="269"/>
      <c r="AA2022" s="269"/>
      <c r="AB2022" s="269"/>
      <c r="AC2022" s="269"/>
      <c r="AD2022" s="269"/>
      <c r="AE2022" s="269"/>
      <c r="AF2022" s="269"/>
      <c r="AG2022" s="269"/>
      <c r="AH2022" s="269"/>
      <c r="AI2022" s="269"/>
      <c r="AJ2022" s="269"/>
      <c r="AK2022" s="269"/>
      <c r="AL2022" s="269"/>
      <c r="AM2022" s="269"/>
      <c r="AN2022" s="269"/>
      <c r="AO2022" s="269"/>
      <c r="AP2022" s="269"/>
      <c r="AQ2022" s="269"/>
      <c r="AR2022" s="269"/>
    </row>
    <row r="2023">
      <c r="A2023" s="410"/>
      <c r="B2023" s="410"/>
      <c r="C2023" s="410"/>
      <c r="D2023" s="410"/>
      <c r="E2023" s="410"/>
      <c r="F2023" s="410"/>
      <c r="H2023" s="269"/>
      <c r="I2023" s="269"/>
      <c r="J2023" s="269"/>
      <c r="K2023" s="269"/>
      <c r="L2023" s="269"/>
      <c r="M2023" s="269"/>
      <c r="N2023" s="269"/>
      <c r="O2023" s="269"/>
      <c r="P2023" s="269"/>
      <c r="Q2023" s="269"/>
      <c r="R2023" s="269"/>
      <c r="S2023" s="269"/>
      <c r="T2023" s="269"/>
      <c r="U2023" s="269"/>
      <c r="V2023" s="269"/>
      <c r="W2023" s="269"/>
      <c r="X2023" s="269"/>
      <c r="Y2023" s="269"/>
      <c r="Z2023" s="269"/>
      <c r="AA2023" s="269"/>
      <c r="AB2023" s="269"/>
      <c r="AC2023" s="269"/>
      <c r="AD2023" s="269"/>
      <c r="AE2023" s="269"/>
      <c r="AF2023" s="269"/>
      <c r="AG2023" s="269"/>
      <c r="AH2023" s="269"/>
      <c r="AI2023" s="269"/>
      <c r="AJ2023" s="269"/>
      <c r="AK2023" s="269"/>
      <c r="AL2023" s="269"/>
      <c r="AM2023" s="269"/>
      <c r="AN2023" s="269"/>
      <c r="AO2023" s="269"/>
      <c r="AP2023" s="269"/>
      <c r="AQ2023" s="269"/>
      <c r="AR2023" s="269"/>
    </row>
    <row r="2024">
      <c r="A2024" s="410"/>
      <c r="B2024" s="410"/>
      <c r="C2024" s="410"/>
      <c r="D2024" s="410"/>
      <c r="E2024" s="410"/>
      <c r="F2024" s="410"/>
      <c r="H2024" s="269"/>
      <c r="I2024" s="269"/>
      <c r="J2024" s="269"/>
      <c r="K2024" s="269"/>
      <c r="L2024" s="269"/>
      <c r="M2024" s="269"/>
      <c r="N2024" s="269"/>
      <c r="O2024" s="269"/>
      <c r="P2024" s="269"/>
      <c r="Q2024" s="269"/>
      <c r="R2024" s="269"/>
      <c r="S2024" s="269"/>
      <c r="T2024" s="269"/>
      <c r="U2024" s="269"/>
      <c r="V2024" s="269"/>
      <c r="W2024" s="269"/>
      <c r="X2024" s="269"/>
      <c r="Y2024" s="269"/>
      <c r="Z2024" s="269"/>
      <c r="AA2024" s="269"/>
      <c r="AB2024" s="269"/>
      <c r="AC2024" s="269"/>
      <c r="AD2024" s="269"/>
      <c r="AE2024" s="269"/>
      <c r="AF2024" s="269"/>
      <c r="AG2024" s="269"/>
      <c r="AH2024" s="269"/>
      <c r="AI2024" s="269"/>
      <c r="AJ2024" s="269"/>
      <c r="AK2024" s="269"/>
      <c r="AL2024" s="269"/>
      <c r="AM2024" s="269"/>
      <c r="AN2024" s="269"/>
      <c r="AO2024" s="269"/>
      <c r="AP2024" s="269"/>
      <c r="AQ2024" s="269"/>
      <c r="AR2024" s="269"/>
    </row>
    <row r="2025">
      <c r="A2025" s="410"/>
      <c r="B2025" s="410"/>
      <c r="C2025" s="410"/>
      <c r="D2025" s="410"/>
      <c r="E2025" s="410"/>
      <c r="F2025" s="410"/>
      <c r="H2025" s="269"/>
      <c r="I2025" s="269"/>
      <c r="J2025" s="269"/>
      <c r="K2025" s="269"/>
      <c r="L2025" s="269"/>
      <c r="M2025" s="269"/>
      <c r="N2025" s="269"/>
      <c r="O2025" s="269"/>
      <c r="P2025" s="269"/>
      <c r="Q2025" s="269"/>
      <c r="R2025" s="269"/>
      <c r="S2025" s="269"/>
      <c r="T2025" s="269"/>
      <c r="U2025" s="269"/>
      <c r="V2025" s="269"/>
      <c r="W2025" s="269"/>
      <c r="X2025" s="269"/>
      <c r="Y2025" s="269"/>
      <c r="Z2025" s="269"/>
      <c r="AA2025" s="269"/>
      <c r="AB2025" s="269"/>
      <c r="AC2025" s="269"/>
      <c r="AD2025" s="269"/>
      <c r="AE2025" s="269"/>
      <c r="AF2025" s="269"/>
      <c r="AG2025" s="269"/>
      <c r="AH2025" s="269"/>
      <c r="AI2025" s="269"/>
      <c r="AJ2025" s="269"/>
      <c r="AK2025" s="269"/>
      <c r="AL2025" s="269"/>
      <c r="AM2025" s="269"/>
      <c r="AN2025" s="269"/>
      <c r="AO2025" s="269"/>
      <c r="AP2025" s="269"/>
      <c r="AQ2025" s="269"/>
      <c r="AR2025" s="269"/>
    </row>
    <row r="2026">
      <c r="A2026" s="410"/>
      <c r="B2026" s="410"/>
      <c r="C2026" s="410"/>
      <c r="D2026" s="410"/>
      <c r="E2026" s="410"/>
      <c r="F2026" s="410"/>
      <c r="H2026" s="269"/>
      <c r="I2026" s="269"/>
      <c r="J2026" s="269"/>
      <c r="K2026" s="269"/>
      <c r="L2026" s="269"/>
      <c r="M2026" s="269"/>
      <c r="N2026" s="269"/>
      <c r="O2026" s="269"/>
      <c r="P2026" s="269"/>
      <c r="Q2026" s="269"/>
      <c r="R2026" s="269"/>
      <c r="S2026" s="269"/>
      <c r="T2026" s="269"/>
      <c r="U2026" s="269"/>
      <c r="V2026" s="269"/>
      <c r="W2026" s="269"/>
      <c r="X2026" s="269"/>
      <c r="Y2026" s="269"/>
      <c r="Z2026" s="269"/>
      <c r="AA2026" s="269"/>
      <c r="AB2026" s="269"/>
      <c r="AC2026" s="269"/>
      <c r="AD2026" s="269"/>
      <c r="AE2026" s="269"/>
      <c r="AF2026" s="269"/>
      <c r="AG2026" s="269"/>
      <c r="AH2026" s="269"/>
      <c r="AI2026" s="269"/>
      <c r="AJ2026" s="269"/>
      <c r="AK2026" s="269"/>
      <c r="AL2026" s="269"/>
      <c r="AM2026" s="269"/>
      <c r="AN2026" s="269"/>
      <c r="AO2026" s="269"/>
      <c r="AP2026" s="269"/>
      <c r="AQ2026" s="269"/>
      <c r="AR2026" s="269"/>
    </row>
    <row r="2027">
      <c r="A2027" s="410"/>
      <c r="B2027" s="410"/>
      <c r="C2027" s="410"/>
      <c r="D2027" s="410"/>
      <c r="E2027" s="410"/>
      <c r="F2027" s="410"/>
      <c r="H2027" s="269"/>
      <c r="I2027" s="269"/>
      <c r="J2027" s="269"/>
      <c r="K2027" s="269"/>
      <c r="L2027" s="269"/>
      <c r="M2027" s="269"/>
      <c r="N2027" s="269"/>
      <c r="O2027" s="269"/>
      <c r="P2027" s="269"/>
      <c r="Q2027" s="269"/>
      <c r="R2027" s="269"/>
      <c r="S2027" s="269"/>
      <c r="T2027" s="269"/>
      <c r="U2027" s="269"/>
      <c r="V2027" s="269"/>
      <c r="W2027" s="269"/>
      <c r="X2027" s="269"/>
      <c r="Y2027" s="269"/>
      <c r="Z2027" s="269"/>
      <c r="AA2027" s="269"/>
      <c r="AB2027" s="269"/>
      <c r="AC2027" s="269"/>
      <c r="AD2027" s="269"/>
      <c r="AE2027" s="269"/>
      <c r="AF2027" s="269"/>
      <c r="AG2027" s="269"/>
      <c r="AH2027" s="269"/>
      <c r="AI2027" s="269"/>
      <c r="AJ2027" s="269"/>
      <c r="AK2027" s="269"/>
      <c r="AL2027" s="269"/>
      <c r="AM2027" s="269"/>
      <c r="AN2027" s="269"/>
      <c r="AO2027" s="269"/>
      <c r="AP2027" s="269"/>
      <c r="AQ2027" s="269"/>
      <c r="AR2027" s="269"/>
    </row>
    <row r="2028">
      <c r="A2028" s="410"/>
      <c r="B2028" s="410"/>
      <c r="C2028" s="410"/>
      <c r="D2028" s="410"/>
      <c r="E2028" s="410"/>
      <c r="F2028" s="410"/>
      <c r="H2028" s="269"/>
      <c r="I2028" s="269"/>
      <c r="J2028" s="269"/>
      <c r="K2028" s="269"/>
      <c r="L2028" s="269"/>
      <c r="M2028" s="269"/>
      <c r="N2028" s="269"/>
      <c r="O2028" s="269"/>
      <c r="P2028" s="269"/>
      <c r="Q2028" s="269"/>
      <c r="R2028" s="269"/>
      <c r="S2028" s="269"/>
      <c r="T2028" s="269"/>
      <c r="U2028" s="269"/>
      <c r="V2028" s="269"/>
      <c r="W2028" s="269"/>
      <c r="X2028" s="269"/>
      <c r="Y2028" s="269"/>
      <c r="Z2028" s="269"/>
      <c r="AA2028" s="269"/>
      <c r="AB2028" s="269"/>
      <c r="AC2028" s="269"/>
      <c r="AD2028" s="269"/>
      <c r="AE2028" s="269"/>
      <c r="AF2028" s="269"/>
      <c r="AG2028" s="269"/>
      <c r="AH2028" s="269"/>
      <c r="AI2028" s="269"/>
      <c r="AJ2028" s="269"/>
      <c r="AK2028" s="269"/>
      <c r="AL2028" s="269"/>
      <c r="AM2028" s="269"/>
      <c r="AN2028" s="269"/>
      <c r="AO2028" s="269"/>
      <c r="AP2028" s="269"/>
      <c r="AQ2028" s="269"/>
      <c r="AR2028" s="269"/>
    </row>
    <row r="2029">
      <c r="A2029" s="410"/>
      <c r="B2029" s="410"/>
      <c r="C2029" s="410"/>
      <c r="D2029" s="410"/>
      <c r="E2029" s="410"/>
      <c r="F2029" s="410"/>
      <c r="H2029" s="269"/>
      <c r="I2029" s="269"/>
      <c r="J2029" s="269"/>
      <c r="K2029" s="269"/>
      <c r="L2029" s="269"/>
      <c r="M2029" s="269"/>
      <c r="N2029" s="269"/>
      <c r="O2029" s="269"/>
      <c r="P2029" s="269"/>
      <c r="Q2029" s="269"/>
      <c r="R2029" s="269"/>
      <c r="S2029" s="269"/>
      <c r="T2029" s="269"/>
      <c r="U2029" s="269"/>
      <c r="V2029" s="269"/>
      <c r="W2029" s="269"/>
      <c r="X2029" s="269"/>
      <c r="Y2029" s="269"/>
      <c r="Z2029" s="269"/>
      <c r="AA2029" s="269"/>
      <c r="AB2029" s="269"/>
      <c r="AC2029" s="269"/>
      <c r="AD2029" s="269"/>
      <c r="AE2029" s="269"/>
      <c r="AF2029" s="269"/>
      <c r="AG2029" s="269"/>
      <c r="AH2029" s="269"/>
      <c r="AI2029" s="269"/>
      <c r="AJ2029" s="269"/>
      <c r="AK2029" s="269"/>
      <c r="AL2029" s="269"/>
      <c r="AM2029" s="269"/>
      <c r="AN2029" s="269"/>
      <c r="AO2029" s="269"/>
      <c r="AP2029" s="269"/>
      <c r="AQ2029" s="269"/>
      <c r="AR2029" s="269"/>
    </row>
    <row r="2030">
      <c r="A2030" s="410"/>
      <c r="B2030" s="410"/>
      <c r="C2030" s="410"/>
      <c r="D2030" s="410"/>
      <c r="E2030" s="410"/>
      <c r="F2030" s="410"/>
      <c r="H2030" s="269"/>
      <c r="I2030" s="269"/>
      <c r="J2030" s="269"/>
      <c r="K2030" s="269"/>
      <c r="L2030" s="269"/>
      <c r="M2030" s="269"/>
      <c r="N2030" s="269"/>
      <c r="O2030" s="269"/>
      <c r="P2030" s="269"/>
      <c r="Q2030" s="269"/>
      <c r="R2030" s="269"/>
      <c r="S2030" s="269"/>
      <c r="T2030" s="269"/>
      <c r="U2030" s="269"/>
      <c r="V2030" s="269"/>
      <c r="W2030" s="269"/>
      <c r="X2030" s="269"/>
      <c r="Y2030" s="269"/>
      <c r="Z2030" s="269"/>
      <c r="AA2030" s="269"/>
      <c r="AB2030" s="269"/>
      <c r="AC2030" s="269"/>
      <c r="AD2030" s="269"/>
      <c r="AE2030" s="269"/>
      <c r="AF2030" s="269"/>
      <c r="AG2030" s="269"/>
      <c r="AH2030" s="269"/>
      <c r="AI2030" s="269"/>
      <c r="AJ2030" s="269"/>
      <c r="AK2030" s="269"/>
      <c r="AL2030" s="269"/>
      <c r="AM2030" s="269"/>
      <c r="AN2030" s="269"/>
      <c r="AO2030" s="269"/>
      <c r="AP2030" s="269"/>
      <c r="AQ2030" s="269"/>
      <c r="AR2030" s="269"/>
    </row>
    <row r="2031">
      <c r="A2031" s="410"/>
      <c r="B2031" s="410"/>
      <c r="C2031" s="410"/>
      <c r="D2031" s="410"/>
      <c r="E2031" s="410"/>
      <c r="F2031" s="410"/>
      <c r="H2031" s="269"/>
      <c r="I2031" s="269"/>
      <c r="J2031" s="269"/>
      <c r="K2031" s="269"/>
      <c r="L2031" s="269"/>
      <c r="M2031" s="269"/>
      <c r="N2031" s="269"/>
      <c r="O2031" s="269"/>
      <c r="P2031" s="269"/>
      <c r="Q2031" s="269"/>
      <c r="R2031" s="269"/>
      <c r="S2031" s="269"/>
      <c r="T2031" s="269"/>
      <c r="U2031" s="269"/>
      <c r="V2031" s="269"/>
      <c r="W2031" s="269"/>
      <c r="X2031" s="269"/>
      <c r="Y2031" s="269"/>
      <c r="Z2031" s="269"/>
      <c r="AA2031" s="269"/>
      <c r="AB2031" s="269"/>
      <c r="AC2031" s="269"/>
      <c r="AD2031" s="269"/>
      <c r="AE2031" s="269"/>
      <c r="AF2031" s="269"/>
      <c r="AG2031" s="269"/>
      <c r="AH2031" s="269"/>
      <c r="AI2031" s="269"/>
      <c r="AJ2031" s="269"/>
      <c r="AK2031" s="269"/>
      <c r="AL2031" s="269"/>
      <c r="AM2031" s="269"/>
      <c r="AN2031" s="269"/>
      <c r="AO2031" s="269"/>
      <c r="AP2031" s="269"/>
      <c r="AQ2031" s="269"/>
      <c r="AR2031" s="269"/>
    </row>
    <row r="2032">
      <c r="A2032" s="410"/>
      <c r="B2032" s="410"/>
      <c r="C2032" s="410"/>
      <c r="D2032" s="410"/>
      <c r="E2032" s="410"/>
      <c r="F2032" s="410"/>
      <c r="H2032" s="269"/>
      <c r="I2032" s="269"/>
      <c r="J2032" s="269"/>
      <c r="K2032" s="269"/>
      <c r="L2032" s="269"/>
      <c r="M2032" s="269"/>
      <c r="N2032" s="269"/>
      <c r="O2032" s="269"/>
      <c r="P2032" s="269"/>
      <c r="Q2032" s="269"/>
      <c r="R2032" s="269"/>
      <c r="S2032" s="269"/>
      <c r="T2032" s="269"/>
      <c r="U2032" s="269"/>
      <c r="V2032" s="269"/>
      <c r="W2032" s="269"/>
      <c r="X2032" s="269"/>
      <c r="Y2032" s="269"/>
      <c r="Z2032" s="269"/>
      <c r="AA2032" s="269"/>
      <c r="AB2032" s="269"/>
      <c r="AC2032" s="269"/>
      <c r="AD2032" s="269"/>
      <c r="AE2032" s="269"/>
      <c r="AF2032" s="269"/>
      <c r="AG2032" s="269"/>
      <c r="AH2032" s="269"/>
      <c r="AI2032" s="269"/>
      <c r="AJ2032" s="269"/>
      <c r="AK2032" s="269"/>
      <c r="AL2032" s="269"/>
      <c r="AM2032" s="269"/>
      <c r="AN2032" s="269"/>
      <c r="AO2032" s="269"/>
      <c r="AP2032" s="269"/>
      <c r="AQ2032" s="269"/>
      <c r="AR2032" s="269"/>
    </row>
    <row r="2033">
      <c r="A2033" s="410"/>
      <c r="B2033" s="410"/>
      <c r="C2033" s="410"/>
      <c r="D2033" s="410"/>
      <c r="E2033" s="410"/>
      <c r="F2033" s="410"/>
      <c r="H2033" s="269"/>
      <c r="I2033" s="269"/>
      <c r="J2033" s="269"/>
      <c r="K2033" s="269"/>
      <c r="L2033" s="269"/>
      <c r="M2033" s="269"/>
      <c r="N2033" s="269"/>
      <c r="O2033" s="269"/>
      <c r="P2033" s="269"/>
      <c r="Q2033" s="269"/>
      <c r="R2033" s="269"/>
      <c r="S2033" s="269"/>
      <c r="T2033" s="269"/>
      <c r="U2033" s="269"/>
      <c r="V2033" s="269"/>
      <c r="W2033" s="269"/>
      <c r="X2033" s="269"/>
      <c r="Y2033" s="269"/>
      <c r="Z2033" s="269"/>
      <c r="AA2033" s="269"/>
      <c r="AB2033" s="269"/>
      <c r="AC2033" s="269"/>
      <c r="AD2033" s="269"/>
      <c r="AE2033" s="269"/>
      <c r="AF2033" s="269"/>
      <c r="AG2033" s="269"/>
      <c r="AH2033" s="269"/>
      <c r="AI2033" s="269"/>
      <c r="AJ2033" s="269"/>
      <c r="AK2033" s="269"/>
      <c r="AL2033" s="269"/>
      <c r="AM2033" s="269"/>
      <c r="AN2033" s="269"/>
      <c r="AO2033" s="269"/>
      <c r="AP2033" s="269"/>
      <c r="AQ2033" s="269"/>
      <c r="AR2033" s="269"/>
    </row>
    <row r="2034">
      <c r="A2034" s="410"/>
      <c r="B2034" s="410"/>
      <c r="C2034" s="410"/>
      <c r="D2034" s="410"/>
      <c r="E2034" s="410"/>
      <c r="F2034" s="410"/>
      <c r="H2034" s="269"/>
      <c r="I2034" s="269"/>
      <c r="J2034" s="269"/>
      <c r="K2034" s="269"/>
      <c r="L2034" s="269"/>
      <c r="M2034" s="269"/>
      <c r="N2034" s="269"/>
      <c r="O2034" s="269"/>
      <c r="P2034" s="269"/>
      <c r="Q2034" s="269"/>
      <c r="R2034" s="269"/>
      <c r="S2034" s="269"/>
      <c r="T2034" s="269"/>
      <c r="U2034" s="269"/>
      <c r="V2034" s="269"/>
      <c r="W2034" s="269"/>
      <c r="X2034" s="269"/>
      <c r="Y2034" s="269"/>
      <c r="Z2034" s="269"/>
      <c r="AA2034" s="269"/>
      <c r="AB2034" s="269"/>
      <c r="AC2034" s="269"/>
      <c r="AD2034" s="269"/>
      <c r="AE2034" s="269"/>
      <c r="AF2034" s="269"/>
      <c r="AG2034" s="269"/>
      <c r="AH2034" s="269"/>
      <c r="AI2034" s="269"/>
      <c r="AJ2034" s="269"/>
      <c r="AK2034" s="269"/>
      <c r="AL2034" s="269"/>
      <c r="AM2034" s="269"/>
      <c r="AN2034" s="269"/>
      <c r="AO2034" s="269"/>
      <c r="AP2034" s="269"/>
      <c r="AQ2034" s="269"/>
      <c r="AR2034" s="269"/>
    </row>
    <row r="2035">
      <c r="A2035" s="410"/>
      <c r="B2035" s="410"/>
      <c r="C2035" s="410"/>
      <c r="D2035" s="410"/>
      <c r="E2035" s="410"/>
      <c r="F2035" s="410"/>
      <c r="H2035" s="269"/>
      <c r="I2035" s="269"/>
      <c r="J2035" s="269"/>
      <c r="K2035" s="269"/>
      <c r="L2035" s="269"/>
      <c r="M2035" s="269"/>
      <c r="N2035" s="269"/>
      <c r="O2035" s="269"/>
      <c r="P2035" s="269"/>
      <c r="Q2035" s="269"/>
      <c r="R2035" s="269"/>
      <c r="S2035" s="269"/>
      <c r="T2035" s="269"/>
      <c r="U2035" s="269"/>
      <c r="V2035" s="269"/>
      <c r="W2035" s="269"/>
      <c r="X2035" s="269"/>
      <c r="Y2035" s="269"/>
      <c r="Z2035" s="269"/>
      <c r="AA2035" s="269"/>
      <c r="AB2035" s="269"/>
      <c r="AC2035" s="269"/>
      <c r="AD2035" s="269"/>
      <c r="AE2035" s="269"/>
      <c r="AF2035" s="269"/>
      <c r="AG2035" s="269"/>
      <c r="AH2035" s="269"/>
      <c r="AI2035" s="269"/>
      <c r="AJ2035" s="269"/>
      <c r="AK2035" s="269"/>
      <c r="AL2035" s="269"/>
      <c r="AM2035" s="269"/>
      <c r="AN2035" s="269"/>
      <c r="AO2035" s="269"/>
      <c r="AP2035" s="269"/>
      <c r="AQ2035" s="269"/>
      <c r="AR2035" s="269"/>
    </row>
    <row r="2036">
      <c r="A2036" s="410"/>
      <c r="B2036" s="410"/>
      <c r="C2036" s="410"/>
      <c r="D2036" s="410"/>
      <c r="E2036" s="410"/>
      <c r="F2036" s="410"/>
      <c r="H2036" s="269"/>
      <c r="I2036" s="269"/>
      <c r="J2036" s="269"/>
      <c r="K2036" s="269"/>
      <c r="L2036" s="269"/>
      <c r="M2036" s="269"/>
      <c r="N2036" s="269"/>
      <c r="O2036" s="269"/>
      <c r="P2036" s="269"/>
      <c r="Q2036" s="269"/>
      <c r="R2036" s="269"/>
      <c r="S2036" s="269"/>
      <c r="T2036" s="269"/>
      <c r="U2036" s="269"/>
      <c r="V2036" s="269"/>
      <c r="W2036" s="269"/>
      <c r="X2036" s="269"/>
      <c r="Y2036" s="269"/>
      <c r="Z2036" s="269"/>
      <c r="AA2036" s="269"/>
      <c r="AB2036" s="269"/>
      <c r="AC2036" s="269"/>
      <c r="AD2036" s="269"/>
      <c r="AE2036" s="269"/>
      <c r="AF2036" s="269"/>
      <c r="AG2036" s="269"/>
      <c r="AH2036" s="269"/>
      <c r="AI2036" s="269"/>
      <c r="AJ2036" s="269"/>
      <c r="AK2036" s="269"/>
      <c r="AL2036" s="269"/>
      <c r="AM2036" s="269"/>
      <c r="AN2036" s="269"/>
      <c r="AO2036" s="269"/>
      <c r="AP2036" s="269"/>
      <c r="AQ2036" s="269"/>
      <c r="AR2036" s="269"/>
    </row>
    <row r="2037">
      <c r="A2037" s="410"/>
      <c r="B2037" s="410"/>
      <c r="C2037" s="410"/>
      <c r="D2037" s="410"/>
      <c r="E2037" s="410"/>
      <c r="F2037" s="410"/>
      <c r="H2037" s="269"/>
      <c r="I2037" s="269"/>
      <c r="J2037" s="269"/>
      <c r="K2037" s="269"/>
      <c r="L2037" s="269"/>
      <c r="M2037" s="269"/>
      <c r="N2037" s="269"/>
      <c r="O2037" s="269"/>
      <c r="P2037" s="269"/>
      <c r="Q2037" s="269"/>
      <c r="R2037" s="269"/>
      <c r="S2037" s="269"/>
      <c r="T2037" s="269"/>
      <c r="U2037" s="269"/>
      <c r="V2037" s="269"/>
      <c r="W2037" s="269"/>
      <c r="X2037" s="269"/>
      <c r="Y2037" s="269"/>
      <c r="Z2037" s="269"/>
      <c r="AA2037" s="269"/>
      <c r="AB2037" s="269"/>
      <c r="AC2037" s="269"/>
      <c r="AD2037" s="269"/>
      <c r="AE2037" s="269"/>
      <c r="AF2037" s="269"/>
      <c r="AG2037" s="269"/>
      <c r="AH2037" s="269"/>
      <c r="AI2037" s="269"/>
      <c r="AJ2037" s="269"/>
      <c r="AK2037" s="269"/>
      <c r="AL2037" s="269"/>
      <c r="AM2037" s="269"/>
      <c r="AN2037" s="269"/>
      <c r="AO2037" s="269"/>
      <c r="AP2037" s="269"/>
      <c r="AQ2037" s="269"/>
      <c r="AR2037" s="269"/>
    </row>
    <row r="2038">
      <c r="A2038" s="410"/>
      <c r="B2038" s="410"/>
      <c r="C2038" s="410"/>
      <c r="D2038" s="410"/>
      <c r="E2038" s="410"/>
      <c r="F2038" s="410"/>
      <c r="H2038" s="269"/>
      <c r="I2038" s="269"/>
      <c r="J2038" s="269"/>
      <c r="K2038" s="269"/>
      <c r="L2038" s="269"/>
      <c r="M2038" s="269"/>
      <c r="N2038" s="269"/>
      <c r="O2038" s="269"/>
      <c r="P2038" s="269"/>
      <c r="Q2038" s="269"/>
      <c r="R2038" s="269"/>
      <c r="S2038" s="269"/>
      <c r="T2038" s="269"/>
      <c r="U2038" s="269"/>
      <c r="V2038" s="269"/>
      <c r="W2038" s="269"/>
      <c r="X2038" s="269"/>
      <c r="Y2038" s="269"/>
      <c r="Z2038" s="269"/>
      <c r="AA2038" s="269"/>
      <c r="AB2038" s="269"/>
      <c r="AC2038" s="269"/>
      <c r="AD2038" s="269"/>
      <c r="AE2038" s="269"/>
      <c r="AF2038" s="269"/>
      <c r="AG2038" s="269"/>
      <c r="AH2038" s="269"/>
      <c r="AI2038" s="269"/>
      <c r="AJ2038" s="269"/>
      <c r="AK2038" s="269"/>
      <c r="AL2038" s="269"/>
      <c r="AM2038" s="269"/>
      <c r="AN2038" s="269"/>
      <c r="AO2038" s="269"/>
      <c r="AP2038" s="269"/>
      <c r="AQ2038" s="269"/>
      <c r="AR2038" s="269"/>
    </row>
    <row r="2039">
      <c r="A2039" s="410"/>
      <c r="B2039" s="410"/>
      <c r="C2039" s="410"/>
      <c r="D2039" s="410"/>
      <c r="E2039" s="410"/>
      <c r="F2039" s="410"/>
      <c r="H2039" s="269"/>
      <c r="I2039" s="269"/>
      <c r="J2039" s="269"/>
      <c r="K2039" s="269"/>
      <c r="L2039" s="269"/>
      <c r="M2039" s="269"/>
      <c r="N2039" s="269"/>
      <c r="O2039" s="269"/>
      <c r="P2039" s="269"/>
      <c r="Q2039" s="269"/>
      <c r="R2039" s="269"/>
      <c r="S2039" s="269"/>
      <c r="T2039" s="269"/>
      <c r="U2039" s="269"/>
      <c r="V2039" s="269"/>
      <c r="W2039" s="269"/>
      <c r="X2039" s="269"/>
      <c r="Y2039" s="269"/>
      <c r="Z2039" s="269"/>
      <c r="AA2039" s="269"/>
      <c r="AB2039" s="269"/>
      <c r="AC2039" s="269"/>
      <c r="AD2039" s="269"/>
      <c r="AE2039" s="269"/>
      <c r="AF2039" s="269"/>
      <c r="AG2039" s="269"/>
      <c r="AH2039" s="269"/>
      <c r="AI2039" s="269"/>
      <c r="AJ2039" s="269"/>
      <c r="AK2039" s="269"/>
      <c r="AL2039" s="269"/>
      <c r="AM2039" s="269"/>
      <c r="AN2039" s="269"/>
      <c r="AO2039" s="269"/>
      <c r="AP2039" s="269"/>
      <c r="AQ2039" s="269"/>
      <c r="AR2039" s="269"/>
    </row>
    <row r="2040">
      <c r="A2040" s="410"/>
      <c r="B2040" s="410"/>
      <c r="C2040" s="410"/>
      <c r="D2040" s="410"/>
      <c r="E2040" s="410"/>
      <c r="F2040" s="410"/>
      <c r="H2040" s="269"/>
      <c r="I2040" s="269"/>
      <c r="J2040" s="269"/>
      <c r="K2040" s="269"/>
      <c r="L2040" s="269"/>
      <c r="M2040" s="269"/>
      <c r="N2040" s="269"/>
      <c r="O2040" s="269"/>
      <c r="P2040" s="269"/>
      <c r="Q2040" s="269"/>
      <c r="R2040" s="269"/>
      <c r="S2040" s="269"/>
      <c r="T2040" s="269"/>
      <c r="U2040" s="269"/>
      <c r="V2040" s="269"/>
      <c r="W2040" s="269"/>
      <c r="X2040" s="269"/>
      <c r="Y2040" s="269"/>
      <c r="Z2040" s="269"/>
      <c r="AA2040" s="269"/>
      <c r="AB2040" s="269"/>
      <c r="AC2040" s="269"/>
      <c r="AD2040" s="269"/>
      <c r="AE2040" s="269"/>
      <c r="AF2040" s="269"/>
      <c r="AG2040" s="269"/>
      <c r="AH2040" s="269"/>
      <c r="AI2040" s="269"/>
      <c r="AJ2040" s="269"/>
      <c r="AK2040" s="269"/>
      <c r="AL2040" s="269"/>
      <c r="AM2040" s="269"/>
      <c r="AN2040" s="269"/>
      <c r="AO2040" s="269"/>
      <c r="AP2040" s="269"/>
      <c r="AQ2040" s="269"/>
      <c r="AR2040" s="269"/>
    </row>
    <row r="2041">
      <c r="A2041" s="410"/>
      <c r="B2041" s="410"/>
      <c r="C2041" s="410"/>
      <c r="D2041" s="410"/>
      <c r="E2041" s="410"/>
      <c r="F2041" s="410"/>
      <c r="H2041" s="269"/>
      <c r="I2041" s="269"/>
      <c r="J2041" s="269"/>
      <c r="K2041" s="269"/>
      <c r="L2041" s="269"/>
      <c r="M2041" s="269"/>
      <c r="N2041" s="269"/>
      <c r="O2041" s="269"/>
      <c r="P2041" s="269"/>
      <c r="Q2041" s="269"/>
      <c r="R2041" s="269"/>
      <c r="S2041" s="269"/>
      <c r="T2041" s="269"/>
      <c r="U2041" s="269"/>
      <c r="V2041" s="269"/>
      <c r="W2041" s="269"/>
      <c r="X2041" s="269"/>
      <c r="Y2041" s="269"/>
      <c r="Z2041" s="269"/>
      <c r="AA2041" s="269"/>
      <c r="AB2041" s="269"/>
      <c r="AC2041" s="269"/>
      <c r="AD2041" s="269"/>
      <c r="AE2041" s="269"/>
      <c r="AF2041" s="269"/>
      <c r="AG2041" s="269"/>
      <c r="AH2041" s="269"/>
      <c r="AI2041" s="269"/>
      <c r="AJ2041" s="269"/>
      <c r="AK2041" s="269"/>
      <c r="AL2041" s="269"/>
      <c r="AM2041" s="269"/>
      <c r="AN2041" s="269"/>
      <c r="AO2041" s="269"/>
      <c r="AP2041" s="269"/>
      <c r="AQ2041" s="269"/>
      <c r="AR2041" s="269"/>
    </row>
    <row r="2042">
      <c r="A2042" s="410"/>
      <c r="B2042" s="410"/>
      <c r="C2042" s="410"/>
      <c r="D2042" s="410"/>
      <c r="E2042" s="410"/>
      <c r="F2042" s="410"/>
      <c r="H2042" s="269"/>
      <c r="I2042" s="269"/>
      <c r="J2042" s="269"/>
      <c r="K2042" s="269"/>
      <c r="L2042" s="269"/>
      <c r="M2042" s="269"/>
      <c r="N2042" s="269"/>
      <c r="O2042" s="269"/>
      <c r="P2042" s="269"/>
      <c r="Q2042" s="269"/>
      <c r="R2042" s="269"/>
      <c r="S2042" s="269"/>
      <c r="T2042" s="269"/>
      <c r="U2042" s="269"/>
      <c r="V2042" s="269"/>
      <c r="W2042" s="269"/>
      <c r="X2042" s="269"/>
      <c r="Y2042" s="269"/>
      <c r="Z2042" s="269"/>
      <c r="AA2042" s="269"/>
      <c r="AB2042" s="269"/>
      <c r="AC2042" s="269"/>
      <c r="AD2042" s="269"/>
      <c r="AE2042" s="269"/>
      <c r="AF2042" s="269"/>
      <c r="AG2042" s="269"/>
      <c r="AH2042" s="269"/>
      <c r="AI2042" s="269"/>
      <c r="AJ2042" s="269"/>
      <c r="AK2042" s="269"/>
      <c r="AL2042" s="269"/>
      <c r="AM2042" s="269"/>
      <c r="AN2042" s="269"/>
      <c r="AO2042" s="269"/>
      <c r="AP2042" s="269"/>
      <c r="AQ2042" s="269"/>
      <c r="AR2042" s="269"/>
    </row>
    <row r="2043">
      <c r="A2043" s="410"/>
      <c r="B2043" s="410"/>
      <c r="C2043" s="410"/>
      <c r="D2043" s="410"/>
      <c r="E2043" s="410"/>
      <c r="F2043" s="410"/>
      <c r="H2043" s="269"/>
      <c r="I2043" s="269"/>
      <c r="J2043" s="269"/>
      <c r="K2043" s="269"/>
      <c r="L2043" s="269"/>
      <c r="M2043" s="269"/>
      <c r="N2043" s="269"/>
      <c r="O2043" s="269"/>
      <c r="P2043" s="269"/>
      <c r="Q2043" s="269"/>
      <c r="R2043" s="269"/>
      <c r="S2043" s="269"/>
      <c r="T2043" s="269"/>
      <c r="U2043" s="269"/>
      <c r="V2043" s="269"/>
      <c r="W2043" s="269"/>
      <c r="X2043" s="269"/>
      <c r="Y2043" s="269"/>
      <c r="Z2043" s="269"/>
      <c r="AA2043" s="269"/>
      <c r="AB2043" s="269"/>
      <c r="AC2043" s="269"/>
      <c r="AD2043" s="269"/>
      <c r="AE2043" s="269"/>
      <c r="AF2043" s="269"/>
      <c r="AG2043" s="269"/>
      <c r="AH2043" s="269"/>
      <c r="AI2043" s="269"/>
      <c r="AJ2043" s="269"/>
      <c r="AK2043" s="269"/>
      <c r="AL2043" s="269"/>
      <c r="AM2043" s="269"/>
      <c r="AN2043" s="269"/>
      <c r="AO2043" s="269"/>
      <c r="AP2043" s="269"/>
      <c r="AQ2043" s="269"/>
      <c r="AR2043" s="269"/>
    </row>
    <row r="2044">
      <c r="A2044" s="410"/>
      <c r="B2044" s="410"/>
      <c r="C2044" s="410"/>
      <c r="D2044" s="410"/>
      <c r="E2044" s="410"/>
      <c r="F2044" s="410"/>
      <c r="H2044" s="269"/>
      <c r="I2044" s="269"/>
      <c r="J2044" s="269"/>
      <c r="K2044" s="269"/>
      <c r="L2044" s="269"/>
      <c r="M2044" s="269"/>
      <c r="N2044" s="269"/>
      <c r="O2044" s="269"/>
      <c r="P2044" s="269"/>
      <c r="Q2044" s="269"/>
      <c r="R2044" s="269"/>
      <c r="S2044" s="269"/>
      <c r="T2044" s="269"/>
      <c r="U2044" s="269"/>
      <c r="V2044" s="269"/>
      <c r="W2044" s="269"/>
      <c r="X2044" s="269"/>
      <c r="Y2044" s="269"/>
      <c r="Z2044" s="269"/>
      <c r="AA2044" s="269"/>
      <c r="AB2044" s="269"/>
      <c r="AC2044" s="269"/>
      <c r="AD2044" s="269"/>
      <c r="AE2044" s="269"/>
      <c r="AF2044" s="269"/>
      <c r="AG2044" s="269"/>
      <c r="AH2044" s="269"/>
      <c r="AI2044" s="269"/>
      <c r="AJ2044" s="269"/>
      <c r="AK2044" s="269"/>
      <c r="AL2044" s="269"/>
      <c r="AM2044" s="269"/>
      <c r="AN2044" s="269"/>
      <c r="AO2044" s="269"/>
      <c r="AP2044" s="269"/>
      <c r="AQ2044" s="269"/>
      <c r="AR2044" s="269"/>
    </row>
    <row r="2045">
      <c r="A2045" s="410"/>
      <c r="B2045" s="410"/>
      <c r="C2045" s="410"/>
      <c r="D2045" s="410"/>
      <c r="E2045" s="410"/>
      <c r="F2045" s="410"/>
      <c r="H2045" s="269"/>
      <c r="I2045" s="269"/>
      <c r="J2045" s="269"/>
      <c r="K2045" s="269"/>
      <c r="L2045" s="269"/>
      <c r="M2045" s="269"/>
      <c r="N2045" s="269"/>
      <c r="O2045" s="269"/>
      <c r="P2045" s="269"/>
      <c r="Q2045" s="269"/>
      <c r="R2045" s="269"/>
      <c r="S2045" s="269"/>
      <c r="T2045" s="269"/>
      <c r="U2045" s="269"/>
      <c r="V2045" s="269"/>
      <c r="W2045" s="269"/>
      <c r="X2045" s="269"/>
      <c r="Y2045" s="269"/>
      <c r="Z2045" s="269"/>
      <c r="AA2045" s="269"/>
      <c r="AB2045" s="269"/>
      <c r="AC2045" s="269"/>
      <c r="AD2045" s="269"/>
      <c r="AE2045" s="269"/>
      <c r="AF2045" s="269"/>
      <c r="AG2045" s="269"/>
      <c r="AH2045" s="269"/>
      <c r="AI2045" s="269"/>
      <c r="AJ2045" s="269"/>
      <c r="AK2045" s="269"/>
      <c r="AL2045" s="269"/>
      <c r="AM2045" s="269"/>
      <c r="AN2045" s="269"/>
      <c r="AO2045" s="269"/>
      <c r="AP2045" s="269"/>
      <c r="AQ2045" s="269"/>
      <c r="AR2045" s="269"/>
    </row>
    <row r="2046">
      <c r="A2046" s="410"/>
      <c r="B2046" s="410"/>
      <c r="C2046" s="410"/>
      <c r="D2046" s="410"/>
      <c r="E2046" s="410"/>
      <c r="F2046" s="410"/>
      <c r="H2046" s="269"/>
      <c r="I2046" s="269"/>
      <c r="J2046" s="269"/>
      <c r="K2046" s="269"/>
      <c r="L2046" s="269"/>
      <c r="M2046" s="269"/>
      <c r="N2046" s="269"/>
      <c r="O2046" s="269"/>
      <c r="P2046" s="269"/>
      <c r="Q2046" s="269"/>
      <c r="R2046" s="269"/>
      <c r="S2046" s="269"/>
      <c r="T2046" s="269"/>
      <c r="U2046" s="269"/>
      <c r="V2046" s="269"/>
      <c r="W2046" s="269"/>
      <c r="X2046" s="269"/>
      <c r="Y2046" s="269"/>
      <c r="Z2046" s="269"/>
      <c r="AA2046" s="269"/>
      <c r="AB2046" s="269"/>
      <c r="AC2046" s="269"/>
      <c r="AD2046" s="269"/>
      <c r="AE2046" s="269"/>
      <c r="AF2046" s="269"/>
      <c r="AG2046" s="269"/>
      <c r="AH2046" s="269"/>
      <c r="AI2046" s="269"/>
      <c r="AJ2046" s="269"/>
      <c r="AK2046" s="269"/>
      <c r="AL2046" s="269"/>
      <c r="AM2046" s="269"/>
      <c r="AN2046" s="269"/>
      <c r="AO2046" s="269"/>
      <c r="AP2046" s="269"/>
      <c r="AQ2046" s="269"/>
      <c r="AR2046" s="269"/>
    </row>
    <row r="2047">
      <c r="A2047" s="410"/>
      <c r="B2047" s="410"/>
      <c r="C2047" s="410"/>
      <c r="D2047" s="410"/>
      <c r="E2047" s="410"/>
      <c r="F2047" s="410"/>
      <c r="H2047" s="269"/>
      <c r="I2047" s="269"/>
      <c r="J2047" s="269"/>
      <c r="K2047" s="269"/>
      <c r="L2047" s="269"/>
      <c r="M2047" s="269"/>
      <c r="N2047" s="269"/>
      <c r="O2047" s="269"/>
      <c r="P2047" s="269"/>
      <c r="Q2047" s="269"/>
      <c r="R2047" s="269"/>
      <c r="S2047" s="269"/>
      <c r="T2047" s="269"/>
      <c r="U2047" s="269"/>
      <c r="V2047" s="269"/>
      <c r="W2047" s="269"/>
      <c r="X2047" s="269"/>
      <c r="Y2047" s="269"/>
      <c r="Z2047" s="269"/>
      <c r="AA2047" s="269"/>
      <c r="AB2047" s="269"/>
      <c r="AC2047" s="269"/>
      <c r="AD2047" s="269"/>
      <c r="AE2047" s="269"/>
      <c r="AF2047" s="269"/>
      <c r="AG2047" s="269"/>
      <c r="AH2047" s="269"/>
      <c r="AI2047" s="269"/>
      <c r="AJ2047" s="269"/>
      <c r="AK2047" s="269"/>
      <c r="AL2047" s="269"/>
      <c r="AM2047" s="269"/>
      <c r="AN2047" s="269"/>
      <c r="AO2047" s="269"/>
      <c r="AP2047" s="269"/>
      <c r="AQ2047" s="269"/>
      <c r="AR2047" s="269"/>
    </row>
    <row r="2048">
      <c r="A2048" s="410"/>
      <c r="B2048" s="410"/>
      <c r="C2048" s="410"/>
      <c r="D2048" s="410"/>
      <c r="E2048" s="410"/>
      <c r="F2048" s="410"/>
      <c r="H2048" s="269"/>
      <c r="I2048" s="269"/>
      <c r="J2048" s="269"/>
      <c r="K2048" s="269"/>
      <c r="L2048" s="269"/>
      <c r="M2048" s="269"/>
      <c r="N2048" s="269"/>
      <c r="O2048" s="269"/>
      <c r="P2048" s="269"/>
      <c r="Q2048" s="269"/>
      <c r="R2048" s="269"/>
      <c r="S2048" s="269"/>
      <c r="T2048" s="269"/>
      <c r="U2048" s="269"/>
      <c r="V2048" s="269"/>
      <c r="W2048" s="269"/>
      <c r="X2048" s="269"/>
      <c r="Y2048" s="269"/>
      <c r="Z2048" s="269"/>
      <c r="AA2048" s="269"/>
      <c r="AB2048" s="269"/>
      <c r="AC2048" s="269"/>
      <c r="AD2048" s="269"/>
      <c r="AE2048" s="269"/>
      <c r="AF2048" s="269"/>
      <c r="AG2048" s="269"/>
      <c r="AH2048" s="269"/>
      <c r="AI2048" s="269"/>
      <c r="AJ2048" s="269"/>
      <c r="AK2048" s="269"/>
      <c r="AL2048" s="269"/>
      <c r="AM2048" s="269"/>
      <c r="AN2048" s="269"/>
      <c r="AO2048" s="269"/>
      <c r="AP2048" s="269"/>
      <c r="AQ2048" s="269"/>
      <c r="AR2048" s="269"/>
    </row>
    <row r="2049">
      <c r="A2049" s="410"/>
      <c r="B2049" s="410"/>
      <c r="C2049" s="410"/>
      <c r="D2049" s="410"/>
      <c r="E2049" s="410"/>
      <c r="F2049" s="410"/>
      <c r="H2049" s="269"/>
      <c r="I2049" s="269"/>
      <c r="J2049" s="269"/>
      <c r="K2049" s="269"/>
      <c r="L2049" s="269"/>
      <c r="M2049" s="269"/>
      <c r="N2049" s="269"/>
      <c r="O2049" s="269"/>
      <c r="P2049" s="269"/>
      <c r="Q2049" s="269"/>
      <c r="R2049" s="269"/>
      <c r="S2049" s="269"/>
      <c r="T2049" s="269"/>
      <c r="U2049" s="269"/>
      <c r="V2049" s="269"/>
      <c r="W2049" s="269"/>
      <c r="X2049" s="269"/>
      <c r="Y2049" s="269"/>
      <c r="Z2049" s="269"/>
      <c r="AA2049" s="269"/>
      <c r="AB2049" s="269"/>
      <c r="AC2049" s="269"/>
      <c r="AD2049" s="269"/>
      <c r="AE2049" s="269"/>
      <c r="AF2049" s="269"/>
      <c r="AG2049" s="269"/>
      <c r="AH2049" s="269"/>
      <c r="AI2049" s="269"/>
      <c r="AJ2049" s="269"/>
      <c r="AK2049" s="269"/>
      <c r="AL2049" s="269"/>
      <c r="AM2049" s="269"/>
      <c r="AN2049" s="269"/>
      <c r="AO2049" s="269"/>
      <c r="AP2049" s="269"/>
      <c r="AQ2049" s="269"/>
      <c r="AR2049" s="269"/>
    </row>
    <row r="2050">
      <c r="A2050" s="410"/>
      <c r="B2050" s="410"/>
      <c r="C2050" s="410"/>
      <c r="D2050" s="410"/>
      <c r="E2050" s="410"/>
      <c r="F2050" s="410"/>
      <c r="H2050" s="269"/>
      <c r="I2050" s="269"/>
      <c r="J2050" s="269"/>
      <c r="K2050" s="269"/>
      <c r="L2050" s="269"/>
      <c r="M2050" s="269"/>
      <c r="N2050" s="269"/>
      <c r="O2050" s="269"/>
      <c r="P2050" s="269"/>
      <c r="Q2050" s="269"/>
      <c r="R2050" s="269"/>
      <c r="S2050" s="269"/>
      <c r="T2050" s="269"/>
      <c r="U2050" s="269"/>
      <c r="V2050" s="269"/>
      <c r="W2050" s="269"/>
      <c r="X2050" s="269"/>
      <c r="Y2050" s="269"/>
      <c r="Z2050" s="269"/>
      <c r="AA2050" s="269"/>
      <c r="AB2050" s="269"/>
      <c r="AC2050" s="269"/>
      <c r="AD2050" s="269"/>
      <c r="AE2050" s="269"/>
      <c r="AF2050" s="269"/>
      <c r="AG2050" s="269"/>
      <c r="AH2050" s="269"/>
      <c r="AI2050" s="269"/>
      <c r="AJ2050" s="269"/>
      <c r="AK2050" s="269"/>
      <c r="AL2050" s="269"/>
      <c r="AM2050" s="269"/>
      <c r="AN2050" s="269"/>
      <c r="AO2050" s="269"/>
      <c r="AP2050" s="269"/>
      <c r="AQ2050" s="269"/>
      <c r="AR2050" s="269"/>
    </row>
    <row r="2051">
      <c r="A2051" s="410"/>
      <c r="B2051" s="410"/>
      <c r="C2051" s="410"/>
      <c r="D2051" s="410"/>
      <c r="E2051" s="410"/>
      <c r="F2051" s="410"/>
      <c r="H2051" s="269"/>
      <c r="I2051" s="269"/>
      <c r="J2051" s="269"/>
      <c r="K2051" s="269"/>
      <c r="L2051" s="269"/>
      <c r="M2051" s="269"/>
      <c r="N2051" s="269"/>
      <c r="O2051" s="269"/>
      <c r="P2051" s="269"/>
      <c r="Q2051" s="269"/>
      <c r="R2051" s="269"/>
      <c r="S2051" s="269"/>
      <c r="T2051" s="269"/>
      <c r="U2051" s="269"/>
      <c r="V2051" s="269"/>
      <c r="W2051" s="269"/>
      <c r="X2051" s="269"/>
      <c r="Y2051" s="269"/>
      <c r="Z2051" s="269"/>
      <c r="AA2051" s="269"/>
      <c r="AB2051" s="269"/>
      <c r="AC2051" s="269"/>
      <c r="AD2051" s="269"/>
      <c r="AE2051" s="269"/>
      <c r="AF2051" s="269"/>
      <c r="AG2051" s="269"/>
      <c r="AH2051" s="269"/>
      <c r="AI2051" s="269"/>
      <c r="AJ2051" s="269"/>
      <c r="AK2051" s="269"/>
      <c r="AL2051" s="269"/>
      <c r="AM2051" s="269"/>
      <c r="AN2051" s="269"/>
      <c r="AO2051" s="269"/>
      <c r="AP2051" s="269"/>
      <c r="AQ2051" s="269"/>
      <c r="AR2051" s="269"/>
    </row>
    <row r="2052">
      <c r="A2052" s="410"/>
      <c r="B2052" s="410"/>
      <c r="C2052" s="410"/>
      <c r="D2052" s="410"/>
      <c r="E2052" s="410"/>
      <c r="F2052" s="410"/>
      <c r="H2052" s="269"/>
      <c r="I2052" s="269"/>
      <c r="J2052" s="269"/>
      <c r="K2052" s="269"/>
      <c r="L2052" s="269"/>
      <c r="M2052" s="269"/>
      <c r="N2052" s="269"/>
      <c r="O2052" s="269"/>
      <c r="P2052" s="269"/>
      <c r="Q2052" s="269"/>
      <c r="R2052" s="269"/>
      <c r="S2052" s="269"/>
      <c r="T2052" s="269"/>
      <c r="U2052" s="269"/>
      <c r="V2052" s="269"/>
      <c r="W2052" s="269"/>
      <c r="X2052" s="269"/>
      <c r="Y2052" s="269"/>
      <c r="Z2052" s="269"/>
      <c r="AA2052" s="269"/>
      <c r="AB2052" s="269"/>
      <c r="AC2052" s="269"/>
      <c r="AD2052" s="269"/>
      <c r="AE2052" s="269"/>
      <c r="AF2052" s="269"/>
      <c r="AG2052" s="269"/>
      <c r="AH2052" s="269"/>
      <c r="AI2052" s="269"/>
      <c r="AJ2052" s="269"/>
      <c r="AK2052" s="269"/>
      <c r="AL2052" s="269"/>
      <c r="AM2052" s="269"/>
      <c r="AN2052" s="269"/>
      <c r="AO2052" s="269"/>
      <c r="AP2052" s="269"/>
      <c r="AQ2052" s="269"/>
      <c r="AR2052" s="269"/>
    </row>
    <row r="2053">
      <c r="A2053" s="410"/>
      <c r="B2053" s="410"/>
      <c r="C2053" s="410"/>
      <c r="D2053" s="410"/>
      <c r="E2053" s="410"/>
      <c r="F2053" s="410"/>
      <c r="H2053" s="269"/>
      <c r="I2053" s="269"/>
      <c r="J2053" s="269"/>
      <c r="K2053" s="269"/>
      <c r="L2053" s="269"/>
      <c r="M2053" s="269"/>
      <c r="N2053" s="269"/>
      <c r="O2053" s="269"/>
      <c r="P2053" s="269"/>
      <c r="Q2053" s="269"/>
      <c r="R2053" s="269"/>
      <c r="S2053" s="269"/>
      <c r="T2053" s="269"/>
      <c r="U2053" s="269"/>
      <c r="V2053" s="269"/>
      <c r="W2053" s="269"/>
      <c r="X2053" s="269"/>
      <c r="Y2053" s="269"/>
      <c r="Z2053" s="269"/>
      <c r="AA2053" s="269"/>
      <c r="AB2053" s="269"/>
      <c r="AC2053" s="269"/>
      <c r="AD2053" s="269"/>
      <c r="AE2053" s="269"/>
      <c r="AF2053" s="269"/>
      <c r="AG2053" s="269"/>
      <c r="AH2053" s="269"/>
      <c r="AI2053" s="269"/>
      <c r="AJ2053" s="269"/>
      <c r="AK2053" s="269"/>
      <c r="AL2053" s="269"/>
      <c r="AM2053" s="269"/>
      <c r="AN2053" s="269"/>
      <c r="AO2053" s="269"/>
      <c r="AP2053" s="269"/>
      <c r="AQ2053" s="269"/>
      <c r="AR2053" s="269"/>
    </row>
    <row r="2054">
      <c r="A2054" s="410"/>
      <c r="B2054" s="410"/>
      <c r="C2054" s="410"/>
      <c r="D2054" s="410"/>
      <c r="E2054" s="410"/>
      <c r="F2054" s="410"/>
      <c r="H2054" s="269"/>
      <c r="I2054" s="269"/>
      <c r="J2054" s="269"/>
      <c r="K2054" s="269"/>
      <c r="L2054" s="269"/>
      <c r="M2054" s="269"/>
      <c r="N2054" s="269"/>
      <c r="O2054" s="269"/>
      <c r="P2054" s="269"/>
      <c r="Q2054" s="269"/>
      <c r="R2054" s="269"/>
      <c r="S2054" s="269"/>
      <c r="T2054" s="269"/>
      <c r="U2054" s="269"/>
      <c r="V2054" s="269"/>
      <c r="W2054" s="269"/>
      <c r="X2054" s="269"/>
      <c r="Y2054" s="269"/>
      <c r="Z2054" s="269"/>
      <c r="AA2054" s="269"/>
      <c r="AB2054" s="269"/>
      <c r="AC2054" s="269"/>
      <c r="AD2054" s="269"/>
      <c r="AE2054" s="269"/>
      <c r="AF2054" s="269"/>
      <c r="AG2054" s="269"/>
      <c r="AH2054" s="269"/>
      <c r="AI2054" s="269"/>
      <c r="AJ2054" s="269"/>
      <c r="AK2054" s="269"/>
      <c r="AL2054" s="269"/>
      <c r="AM2054" s="269"/>
      <c r="AN2054" s="269"/>
      <c r="AO2054" s="269"/>
      <c r="AP2054" s="269"/>
      <c r="AQ2054" s="269"/>
      <c r="AR2054" s="269"/>
    </row>
    <row r="2055">
      <c r="A2055" s="410"/>
      <c r="B2055" s="410"/>
      <c r="C2055" s="410"/>
      <c r="D2055" s="410"/>
      <c r="E2055" s="410"/>
      <c r="F2055" s="410"/>
      <c r="H2055" s="269"/>
      <c r="I2055" s="269"/>
      <c r="J2055" s="269"/>
      <c r="K2055" s="269"/>
      <c r="L2055" s="269"/>
      <c r="M2055" s="269"/>
      <c r="N2055" s="269"/>
      <c r="O2055" s="269"/>
      <c r="P2055" s="269"/>
      <c r="Q2055" s="269"/>
      <c r="R2055" s="269"/>
      <c r="S2055" s="269"/>
      <c r="T2055" s="269"/>
      <c r="U2055" s="269"/>
      <c r="V2055" s="269"/>
      <c r="W2055" s="269"/>
      <c r="X2055" s="269"/>
      <c r="Y2055" s="269"/>
      <c r="Z2055" s="269"/>
      <c r="AA2055" s="269"/>
      <c r="AB2055" s="269"/>
      <c r="AC2055" s="269"/>
      <c r="AD2055" s="269"/>
      <c r="AE2055" s="269"/>
      <c r="AF2055" s="269"/>
      <c r="AG2055" s="269"/>
      <c r="AH2055" s="269"/>
      <c r="AI2055" s="269"/>
      <c r="AJ2055" s="269"/>
      <c r="AK2055" s="269"/>
      <c r="AL2055" s="269"/>
      <c r="AM2055" s="269"/>
      <c r="AN2055" s="269"/>
      <c r="AO2055" s="269"/>
      <c r="AP2055" s="269"/>
      <c r="AQ2055" s="269"/>
      <c r="AR2055" s="269"/>
    </row>
    <row r="2056">
      <c r="A2056" s="410"/>
      <c r="B2056" s="410"/>
      <c r="C2056" s="410"/>
      <c r="D2056" s="410"/>
      <c r="E2056" s="410"/>
      <c r="F2056" s="410"/>
      <c r="H2056" s="269"/>
      <c r="I2056" s="269"/>
      <c r="J2056" s="269"/>
      <c r="K2056" s="269"/>
      <c r="L2056" s="269"/>
      <c r="M2056" s="269"/>
      <c r="N2056" s="269"/>
      <c r="O2056" s="269"/>
      <c r="P2056" s="269"/>
      <c r="Q2056" s="269"/>
      <c r="R2056" s="269"/>
      <c r="S2056" s="269"/>
      <c r="T2056" s="269"/>
      <c r="U2056" s="269"/>
      <c r="V2056" s="269"/>
      <c r="W2056" s="269"/>
      <c r="X2056" s="269"/>
      <c r="Y2056" s="269"/>
      <c r="Z2056" s="269"/>
      <c r="AA2056" s="269"/>
      <c r="AB2056" s="269"/>
      <c r="AC2056" s="269"/>
      <c r="AD2056" s="269"/>
      <c r="AE2056" s="269"/>
      <c r="AF2056" s="269"/>
      <c r="AG2056" s="269"/>
      <c r="AH2056" s="269"/>
      <c r="AI2056" s="269"/>
      <c r="AJ2056" s="269"/>
      <c r="AK2056" s="269"/>
      <c r="AL2056" s="269"/>
      <c r="AM2056" s="269"/>
      <c r="AN2056" s="269"/>
      <c r="AO2056" s="269"/>
      <c r="AP2056" s="269"/>
      <c r="AQ2056" s="269"/>
      <c r="AR2056" s="269"/>
    </row>
    <row r="2057">
      <c r="A2057" s="410"/>
      <c r="B2057" s="410"/>
      <c r="C2057" s="410"/>
      <c r="D2057" s="410"/>
      <c r="E2057" s="410"/>
      <c r="F2057" s="410"/>
      <c r="H2057" s="269"/>
      <c r="I2057" s="269"/>
      <c r="J2057" s="269"/>
      <c r="K2057" s="269"/>
      <c r="L2057" s="269"/>
      <c r="M2057" s="269"/>
      <c r="N2057" s="269"/>
      <c r="O2057" s="269"/>
      <c r="P2057" s="269"/>
      <c r="Q2057" s="269"/>
      <c r="R2057" s="269"/>
      <c r="S2057" s="269"/>
      <c r="T2057" s="269"/>
      <c r="U2057" s="269"/>
      <c r="V2057" s="269"/>
      <c r="W2057" s="269"/>
      <c r="X2057" s="269"/>
      <c r="Y2057" s="269"/>
      <c r="Z2057" s="269"/>
      <c r="AA2057" s="269"/>
      <c r="AB2057" s="269"/>
      <c r="AC2057" s="269"/>
      <c r="AD2057" s="269"/>
      <c r="AE2057" s="269"/>
      <c r="AF2057" s="269"/>
      <c r="AG2057" s="269"/>
      <c r="AH2057" s="269"/>
      <c r="AI2057" s="269"/>
      <c r="AJ2057" s="269"/>
      <c r="AK2057" s="269"/>
      <c r="AL2057" s="269"/>
      <c r="AM2057" s="269"/>
      <c r="AN2057" s="269"/>
      <c r="AO2057" s="269"/>
      <c r="AP2057" s="269"/>
      <c r="AQ2057" s="269"/>
      <c r="AR2057" s="269"/>
    </row>
    <row r="2058">
      <c r="A2058" s="410"/>
      <c r="B2058" s="410"/>
      <c r="C2058" s="410"/>
      <c r="D2058" s="410"/>
      <c r="E2058" s="410"/>
      <c r="F2058" s="410"/>
      <c r="H2058" s="269"/>
      <c r="I2058" s="269"/>
      <c r="J2058" s="269"/>
      <c r="K2058" s="269"/>
      <c r="L2058" s="269"/>
      <c r="M2058" s="269"/>
      <c r="N2058" s="269"/>
      <c r="O2058" s="269"/>
      <c r="P2058" s="269"/>
      <c r="Q2058" s="269"/>
      <c r="R2058" s="269"/>
      <c r="S2058" s="269"/>
      <c r="T2058" s="269"/>
      <c r="U2058" s="269"/>
      <c r="V2058" s="269"/>
      <c r="W2058" s="269"/>
      <c r="X2058" s="269"/>
      <c r="Y2058" s="269"/>
      <c r="Z2058" s="269"/>
      <c r="AA2058" s="269"/>
      <c r="AB2058" s="269"/>
      <c r="AC2058" s="269"/>
      <c r="AD2058" s="269"/>
      <c r="AE2058" s="269"/>
      <c r="AF2058" s="269"/>
      <c r="AG2058" s="269"/>
      <c r="AH2058" s="269"/>
      <c r="AI2058" s="269"/>
      <c r="AJ2058" s="269"/>
      <c r="AK2058" s="269"/>
      <c r="AL2058" s="269"/>
      <c r="AM2058" s="269"/>
      <c r="AN2058" s="269"/>
      <c r="AO2058" s="269"/>
      <c r="AP2058" s="269"/>
      <c r="AQ2058" s="269"/>
      <c r="AR2058" s="269"/>
    </row>
    <row r="2059">
      <c r="A2059" s="410"/>
      <c r="B2059" s="410"/>
      <c r="C2059" s="410"/>
      <c r="D2059" s="410"/>
      <c r="E2059" s="410"/>
      <c r="F2059" s="410"/>
      <c r="H2059" s="269"/>
      <c r="I2059" s="269"/>
      <c r="J2059" s="269"/>
      <c r="K2059" s="269"/>
      <c r="L2059" s="269"/>
      <c r="M2059" s="269"/>
      <c r="N2059" s="269"/>
      <c r="O2059" s="269"/>
      <c r="P2059" s="269"/>
      <c r="Q2059" s="269"/>
      <c r="R2059" s="269"/>
      <c r="S2059" s="269"/>
      <c r="T2059" s="269"/>
      <c r="U2059" s="269"/>
      <c r="V2059" s="269"/>
      <c r="W2059" s="269"/>
      <c r="X2059" s="269"/>
      <c r="Y2059" s="269"/>
      <c r="Z2059" s="269"/>
      <c r="AA2059" s="269"/>
      <c r="AB2059" s="269"/>
      <c r="AC2059" s="269"/>
      <c r="AD2059" s="269"/>
      <c r="AE2059" s="269"/>
      <c r="AF2059" s="269"/>
      <c r="AG2059" s="269"/>
      <c r="AH2059" s="269"/>
      <c r="AI2059" s="269"/>
      <c r="AJ2059" s="269"/>
      <c r="AK2059" s="269"/>
      <c r="AL2059" s="269"/>
      <c r="AM2059" s="269"/>
      <c r="AN2059" s="269"/>
      <c r="AO2059" s="269"/>
      <c r="AP2059" s="269"/>
      <c r="AQ2059" s="269"/>
      <c r="AR2059" s="269"/>
    </row>
    <row r="2060">
      <c r="A2060" s="410"/>
      <c r="B2060" s="410"/>
      <c r="C2060" s="410"/>
      <c r="D2060" s="410"/>
      <c r="E2060" s="410"/>
      <c r="F2060" s="410"/>
      <c r="H2060" s="269"/>
      <c r="I2060" s="269"/>
      <c r="J2060" s="269"/>
      <c r="K2060" s="269"/>
      <c r="L2060" s="269"/>
      <c r="M2060" s="269"/>
      <c r="N2060" s="269"/>
      <c r="O2060" s="269"/>
      <c r="P2060" s="269"/>
      <c r="Q2060" s="269"/>
      <c r="R2060" s="269"/>
      <c r="S2060" s="269"/>
      <c r="T2060" s="269"/>
      <c r="U2060" s="269"/>
      <c r="V2060" s="269"/>
      <c r="W2060" s="269"/>
      <c r="X2060" s="269"/>
      <c r="Y2060" s="269"/>
      <c r="Z2060" s="269"/>
      <c r="AA2060" s="269"/>
      <c r="AB2060" s="269"/>
      <c r="AC2060" s="269"/>
      <c r="AD2060" s="269"/>
      <c r="AE2060" s="269"/>
      <c r="AF2060" s="269"/>
      <c r="AG2060" s="269"/>
      <c r="AH2060" s="269"/>
      <c r="AI2060" s="269"/>
      <c r="AJ2060" s="269"/>
      <c r="AK2060" s="269"/>
      <c r="AL2060" s="269"/>
      <c r="AM2060" s="269"/>
      <c r="AN2060" s="269"/>
      <c r="AO2060" s="269"/>
      <c r="AP2060" s="269"/>
      <c r="AQ2060" s="269"/>
      <c r="AR2060" s="269"/>
    </row>
    <row r="2061">
      <c r="A2061" s="410"/>
      <c r="B2061" s="410"/>
      <c r="C2061" s="410"/>
      <c r="D2061" s="410"/>
      <c r="E2061" s="410"/>
      <c r="F2061" s="410"/>
      <c r="H2061" s="269"/>
      <c r="I2061" s="269"/>
      <c r="J2061" s="269"/>
      <c r="K2061" s="269"/>
      <c r="L2061" s="269"/>
      <c r="M2061" s="269"/>
      <c r="N2061" s="269"/>
      <c r="O2061" s="269"/>
      <c r="P2061" s="269"/>
      <c r="Q2061" s="269"/>
      <c r="R2061" s="269"/>
      <c r="S2061" s="269"/>
      <c r="T2061" s="269"/>
      <c r="U2061" s="269"/>
      <c r="V2061" s="269"/>
      <c r="W2061" s="269"/>
      <c r="X2061" s="269"/>
      <c r="Y2061" s="269"/>
      <c r="Z2061" s="269"/>
      <c r="AA2061" s="269"/>
      <c r="AB2061" s="269"/>
      <c r="AC2061" s="269"/>
      <c r="AD2061" s="269"/>
      <c r="AE2061" s="269"/>
      <c r="AF2061" s="269"/>
      <c r="AG2061" s="269"/>
      <c r="AH2061" s="269"/>
      <c r="AI2061" s="269"/>
      <c r="AJ2061" s="269"/>
      <c r="AK2061" s="269"/>
      <c r="AL2061" s="269"/>
      <c r="AM2061" s="269"/>
      <c r="AN2061" s="269"/>
      <c r="AO2061" s="269"/>
      <c r="AP2061" s="269"/>
      <c r="AQ2061" s="269"/>
      <c r="AR2061" s="269"/>
    </row>
    <row r="2062">
      <c r="A2062" s="410"/>
      <c r="B2062" s="410"/>
      <c r="C2062" s="410"/>
      <c r="D2062" s="410"/>
      <c r="E2062" s="410"/>
      <c r="F2062" s="410"/>
      <c r="H2062" s="269"/>
      <c r="I2062" s="269"/>
      <c r="J2062" s="269"/>
      <c r="K2062" s="269"/>
      <c r="L2062" s="269"/>
      <c r="M2062" s="269"/>
      <c r="N2062" s="269"/>
      <c r="O2062" s="269"/>
      <c r="P2062" s="269"/>
      <c r="Q2062" s="269"/>
      <c r="R2062" s="269"/>
      <c r="S2062" s="269"/>
      <c r="T2062" s="269"/>
      <c r="U2062" s="269"/>
      <c r="V2062" s="269"/>
      <c r="W2062" s="269"/>
      <c r="X2062" s="269"/>
      <c r="Y2062" s="269"/>
      <c r="Z2062" s="269"/>
      <c r="AA2062" s="269"/>
      <c r="AB2062" s="269"/>
      <c r="AC2062" s="269"/>
      <c r="AD2062" s="269"/>
      <c r="AE2062" s="269"/>
      <c r="AF2062" s="269"/>
      <c r="AG2062" s="269"/>
      <c r="AH2062" s="269"/>
      <c r="AI2062" s="269"/>
      <c r="AJ2062" s="269"/>
      <c r="AK2062" s="269"/>
      <c r="AL2062" s="269"/>
      <c r="AM2062" s="269"/>
      <c r="AN2062" s="269"/>
      <c r="AO2062" s="269"/>
      <c r="AP2062" s="269"/>
      <c r="AQ2062" s="269"/>
      <c r="AR2062" s="269"/>
    </row>
    <row r="2063">
      <c r="A2063" s="410"/>
      <c r="B2063" s="410"/>
      <c r="C2063" s="410"/>
      <c r="D2063" s="410"/>
      <c r="E2063" s="410"/>
      <c r="F2063" s="410"/>
      <c r="H2063" s="269"/>
      <c r="I2063" s="269"/>
      <c r="J2063" s="269"/>
      <c r="K2063" s="269"/>
      <c r="L2063" s="269"/>
      <c r="M2063" s="269"/>
      <c r="N2063" s="269"/>
      <c r="O2063" s="269"/>
      <c r="P2063" s="269"/>
      <c r="Q2063" s="269"/>
      <c r="R2063" s="269"/>
      <c r="S2063" s="269"/>
      <c r="T2063" s="269"/>
      <c r="U2063" s="269"/>
      <c r="V2063" s="269"/>
      <c r="W2063" s="269"/>
      <c r="X2063" s="269"/>
      <c r="Y2063" s="269"/>
      <c r="Z2063" s="269"/>
      <c r="AA2063" s="269"/>
      <c r="AB2063" s="269"/>
      <c r="AC2063" s="269"/>
      <c r="AD2063" s="269"/>
      <c r="AE2063" s="269"/>
      <c r="AF2063" s="269"/>
      <c r="AG2063" s="269"/>
      <c r="AH2063" s="269"/>
      <c r="AI2063" s="269"/>
      <c r="AJ2063" s="269"/>
      <c r="AK2063" s="269"/>
      <c r="AL2063" s="269"/>
      <c r="AM2063" s="269"/>
      <c r="AN2063" s="269"/>
      <c r="AO2063" s="269"/>
      <c r="AP2063" s="269"/>
      <c r="AQ2063" s="269"/>
      <c r="AR2063" s="269"/>
    </row>
    <row r="2064">
      <c r="A2064" s="410"/>
      <c r="B2064" s="410"/>
      <c r="C2064" s="410"/>
      <c r="D2064" s="410"/>
      <c r="E2064" s="410"/>
      <c r="F2064" s="410"/>
      <c r="H2064" s="269"/>
      <c r="I2064" s="269"/>
      <c r="J2064" s="269"/>
      <c r="K2064" s="269"/>
      <c r="L2064" s="269"/>
      <c r="M2064" s="269"/>
      <c r="N2064" s="269"/>
      <c r="O2064" s="269"/>
      <c r="P2064" s="269"/>
      <c r="Q2064" s="269"/>
      <c r="R2064" s="269"/>
      <c r="S2064" s="269"/>
      <c r="T2064" s="269"/>
      <c r="U2064" s="269"/>
      <c r="V2064" s="269"/>
      <c r="W2064" s="269"/>
      <c r="X2064" s="269"/>
      <c r="Y2064" s="269"/>
      <c r="Z2064" s="269"/>
      <c r="AA2064" s="269"/>
      <c r="AB2064" s="269"/>
      <c r="AC2064" s="269"/>
      <c r="AD2064" s="269"/>
      <c r="AE2064" s="269"/>
      <c r="AF2064" s="269"/>
      <c r="AG2064" s="269"/>
      <c r="AH2064" s="269"/>
      <c r="AI2064" s="269"/>
      <c r="AJ2064" s="269"/>
      <c r="AK2064" s="269"/>
      <c r="AL2064" s="269"/>
      <c r="AM2064" s="269"/>
      <c r="AN2064" s="269"/>
      <c r="AO2064" s="269"/>
      <c r="AP2064" s="269"/>
      <c r="AQ2064" s="269"/>
      <c r="AR2064" s="269"/>
    </row>
    <row r="2065">
      <c r="A2065" s="410"/>
      <c r="B2065" s="410"/>
      <c r="C2065" s="410"/>
      <c r="D2065" s="410"/>
      <c r="E2065" s="410"/>
      <c r="F2065" s="410"/>
      <c r="H2065" s="269"/>
      <c r="I2065" s="269"/>
      <c r="J2065" s="269"/>
      <c r="K2065" s="269"/>
      <c r="L2065" s="269"/>
      <c r="M2065" s="269"/>
      <c r="N2065" s="269"/>
      <c r="O2065" s="269"/>
      <c r="P2065" s="269"/>
      <c r="Q2065" s="269"/>
      <c r="R2065" s="269"/>
      <c r="S2065" s="269"/>
      <c r="T2065" s="269"/>
      <c r="U2065" s="269"/>
      <c r="V2065" s="269"/>
      <c r="W2065" s="269"/>
      <c r="X2065" s="269"/>
      <c r="Y2065" s="269"/>
      <c r="Z2065" s="269"/>
      <c r="AA2065" s="269"/>
      <c r="AB2065" s="269"/>
      <c r="AC2065" s="269"/>
      <c r="AD2065" s="269"/>
      <c r="AE2065" s="269"/>
      <c r="AF2065" s="269"/>
      <c r="AG2065" s="269"/>
      <c r="AH2065" s="269"/>
      <c r="AI2065" s="269"/>
      <c r="AJ2065" s="269"/>
      <c r="AK2065" s="269"/>
      <c r="AL2065" s="269"/>
      <c r="AM2065" s="269"/>
      <c r="AN2065" s="269"/>
      <c r="AO2065" s="269"/>
      <c r="AP2065" s="269"/>
      <c r="AQ2065" s="269"/>
      <c r="AR2065" s="269"/>
    </row>
    <row r="2066">
      <c r="A2066" s="410"/>
      <c r="B2066" s="410"/>
      <c r="C2066" s="410"/>
      <c r="D2066" s="410"/>
      <c r="E2066" s="410"/>
      <c r="F2066" s="410"/>
      <c r="H2066" s="269"/>
      <c r="I2066" s="269"/>
      <c r="J2066" s="269"/>
      <c r="K2066" s="269"/>
      <c r="L2066" s="269"/>
      <c r="M2066" s="269"/>
      <c r="N2066" s="269"/>
      <c r="O2066" s="269"/>
      <c r="P2066" s="269"/>
      <c r="Q2066" s="269"/>
      <c r="R2066" s="269"/>
      <c r="S2066" s="269"/>
      <c r="T2066" s="269"/>
      <c r="U2066" s="269"/>
      <c r="V2066" s="269"/>
      <c r="W2066" s="269"/>
      <c r="X2066" s="269"/>
      <c r="Y2066" s="269"/>
      <c r="Z2066" s="269"/>
      <c r="AA2066" s="269"/>
      <c r="AB2066" s="269"/>
      <c r="AC2066" s="269"/>
      <c r="AD2066" s="269"/>
      <c r="AE2066" s="269"/>
      <c r="AF2066" s="269"/>
      <c r="AG2066" s="269"/>
      <c r="AH2066" s="269"/>
      <c r="AI2066" s="269"/>
      <c r="AJ2066" s="269"/>
      <c r="AK2066" s="269"/>
      <c r="AL2066" s="269"/>
      <c r="AM2066" s="269"/>
      <c r="AN2066" s="269"/>
      <c r="AO2066" s="269"/>
      <c r="AP2066" s="269"/>
      <c r="AQ2066" s="269"/>
      <c r="AR2066" s="269"/>
    </row>
    <row r="2067">
      <c r="A2067" s="410"/>
      <c r="B2067" s="410"/>
      <c r="C2067" s="410"/>
      <c r="D2067" s="410"/>
      <c r="E2067" s="410"/>
      <c r="F2067" s="410"/>
      <c r="H2067" s="269"/>
      <c r="I2067" s="269"/>
      <c r="J2067" s="269"/>
      <c r="K2067" s="269"/>
      <c r="L2067" s="269"/>
      <c r="M2067" s="269"/>
      <c r="N2067" s="269"/>
      <c r="O2067" s="269"/>
      <c r="P2067" s="269"/>
      <c r="Q2067" s="269"/>
      <c r="R2067" s="269"/>
      <c r="S2067" s="269"/>
      <c r="T2067" s="269"/>
      <c r="U2067" s="269"/>
      <c r="V2067" s="269"/>
      <c r="W2067" s="269"/>
      <c r="X2067" s="269"/>
      <c r="Y2067" s="269"/>
      <c r="Z2067" s="269"/>
      <c r="AA2067" s="269"/>
      <c r="AB2067" s="269"/>
      <c r="AC2067" s="269"/>
      <c r="AD2067" s="269"/>
      <c r="AE2067" s="269"/>
      <c r="AF2067" s="269"/>
      <c r="AG2067" s="269"/>
      <c r="AH2067" s="269"/>
      <c r="AI2067" s="269"/>
      <c r="AJ2067" s="269"/>
      <c r="AK2067" s="269"/>
      <c r="AL2067" s="269"/>
      <c r="AM2067" s="269"/>
      <c r="AN2067" s="269"/>
      <c r="AO2067" s="269"/>
      <c r="AP2067" s="269"/>
      <c r="AQ2067" s="269"/>
      <c r="AR2067" s="269"/>
    </row>
    <row r="2068">
      <c r="A2068" s="410"/>
      <c r="B2068" s="410"/>
      <c r="C2068" s="410"/>
      <c r="D2068" s="410"/>
      <c r="E2068" s="410"/>
      <c r="F2068" s="410"/>
      <c r="H2068" s="269"/>
      <c r="I2068" s="269"/>
      <c r="J2068" s="269"/>
      <c r="K2068" s="269"/>
      <c r="L2068" s="269"/>
      <c r="M2068" s="269"/>
      <c r="N2068" s="269"/>
      <c r="O2068" s="269"/>
      <c r="P2068" s="269"/>
      <c r="Q2068" s="269"/>
      <c r="R2068" s="269"/>
      <c r="S2068" s="269"/>
      <c r="T2068" s="269"/>
      <c r="U2068" s="269"/>
      <c r="V2068" s="269"/>
      <c r="W2068" s="269"/>
      <c r="X2068" s="269"/>
      <c r="Y2068" s="269"/>
      <c r="Z2068" s="269"/>
      <c r="AA2068" s="269"/>
      <c r="AB2068" s="269"/>
      <c r="AC2068" s="269"/>
      <c r="AD2068" s="269"/>
      <c r="AE2068" s="269"/>
      <c r="AF2068" s="269"/>
      <c r="AG2068" s="269"/>
      <c r="AH2068" s="269"/>
      <c r="AI2068" s="269"/>
      <c r="AJ2068" s="269"/>
      <c r="AK2068" s="269"/>
      <c r="AL2068" s="269"/>
      <c r="AM2068" s="269"/>
      <c r="AN2068" s="269"/>
      <c r="AO2068" s="269"/>
      <c r="AP2068" s="269"/>
      <c r="AQ2068" s="269"/>
      <c r="AR2068" s="269"/>
    </row>
    <row r="2069">
      <c r="A2069" s="410"/>
      <c r="B2069" s="410"/>
      <c r="C2069" s="410"/>
      <c r="D2069" s="410"/>
      <c r="E2069" s="410"/>
      <c r="F2069" s="410"/>
      <c r="H2069" s="269"/>
      <c r="I2069" s="269"/>
      <c r="J2069" s="269"/>
      <c r="K2069" s="269"/>
      <c r="L2069" s="269"/>
      <c r="M2069" s="269"/>
      <c r="N2069" s="269"/>
      <c r="O2069" s="269"/>
      <c r="P2069" s="269"/>
      <c r="Q2069" s="269"/>
      <c r="R2069" s="269"/>
      <c r="S2069" s="269"/>
      <c r="T2069" s="269"/>
      <c r="U2069" s="269"/>
      <c r="V2069" s="269"/>
      <c r="W2069" s="269"/>
      <c r="X2069" s="269"/>
      <c r="Y2069" s="269"/>
      <c r="Z2069" s="269"/>
      <c r="AA2069" s="269"/>
      <c r="AB2069" s="269"/>
      <c r="AC2069" s="269"/>
      <c r="AD2069" s="269"/>
      <c r="AE2069" s="269"/>
      <c r="AF2069" s="269"/>
      <c r="AG2069" s="269"/>
      <c r="AH2069" s="269"/>
      <c r="AI2069" s="269"/>
      <c r="AJ2069" s="269"/>
      <c r="AK2069" s="269"/>
      <c r="AL2069" s="269"/>
      <c r="AM2069" s="269"/>
      <c r="AN2069" s="269"/>
      <c r="AO2069" s="269"/>
      <c r="AP2069" s="269"/>
      <c r="AQ2069" s="269"/>
      <c r="AR2069" s="269"/>
    </row>
    <row r="2070">
      <c r="A2070" s="410"/>
      <c r="B2070" s="410"/>
      <c r="C2070" s="410"/>
      <c r="D2070" s="410"/>
      <c r="E2070" s="410"/>
      <c r="F2070" s="410"/>
      <c r="H2070" s="269"/>
      <c r="I2070" s="269"/>
      <c r="J2070" s="269"/>
      <c r="K2070" s="269"/>
      <c r="L2070" s="269"/>
      <c r="M2070" s="269"/>
      <c r="N2070" s="269"/>
      <c r="O2070" s="269"/>
      <c r="P2070" s="269"/>
      <c r="Q2070" s="269"/>
      <c r="R2070" s="269"/>
      <c r="S2070" s="269"/>
      <c r="T2070" s="269"/>
      <c r="U2070" s="269"/>
      <c r="V2070" s="269"/>
      <c r="W2070" s="269"/>
      <c r="X2070" s="269"/>
      <c r="Y2070" s="269"/>
      <c r="Z2070" s="269"/>
      <c r="AA2070" s="269"/>
      <c r="AB2070" s="269"/>
      <c r="AC2070" s="269"/>
      <c r="AD2070" s="269"/>
      <c r="AE2070" s="269"/>
      <c r="AF2070" s="269"/>
      <c r="AG2070" s="269"/>
      <c r="AH2070" s="269"/>
      <c r="AI2070" s="269"/>
      <c r="AJ2070" s="269"/>
      <c r="AK2070" s="269"/>
      <c r="AL2070" s="269"/>
      <c r="AM2070" s="269"/>
      <c r="AN2070" s="269"/>
      <c r="AO2070" s="269"/>
      <c r="AP2070" s="269"/>
      <c r="AQ2070" s="269"/>
      <c r="AR2070" s="269"/>
    </row>
    <row r="2071">
      <c r="A2071" s="410"/>
      <c r="B2071" s="410"/>
      <c r="C2071" s="410"/>
      <c r="D2071" s="410"/>
      <c r="E2071" s="410"/>
      <c r="F2071" s="410"/>
      <c r="H2071" s="269"/>
      <c r="I2071" s="269"/>
      <c r="J2071" s="269"/>
      <c r="K2071" s="269"/>
      <c r="L2071" s="269"/>
      <c r="M2071" s="269"/>
      <c r="N2071" s="269"/>
      <c r="O2071" s="269"/>
      <c r="P2071" s="269"/>
      <c r="Q2071" s="269"/>
      <c r="R2071" s="269"/>
      <c r="S2071" s="269"/>
      <c r="T2071" s="269"/>
      <c r="U2071" s="269"/>
      <c r="V2071" s="269"/>
      <c r="W2071" s="269"/>
      <c r="X2071" s="269"/>
      <c r="Y2071" s="269"/>
      <c r="Z2071" s="269"/>
      <c r="AA2071" s="269"/>
      <c r="AB2071" s="269"/>
      <c r="AC2071" s="269"/>
      <c r="AD2071" s="269"/>
      <c r="AE2071" s="269"/>
      <c r="AF2071" s="269"/>
      <c r="AG2071" s="269"/>
      <c r="AH2071" s="269"/>
      <c r="AI2071" s="269"/>
      <c r="AJ2071" s="269"/>
      <c r="AK2071" s="269"/>
      <c r="AL2071" s="269"/>
      <c r="AM2071" s="269"/>
      <c r="AN2071" s="269"/>
      <c r="AO2071" s="269"/>
      <c r="AP2071" s="269"/>
      <c r="AQ2071" s="269"/>
      <c r="AR2071" s="269"/>
    </row>
    <row r="2072">
      <c r="A2072" s="410"/>
      <c r="B2072" s="410"/>
      <c r="C2072" s="410"/>
      <c r="D2072" s="410"/>
      <c r="E2072" s="410"/>
      <c r="F2072" s="410"/>
      <c r="H2072" s="269"/>
      <c r="I2072" s="269"/>
      <c r="J2072" s="269"/>
      <c r="K2072" s="269"/>
      <c r="L2072" s="269"/>
      <c r="M2072" s="269"/>
      <c r="N2072" s="269"/>
      <c r="O2072" s="269"/>
      <c r="P2072" s="269"/>
      <c r="Q2072" s="269"/>
      <c r="R2072" s="269"/>
      <c r="S2072" s="269"/>
      <c r="T2072" s="269"/>
      <c r="U2072" s="269"/>
      <c r="V2072" s="269"/>
      <c r="W2072" s="269"/>
      <c r="X2072" s="269"/>
      <c r="Y2072" s="269"/>
      <c r="Z2072" s="269"/>
      <c r="AA2072" s="269"/>
      <c r="AB2072" s="269"/>
      <c r="AC2072" s="269"/>
      <c r="AD2072" s="269"/>
      <c r="AE2072" s="269"/>
      <c r="AF2072" s="269"/>
      <c r="AG2072" s="269"/>
      <c r="AH2072" s="269"/>
      <c r="AI2072" s="269"/>
      <c r="AJ2072" s="269"/>
      <c r="AK2072" s="269"/>
      <c r="AL2072" s="269"/>
      <c r="AM2072" s="269"/>
      <c r="AN2072" s="269"/>
      <c r="AO2072" s="269"/>
      <c r="AP2072" s="269"/>
      <c r="AQ2072" s="269"/>
      <c r="AR2072" s="269"/>
    </row>
    <row r="2073">
      <c r="A2073" s="410"/>
      <c r="B2073" s="410"/>
      <c r="C2073" s="410"/>
      <c r="D2073" s="410"/>
      <c r="E2073" s="410"/>
      <c r="F2073" s="410"/>
      <c r="H2073" s="269"/>
      <c r="I2073" s="269"/>
      <c r="J2073" s="269"/>
      <c r="K2073" s="269"/>
      <c r="L2073" s="269"/>
      <c r="M2073" s="269"/>
      <c r="N2073" s="269"/>
      <c r="O2073" s="269"/>
      <c r="P2073" s="269"/>
      <c r="Q2073" s="269"/>
      <c r="R2073" s="269"/>
      <c r="S2073" s="269"/>
      <c r="T2073" s="269"/>
      <c r="U2073" s="269"/>
      <c r="V2073" s="269"/>
      <c r="W2073" s="269"/>
      <c r="X2073" s="269"/>
      <c r="Y2073" s="269"/>
      <c r="Z2073" s="269"/>
      <c r="AA2073" s="269"/>
      <c r="AB2073" s="269"/>
      <c r="AC2073" s="269"/>
      <c r="AD2073" s="269"/>
      <c r="AE2073" s="269"/>
      <c r="AF2073" s="269"/>
      <c r="AG2073" s="269"/>
      <c r="AH2073" s="269"/>
      <c r="AI2073" s="269"/>
      <c r="AJ2073" s="269"/>
      <c r="AK2073" s="269"/>
      <c r="AL2073" s="269"/>
      <c r="AM2073" s="269"/>
      <c r="AN2073" s="269"/>
      <c r="AO2073" s="269"/>
      <c r="AP2073" s="269"/>
      <c r="AQ2073" s="269"/>
      <c r="AR2073" s="269"/>
    </row>
    <row r="2074">
      <c r="A2074" s="410"/>
      <c r="B2074" s="410"/>
      <c r="C2074" s="410"/>
      <c r="D2074" s="410"/>
      <c r="E2074" s="410"/>
      <c r="F2074" s="410"/>
      <c r="H2074" s="269"/>
      <c r="I2074" s="269"/>
      <c r="J2074" s="269"/>
      <c r="K2074" s="269"/>
      <c r="L2074" s="269"/>
      <c r="M2074" s="269"/>
      <c r="N2074" s="269"/>
      <c r="O2074" s="269"/>
      <c r="P2074" s="269"/>
      <c r="Q2074" s="269"/>
      <c r="R2074" s="269"/>
      <c r="S2074" s="269"/>
      <c r="T2074" s="269"/>
      <c r="U2074" s="269"/>
      <c r="V2074" s="269"/>
      <c r="W2074" s="269"/>
      <c r="X2074" s="269"/>
      <c r="Y2074" s="269"/>
      <c r="Z2074" s="269"/>
      <c r="AA2074" s="269"/>
      <c r="AB2074" s="269"/>
      <c r="AC2074" s="269"/>
      <c r="AD2074" s="269"/>
      <c r="AE2074" s="269"/>
      <c r="AF2074" s="269"/>
      <c r="AG2074" s="269"/>
      <c r="AH2074" s="269"/>
      <c r="AI2074" s="269"/>
      <c r="AJ2074" s="269"/>
      <c r="AK2074" s="269"/>
      <c r="AL2074" s="269"/>
      <c r="AM2074" s="269"/>
      <c r="AN2074" s="269"/>
      <c r="AO2074" s="269"/>
      <c r="AP2074" s="269"/>
      <c r="AQ2074" s="269"/>
      <c r="AR2074" s="269"/>
    </row>
    <row r="2075">
      <c r="A2075" s="410"/>
      <c r="B2075" s="410"/>
      <c r="C2075" s="410"/>
      <c r="D2075" s="410"/>
      <c r="E2075" s="410"/>
      <c r="F2075" s="410"/>
      <c r="H2075" s="269"/>
      <c r="I2075" s="269"/>
      <c r="J2075" s="269"/>
      <c r="K2075" s="269"/>
      <c r="L2075" s="269"/>
      <c r="M2075" s="269"/>
      <c r="N2075" s="269"/>
      <c r="O2075" s="269"/>
      <c r="P2075" s="269"/>
      <c r="Q2075" s="269"/>
      <c r="R2075" s="269"/>
      <c r="S2075" s="269"/>
      <c r="T2075" s="269"/>
      <c r="U2075" s="269"/>
      <c r="V2075" s="269"/>
      <c r="W2075" s="269"/>
      <c r="X2075" s="269"/>
      <c r="Y2075" s="269"/>
      <c r="Z2075" s="269"/>
      <c r="AA2075" s="269"/>
      <c r="AB2075" s="269"/>
      <c r="AC2075" s="269"/>
      <c r="AD2075" s="269"/>
      <c r="AE2075" s="269"/>
      <c r="AF2075" s="269"/>
      <c r="AG2075" s="269"/>
      <c r="AH2075" s="269"/>
      <c r="AI2075" s="269"/>
      <c r="AJ2075" s="269"/>
      <c r="AK2075" s="269"/>
      <c r="AL2075" s="269"/>
      <c r="AM2075" s="269"/>
      <c r="AN2075" s="269"/>
      <c r="AO2075" s="269"/>
      <c r="AP2075" s="269"/>
      <c r="AQ2075" s="269"/>
      <c r="AR2075" s="269"/>
    </row>
    <row r="2076">
      <c r="A2076" s="410"/>
      <c r="B2076" s="410"/>
      <c r="C2076" s="410"/>
      <c r="D2076" s="410"/>
      <c r="E2076" s="410"/>
      <c r="F2076" s="410"/>
      <c r="H2076" s="269"/>
      <c r="I2076" s="269"/>
      <c r="J2076" s="269"/>
      <c r="K2076" s="269"/>
      <c r="L2076" s="269"/>
      <c r="M2076" s="269"/>
      <c r="N2076" s="269"/>
      <c r="O2076" s="269"/>
      <c r="P2076" s="269"/>
      <c r="Q2076" s="269"/>
      <c r="R2076" s="269"/>
      <c r="S2076" s="269"/>
      <c r="T2076" s="269"/>
      <c r="U2076" s="269"/>
      <c r="V2076" s="269"/>
      <c r="W2076" s="269"/>
      <c r="X2076" s="269"/>
      <c r="Y2076" s="269"/>
      <c r="Z2076" s="269"/>
      <c r="AA2076" s="269"/>
      <c r="AB2076" s="269"/>
      <c r="AC2076" s="269"/>
      <c r="AD2076" s="269"/>
      <c r="AE2076" s="269"/>
      <c r="AF2076" s="269"/>
      <c r="AG2076" s="269"/>
      <c r="AH2076" s="269"/>
      <c r="AI2076" s="269"/>
      <c r="AJ2076" s="269"/>
      <c r="AK2076" s="269"/>
      <c r="AL2076" s="269"/>
      <c r="AM2076" s="269"/>
      <c r="AN2076" s="269"/>
      <c r="AO2076" s="269"/>
      <c r="AP2076" s="269"/>
      <c r="AQ2076" s="269"/>
      <c r="AR2076" s="269"/>
    </row>
    <row r="2077">
      <c r="A2077" s="410"/>
      <c r="B2077" s="410"/>
      <c r="C2077" s="410"/>
      <c r="D2077" s="410"/>
      <c r="E2077" s="410"/>
      <c r="F2077" s="410"/>
      <c r="H2077" s="269"/>
      <c r="I2077" s="269"/>
      <c r="J2077" s="269"/>
      <c r="K2077" s="269"/>
      <c r="L2077" s="269"/>
      <c r="M2077" s="269"/>
      <c r="N2077" s="269"/>
      <c r="O2077" s="269"/>
      <c r="P2077" s="269"/>
      <c r="Q2077" s="269"/>
      <c r="R2077" s="269"/>
      <c r="S2077" s="269"/>
      <c r="T2077" s="269"/>
      <c r="U2077" s="269"/>
      <c r="V2077" s="269"/>
      <c r="W2077" s="269"/>
      <c r="X2077" s="269"/>
      <c r="Y2077" s="269"/>
      <c r="Z2077" s="269"/>
      <c r="AA2077" s="269"/>
      <c r="AB2077" s="269"/>
      <c r="AC2077" s="269"/>
      <c r="AD2077" s="269"/>
      <c r="AE2077" s="269"/>
      <c r="AF2077" s="269"/>
      <c r="AG2077" s="269"/>
      <c r="AH2077" s="269"/>
      <c r="AI2077" s="269"/>
      <c r="AJ2077" s="269"/>
      <c r="AK2077" s="269"/>
      <c r="AL2077" s="269"/>
      <c r="AM2077" s="269"/>
      <c r="AN2077" s="269"/>
      <c r="AO2077" s="269"/>
      <c r="AP2077" s="269"/>
      <c r="AQ2077" s="269"/>
      <c r="AR2077" s="269"/>
    </row>
    <row r="2078">
      <c r="A2078" s="410"/>
      <c r="B2078" s="410"/>
      <c r="C2078" s="410"/>
      <c r="D2078" s="410"/>
      <c r="E2078" s="410"/>
      <c r="F2078" s="410"/>
      <c r="H2078" s="269"/>
      <c r="I2078" s="269"/>
      <c r="J2078" s="269"/>
      <c r="K2078" s="269"/>
      <c r="L2078" s="269"/>
      <c r="M2078" s="269"/>
      <c r="N2078" s="269"/>
      <c r="O2078" s="269"/>
      <c r="P2078" s="269"/>
      <c r="Q2078" s="269"/>
      <c r="R2078" s="269"/>
      <c r="S2078" s="269"/>
      <c r="T2078" s="269"/>
      <c r="U2078" s="269"/>
      <c r="V2078" s="269"/>
      <c r="W2078" s="269"/>
      <c r="X2078" s="269"/>
      <c r="Y2078" s="269"/>
      <c r="Z2078" s="269"/>
      <c r="AA2078" s="269"/>
      <c r="AB2078" s="269"/>
      <c r="AC2078" s="269"/>
      <c r="AD2078" s="269"/>
      <c r="AE2078" s="269"/>
      <c r="AF2078" s="269"/>
      <c r="AG2078" s="269"/>
      <c r="AH2078" s="269"/>
      <c r="AI2078" s="269"/>
      <c r="AJ2078" s="269"/>
      <c r="AK2078" s="269"/>
      <c r="AL2078" s="269"/>
      <c r="AM2078" s="269"/>
      <c r="AN2078" s="269"/>
      <c r="AO2078" s="269"/>
      <c r="AP2078" s="269"/>
      <c r="AQ2078" s="269"/>
      <c r="AR2078" s="269"/>
    </row>
    <row r="2079">
      <c r="A2079" s="410"/>
      <c r="B2079" s="410"/>
      <c r="C2079" s="410"/>
      <c r="D2079" s="410"/>
      <c r="E2079" s="410"/>
      <c r="F2079" s="410"/>
      <c r="H2079" s="269"/>
      <c r="I2079" s="269"/>
      <c r="J2079" s="269"/>
      <c r="K2079" s="269"/>
      <c r="L2079" s="269"/>
      <c r="M2079" s="269"/>
      <c r="N2079" s="269"/>
      <c r="O2079" s="269"/>
      <c r="P2079" s="269"/>
      <c r="Q2079" s="269"/>
      <c r="R2079" s="269"/>
      <c r="S2079" s="269"/>
      <c r="T2079" s="269"/>
      <c r="U2079" s="269"/>
      <c r="V2079" s="269"/>
      <c r="W2079" s="269"/>
      <c r="X2079" s="269"/>
      <c r="Y2079" s="269"/>
      <c r="Z2079" s="269"/>
      <c r="AA2079" s="269"/>
      <c r="AB2079" s="269"/>
      <c r="AC2079" s="269"/>
      <c r="AD2079" s="269"/>
      <c r="AE2079" s="269"/>
      <c r="AF2079" s="269"/>
      <c r="AG2079" s="269"/>
      <c r="AH2079" s="269"/>
      <c r="AI2079" s="269"/>
      <c r="AJ2079" s="269"/>
      <c r="AK2079" s="269"/>
      <c r="AL2079" s="269"/>
      <c r="AM2079" s="269"/>
      <c r="AN2079" s="269"/>
      <c r="AO2079" s="269"/>
      <c r="AP2079" s="269"/>
      <c r="AQ2079" s="269"/>
      <c r="AR2079" s="269"/>
    </row>
    <row r="2080">
      <c r="A2080" s="410"/>
      <c r="B2080" s="410"/>
      <c r="C2080" s="410"/>
      <c r="D2080" s="410"/>
      <c r="E2080" s="410"/>
      <c r="F2080" s="410"/>
      <c r="H2080" s="269"/>
      <c r="I2080" s="269"/>
      <c r="J2080" s="269"/>
      <c r="K2080" s="269"/>
      <c r="L2080" s="269"/>
      <c r="M2080" s="269"/>
      <c r="N2080" s="269"/>
      <c r="O2080" s="269"/>
      <c r="P2080" s="269"/>
      <c r="Q2080" s="269"/>
      <c r="R2080" s="269"/>
      <c r="S2080" s="269"/>
      <c r="T2080" s="269"/>
      <c r="U2080" s="269"/>
      <c r="V2080" s="269"/>
      <c r="W2080" s="269"/>
      <c r="X2080" s="269"/>
      <c r="Y2080" s="269"/>
      <c r="Z2080" s="269"/>
      <c r="AA2080" s="269"/>
      <c r="AB2080" s="269"/>
      <c r="AC2080" s="269"/>
      <c r="AD2080" s="269"/>
      <c r="AE2080" s="269"/>
      <c r="AF2080" s="269"/>
      <c r="AG2080" s="269"/>
      <c r="AH2080" s="269"/>
      <c r="AI2080" s="269"/>
      <c r="AJ2080" s="269"/>
      <c r="AK2080" s="269"/>
      <c r="AL2080" s="269"/>
      <c r="AM2080" s="269"/>
      <c r="AN2080" s="269"/>
      <c r="AO2080" s="269"/>
      <c r="AP2080" s="269"/>
      <c r="AQ2080" s="269"/>
      <c r="AR2080" s="269"/>
    </row>
    <row r="2081">
      <c r="A2081" s="410"/>
      <c r="B2081" s="410"/>
      <c r="C2081" s="410"/>
      <c r="D2081" s="410"/>
      <c r="E2081" s="410"/>
      <c r="F2081" s="410"/>
      <c r="H2081" s="269"/>
      <c r="I2081" s="269"/>
      <c r="J2081" s="269"/>
      <c r="K2081" s="269"/>
      <c r="L2081" s="269"/>
      <c r="M2081" s="269"/>
      <c r="N2081" s="269"/>
      <c r="O2081" s="269"/>
      <c r="P2081" s="269"/>
      <c r="Q2081" s="269"/>
      <c r="R2081" s="269"/>
      <c r="S2081" s="269"/>
      <c r="T2081" s="269"/>
      <c r="U2081" s="269"/>
      <c r="V2081" s="269"/>
      <c r="W2081" s="269"/>
      <c r="X2081" s="269"/>
      <c r="Y2081" s="269"/>
      <c r="Z2081" s="269"/>
      <c r="AA2081" s="269"/>
      <c r="AB2081" s="269"/>
      <c r="AC2081" s="269"/>
      <c r="AD2081" s="269"/>
      <c r="AE2081" s="269"/>
      <c r="AF2081" s="269"/>
      <c r="AG2081" s="269"/>
      <c r="AH2081" s="269"/>
      <c r="AI2081" s="269"/>
      <c r="AJ2081" s="269"/>
      <c r="AK2081" s="269"/>
      <c r="AL2081" s="269"/>
      <c r="AM2081" s="269"/>
      <c r="AN2081" s="269"/>
      <c r="AO2081" s="269"/>
      <c r="AP2081" s="269"/>
      <c r="AQ2081" s="269"/>
      <c r="AR2081" s="269"/>
    </row>
    <row r="2082">
      <c r="A2082" s="410"/>
      <c r="B2082" s="410"/>
      <c r="C2082" s="410"/>
      <c r="D2082" s="410"/>
      <c r="E2082" s="410"/>
      <c r="F2082" s="410"/>
      <c r="H2082" s="269"/>
      <c r="I2082" s="269"/>
      <c r="J2082" s="269"/>
      <c r="K2082" s="269"/>
      <c r="L2082" s="269"/>
      <c r="M2082" s="269"/>
      <c r="N2082" s="269"/>
      <c r="O2082" s="269"/>
      <c r="P2082" s="269"/>
      <c r="Q2082" s="269"/>
      <c r="R2082" s="269"/>
      <c r="S2082" s="269"/>
      <c r="T2082" s="269"/>
      <c r="U2082" s="269"/>
      <c r="V2082" s="269"/>
      <c r="W2082" s="269"/>
      <c r="X2082" s="269"/>
      <c r="Y2082" s="269"/>
      <c r="Z2082" s="269"/>
      <c r="AA2082" s="269"/>
      <c r="AB2082" s="269"/>
      <c r="AC2082" s="269"/>
      <c r="AD2082" s="269"/>
      <c r="AE2082" s="269"/>
      <c r="AF2082" s="269"/>
      <c r="AG2082" s="269"/>
      <c r="AH2082" s="269"/>
      <c r="AI2082" s="269"/>
      <c r="AJ2082" s="269"/>
      <c r="AK2082" s="269"/>
      <c r="AL2082" s="269"/>
      <c r="AM2082" s="269"/>
      <c r="AN2082" s="269"/>
      <c r="AO2082" s="269"/>
      <c r="AP2082" s="269"/>
      <c r="AQ2082" s="269"/>
      <c r="AR2082" s="269"/>
    </row>
    <row r="2083">
      <c r="A2083" s="410"/>
      <c r="B2083" s="410"/>
      <c r="C2083" s="410"/>
      <c r="D2083" s="410"/>
      <c r="E2083" s="410"/>
      <c r="F2083" s="410"/>
      <c r="H2083" s="269"/>
      <c r="I2083" s="269"/>
      <c r="J2083" s="269"/>
      <c r="K2083" s="269"/>
      <c r="L2083" s="269"/>
      <c r="M2083" s="269"/>
      <c r="N2083" s="269"/>
      <c r="O2083" s="269"/>
      <c r="P2083" s="269"/>
      <c r="Q2083" s="269"/>
      <c r="R2083" s="269"/>
      <c r="S2083" s="269"/>
      <c r="T2083" s="269"/>
      <c r="U2083" s="269"/>
      <c r="V2083" s="269"/>
      <c r="W2083" s="269"/>
      <c r="X2083" s="269"/>
      <c r="Y2083" s="269"/>
      <c r="Z2083" s="269"/>
      <c r="AA2083" s="269"/>
      <c r="AB2083" s="269"/>
      <c r="AC2083" s="269"/>
      <c r="AD2083" s="269"/>
      <c r="AE2083" s="269"/>
      <c r="AF2083" s="269"/>
      <c r="AG2083" s="269"/>
      <c r="AH2083" s="269"/>
      <c r="AI2083" s="269"/>
      <c r="AJ2083" s="269"/>
      <c r="AK2083" s="269"/>
      <c r="AL2083" s="269"/>
      <c r="AM2083" s="269"/>
      <c r="AN2083" s="269"/>
      <c r="AO2083" s="269"/>
      <c r="AP2083" s="269"/>
      <c r="AQ2083" s="269"/>
      <c r="AR2083" s="269"/>
    </row>
    <row r="2084">
      <c r="A2084" s="410"/>
      <c r="B2084" s="410"/>
      <c r="C2084" s="410"/>
      <c r="D2084" s="410"/>
      <c r="E2084" s="410"/>
      <c r="F2084" s="410"/>
      <c r="H2084" s="269"/>
      <c r="I2084" s="269"/>
      <c r="J2084" s="269"/>
      <c r="K2084" s="269"/>
      <c r="L2084" s="269"/>
      <c r="M2084" s="269"/>
      <c r="N2084" s="269"/>
      <c r="O2084" s="269"/>
      <c r="P2084" s="269"/>
      <c r="Q2084" s="269"/>
      <c r="R2084" s="269"/>
      <c r="S2084" s="269"/>
      <c r="T2084" s="269"/>
      <c r="U2084" s="269"/>
      <c r="V2084" s="269"/>
      <c r="W2084" s="269"/>
      <c r="X2084" s="269"/>
      <c r="Y2084" s="269"/>
      <c r="Z2084" s="269"/>
      <c r="AA2084" s="269"/>
      <c r="AB2084" s="269"/>
      <c r="AC2084" s="269"/>
      <c r="AD2084" s="269"/>
      <c r="AE2084" s="269"/>
      <c r="AF2084" s="269"/>
      <c r="AG2084" s="269"/>
      <c r="AH2084" s="269"/>
      <c r="AI2084" s="269"/>
      <c r="AJ2084" s="269"/>
      <c r="AK2084" s="269"/>
      <c r="AL2084" s="269"/>
      <c r="AM2084" s="269"/>
      <c r="AN2084" s="269"/>
      <c r="AO2084" s="269"/>
      <c r="AP2084" s="269"/>
      <c r="AQ2084" s="269"/>
      <c r="AR2084" s="269"/>
    </row>
    <row r="2085">
      <c r="A2085" s="410"/>
      <c r="B2085" s="410"/>
      <c r="C2085" s="410"/>
      <c r="D2085" s="410"/>
      <c r="E2085" s="410"/>
      <c r="F2085" s="410"/>
      <c r="H2085" s="269"/>
      <c r="I2085" s="269"/>
      <c r="J2085" s="269"/>
      <c r="K2085" s="269"/>
      <c r="L2085" s="269"/>
      <c r="M2085" s="269"/>
      <c r="N2085" s="269"/>
      <c r="O2085" s="269"/>
      <c r="P2085" s="269"/>
      <c r="Q2085" s="269"/>
      <c r="R2085" s="269"/>
      <c r="S2085" s="269"/>
      <c r="T2085" s="269"/>
      <c r="U2085" s="269"/>
      <c r="V2085" s="269"/>
      <c r="W2085" s="269"/>
      <c r="X2085" s="269"/>
      <c r="Y2085" s="269"/>
      <c r="Z2085" s="269"/>
      <c r="AA2085" s="269"/>
      <c r="AB2085" s="269"/>
      <c r="AC2085" s="269"/>
      <c r="AD2085" s="269"/>
      <c r="AE2085" s="269"/>
      <c r="AF2085" s="269"/>
      <c r="AG2085" s="269"/>
      <c r="AH2085" s="269"/>
      <c r="AI2085" s="269"/>
      <c r="AJ2085" s="269"/>
      <c r="AK2085" s="269"/>
      <c r="AL2085" s="269"/>
      <c r="AM2085" s="269"/>
      <c r="AN2085" s="269"/>
      <c r="AO2085" s="269"/>
      <c r="AP2085" s="269"/>
      <c r="AQ2085" s="269"/>
      <c r="AR2085" s="269"/>
    </row>
    <row r="2086">
      <c r="A2086" s="410"/>
      <c r="B2086" s="410"/>
      <c r="C2086" s="410"/>
      <c r="D2086" s="410"/>
      <c r="E2086" s="410"/>
      <c r="F2086" s="410"/>
      <c r="H2086" s="269"/>
      <c r="I2086" s="269"/>
      <c r="J2086" s="269"/>
      <c r="K2086" s="269"/>
      <c r="L2086" s="269"/>
      <c r="M2086" s="269"/>
      <c r="N2086" s="269"/>
      <c r="O2086" s="269"/>
      <c r="P2086" s="269"/>
      <c r="Q2086" s="269"/>
      <c r="R2086" s="269"/>
      <c r="S2086" s="269"/>
      <c r="T2086" s="269"/>
      <c r="U2086" s="269"/>
      <c r="V2086" s="269"/>
      <c r="W2086" s="269"/>
      <c r="X2086" s="269"/>
      <c r="Y2086" s="269"/>
      <c r="Z2086" s="269"/>
      <c r="AA2086" s="269"/>
      <c r="AB2086" s="269"/>
      <c r="AC2086" s="269"/>
      <c r="AD2086" s="269"/>
      <c r="AE2086" s="269"/>
      <c r="AF2086" s="269"/>
      <c r="AG2086" s="269"/>
      <c r="AH2086" s="269"/>
      <c r="AI2086" s="269"/>
      <c r="AJ2086" s="269"/>
      <c r="AK2086" s="269"/>
      <c r="AL2086" s="269"/>
      <c r="AM2086" s="269"/>
      <c r="AN2086" s="269"/>
      <c r="AO2086" s="269"/>
      <c r="AP2086" s="269"/>
      <c r="AQ2086" s="269"/>
      <c r="AR2086" s="269"/>
    </row>
    <row r="2087">
      <c r="A2087" s="410"/>
      <c r="B2087" s="410"/>
      <c r="C2087" s="410"/>
      <c r="D2087" s="410"/>
      <c r="E2087" s="410"/>
      <c r="F2087" s="410"/>
      <c r="H2087" s="269"/>
      <c r="I2087" s="269"/>
      <c r="J2087" s="269"/>
      <c r="K2087" s="269"/>
      <c r="L2087" s="269"/>
      <c r="M2087" s="269"/>
      <c r="N2087" s="269"/>
      <c r="O2087" s="269"/>
      <c r="P2087" s="269"/>
      <c r="Q2087" s="269"/>
      <c r="R2087" s="269"/>
      <c r="S2087" s="269"/>
      <c r="T2087" s="269"/>
      <c r="U2087" s="269"/>
      <c r="V2087" s="269"/>
      <c r="W2087" s="269"/>
      <c r="X2087" s="269"/>
      <c r="Y2087" s="269"/>
      <c r="Z2087" s="269"/>
      <c r="AA2087" s="269"/>
      <c r="AB2087" s="269"/>
      <c r="AC2087" s="269"/>
      <c r="AD2087" s="269"/>
      <c r="AE2087" s="269"/>
      <c r="AF2087" s="269"/>
      <c r="AG2087" s="269"/>
      <c r="AH2087" s="269"/>
      <c r="AI2087" s="269"/>
      <c r="AJ2087" s="269"/>
      <c r="AK2087" s="269"/>
      <c r="AL2087" s="269"/>
      <c r="AM2087" s="269"/>
      <c r="AN2087" s="269"/>
      <c r="AO2087" s="269"/>
      <c r="AP2087" s="269"/>
      <c r="AQ2087" s="269"/>
      <c r="AR2087" s="269"/>
    </row>
    <row r="2088">
      <c r="A2088" s="410"/>
      <c r="B2088" s="410"/>
      <c r="C2088" s="410"/>
      <c r="D2088" s="410"/>
      <c r="E2088" s="410"/>
      <c r="F2088" s="410"/>
      <c r="H2088" s="269"/>
      <c r="I2088" s="269"/>
      <c r="J2088" s="269"/>
      <c r="K2088" s="269"/>
      <c r="L2088" s="269"/>
      <c r="M2088" s="269"/>
      <c r="N2088" s="269"/>
      <c r="O2088" s="269"/>
      <c r="P2088" s="269"/>
      <c r="Q2088" s="269"/>
      <c r="R2088" s="269"/>
      <c r="S2088" s="269"/>
      <c r="T2088" s="269"/>
      <c r="U2088" s="269"/>
      <c r="V2088" s="269"/>
      <c r="W2088" s="269"/>
      <c r="X2088" s="269"/>
      <c r="Y2088" s="269"/>
      <c r="Z2088" s="269"/>
      <c r="AA2088" s="269"/>
      <c r="AB2088" s="269"/>
      <c r="AC2088" s="269"/>
      <c r="AD2088" s="269"/>
      <c r="AE2088" s="269"/>
      <c r="AF2088" s="269"/>
      <c r="AG2088" s="269"/>
      <c r="AH2088" s="269"/>
      <c r="AI2088" s="269"/>
      <c r="AJ2088" s="269"/>
      <c r="AK2088" s="269"/>
      <c r="AL2088" s="269"/>
      <c r="AM2088" s="269"/>
      <c r="AN2088" s="269"/>
      <c r="AO2088" s="269"/>
      <c r="AP2088" s="269"/>
      <c r="AQ2088" s="269"/>
      <c r="AR2088" s="269"/>
    </row>
    <row r="2089">
      <c r="A2089" s="410"/>
      <c r="B2089" s="410"/>
      <c r="C2089" s="410"/>
      <c r="D2089" s="410"/>
      <c r="E2089" s="410"/>
      <c r="F2089" s="410"/>
      <c r="H2089" s="269"/>
      <c r="I2089" s="269"/>
      <c r="J2089" s="269"/>
      <c r="K2089" s="269"/>
      <c r="L2089" s="269"/>
      <c r="M2089" s="269"/>
      <c r="N2089" s="269"/>
      <c r="O2089" s="269"/>
      <c r="P2089" s="269"/>
      <c r="Q2089" s="269"/>
      <c r="R2089" s="269"/>
      <c r="S2089" s="269"/>
      <c r="T2089" s="269"/>
      <c r="U2089" s="269"/>
      <c r="V2089" s="269"/>
      <c r="W2089" s="269"/>
      <c r="X2089" s="269"/>
      <c r="Y2089" s="269"/>
      <c r="Z2089" s="269"/>
      <c r="AA2089" s="269"/>
      <c r="AB2089" s="269"/>
      <c r="AC2089" s="269"/>
      <c r="AD2089" s="269"/>
      <c r="AE2089" s="269"/>
      <c r="AF2089" s="269"/>
      <c r="AG2089" s="269"/>
      <c r="AH2089" s="269"/>
      <c r="AI2089" s="269"/>
      <c r="AJ2089" s="269"/>
      <c r="AK2089" s="269"/>
      <c r="AL2089" s="269"/>
      <c r="AM2089" s="269"/>
      <c r="AN2089" s="269"/>
      <c r="AO2089" s="269"/>
      <c r="AP2089" s="269"/>
      <c r="AQ2089" s="269"/>
      <c r="AR2089" s="269"/>
    </row>
    <row r="2090">
      <c r="A2090" s="410"/>
      <c r="B2090" s="410"/>
      <c r="C2090" s="410"/>
      <c r="D2090" s="410"/>
      <c r="E2090" s="410"/>
      <c r="F2090" s="410"/>
      <c r="H2090" s="269"/>
      <c r="I2090" s="269"/>
      <c r="J2090" s="269"/>
      <c r="K2090" s="269"/>
      <c r="L2090" s="269"/>
      <c r="M2090" s="269"/>
      <c r="N2090" s="269"/>
      <c r="O2090" s="269"/>
      <c r="P2090" s="269"/>
      <c r="Q2090" s="269"/>
      <c r="R2090" s="269"/>
      <c r="S2090" s="269"/>
      <c r="T2090" s="269"/>
      <c r="U2090" s="269"/>
      <c r="V2090" s="269"/>
      <c r="W2090" s="269"/>
      <c r="X2090" s="269"/>
      <c r="Y2090" s="269"/>
      <c r="Z2090" s="269"/>
      <c r="AA2090" s="269"/>
      <c r="AB2090" s="269"/>
      <c r="AC2090" s="269"/>
      <c r="AD2090" s="269"/>
      <c r="AE2090" s="269"/>
      <c r="AF2090" s="269"/>
      <c r="AG2090" s="269"/>
      <c r="AH2090" s="269"/>
      <c r="AI2090" s="269"/>
      <c r="AJ2090" s="269"/>
      <c r="AK2090" s="269"/>
      <c r="AL2090" s="269"/>
      <c r="AM2090" s="269"/>
      <c r="AN2090" s="269"/>
      <c r="AO2090" s="269"/>
      <c r="AP2090" s="269"/>
      <c r="AQ2090" s="269"/>
      <c r="AR2090" s="269"/>
    </row>
    <row r="2091">
      <c r="A2091" s="410"/>
      <c r="B2091" s="410"/>
      <c r="C2091" s="410"/>
      <c r="D2091" s="410"/>
      <c r="E2091" s="410"/>
      <c r="F2091" s="410"/>
      <c r="H2091" s="269"/>
      <c r="I2091" s="269"/>
      <c r="J2091" s="269"/>
      <c r="K2091" s="269"/>
      <c r="L2091" s="269"/>
      <c r="M2091" s="269"/>
      <c r="N2091" s="269"/>
      <c r="O2091" s="269"/>
      <c r="P2091" s="269"/>
      <c r="Q2091" s="269"/>
      <c r="R2091" s="269"/>
      <c r="S2091" s="269"/>
      <c r="T2091" s="269"/>
      <c r="U2091" s="269"/>
      <c r="V2091" s="269"/>
      <c r="W2091" s="269"/>
      <c r="X2091" s="269"/>
      <c r="Y2091" s="269"/>
      <c r="Z2091" s="269"/>
      <c r="AA2091" s="269"/>
      <c r="AB2091" s="269"/>
      <c r="AC2091" s="269"/>
      <c r="AD2091" s="269"/>
      <c r="AE2091" s="269"/>
      <c r="AF2091" s="269"/>
      <c r="AG2091" s="269"/>
      <c r="AH2091" s="269"/>
      <c r="AI2091" s="269"/>
      <c r="AJ2091" s="269"/>
      <c r="AK2091" s="269"/>
      <c r="AL2091" s="269"/>
      <c r="AM2091" s="269"/>
      <c r="AN2091" s="269"/>
      <c r="AO2091" s="269"/>
      <c r="AP2091" s="269"/>
      <c r="AQ2091" s="269"/>
      <c r="AR2091" s="269"/>
    </row>
    <row r="2092">
      <c r="A2092" s="410"/>
      <c r="B2092" s="410"/>
      <c r="C2092" s="410"/>
      <c r="D2092" s="410"/>
      <c r="E2092" s="410"/>
      <c r="F2092" s="410"/>
      <c r="H2092" s="269"/>
      <c r="I2092" s="269"/>
      <c r="J2092" s="269"/>
      <c r="K2092" s="269"/>
      <c r="L2092" s="269"/>
      <c r="M2092" s="269"/>
      <c r="N2092" s="269"/>
      <c r="O2092" s="269"/>
      <c r="P2092" s="269"/>
      <c r="Q2092" s="269"/>
      <c r="R2092" s="269"/>
      <c r="S2092" s="269"/>
      <c r="T2092" s="269"/>
      <c r="U2092" s="269"/>
      <c r="V2092" s="269"/>
      <c r="W2092" s="269"/>
      <c r="X2092" s="269"/>
      <c r="Y2092" s="269"/>
      <c r="Z2092" s="269"/>
      <c r="AA2092" s="269"/>
      <c r="AB2092" s="269"/>
      <c r="AC2092" s="269"/>
      <c r="AD2092" s="269"/>
      <c r="AE2092" s="269"/>
      <c r="AF2092" s="269"/>
      <c r="AG2092" s="269"/>
      <c r="AH2092" s="269"/>
      <c r="AI2092" s="269"/>
      <c r="AJ2092" s="269"/>
      <c r="AK2092" s="269"/>
      <c r="AL2092" s="269"/>
      <c r="AM2092" s="269"/>
      <c r="AN2092" s="269"/>
      <c r="AO2092" s="269"/>
      <c r="AP2092" s="269"/>
      <c r="AQ2092" s="269"/>
      <c r="AR2092" s="269"/>
    </row>
    <row r="2093">
      <c r="A2093" s="410"/>
      <c r="B2093" s="410"/>
      <c r="C2093" s="410"/>
      <c r="D2093" s="410"/>
      <c r="E2093" s="410"/>
      <c r="F2093" s="410"/>
      <c r="H2093" s="269"/>
      <c r="I2093" s="269"/>
      <c r="J2093" s="269"/>
      <c r="K2093" s="269"/>
      <c r="L2093" s="269"/>
      <c r="M2093" s="269"/>
      <c r="N2093" s="269"/>
      <c r="O2093" s="269"/>
      <c r="P2093" s="269"/>
      <c r="Q2093" s="269"/>
      <c r="R2093" s="269"/>
      <c r="S2093" s="269"/>
      <c r="T2093" s="269"/>
      <c r="U2093" s="269"/>
      <c r="V2093" s="269"/>
      <c r="W2093" s="269"/>
      <c r="X2093" s="269"/>
      <c r="Y2093" s="269"/>
      <c r="Z2093" s="269"/>
      <c r="AA2093" s="269"/>
      <c r="AB2093" s="269"/>
      <c r="AC2093" s="269"/>
      <c r="AD2093" s="269"/>
      <c r="AE2093" s="269"/>
      <c r="AF2093" s="269"/>
      <c r="AG2093" s="269"/>
      <c r="AH2093" s="269"/>
      <c r="AI2093" s="269"/>
      <c r="AJ2093" s="269"/>
      <c r="AK2093" s="269"/>
      <c r="AL2093" s="269"/>
      <c r="AM2093" s="269"/>
      <c r="AN2093" s="269"/>
      <c r="AO2093" s="269"/>
      <c r="AP2093" s="269"/>
      <c r="AQ2093" s="269"/>
      <c r="AR2093" s="269"/>
    </row>
    <row r="2094">
      <c r="A2094" s="410"/>
      <c r="B2094" s="410"/>
      <c r="C2094" s="410"/>
      <c r="D2094" s="410"/>
      <c r="E2094" s="410"/>
      <c r="F2094" s="410"/>
      <c r="H2094" s="269"/>
      <c r="I2094" s="269"/>
      <c r="J2094" s="269"/>
      <c r="K2094" s="269"/>
      <c r="L2094" s="269"/>
      <c r="M2094" s="269"/>
      <c r="N2094" s="269"/>
      <c r="O2094" s="269"/>
      <c r="P2094" s="269"/>
      <c r="Q2094" s="269"/>
      <c r="R2094" s="269"/>
      <c r="S2094" s="269"/>
      <c r="T2094" s="269"/>
      <c r="U2094" s="269"/>
      <c r="V2094" s="269"/>
      <c r="W2094" s="269"/>
      <c r="X2094" s="269"/>
      <c r="Y2094" s="269"/>
      <c r="Z2094" s="269"/>
      <c r="AA2094" s="269"/>
      <c r="AB2094" s="269"/>
      <c r="AC2094" s="269"/>
      <c r="AD2094" s="269"/>
      <c r="AE2094" s="269"/>
      <c r="AF2094" s="269"/>
      <c r="AG2094" s="269"/>
      <c r="AH2094" s="269"/>
      <c r="AI2094" s="269"/>
      <c r="AJ2094" s="269"/>
      <c r="AK2094" s="269"/>
      <c r="AL2094" s="269"/>
      <c r="AM2094" s="269"/>
      <c r="AN2094" s="269"/>
      <c r="AO2094" s="269"/>
      <c r="AP2094" s="269"/>
      <c r="AQ2094" s="269"/>
      <c r="AR2094" s="269"/>
    </row>
    <row r="2095">
      <c r="A2095" s="410"/>
      <c r="B2095" s="410"/>
      <c r="C2095" s="410"/>
      <c r="D2095" s="410"/>
      <c r="E2095" s="410"/>
      <c r="F2095" s="410"/>
      <c r="H2095" s="269"/>
      <c r="I2095" s="269"/>
      <c r="J2095" s="269"/>
      <c r="K2095" s="269"/>
      <c r="L2095" s="269"/>
      <c r="M2095" s="269"/>
      <c r="N2095" s="269"/>
      <c r="O2095" s="269"/>
      <c r="P2095" s="269"/>
      <c r="Q2095" s="269"/>
      <c r="R2095" s="269"/>
      <c r="S2095" s="269"/>
      <c r="T2095" s="269"/>
      <c r="U2095" s="269"/>
      <c r="V2095" s="269"/>
      <c r="W2095" s="269"/>
      <c r="X2095" s="269"/>
      <c r="Y2095" s="269"/>
      <c r="Z2095" s="269"/>
      <c r="AA2095" s="269"/>
      <c r="AB2095" s="269"/>
      <c r="AC2095" s="269"/>
      <c r="AD2095" s="269"/>
      <c r="AE2095" s="269"/>
      <c r="AF2095" s="269"/>
      <c r="AG2095" s="269"/>
      <c r="AH2095" s="269"/>
      <c r="AI2095" s="269"/>
      <c r="AJ2095" s="269"/>
      <c r="AK2095" s="269"/>
      <c r="AL2095" s="269"/>
      <c r="AM2095" s="269"/>
      <c r="AN2095" s="269"/>
      <c r="AO2095" s="269"/>
      <c r="AP2095" s="269"/>
      <c r="AQ2095" s="269"/>
      <c r="AR2095" s="269"/>
    </row>
    <row r="2096">
      <c r="A2096" s="410"/>
      <c r="B2096" s="410"/>
      <c r="C2096" s="410"/>
      <c r="D2096" s="410"/>
      <c r="E2096" s="410"/>
      <c r="F2096" s="410"/>
      <c r="H2096" s="269"/>
      <c r="I2096" s="269"/>
      <c r="J2096" s="269"/>
      <c r="K2096" s="269"/>
      <c r="L2096" s="269"/>
      <c r="M2096" s="269"/>
      <c r="N2096" s="269"/>
      <c r="O2096" s="269"/>
      <c r="P2096" s="269"/>
      <c r="Q2096" s="269"/>
      <c r="R2096" s="269"/>
      <c r="S2096" s="269"/>
      <c r="T2096" s="269"/>
      <c r="U2096" s="269"/>
      <c r="V2096" s="269"/>
      <c r="W2096" s="269"/>
      <c r="X2096" s="269"/>
      <c r="Y2096" s="269"/>
      <c r="Z2096" s="269"/>
      <c r="AA2096" s="269"/>
      <c r="AB2096" s="269"/>
      <c r="AC2096" s="269"/>
      <c r="AD2096" s="269"/>
      <c r="AE2096" s="269"/>
      <c r="AF2096" s="269"/>
      <c r="AG2096" s="269"/>
      <c r="AH2096" s="269"/>
      <c r="AI2096" s="269"/>
      <c r="AJ2096" s="269"/>
      <c r="AK2096" s="269"/>
      <c r="AL2096" s="269"/>
      <c r="AM2096" s="269"/>
      <c r="AN2096" s="269"/>
      <c r="AO2096" s="269"/>
      <c r="AP2096" s="269"/>
      <c r="AQ2096" s="269"/>
      <c r="AR2096" s="269"/>
    </row>
    <row r="2097">
      <c r="A2097" s="410"/>
      <c r="B2097" s="410"/>
      <c r="C2097" s="410"/>
      <c r="D2097" s="410"/>
      <c r="E2097" s="410"/>
      <c r="F2097" s="410"/>
      <c r="H2097" s="269"/>
      <c r="I2097" s="269"/>
      <c r="J2097" s="269"/>
      <c r="K2097" s="269"/>
      <c r="L2097" s="269"/>
      <c r="M2097" s="269"/>
      <c r="N2097" s="269"/>
      <c r="O2097" s="269"/>
      <c r="P2097" s="269"/>
      <c r="Q2097" s="269"/>
      <c r="R2097" s="269"/>
      <c r="S2097" s="269"/>
      <c r="T2097" s="269"/>
      <c r="U2097" s="269"/>
      <c r="V2097" s="269"/>
      <c r="W2097" s="269"/>
      <c r="X2097" s="269"/>
      <c r="Y2097" s="269"/>
      <c r="Z2097" s="269"/>
      <c r="AA2097" s="269"/>
      <c r="AB2097" s="269"/>
      <c r="AC2097" s="269"/>
      <c r="AD2097" s="269"/>
      <c r="AE2097" s="269"/>
      <c r="AF2097" s="269"/>
      <c r="AG2097" s="269"/>
      <c r="AH2097" s="269"/>
      <c r="AI2097" s="269"/>
      <c r="AJ2097" s="269"/>
      <c r="AK2097" s="269"/>
      <c r="AL2097" s="269"/>
      <c r="AM2097" s="269"/>
      <c r="AN2097" s="269"/>
      <c r="AO2097" s="269"/>
      <c r="AP2097" s="269"/>
      <c r="AQ2097" s="269"/>
      <c r="AR2097" s="269"/>
    </row>
    <row r="2098">
      <c r="A2098" s="410"/>
      <c r="B2098" s="410"/>
      <c r="C2098" s="410"/>
      <c r="D2098" s="410"/>
      <c r="E2098" s="410"/>
      <c r="F2098" s="410"/>
      <c r="H2098" s="269"/>
      <c r="I2098" s="269"/>
      <c r="J2098" s="269"/>
      <c r="K2098" s="269"/>
      <c r="L2098" s="269"/>
      <c r="M2098" s="269"/>
      <c r="N2098" s="269"/>
      <c r="O2098" s="269"/>
      <c r="P2098" s="269"/>
      <c r="Q2098" s="269"/>
      <c r="R2098" s="269"/>
      <c r="S2098" s="269"/>
      <c r="T2098" s="269"/>
      <c r="U2098" s="269"/>
      <c r="V2098" s="269"/>
      <c r="W2098" s="269"/>
      <c r="X2098" s="269"/>
      <c r="Y2098" s="269"/>
      <c r="Z2098" s="269"/>
      <c r="AA2098" s="269"/>
      <c r="AB2098" s="269"/>
      <c r="AC2098" s="269"/>
      <c r="AD2098" s="269"/>
      <c r="AE2098" s="269"/>
      <c r="AF2098" s="269"/>
      <c r="AG2098" s="269"/>
      <c r="AH2098" s="269"/>
      <c r="AI2098" s="269"/>
      <c r="AJ2098" s="269"/>
      <c r="AK2098" s="269"/>
      <c r="AL2098" s="269"/>
      <c r="AM2098" s="269"/>
      <c r="AN2098" s="269"/>
      <c r="AO2098" s="269"/>
      <c r="AP2098" s="269"/>
      <c r="AQ2098" s="269"/>
      <c r="AR2098" s="269"/>
    </row>
    <row r="2099">
      <c r="A2099" s="410"/>
      <c r="B2099" s="410"/>
      <c r="C2099" s="410"/>
      <c r="D2099" s="410"/>
      <c r="E2099" s="410"/>
      <c r="F2099" s="410"/>
      <c r="H2099" s="269"/>
      <c r="I2099" s="269"/>
      <c r="J2099" s="269"/>
      <c r="K2099" s="269"/>
      <c r="L2099" s="269"/>
      <c r="M2099" s="269"/>
      <c r="N2099" s="269"/>
      <c r="O2099" s="269"/>
      <c r="P2099" s="269"/>
      <c r="Q2099" s="269"/>
      <c r="R2099" s="269"/>
      <c r="S2099" s="269"/>
      <c r="T2099" s="269"/>
      <c r="U2099" s="269"/>
      <c r="V2099" s="269"/>
      <c r="W2099" s="269"/>
      <c r="X2099" s="269"/>
      <c r="Y2099" s="269"/>
      <c r="Z2099" s="269"/>
      <c r="AA2099" s="269"/>
      <c r="AB2099" s="269"/>
      <c r="AC2099" s="269"/>
      <c r="AD2099" s="269"/>
      <c r="AE2099" s="269"/>
      <c r="AF2099" s="269"/>
      <c r="AG2099" s="269"/>
      <c r="AH2099" s="269"/>
      <c r="AI2099" s="269"/>
      <c r="AJ2099" s="269"/>
      <c r="AK2099" s="269"/>
      <c r="AL2099" s="269"/>
      <c r="AM2099" s="269"/>
      <c r="AN2099" s="269"/>
      <c r="AO2099" s="269"/>
      <c r="AP2099" s="269"/>
      <c r="AQ2099" s="269"/>
      <c r="AR2099" s="269"/>
    </row>
    <row r="2100">
      <c r="A2100" s="410"/>
      <c r="B2100" s="410"/>
      <c r="C2100" s="410"/>
      <c r="D2100" s="410"/>
      <c r="E2100" s="410"/>
      <c r="F2100" s="410"/>
      <c r="H2100" s="269"/>
      <c r="I2100" s="269"/>
      <c r="J2100" s="269"/>
      <c r="K2100" s="269"/>
      <c r="L2100" s="269"/>
      <c r="M2100" s="269"/>
      <c r="N2100" s="269"/>
      <c r="O2100" s="269"/>
      <c r="P2100" s="269"/>
      <c r="Q2100" s="269"/>
      <c r="R2100" s="269"/>
      <c r="S2100" s="269"/>
      <c r="T2100" s="269"/>
      <c r="U2100" s="269"/>
      <c r="V2100" s="269"/>
      <c r="W2100" s="269"/>
      <c r="X2100" s="269"/>
      <c r="Y2100" s="269"/>
      <c r="Z2100" s="269"/>
      <c r="AA2100" s="269"/>
      <c r="AB2100" s="269"/>
      <c r="AC2100" s="269"/>
      <c r="AD2100" s="269"/>
      <c r="AE2100" s="269"/>
      <c r="AF2100" s="269"/>
      <c r="AG2100" s="269"/>
      <c r="AH2100" s="269"/>
      <c r="AI2100" s="269"/>
      <c r="AJ2100" s="269"/>
      <c r="AK2100" s="269"/>
      <c r="AL2100" s="269"/>
      <c r="AM2100" s="269"/>
      <c r="AN2100" s="269"/>
      <c r="AO2100" s="269"/>
      <c r="AP2100" s="269"/>
      <c r="AQ2100" s="269"/>
      <c r="AR2100" s="269"/>
    </row>
    <row r="2101">
      <c r="A2101" s="410"/>
      <c r="B2101" s="410"/>
      <c r="C2101" s="410"/>
      <c r="D2101" s="410"/>
      <c r="E2101" s="410"/>
      <c r="F2101" s="410"/>
      <c r="H2101" s="269"/>
      <c r="I2101" s="269"/>
      <c r="J2101" s="269"/>
      <c r="K2101" s="269"/>
      <c r="L2101" s="269"/>
      <c r="M2101" s="269"/>
      <c r="N2101" s="269"/>
      <c r="O2101" s="269"/>
      <c r="P2101" s="269"/>
      <c r="Q2101" s="269"/>
      <c r="R2101" s="269"/>
      <c r="S2101" s="269"/>
      <c r="T2101" s="269"/>
      <c r="U2101" s="269"/>
      <c r="V2101" s="269"/>
      <c r="W2101" s="269"/>
      <c r="X2101" s="269"/>
      <c r="Y2101" s="269"/>
      <c r="Z2101" s="269"/>
      <c r="AA2101" s="269"/>
      <c r="AB2101" s="269"/>
      <c r="AC2101" s="269"/>
      <c r="AD2101" s="269"/>
      <c r="AE2101" s="269"/>
      <c r="AF2101" s="269"/>
      <c r="AG2101" s="269"/>
      <c r="AH2101" s="269"/>
      <c r="AI2101" s="269"/>
      <c r="AJ2101" s="269"/>
      <c r="AK2101" s="269"/>
      <c r="AL2101" s="269"/>
      <c r="AM2101" s="269"/>
      <c r="AN2101" s="269"/>
      <c r="AO2101" s="269"/>
      <c r="AP2101" s="269"/>
      <c r="AQ2101" s="269"/>
      <c r="AR2101" s="269"/>
    </row>
    <row r="2102">
      <c r="A2102" s="410"/>
      <c r="B2102" s="410"/>
      <c r="C2102" s="410"/>
      <c r="D2102" s="410"/>
      <c r="E2102" s="410"/>
      <c r="F2102" s="410"/>
      <c r="H2102" s="269"/>
      <c r="I2102" s="269"/>
      <c r="J2102" s="269"/>
      <c r="K2102" s="269"/>
      <c r="L2102" s="269"/>
      <c r="M2102" s="269"/>
      <c r="N2102" s="269"/>
      <c r="O2102" s="269"/>
      <c r="P2102" s="269"/>
      <c r="Q2102" s="269"/>
      <c r="R2102" s="269"/>
      <c r="S2102" s="269"/>
      <c r="T2102" s="269"/>
      <c r="U2102" s="269"/>
      <c r="V2102" s="269"/>
      <c r="W2102" s="269"/>
      <c r="X2102" s="269"/>
      <c r="Y2102" s="269"/>
      <c r="Z2102" s="269"/>
      <c r="AA2102" s="269"/>
      <c r="AB2102" s="269"/>
      <c r="AC2102" s="269"/>
      <c r="AD2102" s="269"/>
      <c r="AE2102" s="269"/>
      <c r="AF2102" s="269"/>
      <c r="AG2102" s="269"/>
      <c r="AH2102" s="269"/>
      <c r="AI2102" s="269"/>
      <c r="AJ2102" s="269"/>
      <c r="AK2102" s="269"/>
      <c r="AL2102" s="269"/>
      <c r="AM2102" s="269"/>
      <c r="AN2102" s="269"/>
      <c r="AO2102" s="269"/>
      <c r="AP2102" s="269"/>
      <c r="AQ2102" s="269"/>
      <c r="AR2102" s="269"/>
    </row>
    <row r="2103">
      <c r="A2103" s="410"/>
      <c r="B2103" s="410"/>
      <c r="C2103" s="410"/>
      <c r="D2103" s="410"/>
      <c r="E2103" s="410"/>
      <c r="F2103" s="410"/>
      <c r="H2103" s="269"/>
      <c r="I2103" s="269"/>
      <c r="J2103" s="269"/>
      <c r="K2103" s="269"/>
      <c r="L2103" s="269"/>
      <c r="M2103" s="269"/>
      <c r="N2103" s="269"/>
      <c r="O2103" s="269"/>
      <c r="P2103" s="269"/>
      <c r="Q2103" s="269"/>
      <c r="R2103" s="269"/>
      <c r="S2103" s="269"/>
      <c r="T2103" s="269"/>
      <c r="U2103" s="269"/>
      <c r="V2103" s="269"/>
      <c r="W2103" s="269"/>
      <c r="X2103" s="269"/>
      <c r="Y2103" s="269"/>
      <c r="Z2103" s="269"/>
      <c r="AA2103" s="269"/>
      <c r="AB2103" s="269"/>
      <c r="AC2103" s="269"/>
      <c r="AD2103" s="269"/>
      <c r="AE2103" s="269"/>
      <c r="AF2103" s="269"/>
      <c r="AG2103" s="269"/>
      <c r="AH2103" s="269"/>
      <c r="AI2103" s="269"/>
      <c r="AJ2103" s="269"/>
      <c r="AK2103" s="269"/>
      <c r="AL2103" s="269"/>
      <c r="AM2103" s="269"/>
      <c r="AN2103" s="269"/>
      <c r="AO2103" s="269"/>
      <c r="AP2103" s="269"/>
      <c r="AQ2103" s="269"/>
      <c r="AR2103" s="269"/>
    </row>
    <row r="2104">
      <c r="A2104" s="410"/>
      <c r="B2104" s="410"/>
      <c r="C2104" s="410"/>
      <c r="D2104" s="410"/>
      <c r="E2104" s="410"/>
      <c r="F2104" s="410"/>
      <c r="H2104" s="269"/>
      <c r="I2104" s="269"/>
      <c r="J2104" s="269"/>
      <c r="K2104" s="269"/>
      <c r="L2104" s="269"/>
      <c r="M2104" s="269"/>
      <c r="N2104" s="269"/>
      <c r="O2104" s="269"/>
      <c r="P2104" s="269"/>
      <c r="Q2104" s="269"/>
      <c r="R2104" s="269"/>
      <c r="S2104" s="269"/>
      <c r="T2104" s="269"/>
      <c r="U2104" s="269"/>
      <c r="V2104" s="269"/>
      <c r="W2104" s="269"/>
      <c r="X2104" s="269"/>
      <c r="Y2104" s="269"/>
      <c r="Z2104" s="269"/>
      <c r="AA2104" s="269"/>
      <c r="AB2104" s="269"/>
      <c r="AC2104" s="269"/>
      <c r="AD2104" s="269"/>
      <c r="AE2104" s="269"/>
      <c r="AF2104" s="269"/>
      <c r="AG2104" s="269"/>
      <c r="AH2104" s="269"/>
      <c r="AI2104" s="269"/>
      <c r="AJ2104" s="269"/>
      <c r="AK2104" s="269"/>
      <c r="AL2104" s="269"/>
      <c r="AM2104" s="269"/>
      <c r="AN2104" s="269"/>
      <c r="AO2104" s="269"/>
      <c r="AP2104" s="269"/>
      <c r="AQ2104" s="269"/>
      <c r="AR2104" s="269"/>
    </row>
    <row r="2105">
      <c r="A2105" s="410"/>
      <c r="B2105" s="410"/>
      <c r="C2105" s="410"/>
      <c r="D2105" s="410"/>
      <c r="E2105" s="410"/>
      <c r="F2105" s="410"/>
      <c r="H2105" s="269"/>
      <c r="I2105" s="269"/>
      <c r="J2105" s="269"/>
      <c r="K2105" s="269"/>
      <c r="L2105" s="269"/>
      <c r="M2105" s="269"/>
      <c r="N2105" s="269"/>
      <c r="O2105" s="269"/>
      <c r="P2105" s="269"/>
      <c r="Q2105" s="269"/>
      <c r="R2105" s="269"/>
      <c r="S2105" s="269"/>
      <c r="T2105" s="269"/>
      <c r="U2105" s="269"/>
      <c r="V2105" s="269"/>
      <c r="W2105" s="269"/>
      <c r="X2105" s="269"/>
      <c r="Y2105" s="269"/>
      <c r="Z2105" s="269"/>
      <c r="AA2105" s="269"/>
      <c r="AB2105" s="269"/>
      <c r="AC2105" s="269"/>
      <c r="AD2105" s="269"/>
      <c r="AE2105" s="269"/>
      <c r="AF2105" s="269"/>
      <c r="AG2105" s="269"/>
      <c r="AH2105" s="269"/>
      <c r="AI2105" s="269"/>
      <c r="AJ2105" s="269"/>
      <c r="AK2105" s="269"/>
      <c r="AL2105" s="269"/>
      <c r="AM2105" s="269"/>
      <c r="AN2105" s="269"/>
      <c r="AO2105" s="269"/>
      <c r="AP2105" s="269"/>
      <c r="AQ2105" s="269"/>
      <c r="AR2105" s="269"/>
    </row>
    <row r="2106">
      <c r="A2106" s="410"/>
      <c r="B2106" s="410"/>
      <c r="C2106" s="410"/>
      <c r="D2106" s="410"/>
      <c r="E2106" s="410"/>
      <c r="F2106" s="410"/>
      <c r="H2106" s="269"/>
      <c r="I2106" s="269"/>
      <c r="J2106" s="269"/>
      <c r="K2106" s="269"/>
      <c r="L2106" s="269"/>
      <c r="M2106" s="269"/>
      <c r="N2106" s="269"/>
      <c r="O2106" s="269"/>
      <c r="P2106" s="269"/>
      <c r="Q2106" s="269"/>
      <c r="R2106" s="269"/>
      <c r="S2106" s="269"/>
      <c r="T2106" s="269"/>
      <c r="U2106" s="269"/>
      <c r="V2106" s="269"/>
      <c r="W2106" s="269"/>
      <c r="X2106" s="269"/>
      <c r="Y2106" s="269"/>
      <c r="Z2106" s="269"/>
      <c r="AA2106" s="269"/>
      <c r="AB2106" s="269"/>
      <c r="AC2106" s="269"/>
      <c r="AD2106" s="269"/>
      <c r="AE2106" s="269"/>
      <c r="AF2106" s="269"/>
      <c r="AG2106" s="269"/>
      <c r="AH2106" s="269"/>
      <c r="AI2106" s="269"/>
      <c r="AJ2106" s="269"/>
      <c r="AK2106" s="269"/>
      <c r="AL2106" s="269"/>
      <c r="AM2106" s="269"/>
      <c r="AN2106" s="269"/>
      <c r="AO2106" s="269"/>
      <c r="AP2106" s="269"/>
      <c r="AQ2106" s="269"/>
      <c r="AR2106" s="269"/>
    </row>
    <row r="2107">
      <c r="A2107" s="410"/>
      <c r="B2107" s="410"/>
      <c r="C2107" s="410"/>
      <c r="D2107" s="410"/>
      <c r="E2107" s="410"/>
      <c r="F2107" s="410"/>
      <c r="H2107" s="269"/>
      <c r="I2107" s="269"/>
      <c r="J2107" s="269"/>
      <c r="K2107" s="269"/>
      <c r="L2107" s="269"/>
      <c r="M2107" s="269"/>
      <c r="N2107" s="269"/>
      <c r="O2107" s="269"/>
      <c r="P2107" s="269"/>
      <c r="Q2107" s="269"/>
      <c r="R2107" s="269"/>
      <c r="S2107" s="269"/>
      <c r="T2107" s="269"/>
      <c r="U2107" s="269"/>
      <c r="V2107" s="269"/>
      <c r="W2107" s="269"/>
      <c r="X2107" s="269"/>
      <c r="Y2107" s="269"/>
      <c r="Z2107" s="269"/>
      <c r="AA2107" s="269"/>
      <c r="AB2107" s="269"/>
      <c r="AC2107" s="269"/>
      <c r="AD2107" s="269"/>
      <c r="AE2107" s="269"/>
      <c r="AF2107" s="269"/>
      <c r="AG2107" s="269"/>
      <c r="AH2107" s="269"/>
      <c r="AI2107" s="269"/>
      <c r="AJ2107" s="269"/>
      <c r="AK2107" s="269"/>
      <c r="AL2107" s="269"/>
      <c r="AM2107" s="269"/>
      <c r="AN2107" s="269"/>
      <c r="AO2107" s="269"/>
      <c r="AP2107" s="269"/>
      <c r="AQ2107" s="269"/>
      <c r="AR2107" s="269"/>
    </row>
    <row r="2108">
      <c r="A2108" s="410"/>
      <c r="B2108" s="410"/>
      <c r="C2108" s="410"/>
      <c r="D2108" s="410"/>
      <c r="E2108" s="410"/>
      <c r="F2108" s="410"/>
      <c r="H2108" s="269"/>
      <c r="I2108" s="269"/>
      <c r="J2108" s="269"/>
      <c r="K2108" s="269"/>
      <c r="L2108" s="269"/>
      <c r="M2108" s="269"/>
      <c r="N2108" s="269"/>
      <c r="O2108" s="269"/>
      <c r="P2108" s="269"/>
      <c r="Q2108" s="269"/>
      <c r="R2108" s="269"/>
      <c r="S2108" s="269"/>
      <c r="T2108" s="269"/>
      <c r="U2108" s="269"/>
      <c r="V2108" s="269"/>
      <c r="W2108" s="269"/>
      <c r="X2108" s="269"/>
      <c r="Y2108" s="269"/>
      <c r="Z2108" s="269"/>
      <c r="AA2108" s="269"/>
      <c r="AB2108" s="269"/>
      <c r="AC2108" s="269"/>
      <c r="AD2108" s="269"/>
      <c r="AE2108" s="269"/>
      <c r="AF2108" s="269"/>
      <c r="AG2108" s="269"/>
      <c r="AH2108" s="269"/>
      <c r="AI2108" s="269"/>
      <c r="AJ2108" s="269"/>
      <c r="AK2108" s="269"/>
      <c r="AL2108" s="269"/>
      <c r="AM2108" s="269"/>
      <c r="AN2108" s="269"/>
      <c r="AO2108" s="269"/>
      <c r="AP2108" s="269"/>
      <c r="AQ2108" s="269"/>
      <c r="AR2108" s="269"/>
    </row>
    <row r="2109">
      <c r="A2109" s="410"/>
      <c r="B2109" s="410"/>
      <c r="C2109" s="410"/>
      <c r="D2109" s="410"/>
      <c r="E2109" s="410"/>
      <c r="F2109" s="410"/>
      <c r="H2109" s="269"/>
      <c r="I2109" s="269"/>
      <c r="J2109" s="269"/>
      <c r="K2109" s="269"/>
      <c r="L2109" s="269"/>
      <c r="M2109" s="269"/>
      <c r="N2109" s="269"/>
      <c r="O2109" s="269"/>
      <c r="P2109" s="269"/>
      <c r="Q2109" s="269"/>
      <c r="R2109" s="269"/>
      <c r="S2109" s="269"/>
      <c r="T2109" s="269"/>
      <c r="U2109" s="269"/>
      <c r="V2109" s="269"/>
      <c r="W2109" s="269"/>
      <c r="X2109" s="269"/>
      <c r="Y2109" s="269"/>
      <c r="Z2109" s="269"/>
      <c r="AA2109" s="269"/>
      <c r="AB2109" s="269"/>
      <c r="AC2109" s="269"/>
      <c r="AD2109" s="269"/>
      <c r="AE2109" s="269"/>
      <c r="AF2109" s="269"/>
      <c r="AG2109" s="269"/>
      <c r="AH2109" s="269"/>
      <c r="AI2109" s="269"/>
      <c r="AJ2109" s="269"/>
      <c r="AK2109" s="269"/>
      <c r="AL2109" s="269"/>
      <c r="AM2109" s="269"/>
      <c r="AN2109" s="269"/>
      <c r="AO2109" s="269"/>
      <c r="AP2109" s="269"/>
      <c r="AQ2109" s="269"/>
      <c r="AR2109" s="269"/>
    </row>
    <row r="2110">
      <c r="A2110" s="410"/>
      <c r="B2110" s="410"/>
      <c r="C2110" s="410"/>
      <c r="D2110" s="410"/>
      <c r="E2110" s="410"/>
      <c r="F2110" s="410"/>
      <c r="H2110" s="269"/>
      <c r="I2110" s="269"/>
      <c r="J2110" s="269"/>
      <c r="K2110" s="269"/>
      <c r="L2110" s="269"/>
      <c r="M2110" s="269"/>
      <c r="N2110" s="269"/>
      <c r="O2110" s="269"/>
      <c r="P2110" s="269"/>
      <c r="Q2110" s="269"/>
      <c r="R2110" s="269"/>
      <c r="S2110" s="269"/>
      <c r="T2110" s="269"/>
      <c r="U2110" s="269"/>
      <c r="V2110" s="269"/>
      <c r="W2110" s="269"/>
      <c r="X2110" s="269"/>
      <c r="Y2110" s="269"/>
      <c r="Z2110" s="269"/>
      <c r="AA2110" s="269"/>
      <c r="AB2110" s="269"/>
      <c r="AC2110" s="269"/>
      <c r="AD2110" s="269"/>
      <c r="AE2110" s="269"/>
      <c r="AF2110" s="269"/>
      <c r="AG2110" s="269"/>
      <c r="AH2110" s="269"/>
      <c r="AI2110" s="269"/>
      <c r="AJ2110" s="269"/>
      <c r="AK2110" s="269"/>
      <c r="AL2110" s="269"/>
      <c r="AM2110" s="269"/>
      <c r="AN2110" s="269"/>
      <c r="AO2110" s="269"/>
      <c r="AP2110" s="269"/>
      <c r="AQ2110" s="269"/>
      <c r="AR2110" s="269"/>
    </row>
    <row r="2111">
      <c r="A2111" s="410"/>
      <c r="B2111" s="410"/>
      <c r="C2111" s="410"/>
      <c r="D2111" s="410"/>
      <c r="E2111" s="410"/>
      <c r="F2111" s="410"/>
      <c r="H2111" s="269"/>
      <c r="I2111" s="269"/>
      <c r="J2111" s="269"/>
      <c r="K2111" s="269"/>
      <c r="L2111" s="269"/>
      <c r="M2111" s="269"/>
      <c r="N2111" s="269"/>
      <c r="O2111" s="269"/>
      <c r="P2111" s="269"/>
      <c r="Q2111" s="269"/>
      <c r="R2111" s="269"/>
      <c r="S2111" s="269"/>
      <c r="T2111" s="269"/>
      <c r="U2111" s="269"/>
      <c r="V2111" s="269"/>
      <c r="W2111" s="269"/>
      <c r="X2111" s="269"/>
      <c r="Y2111" s="269"/>
      <c r="Z2111" s="269"/>
      <c r="AA2111" s="269"/>
      <c r="AB2111" s="269"/>
      <c r="AC2111" s="269"/>
      <c r="AD2111" s="269"/>
      <c r="AE2111" s="269"/>
      <c r="AF2111" s="269"/>
      <c r="AG2111" s="269"/>
      <c r="AH2111" s="269"/>
      <c r="AI2111" s="269"/>
      <c r="AJ2111" s="269"/>
      <c r="AK2111" s="269"/>
      <c r="AL2111" s="269"/>
      <c r="AM2111" s="269"/>
      <c r="AN2111" s="269"/>
      <c r="AO2111" s="269"/>
      <c r="AP2111" s="269"/>
      <c r="AQ2111" s="269"/>
      <c r="AR2111" s="269"/>
    </row>
    <row r="2112">
      <c r="A2112" s="410"/>
      <c r="B2112" s="410"/>
      <c r="C2112" s="410"/>
      <c r="D2112" s="410"/>
      <c r="E2112" s="410"/>
      <c r="F2112" s="410"/>
      <c r="H2112" s="269"/>
      <c r="I2112" s="269"/>
      <c r="J2112" s="269"/>
      <c r="K2112" s="269"/>
      <c r="L2112" s="269"/>
      <c r="M2112" s="269"/>
      <c r="N2112" s="269"/>
      <c r="O2112" s="269"/>
      <c r="P2112" s="269"/>
      <c r="Q2112" s="269"/>
      <c r="R2112" s="269"/>
      <c r="S2112" s="269"/>
      <c r="T2112" s="269"/>
      <c r="U2112" s="269"/>
      <c r="V2112" s="269"/>
      <c r="W2112" s="269"/>
      <c r="X2112" s="269"/>
      <c r="Y2112" s="269"/>
      <c r="Z2112" s="269"/>
      <c r="AA2112" s="269"/>
      <c r="AB2112" s="269"/>
      <c r="AC2112" s="269"/>
      <c r="AD2112" s="269"/>
      <c r="AE2112" s="269"/>
      <c r="AF2112" s="269"/>
      <c r="AG2112" s="269"/>
      <c r="AH2112" s="269"/>
      <c r="AI2112" s="269"/>
      <c r="AJ2112" s="269"/>
      <c r="AK2112" s="269"/>
      <c r="AL2112" s="269"/>
      <c r="AM2112" s="269"/>
      <c r="AN2112" s="269"/>
      <c r="AO2112" s="269"/>
      <c r="AP2112" s="269"/>
      <c r="AQ2112" s="269"/>
      <c r="AR2112" s="269"/>
    </row>
    <row r="2113">
      <c r="A2113" s="410"/>
      <c r="B2113" s="410"/>
      <c r="C2113" s="410"/>
      <c r="D2113" s="410"/>
      <c r="E2113" s="410"/>
      <c r="F2113" s="410"/>
      <c r="H2113" s="269"/>
      <c r="I2113" s="269"/>
      <c r="J2113" s="269"/>
      <c r="K2113" s="269"/>
      <c r="L2113" s="269"/>
      <c r="M2113" s="269"/>
      <c r="N2113" s="269"/>
      <c r="O2113" s="269"/>
      <c r="P2113" s="269"/>
      <c r="Q2113" s="269"/>
      <c r="R2113" s="269"/>
      <c r="S2113" s="269"/>
      <c r="T2113" s="269"/>
      <c r="U2113" s="269"/>
      <c r="V2113" s="269"/>
      <c r="W2113" s="269"/>
      <c r="X2113" s="269"/>
      <c r="Y2113" s="269"/>
      <c r="Z2113" s="269"/>
      <c r="AA2113" s="269"/>
      <c r="AB2113" s="269"/>
      <c r="AC2113" s="269"/>
      <c r="AD2113" s="269"/>
      <c r="AE2113" s="269"/>
      <c r="AF2113" s="269"/>
      <c r="AG2113" s="269"/>
      <c r="AH2113" s="269"/>
      <c r="AI2113" s="269"/>
      <c r="AJ2113" s="269"/>
      <c r="AK2113" s="269"/>
      <c r="AL2113" s="269"/>
      <c r="AM2113" s="269"/>
      <c r="AN2113" s="269"/>
      <c r="AO2113" s="269"/>
      <c r="AP2113" s="269"/>
      <c r="AQ2113" s="269"/>
      <c r="AR2113" s="269"/>
    </row>
    <row r="2114">
      <c r="A2114" s="410"/>
      <c r="B2114" s="410"/>
      <c r="C2114" s="410"/>
      <c r="D2114" s="410"/>
      <c r="E2114" s="410"/>
      <c r="F2114" s="410"/>
      <c r="H2114" s="269"/>
      <c r="I2114" s="269"/>
      <c r="J2114" s="269"/>
      <c r="K2114" s="269"/>
      <c r="L2114" s="269"/>
      <c r="M2114" s="269"/>
      <c r="N2114" s="269"/>
      <c r="O2114" s="269"/>
      <c r="P2114" s="269"/>
      <c r="Q2114" s="269"/>
      <c r="R2114" s="269"/>
      <c r="S2114" s="269"/>
      <c r="T2114" s="269"/>
      <c r="U2114" s="269"/>
      <c r="V2114" s="269"/>
      <c r="W2114" s="269"/>
      <c r="X2114" s="269"/>
      <c r="Y2114" s="269"/>
      <c r="Z2114" s="269"/>
      <c r="AA2114" s="269"/>
      <c r="AB2114" s="269"/>
      <c r="AC2114" s="269"/>
      <c r="AD2114" s="269"/>
      <c r="AE2114" s="269"/>
      <c r="AF2114" s="269"/>
      <c r="AG2114" s="269"/>
      <c r="AH2114" s="269"/>
      <c r="AI2114" s="269"/>
      <c r="AJ2114" s="269"/>
      <c r="AK2114" s="269"/>
      <c r="AL2114" s="269"/>
      <c r="AM2114" s="269"/>
      <c r="AN2114" s="269"/>
      <c r="AO2114" s="269"/>
      <c r="AP2114" s="269"/>
      <c r="AQ2114" s="269"/>
      <c r="AR2114" s="269"/>
    </row>
    <row r="2115">
      <c r="A2115" s="410"/>
      <c r="B2115" s="410"/>
      <c r="C2115" s="410"/>
      <c r="D2115" s="410"/>
      <c r="E2115" s="410"/>
      <c r="F2115" s="410"/>
      <c r="H2115" s="269"/>
      <c r="I2115" s="269"/>
      <c r="J2115" s="269"/>
      <c r="K2115" s="269"/>
      <c r="L2115" s="269"/>
      <c r="M2115" s="269"/>
      <c r="N2115" s="269"/>
      <c r="O2115" s="269"/>
      <c r="P2115" s="269"/>
      <c r="Q2115" s="269"/>
      <c r="R2115" s="269"/>
      <c r="S2115" s="269"/>
      <c r="T2115" s="269"/>
      <c r="U2115" s="269"/>
      <c r="V2115" s="269"/>
      <c r="W2115" s="269"/>
      <c r="X2115" s="269"/>
      <c r="Y2115" s="269"/>
      <c r="Z2115" s="269"/>
      <c r="AA2115" s="269"/>
      <c r="AB2115" s="269"/>
      <c r="AC2115" s="269"/>
      <c r="AD2115" s="269"/>
      <c r="AE2115" s="269"/>
      <c r="AF2115" s="269"/>
      <c r="AG2115" s="269"/>
      <c r="AH2115" s="269"/>
      <c r="AI2115" s="269"/>
      <c r="AJ2115" s="269"/>
      <c r="AK2115" s="269"/>
      <c r="AL2115" s="269"/>
      <c r="AM2115" s="269"/>
      <c r="AN2115" s="269"/>
      <c r="AO2115" s="269"/>
      <c r="AP2115" s="269"/>
      <c r="AQ2115" s="269"/>
      <c r="AR2115" s="269"/>
    </row>
    <row r="2116">
      <c r="A2116" s="410"/>
      <c r="B2116" s="410"/>
      <c r="C2116" s="410"/>
      <c r="D2116" s="410"/>
      <c r="E2116" s="410"/>
      <c r="F2116" s="410"/>
      <c r="H2116" s="269"/>
      <c r="I2116" s="269"/>
      <c r="J2116" s="269"/>
      <c r="K2116" s="269"/>
      <c r="L2116" s="269"/>
      <c r="M2116" s="269"/>
      <c r="N2116" s="269"/>
      <c r="O2116" s="269"/>
      <c r="P2116" s="269"/>
      <c r="Q2116" s="269"/>
      <c r="R2116" s="269"/>
      <c r="S2116" s="269"/>
      <c r="T2116" s="269"/>
      <c r="U2116" s="269"/>
      <c r="V2116" s="269"/>
      <c r="W2116" s="269"/>
      <c r="X2116" s="269"/>
      <c r="Y2116" s="269"/>
      <c r="Z2116" s="269"/>
      <c r="AA2116" s="269"/>
      <c r="AB2116" s="269"/>
      <c r="AC2116" s="269"/>
      <c r="AD2116" s="269"/>
      <c r="AE2116" s="269"/>
      <c r="AF2116" s="269"/>
      <c r="AG2116" s="269"/>
      <c r="AH2116" s="269"/>
      <c r="AI2116" s="269"/>
      <c r="AJ2116" s="269"/>
      <c r="AK2116" s="269"/>
      <c r="AL2116" s="269"/>
      <c r="AM2116" s="269"/>
      <c r="AN2116" s="269"/>
      <c r="AO2116" s="269"/>
      <c r="AP2116" s="269"/>
      <c r="AQ2116" s="269"/>
      <c r="AR2116" s="269"/>
    </row>
    <row r="2117">
      <c r="A2117" s="410"/>
      <c r="B2117" s="410"/>
      <c r="C2117" s="410"/>
      <c r="D2117" s="410"/>
      <c r="E2117" s="410"/>
      <c r="F2117" s="410"/>
      <c r="H2117" s="269"/>
      <c r="I2117" s="269"/>
      <c r="J2117" s="269"/>
      <c r="K2117" s="269"/>
      <c r="L2117" s="269"/>
      <c r="M2117" s="269"/>
      <c r="N2117" s="269"/>
      <c r="O2117" s="269"/>
      <c r="P2117" s="269"/>
      <c r="Q2117" s="269"/>
      <c r="R2117" s="269"/>
      <c r="S2117" s="269"/>
      <c r="T2117" s="269"/>
      <c r="U2117" s="269"/>
      <c r="V2117" s="269"/>
      <c r="W2117" s="269"/>
      <c r="X2117" s="269"/>
      <c r="Y2117" s="269"/>
      <c r="Z2117" s="269"/>
      <c r="AA2117" s="269"/>
      <c r="AB2117" s="269"/>
      <c r="AC2117" s="269"/>
      <c r="AD2117" s="269"/>
      <c r="AE2117" s="269"/>
      <c r="AF2117" s="269"/>
      <c r="AG2117" s="269"/>
      <c r="AH2117" s="269"/>
      <c r="AI2117" s="269"/>
      <c r="AJ2117" s="269"/>
      <c r="AK2117" s="269"/>
      <c r="AL2117" s="269"/>
      <c r="AM2117" s="269"/>
      <c r="AN2117" s="269"/>
      <c r="AO2117" s="269"/>
      <c r="AP2117" s="269"/>
      <c r="AQ2117" s="269"/>
      <c r="AR2117" s="269"/>
    </row>
    <row r="2118">
      <c r="A2118" s="410"/>
      <c r="B2118" s="410"/>
      <c r="C2118" s="410"/>
      <c r="D2118" s="410"/>
      <c r="E2118" s="410"/>
      <c r="F2118" s="410"/>
      <c r="H2118" s="269"/>
      <c r="I2118" s="269"/>
      <c r="J2118" s="269"/>
      <c r="K2118" s="269"/>
      <c r="L2118" s="269"/>
      <c r="M2118" s="269"/>
      <c r="N2118" s="269"/>
      <c r="O2118" s="269"/>
      <c r="P2118" s="269"/>
      <c r="Q2118" s="269"/>
      <c r="R2118" s="269"/>
      <c r="S2118" s="269"/>
      <c r="T2118" s="269"/>
      <c r="U2118" s="269"/>
      <c r="V2118" s="269"/>
      <c r="W2118" s="269"/>
      <c r="X2118" s="269"/>
      <c r="Y2118" s="269"/>
      <c r="Z2118" s="269"/>
      <c r="AA2118" s="269"/>
      <c r="AB2118" s="269"/>
      <c r="AC2118" s="269"/>
      <c r="AD2118" s="269"/>
      <c r="AE2118" s="269"/>
      <c r="AF2118" s="269"/>
      <c r="AG2118" s="269"/>
      <c r="AH2118" s="269"/>
      <c r="AI2118" s="269"/>
      <c r="AJ2118" s="269"/>
      <c r="AK2118" s="269"/>
      <c r="AL2118" s="269"/>
      <c r="AM2118" s="269"/>
      <c r="AN2118" s="269"/>
      <c r="AO2118" s="269"/>
      <c r="AP2118" s="269"/>
      <c r="AQ2118" s="269"/>
      <c r="AR2118" s="269"/>
    </row>
    <row r="2119">
      <c r="A2119" s="410"/>
      <c r="B2119" s="410"/>
      <c r="C2119" s="410"/>
      <c r="D2119" s="410"/>
      <c r="E2119" s="410"/>
      <c r="F2119" s="410"/>
      <c r="H2119" s="269"/>
      <c r="I2119" s="269"/>
      <c r="J2119" s="269"/>
      <c r="K2119" s="269"/>
      <c r="L2119" s="269"/>
      <c r="M2119" s="269"/>
      <c r="N2119" s="269"/>
      <c r="O2119" s="269"/>
      <c r="P2119" s="269"/>
      <c r="Q2119" s="269"/>
      <c r="R2119" s="269"/>
      <c r="S2119" s="269"/>
      <c r="T2119" s="269"/>
      <c r="U2119" s="269"/>
      <c r="V2119" s="269"/>
      <c r="W2119" s="269"/>
      <c r="X2119" s="269"/>
      <c r="Y2119" s="269"/>
      <c r="Z2119" s="269"/>
      <c r="AA2119" s="269"/>
      <c r="AB2119" s="269"/>
      <c r="AC2119" s="269"/>
      <c r="AD2119" s="269"/>
      <c r="AE2119" s="269"/>
      <c r="AF2119" s="269"/>
      <c r="AG2119" s="269"/>
      <c r="AH2119" s="269"/>
      <c r="AI2119" s="269"/>
      <c r="AJ2119" s="269"/>
      <c r="AK2119" s="269"/>
      <c r="AL2119" s="269"/>
      <c r="AM2119" s="269"/>
      <c r="AN2119" s="269"/>
      <c r="AO2119" s="269"/>
      <c r="AP2119" s="269"/>
      <c r="AQ2119" s="269"/>
      <c r="AR2119" s="269"/>
    </row>
    <row r="2120">
      <c r="A2120" s="410"/>
      <c r="B2120" s="410"/>
      <c r="C2120" s="410"/>
      <c r="D2120" s="410"/>
      <c r="E2120" s="410"/>
      <c r="F2120" s="410"/>
      <c r="H2120" s="269"/>
      <c r="I2120" s="269"/>
      <c r="J2120" s="269"/>
      <c r="K2120" s="269"/>
      <c r="L2120" s="269"/>
      <c r="M2120" s="269"/>
      <c r="N2120" s="269"/>
      <c r="O2120" s="269"/>
      <c r="P2120" s="269"/>
      <c r="Q2120" s="269"/>
      <c r="R2120" s="269"/>
      <c r="S2120" s="269"/>
      <c r="T2120" s="269"/>
      <c r="U2120" s="269"/>
      <c r="V2120" s="269"/>
      <c r="W2120" s="269"/>
      <c r="X2120" s="269"/>
      <c r="Y2120" s="269"/>
      <c r="Z2120" s="269"/>
      <c r="AA2120" s="269"/>
      <c r="AB2120" s="269"/>
      <c r="AC2120" s="269"/>
      <c r="AD2120" s="269"/>
      <c r="AE2120" s="269"/>
      <c r="AF2120" s="269"/>
      <c r="AG2120" s="269"/>
      <c r="AH2120" s="269"/>
      <c r="AI2120" s="269"/>
      <c r="AJ2120" s="269"/>
      <c r="AK2120" s="269"/>
      <c r="AL2120" s="269"/>
      <c r="AM2120" s="269"/>
      <c r="AN2120" s="269"/>
      <c r="AO2120" s="269"/>
      <c r="AP2120" s="269"/>
      <c r="AQ2120" s="269"/>
      <c r="AR2120" s="269"/>
    </row>
    <row r="2121">
      <c r="A2121" s="410"/>
      <c r="B2121" s="410"/>
      <c r="C2121" s="410"/>
      <c r="D2121" s="410"/>
      <c r="E2121" s="410"/>
      <c r="F2121" s="410"/>
      <c r="H2121" s="269"/>
      <c r="I2121" s="269"/>
      <c r="J2121" s="269"/>
      <c r="K2121" s="269"/>
      <c r="L2121" s="269"/>
      <c r="M2121" s="269"/>
      <c r="N2121" s="269"/>
      <c r="O2121" s="269"/>
      <c r="P2121" s="269"/>
      <c r="Q2121" s="269"/>
      <c r="R2121" s="269"/>
      <c r="S2121" s="269"/>
      <c r="T2121" s="269"/>
      <c r="U2121" s="269"/>
      <c r="V2121" s="269"/>
      <c r="W2121" s="269"/>
      <c r="X2121" s="269"/>
      <c r="Y2121" s="269"/>
      <c r="Z2121" s="269"/>
      <c r="AA2121" s="269"/>
      <c r="AB2121" s="269"/>
      <c r="AC2121" s="269"/>
      <c r="AD2121" s="269"/>
      <c r="AE2121" s="269"/>
      <c r="AF2121" s="269"/>
      <c r="AG2121" s="269"/>
      <c r="AH2121" s="269"/>
      <c r="AI2121" s="269"/>
      <c r="AJ2121" s="269"/>
      <c r="AK2121" s="269"/>
      <c r="AL2121" s="269"/>
      <c r="AM2121" s="269"/>
      <c r="AN2121" s="269"/>
      <c r="AO2121" s="269"/>
      <c r="AP2121" s="269"/>
      <c r="AQ2121" s="269"/>
      <c r="AR2121" s="269"/>
    </row>
    <row r="2122">
      <c r="A2122" s="410"/>
      <c r="B2122" s="410"/>
      <c r="C2122" s="410"/>
      <c r="D2122" s="410"/>
      <c r="E2122" s="410"/>
      <c r="F2122" s="410"/>
      <c r="H2122" s="269"/>
      <c r="I2122" s="269"/>
      <c r="J2122" s="269"/>
      <c r="K2122" s="269"/>
      <c r="L2122" s="269"/>
      <c r="M2122" s="269"/>
      <c r="N2122" s="269"/>
      <c r="O2122" s="269"/>
      <c r="P2122" s="269"/>
      <c r="Q2122" s="269"/>
      <c r="R2122" s="269"/>
      <c r="S2122" s="269"/>
      <c r="T2122" s="269"/>
      <c r="U2122" s="269"/>
      <c r="V2122" s="269"/>
      <c r="W2122" s="269"/>
      <c r="X2122" s="269"/>
      <c r="Y2122" s="269"/>
      <c r="Z2122" s="269"/>
      <c r="AA2122" s="269"/>
      <c r="AB2122" s="269"/>
      <c r="AC2122" s="269"/>
      <c r="AD2122" s="269"/>
      <c r="AE2122" s="269"/>
      <c r="AF2122" s="269"/>
      <c r="AG2122" s="269"/>
      <c r="AH2122" s="269"/>
      <c r="AI2122" s="269"/>
      <c r="AJ2122" s="269"/>
      <c r="AK2122" s="269"/>
      <c r="AL2122" s="269"/>
      <c r="AM2122" s="269"/>
      <c r="AN2122" s="269"/>
      <c r="AO2122" s="269"/>
      <c r="AP2122" s="269"/>
      <c r="AQ2122" s="269"/>
      <c r="AR2122" s="269"/>
    </row>
    <row r="2123">
      <c r="A2123" s="410"/>
      <c r="B2123" s="410"/>
      <c r="C2123" s="410"/>
      <c r="D2123" s="410"/>
      <c r="E2123" s="410"/>
      <c r="F2123" s="410"/>
      <c r="H2123" s="269"/>
      <c r="I2123" s="269"/>
      <c r="J2123" s="269"/>
      <c r="K2123" s="269"/>
      <c r="L2123" s="269"/>
      <c r="M2123" s="269"/>
      <c r="N2123" s="269"/>
      <c r="O2123" s="269"/>
      <c r="P2123" s="269"/>
      <c r="Q2123" s="269"/>
      <c r="R2123" s="269"/>
      <c r="S2123" s="269"/>
      <c r="T2123" s="269"/>
      <c r="U2123" s="269"/>
      <c r="V2123" s="269"/>
      <c r="W2123" s="269"/>
      <c r="X2123" s="269"/>
      <c r="Y2123" s="269"/>
      <c r="Z2123" s="269"/>
      <c r="AA2123" s="269"/>
      <c r="AB2123" s="269"/>
      <c r="AC2123" s="269"/>
      <c r="AD2123" s="269"/>
      <c r="AE2123" s="269"/>
      <c r="AF2123" s="269"/>
      <c r="AG2123" s="269"/>
      <c r="AH2123" s="269"/>
      <c r="AI2123" s="269"/>
      <c r="AJ2123" s="269"/>
      <c r="AK2123" s="269"/>
      <c r="AL2123" s="269"/>
      <c r="AM2123" s="269"/>
      <c r="AN2123" s="269"/>
      <c r="AO2123" s="269"/>
      <c r="AP2123" s="269"/>
      <c r="AQ2123" s="269"/>
      <c r="AR2123" s="269"/>
    </row>
    <row r="2124">
      <c r="A2124" s="410"/>
      <c r="B2124" s="410"/>
      <c r="C2124" s="410"/>
      <c r="D2124" s="410"/>
      <c r="E2124" s="410"/>
      <c r="F2124" s="410"/>
      <c r="H2124" s="269"/>
      <c r="I2124" s="269"/>
      <c r="J2124" s="269"/>
      <c r="K2124" s="269"/>
      <c r="L2124" s="269"/>
      <c r="M2124" s="269"/>
      <c r="N2124" s="269"/>
      <c r="O2124" s="269"/>
      <c r="P2124" s="269"/>
      <c r="Q2124" s="269"/>
      <c r="R2124" s="269"/>
      <c r="S2124" s="269"/>
      <c r="T2124" s="269"/>
      <c r="U2124" s="269"/>
      <c r="V2124" s="269"/>
      <c r="W2124" s="269"/>
      <c r="X2124" s="269"/>
      <c r="Y2124" s="269"/>
      <c r="Z2124" s="269"/>
      <c r="AA2124" s="269"/>
      <c r="AB2124" s="269"/>
      <c r="AC2124" s="269"/>
      <c r="AD2124" s="269"/>
      <c r="AE2124" s="269"/>
      <c r="AF2124" s="269"/>
      <c r="AG2124" s="269"/>
      <c r="AH2124" s="269"/>
      <c r="AI2124" s="269"/>
      <c r="AJ2124" s="269"/>
      <c r="AK2124" s="269"/>
      <c r="AL2124" s="269"/>
      <c r="AM2124" s="269"/>
      <c r="AN2124" s="269"/>
      <c r="AO2124" s="269"/>
      <c r="AP2124" s="269"/>
      <c r="AQ2124" s="269"/>
      <c r="AR2124" s="269"/>
    </row>
    <row r="2125">
      <c r="A2125" s="410"/>
      <c r="B2125" s="410"/>
      <c r="C2125" s="410"/>
      <c r="D2125" s="410"/>
      <c r="E2125" s="410"/>
      <c r="F2125" s="410"/>
      <c r="H2125" s="269"/>
      <c r="I2125" s="269"/>
      <c r="J2125" s="269"/>
      <c r="K2125" s="269"/>
      <c r="L2125" s="269"/>
      <c r="M2125" s="269"/>
      <c r="N2125" s="269"/>
      <c r="O2125" s="269"/>
      <c r="P2125" s="269"/>
      <c r="Q2125" s="269"/>
      <c r="R2125" s="269"/>
      <c r="S2125" s="269"/>
      <c r="T2125" s="269"/>
      <c r="U2125" s="269"/>
      <c r="V2125" s="269"/>
      <c r="W2125" s="269"/>
      <c r="X2125" s="269"/>
      <c r="Y2125" s="269"/>
      <c r="Z2125" s="269"/>
      <c r="AA2125" s="269"/>
      <c r="AB2125" s="269"/>
      <c r="AC2125" s="269"/>
      <c r="AD2125" s="269"/>
      <c r="AE2125" s="269"/>
      <c r="AF2125" s="269"/>
      <c r="AG2125" s="269"/>
      <c r="AH2125" s="269"/>
      <c r="AI2125" s="269"/>
      <c r="AJ2125" s="269"/>
      <c r="AK2125" s="269"/>
      <c r="AL2125" s="269"/>
      <c r="AM2125" s="269"/>
      <c r="AN2125" s="269"/>
      <c r="AO2125" s="269"/>
      <c r="AP2125" s="269"/>
      <c r="AQ2125" s="269"/>
      <c r="AR2125" s="269"/>
    </row>
    <row r="2126">
      <c r="A2126" s="410"/>
      <c r="B2126" s="410"/>
      <c r="C2126" s="410"/>
      <c r="D2126" s="410"/>
      <c r="E2126" s="410"/>
      <c r="F2126" s="410"/>
      <c r="H2126" s="269"/>
      <c r="I2126" s="269"/>
      <c r="J2126" s="269"/>
      <c r="K2126" s="269"/>
      <c r="L2126" s="269"/>
      <c r="M2126" s="269"/>
      <c r="N2126" s="269"/>
      <c r="O2126" s="269"/>
      <c r="P2126" s="269"/>
      <c r="Q2126" s="269"/>
      <c r="R2126" s="269"/>
      <c r="S2126" s="269"/>
      <c r="T2126" s="269"/>
      <c r="U2126" s="269"/>
      <c r="V2126" s="269"/>
      <c r="W2126" s="269"/>
      <c r="X2126" s="269"/>
      <c r="Y2126" s="269"/>
      <c r="Z2126" s="269"/>
      <c r="AA2126" s="269"/>
      <c r="AB2126" s="269"/>
      <c r="AC2126" s="269"/>
      <c r="AD2126" s="269"/>
      <c r="AE2126" s="269"/>
      <c r="AF2126" s="269"/>
      <c r="AG2126" s="269"/>
      <c r="AH2126" s="269"/>
      <c r="AI2126" s="269"/>
      <c r="AJ2126" s="269"/>
      <c r="AK2126" s="269"/>
      <c r="AL2126" s="269"/>
      <c r="AM2126" s="269"/>
      <c r="AN2126" s="269"/>
      <c r="AO2126" s="269"/>
      <c r="AP2126" s="269"/>
      <c r="AQ2126" s="269"/>
      <c r="AR2126" s="269"/>
    </row>
    <row r="2127">
      <c r="A2127" s="410"/>
      <c r="B2127" s="410"/>
      <c r="C2127" s="410"/>
      <c r="D2127" s="410"/>
      <c r="E2127" s="410"/>
      <c r="F2127" s="410"/>
      <c r="H2127" s="269"/>
      <c r="I2127" s="269"/>
      <c r="J2127" s="269"/>
      <c r="K2127" s="269"/>
      <c r="L2127" s="269"/>
      <c r="M2127" s="269"/>
      <c r="N2127" s="269"/>
      <c r="O2127" s="269"/>
      <c r="P2127" s="269"/>
      <c r="Q2127" s="269"/>
      <c r="R2127" s="269"/>
      <c r="S2127" s="269"/>
      <c r="T2127" s="269"/>
      <c r="U2127" s="269"/>
      <c r="V2127" s="269"/>
      <c r="W2127" s="269"/>
      <c r="X2127" s="269"/>
      <c r="Y2127" s="269"/>
      <c r="Z2127" s="269"/>
      <c r="AA2127" s="269"/>
      <c r="AB2127" s="269"/>
      <c r="AC2127" s="269"/>
      <c r="AD2127" s="269"/>
      <c r="AE2127" s="269"/>
      <c r="AF2127" s="269"/>
      <c r="AG2127" s="269"/>
      <c r="AH2127" s="269"/>
      <c r="AI2127" s="269"/>
      <c r="AJ2127" s="269"/>
      <c r="AK2127" s="269"/>
      <c r="AL2127" s="269"/>
      <c r="AM2127" s="269"/>
      <c r="AN2127" s="269"/>
      <c r="AO2127" s="269"/>
      <c r="AP2127" s="269"/>
      <c r="AQ2127" s="269"/>
      <c r="AR2127" s="269"/>
    </row>
    <row r="2128">
      <c r="A2128" s="410"/>
      <c r="B2128" s="410"/>
      <c r="C2128" s="410"/>
      <c r="D2128" s="410"/>
      <c r="E2128" s="410"/>
      <c r="F2128" s="410"/>
      <c r="H2128" s="269"/>
      <c r="I2128" s="269"/>
      <c r="J2128" s="269"/>
      <c r="K2128" s="269"/>
      <c r="L2128" s="269"/>
      <c r="M2128" s="269"/>
      <c r="N2128" s="269"/>
      <c r="O2128" s="269"/>
      <c r="P2128" s="269"/>
      <c r="Q2128" s="269"/>
      <c r="R2128" s="269"/>
      <c r="S2128" s="269"/>
      <c r="T2128" s="269"/>
      <c r="U2128" s="269"/>
      <c r="V2128" s="269"/>
      <c r="W2128" s="269"/>
      <c r="X2128" s="269"/>
      <c r="Y2128" s="269"/>
      <c r="Z2128" s="269"/>
      <c r="AA2128" s="269"/>
      <c r="AB2128" s="269"/>
      <c r="AC2128" s="269"/>
      <c r="AD2128" s="269"/>
      <c r="AE2128" s="269"/>
      <c r="AF2128" s="269"/>
      <c r="AG2128" s="269"/>
      <c r="AH2128" s="269"/>
      <c r="AI2128" s="269"/>
      <c r="AJ2128" s="269"/>
      <c r="AK2128" s="269"/>
      <c r="AL2128" s="269"/>
      <c r="AM2128" s="269"/>
      <c r="AN2128" s="269"/>
      <c r="AO2128" s="269"/>
      <c r="AP2128" s="269"/>
      <c r="AQ2128" s="269"/>
      <c r="AR2128" s="269"/>
    </row>
    <row r="2129">
      <c r="A2129" s="410"/>
      <c r="B2129" s="410"/>
      <c r="C2129" s="410"/>
      <c r="D2129" s="410"/>
      <c r="E2129" s="410"/>
      <c r="F2129" s="410"/>
      <c r="H2129" s="269"/>
      <c r="I2129" s="269"/>
      <c r="J2129" s="269"/>
      <c r="K2129" s="269"/>
      <c r="L2129" s="269"/>
      <c r="M2129" s="269"/>
      <c r="N2129" s="269"/>
      <c r="O2129" s="269"/>
      <c r="P2129" s="269"/>
      <c r="Q2129" s="269"/>
      <c r="R2129" s="269"/>
      <c r="S2129" s="269"/>
      <c r="T2129" s="269"/>
      <c r="U2129" s="269"/>
      <c r="V2129" s="269"/>
      <c r="W2129" s="269"/>
      <c r="X2129" s="269"/>
      <c r="Y2129" s="269"/>
      <c r="Z2129" s="269"/>
      <c r="AA2129" s="269"/>
      <c r="AB2129" s="269"/>
      <c r="AC2129" s="269"/>
      <c r="AD2129" s="269"/>
      <c r="AE2129" s="269"/>
      <c r="AF2129" s="269"/>
      <c r="AG2129" s="269"/>
      <c r="AH2129" s="269"/>
      <c r="AI2129" s="269"/>
      <c r="AJ2129" s="269"/>
      <c r="AK2129" s="269"/>
      <c r="AL2129" s="269"/>
      <c r="AM2129" s="269"/>
      <c r="AN2129" s="269"/>
      <c r="AO2129" s="269"/>
      <c r="AP2129" s="269"/>
      <c r="AQ2129" s="269"/>
      <c r="AR2129" s="269"/>
    </row>
    <row r="2130">
      <c r="A2130" s="410"/>
      <c r="B2130" s="410"/>
      <c r="C2130" s="410"/>
      <c r="D2130" s="410"/>
      <c r="E2130" s="410"/>
      <c r="F2130" s="410"/>
      <c r="H2130" s="269"/>
      <c r="I2130" s="269"/>
      <c r="J2130" s="269"/>
      <c r="K2130" s="269"/>
      <c r="L2130" s="269"/>
      <c r="M2130" s="269"/>
      <c r="N2130" s="269"/>
      <c r="O2130" s="269"/>
      <c r="P2130" s="269"/>
      <c r="Q2130" s="269"/>
      <c r="R2130" s="269"/>
      <c r="S2130" s="269"/>
      <c r="T2130" s="269"/>
      <c r="U2130" s="269"/>
      <c r="V2130" s="269"/>
      <c r="W2130" s="269"/>
      <c r="X2130" s="269"/>
      <c r="Y2130" s="269"/>
      <c r="Z2130" s="269"/>
      <c r="AA2130" s="269"/>
      <c r="AB2130" s="269"/>
      <c r="AC2130" s="269"/>
      <c r="AD2130" s="269"/>
      <c r="AE2130" s="269"/>
      <c r="AF2130" s="269"/>
      <c r="AG2130" s="269"/>
      <c r="AH2130" s="269"/>
      <c r="AI2130" s="269"/>
      <c r="AJ2130" s="269"/>
      <c r="AK2130" s="269"/>
      <c r="AL2130" s="269"/>
      <c r="AM2130" s="269"/>
      <c r="AN2130" s="269"/>
      <c r="AO2130" s="269"/>
      <c r="AP2130" s="269"/>
      <c r="AQ2130" s="269"/>
      <c r="AR2130" s="269"/>
    </row>
    <row r="2131">
      <c r="A2131" s="410"/>
      <c r="B2131" s="410"/>
      <c r="C2131" s="410"/>
      <c r="D2131" s="410"/>
      <c r="E2131" s="410"/>
      <c r="F2131" s="410"/>
      <c r="H2131" s="269"/>
      <c r="I2131" s="269"/>
      <c r="J2131" s="269"/>
      <c r="K2131" s="269"/>
      <c r="L2131" s="269"/>
      <c r="M2131" s="269"/>
      <c r="N2131" s="269"/>
      <c r="O2131" s="269"/>
      <c r="P2131" s="269"/>
      <c r="Q2131" s="269"/>
      <c r="R2131" s="269"/>
      <c r="S2131" s="269"/>
      <c r="T2131" s="269"/>
      <c r="U2131" s="269"/>
      <c r="V2131" s="269"/>
      <c r="W2131" s="269"/>
      <c r="X2131" s="269"/>
      <c r="Y2131" s="269"/>
      <c r="Z2131" s="269"/>
      <c r="AA2131" s="269"/>
      <c r="AB2131" s="269"/>
      <c r="AC2131" s="269"/>
      <c r="AD2131" s="269"/>
      <c r="AE2131" s="269"/>
      <c r="AF2131" s="269"/>
      <c r="AG2131" s="269"/>
      <c r="AH2131" s="269"/>
      <c r="AI2131" s="269"/>
      <c r="AJ2131" s="269"/>
      <c r="AK2131" s="269"/>
      <c r="AL2131" s="269"/>
      <c r="AM2131" s="269"/>
      <c r="AN2131" s="269"/>
      <c r="AO2131" s="269"/>
      <c r="AP2131" s="269"/>
      <c r="AQ2131" s="269"/>
      <c r="AR2131" s="269"/>
    </row>
    <row r="2132">
      <c r="A2132" s="410"/>
      <c r="B2132" s="410"/>
      <c r="C2132" s="410"/>
      <c r="D2132" s="410"/>
      <c r="E2132" s="410"/>
      <c r="F2132" s="410"/>
      <c r="H2132" s="269"/>
      <c r="I2132" s="269"/>
      <c r="J2132" s="269"/>
      <c r="K2132" s="269"/>
      <c r="L2132" s="269"/>
      <c r="M2132" s="269"/>
      <c r="N2132" s="269"/>
      <c r="O2132" s="269"/>
      <c r="P2132" s="269"/>
      <c r="Q2132" s="269"/>
      <c r="R2132" s="269"/>
      <c r="S2132" s="269"/>
      <c r="T2132" s="269"/>
      <c r="U2132" s="269"/>
      <c r="V2132" s="269"/>
      <c r="W2132" s="269"/>
      <c r="X2132" s="269"/>
      <c r="Y2132" s="269"/>
      <c r="Z2132" s="269"/>
      <c r="AA2132" s="269"/>
      <c r="AB2132" s="269"/>
      <c r="AC2132" s="269"/>
      <c r="AD2132" s="269"/>
      <c r="AE2132" s="269"/>
      <c r="AF2132" s="269"/>
      <c r="AG2132" s="269"/>
      <c r="AH2132" s="269"/>
      <c r="AI2132" s="269"/>
      <c r="AJ2132" s="269"/>
      <c r="AK2132" s="269"/>
      <c r="AL2132" s="269"/>
      <c r="AM2132" s="269"/>
      <c r="AN2132" s="269"/>
      <c r="AO2132" s="269"/>
      <c r="AP2132" s="269"/>
      <c r="AQ2132" s="269"/>
      <c r="AR2132" s="269"/>
    </row>
    <row r="2133">
      <c r="A2133" s="410"/>
      <c r="B2133" s="410"/>
      <c r="C2133" s="410"/>
      <c r="D2133" s="410"/>
      <c r="E2133" s="410"/>
      <c r="F2133" s="410"/>
      <c r="H2133" s="269"/>
      <c r="I2133" s="269"/>
      <c r="J2133" s="269"/>
      <c r="K2133" s="269"/>
      <c r="L2133" s="269"/>
      <c r="M2133" s="269"/>
      <c r="N2133" s="269"/>
      <c r="O2133" s="269"/>
      <c r="P2133" s="269"/>
      <c r="Q2133" s="269"/>
      <c r="R2133" s="269"/>
      <c r="S2133" s="269"/>
      <c r="T2133" s="269"/>
      <c r="U2133" s="269"/>
      <c r="V2133" s="269"/>
      <c r="W2133" s="269"/>
      <c r="X2133" s="269"/>
      <c r="Y2133" s="269"/>
      <c r="Z2133" s="269"/>
      <c r="AA2133" s="269"/>
      <c r="AB2133" s="269"/>
      <c r="AC2133" s="269"/>
      <c r="AD2133" s="269"/>
      <c r="AE2133" s="269"/>
      <c r="AF2133" s="269"/>
      <c r="AG2133" s="269"/>
      <c r="AH2133" s="269"/>
      <c r="AI2133" s="269"/>
      <c r="AJ2133" s="269"/>
      <c r="AK2133" s="269"/>
      <c r="AL2133" s="269"/>
      <c r="AM2133" s="269"/>
      <c r="AN2133" s="269"/>
      <c r="AO2133" s="269"/>
      <c r="AP2133" s="269"/>
      <c r="AQ2133" s="269"/>
      <c r="AR2133" s="269"/>
    </row>
    <row r="2134">
      <c r="A2134" s="410"/>
      <c r="B2134" s="410"/>
      <c r="C2134" s="410"/>
      <c r="D2134" s="410"/>
      <c r="E2134" s="410"/>
      <c r="F2134" s="410"/>
      <c r="H2134" s="269"/>
      <c r="I2134" s="269"/>
      <c r="J2134" s="269"/>
      <c r="K2134" s="269"/>
      <c r="L2134" s="269"/>
      <c r="M2134" s="269"/>
      <c r="N2134" s="269"/>
      <c r="O2134" s="269"/>
      <c r="P2134" s="269"/>
      <c r="Q2134" s="269"/>
      <c r="R2134" s="269"/>
      <c r="S2134" s="269"/>
      <c r="T2134" s="269"/>
      <c r="U2134" s="269"/>
      <c r="V2134" s="269"/>
      <c r="W2134" s="269"/>
      <c r="X2134" s="269"/>
      <c r="Y2134" s="269"/>
      <c r="Z2134" s="269"/>
      <c r="AA2134" s="269"/>
      <c r="AB2134" s="269"/>
      <c r="AC2134" s="269"/>
      <c r="AD2134" s="269"/>
      <c r="AE2134" s="269"/>
      <c r="AF2134" s="269"/>
      <c r="AG2134" s="269"/>
      <c r="AH2134" s="269"/>
      <c r="AI2134" s="269"/>
      <c r="AJ2134" s="269"/>
      <c r="AK2134" s="269"/>
      <c r="AL2134" s="269"/>
      <c r="AM2134" s="269"/>
      <c r="AN2134" s="269"/>
      <c r="AO2134" s="269"/>
      <c r="AP2134" s="269"/>
      <c r="AQ2134" s="269"/>
      <c r="AR2134" s="269"/>
    </row>
    <row r="2135">
      <c r="A2135" s="410"/>
      <c r="B2135" s="410"/>
      <c r="C2135" s="410"/>
      <c r="D2135" s="410"/>
      <c r="E2135" s="410"/>
      <c r="F2135" s="410"/>
      <c r="H2135" s="269"/>
      <c r="I2135" s="269"/>
      <c r="J2135" s="269"/>
      <c r="K2135" s="269"/>
      <c r="L2135" s="269"/>
      <c r="M2135" s="269"/>
      <c r="N2135" s="269"/>
      <c r="O2135" s="269"/>
      <c r="P2135" s="269"/>
      <c r="Q2135" s="269"/>
      <c r="R2135" s="269"/>
      <c r="S2135" s="269"/>
      <c r="T2135" s="269"/>
      <c r="U2135" s="269"/>
      <c r="V2135" s="269"/>
      <c r="W2135" s="269"/>
      <c r="X2135" s="269"/>
      <c r="Y2135" s="269"/>
      <c r="Z2135" s="269"/>
      <c r="AA2135" s="269"/>
      <c r="AB2135" s="269"/>
      <c r="AC2135" s="269"/>
      <c r="AD2135" s="269"/>
      <c r="AE2135" s="269"/>
      <c r="AF2135" s="269"/>
      <c r="AG2135" s="269"/>
      <c r="AH2135" s="269"/>
      <c r="AI2135" s="269"/>
      <c r="AJ2135" s="269"/>
      <c r="AK2135" s="269"/>
      <c r="AL2135" s="269"/>
      <c r="AM2135" s="269"/>
      <c r="AN2135" s="269"/>
      <c r="AO2135" s="269"/>
      <c r="AP2135" s="269"/>
      <c r="AQ2135" s="269"/>
      <c r="AR2135" s="269"/>
    </row>
    <row r="2136">
      <c r="A2136" s="410"/>
      <c r="B2136" s="410"/>
      <c r="C2136" s="410"/>
      <c r="D2136" s="410"/>
      <c r="E2136" s="410"/>
      <c r="F2136" s="410"/>
      <c r="H2136" s="269"/>
      <c r="I2136" s="269"/>
      <c r="J2136" s="269"/>
      <c r="K2136" s="269"/>
      <c r="L2136" s="269"/>
      <c r="M2136" s="269"/>
      <c r="N2136" s="269"/>
      <c r="O2136" s="269"/>
      <c r="P2136" s="269"/>
      <c r="Q2136" s="269"/>
      <c r="R2136" s="269"/>
      <c r="S2136" s="269"/>
      <c r="T2136" s="269"/>
      <c r="U2136" s="269"/>
      <c r="V2136" s="269"/>
      <c r="W2136" s="269"/>
      <c r="X2136" s="269"/>
      <c r="Y2136" s="269"/>
      <c r="Z2136" s="269"/>
      <c r="AA2136" s="269"/>
      <c r="AB2136" s="269"/>
      <c r="AC2136" s="269"/>
      <c r="AD2136" s="269"/>
      <c r="AE2136" s="269"/>
      <c r="AF2136" s="269"/>
      <c r="AG2136" s="269"/>
      <c r="AH2136" s="269"/>
      <c r="AI2136" s="269"/>
      <c r="AJ2136" s="269"/>
      <c r="AK2136" s="269"/>
      <c r="AL2136" s="269"/>
      <c r="AM2136" s="269"/>
      <c r="AN2136" s="269"/>
      <c r="AO2136" s="269"/>
      <c r="AP2136" s="269"/>
      <c r="AQ2136" s="269"/>
      <c r="AR2136" s="269"/>
    </row>
    <row r="2137">
      <c r="A2137" s="410"/>
      <c r="B2137" s="410"/>
      <c r="C2137" s="410"/>
      <c r="D2137" s="410"/>
      <c r="E2137" s="410"/>
      <c r="F2137" s="410"/>
      <c r="H2137" s="269"/>
      <c r="I2137" s="269"/>
      <c r="J2137" s="269"/>
      <c r="K2137" s="269"/>
      <c r="L2137" s="269"/>
      <c r="M2137" s="269"/>
      <c r="N2137" s="269"/>
      <c r="O2137" s="269"/>
      <c r="P2137" s="269"/>
      <c r="Q2137" s="269"/>
      <c r="R2137" s="269"/>
      <c r="S2137" s="269"/>
      <c r="T2137" s="269"/>
      <c r="U2137" s="269"/>
      <c r="V2137" s="269"/>
      <c r="W2137" s="269"/>
      <c r="X2137" s="269"/>
      <c r="Y2137" s="269"/>
      <c r="Z2137" s="269"/>
      <c r="AA2137" s="269"/>
      <c r="AB2137" s="269"/>
      <c r="AC2137" s="269"/>
      <c r="AD2137" s="269"/>
      <c r="AE2137" s="269"/>
      <c r="AF2137" s="269"/>
      <c r="AG2137" s="269"/>
      <c r="AH2137" s="269"/>
      <c r="AI2137" s="269"/>
      <c r="AJ2137" s="269"/>
      <c r="AK2137" s="269"/>
      <c r="AL2137" s="269"/>
      <c r="AM2137" s="269"/>
      <c r="AN2137" s="269"/>
      <c r="AO2137" s="269"/>
      <c r="AP2137" s="269"/>
      <c r="AQ2137" s="269"/>
      <c r="AR2137" s="269"/>
    </row>
    <row r="2138">
      <c r="A2138" s="410"/>
      <c r="B2138" s="410"/>
      <c r="C2138" s="410"/>
      <c r="D2138" s="410"/>
      <c r="E2138" s="410"/>
      <c r="F2138" s="410"/>
      <c r="H2138" s="269"/>
      <c r="I2138" s="269"/>
      <c r="J2138" s="269"/>
      <c r="K2138" s="269"/>
      <c r="L2138" s="269"/>
      <c r="M2138" s="269"/>
      <c r="N2138" s="269"/>
      <c r="O2138" s="269"/>
      <c r="P2138" s="269"/>
      <c r="Q2138" s="269"/>
      <c r="R2138" s="269"/>
      <c r="S2138" s="269"/>
      <c r="T2138" s="269"/>
      <c r="U2138" s="269"/>
      <c r="V2138" s="269"/>
      <c r="W2138" s="269"/>
      <c r="X2138" s="269"/>
      <c r="Y2138" s="269"/>
      <c r="Z2138" s="269"/>
      <c r="AA2138" s="269"/>
      <c r="AB2138" s="269"/>
      <c r="AC2138" s="269"/>
      <c r="AD2138" s="269"/>
      <c r="AE2138" s="269"/>
      <c r="AF2138" s="269"/>
      <c r="AG2138" s="269"/>
      <c r="AH2138" s="269"/>
      <c r="AI2138" s="269"/>
      <c r="AJ2138" s="269"/>
      <c r="AK2138" s="269"/>
      <c r="AL2138" s="269"/>
      <c r="AM2138" s="269"/>
      <c r="AN2138" s="269"/>
      <c r="AO2138" s="269"/>
      <c r="AP2138" s="269"/>
      <c r="AQ2138" s="269"/>
      <c r="AR2138" s="269"/>
    </row>
    <row r="2139">
      <c r="A2139" s="410"/>
      <c r="B2139" s="410"/>
      <c r="C2139" s="410"/>
      <c r="D2139" s="410"/>
      <c r="E2139" s="410"/>
      <c r="F2139" s="410"/>
      <c r="H2139" s="269"/>
      <c r="I2139" s="269"/>
      <c r="J2139" s="269"/>
      <c r="K2139" s="269"/>
      <c r="L2139" s="269"/>
      <c r="M2139" s="269"/>
      <c r="N2139" s="269"/>
      <c r="O2139" s="269"/>
      <c r="P2139" s="269"/>
      <c r="Q2139" s="269"/>
      <c r="R2139" s="269"/>
      <c r="S2139" s="269"/>
      <c r="T2139" s="269"/>
      <c r="U2139" s="269"/>
      <c r="V2139" s="269"/>
      <c r="W2139" s="269"/>
      <c r="X2139" s="269"/>
      <c r="Y2139" s="269"/>
      <c r="Z2139" s="269"/>
      <c r="AA2139" s="269"/>
      <c r="AB2139" s="269"/>
      <c r="AC2139" s="269"/>
      <c r="AD2139" s="269"/>
      <c r="AE2139" s="269"/>
      <c r="AF2139" s="269"/>
      <c r="AG2139" s="269"/>
      <c r="AH2139" s="269"/>
      <c r="AI2139" s="269"/>
      <c r="AJ2139" s="269"/>
      <c r="AK2139" s="269"/>
      <c r="AL2139" s="269"/>
      <c r="AM2139" s="269"/>
      <c r="AN2139" s="269"/>
      <c r="AO2139" s="269"/>
      <c r="AP2139" s="269"/>
      <c r="AQ2139" s="269"/>
      <c r="AR2139" s="269"/>
    </row>
    <row r="2140">
      <c r="A2140" s="410"/>
      <c r="B2140" s="410"/>
      <c r="C2140" s="410"/>
      <c r="D2140" s="410"/>
      <c r="E2140" s="410"/>
      <c r="F2140" s="410"/>
      <c r="H2140" s="269"/>
      <c r="I2140" s="269"/>
      <c r="J2140" s="269"/>
      <c r="K2140" s="269"/>
      <c r="L2140" s="269"/>
      <c r="M2140" s="269"/>
      <c r="N2140" s="269"/>
      <c r="O2140" s="269"/>
      <c r="P2140" s="269"/>
      <c r="Q2140" s="269"/>
      <c r="R2140" s="269"/>
      <c r="S2140" s="269"/>
      <c r="T2140" s="269"/>
      <c r="U2140" s="269"/>
      <c r="V2140" s="269"/>
      <c r="W2140" s="269"/>
      <c r="X2140" s="269"/>
      <c r="Y2140" s="269"/>
      <c r="Z2140" s="269"/>
      <c r="AA2140" s="269"/>
      <c r="AB2140" s="269"/>
      <c r="AC2140" s="269"/>
      <c r="AD2140" s="269"/>
      <c r="AE2140" s="269"/>
      <c r="AF2140" s="269"/>
      <c r="AG2140" s="269"/>
      <c r="AH2140" s="269"/>
      <c r="AI2140" s="269"/>
      <c r="AJ2140" s="269"/>
      <c r="AK2140" s="269"/>
      <c r="AL2140" s="269"/>
      <c r="AM2140" s="269"/>
      <c r="AN2140" s="269"/>
      <c r="AO2140" s="269"/>
      <c r="AP2140" s="269"/>
      <c r="AQ2140" s="269"/>
      <c r="AR2140" s="269"/>
    </row>
    <row r="2141">
      <c r="A2141" s="410"/>
      <c r="B2141" s="410"/>
      <c r="C2141" s="410"/>
      <c r="D2141" s="410"/>
      <c r="E2141" s="410"/>
      <c r="F2141" s="410"/>
      <c r="H2141" s="269"/>
      <c r="I2141" s="269"/>
      <c r="J2141" s="269"/>
      <c r="K2141" s="269"/>
      <c r="L2141" s="269"/>
      <c r="M2141" s="269"/>
      <c r="N2141" s="269"/>
      <c r="O2141" s="269"/>
      <c r="P2141" s="269"/>
      <c r="Q2141" s="269"/>
      <c r="R2141" s="269"/>
      <c r="S2141" s="269"/>
      <c r="T2141" s="269"/>
      <c r="U2141" s="269"/>
      <c r="V2141" s="269"/>
      <c r="W2141" s="269"/>
      <c r="X2141" s="269"/>
      <c r="Y2141" s="269"/>
      <c r="Z2141" s="269"/>
      <c r="AA2141" s="269"/>
      <c r="AB2141" s="269"/>
      <c r="AC2141" s="269"/>
      <c r="AD2141" s="269"/>
      <c r="AE2141" s="269"/>
      <c r="AF2141" s="269"/>
      <c r="AG2141" s="269"/>
      <c r="AH2141" s="269"/>
      <c r="AI2141" s="269"/>
      <c r="AJ2141" s="269"/>
      <c r="AK2141" s="269"/>
      <c r="AL2141" s="269"/>
      <c r="AM2141" s="269"/>
      <c r="AN2141" s="269"/>
      <c r="AO2141" s="269"/>
      <c r="AP2141" s="269"/>
      <c r="AQ2141" s="269"/>
      <c r="AR2141" s="269"/>
    </row>
    <row r="2142">
      <c r="A2142" s="410"/>
      <c r="B2142" s="410"/>
      <c r="C2142" s="410"/>
      <c r="D2142" s="410"/>
      <c r="E2142" s="410"/>
      <c r="F2142" s="410"/>
      <c r="H2142" s="269"/>
      <c r="I2142" s="269"/>
      <c r="J2142" s="269"/>
      <c r="K2142" s="269"/>
      <c r="L2142" s="269"/>
      <c r="M2142" s="269"/>
      <c r="N2142" s="269"/>
      <c r="O2142" s="269"/>
      <c r="P2142" s="269"/>
      <c r="Q2142" s="269"/>
      <c r="R2142" s="269"/>
      <c r="S2142" s="269"/>
      <c r="T2142" s="269"/>
      <c r="U2142" s="269"/>
      <c r="V2142" s="269"/>
      <c r="W2142" s="269"/>
      <c r="X2142" s="269"/>
      <c r="Y2142" s="269"/>
      <c r="Z2142" s="269"/>
      <c r="AA2142" s="269"/>
      <c r="AB2142" s="269"/>
      <c r="AC2142" s="269"/>
      <c r="AD2142" s="269"/>
      <c r="AE2142" s="269"/>
      <c r="AF2142" s="269"/>
      <c r="AG2142" s="269"/>
      <c r="AH2142" s="269"/>
      <c r="AI2142" s="269"/>
      <c r="AJ2142" s="269"/>
      <c r="AK2142" s="269"/>
      <c r="AL2142" s="269"/>
      <c r="AM2142" s="269"/>
      <c r="AN2142" s="269"/>
      <c r="AO2142" s="269"/>
      <c r="AP2142" s="269"/>
      <c r="AQ2142" s="269"/>
      <c r="AR2142" s="269"/>
    </row>
    <row r="2143">
      <c r="A2143" s="410"/>
      <c r="B2143" s="410"/>
      <c r="C2143" s="410"/>
      <c r="D2143" s="410"/>
      <c r="E2143" s="410"/>
      <c r="F2143" s="410"/>
      <c r="H2143" s="269"/>
      <c r="I2143" s="269"/>
      <c r="J2143" s="269"/>
      <c r="K2143" s="269"/>
      <c r="L2143" s="269"/>
      <c r="M2143" s="269"/>
      <c r="N2143" s="269"/>
      <c r="O2143" s="269"/>
      <c r="P2143" s="269"/>
      <c r="Q2143" s="269"/>
      <c r="R2143" s="269"/>
      <c r="S2143" s="269"/>
      <c r="T2143" s="269"/>
      <c r="U2143" s="269"/>
      <c r="V2143" s="269"/>
      <c r="W2143" s="269"/>
      <c r="X2143" s="269"/>
      <c r="Y2143" s="269"/>
      <c r="Z2143" s="269"/>
      <c r="AA2143" s="269"/>
      <c r="AB2143" s="269"/>
      <c r="AC2143" s="269"/>
      <c r="AD2143" s="269"/>
      <c r="AE2143" s="269"/>
      <c r="AF2143" s="269"/>
      <c r="AG2143" s="269"/>
      <c r="AH2143" s="269"/>
      <c r="AI2143" s="269"/>
      <c r="AJ2143" s="269"/>
      <c r="AK2143" s="269"/>
      <c r="AL2143" s="269"/>
      <c r="AM2143" s="269"/>
      <c r="AN2143" s="269"/>
      <c r="AO2143" s="269"/>
      <c r="AP2143" s="269"/>
      <c r="AQ2143" s="269"/>
      <c r="AR2143" s="269"/>
    </row>
    <row r="2144">
      <c r="A2144" s="410"/>
      <c r="B2144" s="410"/>
      <c r="C2144" s="410"/>
      <c r="D2144" s="410"/>
      <c r="E2144" s="410"/>
      <c r="F2144" s="410"/>
      <c r="H2144" s="269"/>
      <c r="I2144" s="269"/>
      <c r="J2144" s="269"/>
      <c r="K2144" s="269"/>
      <c r="L2144" s="269"/>
      <c r="M2144" s="269"/>
      <c r="N2144" s="269"/>
      <c r="O2144" s="269"/>
      <c r="P2144" s="269"/>
      <c r="Q2144" s="269"/>
      <c r="R2144" s="269"/>
      <c r="S2144" s="269"/>
      <c r="T2144" s="269"/>
      <c r="U2144" s="269"/>
      <c r="V2144" s="269"/>
      <c r="W2144" s="269"/>
      <c r="X2144" s="269"/>
      <c r="Y2144" s="269"/>
      <c r="Z2144" s="269"/>
      <c r="AA2144" s="269"/>
      <c r="AB2144" s="269"/>
      <c r="AC2144" s="269"/>
      <c r="AD2144" s="269"/>
      <c r="AE2144" s="269"/>
      <c r="AF2144" s="269"/>
      <c r="AG2144" s="269"/>
      <c r="AH2144" s="269"/>
      <c r="AI2144" s="269"/>
      <c r="AJ2144" s="269"/>
      <c r="AK2144" s="269"/>
      <c r="AL2144" s="269"/>
      <c r="AM2144" s="269"/>
      <c r="AN2144" s="269"/>
      <c r="AO2144" s="269"/>
      <c r="AP2144" s="269"/>
      <c r="AQ2144" s="269"/>
      <c r="AR2144" s="269"/>
    </row>
    <row r="2145">
      <c r="A2145" s="410"/>
      <c r="B2145" s="410"/>
      <c r="C2145" s="410"/>
      <c r="D2145" s="410"/>
      <c r="E2145" s="410"/>
      <c r="F2145" s="410"/>
      <c r="H2145" s="269"/>
      <c r="I2145" s="269"/>
      <c r="J2145" s="269"/>
      <c r="K2145" s="269"/>
      <c r="L2145" s="269"/>
      <c r="M2145" s="269"/>
      <c r="N2145" s="269"/>
      <c r="O2145" s="269"/>
      <c r="P2145" s="269"/>
      <c r="Q2145" s="269"/>
      <c r="R2145" s="269"/>
      <c r="S2145" s="269"/>
      <c r="T2145" s="269"/>
      <c r="U2145" s="269"/>
      <c r="V2145" s="269"/>
      <c r="W2145" s="269"/>
      <c r="X2145" s="269"/>
      <c r="Y2145" s="269"/>
      <c r="Z2145" s="269"/>
      <c r="AA2145" s="269"/>
      <c r="AB2145" s="269"/>
      <c r="AC2145" s="269"/>
      <c r="AD2145" s="269"/>
      <c r="AE2145" s="269"/>
      <c r="AF2145" s="269"/>
      <c r="AG2145" s="269"/>
      <c r="AH2145" s="269"/>
      <c r="AI2145" s="269"/>
      <c r="AJ2145" s="269"/>
      <c r="AK2145" s="269"/>
      <c r="AL2145" s="269"/>
      <c r="AM2145" s="269"/>
      <c r="AN2145" s="269"/>
      <c r="AO2145" s="269"/>
      <c r="AP2145" s="269"/>
      <c r="AQ2145" s="269"/>
      <c r="AR2145" s="269"/>
    </row>
    <row r="2146">
      <c r="A2146" s="410"/>
      <c r="B2146" s="410"/>
      <c r="C2146" s="410"/>
      <c r="D2146" s="410"/>
      <c r="E2146" s="410"/>
      <c r="F2146" s="410"/>
      <c r="H2146" s="269"/>
      <c r="I2146" s="269"/>
      <c r="J2146" s="269"/>
      <c r="K2146" s="269"/>
      <c r="L2146" s="269"/>
      <c r="M2146" s="269"/>
      <c r="N2146" s="269"/>
      <c r="O2146" s="269"/>
      <c r="P2146" s="269"/>
      <c r="Q2146" s="269"/>
      <c r="R2146" s="269"/>
      <c r="S2146" s="269"/>
      <c r="T2146" s="269"/>
      <c r="U2146" s="269"/>
      <c r="V2146" s="269"/>
      <c r="W2146" s="269"/>
      <c r="X2146" s="269"/>
      <c r="Y2146" s="269"/>
      <c r="Z2146" s="269"/>
      <c r="AA2146" s="269"/>
      <c r="AB2146" s="269"/>
      <c r="AC2146" s="269"/>
      <c r="AD2146" s="269"/>
      <c r="AE2146" s="269"/>
      <c r="AF2146" s="269"/>
      <c r="AG2146" s="269"/>
      <c r="AH2146" s="269"/>
      <c r="AI2146" s="269"/>
      <c r="AJ2146" s="269"/>
      <c r="AK2146" s="269"/>
      <c r="AL2146" s="269"/>
      <c r="AM2146" s="269"/>
      <c r="AN2146" s="269"/>
      <c r="AO2146" s="269"/>
      <c r="AP2146" s="269"/>
      <c r="AQ2146" s="269"/>
      <c r="AR2146" s="269"/>
    </row>
    <row r="2147">
      <c r="A2147" s="410"/>
      <c r="B2147" s="410"/>
      <c r="C2147" s="410"/>
      <c r="D2147" s="410"/>
      <c r="E2147" s="410"/>
      <c r="F2147" s="410"/>
      <c r="H2147" s="269"/>
      <c r="I2147" s="269"/>
      <c r="J2147" s="269"/>
      <c r="K2147" s="269"/>
      <c r="L2147" s="269"/>
      <c r="M2147" s="269"/>
      <c r="N2147" s="269"/>
      <c r="O2147" s="269"/>
      <c r="P2147" s="269"/>
      <c r="Q2147" s="269"/>
      <c r="R2147" s="269"/>
      <c r="S2147" s="269"/>
      <c r="T2147" s="269"/>
      <c r="U2147" s="269"/>
      <c r="V2147" s="269"/>
      <c r="W2147" s="269"/>
      <c r="X2147" s="269"/>
      <c r="Y2147" s="269"/>
      <c r="Z2147" s="269"/>
      <c r="AA2147" s="269"/>
      <c r="AB2147" s="269"/>
      <c r="AC2147" s="269"/>
      <c r="AD2147" s="269"/>
      <c r="AE2147" s="269"/>
      <c r="AF2147" s="269"/>
      <c r="AG2147" s="269"/>
      <c r="AH2147" s="269"/>
      <c r="AI2147" s="269"/>
      <c r="AJ2147" s="269"/>
      <c r="AK2147" s="269"/>
      <c r="AL2147" s="269"/>
      <c r="AM2147" s="269"/>
      <c r="AN2147" s="269"/>
      <c r="AO2147" s="269"/>
      <c r="AP2147" s="269"/>
      <c r="AQ2147" s="269"/>
      <c r="AR2147" s="269"/>
    </row>
    <row r="2148">
      <c r="A2148" s="410"/>
      <c r="B2148" s="410"/>
      <c r="C2148" s="410"/>
      <c r="D2148" s="410"/>
      <c r="E2148" s="410"/>
      <c r="F2148" s="410"/>
      <c r="H2148" s="269"/>
      <c r="I2148" s="269"/>
      <c r="J2148" s="269"/>
      <c r="K2148" s="269"/>
      <c r="L2148" s="269"/>
      <c r="M2148" s="269"/>
      <c r="N2148" s="269"/>
      <c r="O2148" s="269"/>
      <c r="P2148" s="269"/>
      <c r="Q2148" s="269"/>
      <c r="R2148" s="269"/>
      <c r="S2148" s="269"/>
      <c r="T2148" s="269"/>
      <c r="U2148" s="269"/>
      <c r="V2148" s="269"/>
      <c r="W2148" s="269"/>
      <c r="X2148" s="269"/>
      <c r="Y2148" s="269"/>
      <c r="Z2148" s="269"/>
      <c r="AA2148" s="269"/>
      <c r="AB2148" s="269"/>
      <c r="AC2148" s="269"/>
      <c r="AD2148" s="269"/>
      <c r="AE2148" s="269"/>
      <c r="AF2148" s="269"/>
      <c r="AG2148" s="269"/>
      <c r="AH2148" s="269"/>
      <c r="AI2148" s="269"/>
      <c r="AJ2148" s="269"/>
      <c r="AK2148" s="269"/>
      <c r="AL2148" s="269"/>
      <c r="AM2148" s="269"/>
      <c r="AN2148" s="269"/>
      <c r="AO2148" s="269"/>
      <c r="AP2148" s="269"/>
      <c r="AQ2148" s="269"/>
      <c r="AR2148" s="269"/>
    </row>
    <row r="2149">
      <c r="A2149" s="410"/>
      <c r="B2149" s="410"/>
      <c r="C2149" s="410"/>
      <c r="D2149" s="410"/>
      <c r="E2149" s="410"/>
      <c r="F2149" s="410"/>
      <c r="H2149" s="269"/>
      <c r="I2149" s="269"/>
      <c r="J2149" s="269"/>
      <c r="K2149" s="269"/>
      <c r="L2149" s="269"/>
      <c r="M2149" s="269"/>
      <c r="N2149" s="269"/>
      <c r="O2149" s="269"/>
      <c r="P2149" s="269"/>
      <c r="Q2149" s="269"/>
      <c r="R2149" s="269"/>
      <c r="S2149" s="269"/>
      <c r="T2149" s="269"/>
      <c r="U2149" s="269"/>
      <c r="V2149" s="269"/>
      <c r="W2149" s="269"/>
      <c r="X2149" s="269"/>
      <c r="Y2149" s="269"/>
      <c r="Z2149" s="269"/>
      <c r="AA2149" s="269"/>
      <c r="AB2149" s="269"/>
      <c r="AC2149" s="269"/>
      <c r="AD2149" s="269"/>
      <c r="AE2149" s="269"/>
      <c r="AF2149" s="269"/>
      <c r="AG2149" s="269"/>
      <c r="AH2149" s="269"/>
      <c r="AI2149" s="269"/>
      <c r="AJ2149" s="269"/>
      <c r="AK2149" s="269"/>
      <c r="AL2149" s="269"/>
      <c r="AM2149" s="269"/>
      <c r="AN2149" s="269"/>
      <c r="AO2149" s="269"/>
      <c r="AP2149" s="269"/>
      <c r="AQ2149" s="269"/>
      <c r="AR2149" s="269"/>
    </row>
    <row r="2150">
      <c r="A2150" s="410"/>
      <c r="B2150" s="410"/>
      <c r="C2150" s="410"/>
      <c r="D2150" s="410"/>
      <c r="E2150" s="410"/>
      <c r="F2150" s="410"/>
      <c r="H2150" s="269"/>
      <c r="I2150" s="269"/>
      <c r="J2150" s="269"/>
      <c r="K2150" s="269"/>
      <c r="L2150" s="269"/>
      <c r="M2150" s="269"/>
      <c r="N2150" s="269"/>
      <c r="O2150" s="269"/>
      <c r="P2150" s="269"/>
      <c r="Q2150" s="269"/>
      <c r="R2150" s="269"/>
      <c r="S2150" s="269"/>
      <c r="T2150" s="269"/>
      <c r="U2150" s="269"/>
      <c r="V2150" s="269"/>
      <c r="W2150" s="269"/>
      <c r="X2150" s="269"/>
      <c r="Y2150" s="269"/>
      <c r="Z2150" s="269"/>
      <c r="AA2150" s="269"/>
      <c r="AB2150" s="269"/>
      <c r="AC2150" s="269"/>
      <c r="AD2150" s="269"/>
      <c r="AE2150" s="269"/>
      <c r="AF2150" s="269"/>
      <c r="AG2150" s="269"/>
      <c r="AH2150" s="269"/>
      <c r="AI2150" s="269"/>
      <c r="AJ2150" s="269"/>
      <c r="AK2150" s="269"/>
      <c r="AL2150" s="269"/>
      <c r="AM2150" s="269"/>
      <c r="AN2150" s="269"/>
      <c r="AO2150" s="269"/>
      <c r="AP2150" s="269"/>
      <c r="AQ2150" s="269"/>
      <c r="AR2150" s="269"/>
    </row>
    <row r="2151">
      <c r="A2151" s="410"/>
      <c r="B2151" s="410"/>
      <c r="C2151" s="410"/>
      <c r="D2151" s="410"/>
      <c r="E2151" s="410"/>
      <c r="F2151" s="410"/>
      <c r="H2151" s="269"/>
      <c r="I2151" s="269"/>
      <c r="J2151" s="269"/>
      <c r="K2151" s="269"/>
      <c r="L2151" s="269"/>
      <c r="M2151" s="269"/>
      <c r="N2151" s="269"/>
      <c r="O2151" s="269"/>
      <c r="P2151" s="269"/>
      <c r="Q2151" s="269"/>
      <c r="R2151" s="269"/>
      <c r="S2151" s="269"/>
      <c r="T2151" s="269"/>
      <c r="U2151" s="269"/>
      <c r="V2151" s="269"/>
      <c r="W2151" s="269"/>
      <c r="X2151" s="269"/>
      <c r="Y2151" s="269"/>
      <c r="Z2151" s="269"/>
      <c r="AA2151" s="269"/>
      <c r="AB2151" s="269"/>
      <c r="AC2151" s="269"/>
      <c r="AD2151" s="269"/>
      <c r="AE2151" s="269"/>
      <c r="AF2151" s="269"/>
      <c r="AG2151" s="269"/>
      <c r="AH2151" s="269"/>
      <c r="AI2151" s="269"/>
      <c r="AJ2151" s="269"/>
      <c r="AK2151" s="269"/>
      <c r="AL2151" s="269"/>
      <c r="AM2151" s="269"/>
      <c r="AN2151" s="269"/>
      <c r="AO2151" s="269"/>
      <c r="AP2151" s="269"/>
      <c r="AQ2151" s="269"/>
      <c r="AR2151" s="269"/>
    </row>
    <row r="2152">
      <c r="A2152" s="410"/>
      <c r="B2152" s="410"/>
      <c r="C2152" s="410"/>
      <c r="D2152" s="410"/>
      <c r="E2152" s="410"/>
      <c r="F2152" s="410"/>
      <c r="H2152" s="269"/>
      <c r="I2152" s="269"/>
      <c r="J2152" s="269"/>
      <c r="K2152" s="269"/>
      <c r="L2152" s="269"/>
      <c r="M2152" s="269"/>
      <c r="N2152" s="269"/>
      <c r="O2152" s="269"/>
      <c r="P2152" s="269"/>
      <c r="Q2152" s="269"/>
      <c r="R2152" s="269"/>
      <c r="S2152" s="269"/>
      <c r="T2152" s="269"/>
      <c r="U2152" s="269"/>
      <c r="V2152" s="269"/>
      <c r="W2152" s="269"/>
      <c r="X2152" s="269"/>
      <c r="Y2152" s="269"/>
      <c r="Z2152" s="269"/>
      <c r="AA2152" s="269"/>
      <c r="AB2152" s="269"/>
      <c r="AC2152" s="269"/>
      <c r="AD2152" s="269"/>
      <c r="AE2152" s="269"/>
      <c r="AF2152" s="269"/>
      <c r="AG2152" s="269"/>
      <c r="AH2152" s="269"/>
      <c r="AI2152" s="269"/>
      <c r="AJ2152" s="269"/>
      <c r="AK2152" s="269"/>
      <c r="AL2152" s="269"/>
      <c r="AM2152" s="269"/>
      <c r="AN2152" s="269"/>
      <c r="AO2152" s="269"/>
      <c r="AP2152" s="269"/>
      <c r="AQ2152" s="269"/>
      <c r="AR2152" s="269"/>
    </row>
    <row r="2153">
      <c r="A2153" s="410"/>
      <c r="B2153" s="410"/>
      <c r="C2153" s="410"/>
      <c r="D2153" s="410"/>
      <c r="E2153" s="410"/>
      <c r="F2153" s="410"/>
      <c r="H2153" s="269"/>
      <c r="I2153" s="269"/>
      <c r="J2153" s="269"/>
      <c r="K2153" s="269"/>
      <c r="L2153" s="269"/>
      <c r="M2153" s="269"/>
      <c r="N2153" s="269"/>
      <c r="O2153" s="269"/>
      <c r="P2153" s="269"/>
      <c r="Q2153" s="269"/>
      <c r="R2153" s="269"/>
      <c r="S2153" s="269"/>
      <c r="T2153" s="269"/>
      <c r="U2153" s="269"/>
      <c r="V2153" s="269"/>
      <c r="W2153" s="269"/>
      <c r="X2153" s="269"/>
      <c r="Y2153" s="269"/>
      <c r="Z2153" s="269"/>
      <c r="AA2153" s="269"/>
      <c r="AB2153" s="269"/>
      <c r="AC2153" s="269"/>
      <c r="AD2153" s="269"/>
      <c r="AE2153" s="269"/>
      <c r="AF2153" s="269"/>
      <c r="AG2153" s="269"/>
      <c r="AH2153" s="269"/>
      <c r="AI2153" s="269"/>
      <c r="AJ2153" s="269"/>
      <c r="AK2153" s="269"/>
      <c r="AL2153" s="269"/>
      <c r="AM2153" s="269"/>
      <c r="AN2153" s="269"/>
      <c r="AO2153" s="269"/>
      <c r="AP2153" s="269"/>
      <c r="AQ2153" s="269"/>
      <c r="AR2153" s="269"/>
    </row>
    <row r="2154">
      <c r="A2154" s="410"/>
      <c r="B2154" s="410"/>
      <c r="C2154" s="410"/>
      <c r="D2154" s="410"/>
      <c r="E2154" s="410"/>
      <c r="F2154" s="410"/>
      <c r="H2154" s="269"/>
      <c r="I2154" s="269"/>
      <c r="J2154" s="269"/>
      <c r="K2154" s="269"/>
      <c r="L2154" s="269"/>
      <c r="M2154" s="269"/>
      <c r="N2154" s="269"/>
      <c r="O2154" s="269"/>
      <c r="P2154" s="269"/>
      <c r="Q2154" s="269"/>
      <c r="R2154" s="269"/>
      <c r="S2154" s="269"/>
      <c r="T2154" s="269"/>
      <c r="U2154" s="269"/>
      <c r="V2154" s="269"/>
      <c r="W2154" s="269"/>
      <c r="X2154" s="269"/>
      <c r="Y2154" s="269"/>
      <c r="Z2154" s="269"/>
      <c r="AA2154" s="269"/>
      <c r="AB2154" s="269"/>
      <c r="AC2154" s="269"/>
      <c r="AD2154" s="269"/>
      <c r="AE2154" s="269"/>
      <c r="AF2154" s="269"/>
      <c r="AG2154" s="269"/>
      <c r="AH2154" s="269"/>
      <c r="AI2154" s="269"/>
      <c r="AJ2154" s="269"/>
      <c r="AK2154" s="269"/>
      <c r="AL2154" s="269"/>
      <c r="AM2154" s="269"/>
      <c r="AN2154" s="269"/>
      <c r="AO2154" s="269"/>
      <c r="AP2154" s="269"/>
      <c r="AQ2154" s="269"/>
      <c r="AR2154" s="269"/>
    </row>
    <row r="2155">
      <c r="A2155" s="410"/>
      <c r="B2155" s="410"/>
      <c r="C2155" s="410"/>
      <c r="D2155" s="410"/>
      <c r="E2155" s="410"/>
      <c r="F2155" s="410"/>
      <c r="H2155" s="269"/>
      <c r="I2155" s="269"/>
      <c r="J2155" s="269"/>
      <c r="K2155" s="269"/>
      <c r="L2155" s="269"/>
      <c r="M2155" s="269"/>
      <c r="N2155" s="269"/>
      <c r="O2155" s="269"/>
      <c r="P2155" s="269"/>
      <c r="Q2155" s="269"/>
      <c r="R2155" s="269"/>
      <c r="S2155" s="269"/>
      <c r="T2155" s="269"/>
      <c r="U2155" s="269"/>
      <c r="V2155" s="269"/>
      <c r="W2155" s="269"/>
      <c r="X2155" s="269"/>
      <c r="Y2155" s="269"/>
      <c r="Z2155" s="269"/>
      <c r="AA2155" s="269"/>
      <c r="AB2155" s="269"/>
      <c r="AC2155" s="269"/>
      <c r="AD2155" s="269"/>
      <c r="AE2155" s="269"/>
      <c r="AF2155" s="269"/>
      <c r="AG2155" s="269"/>
      <c r="AH2155" s="269"/>
      <c r="AI2155" s="269"/>
      <c r="AJ2155" s="269"/>
      <c r="AK2155" s="269"/>
      <c r="AL2155" s="269"/>
      <c r="AM2155" s="269"/>
      <c r="AN2155" s="269"/>
      <c r="AO2155" s="269"/>
      <c r="AP2155" s="269"/>
      <c r="AQ2155" s="269"/>
      <c r="AR2155" s="269"/>
    </row>
    <row r="2156">
      <c r="A2156" s="410"/>
      <c r="B2156" s="410"/>
      <c r="C2156" s="410"/>
      <c r="D2156" s="410"/>
      <c r="E2156" s="410"/>
      <c r="F2156" s="410"/>
      <c r="H2156" s="269"/>
      <c r="I2156" s="269"/>
      <c r="J2156" s="269"/>
      <c r="K2156" s="269"/>
      <c r="L2156" s="269"/>
      <c r="M2156" s="269"/>
      <c r="N2156" s="269"/>
      <c r="O2156" s="269"/>
      <c r="P2156" s="269"/>
      <c r="Q2156" s="269"/>
      <c r="R2156" s="269"/>
      <c r="S2156" s="269"/>
      <c r="T2156" s="269"/>
      <c r="U2156" s="269"/>
      <c r="V2156" s="269"/>
      <c r="W2156" s="269"/>
      <c r="X2156" s="269"/>
      <c r="Y2156" s="269"/>
      <c r="Z2156" s="269"/>
      <c r="AA2156" s="269"/>
      <c r="AB2156" s="269"/>
      <c r="AC2156" s="269"/>
      <c r="AD2156" s="269"/>
      <c r="AE2156" s="269"/>
      <c r="AF2156" s="269"/>
      <c r="AG2156" s="269"/>
      <c r="AH2156" s="269"/>
      <c r="AI2156" s="269"/>
      <c r="AJ2156" s="269"/>
      <c r="AK2156" s="269"/>
      <c r="AL2156" s="269"/>
      <c r="AM2156" s="269"/>
      <c r="AN2156" s="269"/>
      <c r="AO2156" s="269"/>
      <c r="AP2156" s="269"/>
      <c r="AQ2156" s="269"/>
      <c r="AR2156" s="269"/>
    </row>
    <row r="2157">
      <c r="A2157" s="410"/>
      <c r="B2157" s="410"/>
      <c r="C2157" s="410"/>
      <c r="D2157" s="410"/>
      <c r="E2157" s="410"/>
      <c r="F2157" s="410"/>
      <c r="H2157" s="269"/>
      <c r="I2157" s="269"/>
      <c r="J2157" s="269"/>
      <c r="K2157" s="269"/>
      <c r="L2157" s="269"/>
      <c r="M2157" s="269"/>
      <c r="N2157" s="269"/>
      <c r="O2157" s="269"/>
      <c r="P2157" s="269"/>
      <c r="Q2157" s="269"/>
      <c r="R2157" s="269"/>
      <c r="S2157" s="269"/>
      <c r="T2157" s="269"/>
      <c r="U2157" s="269"/>
      <c r="V2157" s="269"/>
      <c r="W2157" s="269"/>
      <c r="X2157" s="269"/>
      <c r="Y2157" s="269"/>
      <c r="Z2157" s="269"/>
      <c r="AA2157" s="269"/>
      <c r="AB2157" s="269"/>
      <c r="AC2157" s="269"/>
      <c r="AD2157" s="269"/>
      <c r="AE2157" s="269"/>
      <c r="AF2157" s="269"/>
      <c r="AG2157" s="269"/>
      <c r="AH2157" s="269"/>
      <c r="AI2157" s="269"/>
      <c r="AJ2157" s="269"/>
      <c r="AK2157" s="269"/>
      <c r="AL2157" s="269"/>
      <c r="AM2157" s="269"/>
      <c r="AN2157" s="269"/>
      <c r="AO2157" s="269"/>
      <c r="AP2157" s="269"/>
      <c r="AQ2157" s="269"/>
      <c r="AR2157" s="269"/>
    </row>
    <row r="2158">
      <c r="A2158" s="410"/>
      <c r="B2158" s="410"/>
      <c r="C2158" s="410"/>
      <c r="D2158" s="410"/>
      <c r="E2158" s="410"/>
      <c r="F2158" s="410"/>
      <c r="H2158" s="269"/>
      <c r="I2158" s="269"/>
      <c r="J2158" s="269"/>
      <c r="K2158" s="269"/>
      <c r="L2158" s="269"/>
      <c r="M2158" s="269"/>
      <c r="N2158" s="269"/>
      <c r="O2158" s="269"/>
      <c r="P2158" s="269"/>
      <c r="Q2158" s="269"/>
      <c r="R2158" s="269"/>
      <c r="S2158" s="269"/>
      <c r="T2158" s="269"/>
      <c r="U2158" s="269"/>
      <c r="V2158" s="269"/>
      <c r="W2158" s="269"/>
      <c r="X2158" s="269"/>
      <c r="Y2158" s="269"/>
      <c r="Z2158" s="269"/>
      <c r="AA2158" s="269"/>
      <c r="AB2158" s="269"/>
      <c r="AC2158" s="269"/>
      <c r="AD2158" s="269"/>
      <c r="AE2158" s="269"/>
      <c r="AF2158" s="269"/>
      <c r="AG2158" s="269"/>
      <c r="AH2158" s="269"/>
      <c r="AI2158" s="269"/>
      <c r="AJ2158" s="269"/>
      <c r="AK2158" s="269"/>
      <c r="AL2158" s="269"/>
      <c r="AM2158" s="269"/>
      <c r="AN2158" s="269"/>
      <c r="AO2158" s="269"/>
      <c r="AP2158" s="269"/>
      <c r="AQ2158" s="269"/>
      <c r="AR2158" s="269"/>
    </row>
    <row r="2159">
      <c r="A2159" s="410"/>
      <c r="B2159" s="410"/>
      <c r="C2159" s="410"/>
      <c r="D2159" s="410"/>
      <c r="E2159" s="410"/>
      <c r="F2159" s="410"/>
      <c r="H2159" s="269"/>
      <c r="I2159" s="269"/>
      <c r="J2159" s="269"/>
      <c r="K2159" s="269"/>
      <c r="L2159" s="269"/>
      <c r="M2159" s="269"/>
      <c r="N2159" s="269"/>
      <c r="O2159" s="269"/>
      <c r="P2159" s="269"/>
      <c r="Q2159" s="269"/>
      <c r="R2159" s="269"/>
      <c r="S2159" s="269"/>
      <c r="T2159" s="269"/>
      <c r="U2159" s="269"/>
      <c r="V2159" s="269"/>
      <c r="W2159" s="269"/>
      <c r="X2159" s="269"/>
      <c r="Y2159" s="269"/>
      <c r="Z2159" s="269"/>
      <c r="AA2159" s="269"/>
      <c r="AB2159" s="269"/>
      <c r="AC2159" s="269"/>
      <c r="AD2159" s="269"/>
      <c r="AE2159" s="269"/>
      <c r="AF2159" s="269"/>
      <c r="AG2159" s="269"/>
      <c r="AH2159" s="269"/>
      <c r="AI2159" s="269"/>
      <c r="AJ2159" s="269"/>
      <c r="AK2159" s="269"/>
      <c r="AL2159" s="269"/>
      <c r="AM2159" s="269"/>
      <c r="AN2159" s="269"/>
      <c r="AO2159" s="269"/>
      <c r="AP2159" s="269"/>
      <c r="AQ2159" s="269"/>
      <c r="AR2159" s="269"/>
    </row>
    <row r="2160">
      <c r="A2160" s="410"/>
      <c r="B2160" s="410"/>
      <c r="C2160" s="410"/>
      <c r="D2160" s="410"/>
      <c r="E2160" s="410"/>
      <c r="F2160" s="410"/>
      <c r="H2160" s="269"/>
      <c r="I2160" s="269"/>
      <c r="J2160" s="269"/>
      <c r="K2160" s="269"/>
      <c r="L2160" s="269"/>
      <c r="M2160" s="269"/>
      <c r="N2160" s="269"/>
      <c r="O2160" s="269"/>
      <c r="P2160" s="269"/>
      <c r="Q2160" s="269"/>
      <c r="R2160" s="269"/>
      <c r="S2160" s="269"/>
      <c r="T2160" s="269"/>
      <c r="U2160" s="269"/>
      <c r="V2160" s="269"/>
      <c r="W2160" s="269"/>
      <c r="X2160" s="269"/>
      <c r="Y2160" s="269"/>
      <c r="Z2160" s="269"/>
      <c r="AA2160" s="269"/>
      <c r="AB2160" s="269"/>
      <c r="AC2160" s="269"/>
      <c r="AD2160" s="269"/>
      <c r="AE2160" s="269"/>
      <c r="AF2160" s="269"/>
      <c r="AG2160" s="269"/>
      <c r="AH2160" s="269"/>
      <c r="AI2160" s="269"/>
      <c r="AJ2160" s="269"/>
      <c r="AK2160" s="269"/>
      <c r="AL2160" s="269"/>
      <c r="AM2160" s="269"/>
      <c r="AN2160" s="269"/>
      <c r="AO2160" s="269"/>
      <c r="AP2160" s="269"/>
      <c r="AQ2160" s="269"/>
      <c r="AR2160" s="269"/>
    </row>
    <row r="2161">
      <c r="A2161" s="410"/>
      <c r="B2161" s="410"/>
      <c r="C2161" s="410"/>
      <c r="D2161" s="410"/>
      <c r="E2161" s="410"/>
      <c r="F2161" s="410"/>
      <c r="H2161" s="269"/>
      <c r="I2161" s="269"/>
      <c r="J2161" s="269"/>
      <c r="K2161" s="269"/>
      <c r="L2161" s="269"/>
      <c r="M2161" s="269"/>
      <c r="N2161" s="269"/>
      <c r="O2161" s="269"/>
      <c r="P2161" s="269"/>
      <c r="Q2161" s="269"/>
      <c r="R2161" s="269"/>
      <c r="S2161" s="269"/>
      <c r="T2161" s="269"/>
      <c r="U2161" s="269"/>
      <c r="V2161" s="269"/>
      <c r="W2161" s="269"/>
      <c r="X2161" s="269"/>
      <c r="Y2161" s="269"/>
      <c r="Z2161" s="269"/>
      <c r="AA2161" s="269"/>
      <c r="AB2161" s="269"/>
      <c r="AC2161" s="269"/>
      <c r="AD2161" s="269"/>
      <c r="AE2161" s="269"/>
      <c r="AF2161" s="269"/>
      <c r="AG2161" s="269"/>
      <c r="AH2161" s="269"/>
      <c r="AI2161" s="269"/>
      <c r="AJ2161" s="269"/>
      <c r="AK2161" s="269"/>
      <c r="AL2161" s="269"/>
      <c r="AM2161" s="269"/>
      <c r="AN2161" s="269"/>
      <c r="AO2161" s="269"/>
      <c r="AP2161" s="269"/>
      <c r="AQ2161" s="269"/>
      <c r="AR2161" s="269"/>
    </row>
    <row r="2162">
      <c r="A2162" s="410"/>
      <c r="B2162" s="410"/>
      <c r="C2162" s="410"/>
      <c r="D2162" s="410"/>
      <c r="E2162" s="410"/>
      <c r="F2162" s="410"/>
      <c r="H2162" s="269"/>
      <c r="I2162" s="269"/>
      <c r="J2162" s="269"/>
      <c r="K2162" s="269"/>
      <c r="L2162" s="269"/>
      <c r="M2162" s="269"/>
      <c r="N2162" s="269"/>
      <c r="O2162" s="269"/>
      <c r="P2162" s="269"/>
      <c r="Q2162" s="269"/>
      <c r="R2162" s="269"/>
      <c r="S2162" s="269"/>
      <c r="T2162" s="269"/>
      <c r="U2162" s="269"/>
      <c r="V2162" s="269"/>
      <c r="W2162" s="269"/>
      <c r="X2162" s="269"/>
      <c r="Y2162" s="269"/>
      <c r="Z2162" s="269"/>
      <c r="AA2162" s="269"/>
      <c r="AB2162" s="269"/>
      <c r="AC2162" s="269"/>
      <c r="AD2162" s="269"/>
      <c r="AE2162" s="269"/>
      <c r="AF2162" s="269"/>
      <c r="AG2162" s="269"/>
      <c r="AH2162" s="269"/>
      <c r="AI2162" s="269"/>
      <c r="AJ2162" s="269"/>
      <c r="AK2162" s="269"/>
      <c r="AL2162" s="269"/>
      <c r="AM2162" s="269"/>
      <c r="AN2162" s="269"/>
      <c r="AO2162" s="269"/>
      <c r="AP2162" s="269"/>
      <c r="AQ2162" s="269"/>
      <c r="AR2162" s="269"/>
    </row>
    <row r="2163">
      <c r="A2163" s="410"/>
      <c r="B2163" s="410"/>
      <c r="C2163" s="410"/>
      <c r="D2163" s="410"/>
      <c r="E2163" s="410"/>
      <c r="F2163" s="410"/>
      <c r="H2163" s="269"/>
      <c r="I2163" s="269"/>
      <c r="J2163" s="269"/>
      <c r="K2163" s="269"/>
      <c r="L2163" s="269"/>
      <c r="M2163" s="269"/>
      <c r="N2163" s="269"/>
      <c r="O2163" s="269"/>
      <c r="P2163" s="269"/>
      <c r="Q2163" s="269"/>
      <c r="R2163" s="269"/>
      <c r="S2163" s="269"/>
      <c r="T2163" s="269"/>
      <c r="U2163" s="269"/>
      <c r="V2163" s="269"/>
      <c r="W2163" s="269"/>
      <c r="X2163" s="269"/>
      <c r="Y2163" s="269"/>
      <c r="Z2163" s="269"/>
      <c r="AA2163" s="269"/>
      <c r="AB2163" s="269"/>
      <c r="AC2163" s="269"/>
      <c r="AD2163" s="269"/>
      <c r="AE2163" s="269"/>
      <c r="AF2163" s="269"/>
      <c r="AG2163" s="269"/>
      <c r="AH2163" s="269"/>
      <c r="AI2163" s="269"/>
      <c r="AJ2163" s="269"/>
      <c r="AK2163" s="269"/>
      <c r="AL2163" s="269"/>
      <c r="AM2163" s="269"/>
      <c r="AN2163" s="269"/>
      <c r="AO2163" s="269"/>
      <c r="AP2163" s="269"/>
      <c r="AQ2163" s="269"/>
      <c r="AR2163" s="269"/>
    </row>
    <row r="2164">
      <c r="A2164" s="410"/>
      <c r="B2164" s="410"/>
      <c r="C2164" s="410"/>
      <c r="D2164" s="410"/>
      <c r="E2164" s="410"/>
      <c r="F2164" s="410"/>
      <c r="H2164" s="269"/>
      <c r="I2164" s="269"/>
      <c r="J2164" s="269"/>
      <c r="K2164" s="269"/>
      <c r="L2164" s="269"/>
      <c r="M2164" s="269"/>
      <c r="N2164" s="269"/>
      <c r="O2164" s="269"/>
      <c r="P2164" s="269"/>
      <c r="Q2164" s="269"/>
      <c r="R2164" s="269"/>
      <c r="S2164" s="269"/>
      <c r="T2164" s="269"/>
      <c r="U2164" s="269"/>
      <c r="V2164" s="269"/>
      <c r="W2164" s="269"/>
      <c r="X2164" s="269"/>
      <c r="Y2164" s="269"/>
      <c r="Z2164" s="269"/>
      <c r="AA2164" s="269"/>
      <c r="AB2164" s="269"/>
      <c r="AC2164" s="269"/>
      <c r="AD2164" s="269"/>
      <c r="AE2164" s="269"/>
      <c r="AF2164" s="269"/>
      <c r="AG2164" s="269"/>
      <c r="AH2164" s="269"/>
      <c r="AI2164" s="269"/>
      <c r="AJ2164" s="269"/>
      <c r="AK2164" s="269"/>
      <c r="AL2164" s="269"/>
      <c r="AM2164" s="269"/>
      <c r="AN2164" s="269"/>
      <c r="AO2164" s="269"/>
      <c r="AP2164" s="269"/>
      <c r="AQ2164" s="269"/>
      <c r="AR2164" s="269"/>
    </row>
    <row r="2165">
      <c r="A2165" s="410"/>
      <c r="B2165" s="410"/>
      <c r="C2165" s="410"/>
      <c r="D2165" s="410"/>
      <c r="E2165" s="410"/>
      <c r="F2165" s="410"/>
      <c r="H2165" s="269"/>
      <c r="I2165" s="269"/>
      <c r="J2165" s="269"/>
      <c r="K2165" s="269"/>
      <c r="L2165" s="269"/>
      <c r="M2165" s="269"/>
      <c r="N2165" s="269"/>
      <c r="O2165" s="269"/>
      <c r="P2165" s="269"/>
      <c r="Q2165" s="269"/>
      <c r="R2165" s="269"/>
      <c r="S2165" s="269"/>
      <c r="T2165" s="269"/>
      <c r="U2165" s="269"/>
      <c r="V2165" s="269"/>
      <c r="W2165" s="269"/>
      <c r="X2165" s="269"/>
      <c r="Y2165" s="269"/>
      <c r="Z2165" s="269"/>
      <c r="AA2165" s="269"/>
      <c r="AB2165" s="269"/>
      <c r="AC2165" s="269"/>
      <c r="AD2165" s="269"/>
      <c r="AE2165" s="269"/>
      <c r="AF2165" s="269"/>
      <c r="AG2165" s="269"/>
      <c r="AH2165" s="269"/>
      <c r="AI2165" s="269"/>
      <c r="AJ2165" s="269"/>
      <c r="AK2165" s="269"/>
      <c r="AL2165" s="269"/>
      <c r="AM2165" s="269"/>
      <c r="AN2165" s="269"/>
      <c r="AO2165" s="269"/>
      <c r="AP2165" s="269"/>
      <c r="AQ2165" s="269"/>
      <c r="AR2165" s="269"/>
    </row>
    <row r="2166">
      <c r="A2166" s="410"/>
      <c r="B2166" s="410"/>
      <c r="C2166" s="410"/>
      <c r="D2166" s="410"/>
      <c r="E2166" s="410"/>
      <c r="F2166" s="410"/>
      <c r="H2166" s="269"/>
      <c r="I2166" s="269"/>
      <c r="J2166" s="269"/>
      <c r="K2166" s="269"/>
      <c r="L2166" s="269"/>
      <c r="M2166" s="269"/>
      <c r="N2166" s="269"/>
      <c r="O2166" s="269"/>
      <c r="P2166" s="269"/>
      <c r="Q2166" s="269"/>
      <c r="R2166" s="269"/>
      <c r="S2166" s="269"/>
      <c r="T2166" s="269"/>
      <c r="U2166" s="269"/>
      <c r="V2166" s="269"/>
      <c r="W2166" s="269"/>
      <c r="X2166" s="269"/>
      <c r="Y2166" s="269"/>
      <c r="Z2166" s="269"/>
      <c r="AA2166" s="269"/>
      <c r="AB2166" s="269"/>
      <c r="AC2166" s="269"/>
      <c r="AD2166" s="269"/>
      <c r="AE2166" s="269"/>
      <c r="AF2166" s="269"/>
      <c r="AG2166" s="269"/>
      <c r="AH2166" s="269"/>
      <c r="AI2166" s="269"/>
      <c r="AJ2166" s="269"/>
      <c r="AK2166" s="269"/>
      <c r="AL2166" s="269"/>
      <c r="AM2166" s="269"/>
      <c r="AN2166" s="269"/>
      <c r="AO2166" s="269"/>
      <c r="AP2166" s="269"/>
      <c r="AQ2166" s="269"/>
      <c r="AR2166" s="269"/>
    </row>
    <row r="2167">
      <c r="A2167" s="410"/>
      <c r="B2167" s="410"/>
      <c r="C2167" s="410"/>
      <c r="D2167" s="410"/>
      <c r="E2167" s="410"/>
      <c r="F2167" s="410"/>
      <c r="H2167" s="269"/>
      <c r="I2167" s="269"/>
      <c r="J2167" s="269"/>
      <c r="K2167" s="269"/>
      <c r="L2167" s="269"/>
      <c r="M2167" s="269"/>
      <c r="N2167" s="269"/>
      <c r="O2167" s="269"/>
      <c r="P2167" s="269"/>
      <c r="Q2167" s="269"/>
      <c r="R2167" s="269"/>
      <c r="S2167" s="269"/>
      <c r="T2167" s="269"/>
      <c r="U2167" s="269"/>
      <c r="V2167" s="269"/>
      <c r="W2167" s="269"/>
      <c r="X2167" s="269"/>
      <c r="Y2167" s="269"/>
      <c r="Z2167" s="269"/>
      <c r="AA2167" s="269"/>
      <c r="AB2167" s="269"/>
      <c r="AC2167" s="269"/>
      <c r="AD2167" s="269"/>
      <c r="AE2167" s="269"/>
      <c r="AF2167" s="269"/>
      <c r="AG2167" s="269"/>
      <c r="AH2167" s="269"/>
      <c r="AI2167" s="269"/>
      <c r="AJ2167" s="269"/>
      <c r="AK2167" s="269"/>
      <c r="AL2167" s="269"/>
      <c r="AM2167" s="269"/>
      <c r="AN2167" s="269"/>
      <c r="AO2167" s="269"/>
      <c r="AP2167" s="269"/>
      <c r="AQ2167" s="269"/>
      <c r="AR2167" s="269"/>
    </row>
    <row r="2168">
      <c r="A2168" s="410"/>
      <c r="B2168" s="410"/>
      <c r="C2168" s="410"/>
      <c r="D2168" s="410"/>
      <c r="E2168" s="410"/>
      <c r="F2168" s="410"/>
      <c r="H2168" s="269"/>
      <c r="I2168" s="269"/>
      <c r="J2168" s="269"/>
      <c r="K2168" s="269"/>
      <c r="L2168" s="269"/>
      <c r="M2168" s="269"/>
      <c r="N2168" s="269"/>
      <c r="O2168" s="269"/>
      <c r="P2168" s="269"/>
      <c r="Q2168" s="269"/>
      <c r="R2168" s="269"/>
      <c r="S2168" s="269"/>
      <c r="T2168" s="269"/>
      <c r="U2168" s="269"/>
      <c r="V2168" s="269"/>
      <c r="W2168" s="269"/>
      <c r="X2168" s="269"/>
      <c r="Y2168" s="269"/>
      <c r="Z2168" s="269"/>
      <c r="AA2168" s="269"/>
      <c r="AB2168" s="269"/>
      <c r="AC2168" s="269"/>
      <c r="AD2168" s="269"/>
      <c r="AE2168" s="269"/>
      <c r="AF2168" s="269"/>
      <c r="AG2168" s="269"/>
      <c r="AH2168" s="269"/>
      <c r="AI2168" s="269"/>
      <c r="AJ2168" s="269"/>
      <c r="AK2168" s="269"/>
      <c r="AL2168" s="269"/>
      <c r="AM2168" s="269"/>
      <c r="AN2168" s="269"/>
      <c r="AO2168" s="269"/>
      <c r="AP2168" s="269"/>
      <c r="AQ2168" s="269"/>
      <c r="AR2168" s="269"/>
    </row>
    <row r="2169">
      <c r="A2169" s="410"/>
      <c r="B2169" s="410"/>
      <c r="C2169" s="410"/>
      <c r="D2169" s="410"/>
      <c r="E2169" s="410"/>
      <c r="F2169" s="410"/>
      <c r="H2169" s="269"/>
      <c r="I2169" s="269"/>
      <c r="J2169" s="269"/>
      <c r="K2169" s="269"/>
      <c r="L2169" s="269"/>
      <c r="M2169" s="269"/>
      <c r="N2169" s="269"/>
      <c r="O2169" s="269"/>
      <c r="P2169" s="269"/>
      <c r="Q2169" s="269"/>
      <c r="R2169" s="269"/>
      <c r="S2169" s="269"/>
      <c r="T2169" s="269"/>
      <c r="U2169" s="269"/>
      <c r="V2169" s="269"/>
      <c r="W2169" s="269"/>
      <c r="X2169" s="269"/>
      <c r="Y2169" s="269"/>
      <c r="Z2169" s="269"/>
      <c r="AA2169" s="269"/>
      <c r="AB2169" s="269"/>
      <c r="AC2169" s="269"/>
      <c r="AD2169" s="269"/>
      <c r="AE2169" s="269"/>
      <c r="AF2169" s="269"/>
      <c r="AG2169" s="269"/>
      <c r="AH2169" s="269"/>
      <c r="AI2169" s="269"/>
      <c r="AJ2169" s="269"/>
      <c r="AK2169" s="269"/>
      <c r="AL2169" s="269"/>
      <c r="AM2169" s="269"/>
      <c r="AN2169" s="269"/>
      <c r="AO2169" s="269"/>
      <c r="AP2169" s="269"/>
      <c r="AQ2169" s="269"/>
      <c r="AR2169" s="269"/>
    </row>
    <row r="2170">
      <c r="A2170" s="410"/>
      <c r="B2170" s="410"/>
      <c r="C2170" s="410"/>
      <c r="D2170" s="410"/>
      <c r="E2170" s="410"/>
      <c r="F2170" s="410"/>
      <c r="H2170" s="269"/>
      <c r="I2170" s="269"/>
      <c r="J2170" s="269"/>
      <c r="K2170" s="269"/>
      <c r="L2170" s="269"/>
      <c r="M2170" s="269"/>
      <c r="N2170" s="269"/>
      <c r="O2170" s="269"/>
      <c r="P2170" s="269"/>
      <c r="Q2170" s="269"/>
      <c r="R2170" s="269"/>
      <c r="S2170" s="269"/>
      <c r="T2170" s="269"/>
      <c r="U2170" s="269"/>
      <c r="V2170" s="269"/>
      <c r="W2170" s="269"/>
      <c r="X2170" s="269"/>
      <c r="Y2170" s="269"/>
      <c r="Z2170" s="269"/>
      <c r="AA2170" s="269"/>
      <c r="AB2170" s="269"/>
      <c r="AC2170" s="269"/>
      <c r="AD2170" s="269"/>
      <c r="AE2170" s="269"/>
      <c r="AF2170" s="269"/>
      <c r="AG2170" s="269"/>
      <c r="AH2170" s="269"/>
      <c r="AI2170" s="269"/>
      <c r="AJ2170" s="269"/>
      <c r="AK2170" s="269"/>
      <c r="AL2170" s="269"/>
      <c r="AM2170" s="269"/>
      <c r="AN2170" s="269"/>
      <c r="AO2170" s="269"/>
      <c r="AP2170" s="269"/>
      <c r="AQ2170" s="269"/>
      <c r="AR2170" s="269"/>
    </row>
    <row r="2171">
      <c r="A2171" s="410"/>
      <c r="B2171" s="410"/>
      <c r="C2171" s="410"/>
      <c r="D2171" s="410"/>
      <c r="E2171" s="410"/>
      <c r="F2171" s="410"/>
      <c r="H2171" s="269"/>
      <c r="I2171" s="269"/>
      <c r="J2171" s="269"/>
      <c r="K2171" s="269"/>
      <c r="L2171" s="269"/>
      <c r="M2171" s="269"/>
      <c r="N2171" s="269"/>
      <c r="O2171" s="269"/>
      <c r="P2171" s="269"/>
      <c r="Q2171" s="269"/>
      <c r="R2171" s="269"/>
      <c r="S2171" s="269"/>
      <c r="T2171" s="269"/>
      <c r="U2171" s="269"/>
      <c r="V2171" s="269"/>
      <c r="W2171" s="269"/>
      <c r="X2171" s="269"/>
      <c r="Y2171" s="269"/>
      <c r="Z2171" s="269"/>
      <c r="AA2171" s="269"/>
      <c r="AB2171" s="269"/>
      <c r="AC2171" s="269"/>
      <c r="AD2171" s="269"/>
      <c r="AE2171" s="269"/>
      <c r="AF2171" s="269"/>
      <c r="AG2171" s="269"/>
      <c r="AH2171" s="269"/>
      <c r="AI2171" s="269"/>
      <c r="AJ2171" s="269"/>
      <c r="AK2171" s="269"/>
      <c r="AL2171" s="269"/>
      <c r="AM2171" s="269"/>
      <c r="AN2171" s="269"/>
      <c r="AO2171" s="269"/>
      <c r="AP2171" s="269"/>
      <c r="AQ2171" s="269"/>
      <c r="AR2171" s="269"/>
    </row>
    <row r="2172">
      <c r="A2172" s="410"/>
      <c r="B2172" s="410"/>
      <c r="C2172" s="410"/>
      <c r="D2172" s="410"/>
      <c r="E2172" s="410"/>
      <c r="F2172" s="410"/>
      <c r="H2172" s="269"/>
      <c r="I2172" s="269"/>
      <c r="J2172" s="269"/>
      <c r="K2172" s="269"/>
      <c r="L2172" s="269"/>
      <c r="M2172" s="269"/>
      <c r="N2172" s="269"/>
      <c r="O2172" s="269"/>
      <c r="P2172" s="269"/>
      <c r="Q2172" s="269"/>
      <c r="R2172" s="269"/>
      <c r="S2172" s="269"/>
      <c r="T2172" s="269"/>
      <c r="U2172" s="269"/>
      <c r="V2172" s="269"/>
      <c r="W2172" s="269"/>
      <c r="X2172" s="269"/>
      <c r="Y2172" s="269"/>
      <c r="Z2172" s="269"/>
      <c r="AA2172" s="269"/>
      <c r="AB2172" s="269"/>
      <c r="AC2172" s="269"/>
      <c r="AD2172" s="269"/>
      <c r="AE2172" s="269"/>
      <c r="AF2172" s="269"/>
      <c r="AG2172" s="269"/>
      <c r="AH2172" s="269"/>
      <c r="AI2172" s="269"/>
      <c r="AJ2172" s="269"/>
      <c r="AK2172" s="269"/>
      <c r="AL2172" s="269"/>
      <c r="AM2172" s="269"/>
      <c r="AN2172" s="269"/>
      <c r="AO2172" s="269"/>
      <c r="AP2172" s="269"/>
      <c r="AQ2172" s="269"/>
      <c r="AR2172" s="269"/>
    </row>
    <row r="2173">
      <c r="A2173" s="410"/>
      <c r="B2173" s="410"/>
      <c r="C2173" s="410"/>
      <c r="D2173" s="410"/>
      <c r="E2173" s="410"/>
      <c r="F2173" s="410"/>
      <c r="H2173" s="269"/>
      <c r="I2173" s="269"/>
      <c r="J2173" s="269"/>
      <c r="K2173" s="269"/>
      <c r="L2173" s="269"/>
      <c r="M2173" s="269"/>
      <c r="N2173" s="269"/>
      <c r="O2173" s="269"/>
      <c r="P2173" s="269"/>
      <c r="Q2173" s="269"/>
      <c r="R2173" s="269"/>
      <c r="S2173" s="269"/>
      <c r="T2173" s="269"/>
      <c r="U2173" s="269"/>
      <c r="V2173" s="269"/>
      <c r="W2173" s="269"/>
      <c r="X2173" s="269"/>
      <c r="Y2173" s="269"/>
      <c r="Z2173" s="269"/>
      <c r="AA2173" s="269"/>
      <c r="AB2173" s="269"/>
      <c r="AC2173" s="269"/>
      <c r="AD2173" s="269"/>
      <c r="AE2173" s="269"/>
      <c r="AF2173" s="269"/>
      <c r="AG2173" s="269"/>
      <c r="AH2173" s="269"/>
      <c r="AI2173" s="269"/>
      <c r="AJ2173" s="269"/>
      <c r="AK2173" s="269"/>
      <c r="AL2173" s="269"/>
      <c r="AM2173" s="269"/>
      <c r="AN2173" s="269"/>
      <c r="AO2173" s="269"/>
      <c r="AP2173" s="269"/>
      <c r="AQ2173" s="269"/>
      <c r="AR2173" s="269"/>
    </row>
    <row r="2174">
      <c r="A2174" s="410"/>
      <c r="B2174" s="410"/>
      <c r="C2174" s="410"/>
      <c r="D2174" s="410"/>
      <c r="E2174" s="410"/>
      <c r="F2174" s="410"/>
      <c r="H2174" s="269"/>
      <c r="I2174" s="269"/>
      <c r="J2174" s="269"/>
      <c r="K2174" s="269"/>
      <c r="L2174" s="269"/>
      <c r="M2174" s="269"/>
      <c r="N2174" s="269"/>
      <c r="O2174" s="269"/>
      <c r="P2174" s="269"/>
      <c r="Q2174" s="269"/>
      <c r="R2174" s="269"/>
      <c r="S2174" s="269"/>
      <c r="T2174" s="269"/>
      <c r="U2174" s="269"/>
      <c r="V2174" s="269"/>
      <c r="W2174" s="269"/>
      <c r="X2174" s="269"/>
      <c r="Y2174" s="269"/>
      <c r="Z2174" s="269"/>
      <c r="AA2174" s="269"/>
      <c r="AB2174" s="269"/>
      <c r="AC2174" s="269"/>
      <c r="AD2174" s="269"/>
      <c r="AE2174" s="269"/>
      <c r="AF2174" s="269"/>
      <c r="AG2174" s="269"/>
      <c r="AH2174" s="269"/>
      <c r="AI2174" s="269"/>
      <c r="AJ2174" s="269"/>
      <c r="AK2174" s="269"/>
      <c r="AL2174" s="269"/>
      <c r="AM2174" s="269"/>
      <c r="AN2174" s="269"/>
      <c r="AO2174" s="269"/>
      <c r="AP2174" s="269"/>
      <c r="AQ2174" s="269"/>
      <c r="AR2174" s="269"/>
    </row>
    <row r="2175">
      <c r="A2175" s="410"/>
      <c r="B2175" s="410"/>
      <c r="C2175" s="410"/>
      <c r="D2175" s="410"/>
      <c r="E2175" s="410"/>
      <c r="F2175" s="410"/>
      <c r="H2175" s="269"/>
      <c r="I2175" s="269"/>
      <c r="J2175" s="269"/>
      <c r="K2175" s="269"/>
      <c r="L2175" s="269"/>
      <c r="M2175" s="269"/>
      <c r="N2175" s="269"/>
      <c r="O2175" s="269"/>
      <c r="P2175" s="269"/>
      <c r="Q2175" s="269"/>
      <c r="R2175" s="269"/>
      <c r="S2175" s="269"/>
      <c r="T2175" s="269"/>
      <c r="U2175" s="269"/>
      <c r="V2175" s="269"/>
      <c r="W2175" s="269"/>
      <c r="X2175" s="269"/>
      <c r="Y2175" s="269"/>
      <c r="Z2175" s="269"/>
      <c r="AA2175" s="269"/>
      <c r="AB2175" s="269"/>
      <c r="AC2175" s="269"/>
      <c r="AD2175" s="269"/>
      <c r="AE2175" s="269"/>
      <c r="AF2175" s="269"/>
      <c r="AG2175" s="269"/>
      <c r="AH2175" s="269"/>
      <c r="AI2175" s="269"/>
      <c r="AJ2175" s="269"/>
      <c r="AK2175" s="269"/>
      <c r="AL2175" s="269"/>
      <c r="AM2175" s="269"/>
      <c r="AN2175" s="269"/>
      <c r="AO2175" s="269"/>
      <c r="AP2175" s="269"/>
      <c r="AQ2175" s="269"/>
      <c r="AR2175" s="269"/>
    </row>
    <row r="2176">
      <c r="A2176" s="410"/>
      <c r="B2176" s="410"/>
      <c r="C2176" s="410"/>
      <c r="D2176" s="410"/>
      <c r="E2176" s="410"/>
      <c r="F2176" s="410"/>
      <c r="H2176" s="269"/>
      <c r="I2176" s="269"/>
      <c r="J2176" s="269"/>
      <c r="K2176" s="269"/>
      <c r="L2176" s="269"/>
      <c r="M2176" s="269"/>
      <c r="N2176" s="269"/>
      <c r="O2176" s="269"/>
      <c r="P2176" s="269"/>
      <c r="Q2176" s="269"/>
      <c r="R2176" s="269"/>
      <c r="S2176" s="269"/>
      <c r="T2176" s="269"/>
      <c r="U2176" s="269"/>
      <c r="V2176" s="269"/>
      <c r="W2176" s="269"/>
      <c r="X2176" s="269"/>
      <c r="Y2176" s="269"/>
      <c r="Z2176" s="269"/>
      <c r="AA2176" s="269"/>
      <c r="AB2176" s="269"/>
      <c r="AC2176" s="269"/>
      <c r="AD2176" s="269"/>
      <c r="AE2176" s="269"/>
      <c r="AF2176" s="269"/>
      <c r="AG2176" s="269"/>
      <c r="AH2176" s="269"/>
      <c r="AI2176" s="269"/>
      <c r="AJ2176" s="269"/>
      <c r="AK2176" s="269"/>
      <c r="AL2176" s="269"/>
      <c r="AM2176" s="269"/>
      <c r="AN2176" s="269"/>
      <c r="AO2176" s="269"/>
      <c r="AP2176" s="269"/>
      <c r="AQ2176" s="269"/>
      <c r="AR2176" s="269"/>
    </row>
    <row r="2177">
      <c r="A2177" s="410"/>
      <c r="B2177" s="410"/>
      <c r="C2177" s="410"/>
      <c r="D2177" s="410"/>
      <c r="E2177" s="410"/>
      <c r="F2177" s="410"/>
      <c r="H2177" s="269"/>
      <c r="I2177" s="269"/>
      <c r="J2177" s="269"/>
      <c r="K2177" s="269"/>
      <c r="L2177" s="269"/>
      <c r="M2177" s="269"/>
      <c r="N2177" s="269"/>
      <c r="O2177" s="269"/>
      <c r="P2177" s="269"/>
      <c r="Q2177" s="269"/>
      <c r="R2177" s="269"/>
      <c r="S2177" s="269"/>
      <c r="T2177" s="269"/>
      <c r="U2177" s="269"/>
      <c r="V2177" s="269"/>
      <c r="W2177" s="269"/>
      <c r="X2177" s="269"/>
      <c r="Y2177" s="269"/>
      <c r="Z2177" s="269"/>
      <c r="AA2177" s="269"/>
      <c r="AB2177" s="269"/>
      <c r="AC2177" s="269"/>
      <c r="AD2177" s="269"/>
      <c r="AE2177" s="269"/>
      <c r="AF2177" s="269"/>
      <c r="AG2177" s="269"/>
      <c r="AH2177" s="269"/>
      <c r="AI2177" s="269"/>
      <c r="AJ2177" s="269"/>
      <c r="AK2177" s="269"/>
      <c r="AL2177" s="269"/>
      <c r="AM2177" s="269"/>
      <c r="AN2177" s="269"/>
      <c r="AO2177" s="269"/>
      <c r="AP2177" s="269"/>
      <c r="AQ2177" s="269"/>
      <c r="AR2177" s="269"/>
    </row>
    <row r="2178">
      <c r="A2178" s="410"/>
      <c r="B2178" s="410"/>
      <c r="C2178" s="410"/>
      <c r="D2178" s="410"/>
      <c r="E2178" s="410"/>
      <c r="F2178" s="410"/>
      <c r="H2178" s="269"/>
      <c r="I2178" s="269"/>
      <c r="J2178" s="269"/>
      <c r="K2178" s="269"/>
      <c r="L2178" s="269"/>
      <c r="M2178" s="269"/>
      <c r="N2178" s="269"/>
      <c r="O2178" s="269"/>
      <c r="P2178" s="269"/>
      <c r="Q2178" s="269"/>
      <c r="R2178" s="269"/>
      <c r="S2178" s="269"/>
      <c r="T2178" s="269"/>
      <c r="U2178" s="269"/>
      <c r="V2178" s="269"/>
      <c r="W2178" s="269"/>
      <c r="X2178" s="269"/>
      <c r="Y2178" s="269"/>
      <c r="Z2178" s="269"/>
      <c r="AA2178" s="269"/>
      <c r="AB2178" s="269"/>
      <c r="AC2178" s="269"/>
      <c r="AD2178" s="269"/>
      <c r="AE2178" s="269"/>
      <c r="AF2178" s="269"/>
      <c r="AG2178" s="269"/>
      <c r="AH2178" s="269"/>
      <c r="AI2178" s="269"/>
      <c r="AJ2178" s="269"/>
      <c r="AK2178" s="269"/>
      <c r="AL2178" s="269"/>
      <c r="AM2178" s="269"/>
      <c r="AN2178" s="269"/>
      <c r="AO2178" s="269"/>
      <c r="AP2178" s="269"/>
      <c r="AQ2178" s="269"/>
      <c r="AR2178" s="269"/>
    </row>
    <row r="2179">
      <c r="A2179" s="410"/>
      <c r="B2179" s="410"/>
      <c r="C2179" s="410"/>
      <c r="D2179" s="410"/>
      <c r="E2179" s="410"/>
      <c r="F2179" s="410"/>
      <c r="H2179" s="269"/>
      <c r="I2179" s="269"/>
      <c r="J2179" s="269"/>
      <c r="K2179" s="269"/>
      <c r="L2179" s="269"/>
      <c r="M2179" s="269"/>
      <c r="N2179" s="269"/>
      <c r="O2179" s="269"/>
      <c r="P2179" s="269"/>
      <c r="Q2179" s="269"/>
      <c r="R2179" s="269"/>
      <c r="S2179" s="269"/>
      <c r="T2179" s="269"/>
      <c r="U2179" s="269"/>
      <c r="V2179" s="269"/>
      <c r="W2179" s="269"/>
      <c r="X2179" s="269"/>
      <c r="Y2179" s="269"/>
      <c r="Z2179" s="269"/>
      <c r="AA2179" s="269"/>
      <c r="AB2179" s="269"/>
      <c r="AC2179" s="269"/>
      <c r="AD2179" s="269"/>
      <c r="AE2179" s="269"/>
      <c r="AF2179" s="269"/>
      <c r="AG2179" s="269"/>
      <c r="AH2179" s="269"/>
      <c r="AI2179" s="269"/>
      <c r="AJ2179" s="269"/>
      <c r="AK2179" s="269"/>
      <c r="AL2179" s="269"/>
      <c r="AM2179" s="269"/>
      <c r="AN2179" s="269"/>
      <c r="AO2179" s="269"/>
      <c r="AP2179" s="269"/>
      <c r="AQ2179" s="269"/>
      <c r="AR2179" s="269"/>
    </row>
    <row r="2180">
      <c r="A2180" s="410"/>
      <c r="B2180" s="410"/>
      <c r="C2180" s="410"/>
      <c r="D2180" s="410"/>
      <c r="E2180" s="410"/>
      <c r="F2180" s="410"/>
      <c r="H2180" s="269"/>
      <c r="I2180" s="269"/>
      <c r="J2180" s="269"/>
      <c r="K2180" s="269"/>
      <c r="L2180" s="269"/>
      <c r="M2180" s="269"/>
      <c r="N2180" s="269"/>
      <c r="O2180" s="269"/>
      <c r="P2180" s="269"/>
      <c r="Q2180" s="269"/>
      <c r="R2180" s="269"/>
      <c r="S2180" s="269"/>
      <c r="T2180" s="269"/>
      <c r="U2180" s="269"/>
      <c r="V2180" s="269"/>
      <c r="W2180" s="269"/>
      <c r="X2180" s="269"/>
      <c r="Y2180" s="269"/>
      <c r="Z2180" s="269"/>
      <c r="AA2180" s="269"/>
      <c r="AB2180" s="269"/>
      <c r="AC2180" s="269"/>
      <c r="AD2180" s="269"/>
      <c r="AE2180" s="269"/>
      <c r="AF2180" s="269"/>
      <c r="AG2180" s="269"/>
      <c r="AH2180" s="269"/>
      <c r="AI2180" s="269"/>
      <c r="AJ2180" s="269"/>
      <c r="AK2180" s="269"/>
      <c r="AL2180" s="269"/>
      <c r="AM2180" s="269"/>
      <c r="AN2180" s="269"/>
      <c r="AO2180" s="269"/>
      <c r="AP2180" s="269"/>
      <c r="AQ2180" s="269"/>
      <c r="AR2180" s="269"/>
    </row>
    <row r="2181">
      <c r="A2181" s="410"/>
      <c r="B2181" s="410"/>
      <c r="C2181" s="410"/>
      <c r="D2181" s="410"/>
      <c r="E2181" s="410"/>
      <c r="F2181" s="410"/>
      <c r="H2181" s="269"/>
      <c r="I2181" s="269"/>
      <c r="J2181" s="269"/>
      <c r="K2181" s="269"/>
      <c r="L2181" s="269"/>
      <c r="M2181" s="269"/>
      <c r="N2181" s="269"/>
      <c r="O2181" s="269"/>
      <c r="P2181" s="269"/>
      <c r="Q2181" s="269"/>
      <c r="R2181" s="269"/>
      <c r="S2181" s="269"/>
      <c r="T2181" s="269"/>
      <c r="U2181" s="269"/>
      <c r="V2181" s="269"/>
      <c r="W2181" s="269"/>
      <c r="X2181" s="269"/>
      <c r="Y2181" s="269"/>
      <c r="Z2181" s="269"/>
      <c r="AA2181" s="269"/>
      <c r="AB2181" s="269"/>
      <c r="AC2181" s="269"/>
      <c r="AD2181" s="269"/>
      <c r="AE2181" s="269"/>
      <c r="AF2181" s="269"/>
      <c r="AG2181" s="269"/>
      <c r="AH2181" s="269"/>
      <c r="AI2181" s="269"/>
      <c r="AJ2181" s="269"/>
      <c r="AK2181" s="269"/>
      <c r="AL2181" s="269"/>
      <c r="AM2181" s="269"/>
      <c r="AN2181" s="269"/>
      <c r="AO2181" s="269"/>
      <c r="AP2181" s="269"/>
      <c r="AQ2181" s="269"/>
      <c r="AR2181" s="269"/>
    </row>
    <row r="2182">
      <c r="A2182" s="410"/>
      <c r="B2182" s="410"/>
      <c r="C2182" s="410"/>
      <c r="D2182" s="410"/>
      <c r="E2182" s="410"/>
      <c r="F2182" s="410"/>
      <c r="H2182" s="269"/>
      <c r="I2182" s="269"/>
      <c r="J2182" s="269"/>
      <c r="K2182" s="269"/>
      <c r="L2182" s="269"/>
      <c r="M2182" s="269"/>
      <c r="N2182" s="269"/>
      <c r="O2182" s="269"/>
      <c r="P2182" s="269"/>
      <c r="Q2182" s="269"/>
      <c r="R2182" s="269"/>
      <c r="S2182" s="269"/>
      <c r="T2182" s="269"/>
      <c r="U2182" s="269"/>
      <c r="V2182" s="269"/>
      <c r="W2182" s="269"/>
      <c r="X2182" s="269"/>
      <c r="Y2182" s="269"/>
      <c r="Z2182" s="269"/>
      <c r="AA2182" s="269"/>
      <c r="AB2182" s="269"/>
      <c r="AC2182" s="269"/>
      <c r="AD2182" s="269"/>
      <c r="AE2182" s="269"/>
      <c r="AF2182" s="269"/>
      <c r="AG2182" s="269"/>
      <c r="AH2182" s="269"/>
      <c r="AI2182" s="269"/>
      <c r="AJ2182" s="269"/>
      <c r="AK2182" s="269"/>
      <c r="AL2182" s="269"/>
      <c r="AM2182" s="269"/>
      <c r="AN2182" s="269"/>
      <c r="AO2182" s="269"/>
      <c r="AP2182" s="269"/>
      <c r="AQ2182" s="269"/>
      <c r="AR2182" s="269"/>
    </row>
    <row r="2183">
      <c r="A2183" s="410"/>
      <c r="B2183" s="410"/>
      <c r="C2183" s="410"/>
      <c r="D2183" s="410"/>
      <c r="E2183" s="410"/>
      <c r="F2183" s="410"/>
      <c r="H2183" s="269"/>
      <c r="I2183" s="269"/>
      <c r="J2183" s="269"/>
      <c r="K2183" s="269"/>
      <c r="L2183" s="269"/>
      <c r="M2183" s="269"/>
      <c r="N2183" s="269"/>
      <c r="O2183" s="269"/>
      <c r="P2183" s="269"/>
      <c r="Q2183" s="269"/>
      <c r="R2183" s="269"/>
      <c r="S2183" s="269"/>
      <c r="T2183" s="269"/>
      <c r="U2183" s="269"/>
      <c r="V2183" s="269"/>
      <c r="W2183" s="269"/>
      <c r="X2183" s="269"/>
      <c r="Y2183" s="269"/>
      <c r="Z2183" s="269"/>
      <c r="AA2183" s="269"/>
      <c r="AB2183" s="269"/>
      <c r="AC2183" s="269"/>
      <c r="AD2183" s="269"/>
      <c r="AE2183" s="269"/>
      <c r="AF2183" s="269"/>
      <c r="AG2183" s="269"/>
      <c r="AH2183" s="269"/>
      <c r="AI2183" s="269"/>
      <c r="AJ2183" s="269"/>
      <c r="AK2183" s="269"/>
      <c r="AL2183" s="269"/>
      <c r="AM2183" s="269"/>
      <c r="AN2183" s="269"/>
      <c r="AO2183" s="269"/>
      <c r="AP2183" s="269"/>
      <c r="AQ2183" s="269"/>
      <c r="AR2183" s="269"/>
    </row>
    <row r="2184">
      <c r="A2184" s="410"/>
      <c r="B2184" s="410"/>
      <c r="C2184" s="410"/>
      <c r="D2184" s="410"/>
      <c r="E2184" s="410"/>
      <c r="F2184" s="410"/>
      <c r="H2184" s="269"/>
      <c r="I2184" s="269"/>
      <c r="J2184" s="269"/>
      <c r="K2184" s="269"/>
      <c r="L2184" s="269"/>
      <c r="M2184" s="269"/>
      <c r="N2184" s="269"/>
      <c r="O2184" s="269"/>
      <c r="P2184" s="269"/>
      <c r="Q2184" s="269"/>
      <c r="R2184" s="269"/>
      <c r="S2184" s="269"/>
      <c r="T2184" s="269"/>
      <c r="U2184" s="269"/>
      <c r="V2184" s="269"/>
      <c r="W2184" s="269"/>
      <c r="X2184" s="269"/>
      <c r="Y2184" s="269"/>
      <c r="Z2184" s="269"/>
      <c r="AA2184" s="269"/>
      <c r="AB2184" s="269"/>
      <c r="AC2184" s="269"/>
      <c r="AD2184" s="269"/>
      <c r="AE2184" s="269"/>
      <c r="AF2184" s="269"/>
      <c r="AG2184" s="269"/>
      <c r="AH2184" s="269"/>
      <c r="AI2184" s="269"/>
      <c r="AJ2184" s="269"/>
      <c r="AK2184" s="269"/>
      <c r="AL2184" s="269"/>
      <c r="AM2184" s="269"/>
      <c r="AN2184" s="269"/>
      <c r="AO2184" s="269"/>
      <c r="AP2184" s="269"/>
      <c r="AQ2184" s="269"/>
      <c r="AR2184" s="269"/>
    </row>
    <row r="2185">
      <c r="A2185" s="410"/>
      <c r="B2185" s="410"/>
      <c r="C2185" s="410"/>
      <c r="D2185" s="410"/>
      <c r="E2185" s="410"/>
      <c r="F2185" s="410"/>
      <c r="H2185" s="269"/>
      <c r="I2185" s="269"/>
      <c r="J2185" s="269"/>
      <c r="K2185" s="269"/>
      <c r="L2185" s="269"/>
      <c r="M2185" s="269"/>
      <c r="N2185" s="269"/>
      <c r="O2185" s="269"/>
      <c r="P2185" s="269"/>
      <c r="Q2185" s="269"/>
      <c r="R2185" s="269"/>
      <c r="S2185" s="269"/>
      <c r="T2185" s="269"/>
      <c r="U2185" s="269"/>
      <c r="V2185" s="269"/>
      <c r="W2185" s="269"/>
      <c r="X2185" s="269"/>
      <c r="Y2185" s="269"/>
      <c r="Z2185" s="269"/>
      <c r="AA2185" s="269"/>
      <c r="AB2185" s="269"/>
      <c r="AC2185" s="269"/>
      <c r="AD2185" s="269"/>
      <c r="AE2185" s="269"/>
      <c r="AF2185" s="269"/>
      <c r="AG2185" s="269"/>
      <c r="AH2185" s="269"/>
      <c r="AI2185" s="269"/>
      <c r="AJ2185" s="269"/>
      <c r="AK2185" s="269"/>
      <c r="AL2185" s="269"/>
      <c r="AM2185" s="269"/>
      <c r="AN2185" s="269"/>
      <c r="AO2185" s="269"/>
      <c r="AP2185" s="269"/>
      <c r="AQ2185" s="269"/>
      <c r="AR2185" s="269"/>
    </row>
    <row r="2186">
      <c r="A2186" s="410"/>
      <c r="B2186" s="410"/>
      <c r="C2186" s="410"/>
      <c r="D2186" s="410"/>
      <c r="E2186" s="410"/>
      <c r="F2186" s="410"/>
      <c r="H2186" s="269"/>
      <c r="I2186" s="269"/>
      <c r="J2186" s="269"/>
      <c r="K2186" s="269"/>
      <c r="L2186" s="269"/>
      <c r="M2186" s="269"/>
      <c r="N2186" s="269"/>
      <c r="O2186" s="269"/>
      <c r="P2186" s="269"/>
      <c r="Q2186" s="269"/>
      <c r="R2186" s="269"/>
      <c r="S2186" s="269"/>
      <c r="T2186" s="269"/>
      <c r="U2186" s="269"/>
      <c r="V2186" s="269"/>
      <c r="W2186" s="269"/>
      <c r="X2186" s="269"/>
      <c r="Y2186" s="269"/>
      <c r="Z2186" s="269"/>
      <c r="AA2186" s="269"/>
      <c r="AB2186" s="269"/>
      <c r="AC2186" s="269"/>
      <c r="AD2186" s="269"/>
      <c r="AE2186" s="269"/>
      <c r="AF2186" s="269"/>
      <c r="AG2186" s="269"/>
      <c r="AH2186" s="269"/>
      <c r="AI2186" s="269"/>
      <c r="AJ2186" s="269"/>
      <c r="AK2186" s="269"/>
      <c r="AL2186" s="269"/>
      <c r="AM2186" s="269"/>
      <c r="AN2186" s="269"/>
      <c r="AO2186" s="269"/>
      <c r="AP2186" s="269"/>
      <c r="AQ2186" s="269"/>
      <c r="AR2186" s="269"/>
    </row>
    <row r="2187">
      <c r="A2187" s="410"/>
      <c r="B2187" s="410"/>
      <c r="C2187" s="410"/>
      <c r="D2187" s="410"/>
      <c r="E2187" s="410"/>
      <c r="F2187" s="410"/>
      <c r="H2187" s="269"/>
      <c r="I2187" s="269"/>
      <c r="J2187" s="269"/>
      <c r="K2187" s="269"/>
      <c r="L2187" s="269"/>
      <c r="M2187" s="269"/>
      <c r="N2187" s="269"/>
      <c r="O2187" s="269"/>
      <c r="P2187" s="269"/>
      <c r="Q2187" s="269"/>
      <c r="R2187" s="269"/>
      <c r="S2187" s="269"/>
      <c r="T2187" s="269"/>
      <c r="U2187" s="269"/>
      <c r="V2187" s="269"/>
      <c r="W2187" s="269"/>
      <c r="X2187" s="269"/>
      <c r="Y2187" s="269"/>
      <c r="Z2187" s="269"/>
      <c r="AA2187" s="269"/>
      <c r="AB2187" s="269"/>
      <c r="AC2187" s="269"/>
      <c r="AD2187" s="269"/>
      <c r="AE2187" s="269"/>
      <c r="AF2187" s="269"/>
      <c r="AG2187" s="269"/>
      <c r="AH2187" s="269"/>
      <c r="AI2187" s="269"/>
      <c r="AJ2187" s="269"/>
      <c r="AK2187" s="269"/>
      <c r="AL2187" s="269"/>
      <c r="AM2187" s="269"/>
      <c r="AN2187" s="269"/>
      <c r="AO2187" s="269"/>
      <c r="AP2187" s="269"/>
      <c r="AQ2187" s="269"/>
      <c r="AR2187" s="269"/>
    </row>
    <row r="2188">
      <c r="A2188" s="410"/>
      <c r="B2188" s="410"/>
      <c r="C2188" s="410"/>
      <c r="D2188" s="410"/>
      <c r="E2188" s="410"/>
      <c r="F2188" s="410"/>
      <c r="H2188" s="269"/>
      <c r="I2188" s="269"/>
      <c r="J2188" s="269"/>
      <c r="K2188" s="269"/>
      <c r="L2188" s="269"/>
      <c r="M2188" s="269"/>
      <c r="N2188" s="269"/>
      <c r="O2188" s="269"/>
      <c r="P2188" s="269"/>
      <c r="Q2188" s="269"/>
      <c r="R2188" s="269"/>
      <c r="S2188" s="269"/>
      <c r="T2188" s="269"/>
      <c r="U2188" s="269"/>
      <c r="V2188" s="269"/>
      <c r="W2188" s="269"/>
      <c r="X2188" s="269"/>
      <c r="Y2188" s="269"/>
      <c r="Z2188" s="269"/>
      <c r="AA2188" s="269"/>
      <c r="AB2188" s="269"/>
      <c r="AC2188" s="269"/>
      <c r="AD2188" s="269"/>
      <c r="AE2188" s="269"/>
      <c r="AF2188" s="269"/>
      <c r="AG2188" s="269"/>
      <c r="AH2188" s="269"/>
      <c r="AI2188" s="269"/>
      <c r="AJ2188" s="269"/>
      <c r="AK2188" s="269"/>
      <c r="AL2188" s="269"/>
      <c r="AM2188" s="269"/>
      <c r="AN2188" s="269"/>
      <c r="AO2188" s="269"/>
      <c r="AP2188" s="269"/>
      <c r="AQ2188" s="269"/>
      <c r="AR2188" s="269"/>
    </row>
    <row r="2189">
      <c r="A2189" s="410"/>
      <c r="B2189" s="410"/>
      <c r="C2189" s="410"/>
      <c r="D2189" s="410"/>
      <c r="E2189" s="410"/>
      <c r="F2189" s="410"/>
      <c r="H2189" s="269"/>
      <c r="I2189" s="269"/>
      <c r="J2189" s="269"/>
      <c r="K2189" s="269"/>
      <c r="L2189" s="269"/>
      <c r="M2189" s="269"/>
      <c r="N2189" s="269"/>
      <c r="O2189" s="269"/>
      <c r="P2189" s="269"/>
      <c r="Q2189" s="269"/>
      <c r="R2189" s="269"/>
      <c r="S2189" s="269"/>
      <c r="T2189" s="269"/>
      <c r="U2189" s="269"/>
      <c r="V2189" s="269"/>
      <c r="W2189" s="269"/>
      <c r="X2189" s="269"/>
      <c r="Y2189" s="269"/>
      <c r="Z2189" s="269"/>
      <c r="AA2189" s="269"/>
      <c r="AB2189" s="269"/>
      <c r="AC2189" s="269"/>
      <c r="AD2189" s="269"/>
      <c r="AE2189" s="269"/>
      <c r="AF2189" s="269"/>
      <c r="AG2189" s="269"/>
      <c r="AH2189" s="269"/>
      <c r="AI2189" s="269"/>
      <c r="AJ2189" s="269"/>
      <c r="AK2189" s="269"/>
      <c r="AL2189" s="269"/>
      <c r="AM2189" s="269"/>
      <c r="AN2189" s="269"/>
      <c r="AO2189" s="269"/>
      <c r="AP2189" s="269"/>
      <c r="AQ2189" s="269"/>
      <c r="AR2189" s="269"/>
    </row>
    <row r="2190">
      <c r="A2190" s="410"/>
      <c r="B2190" s="410"/>
      <c r="C2190" s="410"/>
      <c r="D2190" s="410"/>
      <c r="E2190" s="410"/>
      <c r="F2190" s="410"/>
      <c r="H2190" s="269"/>
      <c r="I2190" s="269"/>
      <c r="J2190" s="269"/>
      <c r="K2190" s="269"/>
      <c r="L2190" s="269"/>
      <c r="M2190" s="269"/>
      <c r="N2190" s="269"/>
      <c r="O2190" s="269"/>
      <c r="P2190" s="269"/>
      <c r="Q2190" s="269"/>
      <c r="R2190" s="269"/>
      <c r="S2190" s="269"/>
      <c r="T2190" s="269"/>
      <c r="U2190" s="269"/>
      <c r="V2190" s="269"/>
      <c r="W2190" s="269"/>
      <c r="X2190" s="269"/>
      <c r="Y2190" s="269"/>
      <c r="Z2190" s="269"/>
      <c r="AA2190" s="269"/>
      <c r="AB2190" s="269"/>
      <c r="AC2190" s="269"/>
      <c r="AD2190" s="269"/>
      <c r="AE2190" s="269"/>
      <c r="AF2190" s="269"/>
      <c r="AG2190" s="269"/>
      <c r="AH2190" s="269"/>
      <c r="AI2190" s="269"/>
      <c r="AJ2190" s="269"/>
      <c r="AK2190" s="269"/>
      <c r="AL2190" s="269"/>
      <c r="AM2190" s="269"/>
      <c r="AN2190" s="269"/>
      <c r="AO2190" s="269"/>
      <c r="AP2190" s="269"/>
      <c r="AQ2190" s="269"/>
      <c r="AR2190" s="269"/>
    </row>
    <row r="2191">
      <c r="A2191" s="410"/>
      <c r="B2191" s="410"/>
      <c r="C2191" s="410"/>
      <c r="D2191" s="410"/>
      <c r="E2191" s="410"/>
      <c r="F2191" s="410"/>
      <c r="H2191" s="269"/>
      <c r="I2191" s="269"/>
      <c r="J2191" s="269"/>
      <c r="K2191" s="269"/>
      <c r="L2191" s="269"/>
      <c r="M2191" s="269"/>
      <c r="N2191" s="269"/>
      <c r="O2191" s="269"/>
      <c r="P2191" s="269"/>
      <c r="Q2191" s="269"/>
      <c r="R2191" s="269"/>
      <c r="S2191" s="269"/>
      <c r="T2191" s="269"/>
      <c r="U2191" s="269"/>
      <c r="V2191" s="269"/>
      <c r="W2191" s="269"/>
      <c r="X2191" s="269"/>
      <c r="Y2191" s="269"/>
      <c r="Z2191" s="269"/>
      <c r="AA2191" s="269"/>
      <c r="AB2191" s="269"/>
      <c r="AC2191" s="269"/>
      <c r="AD2191" s="269"/>
      <c r="AE2191" s="269"/>
      <c r="AF2191" s="269"/>
      <c r="AG2191" s="269"/>
      <c r="AH2191" s="269"/>
      <c r="AI2191" s="269"/>
      <c r="AJ2191" s="269"/>
      <c r="AK2191" s="269"/>
      <c r="AL2191" s="269"/>
      <c r="AM2191" s="269"/>
      <c r="AN2191" s="269"/>
      <c r="AO2191" s="269"/>
      <c r="AP2191" s="269"/>
      <c r="AQ2191" s="269"/>
      <c r="AR2191" s="269"/>
    </row>
    <row r="2192">
      <c r="A2192" s="410"/>
      <c r="B2192" s="410"/>
      <c r="C2192" s="410"/>
      <c r="D2192" s="410"/>
      <c r="E2192" s="410"/>
      <c r="F2192" s="410"/>
      <c r="H2192" s="269"/>
      <c r="I2192" s="269"/>
      <c r="J2192" s="269"/>
      <c r="K2192" s="269"/>
      <c r="L2192" s="269"/>
      <c r="M2192" s="269"/>
      <c r="N2192" s="269"/>
      <c r="O2192" s="269"/>
      <c r="P2192" s="269"/>
      <c r="Q2192" s="269"/>
      <c r="R2192" s="269"/>
      <c r="S2192" s="269"/>
      <c r="T2192" s="269"/>
      <c r="U2192" s="269"/>
      <c r="V2192" s="269"/>
      <c r="W2192" s="269"/>
      <c r="X2192" s="269"/>
      <c r="Y2192" s="269"/>
      <c r="Z2192" s="269"/>
      <c r="AA2192" s="269"/>
      <c r="AB2192" s="269"/>
      <c r="AC2192" s="269"/>
      <c r="AD2192" s="269"/>
      <c r="AE2192" s="269"/>
      <c r="AF2192" s="269"/>
      <c r="AG2192" s="269"/>
      <c r="AH2192" s="269"/>
      <c r="AI2192" s="269"/>
      <c r="AJ2192" s="269"/>
      <c r="AK2192" s="269"/>
      <c r="AL2192" s="269"/>
      <c r="AM2192" s="269"/>
      <c r="AN2192" s="269"/>
      <c r="AO2192" s="269"/>
      <c r="AP2192" s="269"/>
      <c r="AQ2192" s="269"/>
      <c r="AR2192" s="269"/>
    </row>
    <row r="2193">
      <c r="A2193" s="410"/>
      <c r="B2193" s="410"/>
      <c r="C2193" s="410"/>
      <c r="D2193" s="410"/>
      <c r="E2193" s="410"/>
      <c r="F2193" s="410"/>
      <c r="H2193" s="269"/>
      <c r="I2193" s="269"/>
      <c r="J2193" s="269"/>
      <c r="K2193" s="269"/>
      <c r="L2193" s="269"/>
      <c r="M2193" s="269"/>
      <c r="N2193" s="269"/>
      <c r="O2193" s="269"/>
      <c r="P2193" s="269"/>
      <c r="Q2193" s="269"/>
      <c r="R2193" s="269"/>
      <c r="S2193" s="269"/>
      <c r="T2193" s="269"/>
      <c r="U2193" s="269"/>
      <c r="V2193" s="269"/>
      <c r="W2193" s="269"/>
      <c r="X2193" s="269"/>
      <c r="Y2193" s="269"/>
      <c r="Z2193" s="269"/>
      <c r="AA2193" s="269"/>
      <c r="AB2193" s="269"/>
      <c r="AC2193" s="269"/>
      <c r="AD2193" s="269"/>
      <c r="AE2193" s="269"/>
      <c r="AF2193" s="269"/>
      <c r="AG2193" s="269"/>
      <c r="AH2193" s="269"/>
      <c r="AI2193" s="269"/>
      <c r="AJ2193" s="269"/>
      <c r="AK2193" s="269"/>
      <c r="AL2193" s="269"/>
      <c r="AM2193" s="269"/>
      <c r="AN2193" s="269"/>
      <c r="AO2193" s="269"/>
      <c r="AP2193" s="269"/>
      <c r="AQ2193" s="269"/>
      <c r="AR2193" s="269"/>
    </row>
    <row r="2194">
      <c r="A2194" s="410"/>
      <c r="B2194" s="410"/>
      <c r="C2194" s="410"/>
      <c r="D2194" s="410"/>
      <c r="E2194" s="410"/>
      <c r="F2194" s="410"/>
      <c r="H2194" s="269"/>
      <c r="I2194" s="269"/>
      <c r="J2194" s="269"/>
      <c r="K2194" s="269"/>
      <c r="L2194" s="269"/>
      <c r="M2194" s="269"/>
      <c r="N2194" s="269"/>
      <c r="O2194" s="269"/>
      <c r="P2194" s="269"/>
      <c r="Q2194" s="269"/>
      <c r="R2194" s="269"/>
      <c r="S2194" s="269"/>
      <c r="T2194" s="269"/>
      <c r="U2194" s="269"/>
      <c r="V2194" s="269"/>
      <c r="W2194" s="269"/>
      <c r="X2194" s="269"/>
      <c r="Y2194" s="269"/>
      <c r="Z2194" s="269"/>
      <c r="AA2194" s="269"/>
      <c r="AB2194" s="269"/>
      <c r="AC2194" s="269"/>
      <c r="AD2194" s="269"/>
      <c r="AE2194" s="269"/>
      <c r="AF2194" s="269"/>
      <c r="AG2194" s="269"/>
      <c r="AH2194" s="269"/>
      <c r="AI2194" s="269"/>
      <c r="AJ2194" s="269"/>
      <c r="AK2194" s="269"/>
      <c r="AL2194" s="269"/>
      <c r="AM2194" s="269"/>
      <c r="AN2194" s="269"/>
      <c r="AO2194" s="269"/>
      <c r="AP2194" s="269"/>
      <c r="AQ2194" s="269"/>
      <c r="AR2194" s="269"/>
    </row>
    <row r="2195">
      <c r="A2195" s="410"/>
      <c r="B2195" s="410"/>
      <c r="C2195" s="410"/>
      <c r="D2195" s="410"/>
      <c r="E2195" s="410"/>
      <c r="F2195" s="410"/>
      <c r="H2195" s="269"/>
      <c r="I2195" s="269"/>
      <c r="J2195" s="269"/>
      <c r="K2195" s="269"/>
      <c r="L2195" s="269"/>
      <c r="M2195" s="269"/>
      <c r="N2195" s="269"/>
      <c r="O2195" s="269"/>
      <c r="P2195" s="269"/>
      <c r="Q2195" s="269"/>
      <c r="R2195" s="269"/>
      <c r="S2195" s="269"/>
      <c r="T2195" s="269"/>
      <c r="U2195" s="269"/>
      <c r="V2195" s="269"/>
      <c r="W2195" s="269"/>
      <c r="X2195" s="269"/>
      <c r="Y2195" s="269"/>
      <c r="Z2195" s="269"/>
      <c r="AA2195" s="269"/>
      <c r="AB2195" s="269"/>
      <c r="AC2195" s="269"/>
      <c r="AD2195" s="269"/>
      <c r="AE2195" s="269"/>
      <c r="AF2195" s="269"/>
      <c r="AG2195" s="269"/>
      <c r="AH2195" s="269"/>
      <c r="AI2195" s="269"/>
      <c r="AJ2195" s="269"/>
      <c r="AK2195" s="269"/>
      <c r="AL2195" s="269"/>
      <c r="AM2195" s="269"/>
      <c r="AN2195" s="269"/>
      <c r="AO2195" s="269"/>
      <c r="AP2195" s="269"/>
      <c r="AQ2195" s="269"/>
      <c r="AR2195" s="269"/>
    </row>
    <row r="2196">
      <c r="A2196" s="410"/>
      <c r="B2196" s="410"/>
      <c r="C2196" s="410"/>
      <c r="D2196" s="410"/>
      <c r="E2196" s="410"/>
      <c r="F2196" s="410"/>
      <c r="H2196" s="269"/>
      <c r="I2196" s="269"/>
      <c r="J2196" s="269"/>
      <c r="K2196" s="269"/>
      <c r="L2196" s="269"/>
      <c r="M2196" s="269"/>
      <c r="N2196" s="269"/>
      <c r="O2196" s="269"/>
      <c r="P2196" s="269"/>
      <c r="Q2196" s="269"/>
      <c r="R2196" s="269"/>
      <c r="S2196" s="269"/>
      <c r="T2196" s="269"/>
      <c r="U2196" s="269"/>
      <c r="V2196" s="269"/>
      <c r="W2196" s="269"/>
      <c r="X2196" s="269"/>
      <c r="Y2196" s="269"/>
      <c r="Z2196" s="269"/>
      <c r="AA2196" s="269"/>
      <c r="AB2196" s="269"/>
      <c r="AC2196" s="269"/>
      <c r="AD2196" s="269"/>
      <c r="AE2196" s="269"/>
      <c r="AF2196" s="269"/>
      <c r="AG2196" s="269"/>
      <c r="AH2196" s="269"/>
      <c r="AI2196" s="269"/>
      <c r="AJ2196" s="269"/>
      <c r="AK2196" s="269"/>
      <c r="AL2196" s="269"/>
      <c r="AM2196" s="269"/>
      <c r="AN2196" s="269"/>
      <c r="AO2196" s="269"/>
      <c r="AP2196" s="269"/>
      <c r="AQ2196" s="269"/>
      <c r="AR2196" s="269"/>
    </row>
    <row r="2197">
      <c r="A2197" s="410"/>
      <c r="B2197" s="410"/>
      <c r="C2197" s="410"/>
      <c r="D2197" s="410"/>
      <c r="E2197" s="410"/>
      <c r="F2197" s="410"/>
      <c r="H2197" s="269"/>
      <c r="I2197" s="269"/>
      <c r="J2197" s="269"/>
      <c r="K2197" s="269"/>
      <c r="L2197" s="269"/>
      <c r="M2197" s="269"/>
      <c r="N2197" s="269"/>
      <c r="O2197" s="269"/>
      <c r="P2197" s="269"/>
      <c r="Q2197" s="269"/>
      <c r="R2197" s="269"/>
      <c r="S2197" s="269"/>
      <c r="T2197" s="269"/>
      <c r="U2197" s="269"/>
      <c r="V2197" s="269"/>
      <c r="W2197" s="269"/>
      <c r="X2197" s="269"/>
      <c r="Y2197" s="269"/>
      <c r="Z2197" s="269"/>
      <c r="AA2197" s="269"/>
      <c r="AB2197" s="269"/>
      <c r="AC2197" s="269"/>
      <c r="AD2197" s="269"/>
      <c r="AE2197" s="269"/>
      <c r="AF2197" s="269"/>
      <c r="AG2197" s="269"/>
      <c r="AH2197" s="269"/>
      <c r="AI2197" s="269"/>
      <c r="AJ2197" s="269"/>
      <c r="AK2197" s="269"/>
      <c r="AL2197" s="269"/>
      <c r="AM2197" s="269"/>
      <c r="AN2197" s="269"/>
      <c r="AO2197" s="269"/>
      <c r="AP2197" s="269"/>
      <c r="AQ2197" s="269"/>
      <c r="AR2197" s="269"/>
    </row>
    <row r="2198">
      <c r="A2198" s="410"/>
      <c r="B2198" s="410"/>
      <c r="C2198" s="410"/>
      <c r="D2198" s="410"/>
      <c r="E2198" s="410"/>
      <c r="F2198" s="410"/>
      <c r="H2198" s="269"/>
      <c r="I2198" s="269"/>
      <c r="J2198" s="269"/>
      <c r="K2198" s="269"/>
      <c r="L2198" s="269"/>
      <c r="M2198" s="269"/>
      <c r="N2198" s="269"/>
      <c r="O2198" s="269"/>
      <c r="P2198" s="269"/>
      <c r="Q2198" s="269"/>
      <c r="R2198" s="269"/>
      <c r="S2198" s="269"/>
      <c r="T2198" s="269"/>
      <c r="U2198" s="269"/>
      <c r="V2198" s="269"/>
      <c r="W2198" s="269"/>
      <c r="X2198" s="269"/>
      <c r="Y2198" s="269"/>
      <c r="Z2198" s="269"/>
      <c r="AA2198" s="269"/>
      <c r="AB2198" s="269"/>
      <c r="AC2198" s="269"/>
      <c r="AD2198" s="269"/>
      <c r="AE2198" s="269"/>
      <c r="AF2198" s="269"/>
      <c r="AG2198" s="269"/>
      <c r="AH2198" s="269"/>
      <c r="AI2198" s="269"/>
      <c r="AJ2198" s="269"/>
      <c r="AK2198" s="269"/>
      <c r="AL2198" s="269"/>
      <c r="AM2198" s="269"/>
      <c r="AN2198" s="269"/>
      <c r="AO2198" s="269"/>
      <c r="AP2198" s="269"/>
      <c r="AQ2198" s="269"/>
      <c r="AR2198" s="269"/>
    </row>
    <row r="2199">
      <c r="A2199" s="410"/>
      <c r="B2199" s="410"/>
      <c r="C2199" s="410"/>
      <c r="D2199" s="410"/>
      <c r="E2199" s="410"/>
      <c r="F2199" s="410"/>
      <c r="H2199" s="269"/>
      <c r="I2199" s="269"/>
      <c r="J2199" s="269"/>
      <c r="K2199" s="269"/>
      <c r="L2199" s="269"/>
      <c r="M2199" s="269"/>
      <c r="N2199" s="269"/>
      <c r="O2199" s="269"/>
      <c r="P2199" s="269"/>
      <c r="Q2199" s="269"/>
      <c r="R2199" s="269"/>
      <c r="S2199" s="269"/>
      <c r="T2199" s="269"/>
      <c r="U2199" s="269"/>
      <c r="V2199" s="269"/>
      <c r="W2199" s="269"/>
      <c r="X2199" s="269"/>
      <c r="Y2199" s="269"/>
      <c r="Z2199" s="269"/>
      <c r="AA2199" s="269"/>
      <c r="AB2199" s="269"/>
      <c r="AC2199" s="269"/>
      <c r="AD2199" s="269"/>
      <c r="AE2199" s="269"/>
      <c r="AF2199" s="269"/>
      <c r="AG2199" s="269"/>
      <c r="AH2199" s="269"/>
      <c r="AI2199" s="269"/>
      <c r="AJ2199" s="269"/>
      <c r="AK2199" s="269"/>
      <c r="AL2199" s="269"/>
      <c r="AM2199" s="269"/>
      <c r="AN2199" s="269"/>
      <c r="AO2199" s="269"/>
      <c r="AP2199" s="269"/>
      <c r="AQ2199" s="269"/>
      <c r="AR2199" s="269"/>
    </row>
    <row r="2200">
      <c r="A2200" s="410"/>
      <c r="B2200" s="410"/>
      <c r="C2200" s="410"/>
      <c r="D2200" s="410"/>
      <c r="E2200" s="410"/>
      <c r="F2200" s="410"/>
      <c r="H2200" s="269"/>
      <c r="I2200" s="269"/>
      <c r="J2200" s="269"/>
      <c r="K2200" s="269"/>
      <c r="L2200" s="269"/>
      <c r="M2200" s="269"/>
      <c r="N2200" s="269"/>
      <c r="O2200" s="269"/>
      <c r="P2200" s="269"/>
      <c r="Q2200" s="269"/>
      <c r="R2200" s="269"/>
      <c r="S2200" s="269"/>
      <c r="T2200" s="269"/>
      <c r="U2200" s="269"/>
      <c r="V2200" s="269"/>
      <c r="W2200" s="269"/>
      <c r="X2200" s="269"/>
      <c r="Y2200" s="269"/>
      <c r="Z2200" s="269"/>
      <c r="AA2200" s="269"/>
      <c r="AB2200" s="269"/>
      <c r="AC2200" s="269"/>
      <c r="AD2200" s="269"/>
      <c r="AE2200" s="269"/>
      <c r="AF2200" s="269"/>
      <c r="AG2200" s="269"/>
      <c r="AH2200" s="269"/>
      <c r="AI2200" s="269"/>
      <c r="AJ2200" s="269"/>
      <c r="AK2200" s="269"/>
      <c r="AL2200" s="269"/>
      <c r="AM2200" s="269"/>
      <c r="AN2200" s="269"/>
      <c r="AO2200" s="269"/>
      <c r="AP2200" s="269"/>
      <c r="AQ2200" s="269"/>
      <c r="AR2200" s="269"/>
    </row>
    <row r="2201">
      <c r="A2201" s="410"/>
      <c r="B2201" s="410"/>
      <c r="C2201" s="410"/>
      <c r="D2201" s="410"/>
      <c r="E2201" s="410"/>
      <c r="F2201" s="410"/>
      <c r="H2201" s="269"/>
      <c r="I2201" s="269"/>
      <c r="J2201" s="269"/>
      <c r="K2201" s="269"/>
      <c r="L2201" s="269"/>
      <c r="M2201" s="269"/>
      <c r="N2201" s="269"/>
      <c r="O2201" s="269"/>
      <c r="P2201" s="269"/>
      <c r="Q2201" s="269"/>
      <c r="R2201" s="269"/>
      <c r="S2201" s="269"/>
      <c r="T2201" s="269"/>
      <c r="U2201" s="269"/>
      <c r="V2201" s="269"/>
      <c r="W2201" s="269"/>
      <c r="X2201" s="269"/>
      <c r="Y2201" s="269"/>
      <c r="Z2201" s="269"/>
      <c r="AA2201" s="269"/>
      <c r="AB2201" s="269"/>
      <c r="AC2201" s="269"/>
      <c r="AD2201" s="269"/>
      <c r="AE2201" s="269"/>
      <c r="AF2201" s="269"/>
      <c r="AG2201" s="269"/>
      <c r="AH2201" s="269"/>
      <c r="AI2201" s="269"/>
      <c r="AJ2201" s="269"/>
      <c r="AK2201" s="269"/>
      <c r="AL2201" s="269"/>
      <c r="AM2201" s="269"/>
      <c r="AN2201" s="269"/>
      <c r="AO2201" s="269"/>
      <c r="AP2201" s="269"/>
      <c r="AQ2201" s="269"/>
      <c r="AR2201" s="269"/>
    </row>
    <row r="2202">
      <c r="A2202" s="410"/>
      <c r="B2202" s="410"/>
      <c r="C2202" s="410"/>
      <c r="D2202" s="410"/>
      <c r="E2202" s="410"/>
      <c r="F2202" s="410"/>
      <c r="H2202" s="269"/>
      <c r="I2202" s="269"/>
      <c r="J2202" s="269"/>
      <c r="K2202" s="269"/>
      <c r="L2202" s="269"/>
      <c r="M2202" s="269"/>
      <c r="N2202" s="269"/>
      <c r="O2202" s="269"/>
      <c r="P2202" s="269"/>
      <c r="Q2202" s="269"/>
      <c r="R2202" s="269"/>
      <c r="S2202" s="269"/>
      <c r="T2202" s="269"/>
      <c r="U2202" s="269"/>
      <c r="V2202" s="269"/>
      <c r="W2202" s="269"/>
      <c r="X2202" s="269"/>
      <c r="Y2202" s="269"/>
      <c r="Z2202" s="269"/>
      <c r="AA2202" s="269"/>
      <c r="AB2202" s="269"/>
      <c r="AC2202" s="269"/>
      <c r="AD2202" s="269"/>
      <c r="AE2202" s="269"/>
      <c r="AF2202" s="269"/>
      <c r="AG2202" s="269"/>
      <c r="AH2202" s="269"/>
      <c r="AI2202" s="269"/>
      <c r="AJ2202" s="269"/>
      <c r="AK2202" s="269"/>
      <c r="AL2202" s="269"/>
      <c r="AM2202" s="269"/>
      <c r="AN2202" s="269"/>
      <c r="AO2202" s="269"/>
      <c r="AP2202" s="269"/>
      <c r="AQ2202" s="269"/>
      <c r="AR2202" s="269"/>
    </row>
    <row r="2203">
      <c r="A2203" s="410"/>
      <c r="B2203" s="410"/>
      <c r="C2203" s="410"/>
      <c r="D2203" s="410"/>
      <c r="E2203" s="410"/>
      <c r="F2203" s="410"/>
      <c r="H2203" s="269"/>
      <c r="I2203" s="269"/>
      <c r="J2203" s="269"/>
      <c r="K2203" s="269"/>
      <c r="L2203" s="269"/>
      <c r="M2203" s="269"/>
      <c r="N2203" s="269"/>
      <c r="O2203" s="269"/>
      <c r="P2203" s="269"/>
      <c r="Q2203" s="269"/>
      <c r="R2203" s="269"/>
      <c r="S2203" s="269"/>
      <c r="T2203" s="269"/>
      <c r="U2203" s="269"/>
      <c r="V2203" s="269"/>
      <c r="W2203" s="269"/>
      <c r="X2203" s="269"/>
      <c r="Y2203" s="269"/>
      <c r="Z2203" s="269"/>
      <c r="AA2203" s="269"/>
      <c r="AB2203" s="269"/>
      <c r="AC2203" s="269"/>
      <c r="AD2203" s="269"/>
      <c r="AE2203" s="269"/>
      <c r="AF2203" s="269"/>
      <c r="AG2203" s="269"/>
      <c r="AH2203" s="269"/>
      <c r="AI2203" s="269"/>
      <c r="AJ2203" s="269"/>
      <c r="AK2203" s="269"/>
      <c r="AL2203" s="269"/>
      <c r="AM2203" s="269"/>
      <c r="AN2203" s="269"/>
      <c r="AO2203" s="269"/>
      <c r="AP2203" s="269"/>
      <c r="AQ2203" s="269"/>
      <c r="AR2203" s="269"/>
    </row>
    <row r="2204">
      <c r="A2204" s="410"/>
      <c r="B2204" s="410"/>
      <c r="C2204" s="410"/>
      <c r="D2204" s="410"/>
      <c r="E2204" s="410"/>
      <c r="F2204" s="410"/>
      <c r="H2204" s="269"/>
      <c r="I2204" s="269"/>
      <c r="J2204" s="269"/>
      <c r="K2204" s="269"/>
      <c r="L2204" s="269"/>
      <c r="M2204" s="269"/>
      <c r="N2204" s="269"/>
      <c r="O2204" s="269"/>
      <c r="P2204" s="269"/>
      <c r="Q2204" s="269"/>
      <c r="R2204" s="269"/>
      <c r="S2204" s="269"/>
      <c r="T2204" s="269"/>
      <c r="U2204" s="269"/>
      <c r="V2204" s="269"/>
      <c r="W2204" s="269"/>
      <c r="X2204" s="269"/>
      <c r="Y2204" s="269"/>
      <c r="Z2204" s="269"/>
      <c r="AA2204" s="269"/>
      <c r="AB2204" s="269"/>
      <c r="AC2204" s="269"/>
      <c r="AD2204" s="269"/>
      <c r="AE2204" s="269"/>
      <c r="AF2204" s="269"/>
      <c r="AG2204" s="269"/>
      <c r="AH2204" s="269"/>
      <c r="AI2204" s="269"/>
      <c r="AJ2204" s="269"/>
      <c r="AK2204" s="269"/>
      <c r="AL2204" s="269"/>
      <c r="AM2204" s="269"/>
      <c r="AN2204" s="269"/>
      <c r="AO2204" s="269"/>
      <c r="AP2204" s="269"/>
      <c r="AQ2204" s="269"/>
      <c r="AR2204" s="269"/>
    </row>
    <row r="2205">
      <c r="A2205" s="410"/>
      <c r="B2205" s="410"/>
      <c r="C2205" s="410"/>
      <c r="D2205" s="410"/>
      <c r="E2205" s="410"/>
      <c r="F2205" s="410"/>
      <c r="H2205" s="269"/>
      <c r="I2205" s="269"/>
      <c r="J2205" s="269"/>
      <c r="K2205" s="269"/>
      <c r="L2205" s="269"/>
      <c r="M2205" s="269"/>
      <c r="N2205" s="269"/>
      <c r="O2205" s="269"/>
      <c r="P2205" s="269"/>
      <c r="Q2205" s="269"/>
      <c r="R2205" s="269"/>
      <c r="S2205" s="269"/>
      <c r="T2205" s="269"/>
      <c r="U2205" s="269"/>
      <c r="V2205" s="269"/>
      <c r="W2205" s="269"/>
      <c r="X2205" s="269"/>
      <c r="Y2205" s="269"/>
      <c r="Z2205" s="269"/>
      <c r="AA2205" s="269"/>
      <c r="AB2205" s="269"/>
      <c r="AC2205" s="269"/>
      <c r="AD2205" s="269"/>
      <c r="AE2205" s="269"/>
      <c r="AF2205" s="269"/>
      <c r="AG2205" s="269"/>
      <c r="AH2205" s="269"/>
      <c r="AI2205" s="269"/>
      <c r="AJ2205" s="269"/>
      <c r="AK2205" s="269"/>
      <c r="AL2205" s="269"/>
      <c r="AM2205" s="269"/>
      <c r="AN2205" s="269"/>
      <c r="AO2205" s="269"/>
      <c r="AP2205" s="269"/>
      <c r="AQ2205" s="269"/>
      <c r="AR2205" s="269"/>
    </row>
    <row r="2206">
      <c r="A2206" s="410"/>
      <c r="B2206" s="410"/>
      <c r="C2206" s="410"/>
      <c r="D2206" s="410"/>
      <c r="E2206" s="410"/>
      <c r="F2206" s="410"/>
      <c r="H2206" s="269"/>
      <c r="I2206" s="269"/>
      <c r="J2206" s="269"/>
      <c r="K2206" s="269"/>
      <c r="L2206" s="269"/>
      <c r="M2206" s="269"/>
      <c r="N2206" s="269"/>
      <c r="O2206" s="269"/>
      <c r="P2206" s="269"/>
      <c r="Q2206" s="269"/>
      <c r="R2206" s="269"/>
      <c r="S2206" s="269"/>
      <c r="T2206" s="269"/>
      <c r="U2206" s="269"/>
      <c r="V2206" s="269"/>
      <c r="W2206" s="269"/>
      <c r="X2206" s="269"/>
      <c r="Y2206" s="269"/>
      <c r="Z2206" s="269"/>
      <c r="AA2206" s="269"/>
      <c r="AB2206" s="269"/>
      <c r="AC2206" s="269"/>
      <c r="AD2206" s="269"/>
      <c r="AE2206" s="269"/>
      <c r="AF2206" s="269"/>
      <c r="AG2206" s="269"/>
      <c r="AH2206" s="269"/>
      <c r="AI2206" s="269"/>
      <c r="AJ2206" s="269"/>
      <c r="AK2206" s="269"/>
      <c r="AL2206" s="269"/>
      <c r="AM2206" s="269"/>
      <c r="AN2206" s="269"/>
      <c r="AO2206" s="269"/>
      <c r="AP2206" s="269"/>
      <c r="AQ2206" s="269"/>
      <c r="AR2206" s="269"/>
    </row>
    <row r="2207">
      <c r="A2207" s="410"/>
      <c r="B2207" s="410"/>
      <c r="C2207" s="410"/>
      <c r="D2207" s="410"/>
      <c r="E2207" s="410"/>
      <c r="F2207" s="410"/>
      <c r="H2207" s="269"/>
      <c r="I2207" s="269"/>
      <c r="J2207" s="269"/>
      <c r="K2207" s="269"/>
      <c r="L2207" s="269"/>
      <c r="M2207" s="269"/>
      <c r="N2207" s="269"/>
      <c r="O2207" s="269"/>
      <c r="P2207" s="269"/>
      <c r="Q2207" s="269"/>
      <c r="R2207" s="269"/>
      <c r="S2207" s="269"/>
      <c r="T2207" s="269"/>
      <c r="U2207" s="269"/>
      <c r="V2207" s="269"/>
      <c r="W2207" s="269"/>
      <c r="X2207" s="269"/>
      <c r="Y2207" s="269"/>
      <c r="Z2207" s="269"/>
      <c r="AA2207" s="269"/>
      <c r="AB2207" s="269"/>
      <c r="AC2207" s="269"/>
      <c r="AD2207" s="269"/>
      <c r="AE2207" s="269"/>
      <c r="AF2207" s="269"/>
      <c r="AG2207" s="269"/>
      <c r="AH2207" s="269"/>
      <c r="AI2207" s="269"/>
      <c r="AJ2207" s="269"/>
      <c r="AK2207" s="269"/>
      <c r="AL2207" s="269"/>
      <c r="AM2207" s="269"/>
      <c r="AN2207" s="269"/>
      <c r="AO2207" s="269"/>
      <c r="AP2207" s="269"/>
      <c r="AQ2207" s="269"/>
      <c r="AR2207" s="269"/>
    </row>
    <row r="2208">
      <c r="A2208" s="410"/>
      <c r="B2208" s="410"/>
      <c r="C2208" s="410"/>
      <c r="D2208" s="410"/>
      <c r="E2208" s="410"/>
      <c r="F2208" s="410"/>
      <c r="H2208" s="269"/>
      <c r="I2208" s="269"/>
      <c r="J2208" s="269"/>
      <c r="K2208" s="269"/>
      <c r="L2208" s="269"/>
      <c r="M2208" s="269"/>
      <c r="N2208" s="269"/>
      <c r="O2208" s="269"/>
      <c r="P2208" s="269"/>
      <c r="Q2208" s="269"/>
      <c r="R2208" s="269"/>
      <c r="S2208" s="269"/>
      <c r="T2208" s="269"/>
      <c r="U2208" s="269"/>
      <c r="V2208" s="269"/>
      <c r="W2208" s="269"/>
      <c r="X2208" s="269"/>
      <c r="Y2208" s="269"/>
      <c r="Z2208" s="269"/>
      <c r="AA2208" s="269"/>
      <c r="AB2208" s="269"/>
      <c r="AC2208" s="269"/>
      <c r="AD2208" s="269"/>
      <c r="AE2208" s="269"/>
      <c r="AF2208" s="269"/>
      <c r="AG2208" s="269"/>
      <c r="AH2208" s="269"/>
      <c r="AI2208" s="269"/>
      <c r="AJ2208" s="269"/>
      <c r="AK2208" s="269"/>
      <c r="AL2208" s="269"/>
      <c r="AM2208" s="269"/>
      <c r="AN2208" s="269"/>
      <c r="AO2208" s="269"/>
      <c r="AP2208" s="269"/>
      <c r="AQ2208" s="269"/>
      <c r="AR2208" s="269"/>
    </row>
    <row r="2209">
      <c r="A2209" s="410"/>
      <c r="B2209" s="410"/>
      <c r="C2209" s="410"/>
      <c r="D2209" s="410"/>
      <c r="E2209" s="410"/>
      <c r="F2209" s="410"/>
      <c r="H2209" s="269"/>
      <c r="I2209" s="269"/>
      <c r="J2209" s="269"/>
      <c r="K2209" s="269"/>
      <c r="L2209" s="269"/>
      <c r="M2209" s="269"/>
      <c r="N2209" s="269"/>
      <c r="O2209" s="269"/>
      <c r="P2209" s="269"/>
      <c r="Q2209" s="269"/>
      <c r="R2209" s="269"/>
      <c r="S2209" s="269"/>
      <c r="T2209" s="269"/>
      <c r="U2209" s="269"/>
      <c r="V2209" s="269"/>
      <c r="W2209" s="269"/>
      <c r="X2209" s="269"/>
      <c r="Y2209" s="269"/>
      <c r="Z2209" s="269"/>
      <c r="AA2209" s="269"/>
      <c r="AB2209" s="269"/>
      <c r="AC2209" s="269"/>
      <c r="AD2209" s="269"/>
      <c r="AE2209" s="269"/>
      <c r="AF2209" s="269"/>
      <c r="AG2209" s="269"/>
      <c r="AH2209" s="269"/>
      <c r="AI2209" s="269"/>
      <c r="AJ2209" s="269"/>
      <c r="AK2209" s="269"/>
      <c r="AL2209" s="269"/>
      <c r="AM2209" s="269"/>
      <c r="AN2209" s="269"/>
      <c r="AO2209" s="269"/>
      <c r="AP2209" s="269"/>
      <c r="AQ2209" s="269"/>
      <c r="AR2209" s="269"/>
    </row>
    <row r="2210">
      <c r="A2210" s="410"/>
      <c r="B2210" s="410"/>
      <c r="C2210" s="410"/>
      <c r="D2210" s="410"/>
      <c r="E2210" s="410"/>
      <c r="F2210" s="410"/>
      <c r="H2210" s="269"/>
      <c r="I2210" s="269"/>
      <c r="J2210" s="269"/>
      <c r="K2210" s="269"/>
      <c r="L2210" s="269"/>
      <c r="M2210" s="269"/>
      <c r="N2210" s="269"/>
      <c r="O2210" s="269"/>
      <c r="P2210" s="269"/>
      <c r="Q2210" s="269"/>
      <c r="R2210" s="269"/>
      <c r="S2210" s="269"/>
      <c r="T2210" s="269"/>
      <c r="U2210" s="269"/>
      <c r="V2210" s="269"/>
      <c r="W2210" s="269"/>
      <c r="X2210" s="269"/>
      <c r="Y2210" s="269"/>
      <c r="Z2210" s="269"/>
      <c r="AA2210" s="269"/>
      <c r="AB2210" s="269"/>
      <c r="AC2210" s="269"/>
      <c r="AD2210" s="269"/>
      <c r="AE2210" s="269"/>
      <c r="AF2210" s="269"/>
      <c r="AG2210" s="269"/>
      <c r="AH2210" s="269"/>
      <c r="AI2210" s="269"/>
      <c r="AJ2210" s="269"/>
      <c r="AK2210" s="269"/>
      <c r="AL2210" s="269"/>
      <c r="AM2210" s="269"/>
      <c r="AN2210" s="269"/>
      <c r="AO2210" s="269"/>
      <c r="AP2210" s="269"/>
      <c r="AQ2210" s="269"/>
      <c r="AR2210" s="269"/>
    </row>
    <row r="2211">
      <c r="A2211" s="410"/>
      <c r="B2211" s="410"/>
      <c r="C2211" s="410"/>
      <c r="D2211" s="410"/>
      <c r="E2211" s="410"/>
      <c r="F2211" s="410"/>
      <c r="H2211" s="269"/>
      <c r="I2211" s="269"/>
      <c r="J2211" s="269"/>
      <c r="K2211" s="269"/>
      <c r="L2211" s="269"/>
      <c r="M2211" s="269"/>
      <c r="N2211" s="269"/>
      <c r="O2211" s="269"/>
      <c r="P2211" s="269"/>
      <c r="Q2211" s="269"/>
      <c r="R2211" s="269"/>
      <c r="S2211" s="269"/>
      <c r="T2211" s="269"/>
      <c r="U2211" s="269"/>
      <c r="V2211" s="269"/>
      <c r="W2211" s="269"/>
      <c r="X2211" s="269"/>
      <c r="Y2211" s="269"/>
      <c r="Z2211" s="269"/>
      <c r="AA2211" s="269"/>
      <c r="AB2211" s="269"/>
      <c r="AC2211" s="269"/>
      <c r="AD2211" s="269"/>
      <c r="AE2211" s="269"/>
      <c r="AF2211" s="269"/>
      <c r="AG2211" s="269"/>
      <c r="AH2211" s="269"/>
      <c r="AI2211" s="269"/>
      <c r="AJ2211" s="269"/>
      <c r="AK2211" s="269"/>
      <c r="AL2211" s="269"/>
      <c r="AM2211" s="269"/>
      <c r="AN2211" s="269"/>
      <c r="AO2211" s="269"/>
      <c r="AP2211" s="269"/>
      <c r="AQ2211" s="269"/>
      <c r="AR2211" s="269"/>
    </row>
    <row r="2212">
      <c r="A2212" s="410"/>
      <c r="B2212" s="410"/>
      <c r="C2212" s="410"/>
      <c r="D2212" s="410"/>
      <c r="E2212" s="410"/>
      <c r="F2212" s="410"/>
      <c r="H2212" s="269"/>
      <c r="I2212" s="269"/>
      <c r="J2212" s="269"/>
      <c r="K2212" s="269"/>
      <c r="L2212" s="269"/>
      <c r="M2212" s="269"/>
      <c r="N2212" s="269"/>
      <c r="O2212" s="269"/>
      <c r="P2212" s="269"/>
      <c r="Q2212" s="269"/>
      <c r="R2212" s="269"/>
      <c r="S2212" s="269"/>
      <c r="T2212" s="269"/>
      <c r="U2212" s="269"/>
      <c r="V2212" s="269"/>
      <c r="W2212" s="269"/>
      <c r="X2212" s="269"/>
      <c r="Y2212" s="269"/>
      <c r="Z2212" s="269"/>
      <c r="AA2212" s="269"/>
      <c r="AB2212" s="269"/>
      <c r="AC2212" s="269"/>
      <c r="AD2212" s="269"/>
      <c r="AE2212" s="269"/>
      <c r="AF2212" s="269"/>
      <c r="AG2212" s="269"/>
      <c r="AH2212" s="269"/>
      <c r="AI2212" s="269"/>
      <c r="AJ2212" s="269"/>
      <c r="AK2212" s="269"/>
      <c r="AL2212" s="269"/>
      <c r="AM2212" s="269"/>
      <c r="AN2212" s="269"/>
      <c r="AO2212" s="269"/>
      <c r="AP2212" s="269"/>
      <c r="AQ2212" s="269"/>
      <c r="AR2212" s="269"/>
    </row>
    <row r="2213">
      <c r="A2213" s="410"/>
      <c r="B2213" s="410"/>
      <c r="C2213" s="410"/>
      <c r="D2213" s="410"/>
      <c r="E2213" s="410"/>
      <c r="F2213" s="410"/>
      <c r="H2213" s="269"/>
      <c r="I2213" s="269"/>
      <c r="J2213" s="269"/>
      <c r="K2213" s="269"/>
      <c r="L2213" s="269"/>
      <c r="M2213" s="269"/>
      <c r="N2213" s="269"/>
      <c r="O2213" s="269"/>
      <c r="P2213" s="269"/>
      <c r="Q2213" s="269"/>
      <c r="R2213" s="269"/>
      <c r="S2213" s="269"/>
      <c r="T2213" s="269"/>
      <c r="U2213" s="269"/>
      <c r="V2213" s="269"/>
      <c r="W2213" s="269"/>
      <c r="X2213" s="269"/>
      <c r="Y2213" s="269"/>
      <c r="Z2213" s="269"/>
      <c r="AA2213" s="269"/>
      <c r="AB2213" s="269"/>
      <c r="AC2213" s="269"/>
      <c r="AD2213" s="269"/>
      <c r="AE2213" s="269"/>
      <c r="AF2213" s="269"/>
      <c r="AG2213" s="269"/>
      <c r="AH2213" s="269"/>
      <c r="AI2213" s="269"/>
      <c r="AJ2213" s="269"/>
      <c r="AK2213" s="269"/>
      <c r="AL2213" s="269"/>
      <c r="AM2213" s="269"/>
      <c r="AN2213" s="269"/>
      <c r="AO2213" s="269"/>
      <c r="AP2213" s="269"/>
      <c r="AQ2213" s="269"/>
      <c r="AR2213" s="269"/>
    </row>
    <row r="2214">
      <c r="A2214" s="410"/>
      <c r="B2214" s="410"/>
      <c r="C2214" s="410"/>
      <c r="D2214" s="410"/>
      <c r="E2214" s="410"/>
      <c r="F2214" s="410"/>
      <c r="H2214" s="269"/>
      <c r="I2214" s="269"/>
      <c r="J2214" s="269"/>
      <c r="K2214" s="269"/>
      <c r="L2214" s="269"/>
      <c r="M2214" s="269"/>
      <c r="N2214" s="269"/>
      <c r="O2214" s="269"/>
      <c r="P2214" s="269"/>
      <c r="Q2214" s="269"/>
      <c r="R2214" s="269"/>
      <c r="S2214" s="269"/>
      <c r="T2214" s="269"/>
      <c r="U2214" s="269"/>
      <c r="V2214" s="269"/>
      <c r="W2214" s="269"/>
      <c r="X2214" s="269"/>
      <c r="Y2214" s="269"/>
      <c r="Z2214" s="269"/>
      <c r="AA2214" s="269"/>
      <c r="AB2214" s="269"/>
      <c r="AC2214" s="269"/>
      <c r="AD2214" s="269"/>
      <c r="AE2214" s="269"/>
      <c r="AF2214" s="269"/>
      <c r="AG2214" s="269"/>
      <c r="AH2214" s="269"/>
      <c r="AI2214" s="269"/>
      <c r="AJ2214" s="269"/>
      <c r="AK2214" s="269"/>
      <c r="AL2214" s="269"/>
      <c r="AM2214" s="269"/>
      <c r="AN2214" s="269"/>
      <c r="AO2214" s="269"/>
      <c r="AP2214" s="269"/>
      <c r="AQ2214" s="269"/>
      <c r="AR2214" s="269"/>
    </row>
    <row r="2215">
      <c r="A2215" s="410"/>
      <c r="B2215" s="410"/>
      <c r="C2215" s="410"/>
      <c r="D2215" s="410"/>
      <c r="E2215" s="410"/>
      <c r="F2215" s="410"/>
      <c r="H2215" s="269"/>
      <c r="I2215" s="269"/>
      <c r="J2215" s="269"/>
      <c r="K2215" s="269"/>
      <c r="L2215" s="269"/>
      <c r="M2215" s="269"/>
      <c r="N2215" s="269"/>
      <c r="O2215" s="269"/>
      <c r="P2215" s="269"/>
      <c r="Q2215" s="269"/>
      <c r="R2215" s="269"/>
      <c r="S2215" s="269"/>
      <c r="T2215" s="269"/>
      <c r="U2215" s="269"/>
      <c r="V2215" s="269"/>
      <c r="W2215" s="269"/>
      <c r="X2215" s="269"/>
      <c r="Y2215" s="269"/>
      <c r="Z2215" s="269"/>
      <c r="AA2215" s="269"/>
      <c r="AB2215" s="269"/>
      <c r="AC2215" s="269"/>
      <c r="AD2215" s="269"/>
      <c r="AE2215" s="269"/>
      <c r="AF2215" s="269"/>
      <c r="AG2215" s="269"/>
      <c r="AH2215" s="269"/>
      <c r="AI2215" s="269"/>
      <c r="AJ2215" s="269"/>
      <c r="AK2215" s="269"/>
      <c r="AL2215" s="269"/>
      <c r="AM2215" s="269"/>
      <c r="AN2215" s="269"/>
      <c r="AO2215" s="269"/>
      <c r="AP2215" s="269"/>
      <c r="AQ2215" s="269"/>
      <c r="AR2215" s="269"/>
    </row>
    <row r="2216">
      <c r="A2216" s="410"/>
      <c r="B2216" s="410"/>
      <c r="C2216" s="410"/>
      <c r="D2216" s="410"/>
      <c r="E2216" s="410"/>
      <c r="F2216" s="410"/>
      <c r="H2216" s="269"/>
      <c r="I2216" s="269"/>
      <c r="J2216" s="269"/>
      <c r="K2216" s="269"/>
      <c r="L2216" s="269"/>
      <c r="M2216" s="269"/>
      <c r="N2216" s="269"/>
      <c r="O2216" s="269"/>
      <c r="P2216" s="269"/>
      <c r="Q2216" s="269"/>
      <c r="R2216" s="269"/>
      <c r="S2216" s="269"/>
      <c r="T2216" s="269"/>
      <c r="U2216" s="269"/>
      <c r="V2216" s="269"/>
      <c r="W2216" s="269"/>
      <c r="X2216" s="269"/>
      <c r="Y2216" s="269"/>
      <c r="Z2216" s="269"/>
      <c r="AA2216" s="269"/>
      <c r="AB2216" s="269"/>
      <c r="AC2216" s="269"/>
      <c r="AD2216" s="269"/>
      <c r="AE2216" s="269"/>
      <c r="AF2216" s="269"/>
      <c r="AG2216" s="269"/>
      <c r="AH2216" s="269"/>
      <c r="AI2216" s="269"/>
      <c r="AJ2216" s="269"/>
      <c r="AK2216" s="269"/>
      <c r="AL2216" s="269"/>
      <c r="AM2216" s="269"/>
      <c r="AN2216" s="269"/>
      <c r="AO2216" s="269"/>
      <c r="AP2216" s="269"/>
      <c r="AQ2216" s="269"/>
      <c r="AR2216" s="269"/>
    </row>
    <row r="2217">
      <c r="A2217" s="410"/>
      <c r="B2217" s="410"/>
      <c r="C2217" s="410"/>
      <c r="D2217" s="410"/>
      <c r="E2217" s="410"/>
      <c r="F2217" s="410"/>
      <c r="H2217" s="269"/>
      <c r="I2217" s="269"/>
      <c r="J2217" s="269"/>
      <c r="K2217" s="269"/>
      <c r="L2217" s="269"/>
      <c r="M2217" s="269"/>
      <c r="N2217" s="269"/>
      <c r="O2217" s="269"/>
      <c r="P2217" s="269"/>
      <c r="Q2217" s="269"/>
      <c r="R2217" s="269"/>
      <c r="S2217" s="269"/>
      <c r="T2217" s="269"/>
      <c r="U2217" s="269"/>
      <c r="V2217" s="269"/>
      <c r="W2217" s="269"/>
      <c r="X2217" s="269"/>
      <c r="Y2217" s="269"/>
      <c r="Z2217" s="269"/>
      <c r="AA2217" s="269"/>
      <c r="AB2217" s="269"/>
      <c r="AC2217" s="269"/>
      <c r="AD2217" s="269"/>
      <c r="AE2217" s="269"/>
      <c r="AF2217" s="269"/>
      <c r="AG2217" s="269"/>
      <c r="AH2217" s="269"/>
      <c r="AI2217" s="269"/>
      <c r="AJ2217" s="269"/>
      <c r="AK2217" s="269"/>
      <c r="AL2217" s="269"/>
      <c r="AM2217" s="269"/>
      <c r="AN2217" s="269"/>
      <c r="AO2217" s="269"/>
      <c r="AP2217" s="269"/>
      <c r="AQ2217" s="269"/>
      <c r="AR2217" s="269"/>
    </row>
    <row r="2218">
      <c r="A2218" s="410"/>
      <c r="B2218" s="410"/>
      <c r="C2218" s="410"/>
      <c r="D2218" s="410"/>
      <c r="E2218" s="410"/>
      <c r="F2218" s="410"/>
      <c r="H2218" s="269"/>
      <c r="I2218" s="269"/>
      <c r="J2218" s="269"/>
      <c r="K2218" s="269"/>
      <c r="L2218" s="269"/>
      <c r="M2218" s="269"/>
      <c r="N2218" s="269"/>
      <c r="O2218" s="269"/>
      <c r="P2218" s="269"/>
      <c r="Q2218" s="269"/>
      <c r="R2218" s="269"/>
      <c r="S2218" s="269"/>
      <c r="T2218" s="269"/>
      <c r="U2218" s="269"/>
      <c r="V2218" s="269"/>
      <c r="W2218" s="269"/>
      <c r="X2218" s="269"/>
      <c r="Y2218" s="269"/>
      <c r="Z2218" s="269"/>
      <c r="AA2218" s="269"/>
      <c r="AB2218" s="269"/>
      <c r="AC2218" s="269"/>
      <c r="AD2218" s="269"/>
      <c r="AE2218" s="269"/>
      <c r="AF2218" s="269"/>
      <c r="AG2218" s="269"/>
      <c r="AH2218" s="269"/>
      <c r="AI2218" s="269"/>
      <c r="AJ2218" s="269"/>
      <c r="AK2218" s="269"/>
      <c r="AL2218" s="269"/>
      <c r="AM2218" s="269"/>
      <c r="AN2218" s="269"/>
      <c r="AO2218" s="269"/>
      <c r="AP2218" s="269"/>
      <c r="AQ2218" s="269"/>
      <c r="AR2218" s="269"/>
    </row>
    <row r="2219">
      <c r="A2219" s="410"/>
      <c r="B2219" s="410"/>
      <c r="C2219" s="410"/>
      <c r="D2219" s="410"/>
      <c r="E2219" s="410"/>
      <c r="F2219" s="410"/>
      <c r="H2219" s="269"/>
      <c r="I2219" s="269"/>
      <c r="J2219" s="269"/>
      <c r="K2219" s="269"/>
      <c r="L2219" s="269"/>
      <c r="M2219" s="269"/>
      <c r="N2219" s="269"/>
      <c r="O2219" s="269"/>
      <c r="P2219" s="269"/>
      <c r="Q2219" s="269"/>
      <c r="R2219" s="269"/>
      <c r="S2219" s="269"/>
      <c r="T2219" s="269"/>
      <c r="U2219" s="269"/>
      <c r="V2219" s="269"/>
      <c r="W2219" s="269"/>
      <c r="X2219" s="269"/>
      <c r="Y2219" s="269"/>
      <c r="Z2219" s="269"/>
      <c r="AA2219" s="269"/>
      <c r="AB2219" s="269"/>
      <c r="AC2219" s="269"/>
      <c r="AD2219" s="269"/>
      <c r="AE2219" s="269"/>
      <c r="AF2219" s="269"/>
      <c r="AG2219" s="269"/>
      <c r="AH2219" s="269"/>
      <c r="AI2219" s="269"/>
      <c r="AJ2219" s="269"/>
      <c r="AK2219" s="269"/>
      <c r="AL2219" s="269"/>
      <c r="AM2219" s="269"/>
      <c r="AN2219" s="269"/>
      <c r="AO2219" s="269"/>
      <c r="AP2219" s="269"/>
      <c r="AQ2219" s="269"/>
      <c r="AR2219" s="269"/>
    </row>
    <row r="2220">
      <c r="A2220" s="410"/>
      <c r="B2220" s="410"/>
      <c r="C2220" s="410"/>
      <c r="D2220" s="410"/>
      <c r="E2220" s="410"/>
      <c r="F2220" s="410"/>
      <c r="H2220" s="269"/>
      <c r="I2220" s="269"/>
      <c r="J2220" s="269"/>
      <c r="K2220" s="269"/>
      <c r="L2220" s="269"/>
      <c r="M2220" s="269"/>
      <c r="N2220" s="269"/>
      <c r="O2220" s="269"/>
      <c r="P2220" s="269"/>
      <c r="Q2220" s="269"/>
      <c r="R2220" s="269"/>
      <c r="S2220" s="269"/>
      <c r="T2220" s="269"/>
      <c r="U2220" s="269"/>
      <c r="V2220" s="269"/>
      <c r="W2220" s="269"/>
      <c r="X2220" s="269"/>
      <c r="Y2220" s="269"/>
      <c r="Z2220" s="269"/>
      <c r="AA2220" s="269"/>
      <c r="AB2220" s="269"/>
      <c r="AC2220" s="269"/>
      <c r="AD2220" s="269"/>
      <c r="AE2220" s="269"/>
      <c r="AF2220" s="269"/>
      <c r="AG2220" s="269"/>
      <c r="AH2220" s="269"/>
      <c r="AI2220" s="269"/>
      <c r="AJ2220" s="269"/>
      <c r="AK2220" s="269"/>
      <c r="AL2220" s="269"/>
      <c r="AM2220" s="269"/>
      <c r="AN2220" s="269"/>
      <c r="AO2220" s="269"/>
      <c r="AP2220" s="269"/>
      <c r="AQ2220" s="269"/>
      <c r="AR2220" s="269"/>
    </row>
    <row r="2221">
      <c r="A2221" s="410"/>
      <c r="B2221" s="410"/>
      <c r="C2221" s="410"/>
      <c r="D2221" s="410"/>
      <c r="E2221" s="410"/>
      <c r="F2221" s="410"/>
      <c r="H2221" s="269"/>
      <c r="I2221" s="269"/>
      <c r="J2221" s="269"/>
      <c r="K2221" s="269"/>
      <c r="L2221" s="269"/>
      <c r="M2221" s="269"/>
      <c r="N2221" s="269"/>
      <c r="O2221" s="269"/>
      <c r="P2221" s="269"/>
      <c r="Q2221" s="269"/>
      <c r="R2221" s="269"/>
      <c r="S2221" s="269"/>
      <c r="T2221" s="269"/>
      <c r="U2221" s="269"/>
      <c r="V2221" s="269"/>
      <c r="W2221" s="269"/>
      <c r="X2221" s="269"/>
      <c r="Y2221" s="269"/>
      <c r="Z2221" s="269"/>
      <c r="AA2221" s="269"/>
      <c r="AB2221" s="269"/>
      <c r="AC2221" s="269"/>
      <c r="AD2221" s="269"/>
      <c r="AE2221" s="269"/>
      <c r="AF2221" s="269"/>
      <c r="AG2221" s="269"/>
      <c r="AH2221" s="269"/>
      <c r="AI2221" s="269"/>
      <c r="AJ2221" s="269"/>
      <c r="AK2221" s="269"/>
      <c r="AL2221" s="269"/>
      <c r="AM2221" s="269"/>
      <c r="AN2221" s="269"/>
      <c r="AO2221" s="269"/>
      <c r="AP2221" s="269"/>
      <c r="AQ2221" s="269"/>
      <c r="AR2221" s="269"/>
    </row>
    <row r="2222">
      <c r="A2222" s="410"/>
      <c r="B2222" s="410"/>
      <c r="C2222" s="410"/>
      <c r="D2222" s="410"/>
      <c r="E2222" s="410"/>
      <c r="F2222" s="410"/>
      <c r="H2222" s="269"/>
      <c r="I2222" s="269"/>
      <c r="J2222" s="269"/>
      <c r="K2222" s="269"/>
      <c r="L2222" s="269"/>
      <c r="M2222" s="269"/>
      <c r="N2222" s="269"/>
      <c r="O2222" s="269"/>
      <c r="P2222" s="269"/>
      <c r="Q2222" s="269"/>
      <c r="R2222" s="269"/>
      <c r="S2222" s="269"/>
      <c r="T2222" s="269"/>
      <c r="U2222" s="269"/>
      <c r="V2222" s="269"/>
      <c r="W2222" s="269"/>
      <c r="X2222" s="269"/>
      <c r="Y2222" s="269"/>
      <c r="Z2222" s="269"/>
      <c r="AA2222" s="269"/>
      <c r="AB2222" s="269"/>
      <c r="AC2222" s="269"/>
      <c r="AD2222" s="269"/>
      <c r="AE2222" s="269"/>
      <c r="AF2222" s="269"/>
      <c r="AG2222" s="269"/>
      <c r="AH2222" s="269"/>
      <c r="AI2222" s="269"/>
      <c r="AJ2222" s="269"/>
      <c r="AK2222" s="269"/>
      <c r="AL2222" s="269"/>
      <c r="AM2222" s="269"/>
      <c r="AN2222" s="269"/>
      <c r="AO2222" s="269"/>
      <c r="AP2222" s="269"/>
      <c r="AQ2222" s="269"/>
      <c r="AR2222" s="269"/>
    </row>
    <row r="2223">
      <c r="A2223" s="410"/>
      <c r="B2223" s="410"/>
      <c r="C2223" s="410"/>
      <c r="D2223" s="410"/>
      <c r="E2223" s="410"/>
      <c r="F2223" s="410"/>
      <c r="H2223" s="269"/>
      <c r="I2223" s="269"/>
      <c r="J2223" s="269"/>
      <c r="K2223" s="269"/>
      <c r="L2223" s="269"/>
      <c r="M2223" s="269"/>
      <c r="N2223" s="269"/>
      <c r="O2223" s="269"/>
      <c r="P2223" s="269"/>
      <c r="Q2223" s="269"/>
      <c r="R2223" s="269"/>
      <c r="S2223" s="269"/>
      <c r="T2223" s="269"/>
      <c r="U2223" s="269"/>
      <c r="V2223" s="269"/>
      <c r="W2223" s="269"/>
      <c r="X2223" s="269"/>
      <c r="Y2223" s="269"/>
      <c r="Z2223" s="269"/>
      <c r="AA2223" s="269"/>
      <c r="AB2223" s="269"/>
      <c r="AC2223" s="269"/>
      <c r="AD2223" s="269"/>
      <c r="AE2223" s="269"/>
      <c r="AF2223" s="269"/>
      <c r="AG2223" s="269"/>
      <c r="AH2223" s="269"/>
      <c r="AI2223" s="269"/>
      <c r="AJ2223" s="269"/>
      <c r="AK2223" s="269"/>
      <c r="AL2223" s="269"/>
      <c r="AM2223" s="269"/>
      <c r="AN2223" s="269"/>
      <c r="AO2223" s="269"/>
      <c r="AP2223" s="269"/>
      <c r="AQ2223" s="269"/>
      <c r="AR2223" s="269"/>
    </row>
    <row r="2224">
      <c r="A2224" s="410"/>
      <c r="B2224" s="410"/>
      <c r="C2224" s="410"/>
      <c r="D2224" s="410"/>
      <c r="E2224" s="410"/>
      <c r="F2224" s="410"/>
      <c r="H2224" s="269"/>
      <c r="I2224" s="269"/>
      <c r="J2224" s="269"/>
      <c r="K2224" s="269"/>
      <c r="L2224" s="269"/>
      <c r="M2224" s="269"/>
      <c r="N2224" s="269"/>
      <c r="O2224" s="269"/>
      <c r="P2224" s="269"/>
      <c r="Q2224" s="269"/>
      <c r="R2224" s="269"/>
      <c r="S2224" s="269"/>
      <c r="T2224" s="269"/>
      <c r="U2224" s="269"/>
      <c r="V2224" s="269"/>
      <c r="W2224" s="269"/>
      <c r="X2224" s="269"/>
      <c r="Y2224" s="269"/>
      <c r="Z2224" s="269"/>
      <c r="AA2224" s="269"/>
      <c r="AB2224" s="269"/>
      <c r="AC2224" s="269"/>
      <c r="AD2224" s="269"/>
      <c r="AE2224" s="269"/>
      <c r="AF2224" s="269"/>
      <c r="AG2224" s="269"/>
      <c r="AH2224" s="269"/>
      <c r="AI2224" s="269"/>
      <c r="AJ2224" s="269"/>
      <c r="AK2224" s="269"/>
      <c r="AL2224" s="269"/>
      <c r="AM2224" s="269"/>
      <c r="AN2224" s="269"/>
      <c r="AO2224" s="269"/>
      <c r="AP2224" s="269"/>
      <c r="AQ2224" s="269"/>
      <c r="AR2224" s="269"/>
    </row>
    <row r="2225">
      <c r="A2225" s="410"/>
      <c r="B2225" s="410"/>
      <c r="C2225" s="410"/>
      <c r="D2225" s="410"/>
      <c r="E2225" s="410"/>
      <c r="F2225" s="410"/>
      <c r="H2225" s="269"/>
      <c r="I2225" s="269"/>
      <c r="J2225" s="269"/>
      <c r="K2225" s="269"/>
      <c r="L2225" s="269"/>
      <c r="M2225" s="269"/>
      <c r="N2225" s="269"/>
      <c r="O2225" s="269"/>
      <c r="P2225" s="269"/>
      <c r="Q2225" s="269"/>
      <c r="R2225" s="269"/>
      <c r="S2225" s="269"/>
      <c r="T2225" s="269"/>
      <c r="U2225" s="269"/>
      <c r="V2225" s="269"/>
      <c r="W2225" s="269"/>
      <c r="X2225" s="269"/>
      <c r="Y2225" s="269"/>
      <c r="Z2225" s="269"/>
      <c r="AA2225" s="269"/>
      <c r="AB2225" s="269"/>
      <c r="AC2225" s="269"/>
      <c r="AD2225" s="269"/>
      <c r="AE2225" s="269"/>
      <c r="AF2225" s="269"/>
      <c r="AG2225" s="269"/>
      <c r="AH2225" s="269"/>
      <c r="AI2225" s="269"/>
      <c r="AJ2225" s="269"/>
      <c r="AK2225" s="269"/>
      <c r="AL2225" s="269"/>
      <c r="AM2225" s="269"/>
      <c r="AN2225" s="269"/>
      <c r="AO2225" s="269"/>
      <c r="AP2225" s="269"/>
      <c r="AQ2225" s="269"/>
      <c r="AR2225" s="269"/>
    </row>
    <row r="2226">
      <c r="A2226" s="410"/>
      <c r="B2226" s="410"/>
      <c r="C2226" s="410"/>
      <c r="D2226" s="410"/>
      <c r="E2226" s="410"/>
      <c r="F2226" s="410"/>
      <c r="H2226" s="269"/>
      <c r="I2226" s="269"/>
      <c r="J2226" s="269"/>
      <c r="K2226" s="269"/>
      <c r="L2226" s="269"/>
      <c r="M2226" s="269"/>
      <c r="N2226" s="269"/>
      <c r="O2226" s="269"/>
      <c r="P2226" s="269"/>
      <c r="Q2226" s="269"/>
      <c r="R2226" s="269"/>
      <c r="S2226" s="269"/>
      <c r="T2226" s="269"/>
      <c r="U2226" s="269"/>
      <c r="V2226" s="269"/>
      <c r="W2226" s="269"/>
      <c r="X2226" s="269"/>
      <c r="Y2226" s="269"/>
      <c r="Z2226" s="269"/>
      <c r="AA2226" s="269"/>
      <c r="AB2226" s="269"/>
      <c r="AC2226" s="269"/>
      <c r="AD2226" s="269"/>
      <c r="AE2226" s="269"/>
      <c r="AF2226" s="269"/>
      <c r="AG2226" s="269"/>
      <c r="AH2226" s="269"/>
      <c r="AI2226" s="269"/>
      <c r="AJ2226" s="269"/>
      <c r="AK2226" s="269"/>
      <c r="AL2226" s="269"/>
      <c r="AM2226" s="269"/>
      <c r="AN2226" s="269"/>
      <c r="AO2226" s="269"/>
      <c r="AP2226" s="269"/>
      <c r="AQ2226" s="269"/>
      <c r="AR2226" s="269"/>
    </row>
    <row r="2227">
      <c r="A2227" s="410"/>
      <c r="B2227" s="410"/>
      <c r="C2227" s="410"/>
      <c r="D2227" s="410"/>
      <c r="E2227" s="410"/>
      <c r="F2227" s="410"/>
      <c r="H2227" s="269"/>
      <c r="I2227" s="269"/>
      <c r="J2227" s="269"/>
      <c r="K2227" s="269"/>
      <c r="L2227" s="269"/>
      <c r="M2227" s="269"/>
      <c r="N2227" s="269"/>
      <c r="O2227" s="269"/>
      <c r="P2227" s="269"/>
      <c r="Q2227" s="269"/>
      <c r="R2227" s="269"/>
      <c r="S2227" s="269"/>
      <c r="T2227" s="269"/>
      <c r="U2227" s="269"/>
      <c r="V2227" s="269"/>
      <c r="W2227" s="269"/>
      <c r="X2227" s="269"/>
      <c r="Y2227" s="269"/>
      <c r="Z2227" s="269"/>
      <c r="AA2227" s="269"/>
      <c r="AB2227" s="269"/>
      <c r="AC2227" s="269"/>
      <c r="AD2227" s="269"/>
      <c r="AE2227" s="269"/>
      <c r="AF2227" s="269"/>
      <c r="AG2227" s="269"/>
      <c r="AH2227" s="269"/>
      <c r="AI2227" s="269"/>
      <c r="AJ2227" s="269"/>
      <c r="AK2227" s="269"/>
      <c r="AL2227" s="269"/>
      <c r="AM2227" s="269"/>
      <c r="AN2227" s="269"/>
      <c r="AO2227" s="269"/>
      <c r="AP2227" s="269"/>
      <c r="AQ2227" s="269"/>
      <c r="AR2227" s="269"/>
    </row>
    <row r="2228">
      <c r="A2228" s="410"/>
      <c r="B2228" s="410"/>
      <c r="C2228" s="410"/>
      <c r="D2228" s="410"/>
      <c r="E2228" s="410"/>
      <c r="F2228" s="410"/>
      <c r="H2228" s="269"/>
      <c r="I2228" s="269"/>
      <c r="J2228" s="269"/>
      <c r="K2228" s="269"/>
      <c r="L2228" s="269"/>
      <c r="M2228" s="269"/>
      <c r="N2228" s="269"/>
      <c r="O2228" s="269"/>
      <c r="P2228" s="269"/>
      <c r="Q2228" s="269"/>
      <c r="R2228" s="269"/>
      <c r="S2228" s="269"/>
      <c r="T2228" s="269"/>
      <c r="U2228" s="269"/>
      <c r="V2228" s="269"/>
      <c r="W2228" s="269"/>
      <c r="X2228" s="269"/>
      <c r="Y2228" s="269"/>
      <c r="Z2228" s="269"/>
      <c r="AA2228" s="269"/>
      <c r="AB2228" s="269"/>
      <c r="AC2228" s="269"/>
      <c r="AD2228" s="269"/>
      <c r="AE2228" s="269"/>
      <c r="AF2228" s="269"/>
      <c r="AG2228" s="269"/>
      <c r="AH2228" s="269"/>
      <c r="AI2228" s="269"/>
      <c r="AJ2228" s="269"/>
      <c r="AK2228" s="269"/>
      <c r="AL2228" s="269"/>
      <c r="AM2228" s="269"/>
      <c r="AN2228" s="269"/>
      <c r="AO2228" s="269"/>
      <c r="AP2228" s="269"/>
      <c r="AQ2228" s="269"/>
      <c r="AR2228" s="269"/>
    </row>
    <row r="2229">
      <c r="A2229" s="410"/>
      <c r="B2229" s="410"/>
      <c r="C2229" s="410"/>
      <c r="D2229" s="410"/>
      <c r="E2229" s="410"/>
      <c r="F2229" s="410"/>
      <c r="H2229" s="269"/>
      <c r="I2229" s="269"/>
      <c r="J2229" s="269"/>
      <c r="K2229" s="269"/>
      <c r="L2229" s="269"/>
      <c r="M2229" s="269"/>
      <c r="N2229" s="269"/>
      <c r="O2229" s="269"/>
      <c r="P2229" s="269"/>
      <c r="Q2229" s="269"/>
      <c r="R2229" s="269"/>
      <c r="S2229" s="269"/>
      <c r="T2229" s="269"/>
      <c r="U2229" s="269"/>
      <c r="V2229" s="269"/>
      <c r="W2229" s="269"/>
      <c r="X2229" s="269"/>
      <c r="Y2229" s="269"/>
      <c r="Z2229" s="269"/>
      <c r="AA2229" s="269"/>
      <c r="AB2229" s="269"/>
      <c r="AC2229" s="269"/>
      <c r="AD2229" s="269"/>
      <c r="AE2229" s="269"/>
      <c r="AF2229" s="269"/>
      <c r="AG2229" s="269"/>
      <c r="AH2229" s="269"/>
      <c r="AI2229" s="269"/>
      <c r="AJ2229" s="269"/>
      <c r="AK2229" s="269"/>
      <c r="AL2229" s="269"/>
      <c r="AM2229" s="269"/>
      <c r="AN2229" s="269"/>
      <c r="AO2229" s="269"/>
      <c r="AP2229" s="269"/>
      <c r="AQ2229" s="269"/>
      <c r="AR2229" s="269"/>
    </row>
    <row r="2230">
      <c r="A2230" s="410"/>
      <c r="B2230" s="410"/>
      <c r="C2230" s="410"/>
      <c r="D2230" s="410"/>
      <c r="E2230" s="410"/>
      <c r="F2230" s="410"/>
      <c r="H2230" s="269"/>
      <c r="I2230" s="269"/>
      <c r="J2230" s="269"/>
      <c r="K2230" s="269"/>
      <c r="L2230" s="269"/>
      <c r="M2230" s="269"/>
      <c r="N2230" s="269"/>
      <c r="O2230" s="269"/>
      <c r="P2230" s="269"/>
      <c r="Q2230" s="269"/>
      <c r="R2230" s="269"/>
      <c r="S2230" s="269"/>
      <c r="T2230" s="269"/>
      <c r="U2230" s="269"/>
      <c r="V2230" s="269"/>
      <c r="W2230" s="269"/>
      <c r="X2230" s="269"/>
      <c r="Y2230" s="269"/>
      <c r="Z2230" s="269"/>
      <c r="AA2230" s="269"/>
      <c r="AB2230" s="269"/>
      <c r="AC2230" s="269"/>
      <c r="AD2230" s="269"/>
      <c r="AE2230" s="269"/>
      <c r="AF2230" s="269"/>
      <c r="AG2230" s="269"/>
      <c r="AH2230" s="269"/>
      <c r="AI2230" s="269"/>
      <c r="AJ2230" s="269"/>
      <c r="AK2230" s="269"/>
      <c r="AL2230" s="269"/>
      <c r="AM2230" s="269"/>
      <c r="AN2230" s="269"/>
      <c r="AO2230" s="269"/>
      <c r="AP2230" s="269"/>
      <c r="AQ2230" s="269"/>
      <c r="AR2230" s="269"/>
    </row>
    <row r="2231">
      <c r="A2231" s="410"/>
      <c r="B2231" s="410"/>
      <c r="C2231" s="410"/>
      <c r="D2231" s="410"/>
      <c r="E2231" s="410"/>
      <c r="F2231" s="410"/>
      <c r="H2231" s="269"/>
      <c r="I2231" s="269"/>
      <c r="J2231" s="269"/>
      <c r="K2231" s="269"/>
      <c r="L2231" s="269"/>
      <c r="M2231" s="269"/>
      <c r="N2231" s="269"/>
      <c r="O2231" s="269"/>
      <c r="P2231" s="269"/>
      <c r="Q2231" s="269"/>
      <c r="R2231" s="269"/>
      <c r="S2231" s="269"/>
      <c r="T2231" s="269"/>
      <c r="U2231" s="269"/>
      <c r="V2231" s="269"/>
      <c r="W2231" s="269"/>
      <c r="X2231" s="269"/>
      <c r="Y2231" s="269"/>
      <c r="Z2231" s="269"/>
      <c r="AA2231" s="269"/>
      <c r="AB2231" s="269"/>
      <c r="AC2231" s="269"/>
      <c r="AD2231" s="269"/>
      <c r="AE2231" s="269"/>
      <c r="AF2231" s="269"/>
      <c r="AG2231" s="269"/>
      <c r="AH2231" s="269"/>
      <c r="AI2231" s="269"/>
      <c r="AJ2231" s="269"/>
      <c r="AK2231" s="269"/>
      <c r="AL2231" s="269"/>
      <c r="AM2231" s="269"/>
      <c r="AN2231" s="269"/>
      <c r="AO2231" s="269"/>
      <c r="AP2231" s="269"/>
      <c r="AQ2231" s="269"/>
      <c r="AR2231" s="269"/>
    </row>
    <row r="2232">
      <c r="A2232" s="410"/>
      <c r="B2232" s="410"/>
      <c r="C2232" s="410"/>
      <c r="D2232" s="410"/>
      <c r="E2232" s="410"/>
      <c r="F2232" s="410"/>
      <c r="H2232" s="269"/>
      <c r="I2232" s="269"/>
      <c r="J2232" s="269"/>
      <c r="K2232" s="269"/>
      <c r="L2232" s="269"/>
      <c r="M2232" s="269"/>
      <c r="N2232" s="269"/>
      <c r="O2232" s="269"/>
      <c r="P2232" s="269"/>
      <c r="Q2232" s="269"/>
      <c r="R2232" s="269"/>
      <c r="S2232" s="269"/>
      <c r="T2232" s="269"/>
      <c r="U2232" s="269"/>
      <c r="V2232" s="269"/>
      <c r="W2232" s="269"/>
      <c r="X2232" s="269"/>
      <c r="Y2232" s="269"/>
      <c r="Z2232" s="269"/>
      <c r="AA2232" s="269"/>
      <c r="AB2232" s="269"/>
      <c r="AC2232" s="269"/>
      <c r="AD2232" s="269"/>
      <c r="AE2232" s="269"/>
      <c r="AF2232" s="269"/>
      <c r="AG2232" s="269"/>
      <c r="AH2232" s="269"/>
      <c r="AI2232" s="269"/>
      <c r="AJ2232" s="269"/>
      <c r="AK2232" s="269"/>
      <c r="AL2232" s="269"/>
      <c r="AM2232" s="269"/>
      <c r="AN2232" s="269"/>
      <c r="AO2232" s="269"/>
      <c r="AP2232" s="269"/>
      <c r="AQ2232" s="269"/>
      <c r="AR2232" s="269"/>
    </row>
    <row r="2233">
      <c r="A2233" s="410"/>
      <c r="B2233" s="410"/>
      <c r="C2233" s="410"/>
      <c r="D2233" s="410"/>
      <c r="E2233" s="410"/>
      <c r="F2233" s="410"/>
      <c r="H2233" s="269"/>
      <c r="I2233" s="269"/>
      <c r="J2233" s="269"/>
      <c r="K2233" s="269"/>
      <c r="L2233" s="269"/>
      <c r="M2233" s="269"/>
      <c r="N2233" s="269"/>
      <c r="O2233" s="269"/>
      <c r="P2233" s="269"/>
      <c r="Q2233" s="269"/>
      <c r="R2233" s="269"/>
      <c r="S2233" s="269"/>
      <c r="T2233" s="269"/>
      <c r="U2233" s="269"/>
      <c r="V2233" s="269"/>
      <c r="W2233" s="269"/>
      <c r="X2233" s="269"/>
      <c r="Y2233" s="269"/>
      <c r="Z2233" s="269"/>
      <c r="AA2233" s="269"/>
      <c r="AB2233" s="269"/>
      <c r="AC2233" s="269"/>
      <c r="AD2233" s="269"/>
      <c r="AE2233" s="269"/>
      <c r="AF2233" s="269"/>
      <c r="AG2233" s="269"/>
      <c r="AH2233" s="269"/>
      <c r="AI2233" s="269"/>
      <c r="AJ2233" s="269"/>
      <c r="AK2233" s="269"/>
      <c r="AL2233" s="269"/>
      <c r="AM2233" s="269"/>
      <c r="AN2233" s="269"/>
      <c r="AO2233" s="269"/>
      <c r="AP2233" s="269"/>
      <c r="AQ2233" s="269"/>
      <c r="AR2233" s="269"/>
    </row>
    <row r="2234">
      <c r="A2234" s="410"/>
      <c r="B2234" s="410"/>
      <c r="C2234" s="410"/>
      <c r="D2234" s="410"/>
      <c r="E2234" s="410"/>
      <c r="F2234" s="410"/>
      <c r="H2234" s="269"/>
      <c r="I2234" s="269"/>
      <c r="J2234" s="269"/>
      <c r="K2234" s="269"/>
      <c r="L2234" s="269"/>
      <c r="M2234" s="269"/>
      <c r="N2234" s="269"/>
      <c r="O2234" s="269"/>
      <c r="P2234" s="269"/>
      <c r="Q2234" s="269"/>
      <c r="R2234" s="269"/>
      <c r="S2234" s="269"/>
      <c r="T2234" s="269"/>
      <c r="U2234" s="269"/>
      <c r="V2234" s="269"/>
      <c r="W2234" s="269"/>
      <c r="X2234" s="269"/>
      <c r="Y2234" s="269"/>
      <c r="Z2234" s="269"/>
      <c r="AA2234" s="269"/>
      <c r="AB2234" s="269"/>
      <c r="AC2234" s="269"/>
      <c r="AD2234" s="269"/>
      <c r="AE2234" s="269"/>
      <c r="AF2234" s="269"/>
      <c r="AG2234" s="269"/>
      <c r="AH2234" s="269"/>
      <c r="AI2234" s="269"/>
      <c r="AJ2234" s="269"/>
      <c r="AK2234" s="269"/>
      <c r="AL2234" s="269"/>
      <c r="AM2234" s="269"/>
      <c r="AN2234" s="269"/>
      <c r="AO2234" s="269"/>
      <c r="AP2234" s="269"/>
      <c r="AQ2234" s="269"/>
      <c r="AR2234" s="269"/>
    </row>
    <row r="2235">
      <c r="A2235" s="410"/>
      <c r="B2235" s="410"/>
      <c r="C2235" s="410"/>
      <c r="D2235" s="410"/>
      <c r="E2235" s="410"/>
      <c r="F2235" s="410"/>
      <c r="H2235" s="269"/>
      <c r="I2235" s="269"/>
      <c r="J2235" s="269"/>
      <c r="K2235" s="269"/>
      <c r="L2235" s="269"/>
      <c r="M2235" s="269"/>
      <c r="N2235" s="269"/>
      <c r="O2235" s="269"/>
      <c r="P2235" s="269"/>
      <c r="Q2235" s="269"/>
      <c r="R2235" s="269"/>
      <c r="S2235" s="269"/>
      <c r="T2235" s="269"/>
      <c r="U2235" s="269"/>
      <c r="V2235" s="269"/>
      <c r="W2235" s="269"/>
      <c r="X2235" s="269"/>
      <c r="Y2235" s="269"/>
      <c r="Z2235" s="269"/>
      <c r="AA2235" s="269"/>
      <c r="AB2235" s="269"/>
      <c r="AC2235" s="269"/>
      <c r="AD2235" s="269"/>
      <c r="AE2235" s="269"/>
      <c r="AF2235" s="269"/>
      <c r="AG2235" s="269"/>
      <c r="AH2235" s="269"/>
      <c r="AI2235" s="269"/>
      <c r="AJ2235" s="269"/>
      <c r="AK2235" s="269"/>
      <c r="AL2235" s="269"/>
      <c r="AM2235" s="269"/>
      <c r="AN2235" s="269"/>
      <c r="AO2235" s="269"/>
      <c r="AP2235" s="269"/>
      <c r="AQ2235" s="269"/>
      <c r="AR2235" s="269"/>
    </row>
    <row r="2236">
      <c r="A2236" s="410"/>
      <c r="B2236" s="410"/>
      <c r="C2236" s="410"/>
      <c r="D2236" s="410"/>
      <c r="E2236" s="410"/>
      <c r="F2236" s="410"/>
      <c r="H2236" s="269"/>
      <c r="I2236" s="269"/>
      <c r="J2236" s="269"/>
      <c r="K2236" s="269"/>
      <c r="L2236" s="269"/>
      <c r="M2236" s="269"/>
      <c r="N2236" s="269"/>
      <c r="O2236" s="269"/>
      <c r="P2236" s="269"/>
      <c r="Q2236" s="269"/>
      <c r="R2236" s="269"/>
      <c r="S2236" s="269"/>
      <c r="T2236" s="269"/>
      <c r="U2236" s="269"/>
      <c r="V2236" s="269"/>
      <c r="W2236" s="269"/>
      <c r="X2236" s="269"/>
      <c r="Y2236" s="269"/>
      <c r="Z2236" s="269"/>
      <c r="AA2236" s="269"/>
      <c r="AB2236" s="269"/>
      <c r="AC2236" s="269"/>
      <c r="AD2236" s="269"/>
      <c r="AE2236" s="269"/>
      <c r="AF2236" s="269"/>
      <c r="AG2236" s="269"/>
      <c r="AH2236" s="269"/>
      <c r="AI2236" s="269"/>
      <c r="AJ2236" s="269"/>
      <c r="AK2236" s="269"/>
      <c r="AL2236" s="269"/>
      <c r="AM2236" s="269"/>
      <c r="AN2236" s="269"/>
      <c r="AO2236" s="269"/>
      <c r="AP2236" s="269"/>
      <c r="AQ2236" s="269"/>
      <c r="AR2236" s="269"/>
    </row>
    <row r="2237">
      <c r="A2237" s="410"/>
      <c r="B2237" s="410"/>
      <c r="C2237" s="410"/>
      <c r="D2237" s="410"/>
      <c r="E2237" s="410"/>
      <c r="F2237" s="410"/>
      <c r="H2237" s="269"/>
      <c r="I2237" s="269"/>
      <c r="J2237" s="269"/>
      <c r="K2237" s="269"/>
      <c r="L2237" s="269"/>
      <c r="M2237" s="269"/>
      <c r="N2237" s="269"/>
      <c r="O2237" s="269"/>
      <c r="P2237" s="269"/>
      <c r="Q2237" s="269"/>
      <c r="R2237" s="269"/>
      <c r="S2237" s="269"/>
      <c r="T2237" s="269"/>
      <c r="U2237" s="269"/>
      <c r="V2237" s="269"/>
      <c r="W2237" s="269"/>
      <c r="X2237" s="269"/>
      <c r="Y2237" s="269"/>
      <c r="Z2237" s="269"/>
      <c r="AA2237" s="269"/>
      <c r="AB2237" s="269"/>
      <c r="AC2237" s="269"/>
      <c r="AD2237" s="269"/>
      <c r="AE2237" s="269"/>
      <c r="AF2237" s="269"/>
      <c r="AG2237" s="269"/>
      <c r="AH2237" s="269"/>
      <c r="AI2237" s="269"/>
      <c r="AJ2237" s="269"/>
      <c r="AK2237" s="269"/>
      <c r="AL2237" s="269"/>
      <c r="AM2237" s="269"/>
      <c r="AN2237" s="269"/>
      <c r="AO2237" s="269"/>
      <c r="AP2237" s="269"/>
      <c r="AQ2237" s="269"/>
      <c r="AR2237" s="269"/>
    </row>
    <row r="2238">
      <c r="A2238" s="410"/>
      <c r="B2238" s="410"/>
      <c r="C2238" s="410"/>
      <c r="D2238" s="410"/>
      <c r="E2238" s="410"/>
      <c r="F2238" s="410"/>
      <c r="H2238" s="269"/>
      <c r="I2238" s="269"/>
      <c r="J2238" s="269"/>
      <c r="K2238" s="269"/>
      <c r="L2238" s="269"/>
      <c r="M2238" s="269"/>
      <c r="N2238" s="269"/>
      <c r="O2238" s="269"/>
      <c r="P2238" s="269"/>
      <c r="Q2238" s="269"/>
      <c r="R2238" s="269"/>
      <c r="S2238" s="269"/>
      <c r="T2238" s="269"/>
      <c r="U2238" s="269"/>
      <c r="V2238" s="269"/>
      <c r="W2238" s="269"/>
      <c r="X2238" s="269"/>
      <c r="Y2238" s="269"/>
      <c r="Z2238" s="269"/>
      <c r="AA2238" s="269"/>
      <c r="AB2238" s="269"/>
      <c r="AC2238" s="269"/>
      <c r="AD2238" s="269"/>
      <c r="AE2238" s="269"/>
      <c r="AF2238" s="269"/>
      <c r="AG2238" s="269"/>
      <c r="AH2238" s="269"/>
      <c r="AI2238" s="269"/>
      <c r="AJ2238" s="269"/>
      <c r="AK2238" s="269"/>
      <c r="AL2238" s="269"/>
      <c r="AM2238" s="269"/>
      <c r="AN2238" s="269"/>
      <c r="AO2238" s="269"/>
      <c r="AP2238" s="269"/>
      <c r="AQ2238" s="269"/>
      <c r="AR2238" s="269"/>
    </row>
    <row r="2239">
      <c r="A2239" s="410"/>
      <c r="B2239" s="410"/>
      <c r="C2239" s="410"/>
      <c r="D2239" s="410"/>
      <c r="E2239" s="410"/>
      <c r="F2239" s="410"/>
      <c r="H2239" s="269"/>
      <c r="I2239" s="269"/>
      <c r="J2239" s="269"/>
      <c r="K2239" s="269"/>
      <c r="L2239" s="269"/>
      <c r="M2239" s="269"/>
      <c r="N2239" s="269"/>
      <c r="O2239" s="269"/>
      <c r="P2239" s="269"/>
      <c r="Q2239" s="269"/>
      <c r="R2239" s="269"/>
      <c r="S2239" s="269"/>
      <c r="T2239" s="269"/>
      <c r="U2239" s="269"/>
      <c r="V2239" s="269"/>
      <c r="W2239" s="269"/>
      <c r="X2239" s="269"/>
      <c r="Y2239" s="269"/>
      <c r="Z2239" s="269"/>
      <c r="AA2239" s="269"/>
      <c r="AB2239" s="269"/>
      <c r="AC2239" s="269"/>
      <c r="AD2239" s="269"/>
      <c r="AE2239" s="269"/>
      <c r="AF2239" s="269"/>
      <c r="AG2239" s="269"/>
      <c r="AH2239" s="269"/>
      <c r="AI2239" s="269"/>
      <c r="AJ2239" s="269"/>
      <c r="AK2239" s="269"/>
      <c r="AL2239" s="269"/>
      <c r="AM2239" s="269"/>
      <c r="AN2239" s="269"/>
      <c r="AO2239" s="269"/>
      <c r="AP2239" s="269"/>
      <c r="AQ2239" s="269"/>
      <c r="AR2239" s="269"/>
    </row>
    <row r="2240">
      <c r="A2240" s="410"/>
      <c r="B2240" s="410"/>
      <c r="C2240" s="410"/>
      <c r="D2240" s="410"/>
      <c r="E2240" s="410"/>
      <c r="F2240" s="410"/>
      <c r="H2240" s="269"/>
      <c r="I2240" s="269"/>
      <c r="J2240" s="269"/>
      <c r="K2240" s="269"/>
      <c r="L2240" s="269"/>
      <c r="M2240" s="269"/>
      <c r="N2240" s="269"/>
      <c r="O2240" s="269"/>
      <c r="P2240" s="269"/>
      <c r="Q2240" s="269"/>
      <c r="R2240" s="269"/>
      <c r="S2240" s="269"/>
      <c r="T2240" s="269"/>
      <c r="U2240" s="269"/>
      <c r="V2240" s="269"/>
      <c r="W2240" s="269"/>
      <c r="X2240" s="269"/>
      <c r="Y2240" s="269"/>
      <c r="Z2240" s="269"/>
      <c r="AA2240" s="269"/>
      <c r="AB2240" s="269"/>
      <c r="AC2240" s="269"/>
      <c r="AD2240" s="269"/>
      <c r="AE2240" s="269"/>
      <c r="AF2240" s="269"/>
      <c r="AG2240" s="269"/>
      <c r="AH2240" s="269"/>
      <c r="AI2240" s="269"/>
      <c r="AJ2240" s="269"/>
      <c r="AK2240" s="269"/>
      <c r="AL2240" s="269"/>
      <c r="AM2240" s="269"/>
      <c r="AN2240" s="269"/>
      <c r="AO2240" s="269"/>
      <c r="AP2240" s="269"/>
      <c r="AQ2240" s="269"/>
      <c r="AR2240" s="269"/>
    </row>
    <row r="2241">
      <c r="A2241" s="410"/>
      <c r="B2241" s="410"/>
      <c r="C2241" s="410"/>
      <c r="D2241" s="410"/>
      <c r="E2241" s="410"/>
      <c r="F2241" s="410"/>
      <c r="H2241" s="269"/>
      <c r="I2241" s="269"/>
      <c r="J2241" s="269"/>
      <c r="K2241" s="269"/>
      <c r="L2241" s="269"/>
      <c r="M2241" s="269"/>
      <c r="N2241" s="269"/>
      <c r="O2241" s="269"/>
      <c r="P2241" s="269"/>
      <c r="Q2241" s="269"/>
      <c r="R2241" s="269"/>
      <c r="S2241" s="269"/>
      <c r="T2241" s="269"/>
      <c r="U2241" s="269"/>
      <c r="V2241" s="269"/>
      <c r="W2241" s="269"/>
      <c r="X2241" s="269"/>
      <c r="Y2241" s="269"/>
      <c r="Z2241" s="269"/>
      <c r="AA2241" s="269"/>
      <c r="AB2241" s="269"/>
      <c r="AC2241" s="269"/>
      <c r="AD2241" s="269"/>
      <c r="AE2241" s="269"/>
      <c r="AF2241" s="269"/>
      <c r="AG2241" s="269"/>
      <c r="AH2241" s="269"/>
      <c r="AI2241" s="269"/>
      <c r="AJ2241" s="269"/>
      <c r="AK2241" s="269"/>
      <c r="AL2241" s="269"/>
      <c r="AM2241" s="269"/>
      <c r="AN2241" s="269"/>
      <c r="AO2241" s="269"/>
      <c r="AP2241" s="269"/>
      <c r="AQ2241" s="269"/>
      <c r="AR2241" s="269"/>
    </row>
    <row r="2242">
      <c r="A2242" s="410"/>
      <c r="B2242" s="410"/>
      <c r="C2242" s="410"/>
      <c r="D2242" s="410"/>
      <c r="E2242" s="410"/>
      <c r="F2242" s="410"/>
      <c r="H2242" s="269"/>
      <c r="I2242" s="269"/>
      <c r="J2242" s="269"/>
      <c r="K2242" s="269"/>
      <c r="L2242" s="269"/>
      <c r="M2242" s="269"/>
      <c r="N2242" s="269"/>
      <c r="O2242" s="269"/>
      <c r="P2242" s="269"/>
      <c r="Q2242" s="269"/>
      <c r="R2242" s="269"/>
      <c r="S2242" s="269"/>
      <c r="T2242" s="269"/>
      <c r="U2242" s="269"/>
      <c r="V2242" s="269"/>
      <c r="W2242" s="269"/>
      <c r="X2242" s="269"/>
      <c r="Y2242" s="269"/>
      <c r="Z2242" s="269"/>
      <c r="AA2242" s="269"/>
      <c r="AB2242" s="269"/>
      <c r="AC2242" s="269"/>
      <c r="AD2242" s="269"/>
      <c r="AE2242" s="269"/>
      <c r="AF2242" s="269"/>
      <c r="AG2242" s="269"/>
      <c r="AH2242" s="269"/>
      <c r="AI2242" s="269"/>
      <c r="AJ2242" s="269"/>
      <c r="AK2242" s="269"/>
      <c r="AL2242" s="269"/>
      <c r="AM2242" s="269"/>
      <c r="AN2242" s="269"/>
      <c r="AO2242" s="269"/>
      <c r="AP2242" s="269"/>
      <c r="AQ2242" s="269"/>
      <c r="AR2242" s="269"/>
    </row>
    <row r="2243">
      <c r="A2243" s="410"/>
      <c r="B2243" s="410"/>
      <c r="C2243" s="410"/>
      <c r="D2243" s="410"/>
      <c r="E2243" s="410"/>
      <c r="F2243" s="410"/>
      <c r="H2243" s="269"/>
      <c r="I2243" s="269"/>
      <c r="J2243" s="269"/>
      <c r="K2243" s="269"/>
      <c r="L2243" s="269"/>
      <c r="M2243" s="269"/>
      <c r="N2243" s="269"/>
      <c r="O2243" s="269"/>
      <c r="P2243" s="269"/>
      <c r="Q2243" s="269"/>
      <c r="R2243" s="269"/>
      <c r="S2243" s="269"/>
      <c r="T2243" s="269"/>
      <c r="U2243" s="269"/>
      <c r="V2243" s="269"/>
      <c r="W2243" s="269"/>
      <c r="X2243" s="269"/>
      <c r="Y2243" s="269"/>
      <c r="Z2243" s="269"/>
      <c r="AA2243" s="269"/>
      <c r="AB2243" s="269"/>
      <c r="AC2243" s="269"/>
      <c r="AD2243" s="269"/>
      <c r="AE2243" s="269"/>
      <c r="AF2243" s="269"/>
      <c r="AG2243" s="269"/>
      <c r="AH2243" s="269"/>
      <c r="AI2243" s="269"/>
      <c r="AJ2243" s="269"/>
      <c r="AK2243" s="269"/>
      <c r="AL2243" s="269"/>
      <c r="AM2243" s="269"/>
      <c r="AN2243" s="269"/>
      <c r="AO2243" s="269"/>
      <c r="AP2243" s="269"/>
      <c r="AQ2243" s="269"/>
      <c r="AR2243" s="269"/>
    </row>
    <row r="2244">
      <c r="A2244" s="410"/>
      <c r="B2244" s="410"/>
      <c r="C2244" s="410"/>
      <c r="D2244" s="410"/>
      <c r="E2244" s="410"/>
      <c r="F2244" s="410"/>
      <c r="H2244" s="269"/>
      <c r="I2244" s="269"/>
      <c r="J2244" s="269"/>
      <c r="K2244" s="269"/>
      <c r="L2244" s="269"/>
      <c r="M2244" s="269"/>
      <c r="N2244" s="269"/>
      <c r="O2244" s="269"/>
      <c r="P2244" s="269"/>
      <c r="Q2244" s="269"/>
      <c r="R2244" s="269"/>
      <c r="S2244" s="269"/>
      <c r="T2244" s="269"/>
      <c r="U2244" s="269"/>
      <c r="V2244" s="269"/>
      <c r="W2244" s="269"/>
      <c r="X2244" s="269"/>
      <c r="Y2244" s="269"/>
      <c r="Z2244" s="269"/>
      <c r="AA2244" s="269"/>
      <c r="AB2244" s="269"/>
      <c r="AC2244" s="269"/>
      <c r="AD2244" s="269"/>
      <c r="AE2244" s="269"/>
      <c r="AF2244" s="269"/>
      <c r="AG2244" s="269"/>
      <c r="AH2244" s="269"/>
      <c r="AI2244" s="269"/>
      <c r="AJ2244" s="269"/>
      <c r="AK2244" s="269"/>
      <c r="AL2244" s="269"/>
      <c r="AM2244" s="269"/>
      <c r="AN2244" s="269"/>
      <c r="AO2244" s="269"/>
      <c r="AP2244" s="269"/>
      <c r="AQ2244" s="269"/>
      <c r="AR2244" s="269"/>
    </row>
    <row r="2245">
      <c r="A2245" s="410"/>
      <c r="B2245" s="410"/>
      <c r="C2245" s="410"/>
      <c r="D2245" s="410"/>
      <c r="E2245" s="410"/>
      <c r="F2245" s="410"/>
      <c r="H2245" s="269"/>
      <c r="I2245" s="269"/>
      <c r="J2245" s="269"/>
      <c r="K2245" s="269"/>
      <c r="L2245" s="269"/>
      <c r="M2245" s="269"/>
      <c r="N2245" s="269"/>
      <c r="O2245" s="269"/>
      <c r="P2245" s="269"/>
      <c r="Q2245" s="269"/>
      <c r="R2245" s="269"/>
      <c r="S2245" s="269"/>
      <c r="T2245" s="269"/>
      <c r="U2245" s="269"/>
      <c r="V2245" s="269"/>
      <c r="W2245" s="269"/>
      <c r="X2245" s="269"/>
      <c r="Y2245" s="269"/>
      <c r="Z2245" s="269"/>
      <c r="AA2245" s="269"/>
      <c r="AB2245" s="269"/>
      <c r="AC2245" s="269"/>
      <c r="AD2245" s="269"/>
      <c r="AE2245" s="269"/>
      <c r="AF2245" s="269"/>
      <c r="AG2245" s="269"/>
      <c r="AH2245" s="269"/>
      <c r="AI2245" s="269"/>
      <c r="AJ2245" s="269"/>
      <c r="AK2245" s="269"/>
      <c r="AL2245" s="269"/>
      <c r="AM2245" s="269"/>
      <c r="AN2245" s="269"/>
      <c r="AO2245" s="269"/>
      <c r="AP2245" s="269"/>
      <c r="AQ2245" s="269"/>
      <c r="AR2245" s="269"/>
    </row>
    <row r="2246">
      <c r="A2246" s="410"/>
      <c r="B2246" s="410"/>
      <c r="C2246" s="410"/>
      <c r="D2246" s="410"/>
      <c r="E2246" s="410"/>
      <c r="F2246" s="410"/>
      <c r="H2246" s="269"/>
      <c r="I2246" s="269"/>
      <c r="J2246" s="269"/>
      <c r="K2246" s="269"/>
      <c r="L2246" s="269"/>
      <c r="M2246" s="269"/>
      <c r="N2246" s="269"/>
      <c r="O2246" s="269"/>
      <c r="P2246" s="269"/>
      <c r="Q2246" s="269"/>
      <c r="R2246" s="269"/>
      <c r="S2246" s="269"/>
      <c r="T2246" s="269"/>
      <c r="U2246" s="269"/>
      <c r="V2246" s="269"/>
      <c r="W2246" s="269"/>
      <c r="X2246" s="269"/>
      <c r="Y2246" s="269"/>
      <c r="Z2246" s="269"/>
      <c r="AA2246" s="269"/>
      <c r="AB2246" s="269"/>
      <c r="AC2246" s="269"/>
      <c r="AD2246" s="269"/>
      <c r="AE2246" s="269"/>
      <c r="AF2246" s="269"/>
      <c r="AG2246" s="269"/>
      <c r="AH2246" s="269"/>
      <c r="AI2246" s="269"/>
      <c r="AJ2246" s="269"/>
      <c r="AK2246" s="269"/>
      <c r="AL2246" s="269"/>
      <c r="AM2246" s="269"/>
      <c r="AN2246" s="269"/>
      <c r="AO2246" s="269"/>
      <c r="AP2246" s="269"/>
      <c r="AQ2246" s="269"/>
      <c r="AR2246" s="269"/>
    </row>
    <row r="2247">
      <c r="A2247" s="410"/>
      <c r="B2247" s="410"/>
      <c r="C2247" s="410"/>
      <c r="D2247" s="410"/>
      <c r="E2247" s="410"/>
      <c r="F2247" s="410"/>
      <c r="H2247" s="269"/>
      <c r="I2247" s="269"/>
      <c r="J2247" s="269"/>
      <c r="K2247" s="269"/>
      <c r="L2247" s="269"/>
      <c r="M2247" s="269"/>
      <c r="N2247" s="269"/>
      <c r="O2247" s="269"/>
      <c r="P2247" s="269"/>
      <c r="Q2247" s="269"/>
      <c r="R2247" s="269"/>
      <c r="S2247" s="269"/>
      <c r="T2247" s="269"/>
      <c r="U2247" s="269"/>
      <c r="V2247" s="269"/>
      <c r="W2247" s="269"/>
      <c r="X2247" s="269"/>
      <c r="Y2247" s="269"/>
      <c r="Z2247" s="269"/>
      <c r="AA2247" s="269"/>
      <c r="AB2247" s="269"/>
      <c r="AC2247" s="269"/>
      <c r="AD2247" s="269"/>
      <c r="AE2247" s="269"/>
      <c r="AF2247" s="269"/>
      <c r="AG2247" s="269"/>
      <c r="AH2247" s="269"/>
      <c r="AI2247" s="269"/>
      <c r="AJ2247" s="269"/>
      <c r="AK2247" s="269"/>
      <c r="AL2247" s="269"/>
      <c r="AM2247" s="269"/>
      <c r="AN2247" s="269"/>
      <c r="AO2247" s="269"/>
      <c r="AP2247" s="269"/>
      <c r="AQ2247" s="269"/>
      <c r="AR2247" s="269"/>
    </row>
    <row r="2248">
      <c r="A2248" s="410"/>
      <c r="B2248" s="410"/>
      <c r="C2248" s="410"/>
      <c r="D2248" s="410"/>
      <c r="E2248" s="410"/>
      <c r="F2248" s="410"/>
      <c r="H2248" s="269"/>
      <c r="I2248" s="269"/>
      <c r="J2248" s="269"/>
      <c r="K2248" s="269"/>
      <c r="L2248" s="269"/>
      <c r="M2248" s="269"/>
      <c r="N2248" s="269"/>
      <c r="O2248" s="269"/>
      <c r="P2248" s="269"/>
      <c r="Q2248" s="269"/>
      <c r="R2248" s="269"/>
      <c r="S2248" s="269"/>
      <c r="T2248" s="269"/>
      <c r="U2248" s="269"/>
      <c r="V2248" s="269"/>
      <c r="W2248" s="269"/>
      <c r="X2248" s="269"/>
      <c r="Y2248" s="269"/>
      <c r="Z2248" s="269"/>
      <c r="AA2248" s="269"/>
      <c r="AB2248" s="269"/>
      <c r="AC2248" s="269"/>
      <c r="AD2248" s="269"/>
      <c r="AE2248" s="269"/>
      <c r="AF2248" s="269"/>
      <c r="AG2248" s="269"/>
      <c r="AH2248" s="269"/>
      <c r="AI2248" s="269"/>
      <c r="AJ2248" s="269"/>
      <c r="AK2248" s="269"/>
      <c r="AL2248" s="269"/>
      <c r="AM2248" s="269"/>
      <c r="AN2248" s="269"/>
      <c r="AO2248" s="269"/>
      <c r="AP2248" s="269"/>
      <c r="AQ2248" s="269"/>
      <c r="AR2248" s="269"/>
    </row>
    <row r="2249">
      <c r="A2249" s="410"/>
      <c r="B2249" s="410"/>
      <c r="C2249" s="410"/>
      <c r="D2249" s="410"/>
      <c r="E2249" s="410"/>
      <c r="F2249" s="410"/>
      <c r="H2249" s="269"/>
      <c r="I2249" s="269"/>
      <c r="J2249" s="269"/>
      <c r="K2249" s="269"/>
      <c r="L2249" s="269"/>
      <c r="M2249" s="269"/>
      <c r="N2249" s="269"/>
      <c r="O2249" s="269"/>
      <c r="P2249" s="269"/>
      <c r="Q2249" s="269"/>
      <c r="R2249" s="269"/>
      <c r="S2249" s="269"/>
      <c r="T2249" s="269"/>
      <c r="U2249" s="269"/>
      <c r="V2249" s="269"/>
      <c r="W2249" s="269"/>
      <c r="X2249" s="269"/>
      <c r="Y2249" s="269"/>
      <c r="Z2249" s="269"/>
      <c r="AA2249" s="269"/>
      <c r="AB2249" s="269"/>
      <c r="AC2249" s="269"/>
      <c r="AD2249" s="269"/>
      <c r="AE2249" s="269"/>
      <c r="AF2249" s="269"/>
      <c r="AG2249" s="269"/>
      <c r="AH2249" s="269"/>
      <c r="AI2249" s="269"/>
      <c r="AJ2249" s="269"/>
      <c r="AK2249" s="269"/>
      <c r="AL2249" s="269"/>
      <c r="AM2249" s="269"/>
      <c r="AN2249" s="269"/>
      <c r="AO2249" s="269"/>
      <c r="AP2249" s="269"/>
      <c r="AQ2249" s="269"/>
      <c r="AR2249" s="269"/>
    </row>
    <row r="2250">
      <c r="A2250" s="410"/>
      <c r="B2250" s="410"/>
      <c r="C2250" s="410"/>
      <c r="D2250" s="410"/>
      <c r="E2250" s="410"/>
      <c r="F2250" s="410"/>
      <c r="H2250" s="269"/>
      <c r="I2250" s="269"/>
      <c r="J2250" s="269"/>
      <c r="K2250" s="269"/>
      <c r="L2250" s="269"/>
      <c r="M2250" s="269"/>
      <c r="N2250" s="269"/>
      <c r="O2250" s="269"/>
      <c r="P2250" s="269"/>
      <c r="Q2250" s="269"/>
      <c r="R2250" s="269"/>
      <c r="S2250" s="269"/>
      <c r="T2250" s="269"/>
      <c r="U2250" s="269"/>
      <c r="V2250" s="269"/>
      <c r="W2250" s="269"/>
      <c r="X2250" s="269"/>
      <c r="Y2250" s="269"/>
      <c r="Z2250" s="269"/>
      <c r="AA2250" s="269"/>
      <c r="AB2250" s="269"/>
      <c r="AC2250" s="269"/>
      <c r="AD2250" s="269"/>
      <c r="AE2250" s="269"/>
      <c r="AF2250" s="269"/>
      <c r="AG2250" s="269"/>
      <c r="AH2250" s="269"/>
      <c r="AI2250" s="269"/>
      <c r="AJ2250" s="269"/>
      <c r="AK2250" s="269"/>
      <c r="AL2250" s="269"/>
      <c r="AM2250" s="269"/>
      <c r="AN2250" s="269"/>
      <c r="AO2250" s="269"/>
      <c r="AP2250" s="269"/>
      <c r="AQ2250" s="269"/>
      <c r="AR2250" s="269"/>
    </row>
    <row r="2251">
      <c r="A2251" s="410"/>
      <c r="B2251" s="410"/>
      <c r="C2251" s="410"/>
      <c r="D2251" s="410"/>
      <c r="E2251" s="410"/>
      <c r="F2251" s="410"/>
      <c r="H2251" s="269"/>
      <c r="I2251" s="269"/>
      <c r="J2251" s="269"/>
      <c r="K2251" s="269"/>
      <c r="L2251" s="269"/>
      <c r="M2251" s="269"/>
      <c r="N2251" s="269"/>
      <c r="O2251" s="269"/>
      <c r="P2251" s="269"/>
      <c r="Q2251" s="269"/>
      <c r="R2251" s="269"/>
      <c r="S2251" s="269"/>
      <c r="T2251" s="269"/>
      <c r="U2251" s="269"/>
      <c r="V2251" s="269"/>
      <c r="W2251" s="269"/>
      <c r="X2251" s="269"/>
      <c r="Y2251" s="269"/>
      <c r="Z2251" s="269"/>
      <c r="AA2251" s="269"/>
      <c r="AB2251" s="269"/>
      <c r="AC2251" s="269"/>
      <c r="AD2251" s="269"/>
      <c r="AE2251" s="269"/>
      <c r="AF2251" s="269"/>
      <c r="AG2251" s="269"/>
      <c r="AH2251" s="269"/>
      <c r="AI2251" s="269"/>
      <c r="AJ2251" s="269"/>
      <c r="AK2251" s="269"/>
      <c r="AL2251" s="269"/>
      <c r="AM2251" s="269"/>
      <c r="AN2251" s="269"/>
      <c r="AO2251" s="269"/>
      <c r="AP2251" s="269"/>
      <c r="AQ2251" s="269"/>
      <c r="AR2251" s="269"/>
    </row>
    <row r="2252">
      <c r="A2252" s="410"/>
      <c r="B2252" s="410"/>
      <c r="C2252" s="410"/>
      <c r="D2252" s="410"/>
      <c r="E2252" s="410"/>
      <c r="F2252" s="410"/>
      <c r="H2252" s="269"/>
      <c r="I2252" s="269"/>
      <c r="J2252" s="269"/>
      <c r="K2252" s="269"/>
      <c r="L2252" s="269"/>
      <c r="M2252" s="269"/>
      <c r="N2252" s="269"/>
      <c r="O2252" s="269"/>
      <c r="P2252" s="269"/>
      <c r="Q2252" s="269"/>
      <c r="R2252" s="269"/>
      <c r="S2252" s="269"/>
      <c r="T2252" s="269"/>
      <c r="U2252" s="269"/>
      <c r="V2252" s="269"/>
      <c r="W2252" s="269"/>
      <c r="X2252" s="269"/>
      <c r="Y2252" s="269"/>
      <c r="Z2252" s="269"/>
      <c r="AA2252" s="269"/>
      <c r="AB2252" s="269"/>
      <c r="AC2252" s="269"/>
      <c r="AD2252" s="269"/>
      <c r="AE2252" s="269"/>
      <c r="AF2252" s="269"/>
      <c r="AG2252" s="269"/>
      <c r="AH2252" s="269"/>
      <c r="AI2252" s="269"/>
      <c r="AJ2252" s="269"/>
      <c r="AK2252" s="269"/>
      <c r="AL2252" s="269"/>
      <c r="AM2252" s="269"/>
      <c r="AN2252" s="269"/>
      <c r="AO2252" s="269"/>
      <c r="AP2252" s="269"/>
      <c r="AQ2252" s="269"/>
      <c r="AR2252" s="269"/>
    </row>
    <row r="2253">
      <c r="A2253" s="410"/>
      <c r="B2253" s="410"/>
      <c r="C2253" s="410"/>
      <c r="D2253" s="410"/>
      <c r="E2253" s="410"/>
      <c r="F2253" s="410"/>
      <c r="H2253" s="269"/>
      <c r="I2253" s="269"/>
      <c r="J2253" s="269"/>
      <c r="K2253" s="269"/>
      <c r="L2253" s="269"/>
      <c r="M2253" s="269"/>
      <c r="N2253" s="269"/>
      <c r="O2253" s="269"/>
      <c r="P2253" s="269"/>
      <c r="Q2253" s="269"/>
      <c r="R2253" s="269"/>
      <c r="S2253" s="269"/>
      <c r="T2253" s="269"/>
      <c r="U2253" s="269"/>
      <c r="V2253" s="269"/>
      <c r="W2253" s="269"/>
      <c r="X2253" s="269"/>
      <c r="Y2253" s="269"/>
      <c r="Z2253" s="269"/>
      <c r="AA2253" s="269"/>
      <c r="AB2253" s="269"/>
      <c r="AC2253" s="269"/>
      <c r="AD2253" s="269"/>
      <c r="AE2253" s="269"/>
      <c r="AF2253" s="269"/>
      <c r="AG2253" s="269"/>
      <c r="AH2253" s="269"/>
      <c r="AI2253" s="269"/>
      <c r="AJ2253" s="269"/>
      <c r="AK2253" s="269"/>
      <c r="AL2253" s="269"/>
      <c r="AM2253" s="269"/>
      <c r="AN2253" s="269"/>
      <c r="AO2253" s="269"/>
      <c r="AP2253" s="269"/>
      <c r="AQ2253" s="269"/>
      <c r="AR2253" s="269"/>
    </row>
    <row r="2254">
      <c r="A2254" s="410"/>
      <c r="B2254" s="410"/>
      <c r="C2254" s="410"/>
      <c r="D2254" s="410"/>
      <c r="E2254" s="410"/>
      <c r="F2254" s="410"/>
      <c r="H2254" s="269"/>
      <c r="I2254" s="269"/>
      <c r="J2254" s="269"/>
      <c r="K2254" s="269"/>
      <c r="L2254" s="269"/>
      <c r="M2254" s="269"/>
      <c r="N2254" s="269"/>
      <c r="O2254" s="269"/>
      <c r="P2254" s="269"/>
      <c r="Q2254" s="269"/>
      <c r="R2254" s="269"/>
      <c r="S2254" s="269"/>
      <c r="T2254" s="269"/>
      <c r="U2254" s="269"/>
      <c r="V2254" s="269"/>
      <c r="W2254" s="269"/>
      <c r="X2254" s="269"/>
      <c r="Y2254" s="269"/>
      <c r="Z2254" s="269"/>
      <c r="AA2254" s="269"/>
      <c r="AB2254" s="269"/>
      <c r="AC2254" s="269"/>
      <c r="AD2254" s="269"/>
      <c r="AE2254" s="269"/>
      <c r="AF2254" s="269"/>
      <c r="AG2254" s="269"/>
      <c r="AH2254" s="269"/>
      <c r="AI2254" s="269"/>
      <c r="AJ2254" s="269"/>
      <c r="AK2254" s="269"/>
      <c r="AL2254" s="269"/>
      <c r="AM2254" s="269"/>
      <c r="AN2254" s="269"/>
      <c r="AO2254" s="269"/>
      <c r="AP2254" s="269"/>
      <c r="AQ2254" s="269"/>
      <c r="AR2254" s="269"/>
    </row>
    <row r="2255">
      <c r="A2255" s="410"/>
      <c r="B2255" s="410"/>
      <c r="C2255" s="410"/>
      <c r="D2255" s="410"/>
      <c r="E2255" s="410"/>
      <c r="F2255" s="410"/>
      <c r="H2255" s="269"/>
      <c r="I2255" s="269"/>
      <c r="J2255" s="269"/>
      <c r="K2255" s="269"/>
      <c r="L2255" s="269"/>
      <c r="M2255" s="269"/>
      <c r="N2255" s="269"/>
      <c r="O2255" s="269"/>
      <c r="P2255" s="269"/>
      <c r="Q2255" s="269"/>
      <c r="R2255" s="269"/>
      <c r="S2255" s="269"/>
      <c r="T2255" s="269"/>
      <c r="U2255" s="269"/>
      <c r="V2255" s="269"/>
      <c r="W2255" s="269"/>
      <c r="X2255" s="269"/>
      <c r="Y2255" s="269"/>
      <c r="Z2255" s="269"/>
      <c r="AA2255" s="269"/>
      <c r="AB2255" s="269"/>
      <c r="AC2255" s="269"/>
      <c r="AD2255" s="269"/>
      <c r="AE2255" s="269"/>
      <c r="AF2255" s="269"/>
      <c r="AG2255" s="269"/>
      <c r="AH2255" s="269"/>
      <c r="AI2255" s="269"/>
      <c r="AJ2255" s="269"/>
      <c r="AK2255" s="269"/>
      <c r="AL2255" s="269"/>
      <c r="AM2255" s="269"/>
      <c r="AN2255" s="269"/>
      <c r="AO2255" s="269"/>
      <c r="AP2255" s="269"/>
      <c r="AQ2255" s="269"/>
      <c r="AR2255" s="269"/>
    </row>
    <row r="2256">
      <c r="A2256" s="410"/>
      <c r="B2256" s="410"/>
      <c r="C2256" s="410"/>
      <c r="D2256" s="410"/>
      <c r="E2256" s="410"/>
      <c r="F2256" s="410"/>
      <c r="H2256" s="269"/>
      <c r="I2256" s="269"/>
      <c r="J2256" s="269"/>
      <c r="K2256" s="269"/>
      <c r="L2256" s="269"/>
      <c r="M2256" s="269"/>
      <c r="N2256" s="269"/>
      <c r="O2256" s="269"/>
      <c r="P2256" s="269"/>
      <c r="Q2256" s="269"/>
      <c r="R2256" s="269"/>
      <c r="S2256" s="269"/>
      <c r="T2256" s="269"/>
      <c r="U2256" s="269"/>
      <c r="V2256" s="269"/>
      <c r="W2256" s="269"/>
      <c r="X2256" s="269"/>
      <c r="Y2256" s="269"/>
      <c r="Z2256" s="269"/>
      <c r="AA2256" s="269"/>
      <c r="AB2256" s="269"/>
      <c r="AC2256" s="269"/>
      <c r="AD2256" s="269"/>
      <c r="AE2256" s="269"/>
      <c r="AF2256" s="269"/>
      <c r="AG2256" s="269"/>
      <c r="AH2256" s="269"/>
      <c r="AI2256" s="269"/>
      <c r="AJ2256" s="269"/>
      <c r="AK2256" s="269"/>
      <c r="AL2256" s="269"/>
      <c r="AM2256" s="269"/>
      <c r="AN2256" s="269"/>
      <c r="AO2256" s="269"/>
      <c r="AP2256" s="269"/>
      <c r="AQ2256" s="269"/>
      <c r="AR2256" s="269"/>
    </row>
    <row r="2257">
      <c r="A2257" s="410"/>
      <c r="B2257" s="410"/>
      <c r="C2257" s="410"/>
      <c r="D2257" s="410"/>
      <c r="E2257" s="410"/>
      <c r="F2257" s="410"/>
      <c r="H2257" s="269"/>
      <c r="I2257" s="269"/>
      <c r="J2257" s="269"/>
      <c r="K2257" s="269"/>
      <c r="L2257" s="269"/>
      <c r="M2257" s="269"/>
      <c r="N2257" s="269"/>
      <c r="O2257" s="269"/>
      <c r="P2257" s="269"/>
      <c r="Q2257" s="269"/>
      <c r="R2257" s="269"/>
      <c r="S2257" s="269"/>
      <c r="T2257" s="269"/>
      <c r="U2257" s="269"/>
      <c r="V2257" s="269"/>
      <c r="W2257" s="269"/>
      <c r="X2257" s="269"/>
      <c r="Y2257" s="269"/>
      <c r="Z2257" s="269"/>
      <c r="AA2257" s="269"/>
      <c r="AB2257" s="269"/>
      <c r="AC2257" s="269"/>
      <c r="AD2257" s="269"/>
      <c r="AE2257" s="269"/>
      <c r="AF2257" s="269"/>
      <c r="AG2257" s="269"/>
      <c r="AH2257" s="269"/>
      <c r="AI2257" s="269"/>
      <c r="AJ2257" s="269"/>
      <c r="AK2257" s="269"/>
      <c r="AL2257" s="269"/>
      <c r="AM2257" s="269"/>
      <c r="AN2257" s="269"/>
      <c r="AO2257" s="269"/>
      <c r="AP2257" s="269"/>
      <c r="AQ2257" s="269"/>
      <c r="AR2257" s="269"/>
    </row>
    <row r="2258">
      <c r="A2258" s="410"/>
      <c r="B2258" s="410"/>
      <c r="C2258" s="410"/>
      <c r="D2258" s="410"/>
      <c r="E2258" s="410"/>
      <c r="F2258" s="410"/>
      <c r="H2258" s="269"/>
      <c r="I2258" s="269"/>
      <c r="J2258" s="269"/>
      <c r="K2258" s="269"/>
      <c r="L2258" s="269"/>
      <c r="M2258" s="269"/>
      <c r="N2258" s="269"/>
      <c r="O2258" s="269"/>
      <c r="P2258" s="269"/>
      <c r="Q2258" s="269"/>
      <c r="R2258" s="269"/>
      <c r="S2258" s="269"/>
      <c r="T2258" s="269"/>
      <c r="U2258" s="269"/>
      <c r="V2258" s="269"/>
      <c r="W2258" s="269"/>
      <c r="X2258" s="269"/>
      <c r="Y2258" s="269"/>
      <c r="Z2258" s="269"/>
      <c r="AA2258" s="269"/>
      <c r="AB2258" s="269"/>
      <c r="AC2258" s="269"/>
      <c r="AD2258" s="269"/>
      <c r="AE2258" s="269"/>
      <c r="AF2258" s="269"/>
      <c r="AG2258" s="269"/>
      <c r="AH2258" s="269"/>
      <c r="AI2258" s="269"/>
      <c r="AJ2258" s="269"/>
      <c r="AK2258" s="269"/>
      <c r="AL2258" s="269"/>
      <c r="AM2258" s="269"/>
      <c r="AN2258" s="269"/>
      <c r="AO2258" s="269"/>
      <c r="AP2258" s="269"/>
      <c r="AQ2258" s="269"/>
      <c r="AR2258" s="269"/>
    </row>
    <row r="2259">
      <c r="A2259" s="410"/>
      <c r="B2259" s="410"/>
      <c r="C2259" s="410"/>
      <c r="D2259" s="410"/>
      <c r="E2259" s="410"/>
      <c r="F2259" s="410"/>
      <c r="H2259" s="269"/>
      <c r="I2259" s="269"/>
      <c r="J2259" s="269"/>
      <c r="K2259" s="269"/>
      <c r="L2259" s="269"/>
      <c r="M2259" s="269"/>
      <c r="N2259" s="269"/>
      <c r="O2259" s="269"/>
      <c r="P2259" s="269"/>
      <c r="Q2259" s="269"/>
      <c r="R2259" s="269"/>
      <c r="S2259" s="269"/>
      <c r="T2259" s="269"/>
      <c r="U2259" s="269"/>
      <c r="V2259" s="269"/>
      <c r="W2259" s="269"/>
      <c r="X2259" s="269"/>
      <c r="Y2259" s="269"/>
      <c r="Z2259" s="269"/>
      <c r="AA2259" s="269"/>
      <c r="AB2259" s="269"/>
      <c r="AC2259" s="269"/>
      <c r="AD2259" s="269"/>
      <c r="AE2259" s="269"/>
      <c r="AF2259" s="269"/>
      <c r="AG2259" s="269"/>
      <c r="AH2259" s="269"/>
      <c r="AI2259" s="269"/>
      <c r="AJ2259" s="269"/>
      <c r="AK2259" s="269"/>
      <c r="AL2259" s="269"/>
      <c r="AM2259" s="269"/>
      <c r="AN2259" s="269"/>
      <c r="AO2259" s="269"/>
      <c r="AP2259" s="269"/>
      <c r="AQ2259" s="269"/>
      <c r="AR2259" s="269"/>
    </row>
    <row r="2260">
      <c r="A2260" s="410"/>
      <c r="B2260" s="410"/>
      <c r="C2260" s="410"/>
      <c r="D2260" s="410"/>
      <c r="E2260" s="410"/>
      <c r="F2260" s="410"/>
      <c r="H2260" s="269"/>
      <c r="I2260" s="269"/>
      <c r="J2260" s="269"/>
      <c r="K2260" s="269"/>
      <c r="L2260" s="269"/>
      <c r="M2260" s="269"/>
      <c r="N2260" s="269"/>
      <c r="O2260" s="269"/>
      <c r="P2260" s="269"/>
      <c r="Q2260" s="269"/>
      <c r="R2260" s="269"/>
      <c r="S2260" s="269"/>
      <c r="T2260" s="269"/>
      <c r="U2260" s="269"/>
      <c r="V2260" s="269"/>
      <c r="W2260" s="269"/>
      <c r="X2260" s="269"/>
      <c r="Y2260" s="269"/>
      <c r="Z2260" s="269"/>
      <c r="AA2260" s="269"/>
      <c r="AB2260" s="269"/>
      <c r="AC2260" s="269"/>
      <c r="AD2260" s="269"/>
      <c r="AE2260" s="269"/>
      <c r="AF2260" s="269"/>
      <c r="AG2260" s="269"/>
      <c r="AH2260" s="269"/>
      <c r="AI2260" s="269"/>
      <c r="AJ2260" s="269"/>
      <c r="AK2260" s="269"/>
      <c r="AL2260" s="269"/>
      <c r="AM2260" s="269"/>
      <c r="AN2260" s="269"/>
      <c r="AO2260" s="269"/>
      <c r="AP2260" s="269"/>
      <c r="AQ2260" s="269"/>
      <c r="AR2260" s="269"/>
    </row>
    <row r="2261">
      <c r="A2261" s="410"/>
      <c r="B2261" s="410"/>
      <c r="C2261" s="410"/>
      <c r="D2261" s="410"/>
      <c r="E2261" s="410"/>
      <c r="F2261" s="410"/>
      <c r="H2261" s="269"/>
      <c r="I2261" s="269"/>
      <c r="J2261" s="269"/>
      <c r="K2261" s="269"/>
      <c r="L2261" s="269"/>
      <c r="M2261" s="269"/>
      <c r="N2261" s="269"/>
      <c r="O2261" s="269"/>
      <c r="P2261" s="269"/>
      <c r="Q2261" s="269"/>
      <c r="R2261" s="269"/>
      <c r="S2261" s="269"/>
      <c r="T2261" s="269"/>
      <c r="U2261" s="269"/>
      <c r="V2261" s="269"/>
      <c r="W2261" s="269"/>
      <c r="X2261" s="269"/>
      <c r="Y2261" s="269"/>
      <c r="Z2261" s="269"/>
      <c r="AA2261" s="269"/>
      <c r="AB2261" s="269"/>
      <c r="AC2261" s="269"/>
      <c r="AD2261" s="269"/>
      <c r="AE2261" s="269"/>
      <c r="AF2261" s="269"/>
      <c r="AG2261" s="269"/>
      <c r="AH2261" s="269"/>
      <c r="AI2261" s="269"/>
      <c r="AJ2261" s="269"/>
      <c r="AK2261" s="269"/>
      <c r="AL2261" s="269"/>
      <c r="AM2261" s="269"/>
      <c r="AN2261" s="269"/>
      <c r="AO2261" s="269"/>
      <c r="AP2261" s="269"/>
      <c r="AQ2261" s="269"/>
      <c r="AR2261" s="269"/>
    </row>
    <row r="2262">
      <c r="A2262" s="410"/>
      <c r="B2262" s="410"/>
      <c r="C2262" s="410"/>
      <c r="D2262" s="410"/>
      <c r="E2262" s="410"/>
      <c r="F2262" s="410"/>
      <c r="H2262" s="269"/>
      <c r="I2262" s="269"/>
      <c r="J2262" s="269"/>
      <c r="K2262" s="269"/>
      <c r="L2262" s="269"/>
      <c r="M2262" s="269"/>
      <c r="N2262" s="269"/>
      <c r="O2262" s="269"/>
      <c r="P2262" s="269"/>
      <c r="Q2262" s="269"/>
      <c r="R2262" s="269"/>
      <c r="S2262" s="269"/>
      <c r="T2262" s="269"/>
      <c r="U2262" s="269"/>
      <c r="V2262" s="269"/>
      <c r="W2262" s="269"/>
      <c r="X2262" s="269"/>
      <c r="Y2262" s="269"/>
      <c r="Z2262" s="269"/>
      <c r="AA2262" s="269"/>
      <c r="AB2262" s="269"/>
      <c r="AC2262" s="269"/>
      <c r="AD2262" s="269"/>
      <c r="AE2262" s="269"/>
      <c r="AF2262" s="269"/>
      <c r="AG2262" s="269"/>
      <c r="AH2262" s="269"/>
      <c r="AI2262" s="269"/>
      <c r="AJ2262" s="269"/>
      <c r="AK2262" s="269"/>
      <c r="AL2262" s="269"/>
      <c r="AM2262" s="269"/>
      <c r="AN2262" s="269"/>
      <c r="AO2262" s="269"/>
      <c r="AP2262" s="269"/>
      <c r="AQ2262" s="269"/>
      <c r="AR2262" s="269"/>
    </row>
    <row r="2263">
      <c r="A2263" s="410"/>
      <c r="B2263" s="410"/>
      <c r="C2263" s="410"/>
      <c r="D2263" s="410"/>
      <c r="E2263" s="410"/>
      <c r="F2263" s="410"/>
      <c r="H2263" s="269"/>
      <c r="I2263" s="269"/>
      <c r="J2263" s="269"/>
      <c r="K2263" s="269"/>
      <c r="L2263" s="269"/>
      <c r="M2263" s="269"/>
      <c r="N2263" s="269"/>
      <c r="O2263" s="269"/>
      <c r="P2263" s="269"/>
      <c r="Q2263" s="269"/>
      <c r="R2263" s="269"/>
      <c r="S2263" s="269"/>
      <c r="T2263" s="269"/>
      <c r="U2263" s="269"/>
      <c r="V2263" s="269"/>
      <c r="W2263" s="269"/>
      <c r="X2263" s="269"/>
      <c r="Y2263" s="269"/>
      <c r="Z2263" s="269"/>
      <c r="AA2263" s="269"/>
      <c r="AB2263" s="269"/>
      <c r="AC2263" s="269"/>
      <c r="AD2263" s="269"/>
      <c r="AE2263" s="269"/>
      <c r="AF2263" s="269"/>
      <c r="AG2263" s="269"/>
      <c r="AH2263" s="269"/>
      <c r="AI2263" s="269"/>
      <c r="AJ2263" s="269"/>
      <c r="AK2263" s="269"/>
      <c r="AL2263" s="269"/>
      <c r="AM2263" s="269"/>
      <c r="AN2263" s="269"/>
      <c r="AO2263" s="269"/>
      <c r="AP2263" s="269"/>
      <c r="AQ2263" s="269"/>
      <c r="AR2263" s="269"/>
    </row>
    <row r="2264">
      <c r="A2264" s="410"/>
      <c r="B2264" s="410"/>
      <c r="C2264" s="410"/>
      <c r="D2264" s="410"/>
      <c r="E2264" s="410"/>
      <c r="F2264" s="410"/>
      <c r="H2264" s="269"/>
      <c r="I2264" s="269"/>
      <c r="J2264" s="269"/>
      <c r="K2264" s="269"/>
      <c r="L2264" s="269"/>
      <c r="M2264" s="269"/>
      <c r="N2264" s="269"/>
      <c r="O2264" s="269"/>
      <c r="P2264" s="269"/>
      <c r="Q2264" s="269"/>
      <c r="R2264" s="269"/>
      <c r="S2264" s="269"/>
      <c r="T2264" s="269"/>
      <c r="U2264" s="269"/>
      <c r="V2264" s="269"/>
      <c r="W2264" s="269"/>
      <c r="X2264" s="269"/>
      <c r="Y2264" s="269"/>
      <c r="Z2264" s="269"/>
      <c r="AA2264" s="269"/>
      <c r="AB2264" s="269"/>
      <c r="AC2264" s="269"/>
      <c r="AD2264" s="269"/>
      <c r="AE2264" s="269"/>
      <c r="AF2264" s="269"/>
      <c r="AG2264" s="269"/>
      <c r="AH2264" s="269"/>
      <c r="AI2264" s="269"/>
      <c r="AJ2264" s="269"/>
      <c r="AK2264" s="269"/>
      <c r="AL2264" s="269"/>
      <c r="AM2264" s="269"/>
      <c r="AN2264" s="269"/>
      <c r="AO2264" s="269"/>
      <c r="AP2264" s="269"/>
      <c r="AQ2264" s="269"/>
      <c r="AR2264" s="269"/>
    </row>
    <row r="2265">
      <c r="A2265" s="410"/>
      <c r="B2265" s="410"/>
      <c r="C2265" s="410"/>
      <c r="D2265" s="410"/>
      <c r="E2265" s="410"/>
      <c r="F2265" s="410"/>
      <c r="H2265" s="269"/>
      <c r="I2265" s="269"/>
      <c r="J2265" s="269"/>
      <c r="K2265" s="269"/>
      <c r="L2265" s="269"/>
      <c r="M2265" s="269"/>
      <c r="N2265" s="269"/>
      <c r="O2265" s="269"/>
      <c r="P2265" s="269"/>
      <c r="Q2265" s="269"/>
      <c r="R2265" s="269"/>
      <c r="S2265" s="269"/>
      <c r="T2265" s="269"/>
      <c r="U2265" s="269"/>
      <c r="V2265" s="269"/>
      <c r="W2265" s="269"/>
      <c r="X2265" s="269"/>
      <c r="Y2265" s="269"/>
      <c r="Z2265" s="269"/>
      <c r="AA2265" s="269"/>
      <c r="AB2265" s="269"/>
      <c r="AC2265" s="269"/>
      <c r="AD2265" s="269"/>
      <c r="AE2265" s="269"/>
      <c r="AF2265" s="269"/>
      <c r="AG2265" s="269"/>
      <c r="AH2265" s="269"/>
      <c r="AI2265" s="269"/>
      <c r="AJ2265" s="269"/>
      <c r="AK2265" s="269"/>
      <c r="AL2265" s="269"/>
      <c r="AM2265" s="269"/>
      <c r="AN2265" s="269"/>
      <c r="AO2265" s="269"/>
      <c r="AP2265" s="269"/>
      <c r="AQ2265" s="269"/>
      <c r="AR2265" s="269"/>
    </row>
    <row r="2266">
      <c r="A2266" s="410"/>
      <c r="B2266" s="410"/>
      <c r="C2266" s="410"/>
      <c r="D2266" s="410"/>
      <c r="E2266" s="410"/>
      <c r="F2266" s="410"/>
      <c r="H2266" s="269"/>
      <c r="I2266" s="269"/>
      <c r="J2266" s="269"/>
      <c r="K2266" s="269"/>
      <c r="L2266" s="269"/>
      <c r="M2266" s="269"/>
      <c r="N2266" s="269"/>
      <c r="O2266" s="269"/>
      <c r="P2266" s="269"/>
      <c r="Q2266" s="269"/>
      <c r="R2266" s="269"/>
      <c r="S2266" s="269"/>
      <c r="T2266" s="269"/>
      <c r="U2266" s="269"/>
      <c r="V2266" s="269"/>
      <c r="W2266" s="269"/>
      <c r="X2266" s="269"/>
      <c r="Y2266" s="269"/>
      <c r="Z2266" s="269"/>
      <c r="AA2266" s="269"/>
      <c r="AB2266" s="269"/>
      <c r="AC2266" s="269"/>
      <c r="AD2266" s="269"/>
      <c r="AE2266" s="269"/>
      <c r="AF2266" s="269"/>
      <c r="AG2266" s="269"/>
      <c r="AH2266" s="269"/>
      <c r="AI2266" s="269"/>
      <c r="AJ2266" s="269"/>
      <c r="AK2266" s="269"/>
      <c r="AL2266" s="269"/>
      <c r="AM2266" s="269"/>
      <c r="AN2266" s="269"/>
      <c r="AO2266" s="269"/>
      <c r="AP2266" s="269"/>
      <c r="AQ2266" s="269"/>
      <c r="AR2266" s="269"/>
    </row>
    <row r="2267">
      <c r="A2267" s="410"/>
      <c r="B2267" s="410"/>
      <c r="C2267" s="410"/>
      <c r="D2267" s="410"/>
      <c r="E2267" s="410"/>
      <c r="F2267" s="410"/>
      <c r="H2267" s="269"/>
      <c r="I2267" s="269"/>
      <c r="J2267" s="269"/>
      <c r="K2267" s="269"/>
      <c r="L2267" s="269"/>
      <c r="M2267" s="269"/>
      <c r="N2267" s="269"/>
      <c r="O2267" s="269"/>
      <c r="P2267" s="269"/>
      <c r="Q2267" s="269"/>
      <c r="R2267" s="269"/>
      <c r="S2267" s="269"/>
      <c r="T2267" s="269"/>
      <c r="U2267" s="269"/>
      <c r="V2267" s="269"/>
      <c r="W2267" s="269"/>
      <c r="X2267" s="269"/>
      <c r="Y2267" s="269"/>
      <c r="Z2267" s="269"/>
      <c r="AA2267" s="269"/>
      <c r="AB2267" s="269"/>
      <c r="AC2267" s="269"/>
      <c r="AD2267" s="269"/>
      <c r="AE2267" s="269"/>
      <c r="AF2267" s="269"/>
      <c r="AG2267" s="269"/>
      <c r="AH2267" s="269"/>
      <c r="AI2267" s="269"/>
      <c r="AJ2267" s="269"/>
      <c r="AK2267" s="269"/>
      <c r="AL2267" s="269"/>
      <c r="AM2267" s="269"/>
      <c r="AN2267" s="269"/>
      <c r="AO2267" s="269"/>
      <c r="AP2267" s="269"/>
      <c r="AQ2267" s="269"/>
      <c r="AR2267" s="269"/>
    </row>
    <row r="2268">
      <c r="A2268" s="410"/>
      <c r="B2268" s="410"/>
      <c r="C2268" s="410"/>
      <c r="D2268" s="410"/>
      <c r="E2268" s="410"/>
      <c r="F2268" s="410"/>
      <c r="H2268" s="269"/>
      <c r="I2268" s="269"/>
      <c r="J2268" s="269"/>
      <c r="K2268" s="269"/>
      <c r="L2268" s="269"/>
      <c r="M2268" s="269"/>
      <c r="N2268" s="269"/>
      <c r="O2268" s="269"/>
      <c r="P2268" s="269"/>
      <c r="Q2268" s="269"/>
      <c r="R2268" s="269"/>
      <c r="S2268" s="269"/>
      <c r="T2268" s="269"/>
      <c r="U2268" s="269"/>
      <c r="V2268" s="269"/>
      <c r="W2268" s="269"/>
      <c r="X2268" s="269"/>
      <c r="Y2268" s="269"/>
      <c r="Z2268" s="269"/>
      <c r="AA2268" s="269"/>
      <c r="AB2268" s="269"/>
      <c r="AC2268" s="269"/>
      <c r="AD2268" s="269"/>
      <c r="AE2268" s="269"/>
      <c r="AF2268" s="269"/>
      <c r="AG2268" s="269"/>
      <c r="AH2268" s="269"/>
      <c r="AI2268" s="269"/>
      <c r="AJ2268" s="269"/>
      <c r="AK2268" s="269"/>
      <c r="AL2268" s="269"/>
      <c r="AM2268" s="269"/>
      <c r="AN2268" s="269"/>
      <c r="AO2268" s="269"/>
      <c r="AP2268" s="269"/>
      <c r="AQ2268" s="269"/>
      <c r="AR2268" s="269"/>
    </row>
    <row r="2269">
      <c r="A2269" s="410"/>
      <c r="B2269" s="410"/>
      <c r="C2269" s="410"/>
      <c r="D2269" s="410"/>
      <c r="E2269" s="410"/>
      <c r="F2269" s="410"/>
      <c r="H2269" s="269"/>
      <c r="I2269" s="269"/>
      <c r="J2269" s="269"/>
      <c r="K2269" s="269"/>
      <c r="L2269" s="269"/>
      <c r="M2269" s="269"/>
      <c r="N2269" s="269"/>
      <c r="O2269" s="269"/>
      <c r="P2269" s="269"/>
      <c r="Q2269" s="269"/>
      <c r="R2269" s="269"/>
      <c r="S2269" s="269"/>
      <c r="T2269" s="269"/>
      <c r="U2269" s="269"/>
      <c r="V2269" s="269"/>
      <c r="W2269" s="269"/>
      <c r="X2269" s="269"/>
      <c r="Y2269" s="269"/>
      <c r="Z2269" s="269"/>
      <c r="AA2269" s="269"/>
      <c r="AB2269" s="269"/>
      <c r="AC2269" s="269"/>
      <c r="AD2269" s="269"/>
      <c r="AE2269" s="269"/>
      <c r="AF2269" s="269"/>
      <c r="AG2269" s="269"/>
      <c r="AH2269" s="269"/>
      <c r="AI2269" s="269"/>
      <c r="AJ2269" s="269"/>
      <c r="AK2269" s="269"/>
      <c r="AL2269" s="269"/>
      <c r="AM2269" s="269"/>
      <c r="AN2269" s="269"/>
      <c r="AO2269" s="269"/>
      <c r="AP2269" s="269"/>
      <c r="AQ2269" s="269"/>
      <c r="AR2269" s="269"/>
    </row>
    <row r="2270">
      <c r="A2270" s="410"/>
      <c r="B2270" s="410"/>
      <c r="C2270" s="410"/>
      <c r="D2270" s="410"/>
      <c r="E2270" s="410"/>
      <c r="F2270" s="410"/>
      <c r="H2270" s="269"/>
      <c r="I2270" s="269"/>
      <c r="J2270" s="269"/>
      <c r="K2270" s="269"/>
      <c r="L2270" s="269"/>
      <c r="M2270" s="269"/>
      <c r="N2270" s="269"/>
      <c r="O2270" s="269"/>
      <c r="P2270" s="269"/>
      <c r="Q2270" s="269"/>
      <c r="R2270" s="269"/>
      <c r="S2270" s="269"/>
      <c r="T2270" s="269"/>
      <c r="U2270" s="269"/>
      <c r="V2270" s="269"/>
      <c r="W2270" s="269"/>
      <c r="X2270" s="269"/>
      <c r="Y2270" s="269"/>
      <c r="Z2270" s="269"/>
      <c r="AA2270" s="269"/>
      <c r="AB2270" s="269"/>
      <c r="AC2270" s="269"/>
      <c r="AD2270" s="269"/>
      <c r="AE2270" s="269"/>
      <c r="AF2270" s="269"/>
      <c r="AG2270" s="269"/>
      <c r="AH2270" s="269"/>
      <c r="AI2270" s="269"/>
      <c r="AJ2270" s="269"/>
      <c r="AK2270" s="269"/>
      <c r="AL2270" s="269"/>
      <c r="AM2270" s="269"/>
      <c r="AN2270" s="269"/>
      <c r="AO2270" s="269"/>
      <c r="AP2270" s="269"/>
      <c r="AQ2270" s="269"/>
      <c r="AR2270" s="269"/>
    </row>
    <row r="2271">
      <c r="A2271" s="410"/>
      <c r="B2271" s="410"/>
      <c r="C2271" s="410"/>
      <c r="D2271" s="410"/>
      <c r="E2271" s="410"/>
      <c r="F2271" s="410"/>
      <c r="H2271" s="269"/>
      <c r="I2271" s="269"/>
      <c r="J2271" s="269"/>
      <c r="K2271" s="269"/>
      <c r="L2271" s="269"/>
      <c r="M2271" s="269"/>
      <c r="N2271" s="269"/>
      <c r="O2271" s="269"/>
      <c r="P2271" s="269"/>
      <c r="Q2271" s="269"/>
      <c r="R2271" s="269"/>
      <c r="S2271" s="269"/>
      <c r="T2271" s="269"/>
      <c r="U2271" s="269"/>
      <c r="V2271" s="269"/>
      <c r="W2271" s="269"/>
      <c r="X2271" s="269"/>
      <c r="Y2271" s="269"/>
      <c r="Z2271" s="269"/>
      <c r="AA2271" s="269"/>
      <c r="AB2271" s="269"/>
      <c r="AC2271" s="269"/>
      <c r="AD2271" s="269"/>
      <c r="AE2271" s="269"/>
      <c r="AF2271" s="269"/>
      <c r="AG2271" s="269"/>
      <c r="AH2271" s="269"/>
      <c r="AI2271" s="269"/>
      <c r="AJ2271" s="269"/>
      <c r="AK2271" s="269"/>
      <c r="AL2271" s="269"/>
      <c r="AM2271" s="269"/>
      <c r="AN2271" s="269"/>
      <c r="AO2271" s="269"/>
      <c r="AP2271" s="269"/>
      <c r="AQ2271" s="269"/>
      <c r="AR2271" s="269"/>
    </row>
    <row r="2272">
      <c r="A2272" s="410"/>
      <c r="B2272" s="410"/>
      <c r="C2272" s="410"/>
      <c r="D2272" s="410"/>
      <c r="E2272" s="410"/>
      <c r="F2272" s="410"/>
      <c r="H2272" s="269"/>
      <c r="I2272" s="269"/>
      <c r="J2272" s="269"/>
      <c r="K2272" s="269"/>
      <c r="L2272" s="269"/>
      <c r="M2272" s="269"/>
      <c r="N2272" s="269"/>
      <c r="O2272" s="269"/>
      <c r="P2272" s="269"/>
      <c r="Q2272" s="269"/>
      <c r="R2272" s="269"/>
      <c r="S2272" s="269"/>
      <c r="T2272" s="269"/>
      <c r="U2272" s="269"/>
      <c r="V2272" s="269"/>
      <c r="W2272" s="269"/>
      <c r="X2272" s="269"/>
      <c r="Y2272" s="269"/>
      <c r="Z2272" s="269"/>
      <c r="AA2272" s="269"/>
      <c r="AB2272" s="269"/>
      <c r="AC2272" s="269"/>
      <c r="AD2272" s="269"/>
      <c r="AE2272" s="269"/>
      <c r="AF2272" s="269"/>
      <c r="AG2272" s="269"/>
      <c r="AH2272" s="269"/>
      <c r="AI2272" s="269"/>
      <c r="AJ2272" s="269"/>
      <c r="AK2272" s="269"/>
      <c r="AL2272" s="269"/>
      <c r="AM2272" s="269"/>
      <c r="AN2272" s="269"/>
      <c r="AO2272" s="269"/>
      <c r="AP2272" s="269"/>
      <c r="AQ2272" s="269"/>
      <c r="AR2272" s="269"/>
    </row>
    <row r="2273">
      <c r="A2273" s="410"/>
      <c r="B2273" s="410"/>
      <c r="C2273" s="410"/>
      <c r="D2273" s="410"/>
      <c r="E2273" s="410"/>
      <c r="F2273" s="410"/>
      <c r="H2273" s="269"/>
      <c r="I2273" s="269"/>
      <c r="J2273" s="269"/>
      <c r="K2273" s="269"/>
      <c r="L2273" s="269"/>
      <c r="M2273" s="269"/>
      <c r="N2273" s="269"/>
      <c r="O2273" s="269"/>
      <c r="P2273" s="269"/>
      <c r="Q2273" s="269"/>
      <c r="R2273" s="269"/>
      <c r="S2273" s="269"/>
      <c r="T2273" s="269"/>
      <c r="U2273" s="269"/>
      <c r="V2273" s="269"/>
      <c r="W2273" s="269"/>
      <c r="X2273" s="269"/>
      <c r="Y2273" s="269"/>
      <c r="Z2273" s="269"/>
      <c r="AA2273" s="269"/>
      <c r="AB2273" s="269"/>
      <c r="AC2273" s="269"/>
      <c r="AD2273" s="269"/>
      <c r="AE2273" s="269"/>
      <c r="AF2273" s="269"/>
      <c r="AG2273" s="269"/>
      <c r="AH2273" s="269"/>
      <c r="AI2273" s="269"/>
      <c r="AJ2273" s="269"/>
      <c r="AK2273" s="269"/>
      <c r="AL2273" s="269"/>
      <c r="AM2273" s="269"/>
      <c r="AN2273" s="269"/>
      <c r="AO2273" s="269"/>
      <c r="AP2273" s="269"/>
      <c r="AQ2273" s="269"/>
      <c r="AR2273" s="269"/>
    </row>
    <row r="2274">
      <c r="A2274" s="410"/>
      <c r="B2274" s="410"/>
      <c r="C2274" s="410"/>
      <c r="D2274" s="410"/>
      <c r="E2274" s="410"/>
      <c r="F2274" s="410"/>
      <c r="H2274" s="269"/>
      <c r="I2274" s="269"/>
      <c r="J2274" s="269"/>
      <c r="K2274" s="269"/>
      <c r="L2274" s="269"/>
      <c r="M2274" s="269"/>
      <c r="N2274" s="269"/>
      <c r="O2274" s="269"/>
      <c r="P2274" s="269"/>
      <c r="Q2274" s="269"/>
      <c r="R2274" s="269"/>
      <c r="S2274" s="269"/>
      <c r="T2274" s="269"/>
      <c r="U2274" s="269"/>
      <c r="V2274" s="269"/>
      <c r="W2274" s="269"/>
      <c r="X2274" s="269"/>
      <c r="Y2274" s="269"/>
      <c r="Z2274" s="269"/>
      <c r="AA2274" s="269"/>
      <c r="AB2274" s="269"/>
      <c r="AC2274" s="269"/>
      <c r="AD2274" s="269"/>
      <c r="AE2274" s="269"/>
      <c r="AF2274" s="269"/>
      <c r="AG2274" s="269"/>
      <c r="AH2274" s="269"/>
      <c r="AI2274" s="269"/>
      <c r="AJ2274" s="269"/>
      <c r="AK2274" s="269"/>
      <c r="AL2274" s="269"/>
      <c r="AM2274" s="269"/>
      <c r="AN2274" s="269"/>
      <c r="AO2274" s="269"/>
      <c r="AP2274" s="269"/>
      <c r="AQ2274" s="269"/>
      <c r="AR2274" s="269"/>
    </row>
    <row r="2275">
      <c r="A2275" s="410"/>
      <c r="B2275" s="410"/>
      <c r="C2275" s="410"/>
      <c r="D2275" s="410"/>
      <c r="E2275" s="410"/>
      <c r="F2275" s="410"/>
      <c r="H2275" s="269"/>
      <c r="I2275" s="269"/>
      <c r="J2275" s="269"/>
      <c r="K2275" s="269"/>
      <c r="L2275" s="269"/>
      <c r="M2275" s="269"/>
      <c r="N2275" s="269"/>
      <c r="O2275" s="269"/>
      <c r="P2275" s="269"/>
      <c r="Q2275" s="269"/>
      <c r="R2275" s="269"/>
      <c r="S2275" s="269"/>
      <c r="T2275" s="269"/>
      <c r="U2275" s="269"/>
      <c r="V2275" s="269"/>
      <c r="W2275" s="269"/>
      <c r="X2275" s="269"/>
      <c r="Y2275" s="269"/>
      <c r="Z2275" s="269"/>
      <c r="AA2275" s="269"/>
      <c r="AB2275" s="269"/>
      <c r="AC2275" s="269"/>
      <c r="AD2275" s="269"/>
      <c r="AE2275" s="269"/>
      <c r="AF2275" s="269"/>
      <c r="AG2275" s="269"/>
      <c r="AH2275" s="269"/>
      <c r="AI2275" s="269"/>
      <c r="AJ2275" s="269"/>
      <c r="AK2275" s="269"/>
      <c r="AL2275" s="269"/>
      <c r="AM2275" s="269"/>
      <c r="AN2275" s="269"/>
      <c r="AO2275" s="269"/>
      <c r="AP2275" s="269"/>
      <c r="AQ2275" s="269"/>
      <c r="AR2275" s="269"/>
    </row>
    <row r="2276">
      <c r="A2276" s="410"/>
      <c r="B2276" s="410"/>
      <c r="C2276" s="410"/>
      <c r="D2276" s="410"/>
      <c r="E2276" s="410"/>
      <c r="F2276" s="410"/>
      <c r="H2276" s="269"/>
      <c r="I2276" s="269"/>
      <c r="J2276" s="269"/>
      <c r="K2276" s="269"/>
      <c r="L2276" s="269"/>
      <c r="M2276" s="269"/>
      <c r="N2276" s="269"/>
      <c r="O2276" s="269"/>
      <c r="P2276" s="269"/>
      <c r="Q2276" s="269"/>
      <c r="R2276" s="269"/>
      <c r="S2276" s="269"/>
      <c r="T2276" s="269"/>
      <c r="U2276" s="269"/>
      <c r="V2276" s="269"/>
      <c r="W2276" s="269"/>
      <c r="X2276" s="269"/>
      <c r="Y2276" s="269"/>
      <c r="Z2276" s="269"/>
      <c r="AA2276" s="269"/>
      <c r="AB2276" s="269"/>
      <c r="AC2276" s="269"/>
      <c r="AD2276" s="269"/>
      <c r="AE2276" s="269"/>
      <c r="AF2276" s="269"/>
      <c r="AG2276" s="269"/>
      <c r="AH2276" s="269"/>
      <c r="AI2276" s="269"/>
      <c r="AJ2276" s="269"/>
      <c r="AK2276" s="269"/>
      <c r="AL2276" s="269"/>
      <c r="AM2276" s="269"/>
      <c r="AN2276" s="269"/>
      <c r="AO2276" s="269"/>
      <c r="AP2276" s="269"/>
      <c r="AQ2276" s="269"/>
      <c r="AR2276" s="269"/>
    </row>
    <row r="2277">
      <c r="A2277" s="410"/>
      <c r="B2277" s="410"/>
      <c r="C2277" s="410"/>
      <c r="D2277" s="410"/>
      <c r="E2277" s="410"/>
      <c r="F2277" s="410"/>
      <c r="H2277" s="269"/>
      <c r="I2277" s="269"/>
      <c r="J2277" s="269"/>
      <c r="K2277" s="269"/>
      <c r="L2277" s="269"/>
      <c r="M2277" s="269"/>
      <c r="N2277" s="269"/>
      <c r="O2277" s="269"/>
      <c r="P2277" s="269"/>
      <c r="Q2277" s="269"/>
      <c r="R2277" s="269"/>
      <c r="S2277" s="269"/>
      <c r="T2277" s="269"/>
      <c r="U2277" s="269"/>
      <c r="V2277" s="269"/>
      <c r="W2277" s="269"/>
      <c r="X2277" s="269"/>
      <c r="Y2277" s="269"/>
      <c r="Z2277" s="269"/>
      <c r="AA2277" s="269"/>
      <c r="AB2277" s="269"/>
      <c r="AC2277" s="269"/>
      <c r="AD2277" s="269"/>
      <c r="AE2277" s="269"/>
      <c r="AF2277" s="269"/>
      <c r="AG2277" s="269"/>
      <c r="AH2277" s="269"/>
      <c r="AI2277" s="269"/>
      <c r="AJ2277" s="269"/>
      <c r="AK2277" s="269"/>
      <c r="AL2277" s="269"/>
      <c r="AM2277" s="269"/>
      <c r="AN2277" s="269"/>
      <c r="AO2277" s="269"/>
      <c r="AP2277" s="269"/>
      <c r="AQ2277" s="269"/>
      <c r="AR2277" s="269"/>
    </row>
    <row r="2278">
      <c r="A2278" s="410"/>
      <c r="B2278" s="410"/>
      <c r="C2278" s="410"/>
      <c r="D2278" s="410"/>
      <c r="E2278" s="410"/>
      <c r="F2278" s="410"/>
      <c r="H2278" s="269"/>
      <c r="I2278" s="269"/>
      <c r="J2278" s="269"/>
      <c r="K2278" s="269"/>
      <c r="L2278" s="269"/>
      <c r="M2278" s="269"/>
      <c r="N2278" s="269"/>
      <c r="O2278" s="269"/>
      <c r="P2278" s="269"/>
      <c r="Q2278" s="269"/>
      <c r="R2278" s="269"/>
      <c r="S2278" s="269"/>
      <c r="T2278" s="269"/>
      <c r="U2278" s="269"/>
      <c r="V2278" s="269"/>
      <c r="W2278" s="269"/>
      <c r="X2278" s="269"/>
      <c r="Y2278" s="269"/>
      <c r="Z2278" s="269"/>
      <c r="AA2278" s="269"/>
      <c r="AB2278" s="269"/>
      <c r="AC2278" s="269"/>
      <c r="AD2278" s="269"/>
      <c r="AE2278" s="269"/>
      <c r="AF2278" s="269"/>
      <c r="AG2278" s="269"/>
      <c r="AH2278" s="269"/>
      <c r="AI2278" s="269"/>
      <c r="AJ2278" s="269"/>
      <c r="AK2278" s="269"/>
      <c r="AL2278" s="269"/>
      <c r="AM2278" s="269"/>
      <c r="AN2278" s="269"/>
      <c r="AO2278" s="269"/>
      <c r="AP2278" s="269"/>
      <c r="AQ2278" s="269"/>
      <c r="AR2278" s="269"/>
    </row>
    <row r="2279">
      <c r="A2279" s="410"/>
      <c r="B2279" s="410"/>
      <c r="C2279" s="410"/>
      <c r="D2279" s="410"/>
      <c r="E2279" s="410"/>
      <c r="F2279" s="410"/>
      <c r="H2279" s="269"/>
      <c r="I2279" s="269"/>
      <c r="J2279" s="269"/>
      <c r="K2279" s="269"/>
      <c r="L2279" s="269"/>
      <c r="M2279" s="269"/>
      <c r="N2279" s="269"/>
      <c r="O2279" s="269"/>
      <c r="P2279" s="269"/>
      <c r="Q2279" s="269"/>
      <c r="R2279" s="269"/>
      <c r="S2279" s="269"/>
      <c r="T2279" s="269"/>
      <c r="U2279" s="269"/>
      <c r="V2279" s="269"/>
      <c r="W2279" s="269"/>
      <c r="X2279" s="269"/>
      <c r="Y2279" s="269"/>
      <c r="Z2279" s="269"/>
      <c r="AA2279" s="269"/>
      <c r="AB2279" s="269"/>
      <c r="AC2279" s="269"/>
      <c r="AD2279" s="269"/>
      <c r="AE2279" s="269"/>
      <c r="AF2279" s="269"/>
      <c r="AG2279" s="269"/>
      <c r="AH2279" s="269"/>
      <c r="AI2279" s="269"/>
      <c r="AJ2279" s="269"/>
      <c r="AK2279" s="269"/>
      <c r="AL2279" s="269"/>
      <c r="AM2279" s="269"/>
      <c r="AN2279" s="269"/>
      <c r="AO2279" s="269"/>
      <c r="AP2279" s="269"/>
      <c r="AQ2279" s="269"/>
      <c r="AR2279" s="269"/>
    </row>
    <row r="2280">
      <c r="A2280" s="410"/>
      <c r="B2280" s="410"/>
      <c r="C2280" s="410"/>
      <c r="D2280" s="410"/>
      <c r="E2280" s="410"/>
      <c r="F2280" s="410"/>
      <c r="H2280" s="269"/>
      <c r="I2280" s="269"/>
      <c r="J2280" s="269"/>
      <c r="K2280" s="269"/>
      <c r="L2280" s="269"/>
      <c r="M2280" s="269"/>
      <c r="N2280" s="269"/>
      <c r="O2280" s="269"/>
      <c r="P2280" s="269"/>
      <c r="Q2280" s="269"/>
      <c r="R2280" s="269"/>
      <c r="S2280" s="269"/>
      <c r="T2280" s="269"/>
      <c r="U2280" s="269"/>
      <c r="V2280" s="269"/>
      <c r="W2280" s="269"/>
      <c r="X2280" s="269"/>
      <c r="Y2280" s="269"/>
      <c r="Z2280" s="269"/>
      <c r="AA2280" s="269"/>
      <c r="AB2280" s="269"/>
      <c r="AC2280" s="269"/>
      <c r="AD2280" s="269"/>
      <c r="AE2280" s="269"/>
      <c r="AF2280" s="269"/>
      <c r="AG2280" s="269"/>
      <c r="AH2280" s="269"/>
      <c r="AI2280" s="269"/>
      <c r="AJ2280" s="269"/>
      <c r="AK2280" s="269"/>
      <c r="AL2280" s="269"/>
      <c r="AM2280" s="269"/>
      <c r="AN2280" s="269"/>
      <c r="AO2280" s="269"/>
      <c r="AP2280" s="269"/>
      <c r="AQ2280" s="269"/>
      <c r="AR2280" s="269"/>
    </row>
    <row r="2281">
      <c r="A2281" s="410"/>
      <c r="B2281" s="410"/>
      <c r="C2281" s="410"/>
      <c r="D2281" s="410"/>
      <c r="E2281" s="410"/>
      <c r="F2281" s="410"/>
      <c r="H2281" s="269"/>
      <c r="I2281" s="269"/>
      <c r="J2281" s="269"/>
      <c r="K2281" s="269"/>
      <c r="L2281" s="269"/>
      <c r="M2281" s="269"/>
      <c r="N2281" s="269"/>
      <c r="O2281" s="269"/>
      <c r="P2281" s="269"/>
      <c r="Q2281" s="269"/>
      <c r="R2281" s="269"/>
      <c r="S2281" s="269"/>
      <c r="T2281" s="269"/>
      <c r="U2281" s="269"/>
      <c r="V2281" s="269"/>
      <c r="W2281" s="269"/>
      <c r="X2281" s="269"/>
      <c r="Y2281" s="269"/>
      <c r="Z2281" s="269"/>
      <c r="AA2281" s="269"/>
      <c r="AB2281" s="269"/>
      <c r="AC2281" s="269"/>
      <c r="AD2281" s="269"/>
      <c r="AE2281" s="269"/>
      <c r="AF2281" s="269"/>
      <c r="AG2281" s="269"/>
      <c r="AH2281" s="269"/>
      <c r="AI2281" s="269"/>
      <c r="AJ2281" s="269"/>
      <c r="AK2281" s="269"/>
      <c r="AL2281" s="269"/>
      <c r="AM2281" s="269"/>
      <c r="AN2281" s="269"/>
      <c r="AO2281" s="269"/>
      <c r="AP2281" s="269"/>
      <c r="AQ2281" s="269"/>
      <c r="AR2281" s="269"/>
    </row>
    <row r="2282">
      <c r="A2282" s="410"/>
      <c r="B2282" s="410"/>
      <c r="C2282" s="410"/>
      <c r="D2282" s="410"/>
      <c r="E2282" s="410"/>
      <c r="F2282" s="410"/>
      <c r="H2282" s="269"/>
      <c r="I2282" s="269"/>
      <c r="J2282" s="269"/>
      <c r="K2282" s="269"/>
      <c r="L2282" s="269"/>
      <c r="M2282" s="269"/>
      <c r="N2282" s="269"/>
      <c r="O2282" s="269"/>
      <c r="P2282" s="269"/>
      <c r="Q2282" s="269"/>
      <c r="R2282" s="269"/>
      <c r="S2282" s="269"/>
      <c r="T2282" s="269"/>
      <c r="U2282" s="269"/>
      <c r="V2282" s="269"/>
      <c r="W2282" s="269"/>
      <c r="X2282" s="269"/>
      <c r="Y2282" s="269"/>
      <c r="Z2282" s="269"/>
      <c r="AA2282" s="269"/>
      <c r="AB2282" s="269"/>
      <c r="AC2282" s="269"/>
      <c r="AD2282" s="269"/>
      <c r="AE2282" s="269"/>
      <c r="AF2282" s="269"/>
      <c r="AG2282" s="269"/>
      <c r="AH2282" s="269"/>
      <c r="AI2282" s="269"/>
      <c r="AJ2282" s="269"/>
      <c r="AK2282" s="269"/>
      <c r="AL2282" s="269"/>
      <c r="AM2282" s="269"/>
      <c r="AN2282" s="269"/>
      <c r="AO2282" s="269"/>
      <c r="AP2282" s="269"/>
      <c r="AQ2282" s="269"/>
      <c r="AR2282" s="269"/>
    </row>
    <row r="2283">
      <c r="A2283" s="410"/>
      <c r="B2283" s="410"/>
      <c r="C2283" s="410"/>
      <c r="D2283" s="410"/>
      <c r="E2283" s="410"/>
      <c r="F2283" s="410"/>
      <c r="H2283" s="269"/>
      <c r="I2283" s="269"/>
      <c r="J2283" s="269"/>
      <c r="K2283" s="269"/>
      <c r="L2283" s="269"/>
      <c r="M2283" s="269"/>
      <c r="N2283" s="269"/>
      <c r="O2283" s="269"/>
      <c r="P2283" s="269"/>
      <c r="Q2283" s="269"/>
      <c r="R2283" s="269"/>
      <c r="S2283" s="269"/>
      <c r="T2283" s="269"/>
      <c r="U2283" s="269"/>
      <c r="V2283" s="269"/>
      <c r="W2283" s="269"/>
      <c r="X2283" s="269"/>
      <c r="Y2283" s="269"/>
      <c r="Z2283" s="269"/>
      <c r="AA2283" s="269"/>
      <c r="AB2283" s="269"/>
      <c r="AC2283" s="269"/>
      <c r="AD2283" s="269"/>
      <c r="AE2283" s="269"/>
      <c r="AF2283" s="269"/>
      <c r="AG2283" s="269"/>
      <c r="AH2283" s="269"/>
      <c r="AI2283" s="269"/>
      <c r="AJ2283" s="269"/>
      <c r="AK2283" s="269"/>
      <c r="AL2283" s="269"/>
      <c r="AM2283" s="269"/>
      <c r="AN2283" s="269"/>
      <c r="AO2283" s="269"/>
      <c r="AP2283" s="269"/>
      <c r="AQ2283" s="269"/>
      <c r="AR2283" s="269"/>
    </row>
    <row r="2284">
      <c r="A2284" s="410"/>
      <c r="B2284" s="410"/>
      <c r="C2284" s="410"/>
      <c r="D2284" s="410"/>
      <c r="E2284" s="410"/>
      <c r="F2284" s="410"/>
      <c r="H2284" s="269"/>
      <c r="I2284" s="269"/>
      <c r="J2284" s="269"/>
      <c r="K2284" s="269"/>
      <c r="L2284" s="269"/>
      <c r="M2284" s="269"/>
      <c r="N2284" s="269"/>
      <c r="O2284" s="269"/>
      <c r="P2284" s="269"/>
      <c r="Q2284" s="269"/>
      <c r="R2284" s="269"/>
      <c r="S2284" s="269"/>
      <c r="T2284" s="269"/>
      <c r="U2284" s="269"/>
      <c r="V2284" s="269"/>
      <c r="W2284" s="269"/>
      <c r="X2284" s="269"/>
      <c r="Y2284" s="269"/>
      <c r="Z2284" s="269"/>
      <c r="AA2284" s="269"/>
      <c r="AB2284" s="269"/>
      <c r="AC2284" s="269"/>
      <c r="AD2284" s="269"/>
      <c r="AE2284" s="269"/>
      <c r="AF2284" s="269"/>
      <c r="AG2284" s="269"/>
      <c r="AH2284" s="269"/>
      <c r="AI2284" s="269"/>
      <c r="AJ2284" s="269"/>
      <c r="AK2284" s="269"/>
      <c r="AL2284" s="269"/>
      <c r="AM2284" s="269"/>
      <c r="AN2284" s="269"/>
      <c r="AO2284" s="269"/>
      <c r="AP2284" s="269"/>
      <c r="AQ2284" s="269"/>
      <c r="AR2284" s="269"/>
    </row>
    <row r="2285">
      <c r="A2285" s="410"/>
      <c r="B2285" s="410"/>
      <c r="C2285" s="410"/>
      <c r="D2285" s="410"/>
      <c r="E2285" s="410"/>
      <c r="F2285" s="410"/>
      <c r="H2285" s="269"/>
      <c r="I2285" s="269"/>
      <c r="J2285" s="269"/>
      <c r="K2285" s="269"/>
      <c r="L2285" s="269"/>
      <c r="M2285" s="269"/>
      <c r="N2285" s="269"/>
      <c r="O2285" s="269"/>
      <c r="P2285" s="269"/>
      <c r="Q2285" s="269"/>
      <c r="R2285" s="269"/>
      <c r="S2285" s="269"/>
      <c r="T2285" s="269"/>
      <c r="U2285" s="269"/>
      <c r="V2285" s="269"/>
      <c r="W2285" s="269"/>
      <c r="X2285" s="269"/>
      <c r="Y2285" s="269"/>
      <c r="Z2285" s="269"/>
      <c r="AA2285" s="269"/>
      <c r="AB2285" s="269"/>
      <c r="AC2285" s="269"/>
      <c r="AD2285" s="269"/>
      <c r="AE2285" s="269"/>
      <c r="AF2285" s="269"/>
      <c r="AG2285" s="269"/>
      <c r="AH2285" s="269"/>
      <c r="AI2285" s="269"/>
      <c r="AJ2285" s="269"/>
      <c r="AK2285" s="269"/>
      <c r="AL2285" s="269"/>
      <c r="AM2285" s="269"/>
      <c r="AN2285" s="269"/>
      <c r="AO2285" s="269"/>
      <c r="AP2285" s="269"/>
      <c r="AQ2285" s="269"/>
      <c r="AR2285" s="269"/>
    </row>
    <row r="2286">
      <c r="A2286" s="410"/>
      <c r="B2286" s="410"/>
      <c r="C2286" s="410"/>
      <c r="D2286" s="410"/>
      <c r="E2286" s="410"/>
      <c r="F2286" s="410"/>
      <c r="H2286" s="269"/>
      <c r="I2286" s="269"/>
      <c r="J2286" s="269"/>
      <c r="K2286" s="269"/>
      <c r="L2286" s="269"/>
      <c r="M2286" s="269"/>
      <c r="N2286" s="269"/>
      <c r="O2286" s="269"/>
      <c r="P2286" s="269"/>
      <c r="Q2286" s="269"/>
      <c r="R2286" s="269"/>
      <c r="S2286" s="269"/>
      <c r="T2286" s="269"/>
      <c r="U2286" s="269"/>
      <c r="V2286" s="269"/>
      <c r="W2286" s="269"/>
      <c r="X2286" s="269"/>
      <c r="Y2286" s="269"/>
      <c r="Z2286" s="269"/>
      <c r="AA2286" s="269"/>
      <c r="AB2286" s="269"/>
      <c r="AC2286" s="269"/>
      <c r="AD2286" s="269"/>
      <c r="AE2286" s="269"/>
      <c r="AF2286" s="269"/>
      <c r="AG2286" s="269"/>
      <c r="AH2286" s="269"/>
      <c r="AI2286" s="269"/>
      <c r="AJ2286" s="269"/>
      <c r="AK2286" s="269"/>
      <c r="AL2286" s="269"/>
      <c r="AM2286" s="269"/>
      <c r="AN2286" s="269"/>
      <c r="AO2286" s="269"/>
      <c r="AP2286" s="269"/>
      <c r="AQ2286" s="269"/>
      <c r="AR2286" s="269"/>
    </row>
    <row r="2287">
      <c r="A2287" s="410"/>
      <c r="B2287" s="410"/>
      <c r="C2287" s="410"/>
      <c r="D2287" s="410"/>
      <c r="E2287" s="410"/>
      <c r="F2287" s="410"/>
      <c r="H2287" s="269"/>
      <c r="I2287" s="269"/>
      <c r="J2287" s="269"/>
      <c r="K2287" s="269"/>
      <c r="L2287" s="269"/>
      <c r="M2287" s="269"/>
      <c r="N2287" s="269"/>
      <c r="O2287" s="269"/>
      <c r="P2287" s="269"/>
      <c r="Q2287" s="269"/>
      <c r="R2287" s="269"/>
      <c r="S2287" s="269"/>
      <c r="T2287" s="269"/>
      <c r="U2287" s="269"/>
      <c r="V2287" s="269"/>
      <c r="W2287" s="269"/>
      <c r="X2287" s="269"/>
      <c r="Y2287" s="269"/>
      <c r="Z2287" s="269"/>
      <c r="AA2287" s="269"/>
      <c r="AB2287" s="269"/>
      <c r="AC2287" s="269"/>
      <c r="AD2287" s="269"/>
      <c r="AE2287" s="269"/>
      <c r="AF2287" s="269"/>
      <c r="AG2287" s="269"/>
      <c r="AH2287" s="269"/>
      <c r="AI2287" s="269"/>
      <c r="AJ2287" s="269"/>
      <c r="AK2287" s="269"/>
      <c r="AL2287" s="269"/>
      <c r="AM2287" s="269"/>
      <c r="AN2287" s="269"/>
      <c r="AO2287" s="269"/>
      <c r="AP2287" s="269"/>
      <c r="AQ2287" s="269"/>
      <c r="AR2287" s="269"/>
    </row>
    <row r="2288">
      <c r="A2288" s="410"/>
      <c r="B2288" s="410"/>
      <c r="C2288" s="410"/>
      <c r="D2288" s="410"/>
      <c r="E2288" s="410"/>
      <c r="F2288" s="410"/>
      <c r="H2288" s="269"/>
      <c r="I2288" s="269"/>
      <c r="J2288" s="269"/>
      <c r="K2288" s="269"/>
      <c r="L2288" s="269"/>
      <c r="M2288" s="269"/>
      <c r="N2288" s="269"/>
      <c r="O2288" s="269"/>
      <c r="P2288" s="269"/>
      <c r="Q2288" s="269"/>
      <c r="R2288" s="269"/>
      <c r="S2288" s="269"/>
      <c r="T2288" s="269"/>
      <c r="U2288" s="269"/>
      <c r="V2288" s="269"/>
      <c r="W2288" s="269"/>
      <c r="X2288" s="269"/>
      <c r="Y2288" s="269"/>
      <c r="Z2288" s="269"/>
      <c r="AA2288" s="269"/>
      <c r="AB2288" s="269"/>
      <c r="AC2288" s="269"/>
      <c r="AD2288" s="269"/>
      <c r="AE2288" s="269"/>
      <c r="AF2288" s="269"/>
      <c r="AG2288" s="269"/>
      <c r="AH2288" s="269"/>
      <c r="AI2288" s="269"/>
      <c r="AJ2288" s="269"/>
      <c r="AK2288" s="269"/>
      <c r="AL2288" s="269"/>
      <c r="AM2288" s="269"/>
      <c r="AN2288" s="269"/>
      <c r="AO2288" s="269"/>
      <c r="AP2288" s="269"/>
      <c r="AQ2288" s="269"/>
      <c r="AR2288" s="269"/>
    </row>
    <row r="2289">
      <c r="A2289" s="410"/>
      <c r="B2289" s="410"/>
      <c r="C2289" s="410"/>
      <c r="D2289" s="410"/>
      <c r="E2289" s="410"/>
      <c r="F2289" s="410"/>
      <c r="H2289" s="269"/>
      <c r="I2289" s="269"/>
      <c r="J2289" s="269"/>
      <c r="K2289" s="269"/>
      <c r="L2289" s="269"/>
      <c r="M2289" s="269"/>
      <c r="N2289" s="269"/>
      <c r="O2289" s="269"/>
      <c r="P2289" s="269"/>
      <c r="Q2289" s="269"/>
      <c r="R2289" s="269"/>
      <c r="S2289" s="269"/>
      <c r="T2289" s="269"/>
      <c r="U2289" s="269"/>
      <c r="V2289" s="269"/>
      <c r="W2289" s="269"/>
      <c r="X2289" s="269"/>
      <c r="Y2289" s="269"/>
      <c r="Z2289" s="269"/>
      <c r="AA2289" s="269"/>
      <c r="AB2289" s="269"/>
      <c r="AC2289" s="269"/>
      <c r="AD2289" s="269"/>
      <c r="AE2289" s="269"/>
      <c r="AF2289" s="269"/>
      <c r="AG2289" s="269"/>
      <c r="AH2289" s="269"/>
      <c r="AI2289" s="269"/>
      <c r="AJ2289" s="269"/>
      <c r="AK2289" s="269"/>
      <c r="AL2289" s="269"/>
      <c r="AM2289" s="269"/>
      <c r="AN2289" s="269"/>
      <c r="AO2289" s="269"/>
      <c r="AP2289" s="269"/>
      <c r="AQ2289" s="269"/>
      <c r="AR2289" s="269"/>
    </row>
    <row r="2290">
      <c r="A2290" s="410"/>
      <c r="B2290" s="410"/>
      <c r="C2290" s="410"/>
      <c r="D2290" s="410"/>
      <c r="E2290" s="410"/>
      <c r="F2290" s="410"/>
      <c r="H2290" s="269"/>
      <c r="I2290" s="269"/>
      <c r="J2290" s="269"/>
      <c r="K2290" s="269"/>
      <c r="L2290" s="269"/>
      <c r="M2290" s="269"/>
      <c r="N2290" s="269"/>
      <c r="O2290" s="269"/>
      <c r="P2290" s="269"/>
      <c r="Q2290" s="269"/>
      <c r="R2290" s="269"/>
      <c r="S2290" s="269"/>
      <c r="T2290" s="269"/>
      <c r="U2290" s="269"/>
      <c r="V2290" s="269"/>
      <c r="W2290" s="269"/>
      <c r="X2290" s="269"/>
      <c r="Y2290" s="269"/>
      <c r="Z2290" s="269"/>
      <c r="AA2290" s="269"/>
      <c r="AB2290" s="269"/>
      <c r="AC2290" s="269"/>
      <c r="AD2290" s="269"/>
      <c r="AE2290" s="269"/>
      <c r="AF2290" s="269"/>
      <c r="AG2290" s="269"/>
      <c r="AH2290" s="269"/>
      <c r="AI2290" s="269"/>
      <c r="AJ2290" s="269"/>
      <c r="AK2290" s="269"/>
      <c r="AL2290" s="269"/>
      <c r="AM2290" s="269"/>
      <c r="AN2290" s="269"/>
      <c r="AO2290" s="269"/>
      <c r="AP2290" s="269"/>
      <c r="AQ2290" s="269"/>
      <c r="AR2290" s="269"/>
    </row>
    <row r="2291">
      <c r="A2291" s="410"/>
      <c r="B2291" s="410"/>
      <c r="C2291" s="410"/>
      <c r="D2291" s="410"/>
      <c r="E2291" s="410"/>
      <c r="F2291" s="410"/>
      <c r="H2291" s="269"/>
      <c r="I2291" s="269"/>
      <c r="J2291" s="269"/>
      <c r="K2291" s="269"/>
      <c r="L2291" s="269"/>
      <c r="M2291" s="269"/>
      <c r="N2291" s="269"/>
      <c r="O2291" s="269"/>
      <c r="P2291" s="269"/>
      <c r="Q2291" s="269"/>
      <c r="R2291" s="269"/>
      <c r="S2291" s="269"/>
      <c r="T2291" s="269"/>
      <c r="U2291" s="269"/>
      <c r="V2291" s="269"/>
      <c r="W2291" s="269"/>
      <c r="X2291" s="269"/>
      <c r="Y2291" s="269"/>
      <c r="Z2291" s="269"/>
      <c r="AA2291" s="269"/>
      <c r="AB2291" s="269"/>
      <c r="AC2291" s="269"/>
      <c r="AD2291" s="269"/>
      <c r="AE2291" s="269"/>
      <c r="AF2291" s="269"/>
      <c r="AG2291" s="269"/>
      <c r="AH2291" s="269"/>
      <c r="AI2291" s="269"/>
      <c r="AJ2291" s="269"/>
      <c r="AK2291" s="269"/>
      <c r="AL2291" s="269"/>
      <c r="AM2291" s="269"/>
      <c r="AN2291" s="269"/>
      <c r="AO2291" s="269"/>
      <c r="AP2291" s="269"/>
      <c r="AQ2291" s="269"/>
      <c r="AR2291" s="269"/>
    </row>
    <row r="2292">
      <c r="A2292" s="410"/>
      <c r="B2292" s="410"/>
      <c r="C2292" s="410"/>
      <c r="D2292" s="410"/>
      <c r="E2292" s="410"/>
      <c r="F2292" s="410"/>
      <c r="H2292" s="269"/>
      <c r="I2292" s="269"/>
      <c r="J2292" s="269"/>
      <c r="K2292" s="269"/>
      <c r="L2292" s="269"/>
      <c r="M2292" s="269"/>
      <c r="N2292" s="269"/>
      <c r="O2292" s="269"/>
      <c r="P2292" s="269"/>
      <c r="Q2292" s="269"/>
      <c r="R2292" s="269"/>
      <c r="S2292" s="269"/>
      <c r="T2292" s="269"/>
      <c r="U2292" s="269"/>
      <c r="V2292" s="269"/>
      <c r="W2292" s="269"/>
      <c r="X2292" s="269"/>
      <c r="Y2292" s="269"/>
      <c r="Z2292" s="269"/>
      <c r="AA2292" s="269"/>
      <c r="AB2292" s="269"/>
      <c r="AC2292" s="269"/>
      <c r="AD2292" s="269"/>
      <c r="AE2292" s="269"/>
      <c r="AF2292" s="269"/>
      <c r="AG2292" s="269"/>
      <c r="AH2292" s="269"/>
      <c r="AI2292" s="269"/>
      <c r="AJ2292" s="269"/>
      <c r="AK2292" s="269"/>
      <c r="AL2292" s="269"/>
      <c r="AM2292" s="269"/>
      <c r="AN2292" s="269"/>
      <c r="AO2292" s="269"/>
      <c r="AP2292" s="269"/>
      <c r="AQ2292" s="269"/>
      <c r="AR2292" s="269"/>
    </row>
    <row r="2293">
      <c r="A2293" s="410"/>
      <c r="B2293" s="410"/>
      <c r="C2293" s="410"/>
      <c r="D2293" s="410"/>
      <c r="E2293" s="410"/>
      <c r="F2293" s="410"/>
      <c r="H2293" s="269"/>
      <c r="I2293" s="269"/>
      <c r="J2293" s="269"/>
      <c r="K2293" s="269"/>
      <c r="L2293" s="269"/>
      <c r="M2293" s="269"/>
      <c r="N2293" s="269"/>
      <c r="O2293" s="269"/>
      <c r="P2293" s="269"/>
      <c r="Q2293" s="269"/>
      <c r="R2293" s="269"/>
      <c r="S2293" s="269"/>
      <c r="T2293" s="269"/>
      <c r="U2293" s="269"/>
      <c r="V2293" s="269"/>
      <c r="W2293" s="269"/>
      <c r="X2293" s="269"/>
      <c r="Y2293" s="269"/>
      <c r="Z2293" s="269"/>
      <c r="AA2293" s="269"/>
      <c r="AB2293" s="269"/>
      <c r="AC2293" s="269"/>
      <c r="AD2293" s="269"/>
      <c r="AE2293" s="269"/>
      <c r="AF2293" s="269"/>
      <c r="AG2293" s="269"/>
      <c r="AH2293" s="269"/>
      <c r="AI2293" s="269"/>
      <c r="AJ2293" s="269"/>
      <c r="AK2293" s="269"/>
      <c r="AL2293" s="269"/>
      <c r="AM2293" s="269"/>
      <c r="AN2293" s="269"/>
      <c r="AO2293" s="269"/>
      <c r="AP2293" s="269"/>
      <c r="AQ2293" s="269"/>
      <c r="AR2293" s="269"/>
    </row>
    <row r="2294">
      <c r="A2294" s="410"/>
      <c r="B2294" s="410"/>
      <c r="C2294" s="410"/>
      <c r="D2294" s="410"/>
      <c r="E2294" s="410"/>
      <c r="F2294" s="410"/>
      <c r="H2294" s="269"/>
      <c r="I2294" s="269"/>
      <c r="J2294" s="269"/>
      <c r="K2294" s="269"/>
      <c r="L2294" s="269"/>
      <c r="M2294" s="269"/>
      <c r="N2294" s="269"/>
      <c r="O2294" s="269"/>
      <c r="P2294" s="269"/>
      <c r="Q2294" s="269"/>
      <c r="R2294" s="269"/>
      <c r="S2294" s="269"/>
      <c r="T2294" s="269"/>
      <c r="U2294" s="269"/>
      <c r="V2294" s="269"/>
      <c r="W2294" s="269"/>
      <c r="X2294" s="269"/>
      <c r="Y2294" s="269"/>
      <c r="Z2294" s="269"/>
      <c r="AA2294" s="269"/>
      <c r="AB2294" s="269"/>
      <c r="AC2294" s="269"/>
      <c r="AD2294" s="269"/>
      <c r="AE2294" s="269"/>
      <c r="AF2294" s="269"/>
      <c r="AG2294" s="269"/>
      <c r="AH2294" s="269"/>
      <c r="AI2294" s="269"/>
      <c r="AJ2294" s="269"/>
      <c r="AK2294" s="269"/>
      <c r="AL2294" s="269"/>
      <c r="AM2294" s="269"/>
      <c r="AN2294" s="269"/>
      <c r="AO2294" s="269"/>
      <c r="AP2294" s="269"/>
      <c r="AQ2294" s="269"/>
      <c r="AR2294" s="269"/>
    </row>
    <row r="2295">
      <c r="A2295" s="410"/>
      <c r="B2295" s="410"/>
      <c r="C2295" s="410"/>
      <c r="D2295" s="410"/>
      <c r="E2295" s="410"/>
      <c r="F2295" s="410"/>
      <c r="H2295" s="269"/>
      <c r="I2295" s="269"/>
      <c r="J2295" s="269"/>
      <c r="K2295" s="269"/>
      <c r="L2295" s="269"/>
      <c r="M2295" s="269"/>
      <c r="N2295" s="269"/>
      <c r="O2295" s="269"/>
      <c r="P2295" s="269"/>
      <c r="Q2295" s="269"/>
      <c r="R2295" s="269"/>
      <c r="S2295" s="269"/>
      <c r="T2295" s="269"/>
      <c r="U2295" s="269"/>
      <c r="V2295" s="269"/>
      <c r="W2295" s="269"/>
      <c r="X2295" s="269"/>
      <c r="Y2295" s="269"/>
      <c r="Z2295" s="269"/>
      <c r="AA2295" s="269"/>
      <c r="AB2295" s="269"/>
      <c r="AC2295" s="269"/>
      <c r="AD2295" s="269"/>
      <c r="AE2295" s="269"/>
      <c r="AF2295" s="269"/>
      <c r="AG2295" s="269"/>
      <c r="AH2295" s="269"/>
      <c r="AI2295" s="269"/>
      <c r="AJ2295" s="269"/>
      <c r="AK2295" s="269"/>
      <c r="AL2295" s="269"/>
      <c r="AM2295" s="269"/>
      <c r="AN2295" s="269"/>
      <c r="AO2295" s="269"/>
      <c r="AP2295" s="269"/>
      <c r="AQ2295" s="269"/>
      <c r="AR2295" s="269"/>
    </row>
    <row r="2296">
      <c r="A2296" s="410"/>
      <c r="B2296" s="410"/>
      <c r="C2296" s="410"/>
      <c r="D2296" s="410"/>
      <c r="E2296" s="410"/>
      <c r="F2296" s="410"/>
      <c r="H2296" s="269"/>
      <c r="I2296" s="269"/>
      <c r="J2296" s="269"/>
      <c r="K2296" s="269"/>
      <c r="L2296" s="269"/>
      <c r="M2296" s="269"/>
      <c r="N2296" s="269"/>
      <c r="O2296" s="269"/>
      <c r="P2296" s="269"/>
      <c r="Q2296" s="269"/>
      <c r="R2296" s="269"/>
      <c r="S2296" s="269"/>
      <c r="T2296" s="269"/>
      <c r="U2296" s="269"/>
      <c r="V2296" s="269"/>
      <c r="W2296" s="269"/>
      <c r="X2296" s="269"/>
      <c r="Y2296" s="269"/>
      <c r="Z2296" s="269"/>
      <c r="AA2296" s="269"/>
      <c r="AB2296" s="269"/>
      <c r="AC2296" s="269"/>
      <c r="AD2296" s="269"/>
      <c r="AE2296" s="269"/>
      <c r="AF2296" s="269"/>
      <c r="AG2296" s="269"/>
      <c r="AH2296" s="269"/>
      <c r="AI2296" s="269"/>
      <c r="AJ2296" s="269"/>
      <c r="AK2296" s="269"/>
      <c r="AL2296" s="269"/>
      <c r="AM2296" s="269"/>
      <c r="AN2296" s="269"/>
      <c r="AO2296" s="269"/>
      <c r="AP2296" s="269"/>
      <c r="AQ2296" s="269"/>
      <c r="AR2296" s="269"/>
    </row>
    <row r="2297">
      <c r="A2297" s="410"/>
      <c r="B2297" s="410"/>
      <c r="C2297" s="410"/>
      <c r="D2297" s="410"/>
      <c r="E2297" s="410"/>
      <c r="F2297" s="410"/>
      <c r="H2297" s="269"/>
      <c r="I2297" s="269"/>
      <c r="J2297" s="269"/>
      <c r="K2297" s="269"/>
      <c r="L2297" s="269"/>
      <c r="M2297" s="269"/>
      <c r="N2297" s="269"/>
      <c r="O2297" s="269"/>
      <c r="P2297" s="269"/>
      <c r="Q2297" s="269"/>
      <c r="R2297" s="269"/>
      <c r="S2297" s="269"/>
      <c r="T2297" s="269"/>
      <c r="U2297" s="269"/>
      <c r="V2297" s="269"/>
      <c r="W2297" s="269"/>
      <c r="X2297" s="269"/>
      <c r="Y2297" s="269"/>
      <c r="Z2297" s="269"/>
      <c r="AA2297" s="269"/>
      <c r="AB2297" s="269"/>
      <c r="AC2297" s="269"/>
      <c r="AD2297" s="269"/>
      <c r="AE2297" s="269"/>
      <c r="AF2297" s="269"/>
      <c r="AG2297" s="269"/>
      <c r="AH2297" s="269"/>
      <c r="AI2297" s="269"/>
      <c r="AJ2297" s="269"/>
      <c r="AK2297" s="269"/>
      <c r="AL2297" s="269"/>
      <c r="AM2297" s="269"/>
      <c r="AN2297" s="269"/>
      <c r="AO2297" s="269"/>
      <c r="AP2297" s="269"/>
      <c r="AQ2297" s="269"/>
      <c r="AR2297" s="269"/>
    </row>
    <row r="2298">
      <c r="A2298" s="410"/>
      <c r="B2298" s="410"/>
      <c r="C2298" s="410"/>
      <c r="D2298" s="410"/>
      <c r="E2298" s="410"/>
      <c r="F2298" s="410"/>
      <c r="H2298" s="269"/>
      <c r="I2298" s="269"/>
      <c r="J2298" s="269"/>
      <c r="K2298" s="269"/>
      <c r="L2298" s="269"/>
      <c r="M2298" s="269"/>
      <c r="N2298" s="269"/>
      <c r="O2298" s="269"/>
      <c r="P2298" s="269"/>
      <c r="Q2298" s="269"/>
      <c r="R2298" s="269"/>
      <c r="S2298" s="269"/>
      <c r="T2298" s="269"/>
      <c r="U2298" s="269"/>
      <c r="V2298" s="269"/>
      <c r="W2298" s="269"/>
      <c r="X2298" s="269"/>
      <c r="Y2298" s="269"/>
      <c r="Z2298" s="269"/>
      <c r="AA2298" s="269"/>
      <c r="AB2298" s="269"/>
      <c r="AC2298" s="269"/>
      <c r="AD2298" s="269"/>
      <c r="AE2298" s="269"/>
      <c r="AF2298" s="269"/>
      <c r="AG2298" s="269"/>
      <c r="AH2298" s="269"/>
      <c r="AI2298" s="269"/>
      <c r="AJ2298" s="269"/>
      <c r="AK2298" s="269"/>
      <c r="AL2298" s="269"/>
      <c r="AM2298" s="269"/>
      <c r="AN2298" s="269"/>
      <c r="AO2298" s="269"/>
      <c r="AP2298" s="269"/>
      <c r="AQ2298" s="269"/>
      <c r="AR2298" s="269"/>
    </row>
    <row r="2299">
      <c r="A2299" s="410"/>
      <c r="B2299" s="410"/>
      <c r="C2299" s="410"/>
      <c r="D2299" s="410"/>
      <c r="E2299" s="410"/>
      <c r="F2299" s="410"/>
      <c r="H2299" s="269"/>
      <c r="I2299" s="269"/>
      <c r="J2299" s="269"/>
      <c r="K2299" s="269"/>
      <c r="L2299" s="269"/>
      <c r="M2299" s="269"/>
      <c r="N2299" s="269"/>
      <c r="O2299" s="269"/>
      <c r="P2299" s="269"/>
      <c r="Q2299" s="269"/>
      <c r="R2299" s="269"/>
      <c r="S2299" s="269"/>
      <c r="T2299" s="269"/>
      <c r="U2299" s="269"/>
      <c r="V2299" s="269"/>
      <c r="W2299" s="269"/>
      <c r="X2299" s="269"/>
      <c r="Y2299" s="269"/>
      <c r="Z2299" s="269"/>
      <c r="AA2299" s="269"/>
      <c r="AB2299" s="269"/>
      <c r="AC2299" s="269"/>
      <c r="AD2299" s="269"/>
      <c r="AE2299" s="269"/>
      <c r="AF2299" s="269"/>
      <c r="AG2299" s="269"/>
      <c r="AH2299" s="269"/>
      <c r="AI2299" s="269"/>
      <c r="AJ2299" s="269"/>
      <c r="AK2299" s="269"/>
      <c r="AL2299" s="269"/>
      <c r="AM2299" s="269"/>
      <c r="AN2299" s="269"/>
      <c r="AO2299" s="269"/>
      <c r="AP2299" s="269"/>
      <c r="AQ2299" s="269"/>
      <c r="AR2299" s="269"/>
    </row>
    <row r="2300">
      <c r="A2300" s="410"/>
      <c r="B2300" s="410"/>
      <c r="C2300" s="410"/>
      <c r="D2300" s="410"/>
      <c r="E2300" s="410"/>
      <c r="F2300" s="410"/>
      <c r="H2300" s="269"/>
      <c r="I2300" s="269"/>
      <c r="J2300" s="269"/>
      <c r="K2300" s="269"/>
      <c r="L2300" s="269"/>
      <c r="M2300" s="269"/>
      <c r="N2300" s="269"/>
      <c r="O2300" s="269"/>
      <c r="P2300" s="269"/>
      <c r="Q2300" s="269"/>
      <c r="R2300" s="269"/>
      <c r="S2300" s="269"/>
      <c r="T2300" s="269"/>
      <c r="U2300" s="269"/>
      <c r="V2300" s="269"/>
      <c r="W2300" s="269"/>
      <c r="X2300" s="269"/>
      <c r="Y2300" s="269"/>
      <c r="Z2300" s="269"/>
      <c r="AA2300" s="269"/>
      <c r="AB2300" s="269"/>
      <c r="AC2300" s="269"/>
      <c r="AD2300" s="269"/>
      <c r="AE2300" s="269"/>
      <c r="AF2300" s="269"/>
      <c r="AG2300" s="269"/>
      <c r="AH2300" s="269"/>
      <c r="AI2300" s="269"/>
      <c r="AJ2300" s="269"/>
      <c r="AK2300" s="269"/>
      <c r="AL2300" s="269"/>
      <c r="AM2300" s="269"/>
      <c r="AN2300" s="269"/>
      <c r="AO2300" s="269"/>
      <c r="AP2300" s="269"/>
      <c r="AQ2300" s="269"/>
      <c r="AR2300" s="269"/>
    </row>
    <row r="2301">
      <c r="A2301" s="410"/>
      <c r="B2301" s="410"/>
      <c r="C2301" s="410"/>
      <c r="D2301" s="410"/>
      <c r="E2301" s="410"/>
      <c r="F2301" s="410"/>
      <c r="H2301" s="269"/>
      <c r="I2301" s="269"/>
      <c r="J2301" s="269"/>
      <c r="K2301" s="269"/>
      <c r="L2301" s="269"/>
      <c r="M2301" s="269"/>
      <c r="N2301" s="269"/>
      <c r="O2301" s="269"/>
      <c r="P2301" s="269"/>
      <c r="Q2301" s="269"/>
      <c r="R2301" s="269"/>
      <c r="S2301" s="269"/>
      <c r="T2301" s="269"/>
      <c r="U2301" s="269"/>
      <c r="V2301" s="269"/>
      <c r="W2301" s="269"/>
      <c r="X2301" s="269"/>
      <c r="Y2301" s="269"/>
      <c r="Z2301" s="269"/>
      <c r="AA2301" s="269"/>
      <c r="AB2301" s="269"/>
      <c r="AC2301" s="269"/>
      <c r="AD2301" s="269"/>
      <c r="AE2301" s="269"/>
      <c r="AF2301" s="269"/>
      <c r="AG2301" s="269"/>
      <c r="AH2301" s="269"/>
      <c r="AI2301" s="269"/>
      <c r="AJ2301" s="269"/>
      <c r="AK2301" s="269"/>
      <c r="AL2301" s="269"/>
      <c r="AM2301" s="269"/>
      <c r="AN2301" s="269"/>
      <c r="AO2301" s="269"/>
      <c r="AP2301" s="269"/>
      <c r="AQ2301" s="269"/>
      <c r="AR2301" s="269"/>
    </row>
    <row r="2302">
      <c r="A2302" s="410"/>
      <c r="B2302" s="410"/>
      <c r="C2302" s="410"/>
      <c r="D2302" s="410"/>
      <c r="E2302" s="410"/>
      <c r="F2302" s="410"/>
      <c r="H2302" s="269"/>
      <c r="I2302" s="269"/>
      <c r="J2302" s="269"/>
      <c r="K2302" s="269"/>
      <c r="L2302" s="269"/>
      <c r="M2302" s="269"/>
      <c r="N2302" s="269"/>
      <c r="O2302" s="269"/>
      <c r="P2302" s="269"/>
      <c r="Q2302" s="269"/>
      <c r="R2302" s="269"/>
      <c r="S2302" s="269"/>
      <c r="T2302" s="269"/>
      <c r="U2302" s="269"/>
      <c r="V2302" s="269"/>
      <c r="W2302" s="269"/>
      <c r="X2302" s="269"/>
      <c r="Y2302" s="269"/>
      <c r="Z2302" s="269"/>
      <c r="AA2302" s="269"/>
      <c r="AB2302" s="269"/>
      <c r="AC2302" s="269"/>
      <c r="AD2302" s="269"/>
      <c r="AE2302" s="269"/>
      <c r="AF2302" s="269"/>
      <c r="AG2302" s="269"/>
      <c r="AH2302" s="269"/>
      <c r="AI2302" s="269"/>
      <c r="AJ2302" s="269"/>
      <c r="AK2302" s="269"/>
      <c r="AL2302" s="269"/>
      <c r="AM2302" s="269"/>
      <c r="AN2302" s="269"/>
      <c r="AO2302" s="269"/>
      <c r="AP2302" s="269"/>
      <c r="AQ2302" s="269"/>
      <c r="AR2302" s="269"/>
    </row>
    <row r="2303">
      <c r="A2303" s="410"/>
      <c r="B2303" s="410"/>
      <c r="C2303" s="410"/>
      <c r="D2303" s="410"/>
      <c r="E2303" s="410"/>
      <c r="F2303" s="410"/>
      <c r="H2303" s="269"/>
      <c r="I2303" s="269"/>
      <c r="J2303" s="269"/>
      <c r="K2303" s="269"/>
      <c r="L2303" s="269"/>
      <c r="M2303" s="269"/>
      <c r="N2303" s="269"/>
      <c r="O2303" s="269"/>
      <c r="P2303" s="269"/>
      <c r="Q2303" s="269"/>
      <c r="R2303" s="269"/>
      <c r="S2303" s="269"/>
      <c r="T2303" s="269"/>
      <c r="U2303" s="269"/>
      <c r="V2303" s="269"/>
      <c r="W2303" s="269"/>
      <c r="X2303" s="269"/>
      <c r="Y2303" s="269"/>
      <c r="Z2303" s="269"/>
      <c r="AA2303" s="269"/>
      <c r="AB2303" s="269"/>
      <c r="AC2303" s="269"/>
      <c r="AD2303" s="269"/>
      <c r="AE2303" s="269"/>
      <c r="AF2303" s="269"/>
      <c r="AG2303" s="269"/>
      <c r="AH2303" s="269"/>
      <c r="AI2303" s="269"/>
      <c r="AJ2303" s="269"/>
      <c r="AK2303" s="269"/>
      <c r="AL2303" s="269"/>
      <c r="AM2303" s="269"/>
      <c r="AN2303" s="269"/>
      <c r="AO2303" s="269"/>
      <c r="AP2303" s="269"/>
      <c r="AQ2303" s="269"/>
      <c r="AR2303" s="269"/>
    </row>
    <row r="2304">
      <c r="A2304" s="410"/>
      <c r="B2304" s="410"/>
      <c r="C2304" s="410"/>
      <c r="D2304" s="410"/>
      <c r="E2304" s="410"/>
      <c r="F2304" s="410"/>
      <c r="H2304" s="269"/>
      <c r="I2304" s="269"/>
      <c r="J2304" s="269"/>
      <c r="K2304" s="269"/>
      <c r="L2304" s="269"/>
      <c r="M2304" s="269"/>
      <c r="N2304" s="269"/>
      <c r="O2304" s="269"/>
      <c r="P2304" s="269"/>
      <c r="Q2304" s="269"/>
      <c r="R2304" s="269"/>
      <c r="S2304" s="269"/>
      <c r="T2304" s="269"/>
      <c r="U2304" s="269"/>
      <c r="V2304" s="269"/>
      <c r="W2304" s="269"/>
      <c r="X2304" s="269"/>
      <c r="Y2304" s="269"/>
      <c r="Z2304" s="269"/>
      <c r="AA2304" s="269"/>
      <c r="AB2304" s="269"/>
      <c r="AC2304" s="269"/>
      <c r="AD2304" s="269"/>
      <c r="AE2304" s="269"/>
      <c r="AF2304" s="269"/>
      <c r="AG2304" s="269"/>
      <c r="AH2304" s="269"/>
      <c r="AI2304" s="269"/>
      <c r="AJ2304" s="269"/>
      <c r="AK2304" s="269"/>
      <c r="AL2304" s="269"/>
      <c r="AM2304" s="269"/>
      <c r="AN2304" s="269"/>
      <c r="AO2304" s="269"/>
      <c r="AP2304" s="269"/>
      <c r="AQ2304" s="269"/>
      <c r="AR2304" s="269"/>
    </row>
    <row r="2305">
      <c r="A2305" s="410"/>
      <c r="B2305" s="410"/>
      <c r="C2305" s="410"/>
      <c r="D2305" s="410"/>
      <c r="E2305" s="410"/>
      <c r="F2305" s="410"/>
      <c r="H2305" s="269"/>
      <c r="I2305" s="269"/>
      <c r="J2305" s="269"/>
      <c r="K2305" s="269"/>
      <c r="L2305" s="269"/>
      <c r="M2305" s="269"/>
      <c r="N2305" s="269"/>
      <c r="O2305" s="269"/>
      <c r="P2305" s="269"/>
      <c r="Q2305" s="269"/>
      <c r="R2305" s="269"/>
      <c r="S2305" s="269"/>
      <c r="T2305" s="269"/>
      <c r="U2305" s="269"/>
      <c r="V2305" s="269"/>
      <c r="W2305" s="269"/>
      <c r="X2305" s="269"/>
      <c r="Y2305" s="269"/>
      <c r="Z2305" s="269"/>
      <c r="AA2305" s="269"/>
      <c r="AB2305" s="269"/>
      <c r="AC2305" s="269"/>
      <c r="AD2305" s="269"/>
      <c r="AE2305" s="269"/>
      <c r="AF2305" s="269"/>
      <c r="AG2305" s="269"/>
      <c r="AH2305" s="269"/>
      <c r="AI2305" s="269"/>
      <c r="AJ2305" s="269"/>
      <c r="AK2305" s="269"/>
      <c r="AL2305" s="269"/>
      <c r="AM2305" s="269"/>
      <c r="AN2305" s="269"/>
      <c r="AO2305" s="269"/>
      <c r="AP2305" s="269"/>
      <c r="AQ2305" s="269"/>
      <c r="AR2305" s="269"/>
    </row>
    <row r="2306">
      <c r="A2306" s="410"/>
      <c r="B2306" s="410"/>
      <c r="C2306" s="410"/>
      <c r="D2306" s="410"/>
      <c r="E2306" s="410"/>
      <c r="F2306" s="410"/>
      <c r="H2306" s="269"/>
      <c r="I2306" s="269"/>
      <c r="J2306" s="269"/>
      <c r="K2306" s="269"/>
      <c r="L2306" s="269"/>
      <c r="M2306" s="269"/>
      <c r="N2306" s="269"/>
      <c r="O2306" s="269"/>
      <c r="P2306" s="269"/>
      <c r="Q2306" s="269"/>
      <c r="R2306" s="269"/>
      <c r="S2306" s="269"/>
      <c r="T2306" s="269"/>
      <c r="U2306" s="269"/>
      <c r="V2306" s="269"/>
      <c r="W2306" s="269"/>
      <c r="X2306" s="269"/>
      <c r="Y2306" s="269"/>
      <c r="Z2306" s="269"/>
      <c r="AA2306" s="269"/>
      <c r="AB2306" s="269"/>
      <c r="AC2306" s="269"/>
      <c r="AD2306" s="269"/>
      <c r="AE2306" s="269"/>
      <c r="AF2306" s="269"/>
      <c r="AG2306" s="269"/>
      <c r="AH2306" s="269"/>
      <c r="AI2306" s="269"/>
      <c r="AJ2306" s="269"/>
      <c r="AK2306" s="269"/>
      <c r="AL2306" s="269"/>
      <c r="AM2306" s="269"/>
      <c r="AN2306" s="269"/>
      <c r="AO2306" s="269"/>
      <c r="AP2306" s="269"/>
      <c r="AQ2306" s="269"/>
      <c r="AR2306" s="269"/>
    </row>
    <row r="2307">
      <c r="A2307" s="410"/>
      <c r="B2307" s="410"/>
      <c r="C2307" s="410"/>
      <c r="D2307" s="410"/>
      <c r="E2307" s="410"/>
      <c r="F2307" s="410"/>
      <c r="H2307" s="269"/>
      <c r="I2307" s="269"/>
      <c r="J2307" s="269"/>
      <c r="K2307" s="269"/>
      <c r="L2307" s="269"/>
      <c r="M2307" s="269"/>
      <c r="N2307" s="269"/>
      <c r="O2307" s="269"/>
      <c r="P2307" s="269"/>
      <c r="Q2307" s="269"/>
      <c r="R2307" s="269"/>
      <c r="S2307" s="269"/>
      <c r="T2307" s="269"/>
      <c r="U2307" s="269"/>
      <c r="V2307" s="269"/>
      <c r="W2307" s="269"/>
      <c r="X2307" s="269"/>
      <c r="Y2307" s="269"/>
      <c r="Z2307" s="269"/>
      <c r="AA2307" s="269"/>
      <c r="AB2307" s="269"/>
      <c r="AC2307" s="269"/>
      <c r="AD2307" s="269"/>
      <c r="AE2307" s="269"/>
      <c r="AF2307" s="269"/>
      <c r="AG2307" s="269"/>
      <c r="AH2307" s="269"/>
      <c r="AI2307" s="269"/>
      <c r="AJ2307" s="269"/>
      <c r="AK2307" s="269"/>
      <c r="AL2307" s="269"/>
      <c r="AM2307" s="269"/>
      <c r="AN2307" s="269"/>
      <c r="AO2307" s="269"/>
      <c r="AP2307" s="269"/>
      <c r="AQ2307" s="269"/>
      <c r="AR2307" s="269"/>
    </row>
    <row r="2308">
      <c r="A2308" s="410"/>
      <c r="B2308" s="410"/>
      <c r="C2308" s="410"/>
      <c r="D2308" s="410"/>
      <c r="E2308" s="410"/>
      <c r="F2308" s="410"/>
      <c r="H2308" s="269"/>
      <c r="I2308" s="269"/>
      <c r="J2308" s="269"/>
      <c r="K2308" s="269"/>
      <c r="L2308" s="269"/>
      <c r="M2308" s="269"/>
      <c r="N2308" s="269"/>
      <c r="O2308" s="269"/>
      <c r="P2308" s="269"/>
      <c r="Q2308" s="269"/>
      <c r="R2308" s="269"/>
      <c r="S2308" s="269"/>
      <c r="T2308" s="269"/>
      <c r="U2308" s="269"/>
      <c r="V2308" s="269"/>
      <c r="W2308" s="269"/>
      <c r="X2308" s="269"/>
      <c r="Y2308" s="269"/>
      <c r="Z2308" s="269"/>
      <c r="AA2308" s="269"/>
      <c r="AB2308" s="269"/>
      <c r="AC2308" s="269"/>
      <c r="AD2308" s="269"/>
      <c r="AE2308" s="269"/>
      <c r="AF2308" s="269"/>
      <c r="AG2308" s="269"/>
      <c r="AH2308" s="269"/>
      <c r="AI2308" s="269"/>
      <c r="AJ2308" s="269"/>
      <c r="AK2308" s="269"/>
      <c r="AL2308" s="269"/>
      <c r="AM2308" s="269"/>
      <c r="AN2308" s="269"/>
      <c r="AO2308" s="269"/>
      <c r="AP2308" s="269"/>
      <c r="AQ2308" s="269"/>
      <c r="AR2308" s="269"/>
    </row>
    <row r="2309">
      <c r="A2309" s="410"/>
      <c r="B2309" s="410"/>
      <c r="C2309" s="410"/>
      <c r="D2309" s="410"/>
      <c r="E2309" s="410"/>
      <c r="F2309" s="410"/>
      <c r="H2309" s="269"/>
      <c r="I2309" s="269"/>
      <c r="J2309" s="269"/>
      <c r="K2309" s="269"/>
      <c r="L2309" s="269"/>
      <c r="M2309" s="269"/>
      <c r="N2309" s="269"/>
      <c r="O2309" s="269"/>
      <c r="P2309" s="269"/>
      <c r="Q2309" s="269"/>
      <c r="R2309" s="269"/>
      <c r="S2309" s="269"/>
      <c r="T2309" s="269"/>
      <c r="U2309" s="269"/>
      <c r="V2309" s="269"/>
      <c r="W2309" s="269"/>
      <c r="X2309" s="269"/>
      <c r="Y2309" s="269"/>
      <c r="Z2309" s="269"/>
      <c r="AA2309" s="269"/>
      <c r="AB2309" s="269"/>
      <c r="AC2309" s="269"/>
      <c r="AD2309" s="269"/>
      <c r="AE2309" s="269"/>
      <c r="AF2309" s="269"/>
      <c r="AG2309" s="269"/>
      <c r="AH2309" s="269"/>
      <c r="AI2309" s="269"/>
      <c r="AJ2309" s="269"/>
      <c r="AK2309" s="269"/>
      <c r="AL2309" s="269"/>
      <c r="AM2309" s="269"/>
      <c r="AN2309" s="269"/>
      <c r="AO2309" s="269"/>
      <c r="AP2309" s="269"/>
      <c r="AQ2309" s="269"/>
      <c r="AR2309" s="269"/>
    </row>
    <row r="2310">
      <c r="A2310" s="410"/>
      <c r="B2310" s="410"/>
      <c r="C2310" s="410"/>
      <c r="D2310" s="410"/>
      <c r="E2310" s="410"/>
      <c r="F2310" s="410"/>
      <c r="H2310" s="269"/>
      <c r="I2310" s="269"/>
      <c r="J2310" s="269"/>
      <c r="K2310" s="269"/>
      <c r="L2310" s="269"/>
      <c r="M2310" s="269"/>
      <c r="N2310" s="269"/>
      <c r="O2310" s="269"/>
      <c r="P2310" s="269"/>
      <c r="Q2310" s="269"/>
      <c r="R2310" s="269"/>
      <c r="S2310" s="269"/>
      <c r="T2310" s="269"/>
      <c r="U2310" s="269"/>
      <c r="V2310" s="269"/>
      <c r="W2310" s="269"/>
      <c r="X2310" s="269"/>
      <c r="Y2310" s="269"/>
      <c r="Z2310" s="269"/>
      <c r="AA2310" s="269"/>
      <c r="AB2310" s="269"/>
      <c r="AC2310" s="269"/>
      <c r="AD2310" s="269"/>
      <c r="AE2310" s="269"/>
      <c r="AF2310" s="269"/>
      <c r="AG2310" s="269"/>
      <c r="AH2310" s="269"/>
      <c r="AI2310" s="269"/>
      <c r="AJ2310" s="269"/>
      <c r="AK2310" s="269"/>
      <c r="AL2310" s="269"/>
      <c r="AM2310" s="269"/>
      <c r="AN2310" s="269"/>
      <c r="AO2310" s="269"/>
      <c r="AP2310" s="269"/>
      <c r="AQ2310" s="269"/>
      <c r="AR2310" s="269"/>
    </row>
    <row r="2311">
      <c r="A2311" s="410"/>
      <c r="B2311" s="410"/>
      <c r="C2311" s="410"/>
      <c r="D2311" s="410"/>
      <c r="E2311" s="410"/>
      <c r="F2311" s="410"/>
      <c r="H2311" s="269"/>
      <c r="I2311" s="269"/>
      <c r="J2311" s="269"/>
      <c r="K2311" s="269"/>
      <c r="L2311" s="269"/>
      <c r="M2311" s="269"/>
      <c r="N2311" s="269"/>
      <c r="O2311" s="269"/>
      <c r="P2311" s="269"/>
      <c r="Q2311" s="269"/>
      <c r="R2311" s="269"/>
      <c r="S2311" s="269"/>
      <c r="T2311" s="269"/>
      <c r="U2311" s="269"/>
      <c r="V2311" s="269"/>
      <c r="W2311" s="269"/>
      <c r="X2311" s="269"/>
      <c r="Y2311" s="269"/>
      <c r="Z2311" s="269"/>
      <c r="AA2311" s="269"/>
      <c r="AB2311" s="269"/>
      <c r="AC2311" s="269"/>
      <c r="AD2311" s="269"/>
      <c r="AE2311" s="269"/>
      <c r="AF2311" s="269"/>
      <c r="AG2311" s="269"/>
      <c r="AH2311" s="269"/>
      <c r="AI2311" s="269"/>
      <c r="AJ2311" s="269"/>
      <c r="AK2311" s="269"/>
      <c r="AL2311" s="269"/>
      <c r="AM2311" s="269"/>
      <c r="AN2311" s="269"/>
      <c r="AO2311" s="269"/>
      <c r="AP2311" s="269"/>
      <c r="AQ2311" s="269"/>
      <c r="AR2311" s="269"/>
    </row>
    <row r="2312">
      <c r="A2312" s="410"/>
      <c r="B2312" s="410"/>
      <c r="C2312" s="410"/>
      <c r="D2312" s="410"/>
      <c r="E2312" s="410"/>
      <c r="F2312" s="410"/>
      <c r="H2312" s="269"/>
      <c r="I2312" s="269"/>
      <c r="J2312" s="269"/>
      <c r="K2312" s="269"/>
      <c r="L2312" s="269"/>
      <c r="M2312" s="269"/>
      <c r="N2312" s="269"/>
      <c r="O2312" s="269"/>
      <c r="P2312" s="269"/>
      <c r="Q2312" s="269"/>
      <c r="R2312" s="269"/>
      <c r="S2312" s="269"/>
      <c r="T2312" s="269"/>
      <c r="U2312" s="269"/>
      <c r="V2312" s="269"/>
      <c r="W2312" s="269"/>
      <c r="X2312" s="269"/>
      <c r="Y2312" s="269"/>
      <c r="Z2312" s="269"/>
      <c r="AA2312" s="269"/>
      <c r="AB2312" s="269"/>
      <c r="AC2312" s="269"/>
      <c r="AD2312" s="269"/>
      <c r="AE2312" s="269"/>
      <c r="AF2312" s="269"/>
      <c r="AG2312" s="269"/>
      <c r="AH2312" s="269"/>
      <c r="AI2312" s="269"/>
      <c r="AJ2312" s="269"/>
      <c r="AK2312" s="269"/>
      <c r="AL2312" s="269"/>
      <c r="AM2312" s="269"/>
      <c r="AN2312" s="269"/>
      <c r="AO2312" s="269"/>
      <c r="AP2312" s="269"/>
      <c r="AQ2312" s="269"/>
      <c r="AR2312" s="269"/>
    </row>
    <row r="2313">
      <c r="A2313" s="410"/>
      <c r="B2313" s="410"/>
      <c r="C2313" s="410"/>
      <c r="D2313" s="410"/>
      <c r="E2313" s="410"/>
      <c r="F2313" s="410"/>
      <c r="H2313" s="269"/>
      <c r="I2313" s="269"/>
      <c r="J2313" s="269"/>
      <c r="K2313" s="269"/>
      <c r="L2313" s="269"/>
      <c r="M2313" s="269"/>
      <c r="N2313" s="269"/>
      <c r="O2313" s="269"/>
      <c r="P2313" s="269"/>
      <c r="Q2313" s="269"/>
      <c r="R2313" s="269"/>
      <c r="S2313" s="269"/>
      <c r="T2313" s="269"/>
      <c r="U2313" s="269"/>
      <c r="V2313" s="269"/>
      <c r="W2313" s="269"/>
      <c r="X2313" s="269"/>
      <c r="Y2313" s="269"/>
      <c r="Z2313" s="269"/>
      <c r="AA2313" s="269"/>
      <c r="AB2313" s="269"/>
      <c r="AC2313" s="269"/>
      <c r="AD2313" s="269"/>
      <c r="AE2313" s="269"/>
      <c r="AF2313" s="269"/>
      <c r="AG2313" s="269"/>
      <c r="AH2313" s="269"/>
      <c r="AI2313" s="269"/>
      <c r="AJ2313" s="269"/>
      <c r="AK2313" s="269"/>
      <c r="AL2313" s="269"/>
      <c r="AM2313" s="269"/>
      <c r="AN2313" s="269"/>
      <c r="AO2313" s="269"/>
      <c r="AP2313" s="269"/>
      <c r="AQ2313" s="269"/>
      <c r="AR2313" s="269"/>
    </row>
    <row r="2314">
      <c r="A2314" s="410"/>
      <c r="B2314" s="410"/>
      <c r="C2314" s="410"/>
      <c r="D2314" s="410"/>
      <c r="E2314" s="410"/>
      <c r="F2314" s="410"/>
      <c r="H2314" s="269"/>
      <c r="I2314" s="269"/>
      <c r="J2314" s="269"/>
      <c r="K2314" s="269"/>
      <c r="L2314" s="269"/>
      <c r="M2314" s="269"/>
      <c r="N2314" s="269"/>
      <c r="O2314" s="269"/>
      <c r="P2314" s="269"/>
      <c r="Q2314" s="269"/>
      <c r="R2314" s="269"/>
      <c r="S2314" s="269"/>
      <c r="T2314" s="269"/>
      <c r="U2314" s="269"/>
      <c r="V2314" s="269"/>
      <c r="W2314" s="269"/>
      <c r="X2314" s="269"/>
      <c r="Y2314" s="269"/>
      <c r="Z2314" s="269"/>
      <c r="AA2314" s="269"/>
      <c r="AB2314" s="269"/>
      <c r="AC2314" s="269"/>
      <c r="AD2314" s="269"/>
      <c r="AE2314" s="269"/>
      <c r="AF2314" s="269"/>
      <c r="AG2314" s="269"/>
      <c r="AH2314" s="269"/>
      <c r="AI2314" s="269"/>
      <c r="AJ2314" s="269"/>
      <c r="AK2314" s="269"/>
      <c r="AL2314" s="269"/>
      <c r="AM2314" s="269"/>
      <c r="AN2314" s="269"/>
      <c r="AO2314" s="269"/>
      <c r="AP2314" s="269"/>
      <c r="AQ2314" s="269"/>
      <c r="AR2314" s="269"/>
    </row>
    <row r="2315">
      <c r="A2315" s="410"/>
      <c r="B2315" s="410"/>
      <c r="C2315" s="410"/>
      <c r="D2315" s="410"/>
      <c r="E2315" s="410"/>
      <c r="F2315" s="410"/>
      <c r="H2315" s="269"/>
      <c r="I2315" s="269"/>
      <c r="J2315" s="269"/>
      <c r="K2315" s="269"/>
      <c r="L2315" s="269"/>
      <c r="M2315" s="269"/>
      <c r="N2315" s="269"/>
      <c r="O2315" s="269"/>
      <c r="P2315" s="269"/>
      <c r="Q2315" s="269"/>
      <c r="R2315" s="269"/>
      <c r="S2315" s="269"/>
      <c r="T2315" s="269"/>
      <c r="U2315" s="269"/>
      <c r="V2315" s="269"/>
      <c r="W2315" s="269"/>
      <c r="X2315" s="269"/>
      <c r="Y2315" s="269"/>
      <c r="Z2315" s="269"/>
      <c r="AA2315" s="269"/>
      <c r="AB2315" s="269"/>
      <c r="AC2315" s="269"/>
      <c r="AD2315" s="269"/>
      <c r="AE2315" s="269"/>
      <c r="AF2315" s="269"/>
      <c r="AG2315" s="269"/>
      <c r="AH2315" s="269"/>
      <c r="AI2315" s="269"/>
      <c r="AJ2315" s="269"/>
      <c r="AK2315" s="269"/>
      <c r="AL2315" s="269"/>
      <c r="AM2315" s="269"/>
      <c r="AN2315" s="269"/>
      <c r="AO2315" s="269"/>
      <c r="AP2315" s="269"/>
      <c r="AQ2315" s="269"/>
      <c r="AR2315" s="269"/>
    </row>
    <row r="2316">
      <c r="A2316" s="410"/>
      <c r="B2316" s="410"/>
      <c r="C2316" s="410"/>
      <c r="D2316" s="410"/>
      <c r="E2316" s="410"/>
      <c r="F2316" s="410"/>
      <c r="H2316" s="269"/>
      <c r="I2316" s="269"/>
      <c r="J2316" s="269"/>
      <c r="K2316" s="269"/>
      <c r="L2316" s="269"/>
      <c r="M2316" s="269"/>
      <c r="N2316" s="269"/>
      <c r="O2316" s="269"/>
      <c r="P2316" s="269"/>
      <c r="Q2316" s="269"/>
      <c r="R2316" s="269"/>
      <c r="S2316" s="269"/>
      <c r="T2316" s="269"/>
      <c r="U2316" s="269"/>
      <c r="V2316" s="269"/>
      <c r="W2316" s="269"/>
      <c r="X2316" s="269"/>
      <c r="Y2316" s="269"/>
      <c r="Z2316" s="269"/>
      <c r="AA2316" s="269"/>
      <c r="AB2316" s="269"/>
      <c r="AC2316" s="269"/>
      <c r="AD2316" s="269"/>
      <c r="AE2316" s="269"/>
      <c r="AF2316" s="269"/>
      <c r="AG2316" s="269"/>
      <c r="AH2316" s="269"/>
      <c r="AI2316" s="269"/>
      <c r="AJ2316" s="269"/>
      <c r="AK2316" s="269"/>
      <c r="AL2316" s="269"/>
      <c r="AM2316" s="269"/>
      <c r="AN2316" s="269"/>
      <c r="AO2316" s="269"/>
      <c r="AP2316" s="269"/>
      <c r="AQ2316" s="269"/>
      <c r="AR2316" s="269"/>
    </row>
    <row r="2317">
      <c r="A2317" s="410"/>
      <c r="B2317" s="410"/>
      <c r="C2317" s="410"/>
      <c r="D2317" s="410"/>
      <c r="E2317" s="410"/>
      <c r="F2317" s="410"/>
      <c r="H2317" s="269"/>
      <c r="I2317" s="269"/>
      <c r="J2317" s="269"/>
      <c r="K2317" s="269"/>
      <c r="L2317" s="269"/>
      <c r="M2317" s="269"/>
      <c r="N2317" s="269"/>
      <c r="O2317" s="269"/>
      <c r="P2317" s="269"/>
      <c r="Q2317" s="269"/>
      <c r="R2317" s="269"/>
      <c r="S2317" s="269"/>
      <c r="T2317" s="269"/>
      <c r="U2317" s="269"/>
      <c r="V2317" s="269"/>
      <c r="W2317" s="269"/>
      <c r="X2317" s="269"/>
      <c r="Y2317" s="269"/>
      <c r="Z2317" s="269"/>
      <c r="AA2317" s="269"/>
      <c r="AB2317" s="269"/>
      <c r="AC2317" s="269"/>
      <c r="AD2317" s="269"/>
      <c r="AE2317" s="269"/>
      <c r="AF2317" s="269"/>
      <c r="AG2317" s="269"/>
      <c r="AH2317" s="269"/>
      <c r="AI2317" s="269"/>
      <c r="AJ2317" s="269"/>
      <c r="AK2317" s="269"/>
      <c r="AL2317" s="269"/>
      <c r="AM2317" s="269"/>
      <c r="AN2317" s="269"/>
      <c r="AO2317" s="269"/>
      <c r="AP2317" s="269"/>
      <c r="AQ2317" s="269"/>
      <c r="AR2317" s="269"/>
    </row>
    <row r="2318">
      <c r="A2318" s="410"/>
      <c r="B2318" s="410"/>
      <c r="C2318" s="410"/>
      <c r="D2318" s="410"/>
      <c r="E2318" s="410"/>
      <c r="F2318" s="410"/>
      <c r="H2318" s="269"/>
      <c r="I2318" s="269"/>
      <c r="J2318" s="269"/>
      <c r="K2318" s="269"/>
      <c r="L2318" s="269"/>
      <c r="M2318" s="269"/>
      <c r="N2318" s="269"/>
      <c r="O2318" s="269"/>
      <c r="P2318" s="269"/>
      <c r="Q2318" s="269"/>
      <c r="R2318" s="269"/>
      <c r="S2318" s="269"/>
      <c r="T2318" s="269"/>
      <c r="U2318" s="269"/>
      <c r="V2318" s="269"/>
      <c r="W2318" s="269"/>
      <c r="X2318" s="269"/>
      <c r="Y2318" s="269"/>
      <c r="Z2318" s="269"/>
      <c r="AA2318" s="269"/>
      <c r="AB2318" s="269"/>
      <c r="AC2318" s="269"/>
      <c r="AD2318" s="269"/>
      <c r="AE2318" s="269"/>
      <c r="AF2318" s="269"/>
      <c r="AG2318" s="269"/>
      <c r="AH2318" s="269"/>
      <c r="AI2318" s="269"/>
      <c r="AJ2318" s="269"/>
      <c r="AK2318" s="269"/>
      <c r="AL2318" s="269"/>
      <c r="AM2318" s="269"/>
      <c r="AN2318" s="269"/>
      <c r="AO2318" s="269"/>
      <c r="AP2318" s="269"/>
      <c r="AQ2318" s="269"/>
      <c r="AR2318" s="269"/>
    </row>
    <row r="2319">
      <c r="A2319" s="410"/>
      <c r="B2319" s="410"/>
      <c r="C2319" s="410"/>
      <c r="D2319" s="410"/>
      <c r="E2319" s="410"/>
      <c r="F2319" s="410"/>
      <c r="H2319" s="269"/>
      <c r="I2319" s="269"/>
      <c r="J2319" s="269"/>
      <c r="K2319" s="269"/>
      <c r="L2319" s="269"/>
      <c r="M2319" s="269"/>
      <c r="N2319" s="269"/>
      <c r="O2319" s="269"/>
      <c r="P2319" s="269"/>
      <c r="Q2319" s="269"/>
      <c r="R2319" s="269"/>
      <c r="S2319" s="269"/>
      <c r="T2319" s="269"/>
      <c r="U2319" s="269"/>
      <c r="V2319" s="269"/>
      <c r="W2319" s="269"/>
      <c r="X2319" s="269"/>
      <c r="Y2319" s="269"/>
      <c r="Z2319" s="269"/>
      <c r="AA2319" s="269"/>
      <c r="AB2319" s="269"/>
      <c r="AC2319" s="269"/>
      <c r="AD2319" s="269"/>
      <c r="AE2319" s="269"/>
      <c r="AF2319" s="269"/>
      <c r="AG2319" s="269"/>
      <c r="AH2319" s="269"/>
      <c r="AI2319" s="269"/>
      <c r="AJ2319" s="269"/>
      <c r="AK2319" s="269"/>
      <c r="AL2319" s="269"/>
      <c r="AM2319" s="269"/>
      <c r="AN2319" s="269"/>
      <c r="AO2319" s="269"/>
      <c r="AP2319" s="269"/>
      <c r="AQ2319" s="269"/>
      <c r="AR2319" s="269"/>
    </row>
    <row r="2320">
      <c r="A2320" s="410"/>
      <c r="B2320" s="410"/>
      <c r="C2320" s="410"/>
      <c r="D2320" s="410"/>
      <c r="E2320" s="410"/>
      <c r="F2320" s="410"/>
      <c r="H2320" s="269"/>
      <c r="I2320" s="269"/>
      <c r="J2320" s="269"/>
      <c r="K2320" s="269"/>
      <c r="L2320" s="269"/>
      <c r="M2320" s="269"/>
      <c r="N2320" s="269"/>
      <c r="O2320" s="269"/>
      <c r="P2320" s="269"/>
      <c r="Q2320" s="269"/>
      <c r="R2320" s="269"/>
      <c r="S2320" s="269"/>
      <c r="T2320" s="269"/>
      <c r="U2320" s="269"/>
      <c r="V2320" s="269"/>
      <c r="W2320" s="269"/>
      <c r="X2320" s="269"/>
      <c r="Y2320" s="269"/>
      <c r="Z2320" s="269"/>
      <c r="AA2320" s="269"/>
      <c r="AB2320" s="269"/>
      <c r="AC2320" s="269"/>
      <c r="AD2320" s="269"/>
      <c r="AE2320" s="269"/>
      <c r="AF2320" s="269"/>
      <c r="AG2320" s="269"/>
      <c r="AH2320" s="269"/>
      <c r="AI2320" s="269"/>
      <c r="AJ2320" s="269"/>
      <c r="AK2320" s="269"/>
      <c r="AL2320" s="269"/>
      <c r="AM2320" s="269"/>
      <c r="AN2320" s="269"/>
      <c r="AO2320" s="269"/>
      <c r="AP2320" s="269"/>
      <c r="AQ2320" s="269"/>
      <c r="AR2320" s="269"/>
    </row>
    <row r="2321">
      <c r="A2321" s="410"/>
      <c r="B2321" s="410"/>
      <c r="C2321" s="410"/>
      <c r="D2321" s="410"/>
      <c r="E2321" s="410"/>
      <c r="F2321" s="410"/>
      <c r="H2321" s="269"/>
      <c r="I2321" s="269"/>
      <c r="J2321" s="269"/>
      <c r="K2321" s="269"/>
      <c r="L2321" s="269"/>
      <c r="M2321" s="269"/>
      <c r="N2321" s="269"/>
      <c r="O2321" s="269"/>
      <c r="P2321" s="269"/>
      <c r="Q2321" s="269"/>
      <c r="R2321" s="269"/>
      <c r="S2321" s="269"/>
      <c r="T2321" s="269"/>
      <c r="U2321" s="269"/>
      <c r="V2321" s="269"/>
      <c r="W2321" s="269"/>
      <c r="X2321" s="269"/>
      <c r="Y2321" s="269"/>
      <c r="Z2321" s="269"/>
      <c r="AA2321" s="269"/>
      <c r="AB2321" s="269"/>
      <c r="AC2321" s="269"/>
      <c r="AD2321" s="269"/>
      <c r="AE2321" s="269"/>
      <c r="AF2321" s="269"/>
      <c r="AG2321" s="269"/>
      <c r="AH2321" s="269"/>
      <c r="AI2321" s="269"/>
      <c r="AJ2321" s="269"/>
      <c r="AK2321" s="269"/>
      <c r="AL2321" s="269"/>
      <c r="AM2321" s="269"/>
      <c r="AN2321" s="269"/>
      <c r="AO2321" s="269"/>
      <c r="AP2321" s="269"/>
      <c r="AQ2321" s="269"/>
      <c r="AR2321" s="269"/>
    </row>
    <row r="2322">
      <c r="A2322" s="410"/>
      <c r="B2322" s="410"/>
      <c r="C2322" s="410"/>
      <c r="D2322" s="410"/>
      <c r="E2322" s="410"/>
      <c r="F2322" s="410"/>
      <c r="H2322" s="269"/>
      <c r="I2322" s="269"/>
      <c r="J2322" s="269"/>
      <c r="K2322" s="269"/>
      <c r="L2322" s="269"/>
      <c r="M2322" s="269"/>
      <c r="N2322" s="269"/>
      <c r="O2322" s="269"/>
      <c r="P2322" s="269"/>
      <c r="Q2322" s="269"/>
      <c r="R2322" s="269"/>
      <c r="S2322" s="269"/>
      <c r="T2322" s="269"/>
      <c r="U2322" s="269"/>
      <c r="V2322" s="269"/>
      <c r="W2322" s="269"/>
      <c r="X2322" s="269"/>
      <c r="Y2322" s="269"/>
      <c r="Z2322" s="269"/>
      <c r="AA2322" s="269"/>
      <c r="AB2322" s="269"/>
      <c r="AC2322" s="269"/>
      <c r="AD2322" s="269"/>
      <c r="AE2322" s="269"/>
      <c r="AF2322" s="269"/>
      <c r="AG2322" s="269"/>
      <c r="AH2322" s="269"/>
      <c r="AI2322" s="269"/>
      <c r="AJ2322" s="269"/>
      <c r="AK2322" s="269"/>
      <c r="AL2322" s="269"/>
      <c r="AM2322" s="269"/>
      <c r="AN2322" s="269"/>
      <c r="AO2322" s="269"/>
      <c r="AP2322" s="269"/>
      <c r="AQ2322" s="269"/>
      <c r="AR2322" s="269"/>
    </row>
    <row r="2323">
      <c r="A2323" s="410"/>
      <c r="B2323" s="410"/>
      <c r="C2323" s="410"/>
      <c r="D2323" s="410"/>
      <c r="E2323" s="410"/>
      <c r="F2323" s="410"/>
      <c r="H2323" s="269"/>
      <c r="I2323" s="269"/>
      <c r="J2323" s="269"/>
      <c r="K2323" s="269"/>
      <c r="L2323" s="269"/>
      <c r="M2323" s="269"/>
      <c r="N2323" s="269"/>
      <c r="O2323" s="269"/>
      <c r="P2323" s="269"/>
      <c r="Q2323" s="269"/>
      <c r="R2323" s="269"/>
      <c r="S2323" s="269"/>
      <c r="T2323" s="269"/>
      <c r="U2323" s="269"/>
      <c r="V2323" s="269"/>
      <c r="W2323" s="269"/>
      <c r="X2323" s="269"/>
      <c r="Y2323" s="269"/>
      <c r="Z2323" s="269"/>
      <c r="AA2323" s="269"/>
      <c r="AB2323" s="269"/>
      <c r="AC2323" s="269"/>
      <c r="AD2323" s="269"/>
      <c r="AE2323" s="269"/>
      <c r="AF2323" s="269"/>
      <c r="AG2323" s="269"/>
      <c r="AH2323" s="269"/>
      <c r="AI2323" s="269"/>
      <c r="AJ2323" s="269"/>
      <c r="AK2323" s="269"/>
      <c r="AL2323" s="269"/>
      <c r="AM2323" s="269"/>
      <c r="AN2323" s="269"/>
      <c r="AO2323" s="269"/>
      <c r="AP2323" s="269"/>
      <c r="AQ2323" s="269"/>
      <c r="AR2323" s="269"/>
    </row>
    <row r="2324">
      <c r="A2324" s="410"/>
      <c r="B2324" s="410"/>
      <c r="C2324" s="410"/>
      <c r="D2324" s="410"/>
      <c r="E2324" s="410"/>
      <c r="F2324" s="410"/>
      <c r="H2324" s="269"/>
      <c r="I2324" s="269"/>
      <c r="J2324" s="269"/>
      <c r="K2324" s="269"/>
      <c r="L2324" s="269"/>
      <c r="M2324" s="269"/>
      <c r="N2324" s="269"/>
      <c r="O2324" s="269"/>
      <c r="P2324" s="269"/>
      <c r="Q2324" s="269"/>
      <c r="R2324" s="269"/>
      <c r="S2324" s="269"/>
      <c r="T2324" s="269"/>
      <c r="U2324" s="269"/>
      <c r="V2324" s="269"/>
      <c r="W2324" s="269"/>
      <c r="X2324" s="269"/>
      <c r="Y2324" s="269"/>
      <c r="Z2324" s="269"/>
      <c r="AA2324" s="269"/>
      <c r="AB2324" s="269"/>
      <c r="AC2324" s="269"/>
      <c r="AD2324" s="269"/>
      <c r="AE2324" s="269"/>
      <c r="AF2324" s="269"/>
      <c r="AG2324" s="269"/>
      <c r="AH2324" s="269"/>
      <c r="AI2324" s="269"/>
      <c r="AJ2324" s="269"/>
      <c r="AK2324" s="269"/>
      <c r="AL2324" s="269"/>
      <c r="AM2324" s="269"/>
      <c r="AN2324" s="269"/>
      <c r="AO2324" s="269"/>
      <c r="AP2324" s="269"/>
      <c r="AQ2324" s="269"/>
      <c r="AR2324" s="269"/>
    </row>
    <row r="2325">
      <c r="A2325" s="410"/>
      <c r="B2325" s="410"/>
      <c r="C2325" s="410"/>
      <c r="D2325" s="410"/>
      <c r="E2325" s="410"/>
      <c r="F2325" s="410"/>
      <c r="H2325" s="269"/>
      <c r="I2325" s="269"/>
      <c r="J2325" s="269"/>
      <c r="K2325" s="269"/>
      <c r="L2325" s="269"/>
      <c r="M2325" s="269"/>
      <c r="N2325" s="269"/>
      <c r="O2325" s="269"/>
      <c r="P2325" s="269"/>
      <c r="Q2325" s="269"/>
      <c r="R2325" s="269"/>
      <c r="S2325" s="269"/>
      <c r="T2325" s="269"/>
      <c r="U2325" s="269"/>
      <c r="V2325" s="269"/>
      <c r="W2325" s="269"/>
      <c r="X2325" s="269"/>
      <c r="Y2325" s="269"/>
      <c r="Z2325" s="269"/>
      <c r="AA2325" s="269"/>
      <c r="AB2325" s="269"/>
      <c r="AC2325" s="269"/>
      <c r="AD2325" s="269"/>
      <c r="AE2325" s="269"/>
      <c r="AF2325" s="269"/>
      <c r="AG2325" s="269"/>
      <c r="AH2325" s="269"/>
      <c r="AI2325" s="269"/>
      <c r="AJ2325" s="269"/>
      <c r="AK2325" s="269"/>
      <c r="AL2325" s="269"/>
      <c r="AM2325" s="269"/>
      <c r="AN2325" s="269"/>
      <c r="AO2325" s="269"/>
      <c r="AP2325" s="269"/>
      <c r="AQ2325" s="269"/>
      <c r="AR2325" s="269"/>
    </row>
    <row r="2326">
      <c r="A2326" s="410"/>
      <c r="B2326" s="410"/>
      <c r="C2326" s="410"/>
      <c r="D2326" s="410"/>
      <c r="E2326" s="410"/>
      <c r="F2326" s="410"/>
      <c r="H2326" s="269"/>
      <c r="I2326" s="269"/>
      <c r="J2326" s="269"/>
      <c r="K2326" s="269"/>
      <c r="L2326" s="269"/>
      <c r="M2326" s="269"/>
      <c r="N2326" s="269"/>
      <c r="O2326" s="269"/>
      <c r="P2326" s="269"/>
      <c r="Q2326" s="269"/>
      <c r="R2326" s="269"/>
      <c r="S2326" s="269"/>
      <c r="T2326" s="269"/>
      <c r="U2326" s="269"/>
      <c r="V2326" s="269"/>
      <c r="W2326" s="269"/>
      <c r="X2326" s="269"/>
      <c r="Y2326" s="269"/>
      <c r="Z2326" s="269"/>
      <c r="AA2326" s="269"/>
      <c r="AB2326" s="269"/>
      <c r="AC2326" s="269"/>
      <c r="AD2326" s="269"/>
      <c r="AE2326" s="269"/>
      <c r="AF2326" s="269"/>
      <c r="AG2326" s="269"/>
      <c r="AH2326" s="269"/>
      <c r="AI2326" s="269"/>
      <c r="AJ2326" s="269"/>
      <c r="AK2326" s="269"/>
      <c r="AL2326" s="269"/>
      <c r="AM2326" s="269"/>
      <c r="AN2326" s="269"/>
      <c r="AO2326" s="269"/>
      <c r="AP2326" s="269"/>
      <c r="AQ2326" s="269"/>
      <c r="AR2326" s="269"/>
    </row>
    <row r="2327">
      <c r="A2327" s="410"/>
      <c r="B2327" s="410"/>
      <c r="C2327" s="410"/>
      <c r="D2327" s="410"/>
      <c r="E2327" s="410"/>
      <c r="F2327" s="410"/>
      <c r="H2327" s="269"/>
      <c r="I2327" s="269"/>
      <c r="J2327" s="269"/>
      <c r="K2327" s="269"/>
      <c r="L2327" s="269"/>
      <c r="M2327" s="269"/>
      <c r="N2327" s="269"/>
      <c r="O2327" s="269"/>
      <c r="P2327" s="269"/>
      <c r="Q2327" s="269"/>
      <c r="R2327" s="269"/>
      <c r="S2327" s="269"/>
      <c r="T2327" s="269"/>
      <c r="U2327" s="269"/>
      <c r="V2327" s="269"/>
      <c r="W2327" s="269"/>
      <c r="X2327" s="269"/>
      <c r="Y2327" s="269"/>
      <c r="Z2327" s="269"/>
      <c r="AA2327" s="269"/>
      <c r="AB2327" s="269"/>
      <c r="AC2327" s="269"/>
      <c r="AD2327" s="269"/>
      <c r="AE2327" s="269"/>
      <c r="AF2327" s="269"/>
      <c r="AG2327" s="269"/>
      <c r="AH2327" s="269"/>
      <c r="AI2327" s="269"/>
      <c r="AJ2327" s="269"/>
      <c r="AK2327" s="269"/>
      <c r="AL2327" s="269"/>
      <c r="AM2327" s="269"/>
      <c r="AN2327" s="269"/>
      <c r="AO2327" s="269"/>
      <c r="AP2327" s="269"/>
      <c r="AQ2327" s="269"/>
      <c r="AR2327" s="269"/>
    </row>
    <row r="2328">
      <c r="A2328" s="410"/>
      <c r="B2328" s="410"/>
      <c r="C2328" s="410"/>
      <c r="D2328" s="410"/>
      <c r="E2328" s="410"/>
      <c r="F2328" s="410"/>
      <c r="H2328" s="269"/>
      <c r="I2328" s="269"/>
      <c r="J2328" s="269"/>
      <c r="K2328" s="269"/>
      <c r="L2328" s="269"/>
      <c r="M2328" s="269"/>
      <c r="N2328" s="269"/>
      <c r="O2328" s="269"/>
      <c r="P2328" s="269"/>
      <c r="Q2328" s="269"/>
      <c r="R2328" s="269"/>
      <c r="S2328" s="269"/>
      <c r="T2328" s="269"/>
      <c r="U2328" s="269"/>
      <c r="V2328" s="269"/>
      <c r="W2328" s="269"/>
      <c r="X2328" s="269"/>
      <c r="Y2328" s="269"/>
      <c r="Z2328" s="269"/>
      <c r="AA2328" s="269"/>
      <c r="AB2328" s="269"/>
      <c r="AC2328" s="269"/>
      <c r="AD2328" s="269"/>
      <c r="AE2328" s="269"/>
      <c r="AF2328" s="269"/>
      <c r="AG2328" s="269"/>
      <c r="AH2328" s="269"/>
      <c r="AI2328" s="269"/>
      <c r="AJ2328" s="269"/>
      <c r="AK2328" s="269"/>
      <c r="AL2328" s="269"/>
      <c r="AM2328" s="269"/>
      <c r="AN2328" s="269"/>
      <c r="AO2328" s="269"/>
      <c r="AP2328" s="269"/>
      <c r="AQ2328" s="269"/>
      <c r="AR2328" s="269"/>
    </row>
    <row r="2329">
      <c r="A2329" s="410"/>
      <c r="B2329" s="410"/>
      <c r="C2329" s="410"/>
      <c r="D2329" s="410"/>
      <c r="E2329" s="410"/>
      <c r="F2329" s="410"/>
      <c r="H2329" s="269"/>
      <c r="I2329" s="269"/>
      <c r="J2329" s="269"/>
      <c r="K2329" s="269"/>
      <c r="L2329" s="269"/>
      <c r="M2329" s="269"/>
      <c r="N2329" s="269"/>
      <c r="O2329" s="269"/>
      <c r="P2329" s="269"/>
      <c r="Q2329" s="269"/>
      <c r="R2329" s="269"/>
      <c r="S2329" s="269"/>
      <c r="T2329" s="269"/>
      <c r="U2329" s="269"/>
      <c r="V2329" s="269"/>
      <c r="W2329" s="269"/>
      <c r="X2329" s="269"/>
      <c r="Y2329" s="269"/>
      <c r="Z2329" s="269"/>
      <c r="AA2329" s="269"/>
      <c r="AB2329" s="269"/>
      <c r="AC2329" s="269"/>
      <c r="AD2329" s="269"/>
      <c r="AE2329" s="269"/>
      <c r="AF2329" s="269"/>
      <c r="AG2329" s="269"/>
      <c r="AH2329" s="269"/>
      <c r="AI2329" s="269"/>
      <c r="AJ2329" s="269"/>
      <c r="AK2329" s="269"/>
      <c r="AL2329" s="269"/>
      <c r="AM2329" s="269"/>
      <c r="AN2329" s="269"/>
      <c r="AO2329" s="269"/>
      <c r="AP2329" s="269"/>
      <c r="AQ2329" s="269"/>
      <c r="AR2329" s="269"/>
    </row>
    <row r="2330">
      <c r="A2330" s="410"/>
      <c r="B2330" s="410"/>
      <c r="C2330" s="410"/>
      <c r="D2330" s="410"/>
      <c r="E2330" s="410"/>
      <c r="F2330" s="410"/>
      <c r="H2330" s="269"/>
      <c r="I2330" s="269"/>
      <c r="J2330" s="269"/>
      <c r="K2330" s="269"/>
      <c r="L2330" s="269"/>
      <c r="M2330" s="269"/>
      <c r="N2330" s="269"/>
      <c r="O2330" s="269"/>
      <c r="P2330" s="269"/>
      <c r="Q2330" s="269"/>
      <c r="R2330" s="269"/>
      <c r="S2330" s="269"/>
      <c r="T2330" s="269"/>
      <c r="U2330" s="269"/>
      <c r="V2330" s="269"/>
      <c r="W2330" s="269"/>
      <c r="X2330" s="269"/>
      <c r="Y2330" s="269"/>
      <c r="Z2330" s="269"/>
      <c r="AA2330" s="269"/>
      <c r="AB2330" s="269"/>
      <c r="AC2330" s="269"/>
      <c r="AD2330" s="269"/>
      <c r="AE2330" s="269"/>
      <c r="AF2330" s="269"/>
      <c r="AG2330" s="269"/>
      <c r="AH2330" s="269"/>
      <c r="AI2330" s="269"/>
      <c r="AJ2330" s="269"/>
      <c r="AK2330" s="269"/>
      <c r="AL2330" s="269"/>
      <c r="AM2330" s="269"/>
      <c r="AN2330" s="269"/>
      <c r="AO2330" s="269"/>
      <c r="AP2330" s="269"/>
      <c r="AQ2330" s="269"/>
      <c r="AR2330" s="269"/>
    </row>
    <row r="2331">
      <c r="A2331" s="410"/>
      <c r="B2331" s="410"/>
      <c r="C2331" s="410"/>
      <c r="D2331" s="410"/>
      <c r="E2331" s="410"/>
      <c r="F2331" s="410"/>
      <c r="H2331" s="269"/>
      <c r="I2331" s="269"/>
      <c r="J2331" s="269"/>
      <c r="K2331" s="269"/>
      <c r="L2331" s="269"/>
      <c r="M2331" s="269"/>
      <c r="N2331" s="269"/>
      <c r="O2331" s="269"/>
      <c r="P2331" s="269"/>
      <c r="Q2331" s="269"/>
      <c r="R2331" s="269"/>
      <c r="S2331" s="269"/>
      <c r="T2331" s="269"/>
      <c r="U2331" s="269"/>
      <c r="V2331" s="269"/>
      <c r="W2331" s="269"/>
      <c r="X2331" s="269"/>
      <c r="Y2331" s="269"/>
      <c r="Z2331" s="269"/>
      <c r="AA2331" s="269"/>
      <c r="AB2331" s="269"/>
      <c r="AC2331" s="269"/>
      <c r="AD2331" s="269"/>
      <c r="AE2331" s="269"/>
      <c r="AF2331" s="269"/>
      <c r="AG2331" s="269"/>
      <c r="AH2331" s="269"/>
      <c r="AI2331" s="269"/>
      <c r="AJ2331" s="269"/>
      <c r="AK2331" s="269"/>
      <c r="AL2331" s="269"/>
      <c r="AM2331" s="269"/>
      <c r="AN2331" s="269"/>
      <c r="AO2331" s="269"/>
      <c r="AP2331" s="269"/>
      <c r="AQ2331" s="269"/>
      <c r="AR2331" s="269"/>
    </row>
    <row r="2332">
      <c r="A2332" s="410"/>
      <c r="B2332" s="410"/>
      <c r="C2332" s="410"/>
      <c r="D2332" s="410"/>
      <c r="E2332" s="410"/>
      <c r="F2332" s="410"/>
      <c r="H2332" s="269"/>
      <c r="I2332" s="269"/>
      <c r="J2332" s="269"/>
      <c r="K2332" s="269"/>
      <c r="L2332" s="269"/>
      <c r="M2332" s="269"/>
      <c r="N2332" s="269"/>
      <c r="O2332" s="269"/>
      <c r="P2332" s="269"/>
      <c r="Q2332" s="269"/>
      <c r="R2332" s="269"/>
      <c r="S2332" s="269"/>
      <c r="T2332" s="269"/>
      <c r="U2332" s="269"/>
      <c r="V2332" s="269"/>
      <c r="W2332" s="269"/>
      <c r="X2332" s="269"/>
      <c r="Y2332" s="269"/>
      <c r="Z2332" s="269"/>
      <c r="AA2332" s="269"/>
      <c r="AB2332" s="269"/>
      <c r="AC2332" s="269"/>
      <c r="AD2332" s="269"/>
      <c r="AE2332" s="269"/>
      <c r="AF2332" s="269"/>
      <c r="AG2332" s="269"/>
      <c r="AH2332" s="269"/>
      <c r="AI2332" s="269"/>
      <c r="AJ2332" s="269"/>
      <c r="AK2332" s="269"/>
      <c r="AL2332" s="269"/>
      <c r="AM2332" s="269"/>
      <c r="AN2332" s="269"/>
      <c r="AO2332" s="269"/>
      <c r="AP2332" s="269"/>
      <c r="AQ2332" s="269"/>
      <c r="AR2332" s="269"/>
    </row>
    <row r="2333">
      <c r="A2333" s="410"/>
      <c r="B2333" s="410"/>
      <c r="C2333" s="410"/>
      <c r="D2333" s="410"/>
      <c r="E2333" s="410"/>
      <c r="F2333" s="410"/>
      <c r="H2333" s="269"/>
      <c r="I2333" s="269"/>
      <c r="J2333" s="269"/>
      <c r="K2333" s="269"/>
      <c r="L2333" s="269"/>
      <c r="M2333" s="269"/>
      <c r="N2333" s="269"/>
      <c r="O2333" s="269"/>
      <c r="P2333" s="269"/>
      <c r="Q2333" s="269"/>
      <c r="R2333" s="269"/>
      <c r="S2333" s="269"/>
      <c r="T2333" s="269"/>
      <c r="U2333" s="269"/>
      <c r="V2333" s="269"/>
      <c r="W2333" s="269"/>
      <c r="X2333" s="269"/>
      <c r="Y2333" s="269"/>
      <c r="Z2333" s="269"/>
      <c r="AA2333" s="269"/>
      <c r="AB2333" s="269"/>
      <c r="AC2333" s="269"/>
      <c r="AD2333" s="269"/>
      <c r="AE2333" s="269"/>
      <c r="AF2333" s="269"/>
      <c r="AG2333" s="269"/>
      <c r="AH2333" s="269"/>
      <c r="AI2333" s="269"/>
      <c r="AJ2333" s="269"/>
      <c r="AK2333" s="269"/>
      <c r="AL2333" s="269"/>
      <c r="AM2333" s="269"/>
      <c r="AN2333" s="269"/>
      <c r="AO2333" s="269"/>
      <c r="AP2333" s="269"/>
      <c r="AQ2333" s="269"/>
      <c r="AR2333" s="269"/>
    </row>
    <row r="2334">
      <c r="A2334" s="410"/>
      <c r="B2334" s="410"/>
      <c r="C2334" s="410"/>
      <c r="D2334" s="410"/>
      <c r="E2334" s="410"/>
      <c r="F2334" s="410"/>
      <c r="H2334" s="269"/>
      <c r="I2334" s="269"/>
      <c r="J2334" s="269"/>
      <c r="K2334" s="269"/>
      <c r="L2334" s="269"/>
      <c r="M2334" s="269"/>
      <c r="N2334" s="269"/>
      <c r="O2334" s="269"/>
      <c r="P2334" s="269"/>
      <c r="Q2334" s="269"/>
      <c r="R2334" s="269"/>
      <c r="S2334" s="269"/>
      <c r="T2334" s="269"/>
      <c r="U2334" s="269"/>
      <c r="V2334" s="269"/>
      <c r="W2334" s="269"/>
      <c r="X2334" s="269"/>
      <c r="Y2334" s="269"/>
      <c r="Z2334" s="269"/>
      <c r="AA2334" s="269"/>
      <c r="AB2334" s="269"/>
      <c r="AC2334" s="269"/>
      <c r="AD2334" s="269"/>
      <c r="AE2334" s="269"/>
      <c r="AF2334" s="269"/>
      <c r="AG2334" s="269"/>
      <c r="AH2334" s="269"/>
      <c r="AI2334" s="269"/>
      <c r="AJ2334" s="269"/>
      <c r="AK2334" s="269"/>
      <c r="AL2334" s="269"/>
      <c r="AM2334" s="269"/>
      <c r="AN2334" s="269"/>
      <c r="AO2334" s="269"/>
      <c r="AP2334" s="269"/>
      <c r="AQ2334" s="269"/>
      <c r="AR2334" s="269"/>
    </row>
    <row r="2335">
      <c r="A2335" s="410"/>
      <c r="B2335" s="410"/>
      <c r="C2335" s="410"/>
      <c r="D2335" s="410"/>
      <c r="E2335" s="410"/>
      <c r="F2335" s="410"/>
      <c r="H2335" s="269"/>
      <c r="I2335" s="269"/>
      <c r="J2335" s="269"/>
      <c r="K2335" s="269"/>
      <c r="L2335" s="269"/>
      <c r="M2335" s="269"/>
      <c r="N2335" s="269"/>
      <c r="O2335" s="269"/>
      <c r="P2335" s="269"/>
      <c r="Q2335" s="269"/>
      <c r="R2335" s="269"/>
      <c r="S2335" s="269"/>
      <c r="T2335" s="269"/>
      <c r="U2335" s="269"/>
      <c r="V2335" s="269"/>
      <c r="W2335" s="269"/>
      <c r="X2335" s="269"/>
      <c r="Y2335" s="269"/>
      <c r="Z2335" s="269"/>
      <c r="AA2335" s="269"/>
      <c r="AB2335" s="269"/>
      <c r="AC2335" s="269"/>
      <c r="AD2335" s="269"/>
      <c r="AE2335" s="269"/>
      <c r="AF2335" s="269"/>
      <c r="AG2335" s="269"/>
      <c r="AH2335" s="269"/>
      <c r="AI2335" s="269"/>
      <c r="AJ2335" s="269"/>
      <c r="AK2335" s="269"/>
      <c r="AL2335" s="269"/>
      <c r="AM2335" s="269"/>
      <c r="AN2335" s="269"/>
      <c r="AO2335" s="269"/>
      <c r="AP2335" s="269"/>
      <c r="AQ2335" s="269"/>
      <c r="AR2335" s="269"/>
    </row>
    <row r="2336">
      <c r="A2336" s="410"/>
      <c r="B2336" s="410"/>
      <c r="C2336" s="410"/>
      <c r="D2336" s="410"/>
      <c r="E2336" s="410"/>
      <c r="F2336" s="410"/>
      <c r="H2336" s="269"/>
      <c r="I2336" s="269"/>
      <c r="J2336" s="269"/>
      <c r="K2336" s="269"/>
      <c r="L2336" s="269"/>
      <c r="M2336" s="269"/>
      <c r="N2336" s="269"/>
      <c r="O2336" s="269"/>
      <c r="P2336" s="269"/>
      <c r="Q2336" s="269"/>
      <c r="R2336" s="269"/>
      <c r="S2336" s="269"/>
      <c r="T2336" s="269"/>
      <c r="U2336" s="269"/>
      <c r="V2336" s="269"/>
      <c r="W2336" s="269"/>
      <c r="X2336" s="269"/>
      <c r="Y2336" s="269"/>
      <c r="Z2336" s="269"/>
      <c r="AA2336" s="269"/>
      <c r="AB2336" s="269"/>
      <c r="AC2336" s="269"/>
      <c r="AD2336" s="269"/>
      <c r="AE2336" s="269"/>
      <c r="AF2336" s="269"/>
      <c r="AG2336" s="269"/>
      <c r="AH2336" s="269"/>
      <c r="AI2336" s="269"/>
      <c r="AJ2336" s="269"/>
      <c r="AK2336" s="269"/>
      <c r="AL2336" s="269"/>
      <c r="AM2336" s="269"/>
      <c r="AN2336" s="269"/>
      <c r="AO2336" s="269"/>
      <c r="AP2336" s="269"/>
      <c r="AQ2336" s="269"/>
      <c r="AR2336" s="269"/>
    </row>
    <row r="2337">
      <c r="A2337" s="410"/>
      <c r="B2337" s="410"/>
      <c r="C2337" s="410"/>
      <c r="D2337" s="410"/>
      <c r="E2337" s="410"/>
      <c r="F2337" s="410"/>
      <c r="H2337" s="269"/>
      <c r="I2337" s="269"/>
      <c r="J2337" s="269"/>
      <c r="K2337" s="269"/>
      <c r="L2337" s="269"/>
      <c r="M2337" s="269"/>
      <c r="N2337" s="269"/>
      <c r="O2337" s="269"/>
      <c r="P2337" s="269"/>
      <c r="Q2337" s="269"/>
      <c r="R2337" s="269"/>
      <c r="S2337" s="269"/>
      <c r="T2337" s="269"/>
      <c r="U2337" s="269"/>
      <c r="V2337" s="269"/>
      <c r="W2337" s="269"/>
      <c r="X2337" s="269"/>
      <c r="Y2337" s="269"/>
      <c r="Z2337" s="269"/>
      <c r="AA2337" s="269"/>
      <c r="AB2337" s="269"/>
      <c r="AC2337" s="269"/>
      <c r="AD2337" s="269"/>
      <c r="AE2337" s="269"/>
      <c r="AF2337" s="269"/>
      <c r="AG2337" s="269"/>
      <c r="AH2337" s="269"/>
      <c r="AI2337" s="269"/>
      <c r="AJ2337" s="269"/>
      <c r="AK2337" s="269"/>
      <c r="AL2337" s="269"/>
      <c r="AM2337" s="269"/>
      <c r="AN2337" s="269"/>
      <c r="AO2337" s="269"/>
      <c r="AP2337" s="269"/>
      <c r="AQ2337" s="269"/>
      <c r="AR2337" s="269"/>
    </row>
    <row r="2338">
      <c r="A2338" s="410"/>
      <c r="B2338" s="410"/>
      <c r="C2338" s="410"/>
      <c r="D2338" s="410"/>
      <c r="E2338" s="410"/>
      <c r="F2338" s="410"/>
      <c r="H2338" s="269"/>
      <c r="I2338" s="269"/>
      <c r="J2338" s="269"/>
      <c r="K2338" s="269"/>
      <c r="L2338" s="269"/>
      <c r="M2338" s="269"/>
      <c r="N2338" s="269"/>
      <c r="O2338" s="269"/>
      <c r="P2338" s="269"/>
      <c r="Q2338" s="269"/>
      <c r="R2338" s="269"/>
      <c r="S2338" s="269"/>
      <c r="T2338" s="269"/>
      <c r="U2338" s="269"/>
      <c r="V2338" s="269"/>
      <c r="W2338" s="269"/>
      <c r="X2338" s="269"/>
      <c r="Y2338" s="269"/>
      <c r="Z2338" s="269"/>
      <c r="AA2338" s="269"/>
      <c r="AB2338" s="269"/>
      <c r="AC2338" s="269"/>
      <c r="AD2338" s="269"/>
      <c r="AE2338" s="269"/>
      <c r="AF2338" s="269"/>
      <c r="AG2338" s="269"/>
      <c r="AH2338" s="269"/>
      <c r="AI2338" s="269"/>
      <c r="AJ2338" s="269"/>
      <c r="AK2338" s="269"/>
      <c r="AL2338" s="269"/>
      <c r="AM2338" s="269"/>
      <c r="AN2338" s="269"/>
      <c r="AO2338" s="269"/>
      <c r="AP2338" s="269"/>
      <c r="AQ2338" s="269"/>
      <c r="AR2338" s="269"/>
    </row>
    <row r="2339">
      <c r="A2339" s="410"/>
      <c r="B2339" s="410"/>
      <c r="C2339" s="410"/>
      <c r="D2339" s="410"/>
      <c r="E2339" s="410"/>
      <c r="F2339" s="410"/>
      <c r="H2339" s="269"/>
      <c r="I2339" s="269"/>
      <c r="J2339" s="269"/>
      <c r="K2339" s="269"/>
      <c r="L2339" s="269"/>
      <c r="M2339" s="269"/>
      <c r="N2339" s="269"/>
      <c r="O2339" s="269"/>
      <c r="P2339" s="269"/>
      <c r="Q2339" s="269"/>
      <c r="R2339" s="269"/>
      <c r="S2339" s="269"/>
      <c r="T2339" s="269"/>
      <c r="U2339" s="269"/>
      <c r="V2339" s="269"/>
      <c r="W2339" s="269"/>
      <c r="X2339" s="269"/>
      <c r="Y2339" s="269"/>
      <c r="Z2339" s="269"/>
      <c r="AA2339" s="269"/>
      <c r="AB2339" s="269"/>
      <c r="AC2339" s="269"/>
      <c r="AD2339" s="269"/>
      <c r="AE2339" s="269"/>
      <c r="AF2339" s="269"/>
      <c r="AG2339" s="269"/>
      <c r="AH2339" s="269"/>
      <c r="AI2339" s="269"/>
      <c r="AJ2339" s="269"/>
      <c r="AK2339" s="269"/>
      <c r="AL2339" s="269"/>
      <c r="AM2339" s="269"/>
      <c r="AN2339" s="269"/>
      <c r="AO2339" s="269"/>
      <c r="AP2339" s="269"/>
      <c r="AQ2339" s="269"/>
      <c r="AR2339" s="269"/>
    </row>
    <row r="2340">
      <c r="A2340" s="410"/>
      <c r="B2340" s="410"/>
      <c r="C2340" s="410"/>
      <c r="D2340" s="410"/>
      <c r="E2340" s="410"/>
      <c r="F2340" s="410"/>
      <c r="H2340" s="269"/>
      <c r="I2340" s="269"/>
      <c r="J2340" s="269"/>
      <c r="K2340" s="269"/>
      <c r="L2340" s="269"/>
      <c r="M2340" s="269"/>
      <c r="N2340" s="269"/>
      <c r="O2340" s="269"/>
      <c r="P2340" s="269"/>
      <c r="Q2340" s="269"/>
      <c r="R2340" s="269"/>
      <c r="S2340" s="269"/>
      <c r="T2340" s="269"/>
      <c r="U2340" s="269"/>
      <c r="V2340" s="269"/>
      <c r="W2340" s="269"/>
      <c r="X2340" s="269"/>
      <c r="Y2340" s="269"/>
      <c r="Z2340" s="269"/>
      <c r="AA2340" s="269"/>
      <c r="AB2340" s="269"/>
      <c r="AC2340" s="269"/>
      <c r="AD2340" s="269"/>
      <c r="AE2340" s="269"/>
      <c r="AF2340" s="269"/>
      <c r="AG2340" s="269"/>
      <c r="AH2340" s="269"/>
      <c r="AI2340" s="269"/>
      <c r="AJ2340" s="269"/>
      <c r="AK2340" s="269"/>
      <c r="AL2340" s="269"/>
      <c r="AM2340" s="269"/>
      <c r="AN2340" s="269"/>
      <c r="AO2340" s="269"/>
      <c r="AP2340" s="269"/>
      <c r="AQ2340" s="269"/>
      <c r="AR2340" s="269"/>
    </row>
    <row r="2341">
      <c r="A2341" s="410"/>
      <c r="B2341" s="410"/>
      <c r="C2341" s="410"/>
      <c r="D2341" s="410"/>
      <c r="E2341" s="410"/>
      <c r="F2341" s="410"/>
      <c r="H2341" s="269"/>
      <c r="I2341" s="269"/>
      <c r="J2341" s="269"/>
      <c r="K2341" s="269"/>
      <c r="L2341" s="269"/>
      <c r="M2341" s="269"/>
      <c r="N2341" s="269"/>
      <c r="O2341" s="269"/>
      <c r="P2341" s="269"/>
      <c r="Q2341" s="269"/>
      <c r="R2341" s="269"/>
      <c r="S2341" s="269"/>
      <c r="T2341" s="269"/>
      <c r="U2341" s="269"/>
      <c r="V2341" s="269"/>
      <c r="W2341" s="269"/>
      <c r="X2341" s="269"/>
      <c r="Y2341" s="269"/>
      <c r="Z2341" s="269"/>
      <c r="AA2341" s="269"/>
      <c r="AB2341" s="269"/>
      <c r="AC2341" s="269"/>
      <c r="AD2341" s="269"/>
      <c r="AE2341" s="269"/>
      <c r="AF2341" s="269"/>
      <c r="AG2341" s="269"/>
      <c r="AH2341" s="269"/>
      <c r="AI2341" s="269"/>
      <c r="AJ2341" s="269"/>
      <c r="AK2341" s="269"/>
      <c r="AL2341" s="269"/>
      <c r="AM2341" s="269"/>
      <c r="AN2341" s="269"/>
      <c r="AO2341" s="269"/>
      <c r="AP2341" s="269"/>
      <c r="AQ2341" s="269"/>
      <c r="AR2341" s="269"/>
    </row>
    <row r="2342">
      <c r="A2342" s="410"/>
      <c r="B2342" s="410"/>
      <c r="C2342" s="410"/>
      <c r="D2342" s="410"/>
      <c r="E2342" s="410"/>
      <c r="F2342" s="410"/>
      <c r="H2342" s="269"/>
      <c r="I2342" s="269"/>
      <c r="J2342" s="269"/>
      <c r="K2342" s="269"/>
      <c r="L2342" s="269"/>
      <c r="M2342" s="269"/>
      <c r="N2342" s="269"/>
      <c r="O2342" s="269"/>
      <c r="P2342" s="269"/>
      <c r="Q2342" s="269"/>
      <c r="R2342" s="269"/>
      <c r="S2342" s="269"/>
      <c r="T2342" s="269"/>
      <c r="U2342" s="269"/>
      <c r="V2342" s="269"/>
      <c r="W2342" s="269"/>
      <c r="X2342" s="269"/>
      <c r="Y2342" s="269"/>
      <c r="Z2342" s="269"/>
      <c r="AA2342" s="269"/>
      <c r="AB2342" s="269"/>
      <c r="AC2342" s="269"/>
      <c r="AD2342" s="269"/>
      <c r="AE2342" s="269"/>
      <c r="AF2342" s="269"/>
      <c r="AG2342" s="269"/>
      <c r="AH2342" s="269"/>
      <c r="AI2342" s="269"/>
      <c r="AJ2342" s="269"/>
      <c r="AK2342" s="269"/>
      <c r="AL2342" s="269"/>
      <c r="AM2342" s="269"/>
      <c r="AN2342" s="269"/>
      <c r="AO2342" s="269"/>
      <c r="AP2342" s="269"/>
      <c r="AQ2342" s="269"/>
      <c r="AR2342" s="269"/>
    </row>
    <row r="2343">
      <c r="A2343" s="410"/>
      <c r="B2343" s="410"/>
      <c r="C2343" s="410"/>
      <c r="D2343" s="410"/>
      <c r="E2343" s="410"/>
      <c r="F2343" s="410"/>
      <c r="H2343" s="269"/>
      <c r="I2343" s="269"/>
      <c r="J2343" s="269"/>
      <c r="K2343" s="269"/>
      <c r="L2343" s="269"/>
      <c r="M2343" s="269"/>
      <c r="N2343" s="269"/>
      <c r="O2343" s="269"/>
      <c r="P2343" s="269"/>
      <c r="Q2343" s="269"/>
      <c r="R2343" s="269"/>
      <c r="S2343" s="269"/>
      <c r="T2343" s="269"/>
      <c r="U2343" s="269"/>
      <c r="V2343" s="269"/>
      <c r="W2343" s="269"/>
      <c r="X2343" s="269"/>
      <c r="Y2343" s="269"/>
      <c r="Z2343" s="269"/>
      <c r="AA2343" s="269"/>
      <c r="AB2343" s="269"/>
      <c r="AC2343" s="269"/>
      <c r="AD2343" s="269"/>
      <c r="AE2343" s="269"/>
      <c r="AF2343" s="269"/>
      <c r="AG2343" s="269"/>
      <c r="AH2343" s="269"/>
      <c r="AI2343" s="269"/>
      <c r="AJ2343" s="269"/>
      <c r="AK2343" s="269"/>
      <c r="AL2343" s="269"/>
      <c r="AM2343" s="269"/>
      <c r="AN2343" s="269"/>
      <c r="AO2343" s="269"/>
      <c r="AP2343" s="269"/>
      <c r="AQ2343" s="269"/>
      <c r="AR2343" s="269"/>
    </row>
    <row r="2344">
      <c r="A2344" s="410"/>
      <c r="B2344" s="410"/>
      <c r="C2344" s="410"/>
      <c r="D2344" s="410"/>
      <c r="E2344" s="410"/>
      <c r="F2344" s="410"/>
      <c r="H2344" s="269"/>
      <c r="I2344" s="269"/>
      <c r="J2344" s="269"/>
      <c r="K2344" s="269"/>
      <c r="L2344" s="269"/>
      <c r="M2344" s="269"/>
      <c r="N2344" s="269"/>
      <c r="O2344" s="269"/>
      <c r="P2344" s="269"/>
      <c r="Q2344" s="269"/>
      <c r="R2344" s="269"/>
      <c r="S2344" s="269"/>
      <c r="T2344" s="269"/>
      <c r="U2344" s="269"/>
      <c r="V2344" s="269"/>
      <c r="W2344" s="269"/>
      <c r="X2344" s="269"/>
      <c r="Y2344" s="269"/>
      <c r="Z2344" s="269"/>
      <c r="AA2344" s="269"/>
      <c r="AB2344" s="269"/>
      <c r="AC2344" s="269"/>
      <c r="AD2344" s="269"/>
      <c r="AE2344" s="269"/>
      <c r="AF2344" s="269"/>
      <c r="AG2344" s="269"/>
      <c r="AH2344" s="269"/>
      <c r="AI2344" s="269"/>
      <c r="AJ2344" s="269"/>
      <c r="AK2344" s="269"/>
      <c r="AL2344" s="269"/>
      <c r="AM2344" s="269"/>
      <c r="AN2344" s="269"/>
      <c r="AO2344" s="269"/>
      <c r="AP2344" s="269"/>
      <c r="AQ2344" s="269"/>
      <c r="AR2344" s="269"/>
    </row>
    <row r="2345">
      <c r="A2345" s="410"/>
      <c r="B2345" s="410"/>
      <c r="C2345" s="410"/>
      <c r="D2345" s="410"/>
      <c r="E2345" s="410"/>
      <c r="F2345" s="410"/>
      <c r="H2345" s="269"/>
      <c r="I2345" s="269"/>
      <c r="J2345" s="269"/>
      <c r="K2345" s="269"/>
      <c r="L2345" s="269"/>
      <c r="M2345" s="269"/>
      <c r="N2345" s="269"/>
      <c r="O2345" s="269"/>
      <c r="P2345" s="269"/>
      <c r="Q2345" s="269"/>
      <c r="R2345" s="269"/>
      <c r="S2345" s="269"/>
      <c r="T2345" s="269"/>
      <c r="U2345" s="269"/>
      <c r="V2345" s="269"/>
      <c r="W2345" s="269"/>
      <c r="X2345" s="269"/>
      <c r="Y2345" s="269"/>
      <c r="Z2345" s="269"/>
      <c r="AA2345" s="269"/>
      <c r="AB2345" s="269"/>
      <c r="AC2345" s="269"/>
      <c r="AD2345" s="269"/>
      <c r="AE2345" s="269"/>
      <c r="AF2345" s="269"/>
      <c r="AG2345" s="269"/>
      <c r="AH2345" s="269"/>
      <c r="AI2345" s="269"/>
      <c r="AJ2345" s="269"/>
      <c r="AK2345" s="269"/>
      <c r="AL2345" s="269"/>
      <c r="AM2345" s="269"/>
      <c r="AN2345" s="269"/>
      <c r="AO2345" s="269"/>
      <c r="AP2345" s="269"/>
      <c r="AQ2345" s="269"/>
      <c r="AR2345" s="269"/>
    </row>
    <row r="2346">
      <c r="A2346" s="410"/>
      <c r="B2346" s="410"/>
      <c r="C2346" s="410"/>
      <c r="D2346" s="410"/>
      <c r="E2346" s="410"/>
      <c r="F2346" s="410"/>
      <c r="H2346" s="269"/>
      <c r="I2346" s="269"/>
      <c r="J2346" s="269"/>
      <c r="K2346" s="269"/>
      <c r="L2346" s="269"/>
      <c r="M2346" s="269"/>
      <c r="N2346" s="269"/>
      <c r="O2346" s="269"/>
      <c r="P2346" s="269"/>
      <c r="Q2346" s="269"/>
      <c r="R2346" s="269"/>
      <c r="S2346" s="269"/>
      <c r="T2346" s="269"/>
      <c r="U2346" s="269"/>
      <c r="V2346" s="269"/>
      <c r="W2346" s="269"/>
      <c r="X2346" s="269"/>
      <c r="Y2346" s="269"/>
      <c r="Z2346" s="269"/>
      <c r="AA2346" s="269"/>
      <c r="AB2346" s="269"/>
      <c r="AC2346" s="269"/>
      <c r="AD2346" s="269"/>
      <c r="AE2346" s="269"/>
      <c r="AF2346" s="269"/>
      <c r="AG2346" s="269"/>
      <c r="AH2346" s="269"/>
      <c r="AI2346" s="269"/>
      <c r="AJ2346" s="269"/>
      <c r="AK2346" s="269"/>
      <c r="AL2346" s="269"/>
      <c r="AM2346" s="269"/>
      <c r="AN2346" s="269"/>
      <c r="AO2346" s="269"/>
      <c r="AP2346" s="269"/>
      <c r="AQ2346" s="269"/>
      <c r="AR2346" s="269"/>
    </row>
    <row r="2347">
      <c r="A2347" s="410"/>
      <c r="B2347" s="410"/>
      <c r="C2347" s="410"/>
      <c r="D2347" s="410"/>
      <c r="E2347" s="410"/>
      <c r="F2347" s="410"/>
      <c r="H2347" s="269"/>
      <c r="I2347" s="269"/>
      <c r="J2347" s="269"/>
      <c r="K2347" s="269"/>
      <c r="L2347" s="269"/>
      <c r="M2347" s="269"/>
      <c r="N2347" s="269"/>
      <c r="O2347" s="269"/>
      <c r="P2347" s="269"/>
      <c r="Q2347" s="269"/>
      <c r="R2347" s="269"/>
      <c r="S2347" s="269"/>
      <c r="T2347" s="269"/>
      <c r="U2347" s="269"/>
      <c r="V2347" s="269"/>
      <c r="W2347" s="269"/>
      <c r="X2347" s="269"/>
      <c r="Y2347" s="269"/>
      <c r="Z2347" s="269"/>
      <c r="AA2347" s="269"/>
      <c r="AB2347" s="269"/>
      <c r="AC2347" s="269"/>
      <c r="AD2347" s="269"/>
      <c r="AE2347" s="269"/>
      <c r="AF2347" s="269"/>
      <c r="AG2347" s="269"/>
      <c r="AH2347" s="269"/>
      <c r="AI2347" s="269"/>
      <c r="AJ2347" s="269"/>
      <c r="AK2347" s="269"/>
      <c r="AL2347" s="269"/>
      <c r="AM2347" s="269"/>
      <c r="AN2347" s="269"/>
      <c r="AO2347" s="269"/>
      <c r="AP2347" s="269"/>
      <c r="AQ2347" s="269"/>
      <c r="AR2347" s="269"/>
    </row>
    <row r="2348">
      <c r="A2348" s="410"/>
      <c r="B2348" s="410"/>
      <c r="C2348" s="410"/>
      <c r="D2348" s="410"/>
      <c r="E2348" s="410"/>
      <c r="F2348" s="410"/>
      <c r="H2348" s="269"/>
      <c r="I2348" s="269"/>
      <c r="J2348" s="269"/>
      <c r="K2348" s="269"/>
      <c r="L2348" s="269"/>
      <c r="M2348" s="269"/>
      <c r="N2348" s="269"/>
      <c r="O2348" s="269"/>
      <c r="P2348" s="269"/>
      <c r="Q2348" s="269"/>
      <c r="R2348" s="269"/>
      <c r="S2348" s="269"/>
      <c r="T2348" s="269"/>
      <c r="U2348" s="269"/>
      <c r="V2348" s="269"/>
      <c r="W2348" s="269"/>
      <c r="X2348" s="269"/>
      <c r="Y2348" s="269"/>
      <c r="Z2348" s="269"/>
      <c r="AA2348" s="269"/>
      <c r="AB2348" s="269"/>
      <c r="AC2348" s="269"/>
      <c r="AD2348" s="269"/>
      <c r="AE2348" s="269"/>
      <c r="AF2348" s="269"/>
      <c r="AG2348" s="269"/>
      <c r="AH2348" s="269"/>
      <c r="AI2348" s="269"/>
      <c r="AJ2348" s="269"/>
      <c r="AK2348" s="269"/>
      <c r="AL2348" s="269"/>
      <c r="AM2348" s="269"/>
      <c r="AN2348" s="269"/>
      <c r="AO2348" s="269"/>
      <c r="AP2348" s="269"/>
      <c r="AQ2348" s="269"/>
      <c r="AR2348" s="269"/>
    </row>
    <row r="2349">
      <c r="A2349" s="410"/>
      <c r="B2349" s="410"/>
      <c r="C2349" s="410"/>
      <c r="D2349" s="410"/>
      <c r="E2349" s="410"/>
      <c r="F2349" s="410"/>
      <c r="H2349" s="269"/>
      <c r="I2349" s="269"/>
      <c r="J2349" s="269"/>
      <c r="K2349" s="269"/>
      <c r="L2349" s="269"/>
      <c r="M2349" s="269"/>
      <c r="N2349" s="269"/>
      <c r="O2349" s="269"/>
      <c r="P2349" s="269"/>
      <c r="Q2349" s="269"/>
      <c r="R2349" s="269"/>
      <c r="S2349" s="269"/>
      <c r="T2349" s="269"/>
      <c r="U2349" s="269"/>
      <c r="V2349" s="269"/>
      <c r="W2349" s="269"/>
      <c r="X2349" s="269"/>
      <c r="Y2349" s="269"/>
      <c r="Z2349" s="269"/>
      <c r="AA2349" s="269"/>
      <c r="AB2349" s="269"/>
      <c r="AC2349" s="269"/>
      <c r="AD2349" s="269"/>
      <c r="AE2349" s="269"/>
      <c r="AF2349" s="269"/>
      <c r="AG2349" s="269"/>
      <c r="AH2349" s="269"/>
      <c r="AI2349" s="269"/>
      <c r="AJ2349" s="269"/>
      <c r="AK2349" s="269"/>
      <c r="AL2349" s="269"/>
      <c r="AM2349" s="269"/>
      <c r="AN2349" s="269"/>
      <c r="AO2349" s="269"/>
      <c r="AP2349" s="269"/>
      <c r="AQ2349" s="269"/>
      <c r="AR2349" s="269"/>
    </row>
    <row r="2350">
      <c r="A2350" s="410"/>
      <c r="B2350" s="410"/>
      <c r="C2350" s="410"/>
      <c r="D2350" s="410"/>
      <c r="E2350" s="410"/>
      <c r="F2350" s="410"/>
      <c r="H2350" s="269"/>
      <c r="I2350" s="269"/>
      <c r="J2350" s="269"/>
      <c r="K2350" s="269"/>
      <c r="L2350" s="269"/>
      <c r="M2350" s="269"/>
      <c r="N2350" s="269"/>
      <c r="O2350" s="269"/>
      <c r="P2350" s="269"/>
      <c r="Q2350" s="269"/>
      <c r="R2350" s="269"/>
      <c r="S2350" s="269"/>
      <c r="T2350" s="269"/>
      <c r="U2350" s="269"/>
      <c r="V2350" s="269"/>
      <c r="W2350" s="269"/>
      <c r="X2350" s="269"/>
      <c r="Y2350" s="269"/>
      <c r="Z2350" s="269"/>
      <c r="AA2350" s="269"/>
      <c r="AB2350" s="269"/>
      <c r="AC2350" s="269"/>
      <c r="AD2350" s="269"/>
      <c r="AE2350" s="269"/>
      <c r="AF2350" s="269"/>
      <c r="AG2350" s="269"/>
      <c r="AH2350" s="269"/>
      <c r="AI2350" s="269"/>
      <c r="AJ2350" s="269"/>
      <c r="AK2350" s="269"/>
      <c r="AL2350" s="269"/>
      <c r="AM2350" s="269"/>
      <c r="AN2350" s="269"/>
      <c r="AO2350" s="269"/>
      <c r="AP2350" s="269"/>
      <c r="AQ2350" s="269"/>
      <c r="AR2350" s="269"/>
    </row>
    <row r="2351">
      <c r="A2351" s="410"/>
      <c r="B2351" s="410"/>
      <c r="C2351" s="410"/>
      <c r="D2351" s="410"/>
      <c r="E2351" s="410"/>
      <c r="F2351" s="410"/>
      <c r="H2351" s="269"/>
      <c r="I2351" s="269"/>
      <c r="J2351" s="269"/>
      <c r="K2351" s="269"/>
      <c r="L2351" s="269"/>
      <c r="M2351" s="269"/>
      <c r="N2351" s="269"/>
      <c r="O2351" s="269"/>
      <c r="P2351" s="269"/>
      <c r="Q2351" s="269"/>
      <c r="R2351" s="269"/>
      <c r="S2351" s="269"/>
      <c r="T2351" s="269"/>
      <c r="U2351" s="269"/>
      <c r="V2351" s="269"/>
      <c r="W2351" s="269"/>
      <c r="X2351" s="269"/>
      <c r="Y2351" s="269"/>
      <c r="Z2351" s="269"/>
      <c r="AA2351" s="269"/>
      <c r="AB2351" s="269"/>
      <c r="AC2351" s="269"/>
      <c r="AD2351" s="269"/>
      <c r="AE2351" s="269"/>
      <c r="AF2351" s="269"/>
      <c r="AG2351" s="269"/>
      <c r="AH2351" s="269"/>
      <c r="AI2351" s="269"/>
      <c r="AJ2351" s="269"/>
      <c r="AK2351" s="269"/>
      <c r="AL2351" s="269"/>
      <c r="AM2351" s="269"/>
      <c r="AN2351" s="269"/>
      <c r="AO2351" s="269"/>
      <c r="AP2351" s="269"/>
      <c r="AQ2351" s="269"/>
      <c r="AR2351" s="269"/>
    </row>
    <row r="2352">
      <c r="A2352" s="410"/>
      <c r="B2352" s="410"/>
      <c r="C2352" s="410"/>
      <c r="D2352" s="410"/>
      <c r="E2352" s="410"/>
      <c r="F2352" s="410"/>
      <c r="H2352" s="269"/>
      <c r="I2352" s="269"/>
      <c r="J2352" s="269"/>
      <c r="K2352" s="269"/>
      <c r="L2352" s="269"/>
      <c r="M2352" s="269"/>
      <c r="N2352" s="269"/>
      <c r="O2352" s="269"/>
      <c r="P2352" s="269"/>
      <c r="Q2352" s="269"/>
      <c r="R2352" s="269"/>
      <c r="S2352" s="269"/>
      <c r="T2352" s="269"/>
      <c r="U2352" s="269"/>
      <c r="V2352" s="269"/>
      <c r="W2352" s="269"/>
      <c r="X2352" s="269"/>
      <c r="Y2352" s="269"/>
      <c r="Z2352" s="269"/>
      <c r="AA2352" s="269"/>
      <c r="AB2352" s="269"/>
      <c r="AC2352" s="269"/>
      <c r="AD2352" s="269"/>
      <c r="AE2352" s="269"/>
      <c r="AF2352" s="269"/>
      <c r="AG2352" s="269"/>
      <c r="AH2352" s="269"/>
      <c r="AI2352" s="269"/>
      <c r="AJ2352" s="269"/>
      <c r="AK2352" s="269"/>
      <c r="AL2352" s="269"/>
      <c r="AM2352" s="269"/>
      <c r="AN2352" s="269"/>
      <c r="AO2352" s="269"/>
      <c r="AP2352" s="269"/>
      <c r="AQ2352" s="269"/>
      <c r="AR2352" s="269"/>
    </row>
    <row r="2353">
      <c r="A2353" s="410"/>
      <c r="B2353" s="410"/>
      <c r="C2353" s="410"/>
      <c r="D2353" s="410"/>
      <c r="E2353" s="410"/>
      <c r="F2353" s="410"/>
      <c r="H2353" s="269"/>
      <c r="I2353" s="269"/>
      <c r="J2353" s="269"/>
      <c r="K2353" s="269"/>
      <c r="L2353" s="269"/>
      <c r="M2353" s="269"/>
      <c r="N2353" s="269"/>
      <c r="O2353" s="269"/>
      <c r="P2353" s="269"/>
      <c r="Q2353" s="269"/>
      <c r="R2353" s="269"/>
      <c r="S2353" s="269"/>
      <c r="T2353" s="269"/>
      <c r="U2353" s="269"/>
      <c r="V2353" s="269"/>
      <c r="W2353" s="269"/>
      <c r="X2353" s="269"/>
      <c r="Y2353" s="269"/>
      <c r="Z2353" s="269"/>
      <c r="AA2353" s="269"/>
      <c r="AB2353" s="269"/>
      <c r="AC2353" s="269"/>
      <c r="AD2353" s="269"/>
      <c r="AE2353" s="269"/>
      <c r="AF2353" s="269"/>
      <c r="AG2353" s="269"/>
      <c r="AH2353" s="269"/>
      <c r="AI2353" s="269"/>
      <c r="AJ2353" s="269"/>
      <c r="AK2353" s="269"/>
      <c r="AL2353" s="269"/>
      <c r="AM2353" s="269"/>
      <c r="AN2353" s="269"/>
      <c r="AO2353" s="269"/>
      <c r="AP2353" s="269"/>
      <c r="AQ2353" s="269"/>
      <c r="AR2353" s="269"/>
    </row>
    <row r="2354">
      <c r="A2354" s="410"/>
      <c r="B2354" s="410"/>
      <c r="C2354" s="410"/>
      <c r="D2354" s="410"/>
      <c r="E2354" s="410"/>
      <c r="F2354" s="410"/>
      <c r="H2354" s="269"/>
      <c r="I2354" s="269"/>
      <c r="J2354" s="269"/>
      <c r="K2354" s="269"/>
      <c r="L2354" s="269"/>
      <c r="M2354" s="269"/>
      <c r="N2354" s="269"/>
      <c r="O2354" s="269"/>
      <c r="P2354" s="269"/>
      <c r="Q2354" s="269"/>
      <c r="R2354" s="269"/>
      <c r="S2354" s="269"/>
      <c r="T2354" s="269"/>
      <c r="U2354" s="269"/>
      <c r="V2354" s="269"/>
      <c r="W2354" s="269"/>
      <c r="X2354" s="269"/>
      <c r="Y2354" s="269"/>
      <c r="Z2354" s="269"/>
      <c r="AA2354" s="269"/>
      <c r="AB2354" s="269"/>
      <c r="AC2354" s="269"/>
      <c r="AD2354" s="269"/>
      <c r="AE2354" s="269"/>
      <c r="AF2354" s="269"/>
      <c r="AG2354" s="269"/>
      <c r="AH2354" s="269"/>
      <c r="AI2354" s="269"/>
      <c r="AJ2354" s="269"/>
      <c r="AK2354" s="269"/>
      <c r="AL2354" s="269"/>
      <c r="AM2354" s="269"/>
      <c r="AN2354" s="269"/>
      <c r="AO2354" s="269"/>
      <c r="AP2354" s="269"/>
      <c r="AQ2354" s="269"/>
      <c r="AR2354" s="269"/>
    </row>
    <row r="2355">
      <c r="A2355" s="410"/>
      <c r="B2355" s="410"/>
      <c r="C2355" s="410"/>
      <c r="D2355" s="410"/>
      <c r="E2355" s="410"/>
      <c r="F2355" s="410"/>
      <c r="H2355" s="269"/>
      <c r="I2355" s="269"/>
      <c r="J2355" s="269"/>
      <c r="K2355" s="269"/>
      <c r="L2355" s="269"/>
      <c r="M2355" s="269"/>
      <c r="N2355" s="269"/>
      <c r="O2355" s="269"/>
      <c r="P2355" s="269"/>
      <c r="Q2355" s="269"/>
      <c r="R2355" s="269"/>
      <c r="S2355" s="269"/>
      <c r="T2355" s="269"/>
      <c r="U2355" s="269"/>
      <c r="V2355" s="269"/>
      <c r="W2355" s="269"/>
      <c r="X2355" s="269"/>
      <c r="Y2355" s="269"/>
      <c r="Z2355" s="269"/>
      <c r="AA2355" s="269"/>
      <c r="AB2355" s="269"/>
      <c r="AC2355" s="269"/>
      <c r="AD2355" s="269"/>
      <c r="AE2355" s="269"/>
      <c r="AF2355" s="269"/>
      <c r="AG2355" s="269"/>
      <c r="AH2355" s="269"/>
      <c r="AI2355" s="269"/>
      <c r="AJ2355" s="269"/>
      <c r="AK2355" s="269"/>
      <c r="AL2355" s="269"/>
      <c r="AM2355" s="269"/>
      <c r="AN2355" s="269"/>
      <c r="AO2355" s="269"/>
      <c r="AP2355" s="269"/>
      <c r="AQ2355" s="269"/>
      <c r="AR2355" s="269"/>
    </row>
    <row r="2356">
      <c r="A2356" s="410"/>
      <c r="B2356" s="410"/>
      <c r="C2356" s="410"/>
      <c r="D2356" s="410"/>
      <c r="E2356" s="410"/>
      <c r="F2356" s="410"/>
      <c r="H2356" s="269"/>
      <c r="I2356" s="269"/>
      <c r="J2356" s="269"/>
      <c r="K2356" s="269"/>
      <c r="L2356" s="269"/>
      <c r="M2356" s="269"/>
      <c r="N2356" s="269"/>
      <c r="O2356" s="269"/>
      <c r="P2356" s="269"/>
      <c r="Q2356" s="269"/>
      <c r="R2356" s="269"/>
      <c r="S2356" s="269"/>
      <c r="T2356" s="269"/>
      <c r="U2356" s="269"/>
      <c r="V2356" s="269"/>
      <c r="W2356" s="269"/>
      <c r="X2356" s="269"/>
      <c r="Y2356" s="269"/>
      <c r="Z2356" s="269"/>
      <c r="AA2356" s="269"/>
      <c r="AB2356" s="269"/>
      <c r="AC2356" s="269"/>
      <c r="AD2356" s="269"/>
      <c r="AE2356" s="269"/>
      <c r="AF2356" s="269"/>
      <c r="AG2356" s="269"/>
      <c r="AH2356" s="269"/>
      <c r="AI2356" s="269"/>
      <c r="AJ2356" s="269"/>
      <c r="AK2356" s="269"/>
      <c r="AL2356" s="269"/>
      <c r="AM2356" s="269"/>
      <c r="AN2356" s="269"/>
      <c r="AO2356" s="269"/>
      <c r="AP2356" s="269"/>
      <c r="AQ2356" s="269"/>
      <c r="AR2356" s="269"/>
    </row>
    <row r="2357">
      <c r="A2357" s="410"/>
      <c r="B2357" s="410"/>
      <c r="C2357" s="410"/>
      <c r="D2357" s="410"/>
      <c r="E2357" s="410"/>
      <c r="F2357" s="410"/>
      <c r="H2357" s="269"/>
      <c r="I2357" s="269"/>
      <c r="J2357" s="269"/>
      <c r="K2357" s="269"/>
      <c r="L2357" s="269"/>
      <c r="M2357" s="269"/>
      <c r="N2357" s="269"/>
      <c r="O2357" s="269"/>
      <c r="P2357" s="269"/>
      <c r="Q2357" s="269"/>
      <c r="R2357" s="269"/>
      <c r="S2357" s="269"/>
      <c r="T2357" s="269"/>
      <c r="U2357" s="269"/>
      <c r="V2357" s="269"/>
      <c r="W2357" s="269"/>
      <c r="X2357" s="269"/>
      <c r="Y2357" s="269"/>
      <c r="Z2357" s="269"/>
      <c r="AA2357" s="269"/>
      <c r="AB2357" s="269"/>
      <c r="AC2357" s="269"/>
      <c r="AD2357" s="269"/>
      <c r="AE2357" s="269"/>
      <c r="AF2357" s="269"/>
      <c r="AG2357" s="269"/>
      <c r="AH2357" s="269"/>
      <c r="AI2357" s="269"/>
      <c r="AJ2357" s="269"/>
      <c r="AK2357" s="269"/>
      <c r="AL2357" s="269"/>
      <c r="AM2357" s="269"/>
      <c r="AN2357" s="269"/>
      <c r="AO2357" s="269"/>
      <c r="AP2357" s="269"/>
      <c r="AQ2357" s="269"/>
      <c r="AR2357" s="269"/>
    </row>
    <row r="2358">
      <c r="A2358" s="410"/>
      <c r="B2358" s="410"/>
      <c r="C2358" s="410"/>
      <c r="D2358" s="410"/>
      <c r="E2358" s="410"/>
      <c r="F2358" s="410"/>
      <c r="H2358" s="269"/>
      <c r="I2358" s="269"/>
      <c r="J2358" s="269"/>
      <c r="K2358" s="269"/>
      <c r="L2358" s="269"/>
      <c r="M2358" s="269"/>
      <c r="N2358" s="269"/>
      <c r="O2358" s="269"/>
      <c r="P2358" s="269"/>
      <c r="Q2358" s="269"/>
      <c r="R2358" s="269"/>
      <c r="S2358" s="269"/>
      <c r="T2358" s="269"/>
      <c r="U2358" s="269"/>
      <c r="V2358" s="269"/>
      <c r="W2358" s="269"/>
      <c r="X2358" s="269"/>
      <c r="Y2358" s="269"/>
      <c r="Z2358" s="269"/>
      <c r="AA2358" s="269"/>
      <c r="AB2358" s="269"/>
      <c r="AC2358" s="269"/>
      <c r="AD2358" s="269"/>
      <c r="AE2358" s="269"/>
      <c r="AF2358" s="269"/>
      <c r="AG2358" s="269"/>
      <c r="AH2358" s="269"/>
      <c r="AI2358" s="269"/>
      <c r="AJ2358" s="269"/>
      <c r="AK2358" s="269"/>
      <c r="AL2358" s="269"/>
      <c r="AM2358" s="269"/>
      <c r="AN2358" s="269"/>
      <c r="AO2358" s="269"/>
      <c r="AP2358" s="269"/>
      <c r="AQ2358" s="269"/>
      <c r="AR2358" s="269"/>
    </row>
    <row r="2359">
      <c r="A2359" s="410"/>
      <c r="B2359" s="410"/>
      <c r="C2359" s="410"/>
      <c r="D2359" s="410"/>
      <c r="E2359" s="410"/>
      <c r="F2359" s="410"/>
      <c r="H2359" s="269"/>
      <c r="I2359" s="269"/>
      <c r="J2359" s="269"/>
      <c r="K2359" s="269"/>
      <c r="L2359" s="269"/>
      <c r="M2359" s="269"/>
      <c r="N2359" s="269"/>
      <c r="O2359" s="269"/>
      <c r="P2359" s="269"/>
      <c r="Q2359" s="269"/>
      <c r="R2359" s="269"/>
      <c r="S2359" s="269"/>
      <c r="T2359" s="269"/>
      <c r="U2359" s="269"/>
      <c r="V2359" s="269"/>
      <c r="W2359" s="269"/>
      <c r="X2359" s="269"/>
      <c r="Y2359" s="269"/>
      <c r="Z2359" s="269"/>
      <c r="AA2359" s="269"/>
      <c r="AB2359" s="269"/>
      <c r="AC2359" s="269"/>
      <c r="AD2359" s="269"/>
      <c r="AE2359" s="269"/>
      <c r="AF2359" s="269"/>
      <c r="AG2359" s="269"/>
      <c r="AH2359" s="269"/>
      <c r="AI2359" s="269"/>
      <c r="AJ2359" s="269"/>
      <c r="AK2359" s="269"/>
      <c r="AL2359" s="269"/>
      <c r="AM2359" s="269"/>
      <c r="AN2359" s="269"/>
      <c r="AO2359" s="269"/>
      <c r="AP2359" s="269"/>
      <c r="AQ2359" s="269"/>
      <c r="AR2359" s="269"/>
    </row>
    <row r="2360">
      <c r="A2360" s="410"/>
      <c r="B2360" s="410"/>
      <c r="C2360" s="410"/>
      <c r="D2360" s="410"/>
      <c r="E2360" s="410"/>
      <c r="F2360" s="410"/>
      <c r="H2360" s="269"/>
      <c r="I2360" s="269"/>
      <c r="J2360" s="269"/>
      <c r="K2360" s="269"/>
      <c r="L2360" s="269"/>
      <c r="M2360" s="269"/>
      <c r="N2360" s="269"/>
      <c r="O2360" s="269"/>
      <c r="P2360" s="269"/>
      <c r="Q2360" s="269"/>
      <c r="R2360" s="269"/>
      <c r="S2360" s="269"/>
      <c r="T2360" s="269"/>
      <c r="U2360" s="269"/>
      <c r="V2360" s="269"/>
      <c r="W2360" s="269"/>
      <c r="X2360" s="269"/>
      <c r="Y2360" s="269"/>
      <c r="Z2360" s="269"/>
      <c r="AA2360" s="269"/>
      <c r="AB2360" s="269"/>
      <c r="AC2360" s="269"/>
      <c r="AD2360" s="269"/>
      <c r="AE2360" s="269"/>
      <c r="AF2360" s="269"/>
      <c r="AG2360" s="269"/>
      <c r="AH2360" s="269"/>
      <c r="AI2360" s="269"/>
      <c r="AJ2360" s="269"/>
      <c r="AK2360" s="269"/>
      <c r="AL2360" s="269"/>
      <c r="AM2360" s="269"/>
      <c r="AN2360" s="269"/>
      <c r="AO2360" s="269"/>
      <c r="AP2360" s="269"/>
      <c r="AQ2360" s="269"/>
      <c r="AR2360" s="269"/>
    </row>
    <row r="2361">
      <c r="A2361" s="410"/>
      <c r="B2361" s="410"/>
      <c r="C2361" s="410"/>
      <c r="D2361" s="410"/>
      <c r="E2361" s="410"/>
      <c r="F2361" s="410"/>
      <c r="H2361" s="269"/>
      <c r="I2361" s="269"/>
      <c r="J2361" s="269"/>
      <c r="K2361" s="269"/>
      <c r="L2361" s="269"/>
      <c r="M2361" s="269"/>
      <c r="N2361" s="269"/>
      <c r="O2361" s="269"/>
      <c r="P2361" s="269"/>
      <c r="Q2361" s="269"/>
      <c r="R2361" s="269"/>
      <c r="S2361" s="269"/>
      <c r="T2361" s="269"/>
      <c r="U2361" s="269"/>
      <c r="V2361" s="269"/>
      <c r="W2361" s="269"/>
      <c r="X2361" s="269"/>
      <c r="Y2361" s="269"/>
      <c r="Z2361" s="269"/>
      <c r="AA2361" s="269"/>
      <c r="AB2361" s="269"/>
      <c r="AC2361" s="269"/>
      <c r="AD2361" s="269"/>
      <c r="AE2361" s="269"/>
      <c r="AF2361" s="269"/>
      <c r="AG2361" s="269"/>
      <c r="AH2361" s="269"/>
      <c r="AI2361" s="269"/>
      <c r="AJ2361" s="269"/>
      <c r="AK2361" s="269"/>
      <c r="AL2361" s="269"/>
      <c r="AM2361" s="269"/>
      <c r="AN2361" s="269"/>
      <c r="AO2361" s="269"/>
      <c r="AP2361" s="269"/>
      <c r="AQ2361" s="269"/>
      <c r="AR2361" s="269"/>
    </row>
    <row r="2362">
      <c r="A2362" s="410"/>
      <c r="B2362" s="410"/>
      <c r="C2362" s="410"/>
      <c r="D2362" s="410"/>
      <c r="E2362" s="410"/>
      <c r="F2362" s="410"/>
      <c r="H2362" s="269"/>
      <c r="I2362" s="269"/>
      <c r="J2362" s="269"/>
      <c r="K2362" s="269"/>
      <c r="L2362" s="269"/>
      <c r="M2362" s="269"/>
      <c r="N2362" s="269"/>
      <c r="O2362" s="269"/>
      <c r="P2362" s="269"/>
      <c r="Q2362" s="269"/>
      <c r="R2362" s="269"/>
      <c r="S2362" s="269"/>
      <c r="T2362" s="269"/>
      <c r="U2362" s="269"/>
      <c r="V2362" s="269"/>
      <c r="W2362" s="269"/>
      <c r="X2362" s="269"/>
      <c r="Y2362" s="269"/>
      <c r="Z2362" s="269"/>
      <c r="AA2362" s="269"/>
      <c r="AB2362" s="269"/>
      <c r="AC2362" s="269"/>
      <c r="AD2362" s="269"/>
      <c r="AE2362" s="269"/>
      <c r="AF2362" s="269"/>
      <c r="AG2362" s="269"/>
      <c r="AH2362" s="269"/>
      <c r="AI2362" s="269"/>
      <c r="AJ2362" s="269"/>
      <c r="AK2362" s="269"/>
      <c r="AL2362" s="269"/>
      <c r="AM2362" s="269"/>
      <c r="AN2362" s="269"/>
      <c r="AO2362" s="269"/>
      <c r="AP2362" s="269"/>
      <c r="AQ2362" s="269"/>
      <c r="AR2362" s="269"/>
    </row>
    <row r="2363">
      <c r="A2363" s="410"/>
      <c r="B2363" s="410"/>
      <c r="C2363" s="410"/>
      <c r="D2363" s="410"/>
      <c r="E2363" s="410"/>
      <c r="F2363" s="410"/>
      <c r="H2363" s="269"/>
      <c r="I2363" s="269"/>
      <c r="J2363" s="269"/>
      <c r="K2363" s="269"/>
      <c r="L2363" s="269"/>
      <c r="M2363" s="269"/>
      <c r="N2363" s="269"/>
      <c r="O2363" s="269"/>
      <c r="P2363" s="269"/>
      <c r="Q2363" s="269"/>
      <c r="R2363" s="269"/>
      <c r="S2363" s="269"/>
      <c r="T2363" s="269"/>
      <c r="U2363" s="269"/>
      <c r="V2363" s="269"/>
      <c r="W2363" s="269"/>
      <c r="X2363" s="269"/>
      <c r="Y2363" s="269"/>
      <c r="Z2363" s="269"/>
      <c r="AA2363" s="269"/>
      <c r="AB2363" s="269"/>
      <c r="AC2363" s="269"/>
      <c r="AD2363" s="269"/>
      <c r="AE2363" s="269"/>
      <c r="AF2363" s="269"/>
      <c r="AG2363" s="269"/>
      <c r="AH2363" s="269"/>
      <c r="AI2363" s="269"/>
      <c r="AJ2363" s="269"/>
      <c r="AK2363" s="269"/>
      <c r="AL2363" s="269"/>
      <c r="AM2363" s="269"/>
      <c r="AN2363" s="269"/>
      <c r="AO2363" s="269"/>
      <c r="AP2363" s="269"/>
      <c r="AQ2363" s="269"/>
      <c r="AR2363" s="269"/>
    </row>
    <row r="2364">
      <c r="A2364" s="410"/>
      <c r="B2364" s="410"/>
      <c r="C2364" s="410"/>
      <c r="D2364" s="410"/>
      <c r="E2364" s="410"/>
      <c r="F2364" s="410"/>
      <c r="H2364" s="269"/>
      <c r="I2364" s="269"/>
      <c r="J2364" s="269"/>
      <c r="K2364" s="269"/>
      <c r="L2364" s="269"/>
      <c r="M2364" s="269"/>
      <c r="N2364" s="269"/>
      <c r="O2364" s="269"/>
      <c r="P2364" s="269"/>
      <c r="Q2364" s="269"/>
      <c r="R2364" s="269"/>
      <c r="S2364" s="269"/>
      <c r="T2364" s="269"/>
      <c r="U2364" s="269"/>
      <c r="V2364" s="269"/>
      <c r="W2364" s="269"/>
      <c r="X2364" s="269"/>
      <c r="Y2364" s="269"/>
      <c r="Z2364" s="269"/>
      <c r="AA2364" s="269"/>
      <c r="AB2364" s="269"/>
      <c r="AC2364" s="269"/>
      <c r="AD2364" s="269"/>
      <c r="AE2364" s="269"/>
      <c r="AF2364" s="269"/>
      <c r="AG2364" s="269"/>
      <c r="AH2364" s="269"/>
      <c r="AI2364" s="269"/>
      <c r="AJ2364" s="269"/>
      <c r="AK2364" s="269"/>
      <c r="AL2364" s="269"/>
      <c r="AM2364" s="269"/>
      <c r="AN2364" s="269"/>
      <c r="AO2364" s="269"/>
      <c r="AP2364" s="269"/>
      <c r="AQ2364" s="269"/>
      <c r="AR2364" s="269"/>
    </row>
    <row r="2365">
      <c r="A2365" s="410"/>
      <c r="B2365" s="410"/>
      <c r="C2365" s="410"/>
      <c r="D2365" s="410"/>
      <c r="E2365" s="410"/>
      <c r="F2365" s="410"/>
      <c r="H2365" s="269"/>
      <c r="I2365" s="269"/>
      <c r="J2365" s="269"/>
      <c r="K2365" s="269"/>
      <c r="L2365" s="269"/>
      <c r="M2365" s="269"/>
      <c r="N2365" s="269"/>
      <c r="O2365" s="269"/>
      <c r="P2365" s="269"/>
      <c r="Q2365" s="269"/>
      <c r="R2365" s="269"/>
      <c r="S2365" s="269"/>
      <c r="T2365" s="269"/>
      <c r="U2365" s="269"/>
      <c r="V2365" s="269"/>
      <c r="W2365" s="269"/>
      <c r="X2365" s="269"/>
      <c r="Y2365" s="269"/>
      <c r="Z2365" s="269"/>
      <c r="AA2365" s="269"/>
      <c r="AB2365" s="269"/>
      <c r="AC2365" s="269"/>
      <c r="AD2365" s="269"/>
      <c r="AE2365" s="269"/>
      <c r="AF2365" s="269"/>
      <c r="AG2365" s="269"/>
      <c r="AH2365" s="269"/>
      <c r="AI2365" s="269"/>
      <c r="AJ2365" s="269"/>
      <c r="AK2365" s="269"/>
      <c r="AL2365" s="269"/>
      <c r="AM2365" s="269"/>
      <c r="AN2365" s="269"/>
      <c r="AO2365" s="269"/>
      <c r="AP2365" s="269"/>
      <c r="AQ2365" s="269"/>
      <c r="AR2365" s="269"/>
    </row>
    <row r="2366">
      <c r="A2366" s="410"/>
      <c r="B2366" s="410"/>
      <c r="C2366" s="410"/>
      <c r="D2366" s="410"/>
      <c r="E2366" s="410"/>
      <c r="F2366" s="410"/>
      <c r="H2366" s="269"/>
      <c r="I2366" s="269"/>
      <c r="J2366" s="269"/>
      <c r="K2366" s="269"/>
      <c r="L2366" s="269"/>
      <c r="M2366" s="269"/>
      <c r="N2366" s="269"/>
      <c r="O2366" s="269"/>
      <c r="P2366" s="269"/>
      <c r="Q2366" s="269"/>
      <c r="R2366" s="269"/>
      <c r="S2366" s="269"/>
      <c r="T2366" s="269"/>
      <c r="U2366" s="269"/>
      <c r="V2366" s="269"/>
      <c r="W2366" s="269"/>
      <c r="X2366" s="269"/>
      <c r="Y2366" s="269"/>
      <c r="Z2366" s="269"/>
      <c r="AA2366" s="269"/>
      <c r="AB2366" s="269"/>
      <c r="AC2366" s="269"/>
      <c r="AD2366" s="269"/>
      <c r="AE2366" s="269"/>
      <c r="AF2366" s="269"/>
      <c r="AG2366" s="269"/>
      <c r="AH2366" s="269"/>
      <c r="AI2366" s="269"/>
      <c r="AJ2366" s="269"/>
      <c r="AK2366" s="269"/>
      <c r="AL2366" s="269"/>
      <c r="AM2366" s="269"/>
      <c r="AN2366" s="269"/>
      <c r="AO2366" s="269"/>
      <c r="AP2366" s="269"/>
      <c r="AQ2366" s="269"/>
      <c r="AR2366" s="269"/>
    </row>
    <row r="2367">
      <c r="A2367" s="410"/>
      <c r="B2367" s="410"/>
      <c r="C2367" s="410"/>
      <c r="D2367" s="410"/>
      <c r="E2367" s="410"/>
      <c r="F2367" s="410"/>
      <c r="H2367" s="269"/>
      <c r="I2367" s="269"/>
      <c r="J2367" s="269"/>
      <c r="K2367" s="269"/>
      <c r="L2367" s="269"/>
      <c r="M2367" s="269"/>
      <c r="N2367" s="269"/>
      <c r="O2367" s="269"/>
      <c r="P2367" s="269"/>
      <c r="Q2367" s="269"/>
      <c r="R2367" s="269"/>
      <c r="S2367" s="269"/>
      <c r="T2367" s="269"/>
      <c r="U2367" s="269"/>
      <c r="V2367" s="269"/>
      <c r="W2367" s="269"/>
      <c r="X2367" s="269"/>
      <c r="Y2367" s="269"/>
      <c r="Z2367" s="269"/>
      <c r="AA2367" s="269"/>
      <c r="AB2367" s="269"/>
      <c r="AC2367" s="269"/>
      <c r="AD2367" s="269"/>
      <c r="AE2367" s="269"/>
      <c r="AF2367" s="269"/>
      <c r="AG2367" s="269"/>
      <c r="AH2367" s="269"/>
      <c r="AI2367" s="269"/>
      <c r="AJ2367" s="269"/>
      <c r="AK2367" s="269"/>
      <c r="AL2367" s="269"/>
      <c r="AM2367" s="269"/>
      <c r="AN2367" s="269"/>
      <c r="AO2367" s="269"/>
      <c r="AP2367" s="269"/>
      <c r="AQ2367" s="269"/>
      <c r="AR2367" s="269"/>
    </row>
    <row r="2368">
      <c r="A2368" s="410"/>
      <c r="B2368" s="410"/>
      <c r="C2368" s="410"/>
      <c r="D2368" s="410"/>
      <c r="E2368" s="410"/>
      <c r="F2368" s="410"/>
      <c r="H2368" s="269"/>
      <c r="I2368" s="269"/>
      <c r="J2368" s="269"/>
      <c r="K2368" s="269"/>
      <c r="L2368" s="269"/>
      <c r="M2368" s="269"/>
      <c r="N2368" s="269"/>
      <c r="O2368" s="269"/>
      <c r="P2368" s="269"/>
      <c r="Q2368" s="269"/>
      <c r="R2368" s="269"/>
      <c r="S2368" s="269"/>
      <c r="T2368" s="269"/>
      <c r="U2368" s="269"/>
      <c r="V2368" s="269"/>
      <c r="W2368" s="269"/>
      <c r="X2368" s="269"/>
      <c r="Y2368" s="269"/>
      <c r="Z2368" s="269"/>
      <c r="AA2368" s="269"/>
      <c r="AB2368" s="269"/>
      <c r="AC2368" s="269"/>
      <c r="AD2368" s="269"/>
      <c r="AE2368" s="269"/>
      <c r="AF2368" s="269"/>
      <c r="AG2368" s="269"/>
      <c r="AH2368" s="269"/>
      <c r="AI2368" s="269"/>
      <c r="AJ2368" s="269"/>
      <c r="AK2368" s="269"/>
      <c r="AL2368" s="269"/>
      <c r="AM2368" s="269"/>
      <c r="AN2368" s="269"/>
      <c r="AO2368" s="269"/>
      <c r="AP2368" s="269"/>
      <c r="AQ2368" s="269"/>
      <c r="AR2368" s="269"/>
    </row>
    <row r="2369">
      <c r="A2369" s="410"/>
      <c r="B2369" s="410"/>
      <c r="C2369" s="410"/>
      <c r="D2369" s="410"/>
      <c r="E2369" s="410"/>
      <c r="F2369" s="410"/>
      <c r="H2369" s="269"/>
      <c r="I2369" s="269"/>
      <c r="J2369" s="269"/>
      <c r="K2369" s="269"/>
      <c r="L2369" s="269"/>
      <c r="M2369" s="269"/>
      <c r="N2369" s="269"/>
      <c r="O2369" s="269"/>
      <c r="P2369" s="269"/>
      <c r="Q2369" s="269"/>
      <c r="R2369" s="269"/>
      <c r="S2369" s="269"/>
      <c r="T2369" s="269"/>
      <c r="U2369" s="269"/>
      <c r="V2369" s="269"/>
      <c r="W2369" s="269"/>
      <c r="X2369" s="269"/>
      <c r="Y2369" s="269"/>
      <c r="Z2369" s="269"/>
      <c r="AA2369" s="269"/>
      <c r="AB2369" s="269"/>
      <c r="AC2369" s="269"/>
      <c r="AD2369" s="269"/>
      <c r="AE2369" s="269"/>
      <c r="AF2369" s="269"/>
      <c r="AG2369" s="269"/>
      <c r="AH2369" s="269"/>
      <c r="AI2369" s="269"/>
      <c r="AJ2369" s="269"/>
      <c r="AK2369" s="269"/>
      <c r="AL2369" s="269"/>
      <c r="AM2369" s="269"/>
      <c r="AN2369" s="269"/>
      <c r="AO2369" s="269"/>
      <c r="AP2369" s="269"/>
      <c r="AQ2369" s="269"/>
      <c r="AR2369" s="269"/>
    </row>
    <row r="2370">
      <c r="A2370" s="410"/>
      <c r="B2370" s="410"/>
      <c r="C2370" s="410"/>
      <c r="D2370" s="410"/>
      <c r="E2370" s="410"/>
      <c r="F2370" s="410"/>
      <c r="H2370" s="269"/>
      <c r="I2370" s="269"/>
      <c r="J2370" s="269"/>
      <c r="K2370" s="269"/>
      <c r="L2370" s="269"/>
      <c r="M2370" s="269"/>
      <c r="N2370" s="269"/>
      <c r="O2370" s="269"/>
      <c r="P2370" s="269"/>
      <c r="Q2370" s="269"/>
      <c r="R2370" s="269"/>
      <c r="S2370" s="269"/>
      <c r="T2370" s="269"/>
      <c r="U2370" s="269"/>
      <c r="V2370" s="269"/>
      <c r="W2370" s="269"/>
      <c r="X2370" s="269"/>
      <c r="Y2370" s="269"/>
      <c r="Z2370" s="269"/>
      <c r="AA2370" s="269"/>
      <c r="AB2370" s="269"/>
      <c r="AC2370" s="269"/>
      <c r="AD2370" s="269"/>
      <c r="AE2370" s="269"/>
      <c r="AF2370" s="269"/>
      <c r="AG2370" s="269"/>
      <c r="AH2370" s="269"/>
      <c r="AI2370" s="269"/>
      <c r="AJ2370" s="269"/>
      <c r="AK2370" s="269"/>
      <c r="AL2370" s="269"/>
      <c r="AM2370" s="269"/>
      <c r="AN2370" s="269"/>
      <c r="AO2370" s="269"/>
      <c r="AP2370" s="269"/>
      <c r="AQ2370" s="269"/>
      <c r="AR2370" s="269"/>
    </row>
    <row r="2371">
      <c r="A2371" s="410"/>
      <c r="B2371" s="410"/>
      <c r="C2371" s="410"/>
      <c r="D2371" s="410"/>
      <c r="E2371" s="410"/>
      <c r="F2371" s="410"/>
      <c r="H2371" s="269"/>
      <c r="I2371" s="269"/>
      <c r="J2371" s="269"/>
      <c r="K2371" s="269"/>
      <c r="L2371" s="269"/>
      <c r="M2371" s="269"/>
      <c r="N2371" s="269"/>
      <c r="O2371" s="269"/>
      <c r="P2371" s="269"/>
      <c r="Q2371" s="269"/>
      <c r="R2371" s="269"/>
      <c r="S2371" s="269"/>
      <c r="T2371" s="269"/>
      <c r="U2371" s="269"/>
      <c r="V2371" s="269"/>
      <c r="W2371" s="269"/>
      <c r="X2371" s="269"/>
      <c r="Y2371" s="269"/>
      <c r="Z2371" s="269"/>
      <c r="AA2371" s="269"/>
      <c r="AB2371" s="269"/>
      <c r="AC2371" s="269"/>
      <c r="AD2371" s="269"/>
      <c r="AE2371" s="269"/>
      <c r="AF2371" s="269"/>
      <c r="AG2371" s="269"/>
      <c r="AH2371" s="269"/>
      <c r="AI2371" s="269"/>
      <c r="AJ2371" s="269"/>
      <c r="AK2371" s="269"/>
      <c r="AL2371" s="269"/>
      <c r="AM2371" s="269"/>
      <c r="AN2371" s="269"/>
      <c r="AO2371" s="269"/>
      <c r="AP2371" s="269"/>
      <c r="AQ2371" s="269"/>
      <c r="AR2371" s="269"/>
    </row>
    <row r="2372">
      <c r="A2372" s="410"/>
      <c r="B2372" s="410"/>
      <c r="C2372" s="410"/>
      <c r="D2372" s="410"/>
      <c r="E2372" s="410"/>
      <c r="F2372" s="410"/>
      <c r="H2372" s="269"/>
      <c r="I2372" s="269"/>
      <c r="J2372" s="269"/>
      <c r="K2372" s="269"/>
      <c r="L2372" s="269"/>
      <c r="M2372" s="269"/>
      <c r="N2372" s="269"/>
      <c r="O2372" s="269"/>
      <c r="P2372" s="269"/>
      <c r="Q2372" s="269"/>
      <c r="R2372" s="269"/>
      <c r="S2372" s="269"/>
      <c r="T2372" s="269"/>
      <c r="U2372" s="269"/>
      <c r="V2372" s="269"/>
      <c r="W2372" s="269"/>
      <c r="X2372" s="269"/>
      <c r="Y2372" s="269"/>
      <c r="Z2372" s="269"/>
      <c r="AA2372" s="269"/>
      <c r="AB2372" s="269"/>
      <c r="AC2372" s="269"/>
      <c r="AD2372" s="269"/>
      <c r="AE2372" s="269"/>
      <c r="AF2372" s="269"/>
      <c r="AG2372" s="269"/>
      <c r="AH2372" s="269"/>
      <c r="AI2372" s="269"/>
      <c r="AJ2372" s="269"/>
      <c r="AK2372" s="269"/>
      <c r="AL2372" s="269"/>
      <c r="AM2372" s="269"/>
      <c r="AN2372" s="269"/>
      <c r="AO2372" s="269"/>
      <c r="AP2372" s="269"/>
      <c r="AQ2372" s="269"/>
      <c r="AR2372" s="269"/>
    </row>
    <row r="2373">
      <c r="A2373" s="410"/>
      <c r="B2373" s="410"/>
      <c r="C2373" s="410"/>
      <c r="D2373" s="410"/>
      <c r="E2373" s="410"/>
      <c r="F2373" s="410"/>
      <c r="H2373" s="269"/>
      <c r="I2373" s="269"/>
      <c r="J2373" s="269"/>
      <c r="K2373" s="269"/>
      <c r="L2373" s="269"/>
      <c r="M2373" s="269"/>
      <c r="N2373" s="269"/>
      <c r="O2373" s="269"/>
      <c r="P2373" s="269"/>
      <c r="Q2373" s="269"/>
      <c r="R2373" s="269"/>
      <c r="S2373" s="269"/>
      <c r="T2373" s="269"/>
      <c r="U2373" s="269"/>
      <c r="V2373" s="269"/>
      <c r="W2373" s="269"/>
      <c r="X2373" s="269"/>
      <c r="Y2373" s="269"/>
      <c r="Z2373" s="269"/>
      <c r="AA2373" s="269"/>
      <c r="AB2373" s="269"/>
      <c r="AC2373" s="269"/>
      <c r="AD2373" s="269"/>
      <c r="AE2373" s="269"/>
      <c r="AF2373" s="269"/>
      <c r="AG2373" s="269"/>
      <c r="AH2373" s="269"/>
      <c r="AI2373" s="269"/>
      <c r="AJ2373" s="269"/>
      <c r="AK2373" s="269"/>
      <c r="AL2373" s="269"/>
      <c r="AM2373" s="269"/>
      <c r="AN2373" s="269"/>
      <c r="AO2373" s="269"/>
      <c r="AP2373" s="269"/>
      <c r="AQ2373" s="269"/>
      <c r="AR2373" s="269"/>
    </row>
    <row r="2374">
      <c r="A2374" s="410"/>
      <c r="B2374" s="410"/>
      <c r="C2374" s="410"/>
      <c r="D2374" s="410"/>
      <c r="E2374" s="410"/>
      <c r="F2374" s="410"/>
      <c r="H2374" s="269"/>
      <c r="I2374" s="269"/>
      <c r="J2374" s="269"/>
      <c r="K2374" s="269"/>
      <c r="L2374" s="269"/>
      <c r="M2374" s="269"/>
      <c r="N2374" s="269"/>
      <c r="O2374" s="269"/>
      <c r="P2374" s="269"/>
      <c r="Q2374" s="269"/>
      <c r="R2374" s="269"/>
      <c r="S2374" s="269"/>
      <c r="T2374" s="269"/>
      <c r="U2374" s="269"/>
      <c r="V2374" s="269"/>
      <c r="W2374" s="269"/>
      <c r="X2374" s="269"/>
      <c r="Y2374" s="269"/>
      <c r="Z2374" s="269"/>
      <c r="AA2374" s="269"/>
      <c r="AB2374" s="269"/>
      <c r="AC2374" s="269"/>
      <c r="AD2374" s="269"/>
      <c r="AE2374" s="269"/>
      <c r="AF2374" s="269"/>
      <c r="AG2374" s="269"/>
      <c r="AH2374" s="269"/>
      <c r="AI2374" s="269"/>
      <c r="AJ2374" s="269"/>
      <c r="AK2374" s="269"/>
      <c r="AL2374" s="269"/>
      <c r="AM2374" s="269"/>
      <c r="AN2374" s="269"/>
      <c r="AO2374" s="269"/>
      <c r="AP2374" s="269"/>
      <c r="AQ2374" s="269"/>
      <c r="AR2374" s="269"/>
    </row>
    <row r="2375">
      <c r="A2375" s="410"/>
      <c r="B2375" s="410"/>
      <c r="C2375" s="410"/>
      <c r="D2375" s="410"/>
      <c r="E2375" s="410"/>
      <c r="F2375" s="410"/>
      <c r="H2375" s="269"/>
      <c r="I2375" s="269"/>
      <c r="J2375" s="269"/>
      <c r="K2375" s="269"/>
      <c r="L2375" s="269"/>
      <c r="M2375" s="269"/>
      <c r="N2375" s="269"/>
      <c r="O2375" s="269"/>
      <c r="P2375" s="269"/>
      <c r="Q2375" s="269"/>
      <c r="R2375" s="269"/>
      <c r="S2375" s="269"/>
      <c r="T2375" s="269"/>
      <c r="U2375" s="269"/>
      <c r="V2375" s="269"/>
      <c r="W2375" s="269"/>
      <c r="X2375" s="269"/>
      <c r="Y2375" s="269"/>
      <c r="Z2375" s="269"/>
      <c r="AA2375" s="269"/>
      <c r="AB2375" s="269"/>
      <c r="AC2375" s="269"/>
      <c r="AD2375" s="269"/>
      <c r="AE2375" s="269"/>
      <c r="AF2375" s="269"/>
      <c r="AG2375" s="269"/>
      <c r="AH2375" s="269"/>
      <c r="AI2375" s="269"/>
      <c r="AJ2375" s="269"/>
      <c r="AK2375" s="269"/>
      <c r="AL2375" s="269"/>
      <c r="AM2375" s="269"/>
      <c r="AN2375" s="269"/>
      <c r="AO2375" s="269"/>
      <c r="AP2375" s="269"/>
      <c r="AQ2375" s="269"/>
      <c r="AR2375" s="269"/>
    </row>
    <row r="2376">
      <c r="A2376" s="410"/>
      <c r="B2376" s="410"/>
      <c r="C2376" s="410"/>
      <c r="D2376" s="410"/>
      <c r="E2376" s="410"/>
      <c r="F2376" s="410"/>
      <c r="H2376" s="269"/>
      <c r="I2376" s="269"/>
      <c r="J2376" s="269"/>
      <c r="K2376" s="269"/>
      <c r="L2376" s="269"/>
      <c r="M2376" s="269"/>
      <c r="N2376" s="269"/>
      <c r="O2376" s="269"/>
      <c r="P2376" s="269"/>
      <c r="Q2376" s="269"/>
      <c r="R2376" s="269"/>
      <c r="S2376" s="269"/>
      <c r="T2376" s="269"/>
      <c r="U2376" s="269"/>
      <c r="V2376" s="269"/>
      <c r="W2376" s="269"/>
      <c r="X2376" s="269"/>
      <c r="Y2376" s="269"/>
      <c r="Z2376" s="269"/>
      <c r="AA2376" s="269"/>
      <c r="AB2376" s="269"/>
      <c r="AC2376" s="269"/>
      <c r="AD2376" s="269"/>
      <c r="AE2376" s="269"/>
      <c r="AF2376" s="269"/>
      <c r="AG2376" s="269"/>
      <c r="AH2376" s="269"/>
      <c r="AI2376" s="269"/>
      <c r="AJ2376" s="269"/>
      <c r="AK2376" s="269"/>
      <c r="AL2376" s="269"/>
      <c r="AM2376" s="269"/>
      <c r="AN2376" s="269"/>
      <c r="AO2376" s="269"/>
      <c r="AP2376" s="269"/>
      <c r="AQ2376" s="269"/>
      <c r="AR2376" s="269"/>
    </row>
    <row r="2377">
      <c r="A2377" s="410"/>
      <c r="B2377" s="410"/>
      <c r="C2377" s="410"/>
      <c r="D2377" s="410"/>
      <c r="E2377" s="410"/>
      <c r="F2377" s="410"/>
      <c r="H2377" s="269"/>
      <c r="I2377" s="269"/>
      <c r="J2377" s="269"/>
      <c r="K2377" s="269"/>
      <c r="L2377" s="269"/>
      <c r="M2377" s="269"/>
      <c r="N2377" s="269"/>
      <c r="O2377" s="269"/>
      <c r="P2377" s="269"/>
      <c r="Q2377" s="269"/>
      <c r="R2377" s="269"/>
      <c r="S2377" s="269"/>
      <c r="T2377" s="269"/>
      <c r="U2377" s="269"/>
      <c r="V2377" s="269"/>
      <c r="W2377" s="269"/>
      <c r="X2377" s="269"/>
      <c r="Y2377" s="269"/>
      <c r="Z2377" s="269"/>
      <c r="AA2377" s="269"/>
      <c r="AB2377" s="269"/>
      <c r="AC2377" s="269"/>
      <c r="AD2377" s="269"/>
      <c r="AE2377" s="269"/>
      <c r="AF2377" s="269"/>
      <c r="AG2377" s="269"/>
      <c r="AH2377" s="269"/>
      <c r="AI2377" s="269"/>
      <c r="AJ2377" s="269"/>
      <c r="AK2377" s="269"/>
      <c r="AL2377" s="269"/>
      <c r="AM2377" s="269"/>
      <c r="AN2377" s="269"/>
      <c r="AO2377" s="269"/>
      <c r="AP2377" s="269"/>
      <c r="AQ2377" s="269"/>
      <c r="AR2377" s="269"/>
    </row>
    <row r="2378">
      <c r="A2378" s="410"/>
      <c r="B2378" s="410"/>
      <c r="C2378" s="410"/>
      <c r="D2378" s="410"/>
      <c r="E2378" s="410"/>
      <c r="F2378" s="410"/>
      <c r="H2378" s="269"/>
      <c r="I2378" s="269"/>
      <c r="J2378" s="269"/>
      <c r="K2378" s="269"/>
      <c r="L2378" s="269"/>
      <c r="M2378" s="269"/>
      <c r="N2378" s="269"/>
      <c r="O2378" s="269"/>
      <c r="P2378" s="269"/>
      <c r="Q2378" s="269"/>
      <c r="R2378" s="269"/>
      <c r="S2378" s="269"/>
      <c r="T2378" s="269"/>
      <c r="U2378" s="269"/>
      <c r="V2378" s="269"/>
      <c r="W2378" s="269"/>
      <c r="X2378" s="269"/>
      <c r="Y2378" s="269"/>
      <c r="Z2378" s="269"/>
      <c r="AA2378" s="269"/>
      <c r="AB2378" s="269"/>
      <c r="AC2378" s="269"/>
      <c r="AD2378" s="269"/>
      <c r="AE2378" s="269"/>
      <c r="AF2378" s="269"/>
      <c r="AG2378" s="269"/>
      <c r="AH2378" s="269"/>
      <c r="AI2378" s="269"/>
      <c r="AJ2378" s="269"/>
      <c r="AK2378" s="269"/>
      <c r="AL2378" s="269"/>
      <c r="AM2378" s="269"/>
      <c r="AN2378" s="269"/>
      <c r="AO2378" s="269"/>
      <c r="AP2378" s="269"/>
      <c r="AQ2378" s="269"/>
      <c r="AR2378" s="269"/>
    </row>
    <row r="2379">
      <c r="A2379" s="410"/>
      <c r="B2379" s="410"/>
      <c r="C2379" s="410"/>
      <c r="D2379" s="410"/>
      <c r="E2379" s="410"/>
      <c r="F2379" s="410"/>
      <c r="H2379" s="269"/>
      <c r="I2379" s="269"/>
      <c r="J2379" s="269"/>
      <c r="K2379" s="269"/>
      <c r="L2379" s="269"/>
      <c r="M2379" s="269"/>
      <c r="N2379" s="269"/>
      <c r="O2379" s="269"/>
      <c r="P2379" s="269"/>
      <c r="Q2379" s="269"/>
      <c r="R2379" s="269"/>
      <c r="S2379" s="269"/>
      <c r="T2379" s="269"/>
      <c r="U2379" s="269"/>
      <c r="V2379" s="269"/>
      <c r="W2379" s="269"/>
      <c r="X2379" s="269"/>
      <c r="Y2379" s="269"/>
      <c r="Z2379" s="269"/>
      <c r="AA2379" s="269"/>
      <c r="AB2379" s="269"/>
      <c r="AC2379" s="269"/>
      <c r="AD2379" s="269"/>
      <c r="AE2379" s="269"/>
      <c r="AF2379" s="269"/>
      <c r="AG2379" s="269"/>
      <c r="AH2379" s="269"/>
      <c r="AI2379" s="269"/>
      <c r="AJ2379" s="269"/>
      <c r="AK2379" s="269"/>
      <c r="AL2379" s="269"/>
      <c r="AM2379" s="269"/>
      <c r="AN2379" s="269"/>
      <c r="AO2379" s="269"/>
      <c r="AP2379" s="269"/>
      <c r="AQ2379" s="269"/>
      <c r="AR2379" s="269"/>
    </row>
    <row r="2380">
      <c r="A2380" s="410"/>
      <c r="B2380" s="410"/>
      <c r="C2380" s="410"/>
      <c r="D2380" s="410"/>
      <c r="E2380" s="410"/>
      <c r="F2380" s="410"/>
      <c r="H2380" s="269"/>
      <c r="I2380" s="269"/>
      <c r="J2380" s="269"/>
      <c r="K2380" s="269"/>
      <c r="L2380" s="269"/>
      <c r="M2380" s="269"/>
      <c r="N2380" s="269"/>
      <c r="O2380" s="269"/>
      <c r="P2380" s="269"/>
      <c r="Q2380" s="269"/>
      <c r="R2380" s="269"/>
      <c r="S2380" s="269"/>
      <c r="T2380" s="269"/>
      <c r="U2380" s="269"/>
      <c r="V2380" s="269"/>
      <c r="W2380" s="269"/>
      <c r="X2380" s="269"/>
      <c r="Y2380" s="269"/>
      <c r="Z2380" s="269"/>
      <c r="AA2380" s="269"/>
      <c r="AB2380" s="269"/>
      <c r="AC2380" s="269"/>
      <c r="AD2380" s="269"/>
      <c r="AE2380" s="269"/>
      <c r="AF2380" s="269"/>
      <c r="AG2380" s="269"/>
      <c r="AH2380" s="269"/>
      <c r="AI2380" s="269"/>
      <c r="AJ2380" s="269"/>
      <c r="AK2380" s="269"/>
      <c r="AL2380" s="269"/>
      <c r="AM2380" s="269"/>
      <c r="AN2380" s="269"/>
      <c r="AO2380" s="269"/>
      <c r="AP2380" s="269"/>
      <c r="AQ2380" s="269"/>
      <c r="AR2380" s="269"/>
    </row>
    <row r="2381">
      <c r="A2381" s="410"/>
      <c r="B2381" s="410"/>
      <c r="C2381" s="410"/>
      <c r="D2381" s="410"/>
      <c r="E2381" s="410"/>
      <c r="F2381" s="410"/>
      <c r="H2381" s="269"/>
      <c r="I2381" s="269"/>
      <c r="J2381" s="269"/>
      <c r="K2381" s="269"/>
      <c r="L2381" s="269"/>
      <c r="M2381" s="269"/>
      <c r="N2381" s="269"/>
      <c r="O2381" s="269"/>
      <c r="P2381" s="269"/>
      <c r="Q2381" s="269"/>
      <c r="R2381" s="269"/>
      <c r="S2381" s="269"/>
      <c r="T2381" s="269"/>
      <c r="U2381" s="269"/>
      <c r="V2381" s="269"/>
      <c r="W2381" s="269"/>
      <c r="X2381" s="269"/>
      <c r="Y2381" s="269"/>
      <c r="Z2381" s="269"/>
      <c r="AA2381" s="269"/>
      <c r="AB2381" s="269"/>
      <c r="AC2381" s="269"/>
      <c r="AD2381" s="269"/>
      <c r="AE2381" s="269"/>
      <c r="AF2381" s="269"/>
      <c r="AG2381" s="269"/>
      <c r="AH2381" s="269"/>
      <c r="AI2381" s="269"/>
      <c r="AJ2381" s="269"/>
      <c r="AK2381" s="269"/>
      <c r="AL2381" s="269"/>
      <c r="AM2381" s="269"/>
      <c r="AN2381" s="269"/>
      <c r="AO2381" s="269"/>
      <c r="AP2381" s="269"/>
      <c r="AQ2381" s="269"/>
      <c r="AR2381" s="269"/>
    </row>
    <row r="2382">
      <c r="A2382" s="410"/>
      <c r="B2382" s="410"/>
      <c r="C2382" s="410"/>
      <c r="D2382" s="410"/>
      <c r="E2382" s="410"/>
      <c r="F2382" s="410"/>
      <c r="H2382" s="269"/>
      <c r="I2382" s="269"/>
      <c r="J2382" s="269"/>
      <c r="K2382" s="269"/>
      <c r="L2382" s="269"/>
      <c r="M2382" s="269"/>
      <c r="N2382" s="269"/>
      <c r="O2382" s="269"/>
      <c r="P2382" s="269"/>
      <c r="Q2382" s="269"/>
      <c r="R2382" s="269"/>
      <c r="S2382" s="269"/>
      <c r="T2382" s="269"/>
      <c r="U2382" s="269"/>
      <c r="V2382" s="269"/>
      <c r="W2382" s="269"/>
      <c r="X2382" s="269"/>
      <c r="Y2382" s="269"/>
      <c r="Z2382" s="269"/>
      <c r="AA2382" s="269"/>
      <c r="AB2382" s="269"/>
      <c r="AC2382" s="269"/>
      <c r="AD2382" s="269"/>
      <c r="AE2382" s="269"/>
      <c r="AF2382" s="269"/>
      <c r="AG2382" s="269"/>
      <c r="AH2382" s="269"/>
      <c r="AI2382" s="269"/>
      <c r="AJ2382" s="269"/>
      <c r="AK2382" s="269"/>
      <c r="AL2382" s="269"/>
      <c r="AM2382" s="269"/>
      <c r="AN2382" s="269"/>
      <c r="AO2382" s="269"/>
      <c r="AP2382" s="269"/>
      <c r="AQ2382" s="269"/>
      <c r="AR2382" s="269"/>
    </row>
    <row r="2383">
      <c r="A2383" s="410"/>
      <c r="B2383" s="410"/>
      <c r="C2383" s="410"/>
      <c r="D2383" s="410"/>
      <c r="E2383" s="410"/>
      <c r="F2383" s="410"/>
      <c r="H2383" s="269"/>
      <c r="I2383" s="269"/>
      <c r="J2383" s="269"/>
      <c r="K2383" s="269"/>
      <c r="L2383" s="269"/>
      <c r="M2383" s="269"/>
      <c r="N2383" s="269"/>
      <c r="O2383" s="269"/>
      <c r="P2383" s="269"/>
      <c r="Q2383" s="269"/>
      <c r="R2383" s="269"/>
      <c r="S2383" s="269"/>
      <c r="T2383" s="269"/>
      <c r="U2383" s="269"/>
      <c r="V2383" s="269"/>
      <c r="W2383" s="269"/>
      <c r="X2383" s="269"/>
      <c r="Y2383" s="269"/>
      <c r="Z2383" s="269"/>
      <c r="AA2383" s="269"/>
      <c r="AB2383" s="269"/>
      <c r="AC2383" s="269"/>
      <c r="AD2383" s="269"/>
      <c r="AE2383" s="269"/>
      <c r="AF2383" s="269"/>
      <c r="AG2383" s="269"/>
      <c r="AH2383" s="269"/>
      <c r="AI2383" s="269"/>
      <c r="AJ2383" s="269"/>
      <c r="AK2383" s="269"/>
      <c r="AL2383" s="269"/>
      <c r="AM2383" s="269"/>
      <c r="AN2383" s="269"/>
      <c r="AO2383" s="269"/>
      <c r="AP2383" s="269"/>
      <c r="AQ2383" s="269"/>
      <c r="AR2383" s="269"/>
    </row>
    <row r="2384">
      <c r="A2384" s="410"/>
      <c r="B2384" s="410"/>
      <c r="C2384" s="410"/>
      <c r="D2384" s="410"/>
      <c r="E2384" s="410"/>
      <c r="F2384" s="410"/>
      <c r="H2384" s="269"/>
      <c r="I2384" s="269"/>
      <c r="J2384" s="269"/>
      <c r="K2384" s="269"/>
      <c r="L2384" s="269"/>
      <c r="M2384" s="269"/>
      <c r="N2384" s="269"/>
      <c r="O2384" s="269"/>
      <c r="P2384" s="269"/>
      <c r="Q2384" s="269"/>
      <c r="R2384" s="269"/>
      <c r="S2384" s="269"/>
      <c r="T2384" s="269"/>
      <c r="U2384" s="269"/>
      <c r="V2384" s="269"/>
      <c r="W2384" s="269"/>
      <c r="X2384" s="269"/>
      <c r="Y2384" s="269"/>
      <c r="Z2384" s="269"/>
      <c r="AA2384" s="269"/>
      <c r="AB2384" s="269"/>
      <c r="AC2384" s="269"/>
      <c r="AD2384" s="269"/>
      <c r="AE2384" s="269"/>
      <c r="AF2384" s="269"/>
      <c r="AG2384" s="269"/>
      <c r="AH2384" s="269"/>
      <c r="AI2384" s="269"/>
      <c r="AJ2384" s="269"/>
      <c r="AK2384" s="269"/>
      <c r="AL2384" s="269"/>
      <c r="AM2384" s="269"/>
      <c r="AN2384" s="269"/>
      <c r="AO2384" s="269"/>
      <c r="AP2384" s="269"/>
      <c r="AQ2384" s="269"/>
      <c r="AR2384" s="269"/>
    </row>
    <row r="2385">
      <c r="A2385" s="410"/>
      <c r="B2385" s="410"/>
      <c r="C2385" s="410"/>
      <c r="D2385" s="410"/>
      <c r="E2385" s="410"/>
      <c r="F2385" s="410"/>
      <c r="H2385" s="269"/>
      <c r="I2385" s="269"/>
      <c r="J2385" s="269"/>
      <c r="K2385" s="269"/>
      <c r="L2385" s="269"/>
      <c r="M2385" s="269"/>
      <c r="N2385" s="269"/>
      <c r="O2385" s="269"/>
      <c r="P2385" s="269"/>
      <c r="Q2385" s="269"/>
      <c r="R2385" s="269"/>
      <c r="S2385" s="269"/>
      <c r="T2385" s="269"/>
      <c r="U2385" s="269"/>
      <c r="V2385" s="269"/>
      <c r="W2385" s="269"/>
      <c r="X2385" s="269"/>
      <c r="Y2385" s="269"/>
      <c r="Z2385" s="269"/>
      <c r="AA2385" s="269"/>
      <c r="AB2385" s="269"/>
      <c r="AC2385" s="269"/>
      <c r="AD2385" s="269"/>
      <c r="AE2385" s="269"/>
      <c r="AF2385" s="269"/>
      <c r="AG2385" s="269"/>
      <c r="AH2385" s="269"/>
      <c r="AI2385" s="269"/>
      <c r="AJ2385" s="269"/>
      <c r="AK2385" s="269"/>
      <c r="AL2385" s="269"/>
      <c r="AM2385" s="269"/>
      <c r="AN2385" s="269"/>
      <c r="AO2385" s="269"/>
      <c r="AP2385" s="269"/>
      <c r="AQ2385" s="269"/>
      <c r="AR2385" s="269"/>
    </row>
    <row r="2386">
      <c r="A2386" s="410"/>
      <c r="B2386" s="410"/>
      <c r="C2386" s="410"/>
      <c r="D2386" s="410"/>
      <c r="E2386" s="410"/>
      <c r="F2386" s="410"/>
      <c r="H2386" s="269"/>
      <c r="I2386" s="269"/>
      <c r="J2386" s="269"/>
      <c r="K2386" s="269"/>
      <c r="L2386" s="269"/>
      <c r="M2386" s="269"/>
      <c r="N2386" s="269"/>
      <c r="O2386" s="269"/>
      <c r="P2386" s="269"/>
      <c r="Q2386" s="269"/>
      <c r="R2386" s="269"/>
      <c r="S2386" s="269"/>
      <c r="T2386" s="269"/>
      <c r="U2386" s="269"/>
      <c r="V2386" s="269"/>
      <c r="W2386" s="269"/>
      <c r="X2386" s="269"/>
      <c r="Y2386" s="269"/>
      <c r="Z2386" s="269"/>
      <c r="AA2386" s="269"/>
      <c r="AB2386" s="269"/>
      <c r="AC2386" s="269"/>
      <c r="AD2386" s="269"/>
      <c r="AE2386" s="269"/>
      <c r="AF2386" s="269"/>
      <c r="AG2386" s="269"/>
      <c r="AH2386" s="269"/>
      <c r="AI2386" s="269"/>
      <c r="AJ2386" s="269"/>
      <c r="AK2386" s="269"/>
      <c r="AL2386" s="269"/>
      <c r="AM2386" s="269"/>
      <c r="AN2386" s="269"/>
      <c r="AO2386" s="269"/>
      <c r="AP2386" s="269"/>
      <c r="AQ2386" s="269"/>
      <c r="AR2386" s="269"/>
    </row>
    <row r="2387">
      <c r="A2387" s="410"/>
      <c r="B2387" s="410"/>
      <c r="C2387" s="410"/>
      <c r="D2387" s="410"/>
      <c r="E2387" s="410"/>
      <c r="F2387" s="410"/>
      <c r="H2387" s="269"/>
      <c r="I2387" s="269"/>
      <c r="J2387" s="269"/>
      <c r="K2387" s="269"/>
      <c r="L2387" s="269"/>
      <c r="M2387" s="269"/>
      <c r="N2387" s="269"/>
      <c r="O2387" s="269"/>
      <c r="P2387" s="269"/>
      <c r="Q2387" s="269"/>
      <c r="R2387" s="269"/>
      <c r="S2387" s="269"/>
      <c r="T2387" s="269"/>
      <c r="U2387" s="269"/>
      <c r="V2387" s="269"/>
      <c r="W2387" s="269"/>
      <c r="X2387" s="269"/>
      <c r="Y2387" s="269"/>
      <c r="Z2387" s="269"/>
      <c r="AA2387" s="269"/>
      <c r="AB2387" s="269"/>
      <c r="AC2387" s="269"/>
      <c r="AD2387" s="269"/>
      <c r="AE2387" s="269"/>
      <c r="AF2387" s="269"/>
      <c r="AG2387" s="269"/>
      <c r="AH2387" s="269"/>
      <c r="AI2387" s="269"/>
      <c r="AJ2387" s="269"/>
      <c r="AK2387" s="269"/>
      <c r="AL2387" s="269"/>
      <c r="AM2387" s="269"/>
      <c r="AN2387" s="269"/>
      <c r="AO2387" s="269"/>
      <c r="AP2387" s="269"/>
      <c r="AQ2387" s="269"/>
      <c r="AR2387" s="269"/>
    </row>
    <row r="2388">
      <c r="A2388" s="410"/>
      <c r="B2388" s="410"/>
      <c r="C2388" s="410"/>
      <c r="D2388" s="410"/>
      <c r="E2388" s="410"/>
      <c r="F2388" s="410"/>
      <c r="H2388" s="269"/>
      <c r="I2388" s="269"/>
      <c r="J2388" s="269"/>
      <c r="K2388" s="269"/>
      <c r="L2388" s="269"/>
      <c r="M2388" s="269"/>
      <c r="N2388" s="269"/>
      <c r="O2388" s="269"/>
      <c r="P2388" s="269"/>
      <c r="Q2388" s="269"/>
      <c r="R2388" s="269"/>
      <c r="S2388" s="269"/>
      <c r="T2388" s="269"/>
      <c r="U2388" s="269"/>
      <c r="V2388" s="269"/>
      <c r="W2388" s="269"/>
      <c r="X2388" s="269"/>
      <c r="Y2388" s="269"/>
      <c r="Z2388" s="269"/>
      <c r="AA2388" s="269"/>
      <c r="AB2388" s="269"/>
      <c r="AC2388" s="269"/>
      <c r="AD2388" s="269"/>
      <c r="AE2388" s="269"/>
      <c r="AF2388" s="269"/>
      <c r="AG2388" s="269"/>
      <c r="AH2388" s="269"/>
      <c r="AI2388" s="269"/>
      <c r="AJ2388" s="269"/>
      <c r="AK2388" s="269"/>
      <c r="AL2388" s="269"/>
      <c r="AM2388" s="269"/>
      <c r="AN2388" s="269"/>
      <c r="AO2388" s="269"/>
      <c r="AP2388" s="269"/>
      <c r="AQ2388" s="269"/>
      <c r="AR2388" s="269"/>
    </row>
    <row r="2389">
      <c r="A2389" s="410"/>
      <c r="B2389" s="410"/>
      <c r="C2389" s="410"/>
      <c r="D2389" s="410"/>
      <c r="E2389" s="410"/>
      <c r="F2389" s="410"/>
      <c r="H2389" s="269"/>
      <c r="I2389" s="269"/>
      <c r="J2389" s="269"/>
      <c r="K2389" s="269"/>
      <c r="L2389" s="269"/>
      <c r="M2389" s="269"/>
      <c r="N2389" s="269"/>
      <c r="O2389" s="269"/>
      <c r="P2389" s="269"/>
      <c r="Q2389" s="269"/>
      <c r="R2389" s="269"/>
      <c r="S2389" s="269"/>
      <c r="T2389" s="269"/>
      <c r="U2389" s="269"/>
      <c r="V2389" s="269"/>
      <c r="W2389" s="269"/>
      <c r="X2389" s="269"/>
      <c r="Y2389" s="269"/>
      <c r="Z2389" s="269"/>
      <c r="AA2389" s="269"/>
      <c r="AB2389" s="269"/>
      <c r="AC2389" s="269"/>
      <c r="AD2389" s="269"/>
      <c r="AE2389" s="269"/>
      <c r="AF2389" s="269"/>
      <c r="AG2389" s="269"/>
      <c r="AH2389" s="269"/>
      <c r="AI2389" s="269"/>
      <c r="AJ2389" s="269"/>
      <c r="AK2389" s="269"/>
      <c r="AL2389" s="269"/>
      <c r="AM2389" s="269"/>
      <c r="AN2389" s="269"/>
      <c r="AO2389" s="269"/>
      <c r="AP2389" s="269"/>
      <c r="AQ2389" s="269"/>
      <c r="AR2389" s="269"/>
    </row>
    <row r="2390">
      <c r="A2390" s="410"/>
      <c r="B2390" s="410"/>
      <c r="C2390" s="410"/>
      <c r="D2390" s="410"/>
      <c r="E2390" s="410"/>
      <c r="F2390" s="410"/>
      <c r="H2390" s="269"/>
      <c r="I2390" s="269"/>
      <c r="J2390" s="269"/>
      <c r="K2390" s="269"/>
      <c r="L2390" s="269"/>
      <c r="M2390" s="269"/>
      <c r="N2390" s="269"/>
      <c r="O2390" s="269"/>
      <c r="P2390" s="269"/>
      <c r="Q2390" s="269"/>
      <c r="R2390" s="269"/>
      <c r="S2390" s="269"/>
      <c r="T2390" s="269"/>
      <c r="U2390" s="269"/>
      <c r="V2390" s="269"/>
      <c r="W2390" s="269"/>
      <c r="X2390" s="269"/>
      <c r="Y2390" s="269"/>
      <c r="Z2390" s="269"/>
      <c r="AA2390" s="269"/>
      <c r="AB2390" s="269"/>
      <c r="AC2390" s="269"/>
      <c r="AD2390" s="269"/>
      <c r="AE2390" s="269"/>
      <c r="AF2390" s="269"/>
      <c r="AG2390" s="269"/>
      <c r="AH2390" s="269"/>
      <c r="AI2390" s="269"/>
      <c r="AJ2390" s="269"/>
      <c r="AK2390" s="269"/>
      <c r="AL2390" s="269"/>
      <c r="AM2390" s="269"/>
      <c r="AN2390" s="269"/>
      <c r="AO2390" s="269"/>
      <c r="AP2390" s="269"/>
      <c r="AQ2390" s="269"/>
      <c r="AR2390" s="269"/>
    </row>
    <row r="2391">
      <c r="A2391" s="410"/>
      <c r="B2391" s="410"/>
      <c r="C2391" s="410"/>
      <c r="D2391" s="410"/>
      <c r="E2391" s="410"/>
      <c r="F2391" s="410"/>
      <c r="H2391" s="269"/>
      <c r="I2391" s="269"/>
      <c r="J2391" s="269"/>
      <c r="K2391" s="269"/>
      <c r="L2391" s="269"/>
      <c r="M2391" s="269"/>
      <c r="N2391" s="269"/>
      <c r="O2391" s="269"/>
      <c r="P2391" s="269"/>
      <c r="Q2391" s="269"/>
      <c r="R2391" s="269"/>
      <c r="S2391" s="269"/>
      <c r="T2391" s="269"/>
      <c r="U2391" s="269"/>
      <c r="V2391" s="269"/>
      <c r="W2391" s="269"/>
      <c r="X2391" s="269"/>
      <c r="Y2391" s="269"/>
      <c r="Z2391" s="269"/>
      <c r="AA2391" s="269"/>
      <c r="AB2391" s="269"/>
      <c r="AC2391" s="269"/>
      <c r="AD2391" s="269"/>
      <c r="AE2391" s="269"/>
      <c r="AF2391" s="269"/>
      <c r="AG2391" s="269"/>
      <c r="AH2391" s="269"/>
      <c r="AI2391" s="269"/>
      <c r="AJ2391" s="269"/>
      <c r="AK2391" s="269"/>
      <c r="AL2391" s="269"/>
      <c r="AM2391" s="269"/>
      <c r="AN2391" s="269"/>
      <c r="AO2391" s="269"/>
      <c r="AP2391" s="269"/>
      <c r="AQ2391" s="269"/>
      <c r="AR2391" s="269"/>
    </row>
    <row r="2392">
      <c r="A2392" s="410"/>
      <c r="B2392" s="410"/>
      <c r="C2392" s="410"/>
      <c r="D2392" s="410"/>
      <c r="E2392" s="410"/>
      <c r="F2392" s="410"/>
      <c r="H2392" s="269"/>
      <c r="I2392" s="269"/>
      <c r="J2392" s="269"/>
      <c r="K2392" s="269"/>
      <c r="L2392" s="269"/>
      <c r="M2392" s="269"/>
      <c r="N2392" s="269"/>
      <c r="O2392" s="269"/>
      <c r="P2392" s="269"/>
      <c r="Q2392" s="269"/>
      <c r="R2392" s="269"/>
      <c r="S2392" s="269"/>
      <c r="T2392" s="269"/>
      <c r="U2392" s="269"/>
      <c r="V2392" s="269"/>
      <c r="W2392" s="269"/>
      <c r="X2392" s="269"/>
      <c r="Y2392" s="269"/>
      <c r="Z2392" s="269"/>
      <c r="AA2392" s="269"/>
      <c r="AB2392" s="269"/>
      <c r="AC2392" s="269"/>
      <c r="AD2392" s="269"/>
      <c r="AE2392" s="269"/>
      <c r="AF2392" s="269"/>
      <c r="AG2392" s="269"/>
      <c r="AH2392" s="269"/>
      <c r="AI2392" s="269"/>
      <c r="AJ2392" s="269"/>
      <c r="AK2392" s="269"/>
      <c r="AL2392" s="269"/>
      <c r="AM2392" s="269"/>
      <c r="AN2392" s="269"/>
      <c r="AO2392" s="269"/>
      <c r="AP2392" s="269"/>
      <c r="AQ2392" s="269"/>
      <c r="AR2392" s="269"/>
    </row>
    <row r="2393">
      <c r="A2393" s="410"/>
      <c r="B2393" s="410"/>
      <c r="C2393" s="410"/>
      <c r="D2393" s="410"/>
      <c r="E2393" s="410"/>
      <c r="F2393" s="410"/>
      <c r="H2393" s="269"/>
      <c r="I2393" s="269"/>
      <c r="J2393" s="269"/>
      <c r="K2393" s="269"/>
      <c r="L2393" s="269"/>
      <c r="M2393" s="269"/>
      <c r="N2393" s="269"/>
      <c r="O2393" s="269"/>
      <c r="P2393" s="269"/>
      <c r="Q2393" s="269"/>
      <c r="R2393" s="269"/>
      <c r="S2393" s="269"/>
      <c r="T2393" s="269"/>
      <c r="U2393" s="269"/>
      <c r="V2393" s="269"/>
      <c r="W2393" s="269"/>
      <c r="X2393" s="269"/>
      <c r="Y2393" s="269"/>
      <c r="Z2393" s="269"/>
      <c r="AA2393" s="269"/>
      <c r="AB2393" s="269"/>
      <c r="AC2393" s="269"/>
      <c r="AD2393" s="269"/>
      <c r="AE2393" s="269"/>
      <c r="AF2393" s="269"/>
      <c r="AG2393" s="269"/>
      <c r="AH2393" s="269"/>
      <c r="AI2393" s="269"/>
      <c r="AJ2393" s="269"/>
      <c r="AK2393" s="269"/>
      <c r="AL2393" s="269"/>
      <c r="AM2393" s="269"/>
      <c r="AN2393" s="269"/>
      <c r="AO2393" s="269"/>
      <c r="AP2393" s="269"/>
      <c r="AQ2393" s="269"/>
      <c r="AR2393" s="269"/>
    </row>
    <row r="2394">
      <c r="A2394" s="410"/>
      <c r="B2394" s="410"/>
      <c r="C2394" s="410"/>
      <c r="D2394" s="410"/>
      <c r="E2394" s="410"/>
      <c r="F2394" s="410"/>
      <c r="H2394" s="269"/>
      <c r="I2394" s="269"/>
      <c r="J2394" s="269"/>
      <c r="K2394" s="269"/>
      <c r="L2394" s="269"/>
      <c r="M2394" s="269"/>
      <c r="N2394" s="269"/>
      <c r="O2394" s="269"/>
      <c r="P2394" s="269"/>
      <c r="Q2394" s="269"/>
      <c r="R2394" s="269"/>
      <c r="S2394" s="269"/>
      <c r="T2394" s="269"/>
      <c r="U2394" s="269"/>
      <c r="V2394" s="269"/>
      <c r="W2394" s="269"/>
      <c r="X2394" s="269"/>
      <c r="Y2394" s="269"/>
      <c r="Z2394" s="269"/>
      <c r="AA2394" s="269"/>
      <c r="AB2394" s="269"/>
      <c r="AC2394" s="269"/>
      <c r="AD2394" s="269"/>
      <c r="AE2394" s="269"/>
      <c r="AF2394" s="269"/>
      <c r="AG2394" s="269"/>
      <c r="AH2394" s="269"/>
      <c r="AI2394" s="269"/>
      <c r="AJ2394" s="269"/>
      <c r="AK2394" s="269"/>
      <c r="AL2394" s="269"/>
      <c r="AM2394" s="269"/>
      <c r="AN2394" s="269"/>
      <c r="AO2394" s="269"/>
      <c r="AP2394" s="269"/>
      <c r="AQ2394" s="269"/>
      <c r="AR2394" s="269"/>
    </row>
    <row r="2395">
      <c r="A2395" s="410"/>
      <c r="B2395" s="410"/>
      <c r="C2395" s="410"/>
      <c r="D2395" s="410"/>
      <c r="E2395" s="410"/>
      <c r="F2395" s="410"/>
      <c r="H2395" s="269"/>
      <c r="I2395" s="269"/>
      <c r="J2395" s="269"/>
      <c r="K2395" s="269"/>
      <c r="L2395" s="269"/>
      <c r="M2395" s="269"/>
      <c r="N2395" s="269"/>
      <c r="O2395" s="269"/>
      <c r="P2395" s="269"/>
      <c r="Q2395" s="269"/>
      <c r="R2395" s="269"/>
      <c r="S2395" s="269"/>
      <c r="T2395" s="269"/>
      <c r="U2395" s="269"/>
      <c r="V2395" s="269"/>
      <c r="W2395" s="269"/>
      <c r="X2395" s="269"/>
      <c r="Y2395" s="269"/>
      <c r="Z2395" s="269"/>
      <c r="AA2395" s="269"/>
      <c r="AB2395" s="269"/>
      <c r="AC2395" s="269"/>
      <c r="AD2395" s="269"/>
      <c r="AE2395" s="269"/>
      <c r="AF2395" s="269"/>
      <c r="AG2395" s="269"/>
      <c r="AH2395" s="269"/>
      <c r="AI2395" s="269"/>
      <c r="AJ2395" s="269"/>
      <c r="AK2395" s="269"/>
      <c r="AL2395" s="269"/>
      <c r="AM2395" s="269"/>
      <c r="AN2395" s="269"/>
      <c r="AO2395" s="269"/>
      <c r="AP2395" s="269"/>
      <c r="AQ2395" s="269"/>
      <c r="AR2395" s="269"/>
    </row>
    <row r="2396">
      <c r="A2396" s="410"/>
      <c r="B2396" s="410"/>
      <c r="C2396" s="410"/>
      <c r="D2396" s="410"/>
      <c r="E2396" s="410"/>
      <c r="F2396" s="410"/>
      <c r="H2396" s="269"/>
      <c r="I2396" s="269"/>
      <c r="J2396" s="269"/>
      <c r="K2396" s="269"/>
      <c r="L2396" s="269"/>
      <c r="M2396" s="269"/>
      <c r="N2396" s="269"/>
      <c r="O2396" s="269"/>
      <c r="P2396" s="269"/>
      <c r="Q2396" s="269"/>
      <c r="R2396" s="269"/>
      <c r="S2396" s="269"/>
      <c r="T2396" s="269"/>
      <c r="U2396" s="269"/>
      <c r="V2396" s="269"/>
      <c r="W2396" s="269"/>
      <c r="X2396" s="269"/>
      <c r="Y2396" s="269"/>
      <c r="Z2396" s="269"/>
      <c r="AA2396" s="269"/>
      <c r="AB2396" s="269"/>
      <c r="AC2396" s="269"/>
      <c r="AD2396" s="269"/>
      <c r="AE2396" s="269"/>
      <c r="AF2396" s="269"/>
      <c r="AG2396" s="269"/>
      <c r="AH2396" s="269"/>
      <c r="AI2396" s="269"/>
      <c r="AJ2396" s="269"/>
      <c r="AK2396" s="269"/>
      <c r="AL2396" s="269"/>
      <c r="AM2396" s="269"/>
      <c r="AN2396" s="269"/>
      <c r="AO2396" s="269"/>
      <c r="AP2396" s="269"/>
      <c r="AQ2396" s="269"/>
      <c r="AR2396" s="269"/>
    </row>
    <row r="2397">
      <c r="A2397" s="410"/>
      <c r="B2397" s="410"/>
      <c r="C2397" s="410"/>
      <c r="D2397" s="410"/>
      <c r="E2397" s="410"/>
      <c r="F2397" s="410"/>
      <c r="H2397" s="269"/>
      <c r="I2397" s="269"/>
      <c r="J2397" s="269"/>
      <c r="K2397" s="269"/>
      <c r="L2397" s="269"/>
      <c r="M2397" s="269"/>
      <c r="N2397" s="269"/>
      <c r="O2397" s="269"/>
      <c r="P2397" s="269"/>
      <c r="Q2397" s="269"/>
      <c r="R2397" s="269"/>
      <c r="S2397" s="269"/>
      <c r="T2397" s="269"/>
      <c r="U2397" s="269"/>
      <c r="V2397" s="269"/>
      <c r="W2397" s="269"/>
      <c r="X2397" s="269"/>
      <c r="Y2397" s="269"/>
      <c r="Z2397" s="269"/>
      <c r="AA2397" s="269"/>
      <c r="AB2397" s="269"/>
      <c r="AC2397" s="269"/>
      <c r="AD2397" s="269"/>
      <c r="AE2397" s="269"/>
      <c r="AF2397" s="269"/>
      <c r="AG2397" s="269"/>
      <c r="AH2397" s="269"/>
      <c r="AI2397" s="269"/>
      <c r="AJ2397" s="269"/>
      <c r="AK2397" s="269"/>
      <c r="AL2397" s="269"/>
      <c r="AM2397" s="269"/>
      <c r="AN2397" s="269"/>
      <c r="AO2397" s="269"/>
      <c r="AP2397" s="269"/>
      <c r="AQ2397" s="269"/>
      <c r="AR2397" s="269"/>
    </row>
    <row r="2398">
      <c r="A2398" s="410"/>
      <c r="B2398" s="410"/>
      <c r="C2398" s="410"/>
      <c r="D2398" s="410"/>
      <c r="E2398" s="410"/>
      <c r="F2398" s="410"/>
      <c r="H2398" s="269"/>
      <c r="I2398" s="269"/>
      <c r="J2398" s="269"/>
      <c r="K2398" s="269"/>
      <c r="L2398" s="269"/>
      <c r="M2398" s="269"/>
      <c r="N2398" s="269"/>
      <c r="O2398" s="269"/>
      <c r="P2398" s="269"/>
      <c r="Q2398" s="269"/>
      <c r="R2398" s="269"/>
      <c r="S2398" s="269"/>
      <c r="T2398" s="269"/>
      <c r="U2398" s="269"/>
      <c r="V2398" s="269"/>
      <c r="W2398" s="269"/>
      <c r="X2398" s="269"/>
      <c r="Y2398" s="269"/>
      <c r="Z2398" s="269"/>
      <c r="AA2398" s="269"/>
      <c r="AB2398" s="269"/>
      <c r="AC2398" s="269"/>
      <c r="AD2398" s="269"/>
      <c r="AE2398" s="269"/>
      <c r="AF2398" s="269"/>
      <c r="AG2398" s="269"/>
      <c r="AH2398" s="269"/>
      <c r="AI2398" s="269"/>
      <c r="AJ2398" s="269"/>
      <c r="AK2398" s="269"/>
      <c r="AL2398" s="269"/>
      <c r="AM2398" s="269"/>
      <c r="AN2398" s="269"/>
      <c r="AO2398" s="269"/>
      <c r="AP2398" s="269"/>
      <c r="AQ2398" s="269"/>
      <c r="AR2398" s="269"/>
    </row>
    <row r="2399">
      <c r="A2399" s="410"/>
      <c r="B2399" s="410"/>
      <c r="C2399" s="410"/>
      <c r="D2399" s="410"/>
      <c r="E2399" s="410"/>
      <c r="F2399" s="410"/>
      <c r="H2399" s="269"/>
      <c r="I2399" s="269"/>
      <c r="J2399" s="269"/>
      <c r="K2399" s="269"/>
      <c r="L2399" s="269"/>
      <c r="M2399" s="269"/>
      <c r="N2399" s="269"/>
      <c r="O2399" s="269"/>
      <c r="P2399" s="269"/>
      <c r="Q2399" s="269"/>
      <c r="R2399" s="269"/>
      <c r="S2399" s="269"/>
      <c r="T2399" s="269"/>
      <c r="U2399" s="269"/>
      <c r="V2399" s="269"/>
      <c r="W2399" s="269"/>
      <c r="X2399" s="269"/>
      <c r="Y2399" s="269"/>
      <c r="Z2399" s="269"/>
      <c r="AA2399" s="269"/>
      <c r="AB2399" s="269"/>
      <c r="AC2399" s="269"/>
      <c r="AD2399" s="269"/>
      <c r="AE2399" s="269"/>
      <c r="AF2399" s="269"/>
      <c r="AG2399" s="269"/>
      <c r="AH2399" s="269"/>
      <c r="AI2399" s="269"/>
      <c r="AJ2399" s="269"/>
      <c r="AK2399" s="269"/>
      <c r="AL2399" s="269"/>
      <c r="AM2399" s="269"/>
      <c r="AN2399" s="269"/>
      <c r="AO2399" s="269"/>
      <c r="AP2399" s="269"/>
      <c r="AQ2399" s="269"/>
      <c r="AR2399" s="269"/>
    </row>
    <row r="2400">
      <c r="A2400" s="410"/>
      <c r="B2400" s="410"/>
      <c r="C2400" s="410"/>
      <c r="D2400" s="410"/>
      <c r="E2400" s="410"/>
      <c r="F2400" s="410"/>
      <c r="H2400" s="269"/>
      <c r="I2400" s="269"/>
      <c r="J2400" s="269"/>
      <c r="K2400" s="269"/>
      <c r="L2400" s="269"/>
      <c r="M2400" s="269"/>
      <c r="N2400" s="269"/>
      <c r="O2400" s="269"/>
      <c r="P2400" s="269"/>
      <c r="Q2400" s="269"/>
      <c r="R2400" s="269"/>
      <c r="S2400" s="269"/>
      <c r="T2400" s="269"/>
      <c r="U2400" s="269"/>
      <c r="V2400" s="269"/>
      <c r="W2400" s="269"/>
      <c r="X2400" s="269"/>
      <c r="Y2400" s="269"/>
      <c r="Z2400" s="269"/>
      <c r="AA2400" s="269"/>
      <c r="AB2400" s="269"/>
      <c r="AC2400" s="269"/>
      <c r="AD2400" s="269"/>
      <c r="AE2400" s="269"/>
      <c r="AF2400" s="269"/>
      <c r="AG2400" s="269"/>
      <c r="AH2400" s="269"/>
      <c r="AI2400" s="269"/>
      <c r="AJ2400" s="269"/>
      <c r="AK2400" s="269"/>
      <c r="AL2400" s="269"/>
      <c r="AM2400" s="269"/>
      <c r="AN2400" s="269"/>
      <c r="AO2400" s="269"/>
      <c r="AP2400" s="269"/>
      <c r="AQ2400" s="269"/>
      <c r="AR2400" s="269"/>
    </row>
    <row r="2401">
      <c r="A2401" s="410"/>
      <c r="B2401" s="410"/>
      <c r="C2401" s="410"/>
      <c r="D2401" s="410"/>
      <c r="E2401" s="410"/>
      <c r="F2401" s="410"/>
      <c r="H2401" s="269"/>
      <c r="I2401" s="269"/>
      <c r="J2401" s="269"/>
      <c r="K2401" s="269"/>
      <c r="L2401" s="269"/>
      <c r="M2401" s="269"/>
      <c r="N2401" s="269"/>
      <c r="O2401" s="269"/>
      <c r="P2401" s="269"/>
      <c r="Q2401" s="269"/>
      <c r="R2401" s="269"/>
      <c r="S2401" s="269"/>
      <c r="T2401" s="269"/>
      <c r="U2401" s="269"/>
      <c r="V2401" s="269"/>
      <c r="W2401" s="269"/>
      <c r="X2401" s="269"/>
      <c r="Y2401" s="269"/>
      <c r="Z2401" s="269"/>
      <c r="AA2401" s="269"/>
      <c r="AB2401" s="269"/>
      <c r="AC2401" s="269"/>
      <c r="AD2401" s="269"/>
      <c r="AE2401" s="269"/>
      <c r="AF2401" s="269"/>
      <c r="AG2401" s="269"/>
      <c r="AH2401" s="269"/>
      <c r="AI2401" s="269"/>
      <c r="AJ2401" s="269"/>
      <c r="AK2401" s="269"/>
      <c r="AL2401" s="269"/>
      <c r="AM2401" s="269"/>
      <c r="AN2401" s="269"/>
      <c r="AO2401" s="269"/>
      <c r="AP2401" s="269"/>
      <c r="AQ2401" s="269"/>
      <c r="AR2401" s="269"/>
    </row>
    <row r="2402">
      <c r="A2402" s="410"/>
      <c r="B2402" s="410"/>
      <c r="C2402" s="410"/>
      <c r="D2402" s="410"/>
      <c r="E2402" s="410"/>
      <c r="F2402" s="410"/>
      <c r="H2402" s="269"/>
      <c r="I2402" s="269"/>
      <c r="J2402" s="269"/>
      <c r="K2402" s="269"/>
      <c r="L2402" s="269"/>
      <c r="M2402" s="269"/>
      <c r="N2402" s="269"/>
      <c r="O2402" s="269"/>
      <c r="P2402" s="269"/>
      <c r="Q2402" s="269"/>
      <c r="R2402" s="269"/>
      <c r="S2402" s="269"/>
      <c r="T2402" s="269"/>
      <c r="U2402" s="269"/>
      <c r="V2402" s="269"/>
      <c r="W2402" s="269"/>
      <c r="X2402" s="269"/>
      <c r="Y2402" s="269"/>
      <c r="Z2402" s="269"/>
      <c r="AA2402" s="269"/>
      <c r="AB2402" s="269"/>
      <c r="AC2402" s="269"/>
      <c r="AD2402" s="269"/>
      <c r="AE2402" s="269"/>
      <c r="AF2402" s="269"/>
      <c r="AG2402" s="269"/>
      <c r="AH2402" s="269"/>
      <c r="AI2402" s="269"/>
      <c r="AJ2402" s="269"/>
      <c r="AK2402" s="269"/>
      <c r="AL2402" s="269"/>
      <c r="AM2402" s="269"/>
      <c r="AN2402" s="269"/>
      <c r="AO2402" s="269"/>
      <c r="AP2402" s="269"/>
      <c r="AQ2402" s="269"/>
      <c r="AR2402" s="269"/>
    </row>
    <row r="2403">
      <c r="A2403" s="410"/>
      <c r="B2403" s="410"/>
      <c r="C2403" s="410"/>
      <c r="D2403" s="410"/>
      <c r="E2403" s="410"/>
      <c r="F2403" s="410"/>
      <c r="H2403" s="269"/>
      <c r="I2403" s="269"/>
      <c r="J2403" s="269"/>
      <c r="K2403" s="269"/>
      <c r="L2403" s="269"/>
      <c r="M2403" s="269"/>
      <c r="N2403" s="269"/>
      <c r="O2403" s="269"/>
      <c r="P2403" s="269"/>
      <c r="Q2403" s="269"/>
      <c r="R2403" s="269"/>
      <c r="S2403" s="269"/>
      <c r="T2403" s="269"/>
      <c r="U2403" s="269"/>
      <c r="V2403" s="269"/>
      <c r="W2403" s="269"/>
      <c r="X2403" s="269"/>
      <c r="Y2403" s="269"/>
      <c r="Z2403" s="269"/>
      <c r="AA2403" s="269"/>
      <c r="AB2403" s="269"/>
      <c r="AC2403" s="269"/>
      <c r="AD2403" s="269"/>
      <c r="AE2403" s="269"/>
      <c r="AF2403" s="269"/>
      <c r="AG2403" s="269"/>
      <c r="AH2403" s="269"/>
      <c r="AI2403" s="269"/>
      <c r="AJ2403" s="269"/>
      <c r="AK2403" s="269"/>
      <c r="AL2403" s="269"/>
      <c r="AM2403" s="269"/>
      <c r="AN2403" s="269"/>
      <c r="AO2403" s="269"/>
      <c r="AP2403" s="269"/>
      <c r="AQ2403" s="269"/>
      <c r="AR2403" s="269"/>
    </row>
    <row r="2404">
      <c r="A2404" s="410"/>
      <c r="B2404" s="410"/>
      <c r="C2404" s="410"/>
      <c r="D2404" s="410"/>
      <c r="E2404" s="410"/>
      <c r="F2404" s="410"/>
      <c r="H2404" s="269"/>
      <c r="I2404" s="269"/>
      <c r="J2404" s="269"/>
      <c r="K2404" s="269"/>
      <c r="L2404" s="269"/>
      <c r="M2404" s="269"/>
      <c r="N2404" s="269"/>
      <c r="O2404" s="269"/>
      <c r="P2404" s="269"/>
      <c r="Q2404" s="269"/>
      <c r="R2404" s="269"/>
      <c r="S2404" s="269"/>
      <c r="T2404" s="269"/>
      <c r="U2404" s="269"/>
      <c r="V2404" s="269"/>
      <c r="W2404" s="269"/>
      <c r="X2404" s="269"/>
      <c r="Y2404" s="269"/>
      <c r="Z2404" s="269"/>
      <c r="AA2404" s="269"/>
      <c r="AB2404" s="269"/>
      <c r="AC2404" s="269"/>
      <c r="AD2404" s="269"/>
      <c r="AE2404" s="269"/>
      <c r="AF2404" s="269"/>
      <c r="AG2404" s="269"/>
      <c r="AH2404" s="269"/>
      <c r="AI2404" s="269"/>
      <c r="AJ2404" s="269"/>
      <c r="AK2404" s="269"/>
      <c r="AL2404" s="269"/>
      <c r="AM2404" s="269"/>
      <c r="AN2404" s="269"/>
      <c r="AO2404" s="269"/>
      <c r="AP2404" s="269"/>
      <c r="AQ2404" s="269"/>
      <c r="AR2404" s="269"/>
    </row>
    <row r="2405">
      <c r="A2405" s="410"/>
      <c r="B2405" s="410"/>
      <c r="C2405" s="410"/>
      <c r="D2405" s="410"/>
      <c r="E2405" s="410"/>
      <c r="F2405" s="410"/>
      <c r="H2405" s="269"/>
      <c r="I2405" s="269"/>
      <c r="J2405" s="269"/>
      <c r="K2405" s="269"/>
      <c r="L2405" s="269"/>
      <c r="M2405" s="269"/>
      <c r="N2405" s="269"/>
      <c r="O2405" s="269"/>
      <c r="P2405" s="269"/>
      <c r="Q2405" s="269"/>
      <c r="R2405" s="269"/>
      <c r="S2405" s="269"/>
      <c r="T2405" s="269"/>
      <c r="U2405" s="269"/>
      <c r="V2405" s="269"/>
      <c r="W2405" s="269"/>
      <c r="X2405" s="269"/>
      <c r="Y2405" s="269"/>
      <c r="Z2405" s="269"/>
      <c r="AA2405" s="269"/>
      <c r="AB2405" s="269"/>
      <c r="AC2405" s="269"/>
      <c r="AD2405" s="269"/>
      <c r="AE2405" s="269"/>
      <c r="AF2405" s="269"/>
      <c r="AG2405" s="269"/>
      <c r="AH2405" s="269"/>
      <c r="AI2405" s="269"/>
      <c r="AJ2405" s="269"/>
      <c r="AK2405" s="269"/>
      <c r="AL2405" s="269"/>
      <c r="AM2405" s="269"/>
      <c r="AN2405" s="269"/>
      <c r="AO2405" s="269"/>
      <c r="AP2405" s="269"/>
      <c r="AQ2405" s="269"/>
      <c r="AR2405" s="269"/>
    </row>
    <row r="2406">
      <c r="A2406" s="410"/>
      <c r="B2406" s="410"/>
      <c r="C2406" s="410"/>
      <c r="D2406" s="410"/>
      <c r="E2406" s="410"/>
      <c r="F2406" s="410"/>
      <c r="H2406" s="269"/>
      <c r="I2406" s="269"/>
      <c r="J2406" s="269"/>
      <c r="K2406" s="269"/>
      <c r="L2406" s="269"/>
      <c r="M2406" s="269"/>
      <c r="N2406" s="269"/>
      <c r="O2406" s="269"/>
      <c r="P2406" s="269"/>
      <c r="Q2406" s="269"/>
      <c r="R2406" s="269"/>
      <c r="S2406" s="269"/>
      <c r="T2406" s="269"/>
      <c r="U2406" s="269"/>
      <c r="V2406" s="269"/>
      <c r="W2406" s="269"/>
      <c r="X2406" s="269"/>
      <c r="Y2406" s="269"/>
      <c r="Z2406" s="269"/>
      <c r="AA2406" s="269"/>
      <c r="AB2406" s="269"/>
      <c r="AC2406" s="269"/>
      <c r="AD2406" s="269"/>
      <c r="AE2406" s="269"/>
      <c r="AF2406" s="269"/>
      <c r="AG2406" s="269"/>
      <c r="AH2406" s="269"/>
      <c r="AI2406" s="269"/>
      <c r="AJ2406" s="269"/>
      <c r="AK2406" s="269"/>
      <c r="AL2406" s="269"/>
      <c r="AM2406" s="269"/>
      <c r="AN2406" s="269"/>
      <c r="AO2406" s="269"/>
      <c r="AP2406" s="269"/>
      <c r="AQ2406" s="269"/>
      <c r="AR2406" s="269"/>
    </row>
    <row r="2407">
      <c r="A2407" s="410"/>
      <c r="B2407" s="410"/>
      <c r="C2407" s="410"/>
      <c r="D2407" s="410"/>
      <c r="E2407" s="410"/>
      <c r="F2407" s="410"/>
      <c r="H2407" s="269"/>
      <c r="I2407" s="269"/>
      <c r="J2407" s="269"/>
      <c r="K2407" s="269"/>
      <c r="L2407" s="269"/>
      <c r="M2407" s="269"/>
      <c r="N2407" s="269"/>
      <c r="O2407" s="269"/>
      <c r="P2407" s="269"/>
      <c r="Q2407" s="269"/>
      <c r="R2407" s="269"/>
      <c r="S2407" s="269"/>
      <c r="T2407" s="269"/>
      <c r="U2407" s="269"/>
      <c r="V2407" s="269"/>
      <c r="W2407" s="269"/>
      <c r="X2407" s="269"/>
      <c r="Y2407" s="269"/>
      <c r="Z2407" s="269"/>
      <c r="AA2407" s="269"/>
      <c r="AB2407" s="269"/>
      <c r="AC2407" s="269"/>
      <c r="AD2407" s="269"/>
      <c r="AE2407" s="269"/>
      <c r="AF2407" s="269"/>
      <c r="AG2407" s="269"/>
      <c r="AH2407" s="269"/>
      <c r="AI2407" s="269"/>
      <c r="AJ2407" s="269"/>
      <c r="AK2407" s="269"/>
      <c r="AL2407" s="269"/>
      <c r="AM2407" s="269"/>
      <c r="AN2407" s="269"/>
      <c r="AO2407" s="269"/>
      <c r="AP2407" s="269"/>
      <c r="AQ2407" s="269"/>
      <c r="AR2407" s="269"/>
    </row>
    <row r="2408">
      <c r="A2408" s="410"/>
      <c r="B2408" s="410"/>
      <c r="C2408" s="410"/>
      <c r="D2408" s="410"/>
      <c r="E2408" s="410"/>
      <c r="F2408" s="410"/>
      <c r="H2408" s="269"/>
      <c r="I2408" s="269"/>
      <c r="J2408" s="269"/>
      <c r="K2408" s="269"/>
      <c r="L2408" s="269"/>
      <c r="M2408" s="269"/>
      <c r="N2408" s="269"/>
      <c r="O2408" s="269"/>
      <c r="P2408" s="269"/>
      <c r="Q2408" s="269"/>
      <c r="R2408" s="269"/>
      <c r="S2408" s="269"/>
      <c r="T2408" s="269"/>
      <c r="U2408" s="269"/>
      <c r="V2408" s="269"/>
      <c r="W2408" s="269"/>
      <c r="X2408" s="269"/>
      <c r="Y2408" s="269"/>
      <c r="Z2408" s="269"/>
      <c r="AA2408" s="269"/>
      <c r="AB2408" s="269"/>
      <c r="AC2408" s="269"/>
      <c r="AD2408" s="269"/>
      <c r="AE2408" s="269"/>
      <c r="AF2408" s="269"/>
      <c r="AG2408" s="269"/>
      <c r="AH2408" s="269"/>
      <c r="AI2408" s="269"/>
      <c r="AJ2408" s="269"/>
      <c r="AK2408" s="269"/>
      <c r="AL2408" s="269"/>
      <c r="AM2408" s="269"/>
      <c r="AN2408" s="269"/>
      <c r="AO2408" s="269"/>
      <c r="AP2408" s="269"/>
      <c r="AQ2408" s="269"/>
      <c r="AR2408" s="269"/>
    </row>
    <row r="2409">
      <c r="A2409" s="410"/>
      <c r="B2409" s="410"/>
      <c r="C2409" s="410"/>
      <c r="D2409" s="410"/>
      <c r="E2409" s="410"/>
      <c r="F2409" s="410"/>
      <c r="H2409" s="269"/>
      <c r="I2409" s="269"/>
      <c r="J2409" s="269"/>
      <c r="K2409" s="269"/>
      <c r="L2409" s="269"/>
      <c r="M2409" s="269"/>
      <c r="N2409" s="269"/>
      <c r="O2409" s="269"/>
      <c r="P2409" s="269"/>
      <c r="Q2409" s="269"/>
      <c r="R2409" s="269"/>
      <c r="S2409" s="269"/>
      <c r="T2409" s="269"/>
      <c r="U2409" s="269"/>
      <c r="V2409" s="269"/>
      <c r="W2409" s="269"/>
      <c r="X2409" s="269"/>
      <c r="Y2409" s="269"/>
      <c r="Z2409" s="269"/>
      <c r="AA2409" s="269"/>
      <c r="AB2409" s="269"/>
      <c r="AC2409" s="269"/>
      <c r="AD2409" s="269"/>
      <c r="AE2409" s="269"/>
      <c r="AF2409" s="269"/>
      <c r="AG2409" s="269"/>
      <c r="AH2409" s="269"/>
      <c r="AI2409" s="269"/>
      <c r="AJ2409" s="269"/>
      <c r="AK2409" s="269"/>
      <c r="AL2409" s="269"/>
      <c r="AM2409" s="269"/>
      <c r="AN2409" s="269"/>
      <c r="AO2409" s="269"/>
      <c r="AP2409" s="269"/>
      <c r="AQ2409" s="269"/>
      <c r="AR2409" s="269"/>
    </row>
    <row r="2410">
      <c r="A2410" s="410"/>
      <c r="B2410" s="410"/>
      <c r="C2410" s="410"/>
      <c r="D2410" s="410"/>
      <c r="E2410" s="410"/>
      <c r="F2410" s="410"/>
      <c r="H2410" s="269"/>
      <c r="I2410" s="269"/>
      <c r="J2410" s="269"/>
      <c r="K2410" s="269"/>
      <c r="L2410" s="269"/>
      <c r="M2410" s="269"/>
      <c r="N2410" s="269"/>
      <c r="O2410" s="269"/>
      <c r="P2410" s="269"/>
      <c r="Q2410" s="269"/>
      <c r="R2410" s="269"/>
      <c r="S2410" s="269"/>
      <c r="T2410" s="269"/>
      <c r="U2410" s="269"/>
      <c r="V2410" s="269"/>
      <c r="W2410" s="269"/>
      <c r="X2410" s="269"/>
      <c r="Y2410" s="269"/>
      <c r="Z2410" s="269"/>
      <c r="AA2410" s="269"/>
      <c r="AB2410" s="269"/>
      <c r="AC2410" s="269"/>
      <c r="AD2410" s="269"/>
      <c r="AE2410" s="269"/>
      <c r="AF2410" s="269"/>
      <c r="AG2410" s="269"/>
      <c r="AH2410" s="269"/>
      <c r="AI2410" s="269"/>
      <c r="AJ2410" s="269"/>
      <c r="AK2410" s="269"/>
      <c r="AL2410" s="269"/>
      <c r="AM2410" s="269"/>
      <c r="AN2410" s="269"/>
      <c r="AO2410" s="269"/>
      <c r="AP2410" s="269"/>
      <c r="AQ2410" s="269"/>
      <c r="AR2410" s="269"/>
    </row>
    <row r="2411">
      <c r="A2411" s="410"/>
      <c r="B2411" s="410"/>
      <c r="C2411" s="410"/>
      <c r="D2411" s="410"/>
      <c r="E2411" s="410"/>
      <c r="F2411" s="410"/>
      <c r="H2411" s="269"/>
      <c r="I2411" s="269"/>
      <c r="J2411" s="269"/>
      <c r="K2411" s="269"/>
      <c r="L2411" s="269"/>
      <c r="M2411" s="269"/>
      <c r="N2411" s="269"/>
      <c r="O2411" s="269"/>
      <c r="P2411" s="269"/>
      <c r="Q2411" s="269"/>
      <c r="R2411" s="269"/>
      <c r="S2411" s="269"/>
      <c r="T2411" s="269"/>
      <c r="U2411" s="269"/>
      <c r="V2411" s="269"/>
      <c r="W2411" s="269"/>
      <c r="X2411" s="269"/>
      <c r="Y2411" s="269"/>
      <c r="Z2411" s="269"/>
      <c r="AA2411" s="269"/>
      <c r="AB2411" s="269"/>
      <c r="AC2411" s="269"/>
      <c r="AD2411" s="269"/>
      <c r="AE2411" s="269"/>
      <c r="AF2411" s="269"/>
      <c r="AG2411" s="269"/>
      <c r="AH2411" s="269"/>
      <c r="AI2411" s="269"/>
      <c r="AJ2411" s="269"/>
      <c r="AK2411" s="269"/>
      <c r="AL2411" s="269"/>
      <c r="AM2411" s="269"/>
      <c r="AN2411" s="269"/>
      <c r="AO2411" s="269"/>
      <c r="AP2411" s="269"/>
      <c r="AQ2411" s="269"/>
      <c r="AR2411" s="269"/>
    </row>
    <row r="2412">
      <c r="A2412" s="410"/>
      <c r="B2412" s="410"/>
      <c r="C2412" s="410"/>
      <c r="D2412" s="410"/>
      <c r="E2412" s="410"/>
      <c r="F2412" s="410"/>
      <c r="H2412" s="269"/>
      <c r="I2412" s="269"/>
      <c r="J2412" s="269"/>
      <c r="K2412" s="269"/>
      <c r="L2412" s="269"/>
      <c r="M2412" s="269"/>
      <c r="N2412" s="269"/>
      <c r="O2412" s="269"/>
      <c r="P2412" s="269"/>
      <c r="Q2412" s="269"/>
      <c r="R2412" s="269"/>
      <c r="S2412" s="269"/>
      <c r="T2412" s="269"/>
      <c r="U2412" s="269"/>
      <c r="V2412" s="269"/>
      <c r="W2412" s="269"/>
      <c r="X2412" s="269"/>
      <c r="Y2412" s="269"/>
      <c r="Z2412" s="269"/>
      <c r="AA2412" s="269"/>
      <c r="AB2412" s="269"/>
      <c r="AC2412" s="269"/>
      <c r="AD2412" s="269"/>
      <c r="AE2412" s="269"/>
      <c r="AF2412" s="269"/>
      <c r="AG2412" s="269"/>
      <c r="AH2412" s="269"/>
      <c r="AI2412" s="269"/>
      <c r="AJ2412" s="269"/>
      <c r="AK2412" s="269"/>
      <c r="AL2412" s="269"/>
      <c r="AM2412" s="269"/>
      <c r="AN2412" s="269"/>
      <c r="AO2412" s="269"/>
      <c r="AP2412" s="269"/>
      <c r="AQ2412" s="269"/>
      <c r="AR2412" s="269"/>
    </row>
    <row r="2413">
      <c r="A2413" s="410"/>
      <c r="B2413" s="410"/>
      <c r="C2413" s="410"/>
      <c r="D2413" s="410"/>
      <c r="E2413" s="410"/>
      <c r="F2413" s="410"/>
      <c r="H2413" s="269"/>
      <c r="I2413" s="269"/>
      <c r="J2413" s="269"/>
      <c r="K2413" s="269"/>
      <c r="L2413" s="269"/>
      <c r="M2413" s="269"/>
      <c r="N2413" s="269"/>
      <c r="O2413" s="269"/>
      <c r="P2413" s="269"/>
      <c r="Q2413" s="269"/>
      <c r="R2413" s="269"/>
      <c r="S2413" s="269"/>
      <c r="T2413" s="269"/>
      <c r="U2413" s="269"/>
      <c r="V2413" s="269"/>
      <c r="W2413" s="269"/>
      <c r="X2413" s="269"/>
      <c r="Y2413" s="269"/>
      <c r="Z2413" s="269"/>
      <c r="AA2413" s="269"/>
      <c r="AB2413" s="269"/>
      <c r="AC2413" s="269"/>
      <c r="AD2413" s="269"/>
      <c r="AE2413" s="269"/>
      <c r="AF2413" s="269"/>
      <c r="AG2413" s="269"/>
      <c r="AH2413" s="269"/>
      <c r="AI2413" s="269"/>
      <c r="AJ2413" s="269"/>
      <c r="AK2413" s="269"/>
      <c r="AL2413" s="269"/>
      <c r="AM2413" s="269"/>
      <c r="AN2413" s="269"/>
      <c r="AO2413" s="269"/>
      <c r="AP2413" s="269"/>
      <c r="AQ2413" s="269"/>
      <c r="AR2413" s="269"/>
    </row>
    <row r="2414">
      <c r="A2414" s="410"/>
      <c r="B2414" s="410"/>
      <c r="C2414" s="410"/>
      <c r="D2414" s="410"/>
      <c r="E2414" s="410"/>
      <c r="F2414" s="410"/>
      <c r="H2414" s="269"/>
      <c r="I2414" s="269"/>
      <c r="J2414" s="269"/>
      <c r="K2414" s="269"/>
      <c r="L2414" s="269"/>
      <c r="M2414" s="269"/>
      <c r="N2414" s="269"/>
      <c r="O2414" s="269"/>
      <c r="P2414" s="269"/>
      <c r="Q2414" s="269"/>
      <c r="R2414" s="269"/>
      <c r="S2414" s="269"/>
      <c r="T2414" s="269"/>
      <c r="U2414" s="269"/>
      <c r="V2414" s="269"/>
      <c r="W2414" s="269"/>
      <c r="X2414" s="269"/>
      <c r="Y2414" s="269"/>
      <c r="Z2414" s="269"/>
      <c r="AA2414" s="269"/>
      <c r="AB2414" s="269"/>
      <c r="AC2414" s="269"/>
      <c r="AD2414" s="269"/>
      <c r="AE2414" s="269"/>
      <c r="AF2414" s="269"/>
      <c r="AG2414" s="269"/>
      <c r="AH2414" s="269"/>
      <c r="AI2414" s="269"/>
      <c r="AJ2414" s="269"/>
      <c r="AK2414" s="269"/>
      <c r="AL2414" s="269"/>
      <c r="AM2414" s="269"/>
      <c r="AN2414" s="269"/>
      <c r="AO2414" s="269"/>
      <c r="AP2414" s="269"/>
      <c r="AQ2414" s="269"/>
      <c r="AR2414" s="269"/>
    </row>
    <row r="2415">
      <c r="A2415" s="410"/>
      <c r="B2415" s="410"/>
      <c r="C2415" s="410"/>
      <c r="D2415" s="410"/>
      <c r="E2415" s="410"/>
      <c r="F2415" s="410"/>
      <c r="H2415" s="269"/>
      <c r="I2415" s="269"/>
      <c r="J2415" s="269"/>
      <c r="K2415" s="269"/>
      <c r="L2415" s="269"/>
      <c r="M2415" s="269"/>
      <c r="N2415" s="269"/>
      <c r="O2415" s="269"/>
      <c r="P2415" s="269"/>
      <c r="Q2415" s="269"/>
      <c r="R2415" s="269"/>
      <c r="S2415" s="269"/>
      <c r="T2415" s="269"/>
      <c r="U2415" s="269"/>
      <c r="V2415" s="269"/>
      <c r="W2415" s="269"/>
      <c r="X2415" s="269"/>
      <c r="Y2415" s="269"/>
      <c r="Z2415" s="269"/>
      <c r="AA2415" s="269"/>
      <c r="AB2415" s="269"/>
      <c r="AC2415" s="269"/>
      <c r="AD2415" s="269"/>
      <c r="AE2415" s="269"/>
      <c r="AF2415" s="269"/>
      <c r="AG2415" s="269"/>
      <c r="AH2415" s="269"/>
      <c r="AI2415" s="269"/>
      <c r="AJ2415" s="269"/>
      <c r="AK2415" s="269"/>
      <c r="AL2415" s="269"/>
      <c r="AM2415" s="269"/>
      <c r="AN2415" s="269"/>
      <c r="AO2415" s="269"/>
      <c r="AP2415" s="269"/>
      <c r="AQ2415" s="269"/>
      <c r="AR2415" s="269"/>
    </row>
    <row r="2416">
      <c r="A2416" s="410"/>
      <c r="B2416" s="410"/>
      <c r="C2416" s="410"/>
      <c r="D2416" s="410"/>
      <c r="E2416" s="410"/>
      <c r="F2416" s="410"/>
      <c r="H2416" s="269"/>
      <c r="I2416" s="269"/>
      <c r="J2416" s="269"/>
      <c r="K2416" s="269"/>
      <c r="L2416" s="269"/>
      <c r="M2416" s="269"/>
      <c r="N2416" s="269"/>
      <c r="O2416" s="269"/>
      <c r="P2416" s="269"/>
      <c r="Q2416" s="269"/>
      <c r="R2416" s="269"/>
      <c r="S2416" s="269"/>
      <c r="T2416" s="269"/>
      <c r="U2416" s="269"/>
      <c r="V2416" s="269"/>
      <c r="W2416" s="269"/>
      <c r="X2416" s="269"/>
      <c r="Y2416" s="269"/>
      <c r="Z2416" s="269"/>
      <c r="AA2416" s="269"/>
      <c r="AB2416" s="269"/>
      <c r="AC2416" s="269"/>
      <c r="AD2416" s="269"/>
      <c r="AE2416" s="269"/>
      <c r="AF2416" s="269"/>
      <c r="AG2416" s="269"/>
      <c r="AH2416" s="269"/>
      <c r="AI2416" s="269"/>
      <c r="AJ2416" s="269"/>
      <c r="AK2416" s="269"/>
      <c r="AL2416" s="269"/>
      <c r="AM2416" s="269"/>
      <c r="AN2416" s="269"/>
      <c r="AO2416" s="269"/>
      <c r="AP2416" s="269"/>
      <c r="AQ2416" s="269"/>
      <c r="AR2416" s="269"/>
    </row>
    <row r="2417">
      <c r="A2417" s="410"/>
      <c r="B2417" s="410"/>
      <c r="C2417" s="410"/>
      <c r="D2417" s="410"/>
      <c r="E2417" s="410"/>
      <c r="F2417" s="410"/>
      <c r="H2417" s="269"/>
      <c r="I2417" s="269"/>
      <c r="J2417" s="269"/>
      <c r="K2417" s="269"/>
      <c r="L2417" s="269"/>
      <c r="M2417" s="269"/>
      <c r="N2417" s="269"/>
      <c r="O2417" s="269"/>
      <c r="P2417" s="269"/>
      <c r="Q2417" s="269"/>
      <c r="R2417" s="269"/>
      <c r="S2417" s="269"/>
      <c r="T2417" s="269"/>
      <c r="U2417" s="269"/>
      <c r="V2417" s="269"/>
      <c r="W2417" s="269"/>
      <c r="X2417" s="269"/>
      <c r="Y2417" s="269"/>
      <c r="Z2417" s="269"/>
      <c r="AA2417" s="269"/>
      <c r="AB2417" s="269"/>
      <c r="AC2417" s="269"/>
      <c r="AD2417" s="269"/>
      <c r="AE2417" s="269"/>
      <c r="AF2417" s="269"/>
      <c r="AG2417" s="269"/>
      <c r="AH2417" s="269"/>
      <c r="AI2417" s="269"/>
      <c r="AJ2417" s="269"/>
      <c r="AK2417" s="269"/>
      <c r="AL2417" s="269"/>
      <c r="AM2417" s="269"/>
      <c r="AN2417" s="269"/>
      <c r="AO2417" s="269"/>
      <c r="AP2417" s="269"/>
      <c r="AQ2417" s="269"/>
      <c r="AR2417" s="269"/>
    </row>
    <row r="2418">
      <c r="A2418" s="410"/>
      <c r="B2418" s="410"/>
      <c r="C2418" s="410"/>
      <c r="D2418" s="410"/>
      <c r="E2418" s="410"/>
      <c r="F2418" s="410"/>
      <c r="H2418" s="269"/>
      <c r="I2418" s="269"/>
      <c r="J2418" s="269"/>
      <c r="K2418" s="269"/>
      <c r="L2418" s="269"/>
      <c r="M2418" s="269"/>
      <c r="N2418" s="269"/>
      <c r="O2418" s="269"/>
      <c r="P2418" s="269"/>
      <c r="Q2418" s="269"/>
      <c r="R2418" s="269"/>
      <c r="S2418" s="269"/>
      <c r="T2418" s="269"/>
      <c r="U2418" s="269"/>
      <c r="V2418" s="269"/>
      <c r="W2418" s="269"/>
      <c r="X2418" s="269"/>
      <c r="Y2418" s="269"/>
      <c r="Z2418" s="269"/>
      <c r="AA2418" s="269"/>
      <c r="AB2418" s="269"/>
      <c r="AC2418" s="269"/>
      <c r="AD2418" s="269"/>
      <c r="AE2418" s="269"/>
      <c r="AF2418" s="269"/>
      <c r="AG2418" s="269"/>
      <c r="AH2418" s="269"/>
      <c r="AI2418" s="269"/>
      <c r="AJ2418" s="269"/>
      <c r="AK2418" s="269"/>
      <c r="AL2418" s="269"/>
      <c r="AM2418" s="269"/>
      <c r="AN2418" s="269"/>
      <c r="AO2418" s="269"/>
      <c r="AP2418" s="269"/>
      <c r="AQ2418" s="269"/>
      <c r="AR2418" s="269"/>
    </row>
    <row r="2419">
      <c r="A2419" s="410"/>
      <c r="B2419" s="410"/>
      <c r="C2419" s="410"/>
      <c r="D2419" s="410"/>
      <c r="E2419" s="410"/>
      <c r="F2419" s="410"/>
      <c r="H2419" s="269"/>
      <c r="I2419" s="269"/>
      <c r="J2419" s="269"/>
      <c r="K2419" s="269"/>
      <c r="L2419" s="269"/>
      <c r="M2419" s="269"/>
      <c r="N2419" s="269"/>
      <c r="O2419" s="269"/>
      <c r="P2419" s="269"/>
      <c r="Q2419" s="269"/>
      <c r="R2419" s="269"/>
      <c r="S2419" s="269"/>
      <c r="T2419" s="269"/>
      <c r="U2419" s="269"/>
      <c r="V2419" s="269"/>
      <c r="W2419" s="269"/>
      <c r="X2419" s="269"/>
      <c r="Y2419" s="269"/>
      <c r="Z2419" s="269"/>
      <c r="AA2419" s="269"/>
      <c r="AB2419" s="269"/>
      <c r="AC2419" s="269"/>
      <c r="AD2419" s="269"/>
      <c r="AE2419" s="269"/>
      <c r="AF2419" s="269"/>
      <c r="AG2419" s="269"/>
      <c r="AH2419" s="269"/>
      <c r="AI2419" s="269"/>
      <c r="AJ2419" s="269"/>
      <c r="AK2419" s="269"/>
      <c r="AL2419" s="269"/>
      <c r="AM2419" s="269"/>
      <c r="AN2419" s="269"/>
      <c r="AO2419" s="269"/>
      <c r="AP2419" s="269"/>
      <c r="AQ2419" s="269"/>
      <c r="AR2419" s="269"/>
    </row>
    <row r="2420">
      <c r="A2420" s="410"/>
      <c r="B2420" s="410"/>
      <c r="C2420" s="410"/>
      <c r="D2420" s="410"/>
      <c r="E2420" s="410"/>
      <c r="F2420" s="410"/>
      <c r="H2420" s="269"/>
      <c r="I2420" s="269"/>
      <c r="J2420" s="269"/>
      <c r="K2420" s="269"/>
      <c r="L2420" s="269"/>
      <c r="M2420" s="269"/>
      <c r="N2420" s="269"/>
      <c r="O2420" s="269"/>
      <c r="P2420" s="269"/>
      <c r="Q2420" s="269"/>
      <c r="R2420" s="269"/>
      <c r="S2420" s="269"/>
      <c r="T2420" s="269"/>
      <c r="U2420" s="269"/>
      <c r="V2420" s="269"/>
      <c r="W2420" s="269"/>
      <c r="X2420" s="269"/>
      <c r="Y2420" s="269"/>
      <c r="Z2420" s="269"/>
      <c r="AA2420" s="269"/>
      <c r="AB2420" s="269"/>
      <c r="AC2420" s="269"/>
      <c r="AD2420" s="269"/>
      <c r="AE2420" s="269"/>
      <c r="AF2420" s="269"/>
      <c r="AG2420" s="269"/>
      <c r="AH2420" s="269"/>
      <c r="AI2420" s="269"/>
      <c r="AJ2420" s="269"/>
      <c r="AK2420" s="269"/>
      <c r="AL2420" s="269"/>
      <c r="AM2420" s="269"/>
      <c r="AN2420" s="269"/>
      <c r="AO2420" s="269"/>
      <c r="AP2420" s="269"/>
      <c r="AQ2420" s="269"/>
      <c r="AR2420" s="269"/>
    </row>
    <row r="2421">
      <c r="A2421" s="410"/>
      <c r="B2421" s="410"/>
      <c r="C2421" s="410"/>
      <c r="D2421" s="410"/>
      <c r="E2421" s="410"/>
      <c r="F2421" s="410"/>
      <c r="H2421" s="269"/>
      <c r="I2421" s="269"/>
      <c r="J2421" s="269"/>
      <c r="K2421" s="269"/>
      <c r="L2421" s="269"/>
      <c r="M2421" s="269"/>
      <c r="N2421" s="269"/>
      <c r="O2421" s="269"/>
      <c r="P2421" s="269"/>
      <c r="Q2421" s="269"/>
      <c r="R2421" s="269"/>
      <c r="S2421" s="269"/>
      <c r="T2421" s="269"/>
      <c r="U2421" s="269"/>
      <c r="V2421" s="269"/>
      <c r="W2421" s="269"/>
      <c r="X2421" s="269"/>
      <c r="Y2421" s="269"/>
      <c r="Z2421" s="269"/>
      <c r="AA2421" s="269"/>
      <c r="AB2421" s="269"/>
      <c r="AC2421" s="269"/>
      <c r="AD2421" s="269"/>
      <c r="AE2421" s="269"/>
      <c r="AF2421" s="269"/>
      <c r="AG2421" s="269"/>
      <c r="AH2421" s="269"/>
      <c r="AI2421" s="269"/>
      <c r="AJ2421" s="269"/>
      <c r="AK2421" s="269"/>
      <c r="AL2421" s="269"/>
      <c r="AM2421" s="269"/>
      <c r="AN2421" s="269"/>
      <c r="AO2421" s="269"/>
      <c r="AP2421" s="269"/>
      <c r="AQ2421" s="269"/>
      <c r="AR2421" s="269"/>
    </row>
    <row r="2422">
      <c r="A2422" s="410"/>
      <c r="B2422" s="410"/>
      <c r="C2422" s="410"/>
      <c r="D2422" s="410"/>
      <c r="E2422" s="410"/>
      <c r="F2422" s="410"/>
      <c r="H2422" s="269"/>
      <c r="I2422" s="269"/>
      <c r="J2422" s="269"/>
      <c r="K2422" s="269"/>
      <c r="L2422" s="269"/>
      <c r="M2422" s="269"/>
      <c r="N2422" s="269"/>
      <c r="O2422" s="269"/>
      <c r="P2422" s="269"/>
      <c r="Q2422" s="269"/>
      <c r="R2422" s="269"/>
      <c r="S2422" s="269"/>
      <c r="T2422" s="269"/>
      <c r="U2422" s="269"/>
      <c r="V2422" s="269"/>
      <c r="W2422" s="269"/>
      <c r="X2422" s="269"/>
      <c r="Y2422" s="269"/>
      <c r="Z2422" s="269"/>
      <c r="AA2422" s="269"/>
      <c r="AB2422" s="269"/>
      <c r="AC2422" s="269"/>
      <c r="AD2422" s="269"/>
      <c r="AE2422" s="269"/>
      <c r="AF2422" s="269"/>
      <c r="AG2422" s="269"/>
      <c r="AH2422" s="269"/>
      <c r="AI2422" s="269"/>
      <c r="AJ2422" s="269"/>
      <c r="AK2422" s="269"/>
      <c r="AL2422" s="269"/>
      <c r="AM2422" s="269"/>
      <c r="AN2422" s="269"/>
      <c r="AO2422" s="269"/>
      <c r="AP2422" s="269"/>
      <c r="AQ2422" s="269"/>
      <c r="AR2422" s="269"/>
    </row>
    <row r="2423">
      <c r="A2423" s="410"/>
      <c r="B2423" s="410"/>
      <c r="C2423" s="410"/>
      <c r="D2423" s="410"/>
      <c r="E2423" s="410"/>
      <c r="F2423" s="410"/>
      <c r="H2423" s="269"/>
      <c r="I2423" s="269"/>
      <c r="J2423" s="269"/>
      <c r="K2423" s="269"/>
      <c r="L2423" s="269"/>
      <c r="M2423" s="269"/>
      <c r="N2423" s="269"/>
      <c r="O2423" s="269"/>
      <c r="P2423" s="269"/>
      <c r="Q2423" s="269"/>
      <c r="R2423" s="269"/>
      <c r="S2423" s="269"/>
      <c r="T2423" s="269"/>
      <c r="U2423" s="269"/>
      <c r="V2423" s="269"/>
      <c r="W2423" s="269"/>
      <c r="X2423" s="269"/>
      <c r="Y2423" s="269"/>
      <c r="Z2423" s="269"/>
      <c r="AA2423" s="269"/>
      <c r="AB2423" s="269"/>
      <c r="AC2423" s="269"/>
      <c r="AD2423" s="269"/>
      <c r="AE2423" s="269"/>
      <c r="AF2423" s="269"/>
      <c r="AG2423" s="269"/>
      <c r="AH2423" s="269"/>
      <c r="AI2423" s="269"/>
      <c r="AJ2423" s="269"/>
      <c r="AK2423" s="269"/>
      <c r="AL2423" s="269"/>
      <c r="AM2423" s="269"/>
      <c r="AN2423" s="269"/>
      <c r="AO2423" s="269"/>
      <c r="AP2423" s="269"/>
      <c r="AQ2423" s="269"/>
      <c r="AR2423" s="269"/>
    </row>
    <row r="2424">
      <c r="A2424" s="410"/>
      <c r="B2424" s="410"/>
      <c r="C2424" s="410"/>
      <c r="D2424" s="410"/>
      <c r="E2424" s="410"/>
      <c r="F2424" s="410"/>
      <c r="H2424" s="269"/>
      <c r="I2424" s="269"/>
      <c r="J2424" s="269"/>
      <c r="K2424" s="269"/>
      <c r="L2424" s="269"/>
      <c r="M2424" s="269"/>
      <c r="N2424" s="269"/>
      <c r="O2424" s="269"/>
      <c r="P2424" s="269"/>
      <c r="Q2424" s="269"/>
      <c r="R2424" s="269"/>
      <c r="S2424" s="269"/>
      <c r="T2424" s="269"/>
      <c r="U2424" s="269"/>
      <c r="V2424" s="269"/>
      <c r="W2424" s="269"/>
      <c r="X2424" s="269"/>
      <c r="Y2424" s="269"/>
      <c r="Z2424" s="269"/>
      <c r="AA2424" s="269"/>
      <c r="AB2424" s="269"/>
      <c r="AC2424" s="269"/>
      <c r="AD2424" s="269"/>
      <c r="AE2424" s="269"/>
      <c r="AF2424" s="269"/>
      <c r="AG2424" s="269"/>
      <c r="AH2424" s="269"/>
      <c r="AI2424" s="269"/>
      <c r="AJ2424" s="269"/>
      <c r="AK2424" s="269"/>
      <c r="AL2424" s="269"/>
      <c r="AM2424" s="269"/>
      <c r="AN2424" s="269"/>
      <c r="AO2424" s="269"/>
      <c r="AP2424" s="269"/>
      <c r="AQ2424" s="269"/>
      <c r="AR2424" s="269"/>
    </row>
    <row r="2425">
      <c r="A2425" s="410"/>
      <c r="B2425" s="410"/>
      <c r="C2425" s="410"/>
      <c r="D2425" s="410"/>
      <c r="E2425" s="410"/>
      <c r="F2425" s="410"/>
      <c r="H2425" s="269"/>
      <c r="I2425" s="269"/>
      <c r="J2425" s="269"/>
      <c r="K2425" s="269"/>
      <c r="L2425" s="269"/>
      <c r="M2425" s="269"/>
      <c r="N2425" s="269"/>
      <c r="O2425" s="269"/>
      <c r="P2425" s="269"/>
      <c r="Q2425" s="269"/>
      <c r="R2425" s="269"/>
      <c r="S2425" s="269"/>
      <c r="T2425" s="269"/>
      <c r="U2425" s="269"/>
      <c r="V2425" s="269"/>
      <c r="W2425" s="269"/>
      <c r="X2425" s="269"/>
      <c r="Y2425" s="269"/>
      <c r="Z2425" s="269"/>
      <c r="AA2425" s="269"/>
      <c r="AB2425" s="269"/>
      <c r="AC2425" s="269"/>
      <c r="AD2425" s="269"/>
      <c r="AE2425" s="269"/>
      <c r="AF2425" s="269"/>
      <c r="AG2425" s="269"/>
      <c r="AH2425" s="269"/>
      <c r="AI2425" s="269"/>
      <c r="AJ2425" s="269"/>
      <c r="AK2425" s="269"/>
      <c r="AL2425" s="269"/>
      <c r="AM2425" s="269"/>
      <c r="AN2425" s="269"/>
      <c r="AO2425" s="269"/>
      <c r="AP2425" s="269"/>
      <c r="AQ2425" s="269"/>
      <c r="AR2425" s="269"/>
    </row>
    <row r="2426">
      <c r="A2426" s="410"/>
      <c r="B2426" s="410"/>
      <c r="C2426" s="410"/>
      <c r="D2426" s="410"/>
      <c r="E2426" s="410"/>
      <c r="F2426" s="410"/>
      <c r="H2426" s="269"/>
      <c r="I2426" s="269"/>
      <c r="J2426" s="269"/>
      <c r="K2426" s="269"/>
      <c r="L2426" s="269"/>
      <c r="M2426" s="269"/>
      <c r="N2426" s="269"/>
      <c r="O2426" s="269"/>
      <c r="P2426" s="269"/>
      <c r="Q2426" s="269"/>
      <c r="R2426" s="269"/>
      <c r="S2426" s="269"/>
      <c r="T2426" s="269"/>
      <c r="U2426" s="269"/>
      <c r="V2426" s="269"/>
      <c r="W2426" s="269"/>
      <c r="X2426" s="269"/>
      <c r="Y2426" s="269"/>
      <c r="Z2426" s="269"/>
      <c r="AA2426" s="269"/>
      <c r="AB2426" s="269"/>
      <c r="AC2426" s="269"/>
      <c r="AD2426" s="269"/>
      <c r="AE2426" s="269"/>
      <c r="AF2426" s="269"/>
      <c r="AG2426" s="269"/>
      <c r="AH2426" s="269"/>
      <c r="AI2426" s="269"/>
      <c r="AJ2426" s="269"/>
      <c r="AK2426" s="269"/>
      <c r="AL2426" s="269"/>
      <c r="AM2426" s="269"/>
      <c r="AN2426" s="269"/>
      <c r="AO2426" s="269"/>
      <c r="AP2426" s="269"/>
      <c r="AQ2426" s="269"/>
      <c r="AR2426" s="269"/>
    </row>
    <row r="2427">
      <c r="A2427" s="410"/>
      <c r="B2427" s="410"/>
      <c r="C2427" s="410"/>
      <c r="D2427" s="410"/>
      <c r="E2427" s="410"/>
      <c r="F2427" s="410"/>
      <c r="H2427" s="269"/>
      <c r="I2427" s="269"/>
      <c r="J2427" s="269"/>
      <c r="K2427" s="269"/>
      <c r="L2427" s="269"/>
      <c r="M2427" s="269"/>
      <c r="N2427" s="269"/>
      <c r="O2427" s="269"/>
      <c r="P2427" s="269"/>
      <c r="Q2427" s="269"/>
      <c r="R2427" s="269"/>
      <c r="S2427" s="269"/>
      <c r="T2427" s="269"/>
      <c r="U2427" s="269"/>
      <c r="V2427" s="269"/>
      <c r="W2427" s="269"/>
      <c r="X2427" s="269"/>
      <c r="Y2427" s="269"/>
      <c r="Z2427" s="269"/>
      <c r="AA2427" s="269"/>
      <c r="AB2427" s="269"/>
      <c r="AC2427" s="269"/>
      <c r="AD2427" s="269"/>
      <c r="AE2427" s="269"/>
      <c r="AF2427" s="269"/>
      <c r="AG2427" s="269"/>
      <c r="AH2427" s="269"/>
      <c r="AI2427" s="269"/>
      <c r="AJ2427" s="269"/>
      <c r="AK2427" s="269"/>
      <c r="AL2427" s="269"/>
      <c r="AM2427" s="269"/>
      <c r="AN2427" s="269"/>
      <c r="AO2427" s="269"/>
      <c r="AP2427" s="269"/>
      <c r="AQ2427" s="269"/>
      <c r="AR2427" s="269"/>
    </row>
    <row r="2428">
      <c r="A2428" s="410"/>
      <c r="B2428" s="410"/>
      <c r="C2428" s="410"/>
      <c r="D2428" s="410"/>
      <c r="E2428" s="410"/>
      <c r="F2428" s="410"/>
      <c r="H2428" s="269"/>
      <c r="I2428" s="269"/>
      <c r="J2428" s="269"/>
      <c r="K2428" s="269"/>
      <c r="L2428" s="269"/>
      <c r="M2428" s="269"/>
      <c r="N2428" s="269"/>
      <c r="O2428" s="269"/>
      <c r="P2428" s="269"/>
      <c r="Q2428" s="269"/>
      <c r="R2428" s="269"/>
      <c r="S2428" s="269"/>
      <c r="T2428" s="269"/>
      <c r="U2428" s="269"/>
      <c r="V2428" s="269"/>
      <c r="W2428" s="269"/>
      <c r="X2428" s="269"/>
      <c r="Y2428" s="269"/>
      <c r="Z2428" s="269"/>
      <c r="AA2428" s="269"/>
      <c r="AB2428" s="269"/>
      <c r="AC2428" s="269"/>
      <c r="AD2428" s="269"/>
      <c r="AE2428" s="269"/>
      <c r="AF2428" s="269"/>
      <c r="AG2428" s="269"/>
      <c r="AH2428" s="269"/>
      <c r="AI2428" s="269"/>
      <c r="AJ2428" s="269"/>
      <c r="AK2428" s="269"/>
      <c r="AL2428" s="269"/>
      <c r="AM2428" s="269"/>
      <c r="AN2428" s="269"/>
      <c r="AO2428" s="269"/>
      <c r="AP2428" s="269"/>
      <c r="AQ2428" s="269"/>
      <c r="AR2428" s="269"/>
    </row>
    <row r="2429">
      <c r="A2429" s="410"/>
      <c r="B2429" s="410"/>
      <c r="C2429" s="410"/>
      <c r="D2429" s="410"/>
      <c r="E2429" s="410"/>
      <c r="F2429" s="410"/>
      <c r="H2429" s="269"/>
      <c r="I2429" s="269"/>
      <c r="J2429" s="269"/>
      <c r="K2429" s="269"/>
      <c r="L2429" s="269"/>
      <c r="M2429" s="269"/>
      <c r="N2429" s="269"/>
      <c r="O2429" s="269"/>
      <c r="P2429" s="269"/>
      <c r="Q2429" s="269"/>
      <c r="R2429" s="269"/>
      <c r="S2429" s="269"/>
      <c r="T2429" s="269"/>
      <c r="U2429" s="269"/>
      <c r="V2429" s="269"/>
      <c r="W2429" s="269"/>
      <c r="X2429" s="269"/>
      <c r="Y2429" s="269"/>
      <c r="Z2429" s="269"/>
      <c r="AA2429" s="269"/>
      <c r="AB2429" s="269"/>
      <c r="AC2429" s="269"/>
      <c r="AD2429" s="269"/>
      <c r="AE2429" s="269"/>
      <c r="AF2429" s="269"/>
      <c r="AG2429" s="269"/>
      <c r="AH2429" s="269"/>
      <c r="AI2429" s="269"/>
      <c r="AJ2429" s="269"/>
      <c r="AK2429" s="269"/>
      <c r="AL2429" s="269"/>
      <c r="AM2429" s="269"/>
      <c r="AN2429" s="269"/>
      <c r="AO2429" s="269"/>
      <c r="AP2429" s="269"/>
      <c r="AQ2429" s="269"/>
      <c r="AR2429" s="269"/>
    </row>
    <row r="2430">
      <c r="A2430" s="410"/>
      <c r="B2430" s="410"/>
      <c r="C2430" s="410"/>
      <c r="D2430" s="410"/>
      <c r="E2430" s="410"/>
      <c r="F2430" s="410"/>
      <c r="H2430" s="269"/>
      <c r="I2430" s="269"/>
      <c r="J2430" s="269"/>
      <c r="K2430" s="269"/>
      <c r="L2430" s="269"/>
      <c r="M2430" s="269"/>
      <c r="N2430" s="269"/>
      <c r="O2430" s="269"/>
      <c r="P2430" s="269"/>
      <c r="Q2430" s="269"/>
      <c r="R2430" s="269"/>
      <c r="S2430" s="269"/>
      <c r="T2430" s="269"/>
      <c r="U2430" s="269"/>
      <c r="V2430" s="269"/>
      <c r="W2430" s="269"/>
      <c r="X2430" s="269"/>
      <c r="Y2430" s="269"/>
      <c r="Z2430" s="269"/>
      <c r="AA2430" s="269"/>
      <c r="AB2430" s="269"/>
      <c r="AC2430" s="269"/>
      <c r="AD2430" s="269"/>
      <c r="AE2430" s="269"/>
      <c r="AF2430" s="269"/>
      <c r="AG2430" s="269"/>
      <c r="AH2430" s="269"/>
      <c r="AI2430" s="269"/>
      <c r="AJ2430" s="269"/>
      <c r="AK2430" s="269"/>
      <c r="AL2430" s="269"/>
      <c r="AM2430" s="269"/>
      <c r="AN2430" s="269"/>
      <c r="AO2430" s="269"/>
      <c r="AP2430" s="269"/>
      <c r="AQ2430" s="269"/>
      <c r="AR2430" s="269"/>
    </row>
    <row r="2431">
      <c r="A2431" s="410"/>
      <c r="B2431" s="410"/>
      <c r="C2431" s="410"/>
      <c r="D2431" s="410"/>
      <c r="E2431" s="410"/>
      <c r="F2431" s="410"/>
      <c r="H2431" s="269"/>
      <c r="I2431" s="269"/>
      <c r="J2431" s="269"/>
      <c r="K2431" s="269"/>
      <c r="L2431" s="269"/>
      <c r="M2431" s="269"/>
      <c r="N2431" s="269"/>
      <c r="O2431" s="269"/>
      <c r="P2431" s="269"/>
      <c r="Q2431" s="269"/>
      <c r="R2431" s="269"/>
      <c r="S2431" s="269"/>
      <c r="T2431" s="269"/>
      <c r="U2431" s="269"/>
      <c r="V2431" s="269"/>
      <c r="W2431" s="269"/>
      <c r="X2431" s="269"/>
      <c r="Y2431" s="269"/>
      <c r="Z2431" s="269"/>
      <c r="AA2431" s="269"/>
      <c r="AB2431" s="269"/>
      <c r="AC2431" s="269"/>
      <c r="AD2431" s="269"/>
      <c r="AE2431" s="269"/>
      <c r="AF2431" s="269"/>
      <c r="AG2431" s="269"/>
      <c r="AH2431" s="269"/>
      <c r="AI2431" s="269"/>
      <c r="AJ2431" s="269"/>
      <c r="AK2431" s="269"/>
      <c r="AL2431" s="269"/>
      <c r="AM2431" s="269"/>
      <c r="AN2431" s="269"/>
      <c r="AO2431" s="269"/>
      <c r="AP2431" s="269"/>
      <c r="AQ2431" s="269"/>
      <c r="AR2431" s="269"/>
    </row>
    <row r="2432">
      <c r="A2432" s="410"/>
      <c r="B2432" s="410"/>
      <c r="C2432" s="410"/>
      <c r="D2432" s="410"/>
      <c r="E2432" s="410"/>
      <c r="F2432" s="410"/>
      <c r="H2432" s="269"/>
      <c r="I2432" s="269"/>
      <c r="J2432" s="269"/>
      <c r="K2432" s="269"/>
      <c r="L2432" s="269"/>
      <c r="M2432" s="269"/>
      <c r="N2432" s="269"/>
      <c r="O2432" s="269"/>
      <c r="P2432" s="269"/>
      <c r="Q2432" s="269"/>
      <c r="R2432" s="269"/>
      <c r="S2432" s="269"/>
      <c r="T2432" s="269"/>
      <c r="U2432" s="269"/>
      <c r="V2432" s="269"/>
      <c r="W2432" s="269"/>
      <c r="X2432" s="269"/>
      <c r="Y2432" s="269"/>
      <c r="Z2432" s="269"/>
      <c r="AA2432" s="269"/>
      <c r="AB2432" s="269"/>
      <c r="AC2432" s="269"/>
      <c r="AD2432" s="269"/>
      <c r="AE2432" s="269"/>
      <c r="AF2432" s="269"/>
      <c r="AG2432" s="269"/>
      <c r="AH2432" s="269"/>
      <c r="AI2432" s="269"/>
      <c r="AJ2432" s="269"/>
      <c r="AK2432" s="269"/>
      <c r="AL2432" s="269"/>
      <c r="AM2432" s="269"/>
      <c r="AN2432" s="269"/>
      <c r="AO2432" s="269"/>
      <c r="AP2432" s="269"/>
      <c r="AQ2432" s="269"/>
      <c r="AR2432" s="269"/>
    </row>
    <row r="2433">
      <c r="A2433" s="410"/>
      <c r="B2433" s="410"/>
      <c r="C2433" s="410"/>
      <c r="D2433" s="410"/>
      <c r="E2433" s="410"/>
      <c r="F2433" s="410"/>
      <c r="H2433" s="269"/>
      <c r="I2433" s="269"/>
      <c r="J2433" s="269"/>
      <c r="K2433" s="269"/>
      <c r="L2433" s="269"/>
      <c r="M2433" s="269"/>
      <c r="N2433" s="269"/>
      <c r="O2433" s="269"/>
      <c r="P2433" s="269"/>
      <c r="Q2433" s="269"/>
      <c r="R2433" s="269"/>
      <c r="S2433" s="269"/>
      <c r="T2433" s="269"/>
      <c r="U2433" s="269"/>
      <c r="V2433" s="269"/>
      <c r="W2433" s="269"/>
      <c r="X2433" s="269"/>
      <c r="Y2433" s="269"/>
      <c r="Z2433" s="269"/>
      <c r="AA2433" s="269"/>
      <c r="AB2433" s="269"/>
      <c r="AC2433" s="269"/>
      <c r="AD2433" s="269"/>
      <c r="AE2433" s="269"/>
      <c r="AF2433" s="269"/>
      <c r="AG2433" s="269"/>
      <c r="AH2433" s="269"/>
      <c r="AI2433" s="269"/>
      <c r="AJ2433" s="269"/>
      <c r="AK2433" s="269"/>
      <c r="AL2433" s="269"/>
      <c r="AM2433" s="269"/>
      <c r="AN2433" s="269"/>
      <c r="AO2433" s="269"/>
      <c r="AP2433" s="269"/>
      <c r="AQ2433" s="269"/>
      <c r="AR2433" s="269"/>
    </row>
    <row r="2434">
      <c r="A2434" s="410"/>
      <c r="B2434" s="410"/>
      <c r="C2434" s="410"/>
      <c r="D2434" s="410"/>
      <c r="E2434" s="410"/>
      <c r="F2434" s="410"/>
      <c r="H2434" s="269"/>
      <c r="I2434" s="269"/>
      <c r="J2434" s="269"/>
      <c r="K2434" s="269"/>
      <c r="L2434" s="269"/>
      <c r="M2434" s="269"/>
      <c r="N2434" s="269"/>
      <c r="O2434" s="269"/>
      <c r="P2434" s="269"/>
      <c r="Q2434" s="269"/>
      <c r="R2434" s="269"/>
      <c r="S2434" s="269"/>
      <c r="T2434" s="269"/>
      <c r="U2434" s="269"/>
      <c r="V2434" s="269"/>
      <c r="W2434" s="269"/>
      <c r="X2434" s="269"/>
      <c r="Y2434" s="269"/>
      <c r="Z2434" s="269"/>
      <c r="AA2434" s="269"/>
      <c r="AB2434" s="269"/>
      <c r="AC2434" s="269"/>
      <c r="AD2434" s="269"/>
      <c r="AE2434" s="269"/>
      <c r="AF2434" s="269"/>
      <c r="AG2434" s="269"/>
      <c r="AH2434" s="269"/>
      <c r="AI2434" s="269"/>
      <c r="AJ2434" s="269"/>
      <c r="AK2434" s="269"/>
      <c r="AL2434" s="269"/>
      <c r="AM2434" s="269"/>
      <c r="AN2434" s="269"/>
      <c r="AO2434" s="269"/>
      <c r="AP2434" s="269"/>
      <c r="AQ2434" s="269"/>
      <c r="AR2434" s="269"/>
    </row>
    <row r="2435">
      <c r="A2435" s="410"/>
      <c r="B2435" s="410"/>
      <c r="C2435" s="410"/>
      <c r="D2435" s="410"/>
      <c r="E2435" s="410"/>
      <c r="F2435" s="410"/>
      <c r="H2435" s="269"/>
      <c r="I2435" s="269"/>
      <c r="J2435" s="269"/>
      <c r="K2435" s="269"/>
      <c r="L2435" s="269"/>
      <c r="M2435" s="269"/>
      <c r="N2435" s="269"/>
      <c r="O2435" s="269"/>
      <c r="P2435" s="269"/>
      <c r="Q2435" s="269"/>
      <c r="R2435" s="269"/>
      <c r="S2435" s="269"/>
      <c r="T2435" s="269"/>
      <c r="U2435" s="269"/>
      <c r="V2435" s="269"/>
      <c r="W2435" s="269"/>
      <c r="X2435" s="269"/>
      <c r="Y2435" s="269"/>
      <c r="Z2435" s="269"/>
      <c r="AA2435" s="269"/>
      <c r="AB2435" s="269"/>
      <c r="AC2435" s="269"/>
      <c r="AD2435" s="269"/>
      <c r="AE2435" s="269"/>
      <c r="AF2435" s="269"/>
      <c r="AG2435" s="269"/>
      <c r="AH2435" s="269"/>
      <c r="AI2435" s="269"/>
      <c r="AJ2435" s="269"/>
      <c r="AK2435" s="269"/>
      <c r="AL2435" s="269"/>
      <c r="AM2435" s="269"/>
      <c r="AN2435" s="269"/>
      <c r="AO2435" s="269"/>
      <c r="AP2435" s="269"/>
      <c r="AQ2435" s="269"/>
      <c r="AR2435" s="269"/>
    </row>
    <row r="2436">
      <c r="A2436" s="410"/>
      <c r="B2436" s="410"/>
      <c r="C2436" s="410"/>
      <c r="D2436" s="410"/>
      <c r="E2436" s="410"/>
      <c r="F2436" s="410"/>
      <c r="H2436" s="269"/>
      <c r="I2436" s="269"/>
      <c r="J2436" s="269"/>
      <c r="K2436" s="269"/>
      <c r="L2436" s="269"/>
      <c r="M2436" s="269"/>
      <c r="N2436" s="269"/>
      <c r="O2436" s="269"/>
      <c r="P2436" s="269"/>
      <c r="Q2436" s="269"/>
      <c r="R2436" s="269"/>
      <c r="S2436" s="269"/>
      <c r="T2436" s="269"/>
      <c r="U2436" s="269"/>
      <c r="V2436" s="269"/>
      <c r="W2436" s="269"/>
      <c r="X2436" s="269"/>
      <c r="Y2436" s="269"/>
      <c r="Z2436" s="269"/>
      <c r="AA2436" s="269"/>
      <c r="AB2436" s="269"/>
      <c r="AC2436" s="269"/>
      <c r="AD2436" s="269"/>
      <c r="AE2436" s="269"/>
      <c r="AF2436" s="269"/>
      <c r="AG2436" s="269"/>
      <c r="AH2436" s="269"/>
      <c r="AI2436" s="269"/>
      <c r="AJ2436" s="269"/>
      <c r="AK2436" s="269"/>
      <c r="AL2436" s="269"/>
      <c r="AM2436" s="269"/>
      <c r="AN2436" s="269"/>
      <c r="AO2436" s="269"/>
      <c r="AP2436" s="269"/>
      <c r="AQ2436" s="269"/>
      <c r="AR2436" s="269"/>
    </row>
    <row r="2437">
      <c r="A2437" s="410"/>
      <c r="B2437" s="410"/>
      <c r="C2437" s="410"/>
      <c r="D2437" s="410"/>
      <c r="E2437" s="410"/>
      <c r="F2437" s="410"/>
      <c r="H2437" s="269"/>
      <c r="I2437" s="269"/>
      <c r="J2437" s="269"/>
      <c r="K2437" s="269"/>
      <c r="L2437" s="269"/>
      <c r="M2437" s="269"/>
      <c r="N2437" s="269"/>
      <c r="O2437" s="269"/>
      <c r="P2437" s="269"/>
      <c r="Q2437" s="269"/>
      <c r="R2437" s="269"/>
      <c r="S2437" s="269"/>
      <c r="T2437" s="269"/>
      <c r="U2437" s="269"/>
      <c r="V2437" s="269"/>
      <c r="W2437" s="269"/>
      <c r="X2437" s="269"/>
      <c r="Y2437" s="269"/>
      <c r="Z2437" s="269"/>
      <c r="AA2437" s="269"/>
      <c r="AB2437" s="269"/>
      <c r="AC2437" s="269"/>
      <c r="AD2437" s="269"/>
      <c r="AE2437" s="269"/>
      <c r="AF2437" s="269"/>
      <c r="AG2437" s="269"/>
      <c r="AH2437" s="269"/>
      <c r="AI2437" s="269"/>
      <c r="AJ2437" s="269"/>
      <c r="AK2437" s="269"/>
      <c r="AL2437" s="269"/>
      <c r="AM2437" s="269"/>
      <c r="AN2437" s="269"/>
      <c r="AO2437" s="269"/>
      <c r="AP2437" s="269"/>
      <c r="AQ2437" s="269"/>
      <c r="AR2437" s="269"/>
    </row>
    <row r="2438">
      <c r="A2438" s="410"/>
      <c r="B2438" s="410"/>
      <c r="C2438" s="410"/>
      <c r="D2438" s="410"/>
      <c r="E2438" s="410"/>
      <c r="F2438" s="410"/>
      <c r="H2438" s="269"/>
      <c r="I2438" s="269"/>
      <c r="J2438" s="269"/>
      <c r="K2438" s="269"/>
      <c r="L2438" s="269"/>
      <c r="M2438" s="269"/>
      <c r="N2438" s="269"/>
      <c r="O2438" s="269"/>
      <c r="P2438" s="269"/>
      <c r="Q2438" s="269"/>
      <c r="R2438" s="269"/>
      <c r="S2438" s="269"/>
      <c r="T2438" s="269"/>
      <c r="U2438" s="269"/>
      <c r="V2438" s="269"/>
      <c r="W2438" s="269"/>
      <c r="X2438" s="269"/>
      <c r="Y2438" s="269"/>
      <c r="Z2438" s="269"/>
      <c r="AA2438" s="269"/>
      <c r="AB2438" s="269"/>
      <c r="AC2438" s="269"/>
      <c r="AD2438" s="269"/>
      <c r="AE2438" s="269"/>
      <c r="AF2438" s="269"/>
      <c r="AG2438" s="269"/>
      <c r="AH2438" s="269"/>
      <c r="AI2438" s="269"/>
      <c r="AJ2438" s="269"/>
      <c r="AK2438" s="269"/>
      <c r="AL2438" s="269"/>
      <c r="AM2438" s="269"/>
      <c r="AN2438" s="269"/>
      <c r="AO2438" s="269"/>
      <c r="AP2438" s="269"/>
      <c r="AQ2438" s="269"/>
      <c r="AR2438" s="269"/>
    </row>
    <row r="2439">
      <c r="A2439" s="410"/>
      <c r="B2439" s="410"/>
      <c r="C2439" s="410"/>
      <c r="D2439" s="410"/>
      <c r="E2439" s="410"/>
      <c r="F2439" s="410"/>
      <c r="H2439" s="269"/>
      <c r="I2439" s="269"/>
      <c r="J2439" s="269"/>
      <c r="K2439" s="269"/>
      <c r="L2439" s="269"/>
      <c r="M2439" s="269"/>
      <c r="N2439" s="269"/>
      <c r="O2439" s="269"/>
      <c r="P2439" s="269"/>
      <c r="Q2439" s="269"/>
      <c r="R2439" s="269"/>
      <c r="S2439" s="269"/>
      <c r="T2439" s="269"/>
      <c r="U2439" s="269"/>
      <c r="V2439" s="269"/>
      <c r="W2439" s="269"/>
      <c r="X2439" s="269"/>
      <c r="Y2439" s="269"/>
      <c r="Z2439" s="269"/>
      <c r="AA2439" s="269"/>
      <c r="AB2439" s="269"/>
      <c r="AC2439" s="269"/>
      <c r="AD2439" s="269"/>
      <c r="AE2439" s="269"/>
      <c r="AF2439" s="269"/>
      <c r="AG2439" s="269"/>
      <c r="AH2439" s="269"/>
      <c r="AI2439" s="269"/>
      <c r="AJ2439" s="269"/>
      <c r="AK2439" s="269"/>
      <c r="AL2439" s="269"/>
      <c r="AM2439" s="269"/>
      <c r="AN2439" s="269"/>
      <c r="AO2439" s="269"/>
      <c r="AP2439" s="269"/>
      <c r="AQ2439" s="269"/>
      <c r="AR2439" s="269"/>
    </row>
    <row r="2440">
      <c r="A2440" s="410"/>
      <c r="B2440" s="410"/>
      <c r="C2440" s="410"/>
      <c r="D2440" s="410"/>
      <c r="E2440" s="410"/>
      <c r="F2440" s="410"/>
      <c r="H2440" s="269"/>
      <c r="I2440" s="269"/>
      <c r="J2440" s="269"/>
      <c r="K2440" s="269"/>
      <c r="L2440" s="269"/>
      <c r="M2440" s="269"/>
      <c r="N2440" s="269"/>
      <c r="O2440" s="269"/>
      <c r="P2440" s="269"/>
      <c r="Q2440" s="269"/>
      <c r="R2440" s="269"/>
      <c r="S2440" s="269"/>
      <c r="T2440" s="269"/>
      <c r="U2440" s="269"/>
      <c r="V2440" s="269"/>
      <c r="W2440" s="269"/>
      <c r="X2440" s="269"/>
      <c r="Y2440" s="269"/>
      <c r="Z2440" s="269"/>
      <c r="AA2440" s="269"/>
      <c r="AB2440" s="269"/>
      <c r="AC2440" s="269"/>
      <c r="AD2440" s="269"/>
      <c r="AE2440" s="269"/>
      <c r="AF2440" s="269"/>
      <c r="AG2440" s="269"/>
      <c r="AH2440" s="269"/>
      <c r="AI2440" s="269"/>
      <c r="AJ2440" s="269"/>
      <c r="AK2440" s="269"/>
      <c r="AL2440" s="269"/>
      <c r="AM2440" s="269"/>
      <c r="AN2440" s="269"/>
      <c r="AO2440" s="269"/>
      <c r="AP2440" s="269"/>
      <c r="AQ2440" s="269"/>
      <c r="AR2440" s="269"/>
    </row>
    <row r="2441">
      <c r="A2441" s="410"/>
      <c r="B2441" s="410"/>
      <c r="C2441" s="410"/>
      <c r="D2441" s="410"/>
      <c r="E2441" s="410"/>
      <c r="F2441" s="410"/>
      <c r="H2441" s="269"/>
      <c r="I2441" s="269"/>
      <c r="J2441" s="269"/>
      <c r="K2441" s="269"/>
      <c r="L2441" s="269"/>
      <c r="M2441" s="269"/>
      <c r="N2441" s="269"/>
      <c r="O2441" s="269"/>
      <c r="P2441" s="269"/>
      <c r="Q2441" s="269"/>
      <c r="R2441" s="269"/>
      <c r="S2441" s="269"/>
      <c r="T2441" s="269"/>
      <c r="U2441" s="269"/>
      <c r="V2441" s="269"/>
      <c r="W2441" s="269"/>
      <c r="X2441" s="269"/>
      <c r="Y2441" s="269"/>
      <c r="Z2441" s="269"/>
      <c r="AA2441" s="269"/>
      <c r="AB2441" s="269"/>
      <c r="AC2441" s="269"/>
      <c r="AD2441" s="269"/>
      <c r="AE2441" s="269"/>
      <c r="AF2441" s="269"/>
      <c r="AG2441" s="269"/>
      <c r="AH2441" s="269"/>
      <c r="AI2441" s="269"/>
      <c r="AJ2441" s="269"/>
      <c r="AK2441" s="269"/>
      <c r="AL2441" s="269"/>
      <c r="AM2441" s="269"/>
      <c r="AN2441" s="269"/>
      <c r="AO2441" s="269"/>
      <c r="AP2441" s="269"/>
      <c r="AQ2441" s="269"/>
      <c r="AR2441" s="269"/>
    </row>
    <row r="2442">
      <c r="A2442" s="410"/>
      <c r="B2442" s="410"/>
      <c r="C2442" s="410"/>
      <c r="D2442" s="410"/>
      <c r="E2442" s="410"/>
      <c r="F2442" s="410"/>
      <c r="H2442" s="269"/>
      <c r="I2442" s="269"/>
      <c r="J2442" s="269"/>
      <c r="K2442" s="269"/>
      <c r="L2442" s="269"/>
      <c r="M2442" s="269"/>
      <c r="N2442" s="269"/>
      <c r="O2442" s="269"/>
      <c r="P2442" s="269"/>
      <c r="Q2442" s="269"/>
      <c r="R2442" s="269"/>
      <c r="S2442" s="269"/>
      <c r="T2442" s="269"/>
      <c r="U2442" s="269"/>
      <c r="V2442" s="269"/>
      <c r="W2442" s="269"/>
      <c r="X2442" s="269"/>
      <c r="Y2442" s="269"/>
      <c r="Z2442" s="269"/>
      <c r="AA2442" s="269"/>
      <c r="AB2442" s="269"/>
      <c r="AC2442" s="269"/>
      <c r="AD2442" s="269"/>
      <c r="AE2442" s="269"/>
      <c r="AF2442" s="269"/>
      <c r="AG2442" s="269"/>
      <c r="AH2442" s="269"/>
      <c r="AI2442" s="269"/>
      <c r="AJ2442" s="269"/>
      <c r="AK2442" s="269"/>
      <c r="AL2442" s="269"/>
      <c r="AM2442" s="269"/>
      <c r="AN2442" s="269"/>
      <c r="AO2442" s="269"/>
      <c r="AP2442" s="269"/>
      <c r="AQ2442" s="269"/>
      <c r="AR2442" s="269"/>
    </row>
    <row r="2443">
      <c r="A2443" s="410"/>
      <c r="B2443" s="410"/>
      <c r="C2443" s="410"/>
      <c r="D2443" s="410"/>
      <c r="E2443" s="410"/>
      <c r="F2443" s="410"/>
      <c r="H2443" s="269"/>
      <c r="I2443" s="269"/>
      <c r="J2443" s="269"/>
      <c r="K2443" s="269"/>
      <c r="L2443" s="269"/>
      <c r="M2443" s="269"/>
      <c r="N2443" s="269"/>
      <c r="O2443" s="269"/>
      <c r="P2443" s="269"/>
      <c r="Q2443" s="269"/>
      <c r="R2443" s="269"/>
      <c r="S2443" s="269"/>
      <c r="T2443" s="269"/>
      <c r="U2443" s="269"/>
      <c r="V2443" s="269"/>
      <c r="W2443" s="269"/>
      <c r="X2443" s="269"/>
      <c r="Y2443" s="269"/>
      <c r="Z2443" s="269"/>
      <c r="AA2443" s="269"/>
      <c r="AB2443" s="269"/>
      <c r="AC2443" s="269"/>
      <c r="AD2443" s="269"/>
      <c r="AE2443" s="269"/>
      <c r="AF2443" s="269"/>
      <c r="AG2443" s="269"/>
      <c r="AH2443" s="269"/>
      <c r="AI2443" s="269"/>
      <c r="AJ2443" s="269"/>
      <c r="AK2443" s="269"/>
      <c r="AL2443" s="269"/>
      <c r="AM2443" s="269"/>
      <c r="AN2443" s="269"/>
      <c r="AO2443" s="269"/>
      <c r="AP2443" s="269"/>
      <c r="AQ2443" s="269"/>
      <c r="AR2443" s="269"/>
    </row>
    <row r="2444">
      <c r="A2444" s="410"/>
      <c r="B2444" s="410"/>
      <c r="C2444" s="410"/>
      <c r="D2444" s="410"/>
      <c r="E2444" s="410"/>
      <c r="F2444" s="410"/>
      <c r="H2444" s="269"/>
      <c r="I2444" s="269"/>
      <c r="J2444" s="269"/>
      <c r="K2444" s="269"/>
      <c r="L2444" s="269"/>
      <c r="M2444" s="269"/>
      <c r="N2444" s="269"/>
      <c r="O2444" s="269"/>
      <c r="P2444" s="269"/>
      <c r="Q2444" s="269"/>
      <c r="R2444" s="269"/>
      <c r="S2444" s="269"/>
      <c r="T2444" s="269"/>
      <c r="U2444" s="269"/>
      <c r="V2444" s="269"/>
      <c r="W2444" s="269"/>
      <c r="X2444" s="269"/>
      <c r="Y2444" s="269"/>
      <c r="Z2444" s="269"/>
      <c r="AA2444" s="269"/>
      <c r="AB2444" s="269"/>
      <c r="AC2444" s="269"/>
      <c r="AD2444" s="269"/>
      <c r="AE2444" s="269"/>
      <c r="AF2444" s="269"/>
      <c r="AG2444" s="269"/>
      <c r="AH2444" s="269"/>
      <c r="AI2444" s="269"/>
      <c r="AJ2444" s="269"/>
      <c r="AK2444" s="269"/>
      <c r="AL2444" s="269"/>
      <c r="AM2444" s="269"/>
      <c r="AN2444" s="269"/>
      <c r="AO2444" s="269"/>
      <c r="AP2444" s="269"/>
      <c r="AQ2444" s="269"/>
      <c r="AR2444" s="269"/>
    </row>
    <row r="2445">
      <c r="A2445" s="410"/>
      <c r="B2445" s="410"/>
      <c r="C2445" s="410"/>
      <c r="D2445" s="410"/>
      <c r="E2445" s="410"/>
      <c r="F2445" s="410"/>
      <c r="H2445" s="269"/>
      <c r="I2445" s="269"/>
      <c r="J2445" s="269"/>
      <c r="K2445" s="269"/>
      <c r="L2445" s="269"/>
      <c r="M2445" s="269"/>
      <c r="N2445" s="269"/>
      <c r="O2445" s="269"/>
      <c r="P2445" s="269"/>
      <c r="Q2445" s="269"/>
      <c r="R2445" s="269"/>
      <c r="S2445" s="269"/>
      <c r="T2445" s="269"/>
      <c r="U2445" s="269"/>
      <c r="V2445" s="269"/>
      <c r="W2445" s="269"/>
      <c r="X2445" s="269"/>
      <c r="Y2445" s="269"/>
      <c r="Z2445" s="269"/>
      <c r="AA2445" s="269"/>
      <c r="AB2445" s="269"/>
      <c r="AC2445" s="269"/>
      <c r="AD2445" s="269"/>
      <c r="AE2445" s="269"/>
      <c r="AF2445" s="269"/>
      <c r="AG2445" s="269"/>
      <c r="AH2445" s="269"/>
      <c r="AI2445" s="269"/>
      <c r="AJ2445" s="269"/>
      <c r="AK2445" s="269"/>
      <c r="AL2445" s="269"/>
      <c r="AM2445" s="269"/>
      <c r="AN2445" s="269"/>
      <c r="AO2445" s="269"/>
      <c r="AP2445" s="269"/>
      <c r="AQ2445" s="269"/>
      <c r="AR2445" s="269"/>
    </row>
    <row r="2446">
      <c r="A2446" s="410"/>
      <c r="B2446" s="410"/>
      <c r="C2446" s="410"/>
      <c r="D2446" s="410"/>
      <c r="E2446" s="410"/>
      <c r="F2446" s="410"/>
      <c r="H2446" s="269"/>
      <c r="I2446" s="269"/>
      <c r="J2446" s="269"/>
      <c r="K2446" s="269"/>
      <c r="L2446" s="269"/>
      <c r="M2446" s="269"/>
      <c r="N2446" s="269"/>
      <c r="O2446" s="269"/>
      <c r="P2446" s="269"/>
      <c r="Q2446" s="269"/>
      <c r="R2446" s="269"/>
      <c r="S2446" s="269"/>
      <c r="T2446" s="269"/>
      <c r="U2446" s="269"/>
      <c r="V2446" s="269"/>
      <c r="W2446" s="269"/>
      <c r="X2446" s="269"/>
      <c r="Y2446" s="269"/>
      <c r="Z2446" s="269"/>
      <c r="AA2446" s="269"/>
      <c r="AB2446" s="269"/>
      <c r="AC2446" s="269"/>
      <c r="AD2446" s="269"/>
      <c r="AE2446" s="269"/>
      <c r="AF2446" s="269"/>
      <c r="AG2446" s="269"/>
      <c r="AH2446" s="269"/>
      <c r="AI2446" s="269"/>
      <c r="AJ2446" s="269"/>
      <c r="AK2446" s="269"/>
      <c r="AL2446" s="269"/>
      <c r="AM2446" s="269"/>
      <c r="AN2446" s="269"/>
      <c r="AO2446" s="269"/>
      <c r="AP2446" s="269"/>
      <c r="AQ2446" s="269"/>
      <c r="AR2446" s="269"/>
    </row>
    <row r="2447">
      <c r="A2447" s="410"/>
      <c r="B2447" s="410"/>
      <c r="C2447" s="410"/>
      <c r="D2447" s="410"/>
      <c r="E2447" s="410"/>
      <c r="F2447" s="410"/>
      <c r="H2447" s="269"/>
      <c r="I2447" s="269"/>
      <c r="J2447" s="269"/>
      <c r="K2447" s="269"/>
      <c r="L2447" s="269"/>
      <c r="M2447" s="269"/>
      <c r="N2447" s="269"/>
      <c r="O2447" s="269"/>
      <c r="P2447" s="269"/>
      <c r="Q2447" s="269"/>
      <c r="R2447" s="269"/>
      <c r="S2447" s="269"/>
      <c r="T2447" s="269"/>
      <c r="U2447" s="269"/>
      <c r="V2447" s="269"/>
      <c r="W2447" s="269"/>
      <c r="X2447" s="269"/>
      <c r="Y2447" s="269"/>
      <c r="Z2447" s="269"/>
      <c r="AA2447" s="269"/>
      <c r="AB2447" s="269"/>
      <c r="AC2447" s="269"/>
      <c r="AD2447" s="269"/>
      <c r="AE2447" s="269"/>
      <c r="AF2447" s="269"/>
      <c r="AG2447" s="269"/>
      <c r="AH2447" s="269"/>
      <c r="AI2447" s="269"/>
      <c r="AJ2447" s="269"/>
      <c r="AK2447" s="269"/>
      <c r="AL2447" s="269"/>
      <c r="AM2447" s="269"/>
      <c r="AN2447" s="269"/>
      <c r="AO2447" s="269"/>
      <c r="AP2447" s="269"/>
      <c r="AQ2447" s="269"/>
      <c r="AR2447" s="269"/>
    </row>
    <row r="2448">
      <c r="A2448" s="410"/>
      <c r="B2448" s="410"/>
      <c r="C2448" s="410"/>
      <c r="D2448" s="410"/>
      <c r="E2448" s="410"/>
      <c r="F2448" s="410"/>
      <c r="H2448" s="269"/>
      <c r="I2448" s="269"/>
      <c r="J2448" s="269"/>
      <c r="K2448" s="269"/>
      <c r="L2448" s="269"/>
      <c r="M2448" s="269"/>
      <c r="N2448" s="269"/>
      <c r="O2448" s="269"/>
      <c r="P2448" s="269"/>
      <c r="Q2448" s="269"/>
      <c r="R2448" s="269"/>
      <c r="S2448" s="269"/>
      <c r="T2448" s="269"/>
      <c r="U2448" s="269"/>
      <c r="V2448" s="269"/>
      <c r="W2448" s="269"/>
      <c r="X2448" s="269"/>
      <c r="Y2448" s="269"/>
      <c r="Z2448" s="269"/>
      <c r="AA2448" s="269"/>
      <c r="AB2448" s="269"/>
      <c r="AC2448" s="269"/>
      <c r="AD2448" s="269"/>
      <c r="AE2448" s="269"/>
      <c r="AF2448" s="269"/>
      <c r="AG2448" s="269"/>
      <c r="AH2448" s="269"/>
      <c r="AI2448" s="269"/>
      <c r="AJ2448" s="269"/>
      <c r="AK2448" s="269"/>
      <c r="AL2448" s="269"/>
      <c r="AM2448" s="269"/>
      <c r="AN2448" s="269"/>
      <c r="AO2448" s="269"/>
      <c r="AP2448" s="269"/>
      <c r="AQ2448" s="269"/>
      <c r="AR2448" s="269"/>
    </row>
    <row r="2449">
      <c r="A2449" s="410"/>
      <c r="B2449" s="410"/>
      <c r="C2449" s="410"/>
      <c r="D2449" s="410"/>
      <c r="E2449" s="410"/>
      <c r="F2449" s="410"/>
      <c r="H2449" s="269"/>
      <c r="I2449" s="269"/>
      <c r="J2449" s="269"/>
      <c r="K2449" s="269"/>
      <c r="L2449" s="269"/>
      <c r="M2449" s="269"/>
      <c r="N2449" s="269"/>
      <c r="O2449" s="269"/>
      <c r="P2449" s="269"/>
      <c r="Q2449" s="269"/>
      <c r="R2449" s="269"/>
      <c r="S2449" s="269"/>
      <c r="T2449" s="269"/>
      <c r="U2449" s="269"/>
      <c r="V2449" s="269"/>
      <c r="W2449" s="269"/>
      <c r="X2449" s="269"/>
      <c r="Y2449" s="269"/>
      <c r="Z2449" s="269"/>
      <c r="AA2449" s="269"/>
      <c r="AB2449" s="269"/>
      <c r="AC2449" s="269"/>
      <c r="AD2449" s="269"/>
      <c r="AE2449" s="269"/>
      <c r="AF2449" s="269"/>
      <c r="AG2449" s="269"/>
      <c r="AH2449" s="269"/>
      <c r="AI2449" s="269"/>
      <c r="AJ2449" s="269"/>
      <c r="AK2449" s="269"/>
      <c r="AL2449" s="269"/>
      <c r="AM2449" s="269"/>
      <c r="AN2449" s="269"/>
      <c r="AO2449" s="269"/>
      <c r="AP2449" s="269"/>
      <c r="AQ2449" s="269"/>
      <c r="AR2449" s="269"/>
    </row>
    <row r="2450">
      <c r="A2450" s="410"/>
      <c r="B2450" s="410"/>
      <c r="C2450" s="410"/>
      <c r="D2450" s="410"/>
      <c r="E2450" s="410"/>
      <c r="F2450" s="410"/>
      <c r="H2450" s="269"/>
      <c r="I2450" s="269"/>
      <c r="J2450" s="269"/>
      <c r="K2450" s="269"/>
      <c r="L2450" s="269"/>
      <c r="M2450" s="269"/>
      <c r="N2450" s="269"/>
      <c r="O2450" s="269"/>
      <c r="P2450" s="269"/>
      <c r="Q2450" s="269"/>
      <c r="R2450" s="269"/>
      <c r="S2450" s="269"/>
      <c r="T2450" s="269"/>
      <c r="U2450" s="269"/>
      <c r="V2450" s="269"/>
      <c r="W2450" s="269"/>
      <c r="X2450" s="269"/>
      <c r="Y2450" s="269"/>
      <c r="Z2450" s="269"/>
      <c r="AA2450" s="269"/>
      <c r="AB2450" s="269"/>
      <c r="AC2450" s="269"/>
      <c r="AD2450" s="269"/>
      <c r="AE2450" s="269"/>
      <c r="AF2450" s="269"/>
      <c r="AG2450" s="269"/>
      <c r="AH2450" s="269"/>
      <c r="AI2450" s="269"/>
      <c r="AJ2450" s="269"/>
      <c r="AK2450" s="269"/>
      <c r="AL2450" s="269"/>
      <c r="AM2450" s="269"/>
      <c r="AN2450" s="269"/>
      <c r="AO2450" s="269"/>
      <c r="AP2450" s="269"/>
      <c r="AQ2450" s="269"/>
      <c r="AR2450" s="269"/>
    </row>
    <row r="2451">
      <c r="A2451" s="410"/>
      <c r="B2451" s="410"/>
      <c r="C2451" s="410"/>
      <c r="D2451" s="410"/>
      <c r="E2451" s="410"/>
      <c r="F2451" s="410"/>
      <c r="H2451" s="269"/>
      <c r="I2451" s="269"/>
      <c r="J2451" s="269"/>
      <c r="K2451" s="269"/>
      <c r="L2451" s="269"/>
      <c r="M2451" s="269"/>
      <c r="N2451" s="269"/>
      <c r="O2451" s="269"/>
      <c r="P2451" s="269"/>
      <c r="Q2451" s="269"/>
      <c r="R2451" s="269"/>
      <c r="S2451" s="269"/>
      <c r="T2451" s="269"/>
      <c r="U2451" s="269"/>
      <c r="V2451" s="269"/>
      <c r="W2451" s="269"/>
      <c r="X2451" s="269"/>
      <c r="Y2451" s="269"/>
      <c r="Z2451" s="269"/>
      <c r="AA2451" s="269"/>
      <c r="AB2451" s="269"/>
      <c r="AC2451" s="269"/>
      <c r="AD2451" s="269"/>
      <c r="AE2451" s="269"/>
      <c r="AF2451" s="269"/>
      <c r="AG2451" s="269"/>
      <c r="AH2451" s="269"/>
      <c r="AI2451" s="269"/>
      <c r="AJ2451" s="269"/>
      <c r="AK2451" s="269"/>
      <c r="AL2451" s="269"/>
      <c r="AM2451" s="269"/>
      <c r="AN2451" s="269"/>
      <c r="AO2451" s="269"/>
      <c r="AP2451" s="269"/>
      <c r="AQ2451" s="269"/>
      <c r="AR2451" s="269"/>
    </row>
    <row r="2452">
      <c r="A2452" s="410"/>
      <c r="B2452" s="410"/>
      <c r="C2452" s="410"/>
      <c r="D2452" s="410"/>
      <c r="E2452" s="410"/>
      <c r="F2452" s="410"/>
      <c r="H2452" s="269"/>
      <c r="I2452" s="269"/>
      <c r="J2452" s="269"/>
      <c r="K2452" s="269"/>
      <c r="L2452" s="269"/>
      <c r="M2452" s="269"/>
      <c r="N2452" s="269"/>
      <c r="O2452" s="269"/>
      <c r="P2452" s="269"/>
      <c r="Q2452" s="269"/>
      <c r="R2452" s="269"/>
      <c r="S2452" s="269"/>
      <c r="T2452" s="269"/>
      <c r="U2452" s="269"/>
      <c r="V2452" s="269"/>
      <c r="W2452" s="269"/>
      <c r="X2452" s="269"/>
      <c r="Y2452" s="269"/>
      <c r="Z2452" s="269"/>
      <c r="AA2452" s="269"/>
      <c r="AB2452" s="269"/>
      <c r="AC2452" s="269"/>
      <c r="AD2452" s="269"/>
      <c r="AE2452" s="269"/>
      <c r="AF2452" s="269"/>
      <c r="AG2452" s="269"/>
      <c r="AH2452" s="269"/>
      <c r="AI2452" s="269"/>
      <c r="AJ2452" s="269"/>
      <c r="AK2452" s="269"/>
      <c r="AL2452" s="269"/>
      <c r="AM2452" s="269"/>
      <c r="AN2452" s="269"/>
      <c r="AO2452" s="269"/>
      <c r="AP2452" s="269"/>
      <c r="AQ2452" s="269"/>
      <c r="AR2452" s="269"/>
    </row>
    <row r="2453">
      <c r="A2453" s="410"/>
      <c r="B2453" s="410"/>
      <c r="C2453" s="410"/>
      <c r="D2453" s="410"/>
      <c r="E2453" s="410"/>
      <c r="F2453" s="410"/>
      <c r="H2453" s="269"/>
      <c r="I2453" s="269"/>
      <c r="J2453" s="269"/>
      <c r="K2453" s="269"/>
      <c r="L2453" s="269"/>
      <c r="M2453" s="269"/>
      <c r="N2453" s="269"/>
      <c r="O2453" s="269"/>
      <c r="P2453" s="269"/>
      <c r="Q2453" s="269"/>
      <c r="R2453" s="269"/>
      <c r="S2453" s="269"/>
      <c r="T2453" s="269"/>
      <c r="U2453" s="269"/>
      <c r="V2453" s="269"/>
      <c r="W2453" s="269"/>
      <c r="X2453" s="269"/>
      <c r="Y2453" s="269"/>
      <c r="Z2453" s="269"/>
      <c r="AA2453" s="269"/>
      <c r="AB2453" s="269"/>
      <c r="AC2453" s="269"/>
      <c r="AD2453" s="269"/>
      <c r="AE2453" s="269"/>
      <c r="AF2453" s="269"/>
      <c r="AG2453" s="269"/>
      <c r="AH2453" s="269"/>
      <c r="AI2453" s="269"/>
      <c r="AJ2453" s="269"/>
      <c r="AK2453" s="269"/>
      <c r="AL2453" s="269"/>
      <c r="AM2453" s="269"/>
      <c r="AN2453" s="269"/>
      <c r="AO2453" s="269"/>
      <c r="AP2453" s="269"/>
      <c r="AQ2453" s="269"/>
      <c r="AR2453" s="269"/>
    </row>
    <row r="2454">
      <c r="A2454" s="410"/>
      <c r="B2454" s="410"/>
      <c r="C2454" s="410"/>
      <c r="D2454" s="410"/>
      <c r="E2454" s="410"/>
      <c r="F2454" s="410"/>
      <c r="H2454" s="269"/>
      <c r="I2454" s="269"/>
      <c r="J2454" s="269"/>
      <c r="K2454" s="269"/>
      <c r="L2454" s="269"/>
      <c r="M2454" s="269"/>
      <c r="N2454" s="269"/>
      <c r="O2454" s="269"/>
      <c r="P2454" s="269"/>
      <c r="Q2454" s="269"/>
      <c r="R2454" s="269"/>
      <c r="S2454" s="269"/>
      <c r="T2454" s="269"/>
      <c r="U2454" s="269"/>
      <c r="V2454" s="269"/>
      <c r="W2454" s="269"/>
      <c r="X2454" s="269"/>
      <c r="Y2454" s="269"/>
      <c r="Z2454" s="269"/>
      <c r="AA2454" s="269"/>
      <c r="AB2454" s="269"/>
      <c r="AC2454" s="269"/>
      <c r="AD2454" s="269"/>
      <c r="AE2454" s="269"/>
      <c r="AF2454" s="269"/>
      <c r="AG2454" s="269"/>
      <c r="AH2454" s="269"/>
      <c r="AI2454" s="269"/>
      <c r="AJ2454" s="269"/>
      <c r="AK2454" s="269"/>
      <c r="AL2454" s="269"/>
      <c r="AM2454" s="269"/>
      <c r="AN2454" s="269"/>
      <c r="AO2454" s="269"/>
      <c r="AP2454" s="269"/>
      <c r="AQ2454" s="269"/>
      <c r="AR2454" s="269"/>
    </row>
    <row r="2455">
      <c r="A2455" s="410"/>
      <c r="B2455" s="410"/>
      <c r="C2455" s="410"/>
      <c r="D2455" s="410"/>
      <c r="E2455" s="410"/>
      <c r="F2455" s="410"/>
      <c r="H2455" s="269"/>
      <c r="I2455" s="269"/>
      <c r="J2455" s="269"/>
      <c r="K2455" s="269"/>
      <c r="L2455" s="269"/>
      <c r="M2455" s="269"/>
      <c r="N2455" s="269"/>
      <c r="O2455" s="269"/>
      <c r="P2455" s="269"/>
      <c r="Q2455" s="269"/>
      <c r="R2455" s="269"/>
      <c r="S2455" s="269"/>
      <c r="T2455" s="269"/>
      <c r="U2455" s="269"/>
      <c r="V2455" s="269"/>
      <c r="W2455" s="269"/>
      <c r="X2455" s="269"/>
      <c r="Y2455" s="269"/>
      <c r="Z2455" s="269"/>
      <c r="AA2455" s="269"/>
      <c r="AB2455" s="269"/>
      <c r="AC2455" s="269"/>
      <c r="AD2455" s="269"/>
      <c r="AE2455" s="269"/>
      <c r="AF2455" s="269"/>
      <c r="AG2455" s="269"/>
      <c r="AH2455" s="269"/>
      <c r="AI2455" s="269"/>
      <c r="AJ2455" s="269"/>
      <c r="AK2455" s="269"/>
      <c r="AL2455" s="269"/>
      <c r="AM2455" s="269"/>
      <c r="AN2455" s="269"/>
      <c r="AO2455" s="269"/>
      <c r="AP2455" s="269"/>
      <c r="AQ2455" s="269"/>
      <c r="AR2455" s="269"/>
    </row>
    <row r="2456">
      <c r="A2456" s="410"/>
      <c r="B2456" s="410"/>
      <c r="C2456" s="410"/>
      <c r="D2456" s="410"/>
      <c r="E2456" s="410"/>
      <c r="F2456" s="410"/>
      <c r="H2456" s="269"/>
      <c r="I2456" s="269"/>
      <c r="J2456" s="269"/>
      <c r="K2456" s="269"/>
      <c r="L2456" s="269"/>
      <c r="M2456" s="269"/>
      <c r="N2456" s="269"/>
      <c r="O2456" s="269"/>
      <c r="P2456" s="269"/>
      <c r="Q2456" s="269"/>
      <c r="R2456" s="269"/>
      <c r="S2456" s="269"/>
      <c r="T2456" s="269"/>
      <c r="U2456" s="269"/>
      <c r="V2456" s="269"/>
      <c r="W2456" s="269"/>
      <c r="X2456" s="269"/>
      <c r="Y2456" s="269"/>
      <c r="Z2456" s="269"/>
      <c r="AA2456" s="269"/>
      <c r="AB2456" s="269"/>
      <c r="AC2456" s="269"/>
      <c r="AD2456" s="269"/>
      <c r="AE2456" s="269"/>
      <c r="AF2456" s="269"/>
      <c r="AG2456" s="269"/>
      <c r="AH2456" s="269"/>
      <c r="AI2456" s="269"/>
      <c r="AJ2456" s="269"/>
      <c r="AK2456" s="269"/>
      <c r="AL2456" s="269"/>
      <c r="AM2456" s="269"/>
      <c r="AN2456" s="269"/>
      <c r="AO2456" s="269"/>
      <c r="AP2456" s="269"/>
      <c r="AQ2456" s="269"/>
      <c r="AR2456" s="269"/>
    </row>
    <row r="2457">
      <c r="A2457" s="410"/>
      <c r="B2457" s="410"/>
      <c r="C2457" s="410"/>
      <c r="D2457" s="410"/>
      <c r="E2457" s="410"/>
      <c r="F2457" s="410"/>
      <c r="H2457" s="269"/>
      <c r="I2457" s="269"/>
      <c r="J2457" s="269"/>
      <c r="K2457" s="269"/>
      <c r="L2457" s="269"/>
      <c r="M2457" s="269"/>
      <c r="N2457" s="269"/>
      <c r="O2457" s="269"/>
      <c r="P2457" s="269"/>
      <c r="Q2457" s="269"/>
      <c r="R2457" s="269"/>
      <c r="S2457" s="269"/>
      <c r="T2457" s="269"/>
      <c r="U2457" s="269"/>
      <c r="V2457" s="269"/>
      <c r="W2457" s="269"/>
      <c r="X2457" s="269"/>
      <c r="Y2457" s="269"/>
      <c r="Z2457" s="269"/>
      <c r="AA2457" s="269"/>
      <c r="AB2457" s="269"/>
      <c r="AC2457" s="269"/>
      <c r="AD2457" s="269"/>
      <c r="AE2457" s="269"/>
      <c r="AF2457" s="269"/>
      <c r="AG2457" s="269"/>
      <c r="AH2457" s="269"/>
      <c r="AI2457" s="269"/>
      <c r="AJ2457" s="269"/>
      <c r="AK2457" s="269"/>
      <c r="AL2457" s="269"/>
      <c r="AM2457" s="269"/>
      <c r="AN2457" s="269"/>
      <c r="AO2457" s="269"/>
      <c r="AP2457" s="269"/>
      <c r="AQ2457" s="269"/>
      <c r="AR2457" s="269"/>
    </row>
    <row r="2458">
      <c r="A2458" s="410"/>
      <c r="B2458" s="410"/>
      <c r="C2458" s="410"/>
      <c r="D2458" s="410"/>
      <c r="E2458" s="410"/>
      <c r="F2458" s="410"/>
      <c r="H2458" s="269"/>
      <c r="I2458" s="269"/>
      <c r="J2458" s="269"/>
      <c r="K2458" s="269"/>
      <c r="L2458" s="269"/>
      <c r="M2458" s="269"/>
      <c r="N2458" s="269"/>
      <c r="O2458" s="269"/>
      <c r="P2458" s="269"/>
      <c r="Q2458" s="269"/>
      <c r="R2458" s="269"/>
      <c r="S2458" s="269"/>
      <c r="T2458" s="269"/>
      <c r="U2458" s="269"/>
      <c r="V2458" s="269"/>
      <c r="W2458" s="269"/>
      <c r="X2458" s="269"/>
      <c r="Y2458" s="269"/>
      <c r="Z2458" s="269"/>
      <c r="AA2458" s="269"/>
      <c r="AB2458" s="269"/>
      <c r="AC2458" s="269"/>
      <c r="AD2458" s="269"/>
      <c r="AE2458" s="269"/>
      <c r="AF2458" s="269"/>
      <c r="AG2458" s="269"/>
      <c r="AH2458" s="269"/>
      <c r="AI2458" s="269"/>
      <c r="AJ2458" s="269"/>
      <c r="AK2458" s="269"/>
      <c r="AL2458" s="269"/>
      <c r="AM2458" s="269"/>
      <c r="AN2458" s="269"/>
      <c r="AO2458" s="269"/>
      <c r="AP2458" s="269"/>
      <c r="AQ2458" s="269"/>
      <c r="AR2458" s="269"/>
    </row>
    <row r="2459">
      <c r="A2459" s="410"/>
      <c r="B2459" s="410"/>
      <c r="C2459" s="410"/>
      <c r="D2459" s="410"/>
      <c r="E2459" s="410"/>
      <c r="F2459" s="410"/>
      <c r="H2459" s="269"/>
      <c r="I2459" s="269"/>
      <c r="J2459" s="269"/>
      <c r="K2459" s="269"/>
      <c r="L2459" s="269"/>
      <c r="M2459" s="269"/>
      <c r="N2459" s="269"/>
      <c r="O2459" s="269"/>
      <c r="P2459" s="269"/>
      <c r="Q2459" s="269"/>
      <c r="R2459" s="269"/>
      <c r="S2459" s="269"/>
      <c r="T2459" s="269"/>
      <c r="U2459" s="269"/>
      <c r="V2459" s="269"/>
      <c r="W2459" s="269"/>
      <c r="X2459" s="269"/>
      <c r="Y2459" s="269"/>
      <c r="Z2459" s="269"/>
      <c r="AA2459" s="269"/>
      <c r="AB2459" s="269"/>
      <c r="AC2459" s="269"/>
      <c r="AD2459" s="269"/>
      <c r="AE2459" s="269"/>
      <c r="AF2459" s="269"/>
      <c r="AG2459" s="269"/>
      <c r="AH2459" s="269"/>
      <c r="AI2459" s="269"/>
      <c r="AJ2459" s="269"/>
      <c r="AK2459" s="269"/>
      <c r="AL2459" s="269"/>
      <c r="AM2459" s="269"/>
      <c r="AN2459" s="269"/>
      <c r="AO2459" s="269"/>
      <c r="AP2459" s="269"/>
      <c r="AQ2459" s="269"/>
      <c r="AR2459" s="269"/>
    </row>
    <row r="2460">
      <c r="A2460" s="410"/>
      <c r="B2460" s="410"/>
      <c r="C2460" s="410"/>
      <c r="D2460" s="410"/>
      <c r="E2460" s="410"/>
      <c r="F2460" s="410"/>
      <c r="H2460" s="269"/>
      <c r="I2460" s="269"/>
      <c r="J2460" s="269"/>
      <c r="K2460" s="269"/>
      <c r="L2460" s="269"/>
      <c r="M2460" s="269"/>
      <c r="N2460" s="269"/>
      <c r="O2460" s="269"/>
      <c r="P2460" s="269"/>
      <c r="Q2460" s="269"/>
      <c r="R2460" s="269"/>
      <c r="S2460" s="269"/>
      <c r="T2460" s="269"/>
      <c r="U2460" s="269"/>
      <c r="V2460" s="269"/>
      <c r="W2460" s="269"/>
      <c r="X2460" s="269"/>
      <c r="Y2460" s="269"/>
      <c r="Z2460" s="269"/>
      <c r="AA2460" s="269"/>
      <c r="AB2460" s="269"/>
      <c r="AC2460" s="269"/>
      <c r="AD2460" s="269"/>
      <c r="AE2460" s="269"/>
      <c r="AF2460" s="269"/>
      <c r="AG2460" s="269"/>
      <c r="AH2460" s="269"/>
      <c r="AI2460" s="269"/>
      <c r="AJ2460" s="269"/>
      <c r="AK2460" s="269"/>
      <c r="AL2460" s="269"/>
      <c r="AM2460" s="269"/>
      <c r="AN2460" s="269"/>
      <c r="AO2460" s="269"/>
      <c r="AP2460" s="269"/>
      <c r="AQ2460" s="269"/>
      <c r="AR2460" s="269"/>
    </row>
    <row r="2461">
      <c r="A2461" s="410"/>
      <c r="B2461" s="410"/>
      <c r="C2461" s="410"/>
      <c r="D2461" s="410"/>
      <c r="E2461" s="410"/>
      <c r="F2461" s="410"/>
      <c r="H2461" s="269"/>
      <c r="I2461" s="269"/>
      <c r="J2461" s="269"/>
      <c r="K2461" s="269"/>
      <c r="L2461" s="269"/>
      <c r="M2461" s="269"/>
      <c r="N2461" s="269"/>
      <c r="O2461" s="269"/>
      <c r="P2461" s="269"/>
      <c r="Q2461" s="269"/>
      <c r="R2461" s="269"/>
      <c r="S2461" s="269"/>
      <c r="T2461" s="269"/>
      <c r="U2461" s="269"/>
      <c r="V2461" s="269"/>
      <c r="W2461" s="269"/>
      <c r="X2461" s="269"/>
      <c r="Y2461" s="269"/>
      <c r="Z2461" s="269"/>
      <c r="AA2461" s="269"/>
      <c r="AB2461" s="269"/>
      <c r="AC2461" s="269"/>
      <c r="AD2461" s="269"/>
      <c r="AE2461" s="269"/>
      <c r="AF2461" s="269"/>
      <c r="AG2461" s="269"/>
      <c r="AH2461" s="269"/>
      <c r="AI2461" s="269"/>
      <c r="AJ2461" s="269"/>
      <c r="AK2461" s="269"/>
      <c r="AL2461" s="269"/>
      <c r="AM2461" s="269"/>
      <c r="AN2461" s="269"/>
      <c r="AO2461" s="269"/>
      <c r="AP2461" s="269"/>
      <c r="AQ2461" s="269"/>
      <c r="AR2461" s="269"/>
    </row>
    <row r="2462">
      <c r="A2462" s="410"/>
      <c r="B2462" s="410"/>
      <c r="C2462" s="410"/>
      <c r="D2462" s="410"/>
      <c r="E2462" s="410"/>
      <c r="F2462" s="410"/>
      <c r="H2462" s="269"/>
      <c r="I2462" s="269"/>
      <c r="J2462" s="269"/>
      <c r="K2462" s="269"/>
      <c r="L2462" s="269"/>
      <c r="M2462" s="269"/>
      <c r="N2462" s="269"/>
      <c r="O2462" s="269"/>
      <c r="P2462" s="269"/>
      <c r="Q2462" s="269"/>
      <c r="R2462" s="269"/>
      <c r="S2462" s="269"/>
      <c r="T2462" s="269"/>
      <c r="U2462" s="269"/>
      <c r="V2462" s="269"/>
      <c r="W2462" s="269"/>
      <c r="X2462" s="269"/>
      <c r="Y2462" s="269"/>
      <c r="Z2462" s="269"/>
      <c r="AA2462" s="269"/>
      <c r="AB2462" s="269"/>
      <c r="AC2462" s="269"/>
      <c r="AD2462" s="269"/>
      <c r="AE2462" s="269"/>
      <c r="AF2462" s="269"/>
      <c r="AG2462" s="269"/>
      <c r="AH2462" s="269"/>
      <c r="AI2462" s="269"/>
      <c r="AJ2462" s="269"/>
      <c r="AK2462" s="269"/>
      <c r="AL2462" s="269"/>
      <c r="AM2462" s="269"/>
      <c r="AN2462" s="269"/>
      <c r="AO2462" s="269"/>
      <c r="AP2462" s="269"/>
      <c r="AQ2462" s="269"/>
      <c r="AR2462" s="269"/>
    </row>
    <row r="2463">
      <c r="A2463" s="410"/>
      <c r="B2463" s="410"/>
      <c r="C2463" s="410"/>
      <c r="D2463" s="410"/>
      <c r="E2463" s="410"/>
      <c r="F2463" s="410"/>
      <c r="H2463" s="269"/>
      <c r="I2463" s="269"/>
      <c r="J2463" s="269"/>
      <c r="K2463" s="269"/>
      <c r="L2463" s="269"/>
      <c r="M2463" s="269"/>
      <c r="N2463" s="269"/>
      <c r="O2463" s="269"/>
      <c r="P2463" s="269"/>
      <c r="Q2463" s="269"/>
      <c r="R2463" s="269"/>
      <c r="S2463" s="269"/>
      <c r="T2463" s="269"/>
      <c r="U2463" s="269"/>
      <c r="V2463" s="269"/>
      <c r="W2463" s="269"/>
      <c r="X2463" s="269"/>
      <c r="Y2463" s="269"/>
      <c r="Z2463" s="269"/>
      <c r="AA2463" s="269"/>
      <c r="AB2463" s="269"/>
      <c r="AC2463" s="269"/>
      <c r="AD2463" s="269"/>
      <c r="AE2463" s="269"/>
      <c r="AF2463" s="269"/>
      <c r="AG2463" s="269"/>
      <c r="AH2463" s="269"/>
      <c r="AI2463" s="269"/>
      <c r="AJ2463" s="269"/>
      <c r="AK2463" s="269"/>
      <c r="AL2463" s="269"/>
      <c r="AM2463" s="269"/>
      <c r="AN2463" s="269"/>
      <c r="AO2463" s="269"/>
      <c r="AP2463" s="269"/>
      <c r="AQ2463" s="269"/>
      <c r="AR2463" s="269"/>
    </row>
    <row r="2464">
      <c r="A2464" s="410"/>
      <c r="B2464" s="410"/>
      <c r="C2464" s="410"/>
      <c r="D2464" s="410"/>
      <c r="E2464" s="410"/>
      <c r="F2464" s="410"/>
      <c r="H2464" s="269"/>
      <c r="I2464" s="269"/>
      <c r="J2464" s="269"/>
      <c r="K2464" s="269"/>
      <c r="L2464" s="269"/>
      <c r="M2464" s="269"/>
      <c r="N2464" s="269"/>
      <c r="O2464" s="269"/>
      <c r="P2464" s="269"/>
      <c r="Q2464" s="269"/>
      <c r="R2464" s="269"/>
      <c r="S2464" s="269"/>
      <c r="T2464" s="269"/>
      <c r="U2464" s="269"/>
      <c r="V2464" s="269"/>
      <c r="W2464" s="269"/>
      <c r="X2464" s="269"/>
      <c r="Y2464" s="269"/>
      <c r="Z2464" s="269"/>
      <c r="AA2464" s="269"/>
      <c r="AB2464" s="269"/>
      <c r="AC2464" s="269"/>
      <c r="AD2464" s="269"/>
      <c r="AE2464" s="269"/>
      <c r="AF2464" s="269"/>
      <c r="AG2464" s="269"/>
      <c r="AH2464" s="269"/>
      <c r="AI2464" s="269"/>
      <c r="AJ2464" s="269"/>
      <c r="AK2464" s="269"/>
      <c r="AL2464" s="269"/>
      <c r="AM2464" s="269"/>
      <c r="AN2464" s="269"/>
      <c r="AO2464" s="269"/>
      <c r="AP2464" s="269"/>
      <c r="AQ2464" s="269"/>
      <c r="AR2464" s="269"/>
    </row>
    <row r="2465">
      <c r="A2465" s="410"/>
      <c r="B2465" s="410"/>
      <c r="C2465" s="410"/>
      <c r="D2465" s="410"/>
      <c r="E2465" s="410"/>
      <c r="F2465" s="410"/>
      <c r="H2465" s="269"/>
      <c r="I2465" s="269"/>
      <c r="J2465" s="269"/>
      <c r="K2465" s="269"/>
      <c r="L2465" s="269"/>
      <c r="M2465" s="269"/>
      <c r="N2465" s="269"/>
      <c r="O2465" s="269"/>
      <c r="P2465" s="269"/>
      <c r="Q2465" s="269"/>
      <c r="R2465" s="269"/>
      <c r="S2465" s="269"/>
      <c r="T2465" s="269"/>
      <c r="U2465" s="269"/>
      <c r="V2465" s="269"/>
      <c r="W2465" s="269"/>
      <c r="X2465" s="269"/>
      <c r="Y2465" s="269"/>
      <c r="Z2465" s="269"/>
      <c r="AA2465" s="269"/>
      <c r="AB2465" s="269"/>
      <c r="AC2465" s="269"/>
      <c r="AD2465" s="269"/>
      <c r="AE2465" s="269"/>
      <c r="AF2465" s="269"/>
      <c r="AG2465" s="269"/>
      <c r="AH2465" s="269"/>
      <c r="AI2465" s="269"/>
      <c r="AJ2465" s="269"/>
      <c r="AK2465" s="269"/>
      <c r="AL2465" s="269"/>
      <c r="AM2465" s="269"/>
      <c r="AN2465" s="269"/>
      <c r="AO2465" s="269"/>
      <c r="AP2465" s="269"/>
      <c r="AQ2465" s="269"/>
      <c r="AR2465" s="269"/>
    </row>
    <row r="2466">
      <c r="A2466" s="410"/>
      <c r="B2466" s="410"/>
      <c r="C2466" s="410"/>
      <c r="D2466" s="410"/>
      <c r="E2466" s="410"/>
      <c r="F2466" s="410"/>
      <c r="H2466" s="269"/>
      <c r="I2466" s="269"/>
      <c r="J2466" s="269"/>
      <c r="K2466" s="269"/>
      <c r="L2466" s="269"/>
      <c r="M2466" s="269"/>
      <c r="N2466" s="269"/>
      <c r="O2466" s="269"/>
      <c r="P2466" s="269"/>
      <c r="Q2466" s="269"/>
      <c r="R2466" s="269"/>
      <c r="S2466" s="269"/>
      <c r="T2466" s="269"/>
      <c r="U2466" s="269"/>
      <c r="V2466" s="269"/>
      <c r="W2466" s="269"/>
      <c r="X2466" s="269"/>
      <c r="Y2466" s="269"/>
      <c r="Z2466" s="269"/>
      <c r="AA2466" s="269"/>
      <c r="AB2466" s="269"/>
      <c r="AC2466" s="269"/>
      <c r="AD2466" s="269"/>
      <c r="AE2466" s="269"/>
      <c r="AF2466" s="269"/>
      <c r="AG2466" s="269"/>
      <c r="AH2466" s="269"/>
      <c r="AI2466" s="269"/>
      <c r="AJ2466" s="269"/>
      <c r="AK2466" s="269"/>
      <c r="AL2466" s="269"/>
      <c r="AM2466" s="269"/>
      <c r="AN2466" s="269"/>
      <c r="AO2466" s="269"/>
      <c r="AP2466" s="269"/>
      <c r="AQ2466" s="269"/>
      <c r="AR2466" s="269"/>
    </row>
    <row r="2467">
      <c r="A2467" s="410"/>
      <c r="B2467" s="410"/>
      <c r="C2467" s="410"/>
      <c r="D2467" s="410"/>
      <c r="E2467" s="410"/>
      <c r="F2467" s="410"/>
      <c r="H2467" s="269"/>
      <c r="I2467" s="269"/>
      <c r="J2467" s="269"/>
      <c r="K2467" s="269"/>
      <c r="L2467" s="269"/>
      <c r="M2467" s="269"/>
      <c r="N2467" s="269"/>
      <c r="O2467" s="269"/>
      <c r="P2467" s="269"/>
      <c r="Q2467" s="269"/>
      <c r="R2467" s="269"/>
      <c r="S2467" s="269"/>
      <c r="T2467" s="269"/>
      <c r="U2467" s="269"/>
      <c r="V2467" s="269"/>
      <c r="W2467" s="269"/>
      <c r="X2467" s="269"/>
      <c r="Y2467" s="269"/>
      <c r="Z2467" s="269"/>
      <c r="AA2467" s="269"/>
      <c r="AB2467" s="269"/>
      <c r="AC2467" s="269"/>
      <c r="AD2467" s="269"/>
      <c r="AE2467" s="269"/>
      <c r="AF2467" s="269"/>
      <c r="AG2467" s="269"/>
      <c r="AH2467" s="269"/>
      <c r="AI2467" s="269"/>
      <c r="AJ2467" s="269"/>
      <c r="AK2467" s="269"/>
      <c r="AL2467" s="269"/>
      <c r="AM2467" s="269"/>
      <c r="AN2467" s="269"/>
      <c r="AO2467" s="269"/>
      <c r="AP2467" s="269"/>
      <c r="AQ2467" s="269"/>
      <c r="AR2467" s="269"/>
    </row>
    <row r="2468">
      <c r="A2468" s="410"/>
      <c r="B2468" s="410"/>
      <c r="C2468" s="410"/>
      <c r="D2468" s="410"/>
      <c r="E2468" s="410"/>
      <c r="F2468" s="410"/>
      <c r="H2468" s="269"/>
      <c r="I2468" s="269"/>
      <c r="J2468" s="269"/>
      <c r="K2468" s="269"/>
      <c r="L2468" s="269"/>
      <c r="M2468" s="269"/>
      <c r="N2468" s="269"/>
      <c r="O2468" s="269"/>
      <c r="P2468" s="269"/>
      <c r="Q2468" s="269"/>
      <c r="R2468" s="269"/>
      <c r="S2468" s="269"/>
      <c r="T2468" s="269"/>
      <c r="U2468" s="269"/>
      <c r="V2468" s="269"/>
      <c r="W2468" s="269"/>
      <c r="X2468" s="269"/>
      <c r="Y2468" s="269"/>
      <c r="Z2468" s="269"/>
      <c r="AA2468" s="269"/>
      <c r="AB2468" s="269"/>
      <c r="AC2468" s="269"/>
      <c r="AD2468" s="269"/>
      <c r="AE2468" s="269"/>
      <c r="AF2468" s="269"/>
      <c r="AG2468" s="269"/>
      <c r="AH2468" s="269"/>
      <c r="AI2468" s="269"/>
      <c r="AJ2468" s="269"/>
      <c r="AK2468" s="269"/>
      <c r="AL2468" s="269"/>
      <c r="AM2468" s="269"/>
      <c r="AN2468" s="269"/>
      <c r="AO2468" s="269"/>
      <c r="AP2468" s="269"/>
      <c r="AQ2468" s="269"/>
      <c r="AR2468" s="269"/>
    </row>
    <row r="2469">
      <c r="A2469" s="410"/>
      <c r="B2469" s="410"/>
      <c r="C2469" s="410"/>
      <c r="D2469" s="410"/>
      <c r="E2469" s="410"/>
      <c r="F2469" s="410"/>
      <c r="H2469" s="269"/>
      <c r="I2469" s="269"/>
      <c r="J2469" s="269"/>
      <c r="K2469" s="269"/>
      <c r="L2469" s="269"/>
      <c r="M2469" s="269"/>
      <c r="N2469" s="269"/>
      <c r="O2469" s="269"/>
      <c r="P2469" s="269"/>
      <c r="Q2469" s="269"/>
      <c r="R2469" s="269"/>
      <c r="S2469" s="269"/>
      <c r="T2469" s="269"/>
      <c r="U2469" s="269"/>
      <c r="V2469" s="269"/>
      <c r="W2469" s="269"/>
      <c r="X2469" s="269"/>
      <c r="Y2469" s="269"/>
      <c r="Z2469" s="269"/>
      <c r="AA2469" s="269"/>
      <c r="AB2469" s="269"/>
      <c r="AC2469" s="269"/>
      <c r="AD2469" s="269"/>
      <c r="AE2469" s="269"/>
      <c r="AF2469" s="269"/>
      <c r="AG2469" s="269"/>
      <c r="AH2469" s="269"/>
      <c r="AI2469" s="269"/>
      <c r="AJ2469" s="269"/>
      <c r="AK2469" s="269"/>
      <c r="AL2469" s="269"/>
      <c r="AM2469" s="269"/>
      <c r="AN2469" s="269"/>
      <c r="AO2469" s="269"/>
      <c r="AP2469" s="269"/>
      <c r="AQ2469" s="269"/>
      <c r="AR2469" s="269"/>
    </row>
    <row r="2470">
      <c r="A2470" s="410"/>
      <c r="B2470" s="410"/>
      <c r="C2470" s="410"/>
      <c r="D2470" s="410"/>
      <c r="E2470" s="410"/>
      <c r="F2470" s="410"/>
      <c r="H2470" s="269"/>
      <c r="I2470" s="269"/>
      <c r="J2470" s="269"/>
      <c r="K2470" s="269"/>
      <c r="L2470" s="269"/>
      <c r="M2470" s="269"/>
      <c r="N2470" s="269"/>
      <c r="O2470" s="269"/>
      <c r="P2470" s="269"/>
      <c r="Q2470" s="269"/>
      <c r="R2470" s="269"/>
      <c r="S2470" s="269"/>
      <c r="T2470" s="269"/>
      <c r="U2470" s="269"/>
      <c r="V2470" s="269"/>
      <c r="W2470" s="269"/>
      <c r="X2470" s="269"/>
      <c r="Y2470" s="269"/>
      <c r="Z2470" s="269"/>
      <c r="AA2470" s="269"/>
      <c r="AB2470" s="269"/>
      <c r="AC2470" s="269"/>
      <c r="AD2470" s="269"/>
      <c r="AE2470" s="269"/>
      <c r="AF2470" s="269"/>
      <c r="AG2470" s="269"/>
      <c r="AH2470" s="269"/>
      <c r="AI2470" s="269"/>
      <c r="AJ2470" s="269"/>
      <c r="AK2470" s="269"/>
      <c r="AL2470" s="269"/>
      <c r="AM2470" s="269"/>
      <c r="AN2470" s="269"/>
      <c r="AO2470" s="269"/>
      <c r="AP2470" s="269"/>
      <c r="AQ2470" s="269"/>
      <c r="AR2470" s="269"/>
    </row>
    <row r="2471">
      <c r="A2471" s="410"/>
      <c r="B2471" s="410"/>
      <c r="C2471" s="410"/>
      <c r="D2471" s="410"/>
      <c r="E2471" s="410"/>
      <c r="F2471" s="410"/>
      <c r="H2471" s="269"/>
      <c r="I2471" s="269"/>
      <c r="J2471" s="269"/>
      <c r="K2471" s="269"/>
      <c r="L2471" s="269"/>
      <c r="M2471" s="269"/>
      <c r="N2471" s="269"/>
      <c r="O2471" s="269"/>
      <c r="P2471" s="269"/>
      <c r="Q2471" s="269"/>
      <c r="R2471" s="269"/>
      <c r="S2471" s="269"/>
      <c r="T2471" s="269"/>
      <c r="U2471" s="269"/>
      <c r="V2471" s="269"/>
      <c r="W2471" s="269"/>
      <c r="X2471" s="269"/>
      <c r="Y2471" s="269"/>
      <c r="Z2471" s="269"/>
      <c r="AA2471" s="269"/>
      <c r="AB2471" s="269"/>
      <c r="AC2471" s="269"/>
      <c r="AD2471" s="269"/>
      <c r="AE2471" s="269"/>
      <c r="AF2471" s="269"/>
      <c r="AG2471" s="269"/>
      <c r="AH2471" s="269"/>
      <c r="AI2471" s="269"/>
      <c r="AJ2471" s="269"/>
      <c r="AK2471" s="269"/>
      <c r="AL2471" s="269"/>
      <c r="AM2471" s="269"/>
      <c r="AN2471" s="269"/>
      <c r="AO2471" s="269"/>
      <c r="AP2471" s="269"/>
      <c r="AQ2471" s="269"/>
      <c r="AR2471" s="269"/>
    </row>
    <row r="2472">
      <c r="A2472" s="410"/>
      <c r="B2472" s="410"/>
      <c r="C2472" s="410"/>
      <c r="D2472" s="410"/>
      <c r="E2472" s="410"/>
      <c r="F2472" s="410"/>
      <c r="H2472" s="269"/>
      <c r="I2472" s="269"/>
      <c r="J2472" s="269"/>
      <c r="K2472" s="269"/>
      <c r="L2472" s="269"/>
      <c r="M2472" s="269"/>
      <c r="N2472" s="269"/>
      <c r="O2472" s="269"/>
      <c r="P2472" s="269"/>
      <c r="Q2472" s="269"/>
      <c r="R2472" s="269"/>
      <c r="S2472" s="269"/>
      <c r="T2472" s="269"/>
      <c r="U2472" s="269"/>
      <c r="V2472" s="269"/>
      <c r="W2472" s="269"/>
      <c r="X2472" s="269"/>
      <c r="Y2472" s="269"/>
      <c r="Z2472" s="269"/>
      <c r="AA2472" s="269"/>
      <c r="AB2472" s="269"/>
      <c r="AC2472" s="269"/>
      <c r="AD2472" s="269"/>
      <c r="AE2472" s="269"/>
      <c r="AF2472" s="269"/>
      <c r="AG2472" s="269"/>
      <c r="AH2472" s="269"/>
      <c r="AI2472" s="269"/>
      <c r="AJ2472" s="269"/>
      <c r="AK2472" s="269"/>
      <c r="AL2472" s="269"/>
      <c r="AM2472" s="269"/>
      <c r="AN2472" s="269"/>
      <c r="AO2472" s="269"/>
      <c r="AP2472" s="269"/>
      <c r="AQ2472" s="269"/>
      <c r="AR2472" s="269"/>
    </row>
    <row r="2473">
      <c r="A2473" s="410"/>
      <c r="B2473" s="410"/>
      <c r="C2473" s="410"/>
      <c r="D2473" s="410"/>
      <c r="E2473" s="410"/>
      <c r="F2473" s="410"/>
      <c r="H2473" s="269"/>
      <c r="I2473" s="269"/>
      <c r="J2473" s="269"/>
      <c r="K2473" s="269"/>
      <c r="L2473" s="269"/>
      <c r="M2473" s="269"/>
      <c r="N2473" s="269"/>
      <c r="O2473" s="269"/>
      <c r="P2473" s="269"/>
      <c r="Q2473" s="269"/>
      <c r="R2473" s="269"/>
      <c r="S2473" s="269"/>
      <c r="T2473" s="269"/>
      <c r="U2473" s="269"/>
      <c r="V2473" s="269"/>
      <c r="W2473" s="269"/>
      <c r="X2473" s="269"/>
      <c r="Y2473" s="269"/>
      <c r="Z2473" s="269"/>
      <c r="AA2473" s="269"/>
      <c r="AB2473" s="269"/>
      <c r="AC2473" s="269"/>
      <c r="AD2473" s="269"/>
      <c r="AE2473" s="269"/>
      <c r="AF2473" s="269"/>
      <c r="AG2473" s="269"/>
      <c r="AH2473" s="269"/>
      <c r="AI2473" s="269"/>
      <c r="AJ2473" s="269"/>
      <c r="AK2473" s="269"/>
      <c r="AL2473" s="269"/>
      <c r="AM2473" s="269"/>
      <c r="AN2473" s="269"/>
      <c r="AO2473" s="269"/>
      <c r="AP2473" s="269"/>
      <c r="AQ2473" s="269"/>
      <c r="AR2473" s="269"/>
    </row>
    <row r="2474">
      <c r="A2474" s="410"/>
      <c r="B2474" s="410"/>
      <c r="C2474" s="410"/>
      <c r="D2474" s="410"/>
      <c r="E2474" s="410"/>
      <c r="F2474" s="410"/>
      <c r="H2474" s="269"/>
      <c r="I2474" s="269"/>
      <c r="J2474" s="269"/>
      <c r="K2474" s="269"/>
      <c r="L2474" s="269"/>
      <c r="M2474" s="269"/>
      <c r="N2474" s="269"/>
      <c r="O2474" s="269"/>
      <c r="P2474" s="269"/>
      <c r="Q2474" s="269"/>
      <c r="R2474" s="269"/>
      <c r="S2474" s="269"/>
      <c r="T2474" s="269"/>
      <c r="U2474" s="269"/>
      <c r="V2474" s="269"/>
      <c r="W2474" s="269"/>
      <c r="X2474" s="269"/>
      <c r="Y2474" s="269"/>
      <c r="Z2474" s="269"/>
      <c r="AA2474" s="269"/>
      <c r="AB2474" s="269"/>
      <c r="AC2474" s="269"/>
      <c r="AD2474" s="269"/>
      <c r="AE2474" s="269"/>
      <c r="AF2474" s="269"/>
      <c r="AG2474" s="269"/>
      <c r="AH2474" s="269"/>
      <c r="AI2474" s="269"/>
      <c r="AJ2474" s="269"/>
      <c r="AK2474" s="269"/>
      <c r="AL2474" s="269"/>
      <c r="AM2474" s="269"/>
      <c r="AN2474" s="269"/>
      <c r="AO2474" s="269"/>
      <c r="AP2474" s="269"/>
      <c r="AQ2474" s="269"/>
      <c r="AR2474" s="269"/>
    </row>
    <row r="2475">
      <c r="A2475" s="410"/>
      <c r="B2475" s="410"/>
      <c r="C2475" s="410"/>
      <c r="D2475" s="410"/>
      <c r="E2475" s="410"/>
      <c r="F2475" s="410"/>
      <c r="H2475" s="269"/>
      <c r="I2475" s="269"/>
      <c r="J2475" s="269"/>
      <c r="K2475" s="269"/>
      <c r="L2475" s="269"/>
      <c r="M2475" s="269"/>
      <c r="N2475" s="269"/>
      <c r="O2475" s="269"/>
      <c r="P2475" s="269"/>
      <c r="Q2475" s="269"/>
      <c r="R2475" s="269"/>
      <c r="S2475" s="269"/>
      <c r="T2475" s="269"/>
      <c r="U2475" s="269"/>
      <c r="V2475" s="269"/>
      <c r="W2475" s="269"/>
      <c r="X2475" s="269"/>
      <c r="Y2475" s="269"/>
      <c r="Z2475" s="269"/>
      <c r="AA2475" s="269"/>
      <c r="AB2475" s="269"/>
      <c r="AC2475" s="269"/>
      <c r="AD2475" s="269"/>
      <c r="AE2475" s="269"/>
      <c r="AF2475" s="269"/>
      <c r="AG2475" s="269"/>
      <c r="AH2475" s="269"/>
      <c r="AI2475" s="269"/>
      <c r="AJ2475" s="269"/>
      <c r="AK2475" s="269"/>
      <c r="AL2475" s="269"/>
      <c r="AM2475" s="269"/>
      <c r="AN2475" s="269"/>
      <c r="AO2475" s="269"/>
      <c r="AP2475" s="269"/>
      <c r="AQ2475" s="269"/>
      <c r="AR2475" s="269"/>
    </row>
    <row r="2476">
      <c r="A2476" s="410"/>
      <c r="B2476" s="410"/>
      <c r="C2476" s="410"/>
      <c r="D2476" s="410"/>
      <c r="E2476" s="410"/>
      <c r="F2476" s="410"/>
      <c r="H2476" s="269"/>
      <c r="I2476" s="269"/>
      <c r="J2476" s="269"/>
      <c r="K2476" s="269"/>
      <c r="L2476" s="269"/>
      <c r="M2476" s="269"/>
      <c r="N2476" s="269"/>
      <c r="O2476" s="269"/>
      <c r="P2476" s="269"/>
      <c r="Q2476" s="269"/>
      <c r="R2476" s="269"/>
      <c r="S2476" s="269"/>
      <c r="T2476" s="269"/>
      <c r="U2476" s="269"/>
      <c r="V2476" s="269"/>
      <c r="W2476" s="269"/>
      <c r="X2476" s="269"/>
      <c r="Y2476" s="269"/>
      <c r="Z2476" s="269"/>
      <c r="AA2476" s="269"/>
      <c r="AB2476" s="269"/>
      <c r="AC2476" s="269"/>
      <c r="AD2476" s="269"/>
      <c r="AE2476" s="269"/>
      <c r="AF2476" s="269"/>
      <c r="AG2476" s="269"/>
      <c r="AH2476" s="269"/>
      <c r="AI2476" s="269"/>
      <c r="AJ2476" s="269"/>
      <c r="AK2476" s="269"/>
      <c r="AL2476" s="269"/>
      <c r="AM2476" s="269"/>
      <c r="AN2476" s="269"/>
      <c r="AO2476" s="269"/>
      <c r="AP2476" s="269"/>
      <c r="AQ2476" s="269"/>
      <c r="AR2476" s="269"/>
    </row>
    <row r="2477">
      <c r="A2477" s="410"/>
      <c r="B2477" s="410"/>
      <c r="C2477" s="410"/>
      <c r="D2477" s="410"/>
      <c r="E2477" s="410"/>
      <c r="F2477" s="410"/>
      <c r="H2477" s="269"/>
      <c r="I2477" s="269"/>
      <c r="J2477" s="269"/>
      <c r="K2477" s="269"/>
      <c r="L2477" s="269"/>
      <c r="M2477" s="269"/>
      <c r="N2477" s="269"/>
      <c r="O2477" s="269"/>
      <c r="P2477" s="269"/>
      <c r="Q2477" s="269"/>
      <c r="R2477" s="269"/>
      <c r="S2477" s="269"/>
      <c r="T2477" s="269"/>
      <c r="U2477" s="269"/>
      <c r="V2477" s="269"/>
      <c r="W2477" s="269"/>
      <c r="X2477" s="269"/>
      <c r="Y2477" s="269"/>
      <c r="Z2477" s="269"/>
      <c r="AA2477" s="269"/>
      <c r="AB2477" s="269"/>
      <c r="AC2477" s="269"/>
      <c r="AD2477" s="269"/>
      <c r="AE2477" s="269"/>
      <c r="AF2477" s="269"/>
      <c r="AG2477" s="269"/>
      <c r="AH2477" s="269"/>
      <c r="AI2477" s="269"/>
      <c r="AJ2477" s="269"/>
      <c r="AK2477" s="269"/>
      <c r="AL2477" s="269"/>
      <c r="AM2477" s="269"/>
      <c r="AN2477" s="269"/>
      <c r="AO2477" s="269"/>
      <c r="AP2477" s="269"/>
      <c r="AQ2477" s="269"/>
      <c r="AR2477" s="269"/>
    </row>
    <row r="2478">
      <c r="A2478" s="410"/>
      <c r="B2478" s="410"/>
      <c r="C2478" s="410"/>
      <c r="D2478" s="410"/>
      <c r="E2478" s="410"/>
      <c r="F2478" s="410"/>
      <c r="H2478" s="269"/>
      <c r="I2478" s="269"/>
      <c r="J2478" s="269"/>
      <c r="K2478" s="269"/>
      <c r="L2478" s="269"/>
      <c r="M2478" s="269"/>
      <c r="N2478" s="269"/>
      <c r="O2478" s="269"/>
      <c r="P2478" s="269"/>
      <c r="Q2478" s="269"/>
      <c r="R2478" s="269"/>
      <c r="S2478" s="269"/>
      <c r="T2478" s="269"/>
      <c r="U2478" s="269"/>
      <c r="V2478" s="269"/>
      <c r="W2478" s="269"/>
      <c r="X2478" s="269"/>
      <c r="Y2478" s="269"/>
      <c r="Z2478" s="269"/>
      <c r="AA2478" s="269"/>
      <c r="AB2478" s="269"/>
      <c r="AC2478" s="269"/>
      <c r="AD2478" s="269"/>
      <c r="AE2478" s="269"/>
      <c r="AF2478" s="269"/>
      <c r="AG2478" s="269"/>
      <c r="AH2478" s="269"/>
      <c r="AI2478" s="269"/>
      <c r="AJ2478" s="269"/>
      <c r="AK2478" s="269"/>
      <c r="AL2478" s="269"/>
      <c r="AM2478" s="269"/>
      <c r="AN2478" s="269"/>
      <c r="AO2478" s="269"/>
      <c r="AP2478" s="269"/>
      <c r="AQ2478" s="269"/>
      <c r="AR2478" s="269"/>
    </row>
    <row r="2479">
      <c r="A2479" s="410"/>
      <c r="B2479" s="410"/>
      <c r="C2479" s="410"/>
      <c r="D2479" s="410"/>
      <c r="E2479" s="410"/>
      <c r="F2479" s="410"/>
      <c r="H2479" s="269"/>
      <c r="I2479" s="269"/>
      <c r="J2479" s="269"/>
      <c r="K2479" s="269"/>
      <c r="L2479" s="269"/>
      <c r="M2479" s="269"/>
      <c r="N2479" s="269"/>
      <c r="O2479" s="269"/>
      <c r="P2479" s="269"/>
      <c r="Q2479" s="269"/>
      <c r="R2479" s="269"/>
      <c r="S2479" s="269"/>
      <c r="T2479" s="269"/>
      <c r="U2479" s="269"/>
      <c r="V2479" s="269"/>
      <c r="W2479" s="269"/>
      <c r="X2479" s="269"/>
      <c r="Y2479" s="269"/>
      <c r="Z2479" s="269"/>
      <c r="AA2479" s="269"/>
      <c r="AB2479" s="269"/>
      <c r="AC2479" s="269"/>
      <c r="AD2479" s="269"/>
      <c r="AE2479" s="269"/>
      <c r="AF2479" s="269"/>
      <c r="AG2479" s="269"/>
      <c r="AH2479" s="269"/>
      <c r="AI2479" s="269"/>
      <c r="AJ2479" s="269"/>
      <c r="AK2479" s="269"/>
      <c r="AL2479" s="269"/>
      <c r="AM2479" s="269"/>
      <c r="AN2479" s="269"/>
      <c r="AO2479" s="269"/>
      <c r="AP2479" s="269"/>
      <c r="AQ2479" s="269"/>
      <c r="AR2479" s="269"/>
    </row>
    <row r="2480">
      <c r="A2480" s="410"/>
      <c r="B2480" s="410"/>
      <c r="C2480" s="410"/>
      <c r="D2480" s="410"/>
      <c r="E2480" s="410"/>
      <c r="F2480" s="410"/>
      <c r="H2480" s="269"/>
      <c r="I2480" s="269"/>
      <c r="J2480" s="269"/>
      <c r="K2480" s="269"/>
      <c r="L2480" s="269"/>
      <c r="M2480" s="269"/>
      <c r="N2480" s="269"/>
      <c r="O2480" s="269"/>
      <c r="P2480" s="269"/>
      <c r="Q2480" s="269"/>
      <c r="R2480" s="269"/>
      <c r="S2480" s="269"/>
      <c r="T2480" s="269"/>
      <c r="U2480" s="269"/>
      <c r="V2480" s="269"/>
      <c r="W2480" s="269"/>
      <c r="X2480" s="269"/>
      <c r="Y2480" s="269"/>
      <c r="Z2480" s="269"/>
      <c r="AA2480" s="269"/>
      <c r="AB2480" s="269"/>
      <c r="AC2480" s="269"/>
      <c r="AD2480" s="269"/>
      <c r="AE2480" s="269"/>
      <c r="AF2480" s="269"/>
      <c r="AG2480" s="269"/>
      <c r="AH2480" s="269"/>
      <c r="AI2480" s="269"/>
      <c r="AJ2480" s="269"/>
      <c r="AK2480" s="269"/>
      <c r="AL2480" s="269"/>
      <c r="AM2480" s="269"/>
      <c r="AN2480" s="269"/>
      <c r="AO2480" s="269"/>
      <c r="AP2480" s="269"/>
      <c r="AQ2480" s="269"/>
      <c r="AR2480" s="269"/>
    </row>
    <row r="2481">
      <c r="A2481" s="410"/>
      <c r="B2481" s="410"/>
      <c r="C2481" s="410"/>
      <c r="D2481" s="410"/>
      <c r="E2481" s="410"/>
      <c r="F2481" s="410"/>
      <c r="H2481" s="269"/>
      <c r="I2481" s="269"/>
      <c r="J2481" s="269"/>
      <c r="K2481" s="269"/>
      <c r="L2481" s="269"/>
      <c r="M2481" s="269"/>
      <c r="N2481" s="269"/>
      <c r="O2481" s="269"/>
      <c r="P2481" s="269"/>
      <c r="Q2481" s="269"/>
      <c r="R2481" s="269"/>
      <c r="S2481" s="269"/>
      <c r="T2481" s="269"/>
      <c r="U2481" s="269"/>
      <c r="V2481" s="269"/>
      <c r="W2481" s="269"/>
      <c r="X2481" s="269"/>
      <c r="Y2481" s="269"/>
      <c r="Z2481" s="269"/>
      <c r="AA2481" s="269"/>
      <c r="AB2481" s="269"/>
      <c r="AC2481" s="269"/>
      <c r="AD2481" s="269"/>
      <c r="AE2481" s="269"/>
      <c r="AF2481" s="269"/>
      <c r="AG2481" s="269"/>
      <c r="AH2481" s="269"/>
      <c r="AI2481" s="269"/>
      <c r="AJ2481" s="269"/>
      <c r="AK2481" s="269"/>
      <c r="AL2481" s="269"/>
      <c r="AM2481" s="269"/>
      <c r="AN2481" s="269"/>
      <c r="AO2481" s="269"/>
      <c r="AP2481" s="269"/>
      <c r="AQ2481" s="269"/>
      <c r="AR2481" s="269"/>
    </row>
    <row r="2482">
      <c r="A2482" s="410"/>
      <c r="B2482" s="410"/>
      <c r="C2482" s="410"/>
      <c r="D2482" s="410"/>
      <c r="E2482" s="410"/>
      <c r="F2482" s="410"/>
      <c r="H2482" s="269"/>
      <c r="I2482" s="269"/>
      <c r="J2482" s="269"/>
      <c r="K2482" s="269"/>
      <c r="L2482" s="269"/>
      <c r="M2482" s="269"/>
      <c r="N2482" s="269"/>
      <c r="O2482" s="269"/>
      <c r="P2482" s="269"/>
      <c r="Q2482" s="269"/>
      <c r="R2482" s="269"/>
      <c r="S2482" s="269"/>
      <c r="T2482" s="269"/>
      <c r="U2482" s="269"/>
      <c r="V2482" s="269"/>
      <c r="W2482" s="269"/>
      <c r="X2482" s="269"/>
      <c r="Y2482" s="269"/>
      <c r="Z2482" s="269"/>
      <c r="AA2482" s="269"/>
      <c r="AB2482" s="269"/>
      <c r="AC2482" s="269"/>
      <c r="AD2482" s="269"/>
      <c r="AE2482" s="269"/>
      <c r="AF2482" s="269"/>
      <c r="AG2482" s="269"/>
      <c r="AH2482" s="269"/>
      <c r="AI2482" s="269"/>
      <c r="AJ2482" s="269"/>
      <c r="AK2482" s="269"/>
      <c r="AL2482" s="269"/>
      <c r="AM2482" s="269"/>
      <c r="AN2482" s="269"/>
      <c r="AO2482" s="269"/>
      <c r="AP2482" s="269"/>
      <c r="AQ2482" s="269"/>
      <c r="AR2482" s="269"/>
    </row>
    <row r="2483">
      <c r="A2483" s="410"/>
      <c r="B2483" s="410"/>
      <c r="C2483" s="410"/>
      <c r="D2483" s="410"/>
      <c r="E2483" s="410"/>
      <c r="F2483" s="410"/>
      <c r="H2483" s="269"/>
      <c r="I2483" s="269"/>
      <c r="J2483" s="269"/>
      <c r="K2483" s="269"/>
      <c r="L2483" s="269"/>
      <c r="M2483" s="269"/>
      <c r="N2483" s="269"/>
      <c r="O2483" s="269"/>
      <c r="P2483" s="269"/>
      <c r="Q2483" s="269"/>
      <c r="R2483" s="269"/>
      <c r="S2483" s="269"/>
      <c r="T2483" s="269"/>
      <c r="U2483" s="269"/>
      <c r="V2483" s="269"/>
      <c r="W2483" s="269"/>
      <c r="X2483" s="269"/>
      <c r="Y2483" s="269"/>
      <c r="Z2483" s="269"/>
      <c r="AA2483" s="269"/>
      <c r="AB2483" s="269"/>
      <c r="AC2483" s="269"/>
      <c r="AD2483" s="269"/>
      <c r="AE2483" s="269"/>
      <c r="AF2483" s="269"/>
      <c r="AG2483" s="269"/>
      <c r="AH2483" s="269"/>
      <c r="AI2483" s="269"/>
      <c r="AJ2483" s="269"/>
      <c r="AK2483" s="269"/>
      <c r="AL2483" s="269"/>
      <c r="AM2483" s="269"/>
      <c r="AN2483" s="269"/>
      <c r="AO2483" s="269"/>
      <c r="AP2483" s="269"/>
      <c r="AQ2483" s="269"/>
      <c r="AR2483" s="269"/>
    </row>
    <row r="2484">
      <c r="A2484" s="410"/>
      <c r="B2484" s="410"/>
      <c r="C2484" s="410"/>
      <c r="D2484" s="410"/>
      <c r="E2484" s="410"/>
      <c r="F2484" s="410"/>
      <c r="H2484" s="269"/>
      <c r="I2484" s="269"/>
      <c r="J2484" s="269"/>
      <c r="K2484" s="269"/>
      <c r="L2484" s="269"/>
      <c r="M2484" s="269"/>
      <c r="N2484" s="269"/>
      <c r="O2484" s="269"/>
      <c r="P2484" s="269"/>
      <c r="Q2484" s="269"/>
      <c r="R2484" s="269"/>
      <c r="S2484" s="269"/>
      <c r="T2484" s="269"/>
      <c r="U2484" s="269"/>
      <c r="V2484" s="269"/>
      <c r="W2484" s="269"/>
      <c r="X2484" s="269"/>
      <c r="Y2484" s="269"/>
      <c r="Z2484" s="269"/>
      <c r="AA2484" s="269"/>
      <c r="AB2484" s="269"/>
      <c r="AC2484" s="269"/>
      <c r="AD2484" s="269"/>
      <c r="AE2484" s="269"/>
      <c r="AF2484" s="269"/>
      <c r="AG2484" s="269"/>
      <c r="AH2484" s="269"/>
      <c r="AI2484" s="269"/>
      <c r="AJ2484" s="269"/>
      <c r="AK2484" s="269"/>
      <c r="AL2484" s="269"/>
      <c r="AM2484" s="269"/>
      <c r="AN2484" s="269"/>
      <c r="AO2484" s="269"/>
      <c r="AP2484" s="269"/>
      <c r="AQ2484" s="269"/>
      <c r="AR2484" s="269"/>
    </row>
    <row r="2485">
      <c r="A2485" s="410"/>
      <c r="B2485" s="410"/>
      <c r="C2485" s="410"/>
      <c r="D2485" s="410"/>
      <c r="E2485" s="410"/>
      <c r="F2485" s="410"/>
      <c r="H2485" s="269"/>
      <c r="I2485" s="269"/>
      <c r="J2485" s="269"/>
      <c r="K2485" s="269"/>
      <c r="L2485" s="269"/>
      <c r="M2485" s="269"/>
      <c r="N2485" s="269"/>
      <c r="O2485" s="269"/>
      <c r="P2485" s="269"/>
      <c r="Q2485" s="269"/>
      <c r="R2485" s="269"/>
      <c r="S2485" s="269"/>
      <c r="T2485" s="269"/>
      <c r="U2485" s="269"/>
      <c r="V2485" s="269"/>
      <c r="W2485" s="269"/>
      <c r="X2485" s="269"/>
      <c r="Y2485" s="269"/>
      <c r="Z2485" s="269"/>
      <c r="AA2485" s="269"/>
      <c r="AB2485" s="269"/>
      <c r="AC2485" s="269"/>
      <c r="AD2485" s="269"/>
      <c r="AE2485" s="269"/>
      <c r="AF2485" s="269"/>
      <c r="AG2485" s="269"/>
      <c r="AH2485" s="269"/>
      <c r="AI2485" s="269"/>
      <c r="AJ2485" s="269"/>
      <c r="AK2485" s="269"/>
      <c r="AL2485" s="269"/>
      <c r="AM2485" s="269"/>
      <c r="AN2485" s="269"/>
      <c r="AO2485" s="269"/>
      <c r="AP2485" s="269"/>
      <c r="AQ2485" s="269"/>
      <c r="AR2485" s="269"/>
    </row>
    <row r="2486">
      <c r="A2486" s="410"/>
      <c r="B2486" s="410"/>
      <c r="C2486" s="410"/>
      <c r="D2486" s="410"/>
      <c r="E2486" s="410"/>
      <c r="F2486" s="410"/>
      <c r="H2486" s="269"/>
      <c r="I2486" s="269"/>
      <c r="J2486" s="269"/>
      <c r="K2486" s="269"/>
      <c r="L2486" s="269"/>
      <c r="M2486" s="269"/>
      <c r="N2486" s="269"/>
      <c r="O2486" s="269"/>
      <c r="P2486" s="269"/>
      <c r="Q2486" s="269"/>
      <c r="R2486" s="269"/>
      <c r="S2486" s="269"/>
      <c r="T2486" s="269"/>
      <c r="U2486" s="269"/>
      <c r="V2486" s="269"/>
      <c r="W2486" s="269"/>
      <c r="X2486" s="269"/>
      <c r="Y2486" s="269"/>
      <c r="Z2486" s="269"/>
      <c r="AA2486" s="269"/>
      <c r="AB2486" s="269"/>
      <c r="AC2486" s="269"/>
      <c r="AD2486" s="269"/>
      <c r="AE2486" s="269"/>
      <c r="AF2486" s="269"/>
      <c r="AG2486" s="269"/>
      <c r="AH2486" s="269"/>
      <c r="AI2486" s="269"/>
      <c r="AJ2486" s="269"/>
      <c r="AK2486" s="269"/>
      <c r="AL2486" s="269"/>
      <c r="AM2486" s="269"/>
      <c r="AN2486" s="269"/>
      <c r="AO2486" s="269"/>
      <c r="AP2486" s="269"/>
      <c r="AQ2486" s="269"/>
      <c r="AR2486" s="269"/>
    </row>
    <row r="2487">
      <c r="A2487" s="410"/>
      <c r="B2487" s="410"/>
      <c r="C2487" s="410"/>
      <c r="D2487" s="410"/>
      <c r="E2487" s="410"/>
      <c r="F2487" s="410"/>
      <c r="H2487" s="269"/>
      <c r="I2487" s="269"/>
      <c r="J2487" s="269"/>
      <c r="K2487" s="269"/>
      <c r="L2487" s="269"/>
      <c r="M2487" s="269"/>
      <c r="N2487" s="269"/>
      <c r="O2487" s="269"/>
      <c r="P2487" s="269"/>
      <c r="Q2487" s="269"/>
      <c r="R2487" s="269"/>
      <c r="S2487" s="269"/>
      <c r="T2487" s="269"/>
      <c r="U2487" s="269"/>
      <c r="V2487" s="269"/>
      <c r="W2487" s="269"/>
      <c r="X2487" s="269"/>
      <c r="Y2487" s="269"/>
      <c r="Z2487" s="269"/>
      <c r="AA2487" s="269"/>
      <c r="AB2487" s="269"/>
      <c r="AC2487" s="269"/>
      <c r="AD2487" s="269"/>
      <c r="AE2487" s="269"/>
      <c r="AF2487" s="269"/>
      <c r="AG2487" s="269"/>
      <c r="AH2487" s="269"/>
      <c r="AI2487" s="269"/>
      <c r="AJ2487" s="269"/>
      <c r="AK2487" s="269"/>
      <c r="AL2487" s="269"/>
      <c r="AM2487" s="269"/>
      <c r="AN2487" s="269"/>
      <c r="AO2487" s="269"/>
      <c r="AP2487" s="269"/>
      <c r="AQ2487" s="269"/>
      <c r="AR2487" s="269"/>
    </row>
    <row r="2488">
      <c r="A2488" s="410"/>
      <c r="B2488" s="410"/>
      <c r="C2488" s="410"/>
      <c r="D2488" s="410"/>
      <c r="E2488" s="410"/>
      <c r="F2488" s="410"/>
      <c r="H2488" s="269"/>
      <c r="I2488" s="269"/>
      <c r="J2488" s="269"/>
      <c r="K2488" s="269"/>
      <c r="L2488" s="269"/>
      <c r="M2488" s="269"/>
      <c r="N2488" s="269"/>
      <c r="O2488" s="269"/>
      <c r="P2488" s="269"/>
      <c r="Q2488" s="269"/>
      <c r="R2488" s="269"/>
      <c r="S2488" s="269"/>
      <c r="T2488" s="269"/>
      <c r="U2488" s="269"/>
      <c r="V2488" s="269"/>
      <c r="W2488" s="269"/>
      <c r="X2488" s="269"/>
      <c r="Y2488" s="269"/>
      <c r="Z2488" s="269"/>
      <c r="AA2488" s="269"/>
      <c r="AB2488" s="269"/>
      <c r="AC2488" s="269"/>
      <c r="AD2488" s="269"/>
      <c r="AE2488" s="269"/>
      <c r="AF2488" s="269"/>
      <c r="AG2488" s="269"/>
      <c r="AH2488" s="269"/>
      <c r="AI2488" s="269"/>
      <c r="AJ2488" s="269"/>
      <c r="AK2488" s="269"/>
      <c r="AL2488" s="269"/>
      <c r="AM2488" s="269"/>
      <c r="AN2488" s="269"/>
      <c r="AO2488" s="269"/>
      <c r="AP2488" s="269"/>
      <c r="AQ2488" s="269"/>
      <c r="AR2488" s="269"/>
    </row>
    <row r="2489">
      <c r="A2489" s="410"/>
      <c r="B2489" s="410"/>
      <c r="C2489" s="410"/>
      <c r="D2489" s="410"/>
      <c r="E2489" s="410"/>
      <c r="F2489" s="410"/>
      <c r="H2489" s="269"/>
      <c r="I2489" s="269"/>
      <c r="J2489" s="269"/>
      <c r="K2489" s="269"/>
      <c r="L2489" s="269"/>
      <c r="M2489" s="269"/>
      <c r="N2489" s="269"/>
      <c r="O2489" s="269"/>
      <c r="P2489" s="269"/>
      <c r="Q2489" s="269"/>
      <c r="R2489" s="269"/>
      <c r="S2489" s="269"/>
      <c r="T2489" s="269"/>
      <c r="U2489" s="269"/>
      <c r="V2489" s="269"/>
      <c r="W2489" s="269"/>
      <c r="X2489" s="269"/>
      <c r="Y2489" s="269"/>
      <c r="Z2489" s="269"/>
      <c r="AA2489" s="269"/>
      <c r="AB2489" s="269"/>
      <c r="AC2489" s="269"/>
      <c r="AD2489" s="269"/>
      <c r="AE2489" s="269"/>
      <c r="AF2489" s="269"/>
      <c r="AG2489" s="269"/>
      <c r="AH2489" s="269"/>
      <c r="AI2489" s="269"/>
      <c r="AJ2489" s="269"/>
      <c r="AK2489" s="269"/>
      <c r="AL2489" s="269"/>
      <c r="AM2489" s="269"/>
      <c r="AN2489" s="269"/>
      <c r="AO2489" s="269"/>
      <c r="AP2489" s="269"/>
      <c r="AQ2489" s="269"/>
      <c r="AR2489" s="269"/>
    </row>
    <row r="2490">
      <c r="A2490" s="410"/>
      <c r="B2490" s="410"/>
      <c r="C2490" s="410"/>
      <c r="D2490" s="410"/>
      <c r="E2490" s="410"/>
      <c r="F2490" s="410"/>
      <c r="H2490" s="269"/>
      <c r="I2490" s="269"/>
      <c r="J2490" s="269"/>
      <c r="K2490" s="269"/>
      <c r="L2490" s="269"/>
      <c r="M2490" s="269"/>
      <c r="N2490" s="269"/>
      <c r="O2490" s="269"/>
      <c r="P2490" s="269"/>
      <c r="Q2490" s="269"/>
      <c r="R2490" s="269"/>
      <c r="S2490" s="269"/>
      <c r="T2490" s="269"/>
      <c r="U2490" s="269"/>
      <c r="V2490" s="269"/>
      <c r="W2490" s="269"/>
      <c r="X2490" s="269"/>
      <c r="Y2490" s="269"/>
      <c r="Z2490" s="269"/>
      <c r="AA2490" s="269"/>
      <c r="AB2490" s="269"/>
      <c r="AC2490" s="269"/>
      <c r="AD2490" s="269"/>
      <c r="AE2490" s="269"/>
      <c r="AF2490" s="269"/>
      <c r="AG2490" s="269"/>
      <c r="AH2490" s="269"/>
      <c r="AI2490" s="269"/>
      <c r="AJ2490" s="269"/>
      <c r="AK2490" s="269"/>
      <c r="AL2490" s="269"/>
      <c r="AM2490" s="269"/>
      <c r="AN2490" s="269"/>
      <c r="AO2490" s="269"/>
      <c r="AP2490" s="269"/>
      <c r="AQ2490" s="269"/>
      <c r="AR2490" s="269"/>
    </row>
    <row r="2491">
      <c r="A2491" s="410"/>
      <c r="B2491" s="410"/>
      <c r="C2491" s="410"/>
      <c r="D2491" s="410"/>
      <c r="E2491" s="410"/>
      <c r="F2491" s="410"/>
      <c r="H2491" s="269"/>
      <c r="I2491" s="269"/>
      <c r="J2491" s="269"/>
      <c r="K2491" s="269"/>
      <c r="L2491" s="269"/>
      <c r="M2491" s="269"/>
      <c r="N2491" s="269"/>
      <c r="O2491" s="269"/>
      <c r="P2491" s="269"/>
      <c r="Q2491" s="269"/>
      <c r="R2491" s="269"/>
      <c r="S2491" s="269"/>
      <c r="T2491" s="269"/>
      <c r="U2491" s="269"/>
      <c r="V2491" s="269"/>
      <c r="W2491" s="269"/>
      <c r="X2491" s="269"/>
      <c r="Y2491" s="269"/>
      <c r="Z2491" s="269"/>
      <c r="AA2491" s="269"/>
      <c r="AB2491" s="269"/>
      <c r="AC2491" s="269"/>
      <c r="AD2491" s="269"/>
      <c r="AE2491" s="269"/>
      <c r="AF2491" s="269"/>
      <c r="AG2491" s="269"/>
      <c r="AH2491" s="269"/>
      <c r="AI2491" s="269"/>
      <c r="AJ2491" s="269"/>
      <c r="AK2491" s="269"/>
      <c r="AL2491" s="269"/>
      <c r="AM2491" s="269"/>
      <c r="AN2491" s="269"/>
      <c r="AO2491" s="269"/>
      <c r="AP2491" s="269"/>
      <c r="AQ2491" s="269"/>
      <c r="AR2491" s="269"/>
    </row>
    <row r="2492">
      <c r="A2492" s="410"/>
      <c r="B2492" s="410"/>
      <c r="C2492" s="410"/>
      <c r="D2492" s="410"/>
      <c r="E2492" s="410"/>
      <c r="F2492" s="410"/>
      <c r="H2492" s="269"/>
      <c r="I2492" s="269"/>
      <c r="J2492" s="269"/>
      <c r="K2492" s="269"/>
      <c r="L2492" s="269"/>
      <c r="M2492" s="269"/>
      <c r="N2492" s="269"/>
      <c r="O2492" s="269"/>
      <c r="P2492" s="269"/>
      <c r="Q2492" s="269"/>
      <c r="R2492" s="269"/>
      <c r="S2492" s="269"/>
      <c r="T2492" s="269"/>
      <c r="U2492" s="269"/>
      <c r="V2492" s="269"/>
      <c r="W2492" s="269"/>
      <c r="X2492" s="269"/>
      <c r="Y2492" s="269"/>
      <c r="Z2492" s="269"/>
      <c r="AA2492" s="269"/>
      <c r="AB2492" s="269"/>
      <c r="AC2492" s="269"/>
      <c r="AD2492" s="269"/>
      <c r="AE2492" s="269"/>
      <c r="AF2492" s="269"/>
      <c r="AG2492" s="269"/>
      <c r="AH2492" s="269"/>
      <c r="AI2492" s="269"/>
      <c r="AJ2492" s="269"/>
      <c r="AK2492" s="269"/>
      <c r="AL2492" s="269"/>
      <c r="AM2492" s="269"/>
      <c r="AN2492" s="269"/>
      <c r="AO2492" s="269"/>
      <c r="AP2492" s="269"/>
      <c r="AQ2492" s="269"/>
      <c r="AR2492" s="269"/>
    </row>
    <row r="2493">
      <c r="A2493" s="410"/>
      <c r="B2493" s="410"/>
      <c r="C2493" s="410"/>
      <c r="D2493" s="410"/>
      <c r="E2493" s="410"/>
      <c r="F2493" s="410"/>
      <c r="H2493" s="269"/>
      <c r="I2493" s="269"/>
      <c r="J2493" s="269"/>
      <c r="K2493" s="269"/>
      <c r="L2493" s="269"/>
      <c r="M2493" s="269"/>
      <c r="N2493" s="269"/>
      <c r="O2493" s="269"/>
      <c r="P2493" s="269"/>
      <c r="Q2493" s="269"/>
      <c r="R2493" s="269"/>
      <c r="S2493" s="269"/>
      <c r="T2493" s="269"/>
      <c r="U2493" s="269"/>
      <c r="V2493" s="269"/>
      <c r="W2493" s="269"/>
      <c r="X2493" s="269"/>
      <c r="Y2493" s="269"/>
      <c r="Z2493" s="269"/>
      <c r="AA2493" s="269"/>
      <c r="AB2493" s="269"/>
      <c r="AC2493" s="269"/>
      <c r="AD2493" s="269"/>
      <c r="AE2493" s="269"/>
      <c r="AF2493" s="269"/>
      <c r="AG2493" s="269"/>
      <c r="AH2493" s="269"/>
      <c r="AI2493" s="269"/>
      <c r="AJ2493" s="269"/>
      <c r="AK2493" s="269"/>
      <c r="AL2493" s="269"/>
      <c r="AM2493" s="269"/>
      <c r="AN2493" s="269"/>
      <c r="AO2493" s="269"/>
      <c r="AP2493" s="269"/>
      <c r="AQ2493" s="269"/>
      <c r="AR2493" s="269"/>
    </row>
    <row r="2494">
      <c r="A2494" s="410"/>
      <c r="B2494" s="410"/>
      <c r="C2494" s="410"/>
      <c r="D2494" s="410"/>
      <c r="E2494" s="410"/>
      <c r="F2494" s="410"/>
      <c r="H2494" s="269"/>
      <c r="I2494" s="269"/>
      <c r="J2494" s="269"/>
      <c r="K2494" s="269"/>
      <c r="L2494" s="269"/>
      <c r="M2494" s="269"/>
      <c r="N2494" s="269"/>
      <c r="O2494" s="269"/>
      <c r="P2494" s="269"/>
      <c r="Q2494" s="269"/>
      <c r="R2494" s="269"/>
      <c r="S2494" s="269"/>
      <c r="T2494" s="269"/>
      <c r="U2494" s="269"/>
      <c r="V2494" s="269"/>
      <c r="W2494" s="269"/>
      <c r="X2494" s="269"/>
      <c r="Y2494" s="269"/>
      <c r="Z2494" s="269"/>
      <c r="AA2494" s="269"/>
      <c r="AB2494" s="269"/>
      <c r="AC2494" s="269"/>
      <c r="AD2494" s="269"/>
      <c r="AE2494" s="269"/>
      <c r="AF2494" s="269"/>
      <c r="AG2494" s="269"/>
      <c r="AH2494" s="269"/>
      <c r="AI2494" s="269"/>
      <c r="AJ2494" s="269"/>
      <c r="AK2494" s="269"/>
      <c r="AL2494" s="269"/>
      <c r="AM2494" s="269"/>
      <c r="AN2494" s="269"/>
      <c r="AO2494" s="269"/>
      <c r="AP2494" s="269"/>
      <c r="AQ2494" s="269"/>
      <c r="AR2494" s="269"/>
    </row>
    <row r="2495">
      <c r="A2495" s="410"/>
      <c r="B2495" s="410"/>
      <c r="C2495" s="410"/>
      <c r="D2495" s="410"/>
      <c r="E2495" s="410"/>
      <c r="F2495" s="410"/>
      <c r="H2495" s="269"/>
      <c r="I2495" s="269"/>
      <c r="J2495" s="269"/>
      <c r="K2495" s="269"/>
      <c r="L2495" s="269"/>
      <c r="M2495" s="269"/>
      <c r="N2495" s="269"/>
      <c r="O2495" s="269"/>
      <c r="P2495" s="269"/>
      <c r="Q2495" s="269"/>
      <c r="R2495" s="269"/>
      <c r="S2495" s="269"/>
      <c r="T2495" s="269"/>
      <c r="U2495" s="269"/>
      <c r="V2495" s="269"/>
      <c r="W2495" s="269"/>
      <c r="X2495" s="269"/>
      <c r="Y2495" s="269"/>
      <c r="Z2495" s="269"/>
      <c r="AA2495" s="269"/>
      <c r="AB2495" s="269"/>
      <c r="AC2495" s="269"/>
      <c r="AD2495" s="269"/>
      <c r="AE2495" s="269"/>
      <c r="AF2495" s="269"/>
      <c r="AG2495" s="269"/>
      <c r="AH2495" s="269"/>
      <c r="AI2495" s="269"/>
      <c r="AJ2495" s="269"/>
      <c r="AK2495" s="269"/>
      <c r="AL2495" s="269"/>
      <c r="AM2495" s="269"/>
      <c r="AN2495" s="269"/>
      <c r="AO2495" s="269"/>
      <c r="AP2495" s="269"/>
      <c r="AQ2495" s="269"/>
      <c r="AR2495" s="269"/>
    </row>
    <row r="2496">
      <c r="A2496" s="410"/>
      <c r="B2496" s="410"/>
      <c r="C2496" s="410"/>
      <c r="D2496" s="410"/>
      <c r="E2496" s="410"/>
      <c r="F2496" s="410"/>
      <c r="H2496" s="269"/>
      <c r="I2496" s="269"/>
      <c r="J2496" s="269"/>
      <c r="K2496" s="269"/>
      <c r="L2496" s="269"/>
      <c r="M2496" s="269"/>
      <c r="N2496" s="269"/>
      <c r="O2496" s="269"/>
      <c r="P2496" s="269"/>
      <c r="Q2496" s="269"/>
      <c r="R2496" s="269"/>
      <c r="S2496" s="269"/>
      <c r="T2496" s="269"/>
      <c r="U2496" s="269"/>
      <c r="V2496" s="269"/>
      <c r="W2496" s="269"/>
      <c r="X2496" s="269"/>
      <c r="Y2496" s="269"/>
      <c r="Z2496" s="269"/>
      <c r="AA2496" s="269"/>
      <c r="AB2496" s="269"/>
      <c r="AC2496" s="269"/>
      <c r="AD2496" s="269"/>
      <c r="AE2496" s="269"/>
      <c r="AF2496" s="269"/>
      <c r="AG2496" s="269"/>
      <c r="AH2496" s="269"/>
      <c r="AI2496" s="269"/>
      <c r="AJ2496" s="269"/>
      <c r="AK2496" s="269"/>
      <c r="AL2496" s="269"/>
      <c r="AM2496" s="269"/>
      <c r="AN2496" s="269"/>
      <c r="AO2496" s="269"/>
      <c r="AP2496" s="269"/>
      <c r="AQ2496" s="269"/>
      <c r="AR2496" s="269"/>
    </row>
    <row r="2497">
      <c r="A2497" s="410"/>
      <c r="B2497" s="410"/>
      <c r="C2497" s="410"/>
      <c r="D2497" s="410"/>
      <c r="E2497" s="410"/>
      <c r="F2497" s="410"/>
      <c r="H2497" s="269"/>
      <c r="I2497" s="269"/>
      <c r="J2497" s="269"/>
      <c r="K2497" s="269"/>
      <c r="L2497" s="269"/>
      <c r="M2497" s="269"/>
      <c r="N2497" s="269"/>
      <c r="O2497" s="269"/>
      <c r="P2497" s="269"/>
      <c r="Q2497" s="269"/>
      <c r="R2497" s="269"/>
      <c r="S2497" s="269"/>
      <c r="T2497" s="269"/>
      <c r="U2497" s="269"/>
      <c r="V2497" s="269"/>
      <c r="W2497" s="269"/>
      <c r="X2497" s="269"/>
      <c r="Y2497" s="269"/>
      <c r="Z2497" s="269"/>
      <c r="AA2497" s="269"/>
      <c r="AB2497" s="269"/>
      <c r="AC2497" s="269"/>
      <c r="AD2497" s="269"/>
      <c r="AE2497" s="269"/>
      <c r="AF2497" s="269"/>
      <c r="AG2497" s="269"/>
      <c r="AH2497" s="269"/>
      <c r="AI2497" s="269"/>
      <c r="AJ2497" s="269"/>
      <c r="AK2497" s="269"/>
      <c r="AL2497" s="269"/>
      <c r="AM2497" s="269"/>
      <c r="AN2497" s="269"/>
      <c r="AO2497" s="269"/>
      <c r="AP2497" s="269"/>
      <c r="AQ2497" s="269"/>
      <c r="AR2497" s="269"/>
    </row>
    <row r="2498">
      <c r="A2498" s="410"/>
      <c r="B2498" s="410"/>
      <c r="C2498" s="410"/>
      <c r="D2498" s="410"/>
      <c r="E2498" s="410"/>
      <c r="F2498" s="410"/>
      <c r="H2498" s="269"/>
      <c r="I2498" s="269"/>
      <c r="J2498" s="269"/>
      <c r="K2498" s="269"/>
      <c r="L2498" s="269"/>
      <c r="M2498" s="269"/>
      <c r="N2498" s="269"/>
      <c r="O2498" s="269"/>
      <c r="P2498" s="269"/>
      <c r="Q2498" s="269"/>
      <c r="R2498" s="269"/>
      <c r="S2498" s="269"/>
      <c r="T2498" s="269"/>
      <c r="U2498" s="269"/>
      <c r="V2498" s="269"/>
      <c r="W2498" s="269"/>
      <c r="X2498" s="269"/>
      <c r="Y2498" s="269"/>
      <c r="Z2498" s="269"/>
      <c r="AA2498" s="269"/>
      <c r="AB2498" s="269"/>
      <c r="AC2498" s="269"/>
      <c r="AD2498" s="269"/>
      <c r="AE2498" s="269"/>
      <c r="AF2498" s="269"/>
      <c r="AG2498" s="269"/>
      <c r="AH2498" s="269"/>
      <c r="AI2498" s="269"/>
      <c r="AJ2498" s="269"/>
      <c r="AK2498" s="269"/>
      <c r="AL2498" s="269"/>
      <c r="AM2498" s="269"/>
      <c r="AN2498" s="269"/>
      <c r="AO2498" s="269"/>
      <c r="AP2498" s="269"/>
      <c r="AQ2498" s="269"/>
      <c r="AR2498" s="269"/>
    </row>
    <row r="2499">
      <c r="A2499" s="410"/>
      <c r="B2499" s="410"/>
      <c r="C2499" s="410"/>
      <c r="D2499" s="410"/>
      <c r="E2499" s="410"/>
      <c r="F2499" s="410"/>
      <c r="H2499" s="269"/>
      <c r="I2499" s="269"/>
      <c r="J2499" s="269"/>
      <c r="K2499" s="269"/>
      <c r="L2499" s="269"/>
      <c r="M2499" s="269"/>
      <c r="N2499" s="269"/>
      <c r="O2499" s="269"/>
      <c r="P2499" s="269"/>
      <c r="Q2499" s="269"/>
      <c r="R2499" s="269"/>
      <c r="S2499" s="269"/>
      <c r="T2499" s="269"/>
      <c r="U2499" s="269"/>
      <c r="V2499" s="269"/>
      <c r="W2499" s="269"/>
      <c r="X2499" s="269"/>
      <c r="Y2499" s="269"/>
      <c r="Z2499" s="269"/>
      <c r="AA2499" s="269"/>
      <c r="AB2499" s="269"/>
      <c r="AC2499" s="269"/>
      <c r="AD2499" s="269"/>
      <c r="AE2499" s="269"/>
      <c r="AF2499" s="269"/>
      <c r="AG2499" s="269"/>
      <c r="AH2499" s="269"/>
      <c r="AI2499" s="269"/>
      <c r="AJ2499" s="269"/>
      <c r="AK2499" s="269"/>
      <c r="AL2499" s="269"/>
      <c r="AM2499" s="269"/>
      <c r="AN2499" s="269"/>
      <c r="AO2499" s="269"/>
      <c r="AP2499" s="269"/>
      <c r="AQ2499" s="269"/>
      <c r="AR2499" s="269"/>
    </row>
    <row r="2500">
      <c r="A2500" s="410"/>
      <c r="B2500" s="410"/>
      <c r="C2500" s="410"/>
      <c r="D2500" s="410"/>
      <c r="E2500" s="410"/>
      <c r="F2500" s="410"/>
      <c r="H2500" s="269"/>
      <c r="I2500" s="269"/>
      <c r="J2500" s="269"/>
      <c r="K2500" s="269"/>
      <c r="L2500" s="269"/>
      <c r="M2500" s="269"/>
      <c r="N2500" s="269"/>
      <c r="O2500" s="269"/>
      <c r="P2500" s="269"/>
      <c r="Q2500" s="269"/>
      <c r="R2500" s="269"/>
      <c r="S2500" s="269"/>
      <c r="T2500" s="269"/>
      <c r="U2500" s="269"/>
      <c r="V2500" s="269"/>
      <c r="W2500" s="269"/>
      <c r="X2500" s="269"/>
      <c r="Y2500" s="269"/>
      <c r="Z2500" s="269"/>
      <c r="AA2500" s="269"/>
      <c r="AB2500" s="269"/>
      <c r="AC2500" s="269"/>
      <c r="AD2500" s="269"/>
      <c r="AE2500" s="269"/>
      <c r="AF2500" s="269"/>
      <c r="AG2500" s="269"/>
      <c r="AH2500" s="269"/>
      <c r="AI2500" s="269"/>
      <c r="AJ2500" s="269"/>
      <c r="AK2500" s="269"/>
      <c r="AL2500" s="269"/>
      <c r="AM2500" s="269"/>
      <c r="AN2500" s="269"/>
      <c r="AO2500" s="269"/>
      <c r="AP2500" s="269"/>
      <c r="AQ2500" s="269"/>
      <c r="AR2500" s="269"/>
    </row>
    <row r="2501">
      <c r="A2501" s="410"/>
      <c r="B2501" s="410"/>
      <c r="C2501" s="410"/>
      <c r="D2501" s="410"/>
      <c r="E2501" s="410"/>
      <c r="F2501" s="410"/>
      <c r="H2501" s="269"/>
      <c r="I2501" s="269"/>
      <c r="J2501" s="269"/>
      <c r="K2501" s="269"/>
      <c r="L2501" s="269"/>
      <c r="M2501" s="269"/>
      <c r="N2501" s="269"/>
      <c r="O2501" s="269"/>
      <c r="P2501" s="269"/>
      <c r="Q2501" s="269"/>
      <c r="R2501" s="269"/>
      <c r="S2501" s="269"/>
      <c r="T2501" s="269"/>
      <c r="U2501" s="269"/>
      <c r="V2501" s="269"/>
      <c r="W2501" s="269"/>
      <c r="X2501" s="269"/>
      <c r="Y2501" s="269"/>
      <c r="Z2501" s="269"/>
      <c r="AA2501" s="269"/>
      <c r="AB2501" s="269"/>
      <c r="AC2501" s="269"/>
      <c r="AD2501" s="269"/>
      <c r="AE2501" s="269"/>
      <c r="AF2501" s="269"/>
      <c r="AG2501" s="269"/>
      <c r="AH2501" s="269"/>
      <c r="AI2501" s="269"/>
      <c r="AJ2501" s="269"/>
      <c r="AK2501" s="269"/>
      <c r="AL2501" s="269"/>
      <c r="AM2501" s="269"/>
      <c r="AN2501" s="269"/>
      <c r="AO2501" s="269"/>
      <c r="AP2501" s="269"/>
      <c r="AQ2501" s="269"/>
      <c r="AR2501" s="269"/>
    </row>
    <row r="2502">
      <c r="A2502" s="410"/>
      <c r="B2502" s="410"/>
      <c r="C2502" s="410"/>
      <c r="D2502" s="410"/>
      <c r="E2502" s="410"/>
      <c r="F2502" s="410"/>
      <c r="H2502" s="269"/>
      <c r="I2502" s="269"/>
      <c r="J2502" s="269"/>
      <c r="K2502" s="269"/>
      <c r="L2502" s="269"/>
      <c r="M2502" s="269"/>
      <c r="N2502" s="269"/>
      <c r="O2502" s="269"/>
      <c r="P2502" s="269"/>
      <c r="Q2502" s="269"/>
      <c r="R2502" s="269"/>
      <c r="S2502" s="269"/>
      <c r="T2502" s="269"/>
      <c r="U2502" s="269"/>
      <c r="V2502" s="269"/>
      <c r="W2502" s="269"/>
      <c r="X2502" s="269"/>
      <c r="Y2502" s="269"/>
      <c r="Z2502" s="269"/>
      <c r="AA2502" s="269"/>
      <c r="AB2502" s="269"/>
      <c r="AC2502" s="269"/>
      <c r="AD2502" s="269"/>
      <c r="AE2502" s="269"/>
      <c r="AF2502" s="269"/>
      <c r="AG2502" s="269"/>
      <c r="AH2502" s="269"/>
      <c r="AI2502" s="269"/>
      <c r="AJ2502" s="269"/>
      <c r="AK2502" s="269"/>
      <c r="AL2502" s="269"/>
      <c r="AM2502" s="269"/>
      <c r="AN2502" s="269"/>
      <c r="AO2502" s="269"/>
      <c r="AP2502" s="269"/>
      <c r="AQ2502" s="269"/>
      <c r="AR2502" s="269"/>
    </row>
    <row r="2503">
      <c r="A2503" s="410"/>
      <c r="B2503" s="410"/>
      <c r="C2503" s="410"/>
      <c r="D2503" s="410"/>
      <c r="E2503" s="410"/>
      <c r="F2503" s="410"/>
      <c r="H2503" s="269"/>
      <c r="I2503" s="269"/>
      <c r="J2503" s="269"/>
      <c r="K2503" s="269"/>
      <c r="L2503" s="269"/>
      <c r="M2503" s="269"/>
      <c r="N2503" s="269"/>
      <c r="O2503" s="269"/>
      <c r="P2503" s="269"/>
      <c r="Q2503" s="269"/>
      <c r="R2503" s="269"/>
      <c r="S2503" s="269"/>
      <c r="T2503" s="269"/>
      <c r="U2503" s="269"/>
      <c r="V2503" s="269"/>
      <c r="W2503" s="269"/>
      <c r="X2503" s="269"/>
      <c r="Y2503" s="269"/>
      <c r="Z2503" s="269"/>
      <c r="AA2503" s="269"/>
      <c r="AB2503" s="269"/>
      <c r="AC2503" s="269"/>
      <c r="AD2503" s="269"/>
      <c r="AE2503" s="269"/>
      <c r="AF2503" s="269"/>
      <c r="AG2503" s="269"/>
      <c r="AH2503" s="269"/>
      <c r="AI2503" s="269"/>
      <c r="AJ2503" s="269"/>
      <c r="AK2503" s="269"/>
      <c r="AL2503" s="269"/>
      <c r="AM2503" s="269"/>
      <c r="AN2503" s="269"/>
      <c r="AO2503" s="269"/>
      <c r="AP2503" s="269"/>
      <c r="AQ2503" s="269"/>
      <c r="AR2503" s="269"/>
    </row>
    <row r="2504">
      <c r="A2504" s="410"/>
      <c r="B2504" s="410"/>
      <c r="C2504" s="410"/>
      <c r="D2504" s="410"/>
      <c r="E2504" s="410"/>
      <c r="F2504" s="410"/>
      <c r="H2504" s="269"/>
      <c r="I2504" s="269"/>
      <c r="J2504" s="269"/>
      <c r="K2504" s="269"/>
      <c r="L2504" s="269"/>
      <c r="M2504" s="269"/>
      <c r="N2504" s="269"/>
      <c r="O2504" s="269"/>
      <c r="P2504" s="269"/>
      <c r="Q2504" s="269"/>
      <c r="R2504" s="269"/>
      <c r="S2504" s="269"/>
      <c r="T2504" s="269"/>
      <c r="U2504" s="269"/>
      <c r="V2504" s="269"/>
      <c r="W2504" s="269"/>
      <c r="X2504" s="269"/>
      <c r="Y2504" s="269"/>
      <c r="Z2504" s="269"/>
      <c r="AA2504" s="269"/>
      <c r="AB2504" s="269"/>
      <c r="AC2504" s="269"/>
      <c r="AD2504" s="269"/>
      <c r="AE2504" s="269"/>
      <c r="AF2504" s="269"/>
      <c r="AG2504" s="269"/>
      <c r="AH2504" s="269"/>
      <c r="AI2504" s="269"/>
      <c r="AJ2504" s="269"/>
      <c r="AK2504" s="269"/>
      <c r="AL2504" s="269"/>
      <c r="AM2504" s="269"/>
      <c r="AN2504" s="269"/>
      <c r="AO2504" s="269"/>
      <c r="AP2504" s="269"/>
      <c r="AQ2504" s="269"/>
      <c r="AR2504" s="269"/>
    </row>
    <row r="2505">
      <c r="A2505" s="410"/>
      <c r="B2505" s="410"/>
      <c r="C2505" s="410"/>
      <c r="D2505" s="410"/>
      <c r="E2505" s="410"/>
      <c r="F2505" s="410"/>
      <c r="H2505" s="269"/>
      <c r="I2505" s="269"/>
      <c r="J2505" s="269"/>
      <c r="K2505" s="269"/>
      <c r="L2505" s="269"/>
      <c r="M2505" s="269"/>
      <c r="N2505" s="269"/>
      <c r="O2505" s="269"/>
      <c r="P2505" s="269"/>
      <c r="Q2505" s="269"/>
      <c r="R2505" s="269"/>
      <c r="S2505" s="269"/>
      <c r="T2505" s="269"/>
      <c r="U2505" s="269"/>
      <c r="V2505" s="269"/>
      <c r="W2505" s="269"/>
      <c r="X2505" s="269"/>
      <c r="Y2505" s="269"/>
      <c r="Z2505" s="269"/>
      <c r="AA2505" s="269"/>
      <c r="AB2505" s="269"/>
      <c r="AC2505" s="269"/>
      <c r="AD2505" s="269"/>
      <c r="AE2505" s="269"/>
      <c r="AF2505" s="269"/>
      <c r="AG2505" s="269"/>
      <c r="AH2505" s="269"/>
      <c r="AI2505" s="269"/>
      <c r="AJ2505" s="269"/>
      <c r="AK2505" s="269"/>
      <c r="AL2505" s="269"/>
      <c r="AM2505" s="269"/>
      <c r="AN2505" s="269"/>
      <c r="AO2505" s="269"/>
      <c r="AP2505" s="269"/>
      <c r="AQ2505" s="269"/>
      <c r="AR2505" s="269"/>
    </row>
    <row r="2506">
      <c r="A2506" s="410"/>
      <c r="B2506" s="410"/>
      <c r="C2506" s="410"/>
      <c r="D2506" s="410"/>
      <c r="E2506" s="410"/>
      <c r="F2506" s="410"/>
      <c r="H2506" s="269"/>
      <c r="I2506" s="269"/>
      <c r="J2506" s="269"/>
      <c r="K2506" s="269"/>
      <c r="L2506" s="269"/>
      <c r="M2506" s="269"/>
      <c r="N2506" s="269"/>
      <c r="O2506" s="269"/>
      <c r="P2506" s="269"/>
      <c r="Q2506" s="269"/>
      <c r="R2506" s="269"/>
      <c r="S2506" s="269"/>
      <c r="T2506" s="269"/>
      <c r="U2506" s="269"/>
      <c r="V2506" s="269"/>
      <c r="W2506" s="269"/>
      <c r="X2506" s="269"/>
      <c r="Y2506" s="269"/>
      <c r="Z2506" s="269"/>
      <c r="AA2506" s="269"/>
      <c r="AB2506" s="269"/>
      <c r="AC2506" s="269"/>
      <c r="AD2506" s="269"/>
      <c r="AE2506" s="269"/>
      <c r="AF2506" s="269"/>
      <c r="AG2506" s="269"/>
      <c r="AH2506" s="269"/>
      <c r="AI2506" s="269"/>
      <c r="AJ2506" s="269"/>
      <c r="AK2506" s="269"/>
      <c r="AL2506" s="269"/>
      <c r="AM2506" s="269"/>
      <c r="AN2506" s="269"/>
      <c r="AO2506" s="269"/>
      <c r="AP2506" s="269"/>
      <c r="AQ2506" s="269"/>
      <c r="AR2506" s="269"/>
    </row>
    <row r="2507">
      <c r="A2507" s="410"/>
      <c r="B2507" s="410"/>
      <c r="C2507" s="410"/>
      <c r="D2507" s="410"/>
      <c r="E2507" s="410"/>
      <c r="F2507" s="410"/>
      <c r="H2507" s="269"/>
      <c r="I2507" s="269"/>
      <c r="J2507" s="269"/>
      <c r="K2507" s="269"/>
      <c r="L2507" s="269"/>
      <c r="M2507" s="269"/>
      <c r="N2507" s="269"/>
      <c r="O2507" s="269"/>
      <c r="P2507" s="269"/>
      <c r="Q2507" s="269"/>
      <c r="R2507" s="269"/>
      <c r="S2507" s="269"/>
      <c r="T2507" s="269"/>
      <c r="U2507" s="269"/>
      <c r="V2507" s="269"/>
      <c r="W2507" s="269"/>
      <c r="X2507" s="269"/>
      <c r="Y2507" s="269"/>
      <c r="Z2507" s="269"/>
      <c r="AA2507" s="269"/>
      <c r="AB2507" s="269"/>
      <c r="AC2507" s="269"/>
      <c r="AD2507" s="269"/>
      <c r="AE2507" s="269"/>
      <c r="AF2507" s="269"/>
      <c r="AG2507" s="269"/>
      <c r="AH2507" s="269"/>
      <c r="AI2507" s="269"/>
      <c r="AJ2507" s="269"/>
      <c r="AK2507" s="269"/>
      <c r="AL2507" s="269"/>
      <c r="AM2507" s="269"/>
      <c r="AN2507" s="269"/>
      <c r="AO2507" s="269"/>
      <c r="AP2507" s="269"/>
      <c r="AQ2507" s="269"/>
      <c r="AR2507" s="269"/>
    </row>
    <row r="2508">
      <c r="A2508" s="410"/>
      <c r="B2508" s="410"/>
      <c r="C2508" s="410"/>
      <c r="D2508" s="410"/>
      <c r="E2508" s="410"/>
      <c r="F2508" s="410"/>
      <c r="H2508" s="269"/>
      <c r="I2508" s="269"/>
      <c r="J2508" s="269"/>
      <c r="K2508" s="269"/>
      <c r="L2508" s="269"/>
      <c r="M2508" s="269"/>
      <c r="N2508" s="269"/>
      <c r="O2508" s="269"/>
      <c r="P2508" s="269"/>
      <c r="Q2508" s="269"/>
      <c r="R2508" s="269"/>
      <c r="S2508" s="269"/>
      <c r="T2508" s="269"/>
      <c r="U2508" s="269"/>
      <c r="V2508" s="269"/>
      <c r="W2508" s="269"/>
      <c r="X2508" s="269"/>
      <c r="Y2508" s="269"/>
      <c r="Z2508" s="269"/>
      <c r="AA2508" s="269"/>
      <c r="AB2508" s="269"/>
      <c r="AC2508" s="269"/>
      <c r="AD2508" s="269"/>
      <c r="AE2508" s="269"/>
      <c r="AF2508" s="269"/>
      <c r="AG2508" s="269"/>
      <c r="AH2508" s="269"/>
      <c r="AI2508" s="269"/>
      <c r="AJ2508" s="269"/>
      <c r="AK2508" s="269"/>
      <c r="AL2508" s="269"/>
      <c r="AM2508" s="269"/>
      <c r="AN2508" s="269"/>
      <c r="AO2508" s="269"/>
      <c r="AP2508" s="269"/>
      <c r="AQ2508" s="269"/>
      <c r="AR2508" s="269"/>
    </row>
    <row r="2509">
      <c r="A2509" s="410"/>
      <c r="B2509" s="410"/>
      <c r="C2509" s="410"/>
      <c r="D2509" s="410"/>
      <c r="E2509" s="410"/>
      <c r="F2509" s="410"/>
      <c r="H2509" s="269"/>
      <c r="I2509" s="269"/>
      <c r="J2509" s="269"/>
      <c r="K2509" s="269"/>
      <c r="L2509" s="269"/>
      <c r="M2509" s="269"/>
      <c r="N2509" s="269"/>
      <c r="O2509" s="269"/>
      <c r="P2509" s="269"/>
      <c r="Q2509" s="269"/>
      <c r="R2509" s="269"/>
      <c r="S2509" s="269"/>
      <c r="T2509" s="269"/>
      <c r="U2509" s="269"/>
      <c r="V2509" s="269"/>
      <c r="W2509" s="269"/>
      <c r="X2509" s="269"/>
      <c r="Y2509" s="269"/>
      <c r="Z2509" s="269"/>
      <c r="AA2509" s="269"/>
      <c r="AB2509" s="269"/>
      <c r="AC2509" s="269"/>
      <c r="AD2509" s="269"/>
      <c r="AE2509" s="269"/>
      <c r="AF2509" s="269"/>
      <c r="AG2509" s="269"/>
      <c r="AH2509" s="269"/>
      <c r="AI2509" s="269"/>
      <c r="AJ2509" s="269"/>
      <c r="AK2509" s="269"/>
      <c r="AL2509" s="269"/>
      <c r="AM2509" s="269"/>
      <c r="AN2509" s="269"/>
      <c r="AO2509" s="269"/>
      <c r="AP2509" s="269"/>
      <c r="AQ2509" s="269"/>
      <c r="AR2509" s="269"/>
    </row>
    <row r="2510">
      <c r="A2510" s="410"/>
      <c r="B2510" s="410"/>
      <c r="C2510" s="410"/>
      <c r="D2510" s="410"/>
      <c r="E2510" s="410"/>
      <c r="F2510" s="410"/>
      <c r="H2510" s="269"/>
      <c r="I2510" s="269"/>
      <c r="J2510" s="269"/>
      <c r="K2510" s="269"/>
      <c r="L2510" s="269"/>
      <c r="M2510" s="269"/>
      <c r="N2510" s="269"/>
      <c r="O2510" s="269"/>
      <c r="P2510" s="269"/>
      <c r="Q2510" s="269"/>
      <c r="R2510" s="269"/>
      <c r="S2510" s="269"/>
      <c r="T2510" s="269"/>
      <c r="U2510" s="269"/>
      <c r="V2510" s="269"/>
      <c r="W2510" s="269"/>
      <c r="X2510" s="269"/>
      <c r="Y2510" s="269"/>
      <c r="Z2510" s="269"/>
      <c r="AA2510" s="269"/>
      <c r="AB2510" s="269"/>
      <c r="AC2510" s="269"/>
      <c r="AD2510" s="269"/>
      <c r="AE2510" s="269"/>
      <c r="AF2510" s="269"/>
      <c r="AG2510" s="269"/>
      <c r="AH2510" s="269"/>
      <c r="AI2510" s="269"/>
      <c r="AJ2510" s="269"/>
      <c r="AK2510" s="269"/>
      <c r="AL2510" s="269"/>
      <c r="AM2510" s="269"/>
      <c r="AN2510" s="269"/>
      <c r="AO2510" s="269"/>
      <c r="AP2510" s="269"/>
      <c r="AQ2510" s="269"/>
      <c r="AR2510" s="269"/>
    </row>
    <row r="2511">
      <c r="A2511" s="410"/>
      <c r="B2511" s="410"/>
      <c r="C2511" s="410"/>
      <c r="D2511" s="410"/>
      <c r="E2511" s="410"/>
      <c r="F2511" s="410"/>
      <c r="H2511" s="269"/>
      <c r="I2511" s="269"/>
      <c r="J2511" s="269"/>
      <c r="K2511" s="269"/>
      <c r="L2511" s="269"/>
      <c r="M2511" s="269"/>
      <c r="N2511" s="269"/>
      <c r="O2511" s="269"/>
      <c r="P2511" s="269"/>
      <c r="Q2511" s="269"/>
      <c r="R2511" s="269"/>
      <c r="S2511" s="269"/>
      <c r="T2511" s="269"/>
      <c r="U2511" s="269"/>
      <c r="V2511" s="269"/>
      <c r="W2511" s="269"/>
      <c r="X2511" s="269"/>
      <c r="Y2511" s="269"/>
      <c r="Z2511" s="269"/>
      <c r="AA2511" s="269"/>
      <c r="AB2511" s="269"/>
      <c r="AC2511" s="269"/>
      <c r="AD2511" s="269"/>
      <c r="AE2511" s="269"/>
      <c r="AF2511" s="269"/>
      <c r="AG2511" s="269"/>
      <c r="AH2511" s="269"/>
      <c r="AI2511" s="269"/>
      <c r="AJ2511" s="269"/>
      <c r="AK2511" s="269"/>
      <c r="AL2511" s="269"/>
      <c r="AM2511" s="269"/>
      <c r="AN2511" s="269"/>
      <c r="AO2511" s="269"/>
      <c r="AP2511" s="269"/>
      <c r="AQ2511" s="269"/>
      <c r="AR2511" s="269"/>
    </row>
    <row r="2512">
      <c r="A2512" s="410"/>
      <c r="B2512" s="410"/>
      <c r="C2512" s="410"/>
      <c r="D2512" s="410"/>
      <c r="E2512" s="410"/>
      <c r="F2512" s="410"/>
      <c r="H2512" s="269"/>
      <c r="I2512" s="269"/>
      <c r="J2512" s="269"/>
      <c r="K2512" s="269"/>
      <c r="L2512" s="269"/>
      <c r="M2512" s="269"/>
      <c r="N2512" s="269"/>
      <c r="O2512" s="269"/>
      <c r="P2512" s="269"/>
      <c r="Q2512" s="269"/>
      <c r="R2512" s="269"/>
      <c r="S2512" s="269"/>
      <c r="T2512" s="269"/>
      <c r="U2512" s="269"/>
      <c r="V2512" s="269"/>
      <c r="W2512" s="269"/>
      <c r="X2512" s="269"/>
      <c r="Y2512" s="269"/>
      <c r="Z2512" s="269"/>
      <c r="AA2512" s="269"/>
      <c r="AB2512" s="269"/>
      <c r="AC2512" s="269"/>
      <c r="AD2512" s="269"/>
      <c r="AE2512" s="269"/>
      <c r="AF2512" s="269"/>
      <c r="AG2512" s="269"/>
      <c r="AH2512" s="269"/>
      <c r="AI2512" s="269"/>
      <c r="AJ2512" s="269"/>
      <c r="AK2512" s="269"/>
      <c r="AL2512" s="269"/>
      <c r="AM2512" s="269"/>
      <c r="AN2512" s="269"/>
      <c r="AO2512" s="269"/>
      <c r="AP2512" s="269"/>
      <c r="AQ2512" s="269"/>
      <c r="AR2512" s="269"/>
    </row>
    <row r="2513">
      <c r="A2513" s="410"/>
      <c r="B2513" s="410"/>
      <c r="C2513" s="410"/>
      <c r="D2513" s="410"/>
      <c r="E2513" s="410"/>
      <c r="F2513" s="410"/>
      <c r="H2513" s="269"/>
      <c r="I2513" s="269"/>
      <c r="J2513" s="269"/>
      <c r="K2513" s="269"/>
      <c r="L2513" s="269"/>
      <c r="M2513" s="269"/>
      <c r="N2513" s="269"/>
      <c r="O2513" s="269"/>
      <c r="P2513" s="269"/>
      <c r="Q2513" s="269"/>
      <c r="R2513" s="269"/>
      <c r="S2513" s="269"/>
      <c r="T2513" s="269"/>
      <c r="U2513" s="269"/>
      <c r="V2513" s="269"/>
      <c r="W2513" s="269"/>
      <c r="X2513" s="269"/>
      <c r="Y2513" s="269"/>
      <c r="Z2513" s="269"/>
      <c r="AA2513" s="269"/>
      <c r="AB2513" s="269"/>
      <c r="AC2513" s="269"/>
      <c r="AD2513" s="269"/>
      <c r="AE2513" s="269"/>
      <c r="AF2513" s="269"/>
      <c r="AG2513" s="269"/>
      <c r="AH2513" s="269"/>
      <c r="AI2513" s="269"/>
      <c r="AJ2513" s="269"/>
      <c r="AK2513" s="269"/>
      <c r="AL2513" s="269"/>
      <c r="AM2513" s="269"/>
      <c r="AN2513" s="269"/>
      <c r="AO2513" s="269"/>
      <c r="AP2513" s="269"/>
      <c r="AQ2513" s="269"/>
      <c r="AR2513" s="269"/>
    </row>
    <row r="2514">
      <c r="A2514" s="410"/>
      <c r="B2514" s="410"/>
      <c r="C2514" s="410"/>
      <c r="D2514" s="410"/>
      <c r="E2514" s="410"/>
      <c r="F2514" s="410"/>
      <c r="H2514" s="269"/>
      <c r="I2514" s="269"/>
      <c r="J2514" s="269"/>
      <c r="K2514" s="269"/>
      <c r="L2514" s="269"/>
      <c r="M2514" s="269"/>
      <c r="N2514" s="269"/>
      <c r="O2514" s="269"/>
      <c r="P2514" s="269"/>
      <c r="Q2514" s="269"/>
      <c r="R2514" s="269"/>
      <c r="S2514" s="269"/>
      <c r="T2514" s="269"/>
      <c r="U2514" s="269"/>
      <c r="V2514" s="269"/>
      <c r="W2514" s="269"/>
      <c r="X2514" s="269"/>
      <c r="Y2514" s="269"/>
      <c r="Z2514" s="269"/>
      <c r="AA2514" s="269"/>
      <c r="AB2514" s="269"/>
      <c r="AC2514" s="269"/>
      <c r="AD2514" s="269"/>
      <c r="AE2514" s="269"/>
      <c r="AF2514" s="269"/>
      <c r="AG2514" s="269"/>
      <c r="AH2514" s="269"/>
      <c r="AI2514" s="269"/>
      <c r="AJ2514" s="269"/>
      <c r="AK2514" s="269"/>
      <c r="AL2514" s="269"/>
      <c r="AM2514" s="269"/>
      <c r="AN2514" s="269"/>
      <c r="AO2514" s="269"/>
      <c r="AP2514" s="269"/>
      <c r="AQ2514" s="269"/>
      <c r="AR2514" s="269"/>
    </row>
    <row r="2515">
      <c r="A2515" s="410"/>
      <c r="B2515" s="410"/>
      <c r="C2515" s="410"/>
      <c r="D2515" s="410"/>
      <c r="E2515" s="410"/>
      <c r="F2515" s="410"/>
      <c r="H2515" s="269"/>
      <c r="I2515" s="269"/>
      <c r="J2515" s="269"/>
      <c r="K2515" s="269"/>
      <c r="L2515" s="269"/>
      <c r="M2515" s="269"/>
      <c r="N2515" s="269"/>
      <c r="O2515" s="269"/>
      <c r="P2515" s="269"/>
      <c r="Q2515" s="269"/>
      <c r="R2515" s="269"/>
      <c r="S2515" s="269"/>
      <c r="T2515" s="269"/>
      <c r="U2515" s="269"/>
      <c r="V2515" s="269"/>
      <c r="W2515" s="269"/>
      <c r="X2515" s="269"/>
      <c r="Y2515" s="269"/>
      <c r="Z2515" s="269"/>
      <c r="AA2515" s="269"/>
      <c r="AB2515" s="269"/>
      <c r="AC2515" s="269"/>
      <c r="AD2515" s="269"/>
      <c r="AE2515" s="269"/>
      <c r="AF2515" s="269"/>
      <c r="AG2515" s="269"/>
      <c r="AH2515" s="269"/>
      <c r="AI2515" s="269"/>
      <c r="AJ2515" s="269"/>
      <c r="AK2515" s="269"/>
      <c r="AL2515" s="269"/>
      <c r="AM2515" s="269"/>
      <c r="AN2515" s="269"/>
      <c r="AO2515" s="269"/>
      <c r="AP2515" s="269"/>
      <c r="AQ2515" s="269"/>
      <c r="AR2515" s="269"/>
    </row>
    <row r="2516">
      <c r="A2516" s="410"/>
      <c r="B2516" s="410"/>
      <c r="C2516" s="410"/>
      <c r="D2516" s="410"/>
      <c r="E2516" s="410"/>
      <c r="F2516" s="410"/>
      <c r="H2516" s="269"/>
      <c r="I2516" s="269"/>
      <c r="J2516" s="269"/>
      <c r="K2516" s="269"/>
      <c r="L2516" s="269"/>
      <c r="M2516" s="269"/>
      <c r="N2516" s="269"/>
      <c r="O2516" s="269"/>
      <c r="P2516" s="269"/>
      <c r="Q2516" s="269"/>
      <c r="R2516" s="269"/>
      <c r="S2516" s="269"/>
      <c r="T2516" s="269"/>
      <c r="U2516" s="269"/>
      <c r="V2516" s="269"/>
      <c r="W2516" s="269"/>
      <c r="X2516" s="269"/>
      <c r="Y2516" s="269"/>
      <c r="Z2516" s="269"/>
      <c r="AA2516" s="269"/>
      <c r="AB2516" s="269"/>
      <c r="AC2516" s="269"/>
      <c r="AD2516" s="269"/>
      <c r="AE2516" s="269"/>
      <c r="AF2516" s="269"/>
      <c r="AG2516" s="269"/>
      <c r="AH2516" s="269"/>
      <c r="AI2516" s="269"/>
      <c r="AJ2516" s="269"/>
      <c r="AK2516" s="269"/>
      <c r="AL2516" s="269"/>
      <c r="AM2516" s="269"/>
      <c r="AN2516" s="269"/>
      <c r="AO2516" s="269"/>
      <c r="AP2516" s="269"/>
      <c r="AQ2516" s="269"/>
      <c r="AR2516" s="269"/>
    </row>
    <row r="2517">
      <c r="A2517" s="410"/>
      <c r="B2517" s="410"/>
      <c r="C2517" s="410"/>
      <c r="D2517" s="410"/>
      <c r="E2517" s="410"/>
      <c r="F2517" s="410"/>
      <c r="H2517" s="269"/>
      <c r="I2517" s="269"/>
      <c r="J2517" s="269"/>
      <c r="K2517" s="269"/>
      <c r="L2517" s="269"/>
      <c r="M2517" s="269"/>
      <c r="N2517" s="269"/>
      <c r="O2517" s="269"/>
      <c r="P2517" s="269"/>
      <c r="Q2517" s="269"/>
      <c r="R2517" s="269"/>
      <c r="S2517" s="269"/>
      <c r="T2517" s="269"/>
      <c r="U2517" s="269"/>
      <c r="V2517" s="269"/>
      <c r="W2517" s="269"/>
      <c r="X2517" s="269"/>
      <c r="Y2517" s="269"/>
      <c r="Z2517" s="269"/>
      <c r="AA2517" s="269"/>
      <c r="AB2517" s="269"/>
      <c r="AC2517" s="269"/>
      <c r="AD2517" s="269"/>
      <c r="AE2517" s="269"/>
      <c r="AF2517" s="269"/>
      <c r="AG2517" s="269"/>
      <c r="AH2517" s="269"/>
      <c r="AI2517" s="269"/>
      <c r="AJ2517" s="269"/>
      <c r="AK2517" s="269"/>
      <c r="AL2517" s="269"/>
      <c r="AM2517" s="269"/>
      <c r="AN2517" s="269"/>
      <c r="AO2517" s="269"/>
      <c r="AP2517" s="269"/>
      <c r="AQ2517" s="269"/>
      <c r="AR2517" s="269"/>
    </row>
    <row r="2518">
      <c r="A2518" s="410"/>
      <c r="B2518" s="410"/>
      <c r="C2518" s="410"/>
      <c r="D2518" s="410"/>
      <c r="E2518" s="410"/>
      <c r="F2518" s="410"/>
      <c r="H2518" s="269"/>
      <c r="I2518" s="269"/>
      <c r="J2518" s="269"/>
      <c r="K2518" s="269"/>
      <c r="L2518" s="269"/>
      <c r="M2518" s="269"/>
      <c r="N2518" s="269"/>
      <c r="O2518" s="269"/>
      <c r="P2518" s="269"/>
      <c r="Q2518" s="269"/>
      <c r="R2518" s="269"/>
      <c r="S2518" s="269"/>
      <c r="T2518" s="269"/>
      <c r="U2518" s="269"/>
      <c r="V2518" s="269"/>
      <c r="W2518" s="269"/>
      <c r="X2518" s="269"/>
      <c r="Y2518" s="269"/>
      <c r="Z2518" s="269"/>
      <c r="AA2518" s="269"/>
      <c r="AB2518" s="269"/>
      <c r="AC2518" s="269"/>
      <c r="AD2518" s="269"/>
      <c r="AE2518" s="269"/>
      <c r="AF2518" s="269"/>
      <c r="AG2518" s="269"/>
      <c r="AH2518" s="269"/>
      <c r="AI2518" s="269"/>
      <c r="AJ2518" s="269"/>
      <c r="AK2518" s="269"/>
      <c r="AL2518" s="269"/>
      <c r="AM2518" s="269"/>
      <c r="AN2518" s="269"/>
      <c r="AO2518" s="269"/>
      <c r="AP2518" s="269"/>
      <c r="AQ2518" s="269"/>
      <c r="AR2518" s="269"/>
    </row>
    <row r="2519">
      <c r="A2519" s="410"/>
      <c r="B2519" s="410"/>
      <c r="C2519" s="410"/>
      <c r="D2519" s="410"/>
      <c r="E2519" s="410"/>
      <c r="F2519" s="410"/>
      <c r="H2519" s="269"/>
      <c r="I2519" s="269"/>
      <c r="J2519" s="269"/>
      <c r="K2519" s="269"/>
      <c r="L2519" s="269"/>
      <c r="M2519" s="269"/>
      <c r="N2519" s="269"/>
      <c r="O2519" s="269"/>
      <c r="P2519" s="269"/>
      <c r="Q2519" s="269"/>
      <c r="R2519" s="269"/>
      <c r="S2519" s="269"/>
      <c r="T2519" s="269"/>
      <c r="U2519" s="269"/>
      <c r="V2519" s="269"/>
      <c r="W2519" s="269"/>
      <c r="X2519" s="269"/>
      <c r="Y2519" s="269"/>
      <c r="Z2519" s="269"/>
      <c r="AA2519" s="269"/>
      <c r="AB2519" s="269"/>
      <c r="AC2519" s="269"/>
      <c r="AD2519" s="269"/>
      <c r="AE2519" s="269"/>
      <c r="AF2519" s="269"/>
      <c r="AG2519" s="269"/>
      <c r="AH2519" s="269"/>
      <c r="AI2519" s="269"/>
      <c r="AJ2519" s="269"/>
      <c r="AK2519" s="269"/>
      <c r="AL2519" s="269"/>
      <c r="AM2519" s="269"/>
      <c r="AN2519" s="269"/>
      <c r="AO2519" s="269"/>
      <c r="AP2519" s="269"/>
      <c r="AQ2519" s="269"/>
      <c r="AR2519" s="269"/>
    </row>
    <row r="2520">
      <c r="A2520" s="410"/>
      <c r="B2520" s="410"/>
      <c r="C2520" s="410"/>
      <c r="D2520" s="410"/>
      <c r="E2520" s="410"/>
      <c r="F2520" s="410"/>
      <c r="H2520" s="269"/>
      <c r="I2520" s="269"/>
      <c r="J2520" s="269"/>
      <c r="K2520" s="269"/>
      <c r="L2520" s="269"/>
      <c r="M2520" s="269"/>
      <c r="N2520" s="269"/>
      <c r="O2520" s="269"/>
      <c r="P2520" s="269"/>
      <c r="Q2520" s="269"/>
      <c r="R2520" s="269"/>
      <c r="S2520" s="269"/>
      <c r="T2520" s="269"/>
      <c r="U2520" s="269"/>
      <c r="V2520" s="269"/>
      <c r="W2520" s="269"/>
      <c r="X2520" s="269"/>
      <c r="Y2520" s="269"/>
      <c r="Z2520" s="269"/>
      <c r="AA2520" s="269"/>
      <c r="AB2520" s="269"/>
      <c r="AC2520" s="269"/>
      <c r="AD2520" s="269"/>
      <c r="AE2520" s="269"/>
      <c r="AF2520" s="269"/>
      <c r="AG2520" s="269"/>
      <c r="AH2520" s="269"/>
      <c r="AI2520" s="269"/>
      <c r="AJ2520" s="269"/>
      <c r="AK2520" s="269"/>
      <c r="AL2520" s="269"/>
      <c r="AM2520" s="269"/>
      <c r="AN2520" s="269"/>
      <c r="AO2520" s="269"/>
      <c r="AP2520" s="269"/>
      <c r="AQ2520" s="269"/>
      <c r="AR2520" s="269"/>
    </row>
    <row r="2521">
      <c r="A2521" s="410"/>
      <c r="B2521" s="410"/>
      <c r="C2521" s="410"/>
      <c r="D2521" s="410"/>
      <c r="E2521" s="410"/>
      <c r="F2521" s="410"/>
      <c r="H2521" s="269"/>
      <c r="I2521" s="269"/>
      <c r="J2521" s="269"/>
      <c r="K2521" s="269"/>
      <c r="L2521" s="269"/>
      <c r="M2521" s="269"/>
      <c r="N2521" s="269"/>
      <c r="O2521" s="269"/>
      <c r="P2521" s="269"/>
      <c r="Q2521" s="269"/>
      <c r="R2521" s="269"/>
      <c r="S2521" s="269"/>
      <c r="T2521" s="269"/>
      <c r="U2521" s="269"/>
      <c r="V2521" s="269"/>
      <c r="W2521" s="269"/>
      <c r="X2521" s="269"/>
      <c r="Y2521" s="269"/>
      <c r="Z2521" s="269"/>
      <c r="AA2521" s="269"/>
      <c r="AB2521" s="269"/>
      <c r="AC2521" s="269"/>
      <c r="AD2521" s="269"/>
      <c r="AE2521" s="269"/>
      <c r="AF2521" s="269"/>
      <c r="AG2521" s="269"/>
      <c r="AH2521" s="269"/>
      <c r="AI2521" s="269"/>
      <c r="AJ2521" s="269"/>
      <c r="AK2521" s="269"/>
      <c r="AL2521" s="269"/>
      <c r="AM2521" s="269"/>
      <c r="AN2521" s="269"/>
      <c r="AO2521" s="269"/>
      <c r="AP2521" s="269"/>
      <c r="AQ2521" s="269"/>
      <c r="AR2521" s="269"/>
    </row>
    <row r="2522">
      <c r="A2522" s="410"/>
      <c r="B2522" s="410"/>
      <c r="C2522" s="410"/>
      <c r="D2522" s="410"/>
      <c r="E2522" s="410"/>
      <c r="F2522" s="410"/>
      <c r="H2522" s="269"/>
      <c r="I2522" s="269"/>
      <c r="J2522" s="269"/>
      <c r="K2522" s="269"/>
      <c r="L2522" s="269"/>
      <c r="M2522" s="269"/>
      <c r="N2522" s="269"/>
      <c r="O2522" s="269"/>
      <c r="P2522" s="269"/>
      <c r="Q2522" s="269"/>
      <c r="R2522" s="269"/>
      <c r="S2522" s="269"/>
      <c r="T2522" s="269"/>
      <c r="U2522" s="269"/>
      <c r="V2522" s="269"/>
      <c r="W2522" s="269"/>
      <c r="X2522" s="269"/>
      <c r="Y2522" s="269"/>
      <c r="Z2522" s="269"/>
      <c r="AA2522" s="269"/>
      <c r="AB2522" s="269"/>
      <c r="AC2522" s="269"/>
      <c r="AD2522" s="269"/>
      <c r="AE2522" s="269"/>
      <c r="AF2522" s="269"/>
      <c r="AG2522" s="269"/>
      <c r="AH2522" s="269"/>
      <c r="AI2522" s="269"/>
      <c r="AJ2522" s="269"/>
      <c r="AK2522" s="269"/>
      <c r="AL2522" s="269"/>
      <c r="AM2522" s="269"/>
      <c r="AN2522" s="269"/>
      <c r="AO2522" s="269"/>
      <c r="AP2522" s="269"/>
      <c r="AQ2522" s="269"/>
      <c r="AR2522" s="269"/>
    </row>
    <row r="2523">
      <c r="A2523" s="410"/>
      <c r="B2523" s="410"/>
      <c r="C2523" s="410"/>
      <c r="D2523" s="410"/>
      <c r="E2523" s="410"/>
      <c r="F2523" s="410"/>
      <c r="H2523" s="269"/>
      <c r="I2523" s="269"/>
      <c r="J2523" s="269"/>
      <c r="K2523" s="269"/>
      <c r="L2523" s="269"/>
      <c r="M2523" s="269"/>
      <c r="N2523" s="269"/>
      <c r="O2523" s="269"/>
      <c r="P2523" s="269"/>
      <c r="Q2523" s="269"/>
      <c r="R2523" s="269"/>
      <c r="S2523" s="269"/>
      <c r="T2523" s="269"/>
      <c r="U2523" s="269"/>
      <c r="V2523" s="269"/>
      <c r="W2523" s="269"/>
      <c r="X2523" s="269"/>
      <c r="Y2523" s="269"/>
      <c r="Z2523" s="269"/>
      <c r="AA2523" s="269"/>
      <c r="AB2523" s="269"/>
      <c r="AC2523" s="269"/>
      <c r="AD2523" s="269"/>
      <c r="AE2523" s="269"/>
      <c r="AF2523" s="269"/>
      <c r="AG2523" s="269"/>
      <c r="AH2523" s="269"/>
      <c r="AI2523" s="269"/>
      <c r="AJ2523" s="269"/>
      <c r="AK2523" s="269"/>
      <c r="AL2523" s="269"/>
      <c r="AM2523" s="269"/>
      <c r="AN2523" s="269"/>
      <c r="AO2523" s="269"/>
      <c r="AP2523" s="269"/>
      <c r="AQ2523" s="269"/>
      <c r="AR2523" s="269"/>
    </row>
    <row r="2524">
      <c r="A2524" s="410"/>
      <c r="B2524" s="410"/>
      <c r="C2524" s="410"/>
      <c r="D2524" s="410"/>
      <c r="E2524" s="410"/>
      <c r="F2524" s="410"/>
      <c r="H2524" s="269"/>
      <c r="I2524" s="269"/>
      <c r="J2524" s="269"/>
      <c r="K2524" s="269"/>
      <c r="L2524" s="269"/>
      <c r="M2524" s="269"/>
      <c r="N2524" s="269"/>
      <c r="O2524" s="269"/>
      <c r="P2524" s="269"/>
      <c r="Q2524" s="269"/>
      <c r="R2524" s="269"/>
      <c r="S2524" s="269"/>
      <c r="T2524" s="269"/>
      <c r="U2524" s="269"/>
      <c r="V2524" s="269"/>
      <c r="W2524" s="269"/>
      <c r="X2524" s="269"/>
      <c r="Y2524" s="269"/>
      <c r="Z2524" s="269"/>
      <c r="AA2524" s="269"/>
      <c r="AB2524" s="269"/>
      <c r="AC2524" s="269"/>
      <c r="AD2524" s="269"/>
      <c r="AE2524" s="269"/>
      <c r="AF2524" s="269"/>
      <c r="AG2524" s="269"/>
      <c r="AH2524" s="269"/>
      <c r="AI2524" s="269"/>
      <c r="AJ2524" s="269"/>
      <c r="AK2524" s="269"/>
      <c r="AL2524" s="269"/>
      <c r="AM2524" s="269"/>
      <c r="AN2524" s="269"/>
      <c r="AO2524" s="269"/>
      <c r="AP2524" s="269"/>
      <c r="AQ2524" s="269"/>
      <c r="AR2524" s="269"/>
    </row>
    <row r="2525">
      <c r="A2525" s="410"/>
      <c r="B2525" s="410"/>
      <c r="C2525" s="410"/>
      <c r="D2525" s="410"/>
      <c r="E2525" s="410"/>
      <c r="F2525" s="410"/>
      <c r="H2525" s="269"/>
      <c r="I2525" s="269"/>
      <c r="J2525" s="269"/>
      <c r="K2525" s="269"/>
      <c r="L2525" s="269"/>
      <c r="M2525" s="269"/>
      <c r="N2525" s="269"/>
      <c r="O2525" s="269"/>
      <c r="P2525" s="269"/>
      <c r="Q2525" s="269"/>
      <c r="R2525" s="269"/>
      <c r="S2525" s="269"/>
      <c r="T2525" s="269"/>
      <c r="U2525" s="269"/>
      <c r="V2525" s="269"/>
      <c r="W2525" s="269"/>
      <c r="X2525" s="269"/>
      <c r="Y2525" s="269"/>
      <c r="Z2525" s="269"/>
      <c r="AA2525" s="269"/>
      <c r="AB2525" s="269"/>
      <c r="AC2525" s="269"/>
      <c r="AD2525" s="269"/>
      <c r="AE2525" s="269"/>
      <c r="AF2525" s="269"/>
      <c r="AG2525" s="269"/>
      <c r="AH2525" s="269"/>
      <c r="AI2525" s="269"/>
      <c r="AJ2525" s="269"/>
      <c r="AK2525" s="269"/>
      <c r="AL2525" s="269"/>
      <c r="AM2525" s="269"/>
      <c r="AN2525" s="269"/>
      <c r="AO2525" s="269"/>
      <c r="AP2525" s="269"/>
      <c r="AQ2525" s="269"/>
      <c r="AR2525" s="269"/>
    </row>
    <row r="2526">
      <c r="A2526" s="410"/>
      <c r="B2526" s="410"/>
      <c r="C2526" s="410"/>
      <c r="D2526" s="410"/>
      <c r="E2526" s="410"/>
      <c r="F2526" s="410"/>
      <c r="H2526" s="269"/>
      <c r="I2526" s="269"/>
      <c r="J2526" s="269"/>
      <c r="K2526" s="269"/>
      <c r="L2526" s="269"/>
      <c r="M2526" s="269"/>
      <c r="N2526" s="269"/>
      <c r="O2526" s="269"/>
      <c r="P2526" s="269"/>
      <c r="Q2526" s="269"/>
      <c r="R2526" s="269"/>
      <c r="S2526" s="269"/>
      <c r="T2526" s="269"/>
      <c r="U2526" s="269"/>
      <c r="V2526" s="269"/>
      <c r="W2526" s="269"/>
      <c r="X2526" s="269"/>
      <c r="Y2526" s="269"/>
      <c r="Z2526" s="269"/>
      <c r="AA2526" s="269"/>
      <c r="AB2526" s="269"/>
      <c r="AC2526" s="269"/>
      <c r="AD2526" s="269"/>
      <c r="AE2526" s="269"/>
      <c r="AF2526" s="269"/>
      <c r="AG2526" s="269"/>
      <c r="AH2526" s="269"/>
      <c r="AI2526" s="269"/>
      <c r="AJ2526" s="269"/>
      <c r="AK2526" s="269"/>
      <c r="AL2526" s="269"/>
      <c r="AM2526" s="269"/>
      <c r="AN2526" s="269"/>
      <c r="AO2526" s="269"/>
      <c r="AP2526" s="269"/>
      <c r="AQ2526" s="269"/>
      <c r="AR2526" s="269"/>
    </row>
    <row r="2527">
      <c r="A2527" s="410"/>
      <c r="B2527" s="410"/>
      <c r="C2527" s="410"/>
      <c r="D2527" s="410"/>
      <c r="E2527" s="410"/>
      <c r="F2527" s="410"/>
      <c r="H2527" s="269"/>
      <c r="I2527" s="269"/>
      <c r="J2527" s="269"/>
      <c r="K2527" s="269"/>
      <c r="L2527" s="269"/>
      <c r="M2527" s="269"/>
      <c r="N2527" s="269"/>
      <c r="O2527" s="269"/>
      <c r="P2527" s="269"/>
      <c r="Q2527" s="269"/>
      <c r="R2527" s="269"/>
      <c r="S2527" s="269"/>
      <c r="T2527" s="269"/>
      <c r="U2527" s="269"/>
      <c r="V2527" s="269"/>
      <c r="W2527" s="269"/>
      <c r="X2527" s="269"/>
      <c r="Y2527" s="269"/>
      <c r="Z2527" s="269"/>
      <c r="AA2527" s="269"/>
      <c r="AB2527" s="269"/>
      <c r="AC2527" s="269"/>
      <c r="AD2527" s="269"/>
      <c r="AE2527" s="269"/>
      <c r="AF2527" s="269"/>
      <c r="AG2527" s="269"/>
      <c r="AH2527" s="269"/>
      <c r="AI2527" s="269"/>
      <c r="AJ2527" s="269"/>
      <c r="AK2527" s="269"/>
      <c r="AL2527" s="269"/>
      <c r="AM2527" s="269"/>
      <c r="AN2527" s="269"/>
      <c r="AO2527" s="269"/>
      <c r="AP2527" s="269"/>
      <c r="AQ2527" s="269"/>
      <c r="AR2527" s="269"/>
    </row>
    <row r="2528">
      <c r="A2528" s="410"/>
      <c r="B2528" s="410"/>
      <c r="C2528" s="410"/>
      <c r="D2528" s="410"/>
      <c r="E2528" s="410"/>
      <c r="F2528" s="410"/>
      <c r="H2528" s="269"/>
      <c r="I2528" s="269"/>
      <c r="J2528" s="269"/>
      <c r="K2528" s="269"/>
      <c r="L2528" s="269"/>
      <c r="M2528" s="269"/>
      <c r="N2528" s="269"/>
      <c r="O2528" s="269"/>
      <c r="P2528" s="269"/>
      <c r="Q2528" s="269"/>
      <c r="R2528" s="269"/>
      <c r="S2528" s="269"/>
      <c r="T2528" s="269"/>
      <c r="U2528" s="269"/>
      <c r="V2528" s="269"/>
      <c r="W2528" s="269"/>
      <c r="X2528" s="269"/>
      <c r="Y2528" s="269"/>
      <c r="Z2528" s="269"/>
      <c r="AA2528" s="269"/>
      <c r="AB2528" s="269"/>
      <c r="AC2528" s="269"/>
      <c r="AD2528" s="269"/>
      <c r="AE2528" s="269"/>
      <c r="AF2528" s="269"/>
      <c r="AG2528" s="269"/>
      <c r="AH2528" s="269"/>
      <c r="AI2528" s="269"/>
      <c r="AJ2528" s="269"/>
      <c r="AK2528" s="269"/>
      <c r="AL2528" s="269"/>
      <c r="AM2528" s="269"/>
      <c r="AN2528" s="269"/>
      <c r="AO2528" s="269"/>
      <c r="AP2528" s="269"/>
      <c r="AQ2528" s="269"/>
      <c r="AR2528" s="269"/>
    </row>
    <row r="2529">
      <c r="A2529" s="410"/>
      <c r="B2529" s="410"/>
      <c r="C2529" s="410"/>
      <c r="D2529" s="410"/>
      <c r="E2529" s="410"/>
      <c r="F2529" s="410"/>
      <c r="H2529" s="269"/>
      <c r="I2529" s="269"/>
      <c r="J2529" s="269"/>
      <c r="K2529" s="269"/>
      <c r="L2529" s="269"/>
      <c r="M2529" s="269"/>
      <c r="N2529" s="269"/>
      <c r="O2529" s="269"/>
      <c r="P2529" s="269"/>
      <c r="Q2529" s="269"/>
      <c r="R2529" s="269"/>
      <c r="S2529" s="269"/>
      <c r="T2529" s="269"/>
      <c r="U2529" s="269"/>
      <c r="V2529" s="269"/>
      <c r="W2529" s="269"/>
      <c r="X2529" s="269"/>
      <c r="Y2529" s="269"/>
      <c r="Z2529" s="269"/>
      <c r="AA2529" s="269"/>
      <c r="AB2529" s="269"/>
      <c r="AC2529" s="269"/>
      <c r="AD2529" s="269"/>
      <c r="AE2529" s="269"/>
      <c r="AF2529" s="269"/>
      <c r="AG2529" s="269"/>
      <c r="AH2529" s="269"/>
      <c r="AI2529" s="269"/>
      <c r="AJ2529" s="269"/>
      <c r="AK2529" s="269"/>
      <c r="AL2529" s="269"/>
      <c r="AM2529" s="269"/>
      <c r="AN2529" s="269"/>
      <c r="AO2529" s="269"/>
      <c r="AP2529" s="269"/>
      <c r="AQ2529" s="269"/>
      <c r="AR2529" s="269"/>
    </row>
    <row r="2530">
      <c r="A2530" s="410"/>
      <c r="B2530" s="410"/>
      <c r="C2530" s="410"/>
      <c r="D2530" s="410"/>
      <c r="E2530" s="410"/>
      <c r="F2530" s="410"/>
      <c r="H2530" s="269"/>
      <c r="I2530" s="269"/>
      <c r="J2530" s="269"/>
      <c r="K2530" s="269"/>
      <c r="L2530" s="269"/>
      <c r="M2530" s="269"/>
      <c r="N2530" s="269"/>
      <c r="O2530" s="269"/>
      <c r="P2530" s="269"/>
      <c r="Q2530" s="269"/>
      <c r="R2530" s="269"/>
      <c r="S2530" s="269"/>
      <c r="T2530" s="269"/>
      <c r="U2530" s="269"/>
      <c r="V2530" s="269"/>
      <c r="W2530" s="269"/>
      <c r="X2530" s="269"/>
      <c r="Y2530" s="269"/>
      <c r="Z2530" s="269"/>
      <c r="AA2530" s="269"/>
      <c r="AB2530" s="269"/>
      <c r="AC2530" s="269"/>
      <c r="AD2530" s="269"/>
      <c r="AE2530" s="269"/>
      <c r="AF2530" s="269"/>
      <c r="AG2530" s="269"/>
      <c r="AH2530" s="269"/>
      <c r="AI2530" s="269"/>
      <c r="AJ2530" s="269"/>
      <c r="AK2530" s="269"/>
      <c r="AL2530" s="269"/>
      <c r="AM2530" s="269"/>
      <c r="AN2530" s="269"/>
      <c r="AO2530" s="269"/>
      <c r="AP2530" s="269"/>
      <c r="AQ2530" s="269"/>
      <c r="AR2530" s="269"/>
    </row>
    <row r="2531">
      <c r="A2531" s="410"/>
      <c r="B2531" s="410"/>
      <c r="C2531" s="410"/>
      <c r="D2531" s="410"/>
      <c r="E2531" s="410"/>
      <c r="F2531" s="410"/>
      <c r="H2531" s="269"/>
      <c r="I2531" s="269"/>
      <c r="J2531" s="269"/>
      <c r="K2531" s="269"/>
      <c r="L2531" s="269"/>
      <c r="M2531" s="269"/>
      <c r="N2531" s="269"/>
      <c r="O2531" s="269"/>
      <c r="P2531" s="269"/>
      <c r="Q2531" s="269"/>
      <c r="R2531" s="269"/>
      <c r="S2531" s="269"/>
      <c r="T2531" s="269"/>
      <c r="U2531" s="269"/>
      <c r="V2531" s="269"/>
      <c r="W2531" s="269"/>
      <c r="X2531" s="269"/>
      <c r="Y2531" s="269"/>
      <c r="Z2531" s="269"/>
      <c r="AA2531" s="269"/>
      <c r="AB2531" s="269"/>
      <c r="AC2531" s="269"/>
      <c r="AD2531" s="269"/>
      <c r="AE2531" s="269"/>
      <c r="AF2531" s="269"/>
      <c r="AG2531" s="269"/>
      <c r="AH2531" s="269"/>
      <c r="AI2531" s="269"/>
      <c r="AJ2531" s="269"/>
      <c r="AK2531" s="269"/>
      <c r="AL2531" s="269"/>
      <c r="AM2531" s="269"/>
      <c r="AN2531" s="269"/>
      <c r="AO2531" s="269"/>
      <c r="AP2531" s="269"/>
      <c r="AQ2531" s="269"/>
      <c r="AR2531" s="269"/>
    </row>
    <row r="2532">
      <c r="A2532" s="410"/>
      <c r="B2532" s="410"/>
      <c r="C2532" s="410"/>
      <c r="D2532" s="410"/>
      <c r="E2532" s="410"/>
      <c r="F2532" s="410"/>
      <c r="H2532" s="269"/>
      <c r="I2532" s="269"/>
      <c r="J2532" s="269"/>
      <c r="K2532" s="269"/>
      <c r="L2532" s="269"/>
      <c r="M2532" s="269"/>
      <c r="N2532" s="269"/>
      <c r="O2532" s="269"/>
      <c r="P2532" s="269"/>
      <c r="Q2532" s="269"/>
      <c r="R2532" s="269"/>
      <c r="S2532" s="269"/>
      <c r="T2532" s="269"/>
      <c r="U2532" s="269"/>
      <c r="V2532" s="269"/>
      <c r="W2532" s="269"/>
      <c r="X2532" s="269"/>
      <c r="Y2532" s="269"/>
      <c r="Z2532" s="269"/>
      <c r="AA2532" s="269"/>
      <c r="AB2532" s="269"/>
      <c r="AC2532" s="269"/>
      <c r="AD2532" s="269"/>
      <c r="AE2532" s="269"/>
      <c r="AF2532" s="269"/>
      <c r="AG2532" s="269"/>
      <c r="AH2532" s="269"/>
      <c r="AI2532" s="269"/>
      <c r="AJ2532" s="269"/>
      <c r="AK2532" s="269"/>
      <c r="AL2532" s="269"/>
      <c r="AM2532" s="269"/>
      <c r="AN2532" s="269"/>
      <c r="AO2532" s="269"/>
      <c r="AP2532" s="269"/>
      <c r="AQ2532" s="269"/>
      <c r="AR2532" s="269"/>
    </row>
    <row r="2533">
      <c r="A2533" s="410"/>
      <c r="B2533" s="410"/>
      <c r="C2533" s="410"/>
      <c r="D2533" s="410"/>
      <c r="E2533" s="410"/>
      <c r="F2533" s="410"/>
      <c r="H2533" s="269"/>
      <c r="I2533" s="269"/>
      <c r="J2533" s="269"/>
      <c r="K2533" s="269"/>
      <c r="L2533" s="269"/>
      <c r="M2533" s="269"/>
      <c r="N2533" s="269"/>
      <c r="O2533" s="269"/>
      <c r="P2533" s="269"/>
      <c r="Q2533" s="269"/>
      <c r="R2533" s="269"/>
      <c r="S2533" s="269"/>
      <c r="T2533" s="269"/>
      <c r="U2533" s="269"/>
      <c r="V2533" s="269"/>
      <c r="W2533" s="269"/>
      <c r="X2533" s="269"/>
      <c r="Y2533" s="269"/>
      <c r="Z2533" s="269"/>
      <c r="AA2533" s="269"/>
      <c r="AB2533" s="269"/>
      <c r="AC2533" s="269"/>
      <c r="AD2533" s="269"/>
      <c r="AE2533" s="269"/>
      <c r="AF2533" s="269"/>
      <c r="AG2533" s="269"/>
      <c r="AH2533" s="269"/>
      <c r="AI2533" s="269"/>
      <c r="AJ2533" s="269"/>
      <c r="AK2533" s="269"/>
      <c r="AL2533" s="269"/>
      <c r="AM2533" s="269"/>
      <c r="AN2533" s="269"/>
      <c r="AO2533" s="269"/>
      <c r="AP2533" s="269"/>
      <c r="AQ2533" s="269"/>
      <c r="AR2533" s="269"/>
    </row>
    <row r="2534">
      <c r="A2534" s="410"/>
      <c r="B2534" s="410"/>
      <c r="C2534" s="410"/>
      <c r="D2534" s="410"/>
      <c r="E2534" s="410"/>
      <c r="F2534" s="410"/>
      <c r="H2534" s="269"/>
      <c r="I2534" s="269"/>
      <c r="J2534" s="269"/>
      <c r="K2534" s="269"/>
      <c r="L2534" s="269"/>
      <c r="M2534" s="269"/>
      <c r="N2534" s="269"/>
      <c r="O2534" s="269"/>
      <c r="P2534" s="269"/>
      <c r="Q2534" s="269"/>
      <c r="R2534" s="269"/>
      <c r="S2534" s="269"/>
      <c r="T2534" s="269"/>
      <c r="U2534" s="269"/>
      <c r="V2534" s="269"/>
      <c r="W2534" s="269"/>
      <c r="X2534" s="269"/>
      <c r="Y2534" s="269"/>
      <c r="Z2534" s="269"/>
      <c r="AA2534" s="269"/>
      <c r="AB2534" s="269"/>
      <c r="AC2534" s="269"/>
      <c r="AD2534" s="269"/>
      <c r="AE2534" s="269"/>
      <c r="AF2534" s="269"/>
      <c r="AG2534" s="269"/>
      <c r="AH2534" s="269"/>
      <c r="AI2534" s="269"/>
      <c r="AJ2534" s="269"/>
      <c r="AK2534" s="269"/>
      <c r="AL2534" s="269"/>
      <c r="AM2534" s="269"/>
      <c r="AN2534" s="269"/>
      <c r="AO2534" s="269"/>
      <c r="AP2534" s="269"/>
      <c r="AQ2534" s="269"/>
      <c r="AR2534" s="269"/>
    </row>
    <row r="2535">
      <c r="A2535" s="410"/>
      <c r="B2535" s="410"/>
      <c r="C2535" s="410"/>
      <c r="D2535" s="410"/>
      <c r="E2535" s="410"/>
      <c r="F2535" s="410"/>
      <c r="H2535" s="269"/>
      <c r="I2535" s="269"/>
      <c r="J2535" s="269"/>
      <c r="K2535" s="269"/>
      <c r="L2535" s="269"/>
      <c r="M2535" s="269"/>
      <c r="N2535" s="269"/>
      <c r="O2535" s="269"/>
      <c r="P2535" s="269"/>
      <c r="Q2535" s="269"/>
      <c r="R2535" s="269"/>
      <c r="S2535" s="269"/>
      <c r="T2535" s="269"/>
      <c r="U2535" s="269"/>
      <c r="V2535" s="269"/>
      <c r="W2535" s="269"/>
      <c r="X2535" s="269"/>
      <c r="Y2535" s="269"/>
      <c r="Z2535" s="269"/>
      <c r="AA2535" s="269"/>
      <c r="AB2535" s="269"/>
      <c r="AC2535" s="269"/>
      <c r="AD2535" s="269"/>
      <c r="AE2535" s="269"/>
      <c r="AF2535" s="269"/>
      <c r="AG2535" s="269"/>
      <c r="AH2535" s="269"/>
      <c r="AI2535" s="269"/>
      <c r="AJ2535" s="269"/>
      <c r="AK2535" s="269"/>
      <c r="AL2535" s="269"/>
      <c r="AM2535" s="269"/>
      <c r="AN2535" s="269"/>
      <c r="AO2535" s="269"/>
      <c r="AP2535" s="269"/>
      <c r="AQ2535" s="269"/>
      <c r="AR2535" s="269"/>
    </row>
    <row r="2536">
      <c r="A2536" s="410"/>
      <c r="B2536" s="410"/>
      <c r="C2536" s="410"/>
      <c r="D2536" s="410"/>
      <c r="E2536" s="410"/>
      <c r="F2536" s="410"/>
      <c r="H2536" s="269"/>
      <c r="I2536" s="269"/>
      <c r="J2536" s="269"/>
      <c r="K2536" s="269"/>
      <c r="L2536" s="269"/>
      <c r="M2536" s="269"/>
      <c r="N2536" s="269"/>
      <c r="O2536" s="269"/>
      <c r="P2536" s="269"/>
      <c r="Q2536" s="269"/>
      <c r="R2536" s="269"/>
      <c r="S2536" s="269"/>
      <c r="T2536" s="269"/>
      <c r="U2536" s="269"/>
      <c r="V2536" s="269"/>
      <c r="W2536" s="269"/>
      <c r="X2536" s="269"/>
      <c r="Y2536" s="269"/>
      <c r="Z2536" s="269"/>
      <c r="AA2536" s="269"/>
      <c r="AB2536" s="269"/>
      <c r="AC2536" s="269"/>
      <c r="AD2536" s="269"/>
      <c r="AE2536" s="269"/>
      <c r="AF2536" s="269"/>
      <c r="AG2536" s="269"/>
      <c r="AH2536" s="269"/>
      <c r="AI2536" s="269"/>
      <c r="AJ2536" s="269"/>
      <c r="AK2536" s="269"/>
      <c r="AL2536" s="269"/>
      <c r="AM2536" s="269"/>
      <c r="AN2536" s="269"/>
      <c r="AO2536" s="269"/>
      <c r="AP2536" s="269"/>
      <c r="AQ2536" s="269"/>
      <c r="AR2536" s="269"/>
    </row>
    <row r="2537">
      <c r="A2537" s="410"/>
      <c r="B2537" s="410"/>
      <c r="C2537" s="410"/>
      <c r="D2537" s="410"/>
      <c r="E2537" s="410"/>
      <c r="F2537" s="410"/>
      <c r="H2537" s="269"/>
      <c r="I2537" s="269"/>
      <c r="J2537" s="269"/>
      <c r="K2537" s="269"/>
      <c r="L2537" s="269"/>
      <c r="M2537" s="269"/>
      <c r="N2537" s="269"/>
      <c r="O2537" s="269"/>
      <c r="P2537" s="269"/>
      <c r="Q2537" s="269"/>
      <c r="R2537" s="269"/>
      <c r="S2537" s="269"/>
      <c r="T2537" s="269"/>
      <c r="U2537" s="269"/>
      <c r="V2537" s="269"/>
      <c r="W2537" s="269"/>
      <c r="X2537" s="269"/>
      <c r="Y2537" s="269"/>
      <c r="Z2537" s="269"/>
      <c r="AA2537" s="269"/>
      <c r="AB2537" s="269"/>
      <c r="AC2537" s="269"/>
      <c r="AD2537" s="269"/>
      <c r="AE2537" s="269"/>
      <c r="AF2537" s="269"/>
      <c r="AG2537" s="269"/>
      <c r="AH2537" s="269"/>
      <c r="AI2537" s="269"/>
      <c r="AJ2537" s="269"/>
      <c r="AK2537" s="269"/>
      <c r="AL2537" s="269"/>
      <c r="AM2537" s="269"/>
      <c r="AN2537" s="269"/>
      <c r="AO2537" s="269"/>
      <c r="AP2537" s="269"/>
      <c r="AQ2537" s="269"/>
      <c r="AR2537" s="269"/>
    </row>
    <row r="2538">
      <c r="A2538" s="410"/>
      <c r="B2538" s="410"/>
      <c r="C2538" s="410"/>
      <c r="D2538" s="410"/>
      <c r="E2538" s="410"/>
      <c r="F2538" s="410"/>
      <c r="H2538" s="269"/>
      <c r="I2538" s="269"/>
      <c r="J2538" s="269"/>
      <c r="K2538" s="269"/>
      <c r="L2538" s="269"/>
      <c r="M2538" s="269"/>
      <c r="N2538" s="269"/>
      <c r="O2538" s="269"/>
      <c r="P2538" s="269"/>
      <c r="Q2538" s="269"/>
      <c r="R2538" s="269"/>
      <c r="S2538" s="269"/>
      <c r="T2538" s="269"/>
      <c r="U2538" s="269"/>
      <c r="V2538" s="269"/>
      <c r="W2538" s="269"/>
      <c r="X2538" s="269"/>
      <c r="Y2538" s="269"/>
      <c r="Z2538" s="269"/>
      <c r="AA2538" s="269"/>
      <c r="AB2538" s="269"/>
      <c r="AC2538" s="269"/>
      <c r="AD2538" s="269"/>
      <c r="AE2538" s="269"/>
      <c r="AF2538" s="269"/>
      <c r="AG2538" s="269"/>
      <c r="AH2538" s="269"/>
      <c r="AI2538" s="269"/>
      <c r="AJ2538" s="269"/>
      <c r="AK2538" s="269"/>
      <c r="AL2538" s="269"/>
      <c r="AM2538" s="269"/>
      <c r="AN2538" s="269"/>
      <c r="AO2538" s="269"/>
      <c r="AP2538" s="269"/>
      <c r="AQ2538" s="269"/>
      <c r="AR2538" s="269"/>
    </row>
    <row r="2539">
      <c r="A2539" s="410"/>
      <c r="B2539" s="410"/>
      <c r="C2539" s="410"/>
      <c r="D2539" s="410"/>
      <c r="E2539" s="410"/>
      <c r="F2539" s="410"/>
      <c r="H2539" s="269"/>
      <c r="I2539" s="269"/>
      <c r="J2539" s="269"/>
      <c r="K2539" s="269"/>
      <c r="L2539" s="269"/>
      <c r="M2539" s="269"/>
      <c r="N2539" s="269"/>
      <c r="O2539" s="269"/>
      <c r="P2539" s="269"/>
      <c r="Q2539" s="269"/>
      <c r="R2539" s="269"/>
      <c r="S2539" s="269"/>
      <c r="T2539" s="269"/>
      <c r="U2539" s="269"/>
      <c r="V2539" s="269"/>
      <c r="W2539" s="269"/>
      <c r="X2539" s="269"/>
      <c r="Y2539" s="269"/>
      <c r="Z2539" s="269"/>
      <c r="AA2539" s="269"/>
      <c r="AB2539" s="269"/>
      <c r="AC2539" s="269"/>
      <c r="AD2539" s="269"/>
      <c r="AE2539" s="269"/>
      <c r="AF2539" s="269"/>
      <c r="AG2539" s="269"/>
      <c r="AH2539" s="269"/>
      <c r="AI2539" s="269"/>
      <c r="AJ2539" s="269"/>
      <c r="AK2539" s="269"/>
      <c r="AL2539" s="269"/>
      <c r="AM2539" s="269"/>
      <c r="AN2539" s="269"/>
      <c r="AO2539" s="269"/>
      <c r="AP2539" s="269"/>
      <c r="AQ2539" s="269"/>
      <c r="AR2539" s="269"/>
    </row>
    <row r="2540">
      <c r="A2540" s="410"/>
      <c r="B2540" s="410"/>
      <c r="C2540" s="410"/>
      <c r="D2540" s="410"/>
      <c r="E2540" s="410"/>
      <c r="F2540" s="410"/>
      <c r="H2540" s="269"/>
      <c r="I2540" s="269"/>
      <c r="J2540" s="269"/>
      <c r="K2540" s="269"/>
      <c r="L2540" s="269"/>
      <c r="M2540" s="269"/>
      <c r="N2540" s="269"/>
      <c r="O2540" s="269"/>
      <c r="P2540" s="269"/>
      <c r="Q2540" s="269"/>
      <c r="R2540" s="269"/>
      <c r="S2540" s="269"/>
      <c r="T2540" s="269"/>
      <c r="U2540" s="269"/>
      <c r="V2540" s="269"/>
      <c r="W2540" s="269"/>
      <c r="X2540" s="269"/>
      <c r="Y2540" s="269"/>
      <c r="Z2540" s="269"/>
      <c r="AA2540" s="269"/>
      <c r="AB2540" s="269"/>
      <c r="AC2540" s="269"/>
      <c r="AD2540" s="269"/>
      <c r="AE2540" s="269"/>
      <c r="AF2540" s="269"/>
      <c r="AG2540" s="269"/>
      <c r="AH2540" s="269"/>
      <c r="AI2540" s="269"/>
      <c r="AJ2540" s="269"/>
      <c r="AK2540" s="269"/>
      <c r="AL2540" s="269"/>
      <c r="AM2540" s="269"/>
      <c r="AN2540" s="269"/>
      <c r="AO2540" s="269"/>
      <c r="AP2540" s="269"/>
      <c r="AQ2540" s="269"/>
      <c r="AR2540" s="269"/>
    </row>
    <row r="2541">
      <c r="A2541" s="410"/>
      <c r="B2541" s="410"/>
      <c r="C2541" s="410"/>
      <c r="D2541" s="410"/>
      <c r="E2541" s="410"/>
      <c r="F2541" s="410"/>
      <c r="H2541" s="269"/>
      <c r="I2541" s="269"/>
      <c r="J2541" s="269"/>
      <c r="K2541" s="269"/>
      <c r="L2541" s="269"/>
      <c r="M2541" s="269"/>
      <c r="N2541" s="269"/>
      <c r="O2541" s="269"/>
      <c r="P2541" s="269"/>
      <c r="Q2541" s="269"/>
      <c r="R2541" s="269"/>
      <c r="S2541" s="269"/>
      <c r="T2541" s="269"/>
      <c r="U2541" s="269"/>
      <c r="V2541" s="269"/>
      <c r="W2541" s="269"/>
      <c r="X2541" s="269"/>
      <c r="Y2541" s="269"/>
      <c r="Z2541" s="269"/>
      <c r="AA2541" s="269"/>
      <c r="AB2541" s="269"/>
      <c r="AC2541" s="269"/>
      <c r="AD2541" s="269"/>
      <c r="AE2541" s="269"/>
      <c r="AF2541" s="269"/>
      <c r="AG2541" s="269"/>
      <c r="AH2541" s="269"/>
      <c r="AI2541" s="269"/>
      <c r="AJ2541" s="269"/>
      <c r="AK2541" s="269"/>
      <c r="AL2541" s="269"/>
      <c r="AM2541" s="269"/>
      <c r="AN2541" s="269"/>
      <c r="AO2541" s="269"/>
      <c r="AP2541" s="269"/>
      <c r="AQ2541" s="269"/>
      <c r="AR2541" s="269"/>
    </row>
    <row r="2542">
      <c r="A2542" s="410"/>
      <c r="B2542" s="410"/>
      <c r="C2542" s="410"/>
      <c r="D2542" s="410"/>
      <c r="E2542" s="410"/>
      <c r="F2542" s="410"/>
      <c r="H2542" s="269"/>
      <c r="I2542" s="269"/>
      <c r="J2542" s="269"/>
      <c r="K2542" s="269"/>
      <c r="L2542" s="269"/>
      <c r="M2542" s="269"/>
      <c r="N2542" s="269"/>
      <c r="O2542" s="269"/>
      <c r="P2542" s="269"/>
      <c r="Q2542" s="269"/>
      <c r="R2542" s="269"/>
      <c r="S2542" s="269"/>
      <c r="T2542" s="269"/>
      <c r="U2542" s="269"/>
      <c r="V2542" s="269"/>
      <c r="W2542" s="269"/>
      <c r="X2542" s="269"/>
      <c r="Y2542" s="269"/>
      <c r="Z2542" s="269"/>
      <c r="AA2542" s="269"/>
      <c r="AB2542" s="269"/>
      <c r="AC2542" s="269"/>
      <c r="AD2542" s="269"/>
      <c r="AE2542" s="269"/>
      <c r="AF2542" s="269"/>
      <c r="AG2542" s="269"/>
      <c r="AH2542" s="269"/>
      <c r="AI2542" s="269"/>
      <c r="AJ2542" s="269"/>
      <c r="AK2542" s="269"/>
      <c r="AL2542" s="269"/>
      <c r="AM2542" s="269"/>
      <c r="AN2542" s="269"/>
      <c r="AO2542" s="269"/>
      <c r="AP2542" s="269"/>
      <c r="AQ2542" s="269"/>
      <c r="AR2542" s="269"/>
    </row>
    <row r="2543">
      <c r="A2543" s="410"/>
      <c r="B2543" s="410"/>
      <c r="C2543" s="410"/>
      <c r="D2543" s="410"/>
      <c r="E2543" s="410"/>
      <c r="F2543" s="410"/>
      <c r="H2543" s="269"/>
      <c r="I2543" s="269"/>
      <c r="J2543" s="269"/>
      <c r="K2543" s="269"/>
      <c r="L2543" s="269"/>
      <c r="M2543" s="269"/>
      <c r="N2543" s="269"/>
      <c r="O2543" s="269"/>
      <c r="P2543" s="269"/>
      <c r="Q2543" s="269"/>
      <c r="R2543" s="269"/>
      <c r="S2543" s="269"/>
      <c r="T2543" s="269"/>
      <c r="U2543" s="269"/>
      <c r="V2543" s="269"/>
      <c r="W2543" s="269"/>
      <c r="X2543" s="269"/>
      <c r="Y2543" s="269"/>
      <c r="Z2543" s="269"/>
      <c r="AA2543" s="269"/>
      <c r="AB2543" s="269"/>
      <c r="AC2543" s="269"/>
      <c r="AD2543" s="269"/>
      <c r="AE2543" s="269"/>
      <c r="AF2543" s="269"/>
      <c r="AG2543" s="269"/>
      <c r="AH2543" s="269"/>
      <c r="AI2543" s="269"/>
      <c r="AJ2543" s="269"/>
      <c r="AK2543" s="269"/>
      <c r="AL2543" s="269"/>
      <c r="AM2543" s="269"/>
      <c r="AN2543" s="269"/>
      <c r="AO2543" s="269"/>
      <c r="AP2543" s="269"/>
      <c r="AQ2543" s="269"/>
      <c r="AR2543" s="269"/>
    </row>
    <row r="2544">
      <c r="A2544" s="410"/>
      <c r="B2544" s="410"/>
      <c r="C2544" s="410"/>
      <c r="D2544" s="410"/>
      <c r="E2544" s="410"/>
      <c r="F2544" s="410"/>
      <c r="H2544" s="269"/>
      <c r="I2544" s="269"/>
      <c r="J2544" s="269"/>
      <c r="K2544" s="269"/>
      <c r="L2544" s="269"/>
      <c r="M2544" s="269"/>
      <c r="N2544" s="269"/>
      <c r="O2544" s="269"/>
      <c r="P2544" s="269"/>
      <c r="Q2544" s="269"/>
      <c r="R2544" s="269"/>
      <c r="S2544" s="269"/>
      <c r="T2544" s="269"/>
      <c r="U2544" s="269"/>
      <c r="V2544" s="269"/>
      <c r="W2544" s="269"/>
      <c r="X2544" s="269"/>
      <c r="Y2544" s="269"/>
      <c r="Z2544" s="269"/>
      <c r="AA2544" s="269"/>
      <c r="AB2544" s="269"/>
      <c r="AC2544" s="269"/>
      <c r="AD2544" s="269"/>
      <c r="AE2544" s="269"/>
      <c r="AF2544" s="269"/>
      <c r="AG2544" s="269"/>
      <c r="AH2544" s="269"/>
      <c r="AI2544" s="269"/>
      <c r="AJ2544" s="269"/>
      <c r="AK2544" s="269"/>
      <c r="AL2544" s="269"/>
      <c r="AM2544" s="269"/>
      <c r="AN2544" s="269"/>
      <c r="AO2544" s="269"/>
      <c r="AP2544" s="269"/>
      <c r="AQ2544" s="269"/>
      <c r="AR2544" s="269"/>
    </row>
    <row r="2545">
      <c r="A2545" s="410"/>
      <c r="B2545" s="410"/>
      <c r="C2545" s="410"/>
      <c r="D2545" s="410"/>
      <c r="E2545" s="410"/>
      <c r="F2545" s="410"/>
      <c r="H2545" s="269"/>
      <c r="I2545" s="269"/>
      <c r="J2545" s="269"/>
      <c r="K2545" s="269"/>
      <c r="L2545" s="269"/>
      <c r="M2545" s="269"/>
      <c r="N2545" s="269"/>
      <c r="O2545" s="269"/>
      <c r="P2545" s="269"/>
      <c r="Q2545" s="269"/>
      <c r="R2545" s="269"/>
      <c r="S2545" s="269"/>
      <c r="T2545" s="269"/>
      <c r="U2545" s="269"/>
      <c r="V2545" s="269"/>
      <c r="W2545" s="269"/>
      <c r="X2545" s="269"/>
      <c r="Y2545" s="269"/>
      <c r="Z2545" s="269"/>
      <c r="AA2545" s="269"/>
      <c r="AB2545" s="269"/>
      <c r="AC2545" s="269"/>
      <c r="AD2545" s="269"/>
      <c r="AE2545" s="269"/>
      <c r="AF2545" s="269"/>
      <c r="AG2545" s="269"/>
      <c r="AH2545" s="269"/>
      <c r="AI2545" s="269"/>
      <c r="AJ2545" s="269"/>
      <c r="AK2545" s="269"/>
      <c r="AL2545" s="269"/>
      <c r="AM2545" s="269"/>
      <c r="AN2545" s="269"/>
      <c r="AO2545" s="269"/>
      <c r="AP2545" s="269"/>
      <c r="AQ2545" s="269"/>
      <c r="AR2545" s="269"/>
    </row>
    <row r="2546">
      <c r="A2546" s="410"/>
      <c r="B2546" s="410"/>
      <c r="C2546" s="410"/>
      <c r="D2546" s="410"/>
      <c r="E2546" s="410"/>
      <c r="F2546" s="410"/>
      <c r="H2546" s="269"/>
      <c r="I2546" s="269"/>
      <c r="J2546" s="269"/>
      <c r="K2546" s="269"/>
      <c r="L2546" s="269"/>
      <c r="M2546" s="269"/>
      <c r="N2546" s="269"/>
      <c r="O2546" s="269"/>
      <c r="P2546" s="269"/>
      <c r="Q2546" s="269"/>
      <c r="R2546" s="269"/>
      <c r="S2546" s="269"/>
      <c r="T2546" s="269"/>
      <c r="U2546" s="269"/>
      <c r="V2546" s="269"/>
      <c r="W2546" s="269"/>
      <c r="X2546" s="269"/>
      <c r="Y2546" s="269"/>
      <c r="Z2546" s="269"/>
      <c r="AA2546" s="269"/>
      <c r="AB2546" s="269"/>
      <c r="AC2546" s="269"/>
      <c r="AD2546" s="269"/>
      <c r="AE2546" s="269"/>
      <c r="AF2546" s="269"/>
      <c r="AG2546" s="269"/>
      <c r="AH2546" s="269"/>
      <c r="AI2546" s="269"/>
      <c r="AJ2546" s="269"/>
      <c r="AK2546" s="269"/>
      <c r="AL2546" s="269"/>
      <c r="AM2546" s="269"/>
      <c r="AN2546" s="269"/>
      <c r="AO2546" s="269"/>
      <c r="AP2546" s="269"/>
      <c r="AQ2546" s="269"/>
      <c r="AR2546" s="269"/>
    </row>
    <row r="2547">
      <c r="A2547" s="410"/>
      <c r="B2547" s="410"/>
      <c r="C2547" s="410"/>
      <c r="D2547" s="410"/>
      <c r="E2547" s="410"/>
      <c r="F2547" s="410"/>
      <c r="H2547" s="269"/>
      <c r="I2547" s="269"/>
      <c r="J2547" s="269"/>
      <c r="K2547" s="269"/>
      <c r="L2547" s="269"/>
      <c r="M2547" s="269"/>
      <c r="N2547" s="269"/>
      <c r="O2547" s="269"/>
      <c r="P2547" s="269"/>
      <c r="Q2547" s="269"/>
      <c r="R2547" s="269"/>
      <c r="S2547" s="269"/>
      <c r="T2547" s="269"/>
      <c r="U2547" s="269"/>
      <c r="V2547" s="269"/>
      <c r="W2547" s="269"/>
      <c r="X2547" s="269"/>
      <c r="Y2547" s="269"/>
      <c r="Z2547" s="269"/>
      <c r="AA2547" s="269"/>
      <c r="AB2547" s="269"/>
      <c r="AC2547" s="269"/>
      <c r="AD2547" s="269"/>
      <c r="AE2547" s="269"/>
      <c r="AF2547" s="269"/>
      <c r="AG2547" s="269"/>
      <c r="AH2547" s="269"/>
      <c r="AI2547" s="269"/>
      <c r="AJ2547" s="269"/>
      <c r="AK2547" s="269"/>
      <c r="AL2547" s="269"/>
      <c r="AM2547" s="269"/>
      <c r="AN2547" s="269"/>
      <c r="AO2547" s="269"/>
      <c r="AP2547" s="269"/>
      <c r="AQ2547" s="269"/>
      <c r="AR2547" s="269"/>
    </row>
    <row r="2548">
      <c r="A2548" s="410"/>
      <c r="B2548" s="410"/>
      <c r="C2548" s="410"/>
      <c r="D2548" s="410"/>
      <c r="E2548" s="410"/>
      <c r="F2548" s="410"/>
      <c r="H2548" s="269"/>
      <c r="I2548" s="269"/>
      <c r="J2548" s="269"/>
      <c r="K2548" s="269"/>
      <c r="L2548" s="269"/>
      <c r="M2548" s="269"/>
      <c r="N2548" s="269"/>
      <c r="O2548" s="269"/>
      <c r="P2548" s="269"/>
      <c r="Q2548" s="269"/>
      <c r="R2548" s="269"/>
      <c r="S2548" s="269"/>
      <c r="T2548" s="269"/>
      <c r="U2548" s="269"/>
      <c r="V2548" s="269"/>
      <c r="W2548" s="269"/>
      <c r="X2548" s="269"/>
      <c r="Y2548" s="269"/>
      <c r="Z2548" s="269"/>
      <c r="AA2548" s="269"/>
      <c r="AB2548" s="269"/>
      <c r="AC2548" s="269"/>
      <c r="AD2548" s="269"/>
      <c r="AE2548" s="269"/>
      <c r="AF2548" s="269"/>
      <c r="AG2548" s="269"/>
      <c r="AH2548" s="269"/>
      <c r="AI2548" s="269"/>
      <c r="AJ2548" s="269"/>
      <c r="AK2548" s="269"/>
      <c r="AL2548" s="269"/>
      <c r="AM2548" s="269"/>
      <c r="AN2548" s="269"/>
      <c r="AO2548" s="269"/>
      <c r="AP2548" s="269"/>
      <c r="AQ2548" s="269"/>
      <c r="AR2548" s="269"/>
    </row>
    <row r="2549">
      <c r="A2549" s="410"/>
      <c r="B2549" s="410"/>
      <c r="C2549" s="410"/>
      <c r="D2549" s="410"/>
      <c r="E2549" s="410"/>
      <c r="F2549" s="410"/>
      <c r="H2549" s="269"/>
      <c r="I2549" s="269"/>
      <c r="J2549" s="269"/>
      <c r="K2549" s="269"/>
      <c r="L2549" s="269"/>
      <c r="M2549" s="269"/>
      <c r="N2549" s="269"/>
      <c r="O2549" s="269"/>
      <c r="P2549" s="269"/>
      <c r="Q2549" s="269"/>
      <c r="R2549" s="269"/>
      <c r="S2549" s="269"/>
      <c r="T2549" s="269"/>
      <c r="U2549" s="269"/>
      <c r="V2549" s="269"/>
      <c r="W2549" s="269"/>
      <c r="X2549" s="269"/>
      <c r="Y2549" s="269"/>
      <c r="Z2549" s="269"/>
      <c r="AA2549" s="269"/>
      <c r="AB2549" s="269"/>
      <c r="AC2549" s="269"/>
      <c r="AD2549" s="269"/>
      <c r="AE2549" s="269"/>
      <c r="AF2549" s="269"/>
      <c r="AG2549" s="269"/>
      <c r="AH2549" s="269"/>
      <c r="AI2549" s="269"/>
      <c r="AJ2549" s="269"/>
      <c r="AK2549" s="269"/>
      <c r="AL2549" s="269"/>
      <c r="AM2549" s="269"/>
      <c r="AN2549" s="269"/>
      <c r="AO2549" s="269"/>
      <c r="AP2549" s="269"/>
      <c r="AQ2549" s="269"/>
      <c r="AR2549" s="269"/>
    </row>
    <row r="2550">
      <c r="A2550" s="410"/>
      <c r="B2550" s="410"/>
      <c r="C2550" s="410"/>
      <c r="D2550" s="410"/>
      <c r="E2550" s="410"/>
      <c r="F2550" s="410"/>
      <c r="H2550" s="269"/>
      <c r="I2550" s="269"/>
      <c r="J2550" s="269"/>
      <c r="K2550" s="269"/>
      <c r="L2550" s="269"/>
      <c r="M2550" s="269"/>
      <c r="N2550" s="269"/>
      <c r="O2550" s="269"/>
      <c r="P2550" s="269"/>
      <c r="Q2550" s="269"/>
      <c r="R2550" s="269"/>
      <c r="S2550" s="269"/>
      <c r="T2550" s="269"/>
      <c r="U2550" s="269"/>
      <c r="V2550" s="269"/>
      <c r="W2550" s="269"/>
      <c r="X2550" s="269"/>
      <c r="Y2550" s="269"/>
      <c r="Z2550" s="269"/>
      <c r="AA2550" s="269"/>
      <c r="AB2550" s="269"/>
      <c r="AC2550" s="269"/>
      <c r="AD2550" s="269"/>
      <c r="AE2550" s="269"/>
      <c r="AF2550" s="269"/>
      <c r="AG2550" s="269"/>
      <c r="AH2550" s="269"/>
      <c r="AI2550" s="269"/>
      <c r="AJ2550" s="269"/>
      <c r="AK2550" s="269"/>
      <c r="AL2550" s="269"/>
      <c r="AM2550" s="269"/>
      <c r="AN2550" s="269"/>
      <c r="AO2550" s="269"/>
      <c r="AP2550" s="269"/>
      <c r="AQ2550" s="269"/>
      <c r="AR2550" s="269"/>
    </row>
    <row r="2551">
      <c r="A2551" s="410"/>
      <c r="B2551" s="410"/>
      <c r="C2551" s="410"/>
      <c r="D2551" s="410"/>
      <c r="E2551" s="410"/>
      <c r="F2551" s="410"/>
      <c r="H2551" s="269"/>
      <c r="I2551" s="269"/>
      <c r="J2551" s="269"/>
      <c r="K2551" s="269"/>
      <c r="L2551" s="269"/>
      <c r="M2551" s="269"/>
      <c r="N2551" s="269"/>
      <c r="O2551" s="269"/>
      <c r="P2551" s="269"/>
      <c r="Q2551" s="269"/>
      <c r="R2551" s="269"/>
      <c r="S2551" s="269"/>
      <c r="T2551" s="269"/>
      <c r="U2551" s="269"/>
      <c r="V2551" s="269"/>
      <c r="W2551" s="269"/>
      <c r="X2551" s="269"/>
      <c r="Y2551" s="269"/>
      <c r="Z2551" s="269"/>
      <c r="AA2551" s="269"/>
      <c r="AB2551" s="269"/>
      <c r="AC2551" s="269"/>
      <c r="AD2551" s="269"/>
      <c r="AE2551" s="269"/>
      <c r="AF2551" s="269"/>
      <c r="AG2551" s="269"/>
      <c r="AH2551" s="269"/>
      <c r="AI2551" s="269"/>
      <c r="AJ2551" s="269"/>
      <c r="AK2551" s="269"/>
      <c r="AL2551" s="269"/>
      <c r="AM2551" s="269"/>
      <c r="AN2551" s="269"/>
      <c r="AO2551" s="269"/>
      <c r="AP2551" s="269"/>
      <c r="AQ2551" s="269"/>
      <c r="AR2551" s="269"/>
    </row>
    <row r="2552">
      <c r="A2552" s="410"/>
      <c r="B2552" s="410"/>
      <c r="C2552" s="410"/>
      <c r="D2552" s="410"/>
      <c r="E2552" s="410"/>
      <c r="F2552" s="410"/>
      <c r="H2552" s="269"/>
      <c r="I2552" s="269"/>
      <c r="J2552" s="269"/>
      <c r="K2552" s="269"/>
      <c r="L2552" s="269"/>
      <c r="M2552" s="269"/>
      <c r="N2552" s="269"/>
      <c r="O2552" s="269"/>
      <c r="P2552" s="269"/>
      <c r="Q2552" s="269"/>
      <c r="R2552" s="269"/>
      <c r="S2552" s="269"/>
      <c r="T2552" s="269"/>
      <c r="U2552" s="269"/>
      <c r="V2552" s="269"/>
      <c r="W2552" s="269"/>
      <c r="X2552" s="269"/>
      <c r="Y2552" s="269"/>
      <c r="Z2552" s="269"/>
      <c r="AA2552" s="269"/>
      <c r="AB2552" s="269"/>
      <c r="AC2552" s="269"/>
      <c r="AD2552" s="269"/>
      <c r="AE2552" s="269"/>
      <c r="AF2552" s="269"/>
      <c r="AG2552" s="269"/>
      <c r="AH2552" s="269"/>
      <c r="AI2552" s="269"/>
      <c r="AJ2552" s="269"/>
      <c r="AK2552" s="269"/>
      <c r="AL2552" s="269"/>
      <c r="AM2552" s="269"/>
      <c r="AN2552" s="269"/>
      <c r="AO2552" s="269"/>
      <c r="AP2552" s="269"/>
      <c r="AQ2552" s="269"/>
      <c r="AR2552" s="269"/>
    </row>
    <row r="2553">
      <c r="A2553" s="410"/>
      <c r="B2553" s="410"/>
      <c r="C2553" s="410"/>
      <c r="D2553" s="410"/>
      <c r="E2553" s="410"/>
      <c r="F2553" s="410"/>
      <c r="H2553" s="269"/>
      <c r="I2553" s="269"/>
      <c r="J2553" s="269"/>
      <c r="K2553" s="269"/>
      <c r="L2553" s="269"/>
      <c r="M2553" s="269"/>
      <c r="N2553" s="269"/>
      <c r="O2553" s="269"/>
      <c r="P2553" s="269"/>
      <c r="Q2553" s="269"/>
      <c r="R2553" s="269"/>
      <c r="S2553" s="269"/>
      <c r="T2553" s="269"/>
      <c r="U2553" s="269"/>
      <c r="V2553" s="269"/>
      <c r="W2553" s="269"/>
      <c r="X2553" s="269"/>
      <c r="Y2553" s="269"/>
      <c r="Z2553" s="269"/>
      <c r="AA2553" s="269"/>
      <c r="AB2553" s="269"/>
      <c r="AC2553" s="269"/>
      <c r="AD2553" s="269"/>
      <c r="AE2553" s="269"/>
      <c r="AF2553" s="269"/>
      <c r="AG2553" s="269"/>
      <c r="AH2553" s="269"/>
      <c r="AI2553" s="269"/>
      <c r="AJ2553" s="269"/>
      <c r="AK2553" s="269"/>
      <c r="AL2553" s="269"/>
      <c r="AM2553" s="269"/>
      <c r="AN2553" s="269"/>
      <c r="AO2553" s="269"/>
      <c r="AP2553" s="269"/>
      <c r="AQ2553" s="269"/>
      <c r="AR2553" s="269"/>
    </row>
    <row r="2554">
      <c r="A2554" s="410"/>
      <c r="B2554" s="410"/>
      <c r="C2554" s="410"/>
      <c r="D2554" s="410"/>
      <c r="E2554" s="410"/>
      <c r="F2554" s="410"/>
      <c r="H2554" s="269"/>
      <c r="I2554" s="269"/>
      <c r="J2554" s="269"/>
      <c r="K2554" s="269"/>
      <c r="L2554" s="269"/>
      <c r="M2554" s="269"/>
      <c r="N2554" s="269"/>
      <c r="O2554" s="269"/>
      <c r="P2554" s="269"/>
      <c r="Q2554" s="269"/>
      <c r="R2554" s="269"/>
      <c r="S2554" s="269"/>
      <c r="T2554" s="269"/>
      <c r="U2554" s="269"/>
      <c r="V2554" s="269"/>
      <c r="W2554" s="269"/>
      <c r="X2554" s="269"/>
      <c r="Y2554" s="269"/>
      <c r="Z2554" s="269"/>
      <c r="AA2554" s="269"/>
      <c r="AB2554" s="269"/>
      <c r="AC2554" s="269"/>
      <c r="AD2554" s="269"/>
      <c r="AE2554" s="269"/>
      <c r="AF2554" s="269"/>
      <c r="AG2554" s="269"/>
      <c r="AH2554" s="269"/>
      <c r="AI2554" s="269"/>
      <c r="AJ2554" s="269"/>
      <c r="AK2554" s="269"/>
      <c r="AL2554" s="269"/>
      <c r="AM2554" s="269"/>
      <c r="AN2554" s="269"/>
      <c r="AO2554" s="269"/>
      <c r="AP2554" s="269"/>
      <c r="AQ2554" s="269"/>
      <c r="AR2554" s="269"/>
    </row>
    <row r="2555">
      <c r="A2555" s="410"/>
      <c r="B2555" s="410"/>
      <c r="C2555" s="410"/>
      <c r="D2555" s="410"/>
      <c r="E2555" s="410"/>
      <c r="F2555" s="410"/>
      <c r="H2555" s="269"/>
      <c r="I2555" s="269"/>
      <c r="J2555" s="269"/>
      <c r="K2555" s="269"/>
      <c r="L2555" s="269"/>
      <c r="M2555" s="269"/>
      <c r="N2555" s="269"/>
      <c r="O2555" s="269"/>
      <c r="P2555" s="269"/>
      <c r="Q2555" s="269"/>
      <c r="R2555" s="269"/>
      <c r="S2555" s="269"/>
      <c r="T2555" s="269"/>
      <c r="U2555" s="269"/>
      <c r="V2555" s="269"/>
      <c r="W2555" s="269"/>
      <c r="X2555" s="269"/>
      <c r="Y2555" s="269"/>
      <c r="Z2555" s="269"/>
      <c r="AA2555" s="269"/>
      <c r="AB2555" s="269"/>
      <c r="AC2555" s="269"/>
      <c r="AD2555" s="269"/>
      <c r="AE2555" s="269"/>
      <c r="AF2555" s="269"/>
      <c r="AG2555" s="269"/>
      <c r="AH2555" s="269"/>
      <c r="AI2555" s="269"/>
      <c r="AJ2555" s="269"/>
      <c r="AK2555" s="269"/>
      <c r="AL2555" s="269"/>
      <c r="AM2555" s="269"/>
      <c r="AN2555" s="269"/>
      <c r="AO2555" s="269"/>
      <c r="AP2555" s="269"/>
      <c r="AQ2555" s="269"/>
      <c r="AR2555" s="269"/>
    </row>
    <row r="2556">
      <c r="A2556" s="410"/>
      <c r="B2556" s="410"/>
      <c r="C2556" s="410"/>
      <c r="D2556" s="410"/>
      <c r="E2556" s="410"/>
      <c r="F2556" s="410"/>
      <c r="H2556" s="269"/>
      <c r="I2556" s="269"/>
      <c r="J2556" s="269"/>
      <c r="K2556" s="269"/>
      <c r="L2556" s="269"/>
      <c r="M2556" s="269"/>
      <c r="N2556" s="269"/>
      <c r="O2556" s="269"/>
      <c r="P2556" s="269"/>
      <c r="Q2556" s="269"/>
      <c r="R2556" s="269"/>
      <c r="S2556" s="269"/>
      <c r="T2556" s="269"/>
      <c r="U2556" s="269"/>
      <c r="V2556" s="269"/>
      <c r="W2556" s="269"/>
      <c r="X2556" s="269"/>
      <c r="Y2556" s="269"/>
      <c r="Z2556" s="269"/>
      <c r="AA2556" s="269"/>
      <c r="AB2556" s="269"/>
      <c r="AC2556" s="269"/>
      <c r="AD2556" s="269"/>
      <c r="AE2556" s="269"/>
      <c r="AF2556" s="269"/>
      <c r="AG2556" s="269"/>
      <c r="AH2556" s="269"/>
      <c r="AI2556" s="269"/>
      <c r="AJ2556" s="269"/>
      <c r="AK2556" s="269"/>
      <c r="AL2556" s="269"/>
      <c r="AM2556" s="269"/>
      <c r="AN2556" s="269"/>
      <c r="AO2556" s="269"/>
      <c r="AP2556" s="269"/>
      <c r="AQ2556" s="269"/>
      <c r="AR2556" s="269"/>
    </row>
    <row r="2557">
      <c r="A2557" s="410"/>
      <c r="B2557" s="410"/>
      <c r="C2557" s="410"/>
      <c r="D2557" s="410"/>
      <c r="E2557" s="410"/>
      <c r="F2557" s="410"/>
      <c r="H2557" s="269"/>
      <c r="I2557" s="269"/>
      <c r="J2557" s="269"/>
      <c r="K2557" s="269"/>
      <c r="L2557" s="269"/>
      <c r="M2557" s="269"/>
      <c r="N2557" s="269"/>
      <c r="O2557" s="269"/>
      <c r="P2557" s="269"/>
      <c r="Q2557" s="269"/>
      <c r="R2557" s="269"/>
      <c r="S2557" s="269"/>
      <c r="T2557" s="269"/>
      <c r="U2557" s="269"/>
      <c r="V2557" s="269"/>
      <c r="W2557" s="269"/>
      <c r="X2557" s="269"/>
      <c r="Y2557" s="269"/>
      <c r="Z2557" s="269"/>
      <c r="AA2557" s="269"/>
      <c r="AB2557" s="269"/>
      <c r="AC2557" s="269"/>
      <c r="AD2557" s="269"/>
      <c r="AE2557" s="269"/>
      <c r="AF2557" s="269"/>
      <c r="AG2557" s="269"/>
      <c r="AH2557" s="269"/>
      <c r="AI2557" s="269"/>
      <c r="AJ2557" s="269"/>
      <c r="AK2557" s="269"/>
      <c r="AL2557" s="269"/>
      <c r="AM2557" s="269"/>
      <c r="AN2557" s="269"/>
      <c r="AO2557" s="269"/>
      <c r="AP2557" s="269"/>
      <c r="AQ2557" s="269"/>
      <c r="AR2557" s="269"/>
    </row>
    <row r="2558">
      <c r="A2558" s="410"/>
      <c r="B2558" s="410"/>
      <c r="C2558" s="410"/>
      <c r="D2558" s="410"/>
      <c r="E2558" s="410"/>
      <c r="F2558" s="410"/>
      <c r="H2558" s="269"/>
      <c r="I2558" s="269"/>
      <c r="J2558" s="269"/>
      <c r="K2558" s="269"/>
      <c r="L2558" s="269"/>
      <c r="M2558" s="269"/>
      <c r="N2558" s="269"/>
      <c r="O2558" s="269"/>
      <c r="P2558" s="269"/>
      <c r="Q2558" s="269"/>
      <c r="R2558" s="269"/>
      <c r="S2558" s="269"/>
      <c r="T2558" s="269"/>
      <c r="U2558" s="269"/>
      <c r="V2558" s="269"/>
      <c r="W2558" s="269"/>
      <c r="X2558" s="269"/>
      <c r="Y2558" s="269"/>
      <c r="Z2558" s="269"/>
      <c r="AA2558" s="269"/>
      <c r="AB2558" s="269"/>
      <c r="AC2558" s="269"/>
      <c r="AD2558" s="269"/>
      <c r="AE2558" s="269"/>
      <c r="AF2558" s="269"/>
      <c r="AG2558" s="269"/>
      <c r="AH2558" s="269"/>
      <c r="AI2558" s="269"/>
      <c r="AJ2558" s="269"/>
      <c r="AK2558" s="269"/>
      <c r="AL2558" s="269"/>
      <c r="AM2558" s="269"/>
      <c r="AN2558" s="269"/>
      <c r="AO2558" s="269"/>
      <c r="AP2558" s="269"/>
      <c r="AQ2558" s="269"/>
      <c r="AR2558" s="269"/>
    </row>
    <row r="2559">
      <c r="A2559" s="410"/>
      <c r="B2559" s="410"/>
      <c r="C2559" s="410"/>
      <c r="D2559" s="410"/>
      <c r="E2559" s="410"/>
      <c r="F2559" s="410"/>
      <c r="H2559" s="269"/>
      <c r="I2559" s="269"/>
      <c r="J2559" s="269"/>
      <c r="K2559" s="269"/>
      <c r="L2559" s="269"/>
      <c r="M2559" s="269"/>
      <c r="N2559" s="269"/>
      <c r="O2559" s="269"/>
      <c r="P2559" s="269"/>
      <c r="Q2559" s="269"/>
      <c r="R2559" s="269"/>
      <c r="S2559" s="269"/>
      <c r="T2559" s="269"/>
      <c r="U2559" s="269"/>
      <c r="V2559" s="269"/>
      <c r="W2559" s="269"/>
      <c r="X2559" s="269"/>
      <c r="Y2559" s="269"/>
      <c r="Z2559" s="269"/>
      <c r="AA2559" s="269"/>
      <c r="AB2559" s="269"/>
      <c r="AC2559" s="269"/>
      <c r="AD2559" s="269"/>
      <c r="AE2559" s="269"/>
      <c r="AF2559" s="269"/>
      <c r="AG2559" s="269"/>
      <c r="AH2559" s="269"/>
      <c r="AI2559" s="269"/>
      <c r="AJ2559" s="269"/>
      <c r="AK2559" s="269"/>
      <c r="AL2559" s="269"/>
      <c r="AM2559" s="269"/>
      <c r="AN2559" s="269"/>
      <c r="AO2559" s="269"/>
      <c r="AP2559" s="269"/>
      <c r="AQ2559" s="269"/>
      <c r="AR2559" s="269"/>
    </row>
    <row r="2560">
      <c r="A2560" s="410"/>
      <c r="B2560" s="410"/>
      <c r="C2560" s="410"/>
      <c r="D2560" s="410"/>
      <c r="E2560" s="410"/>
      <c r="F2560" s="410"/>
      <c r="H2560" s="269"/>
      <c r="I2560" s="269"/>
      <c r="J2560" s="269"/>
      <c r="K2560" s="269"/>
      <c r="L2560" s="269"/>
      <c r="M2560" s="269"/>
      <c r="N2560" s="269"/>
      <c r="O2560" s="269"/>
      <c r="P2560" s="269"/>
      <c r="Q2560" s="269"/>
      <c r="R2560" s="269"/>
      <c r="S2560" s="269"/>
      <c r="T2560" s="269"/>
      <c r="U2560" s="269"/>
      <c r="V2560" s="269"/>
      <c r="W2560" s="269"/>
      <c r="X2560" s="269"/>
      <c r="Y2560" s="269"/>
      <c r="Z2560" s="269"/>
      <c r="AA2560" s="269"/>
      <c r="AB2560" s="269"/>
      <c r="AC2560" s="269"/>
      <c r="AD2560" s="269"/>
      <c r="AE2560" s="269"/>
      <c r="AF2560" s="269"/>
      <c r="AG2560" s="269"/>
      <c r="AH2560" s="269"/>
      <c r="AI2560" s="269"/>
      <c r="AJ2560" s="269"/>
      <c r="AK2560" s="269"/>
      <c r="AL2560" s="269"/>
      <c r="AM2560" s="269"/>
      <c r="AN2560" s="269"/>
      <c r="AO2560" s="269"/>
      <c r="AP2560" s="269"/>
      <c r="AQ2560" s="269"/>
      <c r="AR2560" s="269"/>
    </row>
    <row r="2561">
      <c r="A2561" s="410"/>
      <c r="B2561" s="410"/>
      <c r="C2561" s="410"/>
      <c r="D2561" s="410"/>
      <c r="E2561" s="410"/>
      <c r="F2561" s="410"/>
      <c r="H2561" s="269"/>
      <c r="I2561" s="269"/>
      <c r="J2561" s="269"/>
      <c r="K2561" s="269"/>
      <c r="L2561" s="269"/>
      <c r="M2561" s="269"/>
      <c r="N2561" s="269"/>
      <c r="O2561" s="269"/>
      <c r="P2561" s="269"/>
      <c r="Q2561" s="269"/>
      <c r="R2561" s="269"/>
      <c r="S2561" s="269"/>
      <c r="T2561" s="269"/>
      <c r="U2561" s="269"/>
      <c r="V2561" s="269"/>
      <c r="W2561" s="269"/>
      <c r="X2561" s="269"/>
      <c r="Y2561" s="269"/>
      <c r="Z2561" s="269"/>
      <c r="AA2561" s="269"/>
      <c r="AB2561" s="269"/>
      <c r="AC2561" s="269"/>
      <c r="AD2561" s="269"/>
      <c r="AE2561" s="269"/>
      <c r="AF2561" s="269"/>
      <c r="AG2561" s="269"/>
      <c r="AH2561" s="269"/>
      <c r="AI2561" s="269"/>
      <c r="AJ2561" s="269"/>
      <c r="AK2561" s="269"/>
      <c r="AL2561" s="269"/>
      <c r="AM2561" s="269"/>
      <c r="AN2561" s="269"/>
      <c r="AO2561" s="269"/>
      <c r="AP2561" s="269"/>
      <c r="AQ2561" s="269"/>
      <c r="AR2561" s="269"/>
    </row>
    <row r="2562">
      <c r="A2562" s="410"/>
      <c r="B2562" s="410"/>
      <c r="C2562" s="410"/>
      <c r="D2562" s="410"/>
      <c r="E2562" s="410"/>
      <c r="F2562" s="410"/>
      <c r="H2562" s="269"/>
      <c r="I2562" s="269"/>
      <c r="J2562" s="269"/>
      <c r="K2562" s="269"/>
      <c r="L2562" s="269"/>
      <c r="M2562" s="269"/>
      <c r="N2562" s="269"/>
      <c r="O2562" s="269"/>
      <c r="P2562" s="269"/>
      <c r="Q2562" s="269"/>
      <c r="R2562" s="269"/>
      <c r="S2562" s="269"/>
      <c r="T2562" s="269"/>
      <c r="U2562" s="269"/>
      <c r="V2562" s="269"/>
      <c r="W2562" s="269"/>
      <c r="X2562" s="269"/>
      <c r="Y2562" s="269"/>
      <c r="Z2562" s="269"/>
      <c r="AA2562" s="269"/>
      <c r="AB2562" s="269"/>
      <c r="AC2562" s="269"/>
      <c r="AD2562" s="269"/>
      <c r="AE2562" s="269"/>
      <c r="AF2562" s="269"/>
      <c r="AG2562" s="269"/>
      <c r="AH2562" s="269"/>
      <c r="AI2562" s="269"/>
      <c r="AJ2562" s="269"/>
      <c r="AK2562" s="269"/>
      <c r="AL2562" s="269"/>
      <c r="AM2562" s="269"/>
      <c r="AN2562" s="269"/>
      <c r="AO2562" s="269"/>
      <c r="AP2562" s="269"/>
      <c r="AQ2562" s="269"/>
      <c r="AR2562" s="269"/>
    </row>
    <row r="2563">
      <c r="A2563" s="410"/>
      <c r="B2563" s="410"/>
      <c r="C2563" s="410"/>
      <c r="D2563" s="410"/>
      <c r="E2563" s="410"/>
      <c r="F2563" s="410"/>
      <c r="H2563" s="269"/>
      <c r="I2563" s="269"/>
      <c r="J2563" s="269"/>
      <c r="K2563" s="269"/>
      <c r="L2563" s="269"/>
      <c r="M2563" s="269"/>
      <c r="N2563" s="269"/>
      <c r="O2563" s="269"/>
      <c r="P2563" s="269"/>
      <c r="Q2563" s="269"/>
      <c r="R2563" s="269"/>
      <c r="S2563" s="269"/>
      <c r="T2563" s="269"/>
      <c r="U2563" s="269"/>
      <c r="V2563" s="269"/>
      <c r="W2563" s="269"/>
      <c r="X2563" s="269"/>
      <c r="Y2563" s="269"/>
      <c r="Z2563" s="269"/>
      <c r="AA2563" s="269"/>
      <c r="AB2563" s="269"/>
      <c r="AC2563" s="269"/>
      <c r="AD2563" s="269"/>
      <c r="AE2563" s="269"/>
      <c r="AF2563" s="269"/>
      <c r="AG2563" s="269"/>
      <c r="AH2563" s="269"/>
      <c r="AI2563" s="269"/>
      <c r="AJ2563" s="269"/>
      <c r="AK2563" s="269"/>
      <c r="AL2563" s="269"/>
      <c r="AM2563" s="269"/>
      <c r="AN2563" s="269"/>
      <c r="AO2563" s="269"/>
      <c r="AP2563" s="269"/>
      <c r="AQ2563" s="269"/>
      <c r="AR2563" s="269"/>
    </row>
    <row r="2564">
      <c r="A2564" s="410"/>
      <c r="B2564" s="410"/>
      <c r="C2564" s="410"/>
      <c r="D2564" s="410"/>
      <c r="E2564" s="410"/>
      <c r="F2564" s="410"/>
      <c r="H2564" s="269"/>
      <c r="I2564" s="269"/>
      <c r="J2564" s="269"/>
      <c r="K2564" s="269"/>
      <c r="L2564" s="269"/>
      <c r="M2564" s="269"/>
      <c r="N2564" s="269"/>
      <c r="O2564" s="269"/>
      <c r="P2564" s="269"/>
      <c r="Q2564" s="269"/>
      <c r="R2564" s="269"/>
      <c r="S2564" s="269"/>
      <c r="T2564" s="269"/>
      <c r="U2564" s="269"/>
      <c r="V2564" s="269"/>
      <c r="W2564" s="269"/>
      <c r="X2564" s="269"/>
      <c r="Y2564" s="269"/>
      <c r="Z2564" s="269"/>
      <c r="AA2564" s="269"/>
      <c r="AB2564" s="269"/>
      <c r="AC2564" s="269"/>
      <c r="AD2564" s="269"/>
      <c r="AE2564" s="269"/>
      <c r="AF2564" s="269"/>
      <c r="AG2564" s="269"/>
      <c r="AH2564" s="269"/>
      <c r="AI2564" s="269"/>
      <c r="AJ2564" s="269"/>
      <c r="AK2564" s="269"/>
      <c r="AL2564" s="269"/>
      <c r="AM2564" s="269"/>
      <c r="AN2564" s="269"/>
      <c r="AO2564" s="269"/>
      <c r="AP2564" s="269"/>
      <c r="AQ2564" s="269"/>
      <c r="AR2564" s="269"/>
    </row>
    <row r="2565">
      <c r="A2565" s="410"/>
      <c r="B2565" s="410"/>
      <c r="C2565" s="410"/>
      <c r="D2565" s="410"/>
      <c r="E2565" s="410"/>
      <c r="F2565" s="410"/>
      <c r="H2565" s="269"/>
      <c r="I2565" s="269"/>
      <c r="J2565" s="269"/>
      <c r="K2565" s="269"/>
      <c r="L2565" s="269"/>
      <c r="M2565" s="269"/>
      <c r="N2565" s="269"/>
      <c r="O2565" s="269"/>
      <c r="P2565" s="269"/>
      <c r="Q2565" s="269"/>
      <c r="R2565" s="269"/>
      <c r="S2565" s="269"/>
      <c r="T2565" s="269"/>
      <c r="U2565" s="269"/>
      <c r="V2565" s="269"/>
      <c r="W2565" s="269"/>
      <c r="X2565" s="269"/>
      <c r="Y2565" s="269"/>
      <c r="Z2565" s="269"/>
      <c r="AA2565" s="269"/>
      <c r="AB2565" s="269"/>
      <c r="AC2565" s="269"/>
      <c r="AD2565" s="269"/>
      <c r="AE2565" s="269"/>
      <c r="AF2565" s="269"/>
      <c r="AG2565" s="269"/>
      <c r="AH2565" s="269"/>
      <c r="AI2565" s="269"/>
      <c r="AJ2565" s="269"/>
      <c r="AK2565" s="269"/>
      <c r="AL2565" s="269"/>
      <c r="AM2565" s="269"/>
      <c r="AN2565" s="269"/>
      <c r="AO2565" s="269"/>
      <c r="AP2565" s="269"/>
      <c r="AQ2565" s="269"/>
      <c r="AR2565" s="269"/>
    </row>
    <row r="2566">
      <c r="A2566" s="410"/>
      <c r="B2566" s="410"/>
      <c r="C2566" s="410"/>
      <c r="D2566" s="410"/>
      <c r="E2566" s="410"/>
      <c r="F2566" s="410"/>
      <c r="H2566" s="269"/>
      <c r="I2566" s="269"/>
      <c r="J2566" s="269"/>
      <c r="K2566" s="269"/>
      <c r="L2566" s="269"/>
      <c r="M2566" s="269"/>
      <c r="N2566" s="269"/>
      <c r="O2566" s="269"/>
      <c r="P2566" s="269"/>
      <c r="Q2566" s="269"/>
      <c r="R2566" s="269"/>
      <c r="S2566" s="269"/>
      <c r="T2566" s="269"/>
      <c r="U2566" s="269"/>
      <c r="V2566" s="269"/>
      <c r="W2566" s="269"/>
      <c r="X2566" s="269"/>
      <c r="Y2566" s="269"/>
      <c r="Z2566" s="269"/>
      <c r="AA2566" s="269"/>
      <c r="AB2566" s="269"/>
      <c r="AC2566" s="269"/>
      <c r="AD2566" s="269"/>
      <c r="AE2566" s="269"/>
      <c r="AF2566" s="269"/>
      <c r="AG2566" s="269"/>
      <c r="AH2566" s="269"/>
      <c r="AI2566" s="269"/>
      <c r="AJ2566" s="269"/>
      <c r="AK2566" s="269"/>
      <c r="AL2566" s="269"/>
      <c r="AM2566" s="269"/>
      <c r="AN2566" s="269"/>
      <c r="AO2566" s="269"/>
      <c r="AP2566" s="269"/>
      <c r="AQ2566" s="269"/>
      <c r="AR2566" s="269"/>
    </row>
    <row r="2567">
      <c r="A2567" s="410"/>
      <c r="B2567" s="410"/>
      <c r="C2567" s="410"/>
      <c r="D2567" s="410"/>
      <c r="E2567" s="410"/>
      <c r="F2567" s="410"/>
      <c r="H2567" s="269"/>
      <c r="I2567" s="269"/>
      <c r="J2567" s="269"/>
      <c r="K2567" s="269"/>
      <c r="L2567" s="269"/>
      <c r="M2567" s="269"/>
      <c r="N2567" s="269"/>
      <c r="O2567" s="269"/>
      <c r="P2567" s="269"/>
      <c r="Q2567" s="269"/>
      <c r="R2567" s="269"/>
      <c r="S2567" s="269"/>
      <c r="T2567" s="269"/>
      <c r="U2567" s="269"/>
      <c r="V2567" s="269"/>
      <c r="W2567" s="269"/>
      <c r="X2567" s="269"/>
      <c r="Y2567" s="269"/>
      <c r="Z2567" s="269"/>
      <c r="AA2567" s="269"/>
      <c r="AB2567" s="269"/>
      <c r="AC2567" s="269"/>
      <c r="AD2567" s="269"/>
      <c r="AE2567" s="269"/>
      <c r="AF2567" s="269"/>
      <c r="AG2567" s="269"/>
      <c r="AH2567" s="269"/>
      <c r="AI2567" s="269"/>
      <c r="AJ2567" s="269"/>
      <c r="AK2567" s="269"/>
      <c r="AL2567" s="269"/>
      <c r="AM2567" s="269"/>
      <c r="AN2567" s="269"/>
      <c r="AO2567" s="269"/>
      <c r="AP2567" s="269"/>
      <c r="AQ2567" s="269"/>
      <c r="AR2567" s="269"/>
    </row>
    <row r="2568">
      <c r="A2568" s="410"/>
      <c r="B2568" s="410"/>
      <c r="C2568" s="410"/>
      <c r="D2568" s="410"/>
      <c r="E2568" s="410"/>
      <c r="F2568" s="410"/>
      <c r="H2568" s="269"/>
      <c r="I2568" s="269"/>
      <c r="J2568" s="269"/>
      <c r="K2568" s="269"/>
      <c r="L2568" s="269"/>
      <c r="M2568" s="269"/>
      <c r="N2568" s="269"/>
      <c r="O2568" s="269"/>
      <c r="P2568" s="269"/>
      <c r="Q2568" s="269"/>
      <c r="R2568" s="269"/>
      <c r="S2568" s="269"/>
      <c r="T2568" s="269"/>
      <c r="U2568" s="269"/>
      <c r="V2568" s="269"/>
      <c r="W2568" s="269"/>
      <c r="X2568" s="269"/>
      <c r="Y2568" s="269"/>
      <c r="Z2568" s="269"/>
      <c r="AA2568" s="269"/>
      <c r="AB2568" s="269"/>
      <c r="AC2568" s="269"/>
      <c r="AD2568" s="269"/>
      <c r="AE2568" s="269"/>
      <c r="AF2568" s="269"/>
      <c r="AG2568" s="269"/>
      <c r="AH2568" s="269"/>
      <c r="AI2568" s="269"/>
      <c r="AJ2568" s="269"/>
      <c r="AK2568" s="269"/>
      <c r="AL2568" s="269"/>
      <c r="AM2568" s="269"/>
      <c r="AN2568" s="269"/>
      <c r="AO2568" s="269"/>
      <c r="AP2568" s="269"/>
      <c r="AQ2568" s="269"/>
      <c r="AR2568" s="269"/>
    </row>
    <row r="2569">
      <c r="A2569" s="410"/>
      <c r="B2569" s="410"/>
      <c r="C2569" s="410"/>
      <c r="D2569" s="410"/>
      <c r="E2569" s="410"/>
      <c r="F2569" s="410"/>
      <c r="H2569" s="269"/>
      <c r="I2569" s="269"/>
      <c r="J2569" s="269"/>
      <c r="K2569" s="269"/>
      <c r="L2569" s="269"/>
      <c r="M2569" s="269"/>
      <c r="N2569" s="269"/>
      <c r="O2569" s="269"/>
      <c r="P2569" s="269"/>
      <c r="Q2569" s="269"/>
      <c r="R2569" s="269"/>
      <c r="S2569" s="269"/>
      <c r="T2569" s="269"/>
      <c r="U2569" s="269"/>
      <c r="V2569" s="269"/>
      <c r="W2569" s="269"/>
      <c r="X2569" s="269"/>
      <c r="Y2569" s="269"/>
      <c r="Z2569" s="269"/>
      <c r="AA2569" s="269"/>
      <c r="AB2569" s="269"/>
      <c r="AC2569" s="269"/>
      <c r="AD2569" s="269"/>
      <c r="AE2569" s="269"/>
      <c r="AF2569" s="269"/>
      <c r="AG2569" s="269"/>
      <c r="AH2569" s="269"/>
      <c r="AI2569" s="269"/>
      <c r="AJ2569" s="269"/>
      <c r="AK2569" s="269"/>
      <c r="AL2569" s="269"/>
      <c r="AM2569" s="269"/>
      <c r="AN2569" s="269"/>
      <c r="AO2569" s="269"/>
      <c r="AP2569" s="269"/>
      <c r="AQ2569" s="269"/>
      <c r="AR2569" s="269"/>
    </row>
    <row r="2570">
      <c r="A2570" s="410"/>
      <c r="B2570" s="410"/>
      <c r="C2570" s="410"/>
      <c r="D2570" s="410"/>
      <c r="E2570" s="410"/>
      <c r="F2570" s="410"/>
      <c r="H2570" s="269"/>
      <c r="I2570" s="269"/>
      <c r="J2570" s="269"/>
      <c r="K2570" s="269"/>
      <c r="L2570" s="269"/>
      <c r="M2570" s="269"/>
      <c r="N2570" s="269"/>
      <c r="O2570" s="269"/>
      <c r="P2570" s="269"/>
      <c r="Q2570" s="269"/>
      <c r="R2570" s="269"/>
      <c r="S2570" s="269"/>
      <c r="T2570" s="269"/>
      <c r="U2570" s="269"/>
      <c r="V2570" s="269"/>
      <c r="W2570" s="269"/>
      <c r="X2570" s="269"/>
      <c r="Y2570" s="269"/>
      <c r="Z2570" s="269"/>
      <c r="AA2570" s="269"/>
      <c r="AB2570" s="269"/>
      <c r="AC2570" s="269"/>
      <c r="AD2570" s="269"/>
      <c r="AE2570" s="269"/>
      <c r="AF2570" s="269"/>
      <c r="AG2570" s="269"/>
      <c r="AH2570" s="269"/>
      <c r="AI2570" s="269"/>
      <c r="AJ2570" s="269"/>
      <c r="AK2570" s="269"/>
      <c r="AL2570" s="269"/>
      <c r="AM2570" s="269"/>
      <c r="AN2570" s="269"/>
      <c r="AO2570" s="269"/>
      <c r="AP2570" s="269"/>
      <c r="AQ2570" s="269"/>
      <c r="AR2570" s="269"/>
    </row>
    <row r="2571">
      <c r="A2571" s="410"/>
      <c r="B2571" s="410"/>
      <c r="C2571" s="410"/>
      <c r="D2571" s="410"/>
      <c r="E2571" s="410"/>
      <c r="F2571" s="410"/>
      <c r="H2571" s="269"/>
      <c r="I2571" s="269"/>
      <c r="J2571" s="269"/>
      <c r="K2571" s="269"/>
      <c r="L2571" s="269"/>
      <c r="M2571" s="269"/>
      <c r="N2571" s="269"/>
      <c r="O2571" s="269"/>
      <c r="P2571" s="269"/>
      <c r="Q2571" s="269"/>
      <c r="R2571" s="269"/>
      <c r="S2571" s="269"/>
      <c r="T2571" s="269"/>
      <c r="U2571" s="269"/>
      <c r="V2571" s="269"/>
      <c r="W2571" s="269"/>
      <c r="X2571" s="269"/>
      <c r="Y2571" s="269"/>
      <c r="Z2571" s="269"/>
      <c r="AA2571" s="269"/>
      <c r="AB2571" s="269"/>
      <c r="AC2571" s="269"/>
      <c r="AD2571" s="269"/>
      <c r="AE2571" s="269"/>
      <c r="AF2571" s="269"/>
      <c r="AG2571" s="269"/>
      <c r="AH2571" s="269"/>
      <c r="AI2571" s="269"/>
      <c r="AJ2571" s="269"/>
      <c r="AK2571" s="269"/>
      <c r="AL2571" s="269"/>
      <c r="AM2571" s="269"/>
      <c r="AN2571" s="269"/>
      <c r="AO2571" s="269"/>
      <c r="AP2571" s="269"/>
      <c r="AQ2571" s="269"/>
      <c r="AR2571" s="269"/>
    </row>
    <row r="2572">
      <c r="A2572" s="410"/>
      <c r="B2572" s="410"/>
      <c r="C2572" s="410"/>
      <c r="D2572" s="410"/>
      <c r="E2572" s="410"/>
      <c r="F2572" s="410"/>
      <c r="H2572" s="269"/>
      <c r="I2572" s="269"/>
      <c r="J2572" s="269"/>
      <c r="K2572" s="269"/>
      <c r="L2572" s="269"/>
      <c r="M2572" s="269"/>
      <c r="N2572" s="269"/>
      <c r="O2572" s="269"/>
      <c r="P2572" s="269"/>
      <c r="Q2572" s="269"/>
      <c r="R2572" s="269"/>
      <c r="S2572" s="269"/>
      <c r="T2572" s="269"/>
      <c r="U2572" s="269"/>
      <c r="V2572" s="269"/>
      <c r="W2572" s="269"/>
      <c r="X2572" s="269"/>
      <c r="Y2572" s="269"/>
      <c r="Z2572" s="269"/>
      <c r="AA2572" s="269"/>
      <c r="AB2572" s="269"/>
      <c r="AC2572" s="269"/>
      <c r="AD2572" s="269"/>
      <c r="AE2572" s="269"/>
      <c r="AF2572" s="269"/>
      <c r="AG2572" s="269"/>
      <c r="AH2572" s="269"/>
      <c r="AI2572" s="269"/>
      <c r="AJ2572" s="269"/>
      <c r="AK2572" s="269"/>
      <c r="AL2572" s="269"/>
      <c r="AM2572" s="269"/>
      <c r="AN2572" s="269"/>
      <c r="AO2572" s="269"/>
      <c r="AP2572" s="269"/>
      <c r="AQ2572" s="269"/>
      <c r="AR2572" s="269"/>
    </row>
    <row r="2573">
      <c r="A2573" s="410"/>
      <c r="B2573" s="410"/>
      <c r="C2573" s="410"/>
      <c r="D2573" s="410"/>
      <c r="E2573" s="410"/>
      <c r="F2573" s="410"/>
      <c r="H2573" s="269"/>
      <c r="I2573" s="269"/>
      <c r="J2573" s="269"/>
      <c r="K2573" s="269"/>
      <c r="L2573" s="269"/>
      <c r="M2573" s="269"/>
      <c r="N2573" s="269"/>
      <c r="O2573" s="269"/>
      <c r="P2573" s="269"/>
      <c r="Q2573" s="269"/>
      <c r="R2573" s="269"/>
      <c r="S2573" s="269"/>
      <c r="T2573" s="269"/>
      <c r="U2573" s="269"/>
      <c r="V2573" s="269"/>
      <c r="W2573" s="269"/>
      <c r="X2573" s="269"/>
      <c r="Y2573" s="269"/>
      <c r="Z2573" s="269"/>
      <c r="AA2573" s="269"/>
      <c r="AB2573" s="269"/>
      <c r="AC2573" s="269"/>
      <c r="AD2573" s="269"/>
      <c r="AE2573" s="269"/>
      <c r="AF2573" s="269"/>
      <c r="AG2573" s="269"/>
      <c r="AH2573" s="269"/>
      <c r="AI2573" s="269"/>
      <c r="AJ2573" s="269"/>
      <c r="AK2573" s="269"/>
      <c r="AL2573" s="269"/>
      <c r="AM2573" s="269"/>
      <c r="AN2573" s="269"/>
      <c r="AO2573" s="269"/>
      <c r="AP2573" s="269"/>
      <c r="AQ2573" s="269"/>
      <c r="AR2573" s="269"/>
    </row>
    <row r="2574">
      <c r="A2574" s="410"/>
      <c r="B2574" s="410"/>
      <c r="C2574" s="410"/>
      <c r="D2574" s="410"/>
      <c r="E2574" s="410"/>
      <c r="F2574" s="410"/>
      <c r="H2574" s="269"/>
      <c r="I2574" s="269"/>
      <c r="J2574" s="269"/>
      <c r="K2574" s="269"/>
      <c r="L2574" s="269"/>
      <c r="M2574" s="269"/>
      <c r="N2574" s="269"/>
      <c r="O2574" s="269"/>
      <c r="P2574" s="269"/>
      <c r="Q2574" s="269"/>
      <c r="R2574" s="269"/>
      <c r="S2574" s="269"/>
      <c r="T2574" s="269"/>
      <c r="U2574" s="269"/>
      <c r="V2574" s="269"/>
      <c r="W2574" s="269"/>
      <c r="X2574" s="269"/>
      <c r="Y2574" s="269"/>
      <c r="Z2574" s="269"/>
      <c r="AA2574" s="269"/>
      <c r="AB2574" s="269"/>
      <c r="AC2574" s="269"/>
      <c r="AD2574" s="269"/>
      <c r="AE2574" s="269"/>
      <c r="AF2574" s="269"/>
      <c r="AG2574" s="269"/>
      <c r="AH2574" s="269"/>
      <c r="AI2574" s="269"/>
      <c r="AJ2574" s="269"/>
      <c r="AK2574" s="269"/>
      <c r="AL2574" s="269"/>
      <c r="AM2574" s="269"/>
      <c r="AN2574" s="269"/>
      <c r="AO2574" s="269"/>
      <c r="AP2574" s="269"/>
      <c r="AQ2574" s="269"/>
      <c r="AR2574" s="269"/>
    </row>
    <row r="2575">
      <c r="A2575" s="410"/>
      <c r="B2575" s="410"/>
      <c r="C2575" s="410"/>
      <c r="D2575" s="410"/>
      <c r="E2575" s="410"/>
      <c r="F2575" s="410"/>
      <c r="H2575" s="269"/>
      <c r="I2575" s="269"/>
      <c r="J2575" s="269"/>
      <c r="K2575" s="269"/>
      <c r="L2575" s="269"/>
      <c r="M2575" s="269"/>
      <c r="N2575" s="269"/>
      <c r="O2575" s="269"/>
      <c r="P2575" s="269"/>
      <c r="Q2575" s="269"/>
      <c r="R2575" s="269"/>
      <c r="S2575" s="269"/>
      <c r="T2575" s="269"/>
      <c r="U2575" s="269"/>
      <c r="V2575" s="269"/>
      <c r="W2575" s="269"/>
      <c r="X2575" s="269"/>
      <c r="Y2575" s="269"/>
      <c r="Z2575" s="269"/>
      <c r="AA2575" s="269"/>
      <c r="AB2575" s="269"/>
      <c r="AC2575" s="269"/>
      <c r="AD2575" s="269"/>
      <c r="AE2575" s="269"/>
      <c r="AF2575" s="269"/>
      <c r="AG2575" s="269"/>
      <c r="AH2575" s="269"/>
      <c r="AI2575" s="269"/>
      <c r="AJ2575" s="269"/>
      <c r="AK2575" s="269"/>
      <c r="AL2575" s="269"/>
      <c r="AM2575" s="269"/>
      <c r="AN2575" s="269"/>
      <c r="AO2575" s="269"/>
      <c r="AP2575" s="269"/>
      <c r="AQ2575" s="269"/>
      <c r="AR2575" s="269"/>
    </row>
    <row r="2576">
      <c r="A2576" s="410"/>
      <c r="B2576" s="410"/>
      <c r="C2576" s="410"/>
      <c r="D2576" s="410"/>
      <c r="E2576" s="410"/>
      <c r="F2576" s="410"/>
      <c r="H2576" s="269"/>
      <c r="I2576" s="269"/>
      <c r="J2576" s="269"/>
      <c r="K2576" s="269"/>
      <c r="L2576" s="269"/>
      <c r="M2576" s="269"/>
      <c r="N2576" s="269"/>
      <c r="O2576" s="269"/>
      <c r="P2576" s="269"/>
      <c r="Q2576" s="269"/>
      <c r="R2576" s="269"/>
      <c r="S2576" s="269"/>
      <c r="T2576" s="269"/>
      <c r="U2576" s="269"/>
      <c r="V2576" s="269"/>
      <c r="W2576" s="269"/>
      <c r="X2576" s="269"/>
      <c r="Y2576" s="269"/>
      <c r="Z2576" s="269"/>
      <c r="AA2576" s="269"/>
      <c r="AB2576" s="269"/>
      <c r="AC2576" s="269"/>
      <c r="AD2576" s="269"/>
      <c r="AE2576" s="269"/>
      <c r="AF2576" s="269"/>
      <c r="AG2576" s="269"/>
      <c r="AH2576" s="269"/>
      <c r="AI2576" s="269"/>
      <c r="AJ2576" s="269"/>
      <c r="AK2576" s="269"/>
      <c r="AL2576" s="269"/>
      <c r="AM2576" s="269"/>
      <c r="AN2576" s="269"/>
      <c r="AO2576" s="269"/>
      <c r="AP2576" s="269"/>
      <c r="AQ2576" s="269"/>
      <c r="AR2576" s="269"/>
    </row>
    <row r="2577">
      <c r="A2577" s="410"/>
      <c r="B2577" s="410"/>
      <c r="C2577" s="410"/>
      <c r="D2577" s="410"/>
      <c r="E2577" s="410"/>
      <c r="F2577" s="410"/>
      <c r="H2577" s="269"/>
      <c r="I2577" s="269"/>
      <c r="J2577" s="269"/>
      <c r="K2577" s="269"/>
      <c r="L2577" s="269"/>
      <c r="M2577" s="269"/>
      <c r="N2577" s="269"/>
      <c r="O2577" s="269"/>
      <c r="P2577" s="269"/>
      <c r="Q2577" s="269"/>
      <c r="R2577" s="269"/>
      <c r="S2577" s="269"/>
      <c r="T2577" s="269"/>
      <c r="U2577" s="269"/>
      <c r="V2577" s="269"/>
      <c r="W2577" s="269"/>
      <c r="X2577" s="269"/>
      <c r="Y2577" s="269"/>
      <c r="Z2577" s="269"/>
      <c r="AA2577" s="269"/>
      <c r="AB2577" s="269"/>
      <c r="AC2577" s="269"/>
      <c r="AD2577" s="269"/>
      <c r="AE2577" s="269"/>
      <c r="AF2577" s="269"/>
      <c r="AG2577" s="269"/>
      <c r="AH2577" s="269"/>
      <c r="AI2577" s="269"/>
      <c r="AJ2577" s="269"/>
      <c r="AK2577" s="269"/>
      <c r="AL2577" s="269"/>
      <c r="AM2577" s="269"/>
      <c r="AN2577" s="269"/>
      <c r="AO2577" s="269"/>
      <c r="AP2577" s="269"/>
      <c r="AQ2577" s="269"/>
      <c r="AR2577" s="269"/>
    </row>
    <row r="2578">
      <c r="A2578" s="410"/>
      <c r="B2578" s="410"/>
      <c r="C2578" s="410"/>
      <c r="D2578" s="410"/>
      <c r="E2578" s="410"/>
      <c r="F2578" s="410"/>
      <c r="H2578" s="269"/>
      <c r="I2578" s="269"/>
      <c r="J2578" s="269"/>
      <c r="K2578" s="269"/>
      <c r="L2578" s="269"/>
      <c r="M2578" s="269"/>
      <c r="N2578" s="269"/>
      <c r="O2578" s="269"/>
      <c r="P2578" s="269"/>
      <c r="Q2578" s="269"/>
      <c r="R2578" s="269"/>
      <c r="S2578" s="269"/>
      <c r="T2578" s="269"/>
      <c r="U2578" s="269"/>
      <c r="V2578" s="269"/>
      <c r="W2578" s="269"/>
      <c r="X2578" s="269"/>
      <c r="Y2578" s="269"/>
      <c r="Z2578" s="269"/>
      <c r="AA2578" s="269"/>
      <c r="AB2578" s="269"/>
      <c r="AC2578" s="269"/>
      <c r="AD2578" s="269"/>
      <c r="AE2578" s="269"/>
      <c r="AF2578" s="269"/>
      <c r="AG2578" s="269"/>
      <c r="AH2578" s="269"/>
      <c r="AI2578" s="269"/>
      <c r="AJ2578" s="269"/>
      <c r="AK2578" s="269"/>
      <c r="AL2578" s="269"/>
      <c r="AM2578" s="269"/>
      <c r="AN2578" s="269"/>
      <c r="AO2578" s="269"/>
      <c r="AP2578" s="269"/>
      <c r="AQ2578" s="269"/>
      <c r="AR2578" s="269"/>
    </row>
    <row r="2579">
      <c r="A2579" s="410"/>
      <c r="B2579" s="410"/>
      <c r="C2579" s="410"/>
      <c r="D2579" s="410"/>
      <c r="E2579" s="410"/>
      <c r="F2579" s="410"/>
      <c r="H2579" s="269"/>
      <c r="I2579" s="269"/>
      <c r="J2579" s="269"/>
      <c r="K2579" s="269"/>
      <c r="L2579" s="269"/>
      <c r="M2579" s="269"/>
      <c r="N2579" s="269"/>
      <c r="O2579" s="269"/>
      <c r="P2579" s="269"/>
      <c r="Q2579" s="269"/>
      <c r="R2579" s="269"/>
      <c r="S2579" s="269"/>
      <c r="T2579" s="269"/>
      <c r="U2579" s="269"/>
      <c r="V2579" s="269"/>
      <c r="W2579" s="269"/>
      <c r="X2579" s="269"/>
      <c r="Y2579" s="269"/>
      <c r="Z2579" s="269"/>
      <c r="AA2579" s="269"/>
      <c r="AB2579" s="269"/>
      <c r="AC2579" s="269"/>
      <c r="AD2579" s="269"/>
      <c r="AE2579" s="269"/>
      <c r="AF2579" s="269"/>
      <c r="AG2579" s="269"/>
      <c r="AH2579" s="269"/>
      <c r="AI2579" s="269"/>
      <c r="AJ2579" s="269"/>
      <c r="AK2579" s="269"/>
      <c r="AL2579" s="269"/>
      <c r="AM2579" s="269"/>
      <c r="AN2579" s="269"/>
      <c r="AO2579" s="269"/>
      <c r="AP2579" s="269"/>
      <c r="AQ2579" s="269"/>
      <c r="AR2579" s="269"/>
    </row>
    <row r="2580">
      <c r="A2580" s="410"/>
      <c r="B2580" s="410"/>
      <c r="C2580" s="410"/>
      <c r="D2580" s="410"/>
      <c r="E2580" s="410"/>
      <c r="F2580" s="410"/>
      <c r="H2580" s="269"/>
      <c r="I2580" s="269"/>
      <c r="J2580" s="269"/>
      <c r="K2580" s="269"/>
      <c r="L2580" s="269"/>
      <c r="M2580" s="269"/>
      <c r="N2580" s="269"/>
      <c r="O2580" s="269"/>
      <c r="P2580" s="269"/>
      <c r="Q2580" s="269"/>
      <c r="R2580" s="269"/>
      <c r="S2580" s="269"/>
      <c r="T2580" s="269"/>
      <c r="U2580" s="269"/>
      <c r="V2580" s="269"/>
      <c r="W2580" s="269"/>
      <c r="X2580" s="269"/>
      <c r="Y2580" s="269"/>
      <c r="Z2580" s="269"/>
      <c r="AA2580" s="269"/>
      <c r="AB2580" s="269"/>
      <c r="AC2580" s="269"/>
      <c r="AD2580" s="269"/>
      <c r="AE2580" s="269"/>
      <c r="AF2580" s="269"/>
      <c r="AG2580" s="269"/>
      <c r="AH2580" s="269"/>
      <c r="AI2580" s="269"/>
      <c r="AJ2580" s="269"/>
      <c r="AK2580" s="269"/>
      <c r="AL2580" s="269"/>
      <c r="AM2580" s="269"/>
      <c r="AN2580" s="269"/>
      <c r="AO2580" s="269"/>
      <c r="AP2580" s="269"/>
      <c r="AQ2580" s="269"/>
      <c r="AR2580" s="269"/>
    </row>
    <row r="2581">
      <c r="A2581" s="410"/>
      <c r="B2581" s="410"/>
      <c r="C2581" s="410"/>
      <c r="D2581" s="410"/>
      <c r="E2581" s="410"/>
      <c r="F2581" s="410"/>
      <c r="H2581" s="269"/>
      <c r="I2581" s="269"/>
      <c r="J2581" s="269"/>
      <c r="K2581" s="269"/>
      <c r="L2581" s="269"/>
      <c r="M2581" s="269"/>
      <c r="N2581" s="269"/>
      <c r="O2581" s="269"/>
      <c r="P2581" s="269"/>
      <c r="Q2581" s="269"/>
      <c r="R2581" s="269"/>
      <c r="S2581" s="269"/>
      <c r="T2581" s="269"/>
      <c r="U2581" s="269"/>
      <c r="V2581" s="269"/>
      <c r="W2581" s="269"/>
      <c r="X2581" s="269"/>
      <c r="Y2581" s="269"/>
      <c r="Z2581" s="269"/>
      <c r="AA2581" s="269"/>
      <c r="AB2581" s="269"/>
      <c r="AC2581" s="269"/>
      <c r="AD2581" s="269"/>
      <c r="AE2581" s="269"/>
      <c r="AF2581" s="269"/>
      <c r="AG2581" s="269"/>
      <c r="AH2581" s="269"/>
      <c r="AI2581" s="269"/>
      <c r="AJ2581" s="269"/>
      <c r="AK2581" s="269"/>
      <c r="AL2581" s="269"/>
      <c r="AM2581" s="269"/>
      <c r="AN2581" s="269"/>
      <c r="AO2581" s="269"/>
      <c r="AP2581" s="269"/>
      <c r="AQ2581" s="269"/>
      <c r="AR2581" s="269"/>
    </row>
    <row r="2582">
      <c r="A2582" s="410"/>
      <c r="B2582" s="410"/>
      <c r="C2582" s="410"/>
      <c r="D2582" s="410"/>
      <c r="E2582" s="410"/>
      <c r="F2582" s="410"/>
      <c r="H2582" s="269"/>
      <c r="I2582" s="269"/>
      <c r="J2582" s="269"/>
      <c r="K2582" s="269"/>
      <c r="L2582" s="269"/>
      <c r="M2582" s="269"/>
      <c r="N2582" s="269"/>
      <c r="O2582" s="269"/>
      <c r="P2582" s="269"/>
      <c r="Q2582" s="269"/>
      <c r="R2582" s="269"/>
      <c r="S2582" s="269"/>
      <c r="T2582" s="269"/>
      <c r="U2582" s="269"/>
      <c r="V2582" s="269"/>
      <c r="W2582" s="269"/>
      <c r="X2582" s="269"/>
      <c r="Y2582" s="269"/>
      <c r="Z2582" s="269"/>
      <c r="AA2582" s="269"/>
      <c r="AB2582" s="269"/>
      <c r="AC2582" s="269"/>
      <c r="AD2582" s="269"/>
      <c r="AE2582" s="269"/>
      <c r="AF2582" s="269"/>
      <c r="AG2582" s="269"/>
      <c r="AH2582" s="269"/>
      <c r="AI2582" s="269"/>
      <c r="AJ2582" s="269"/>
      <c r="AK2582" s="269"/>
      <c r="AL2582" s="269"/>
      <c r="AM2582" s="269"/>
      <c r="AN2582" s="269"/>
      <c r="AO2582" s="269"/>
      <c r="AP2582" s="269"/>
      <c r="AQ2582" s="269"/>
      <c r="AR2582" s="269"/>
    </row>
    <row r="2583">
      <c r="A2583" s="410"/>
      <c r="B2583" s="410"/>
      <c r="C2583" s="410"/>
      <c r="D2583" s="410"/>
      <c r="E2583" s="410"/>
      <c r="F2583" s="410"/>
      <c r="H2583" s="269"/>
      <c r="I2583" s="269"/>
      <c r="J2583" s="269"/>
      <c r="K2583" s="269"/>
      <c r="L2583" s="269"/>
      <c r="M2583" s="269"/>
      <c r="N2583" s="269"/>
      <c r="O2583" s="269"/>
      <c r="P2583" s="269"/>
      <c r="Q2583" s="269"/>
      <c r="R2583" s="269"/>
      <c r="S2583" s="269"/>
      <c r="T2583" s="269"/>
      <c r="U2583" s="269"/>
      <c r="V2583" s="269"/>
      <c r="W2583" s="269"/>
      <c r="X2583" s="269"/>
      <c r="Y2583" s="269"/>
      <c r="Z2583" s="269"/>
      <c r="AA2583" s="269"/>
      <c r="AB2583" s="269"/>
      <c r="AC2583" s="269"/>
      <c r="AD2583" s="269"/>
      <c r="AE2583" s="269"/>
      <c r="AF2583" s="269"/>
      <c r="AG2583" s="269"/>
      <c r="AH2583" s="269"/>
      <c r="AI2583" s="269"/>
      <c r="AJ2583" s="269"/>
      <c r="AK2583" s="269"/>
      <c r="AL2583" s="269"/>
      <c r="AM2583" s="269"/>
      <c r="AN2583" s="269"/>
      <c r="AO2583" s="269"/>
      <c r="AP2583" s="269"/>
      <c r="AQ2583" s="269"/>
      <c r="AR2583" s="269"/>
    </row>
    <row r="2584">
      <c r="A2584" s="410"/>
      <c r="B2584" s="410"/>
      <c r="C2584" s="410"/>
      <c r="D2584" s="410"/>
      <c r="E2584" s="410"/>
      <c r="F2584" s="410"/>
      <c r="H2584" s="269"/>
      <c r="I2584" s="269"/>
      <c r="J2584" s="269"/>
      <c r="K2584" s="269"/>
      <c r="L2584" s="269"/>
      <c r="M2584" s="269"/>
      <c r="N2584" s="269"/>
      <c r="O2584" s="269"/>
      <c r="P2584" s="269"/>
      <c r="Q2584" s="269"/>
      <c r="R2584" s="269"/>
      <c r="S2584" s="269"/>
      <c r="T2584" s="269"/>
      <c r="U2584" s="269"/>
      <c r="V2584" s="269"/>
      <c r="W2584" s="269"/>
      <c r="X2584" s="269"/>
      <c r="Y2584" s="269"/>
      <c r="Z2584" s="269"/>
      <c r="AA2584" s="269"/>
      <c r="AB2584" s="269"/>
      <c r="AC2584" s="269"/>
      <c r="AD2584" s="269"/>
      <c r="AE2584" s="269"/>
      <c r="AF2584" s="269"/>
      <c r="AG2584" s="269"/>
      <c r="AH2584" s="269"/>
      <c r="AI2584" s="269"/>
      <c r="AJ2584" s="269"/>
      <c r="AK2584" s="269"/>
      <c r="AL2584" s="269"/>
      <c r="AM2584" s="269"/>
      <c r="AN2584" s="269"/>
      <c r="AO2584" s="269"/>
      <c r="AP2584" s="269"/>
      <c r="AQ2584" s="269"/>
      <c r="AR2584" s="269"/>
    </row>
    <row r="2585">
      <c r="A2585" s="410"/>
      <c r="B2585" s="410"/>
      <c r="C2585" s="410"/>
      <c r="D2585" s="410"/>
      <c r="E2585" s="410"/>
      <c r="F2585" s="410"/>
      <c r="H2585" s="269"/>
      <c r="I2585" s="269"/>
      <c r="J2585" s="269"/>
      <c r="K2585" s="269"/>
      <c r="L2585" s="269"/>
      <c r="M2585" s="269"/>
      <c r="N2585" s="269"/>
      <c r="O2585" s="269"/>
      <c r="P2585" s="269"/>
      <c r="Q2585" s="269"/>
      <c r="R2585" s="269"/>
      <c r="S2585" s="269"/>
      <c r="T2585" s="269"/>
      <c r="U2585" s="269"/>
      <c r="V2585" s="269"/>
      <c r="W2585" s="269"/>
      <c r="X2585" s="269"/>
      <c r="Y2585" s="269"/>
      <c r="Z2585" s="269"/>
      <c r="AA2585" s="269"/>
      <c r="AB2585" s="269"/>
      <c r="AC2585" s="269"/>
      <c r="AD2585" s="269"/>
      <c r="AE2585" s="269"/>
      <c r="AF2585" s="269"/>
      <c r="AG2585" s="269"/>
      <c r="AH2585" s="269"/>
      <c r="AI2585" s="269"/>
      <c r="AJ2585" s="269"/>
      <c r="AK2585" s="269"/>
      <c r="AL2585" s="269"/>
      <c r="AM2585" s="269"/>
      <c r="AN2585" s="269"/>
      <c r="AO2585" s="269"/>
      <c r="AP2585" s="269"/>
      <c r="AQ2585" s="269"/>
      <c r="AR2585" s="269"/>
    </row>
    <row r="2586">
      <c r="A2586" s="410"/>
      <c r="B2586" s="410"/>
      <c r="C2586" s="410"/>
      <c r="D2586" s="410"/>
      <c r="E2586" s="410"/>
      <c r="F2586" s="410"/>
      <c r="H2586" s="269"/>
      <c r="I2586" s="269"/>
      <c r="J2586" s="269"/>
      <c r="K2586" s="269"/>
      <c r="L2586" s="269"/>
      <c r="M2586" s="269"/>
      <c r="N2586" s="269"/>
      <c r="O2586" s="269"/>
      <c r="P2586" s="269"/>
      <c r="Q2586" s="269"/>
      <c r="R2586" s="269"/>
      <c r="S2586" s="269"/>
      <c r="T2586" s="269"/>
      <c r="U2586" s="269"/>
      <c r="V2586" s="269"/>
      <c r="W2586" s="269"/>
      <c r="X2586" s="269"/>
      <c r="Y2586" s="269"/>
      <c r="Z2586" s="269"/>
      <c r="AA2586" s="269"/>
      <c r="AB2586" s="269"/>
      <c r="AC2586" s="269"/>
      <c r="AD2586" s="269"/>
      <c r="AE2586" s="269"/>
      <c r="AF2586" s="269"/>
      <c r="AG2586" s="269"/>
      <c r="AH2586" s="269"/>
      <c r="AI2586" s="269"/>
      <c r="AJ2586" s="269"/>
      <c r="AK2586" s="269"/>
      <c r="AL2586" s="269"/>
      <c r="AM2586" s="269"/>
      <c r="AN2586" s="269"/>
      <c r="AO2586" s="269"/>
      <c r="AP2586" s="269"/>
      <c r="AQ2586" s="269"/>
      <c r="AR2586" s="269"/>
    </row>
    <row r="2587">
      <c r="A2587" s="410"/>
      <c r="B2587" s="410"/>
      <c r="C2587" s="410"/>
      <c r="D2587" s="410"/>
      <c r="E2587" s="410"/>
      <c r="F2587" s="410"/>
      <c r="H2587" s="269"/>
      <c r="I2587" s="269"/>
      <c r="J2587" s="269"/>
      <c r="K2587" s="269"/>
      <c r="L2587" s="269"/>
      <c r="M2587" s="269"/>
      <c r="N2587" s="269"/>
      <c r="O2587" s="269"/>
      <c r="P2587" s="269"/>
      <c r="Q2587" s="269"/>
      <c r="R2587" s="269"/>
      <c r="S2587" s="269"/>
      <c r="T2587" s="269"/>
      <c r="U2587" s="269"/>
      <c r="V2587" s="269"/>
      <c r="W2587" s="269"/>
      <c r="X2587" s="269"/>
      <c r="Y2587" s="269"/>
      <c r="Z2587" s="269"/>
      <c r="AA2587" s="269"/>
      <c r="AB2587" s="269"/>
      <c r="AC2587" s="269"/>
      <c r="AD2587" s="269"/>
      <c r="AE2587" s="269"/>
      <c r="AF2587" s="269"/>
      <c r="AG2587" s="269"/>
      <c r="AH2587" s="269"/>
      <c r="AI2587" s="269"/>
      <c r="AJ2587" s="269"/>
      <c r="AK2587" s="269"/>
      <c r="AL2587" s="269"/>
      <c r="AM2587" s="269"/>
      <c r="AN2587" s="269"/>
      <c r="AO2587" s="269"/>
      <c r="AP2587" s="269"/>
      <c r="AQ2587" s="269"/>
      <c r="AR2587" s="269"/>
    </row>
    <row r="2588">
      <c r="A2588" s="410"/>
      <c r="B2588" s="410"/>
      <c r="C2588" s="410"/>
      <c r="D2588" s="410"/>
      <c r="E2588" s="410"/>
      <c r="F2588" s="410"/>
      <c r="H2588" s="269"/>
      <c r="I2588" s="269"/>
      <c r="J2588" s="269"/>
      <c r="K2588" s="269"/>
      <c r="L2588" s="269"/>
      <c r="M2588" s="269"/>
      <c r="N2588" s="269"/>
      <c r="O2588" s="269"/>
      <c r="P2588" s="269"/>
      <c r="Q2588" s="269"/>
      <c r="R2588" s="269"/>
      <c r="S2588" s="269"/>
      <c r="T2588" s="269"/>
      <c r="U2588" s="269"/>
      <c r="V2588" s="269"/>
      <c r="W2588" s="269"/>
      <c r="X2588" s="269"/>
      <c r="Y2588" s="269"/>
      <c r="Z2588" s="269"/>
      <c r="AA2588" s="269"/>
      <c r="AB2588" s="269"/>
      <c r="AC2588" s="269"/>
      <c r="AD2588" s="269"/>
      <c r="AE2588" s="269"/>
      <c r="AF2588" s="269"/>
      <c r="AG2588" s="269"/>
      <c r="AH2588" s="269"/>
      <c r="AI2588" s="269"/>
      <c r="AJ2588" s="269"/>
      <c r="AK2588" s="269"/>
      <c r="AL2588" s="269"/>
      <c r="AM2588" s="269"/>
      <c r="AN2588" s="269"/>
      <c r="AO2588" s="269"/>
      <c r="AP2588" s="269"/>
      <c r="AQ2588" s="269"/>
      <c r="AR2588" s="269"/>
    </row>
    <row r="2589">
      <c r="A2589" s="410"/>
      <c r="B2589" s="410"/>
      <c r="C2589" s="410"/>
      <c r="D2589" s="410"/>
      <c r="E2589" s="410"/>
      <c r="F2589" s="410"/>
      <c r="H2589" s="269"/>
      <c r="I2589" s="269"/>
      <c r="J2589" s="269"/>
      <c r="K2589" s="269"/>
      <c r="L2589" s="269"/>
      <c r="M2589" s="269"/>
      <c r="N2589" s="269"/>
      <c r="O2589" s="269"/>
      <c r="P2589" s="269"/>
      <c r="Q2589" s="269"/>
      <c r="R2589" s="269"/>
      <c r="S2589" s="269"/>
      <c r="T2589" s="269"/>
      <c r="U2589" s="269"/>
      <c r="V2589" s="269"/>
      <c r="W2589" s="269"/>
      <c r="X2589" s="269"/>
      <c r="Y2589" s="269"/>
      <c r="Z2589" s="269"/>
      <c r="AA2589" s="269"/>
      <c r="AB2589" s="269"/>
      <c r="AC2589" s="269"/>
      <c r="AD2589" s="269"/>
      <c r="AE2589" s="269"/>
      <c r="AF2589" s="269"/>
      <c r="AG2589" s="269"/>
      <c r="AH2589" s="269"/>
      <c r="AI2589" s="269"/>
      <c r="AJ2589" s="269"/>
      <c r="AK2589" s="269"/>
      <c r="AL2589" s="269"/>
      <c r="AM2589" s="269"/>
      <c r="AN2589" s="269"/>
      <c r="AO2589" s="269"/>
      <c r="AP2589" s="269"/>
      <c r="AQ2589" s="269"/>
      <c r="AR2589" s="269"/>
    </row>
    <row r="2590">
      <c r="A2590" s="410"/>
      <c r="B2590" s="410"/>
      <c r="C2590" s="410"/>
      <c r="D2590" s="410"/>
      <c r="E2590" s="410"/>
      <c r="F2590" s="410"/>
      <c r="H2590" s="269"/>
      <c r="I2590" s="269"/>
      <c r="J2590" s="269"/>
      <c r="K2590" s="269"/>
      <c r="L2590" s="269"/>
      <c r="M2590" s="269"/>
      <c r="N2590" s="269"/>
      <c r="O2590" s="269"/>
      <c r="P2590" s="269"/>
      <c r="Q2590" s="269"/>
      <c r="R2590" s="269"/>
      <c r="S2590" s="269"/>
      <c r="T2590" s="269"/>
      <c r="U2590" s="269"/>
      <c r="V2590" s="269"/>
      <c r="W2590" s="269"/>
      <c r="X2590" s="269"/>
      <c r="Y2590" s="269"/>
      <c r="Z2590" s="269"/>
      <c r="AA2590" s="269"/>
      <c r="AB2590" s="269"/>
      <c r="AC2590" s="269"/>
      <c r="AD2590" s="269"/>
      <c r="AE2590" s="269"/>
      <c r="AF2590" s="269"/>
      <c r="AG2590" s="269"/>
      <c r="AH2590" s="269"/>
      <c r="AI2590" s="269"/>
      <c r="AJ2590" s="269"/>
      <c r="AK2590" s="269"/>
      <c r="AL2590" s="269"/>
      <c r="AM2590" s="269"/>
      <c r="AN2590" s="269"/>
      <c r="AO2590" s="269"/>
      <c r="AP2590" s="269"/>
      <c r="AQ2590" s="269"/>
      <c r="AR2590" s="269"/>
    </row>
    <row r="2591">
      <c r="A2591" s="410"/>
      <c r="B2591" s="410"/>
      <c r="C2591" s="410"/>
      <c r="D2591" s="410"/>
      <c r="E2591" s="410"/>
      <c r="F2591" s="410"/>
      <c r="H2591" s="269"/>
      <c r="I2591" s="269"/>
      <c r="J2591" s="269"/>
      <c r="K2591" s="269"/>
      <c r="L2591" s="269"/>
      <c r="M2591" s="269"/>
      <c r="N2591" s="269"/>
      <c r="O2591" s="269"/>
      <c r="P2591" s="269"/>
      <c r="Q2591" s="269"/>
      <c r="R2591" s="269"/>
      <c r="S2591" s="269"/>
      <c r="T2591" s="269"/>
      <c r="U2591" s="269"/>
      <c r="V2591" s="269"/>
      <c r="W2591" s="269"/>
      <c r="X2591" s="269"/>
      <c r="Y2591" s="269"/>
      <c r="Z2591" s="269"/>
      <c r="AA2591" s="269"/>
      <c r="AB2591" s="269"/>
      <c r="AC2591" s="269"/>
      <c r="AD2591" s="269"/>
      <c r="AE2591" s="269"/>
      <c r="AF2591" s="269"/>
      <c r="AG2591" s="269"/>
      <c r="AH2591" s="269"/>
      <c r="AI2591" s="269"/>
      <c r="AJ2591" s="269"/>
      <c r="AK2591" s="269"/>
      <c r="AL2591" s="269"/>
      <c r="AM2591" s="269"/>
      <c r="AN2591" s="269"/>
      <c r="AO2591" s="269"/>
      <c r="AP2591" s="269"/>
      <c r="AQ2591" s="269"/>
      <c r="AR2591" s="269"/>
    </row>
    <row r="2592">
      <c r="A2592" s="410"/>
      <c r="B2592" s="410"/>
      <c r="C2592" s="410"/>
      <c r="D2592" s="410"/>
      <c r="E2592" s="410"/>
      <c r="F2592" s="410"/>
      <c r="H2592" s="269"/>
      <c r="I2592" s="269"/>
      <c r="J2592" s="269"/>
      <c r="K2592" s="269"/>
      <c r="L2592" s="269"/>
      <c r="M2592" s="269"/>
      <c r="N2592" s="269"/>
      <c r="O2592" s="269"/>
      <c r="P2592" s="269"/>
      <c r="Q2592" s="269"/>
      <c r="R2592" s="269"/>
      <c r="S2592" s="269"/>
      <c r="T2592" s="269"/>
      <c r="U2592" s="269"/>
      <c r="V2592" s="269"/>
      <c r="W2592" s="269"/>
      <c r="X2592" s="269"/>
      <c r="Y2592" s="269"/>
      <c r="Z2592" s="269"/>
      <c r="AA2592" s="269"/>
      <c r="AB2592" s="269"/>
      <c r="AC2592" s="269"/>
      <c r="AD2592" s="269"/>
      <c r="AE2592" s="269"/>
      <c r="AF2592" s="269"/>
      <c r="AG2592" s="269"/>
      <c r="AH2592" s="269"/>
      <c r="AI2592" s="269"/>
      <c r="AJ2592" s="269"/>
      <c r="AK2592" s="269"/>
      <c r="AL2592" s="269"/>
      <c r="AM2592" s="269"/>
      <c r="AN2592" s="269"/>
      <c r="AO2592" s="269"/>
      <c r="AP2592" s="269"/>
      <c r="AQ2592" s="269"/>
      <c r="AR2592" s="269"/>
    </row>
    <row r="2593">
      <c r="A2593" s="410"/>
      <c r="B2593" s="410"/>
      <c r="C2593" s="410"/>
      <c r="D2593" s="410"/>
      <c r="E2593" s="410"/>
      <c r="F2593" s="410"/>
      <c r="H2593" s="269"/>
      <c r="I2593" s="269"/>
      <c r="J2593" s="269"/>
      <c r="K2593" s="269"/>
      <c r="L2593" s="269"/>
      <c r="M2593" s="269"/>
      <c r="N2593" s="269"/>
      <c r="O2593" s="269"/>
      <c r="P2593" s="269"/>
      <c r="Q2593" s="269"/>
      <c r="R2593" s="269"/>
      <c r="S2593" s="269"/>
      <c r="T2593" s="269"/>
      <c r="U2593" s="269"/>
      <c r="V2593" s="269"/>
      <c r="W2593" s="269"/>
      <c r="X2593" s="269"/>
      <c r="Y2593" s="269"/>
      <c r="Z2593" s="269"/>
      <c r="AA2593" s="269"/>
      <c r="AB2593" s="269"/>
      <c r="AC2593" s="269"/>
      <c r="AD2593" s="269"/>
      <c r="AE2593" s="269"/>
      <c r="AF2593" s="269"/>
      <c r="AG2593" s="269"/>
      <c r="AH2593" s="269"/>
      <c r="AI2593" s="269"/>
      <c r="AJ2593" s="269"/>
      <c r="AK2593" s="269"/>
      <c r="AL2593" s="269"/>
      <c r="AM2593" s="269"/>
      <c r="AN2593" s="269"/>
      <c r="AO2593" s="269"/>
      <c r="AP2593" s="269"/>
      <c r="AQ2593" s="269"/>
      <c r="AR2593" s="269"/>
    </row>
    <row r="2594">
      <c r="A2594" s="410"/>
      <c r="B2594" s="410"/>
      <c r="C2594" s="410"/>
      <c r="D2594" s="410"/>
      <c r="E2594" s="410"/>
      <c r="F2594" s="410"/>
      <c r="H2594" s="269"/>
      <c r="I2594" s="269"/>
      <c r="J2594" s="269"/>
      <c r="K2594" s="269"/>
      <c r="L2594" s="269"/>
      <c r="M2594" s="269"/>
      <c r="N2594" s="269"/>
      <c r="O2594" s="269"/>
      <c r="P2594" s="269"/>
      <c r="Q2594" s="269"/>
      <c r="R2594" s="269"/>
      <c r="S2594" s="269"/>
      <c r="T2594" s="269"/>
      <c r="U2594" s="269"/>
      <c r="V2594" s="269"/>
      <c r="W2594" s="269"/>
      <c r="X2594" s="269"/>
      <c r="Y2594" s="269"/>
      <c r="Z2594" s="269"/>
      <c r="AA2594" s="269"/>
      <c r="AB2594" s="269"/>
      <c r="AC2594" s="269"/>
      <c r="AD2594" s="269"/>
      <c r="AE2594" s="269"/>
      <c r="AF2594" s="269"/>
      <c r="AG2594" s="269"/>
      <c r="AH2594" s="269"/>
      <c r="AI2594" s="269"/>
      <c r="AJ2594" s="269"/>
      <c r="AK2594" s="269"/>
      <c r="AL2594" s="269"/>
      <c r="AM2594" s="269"/>
      <c r="AN2594" s="269"/>
      <c r="AO2594" s="269"/>
      <c r="AP2594" s="269"/>
      <c r="AQ2594" s="269"/>
      <c r="AR2594" s="269"/>
    </row>
    <row r="2595">
      <c r="A2595" s="410"/>
      <c r="B2595" s="410"/>
      <c r="C2595" s="410"/>
      <c r="D2595" s="410"/>
      <c r="E2595" s="410"/>
      <c r="F2595" s="410"/>
      <c r="H2595" s="269"/>
      <c r="I2595" s="269"/>
      <c r="J2595" s="269"/>
      <c r="K2595" s="269"/>
      <c r="L2595" s="269"/>
      <c r="M2595" s="269"/>
      <c r="N2595" s="269"/>
      <c r="O2595" s="269"/>
      <c r="P2595" s="269"/>
      <c r="Q2595" s="269"/>
      <c r="R2595" s="269"/>
      <c r="S2595" s="269"/>
      <c r="T2595" s="269"/>
      <c r="U2595" s="269"/>
      <c r="V2595" s="269"/>
      <c r="W2595" s="269"/>
      <c r="X2595" s="269"/>
      <c r="Y2595" s="269"/>
      <c r="Z2595" s="269"/>
      <c r="AA2595" s="269"/>
      <c r="AB2595" s="269"/>
      <c r="AC2595" s="269"/>
      <c r="AD2595" s="269"/>
      <c r="AE2595" s="269"/>
      <c r="AF2595" s="269"/>
      <c r="AG2595" s="269"/>
      <c r="AH2595" s="269"/>
      <c r="AI2595" s="269"/>
      <c r="AJ2595" s="269"/>
      <c r="AK2595" s="269"/>
      <c r="AL2595" s="269"/>
      <c r="AM2595" s="269"/>
      <c r="AN2595" s="269"/>
      <c r="AO2595" s="269"/>
      <c r="AP2595" s="269"/>
      <c r="AQ2595" s="269"/>
      <c r="AR2595" s="269"/>
    </row>
    <row r="2596">
      <c r="A2596" s="410"/>
      <c r="B2596" s="410"/>
      <c r="C2596" s="410"/>
      <c r="D2596" s="410"/>
      <c r="E2596" s="410"/>
      <c r="F2596" s="410"/>
      <c r="H2596" s="269"/>
      <c r="I2596" s="269"/>
      <c r="J2596" s="269"/>
      <c r="K2596" s="269"/>
      <c r="L2596" s="269"/>
      <c r="M2596" s="269"/>
      <c r="N2596" s="269"/>
      <c r="O2596" s="269"/>
      <c r="P2596" s="269"/>
      <c r="Q2596" s="269"/>
      <c r="R2596" s="269"/>
      <c r="S2596" s="269"/>
      <c r="T2596" s="269"/>
      <c r="U2596" s="269"/>
      <c r="V2596" s="269"/>
      <c r="W2596" s="269"/>
      <c r="X2596" s="269"/>
      <c r="Y2596" s="269"/>
      <c r="Z2596" s="269"/>
      <c r="AA2596" s="269"/>
      <c r="AB2596" s="269"/>
      <c r="AC2596" s="269"/>
      <c r="AD2596" s="269"/>
      <c r="AE2596" s="269"/>
      <c r="AF2596" s="269"/>
      <c r="AG2596" s="269"/>
      <c r="AH2596" s="269"/>
      <c r="AI2596" s="269"/>
      <c r="AJ2596" s="269"/>
      <c r="AK2596" s="269"/>
      <c r="AL2596" s="269"/>
      <c r="AM2596" s="269"/>
      <c r="AN2596" s="269"/>
      <c r="AO2596" s="269"/>
      <c r="AP2596" s="269"/>
      <c r="AQ2596" s="269"/>
      <c r="AR2596" s="269"/>
    </row>
    <row r="2597">
      <c r="A2597" s="410"/>
      <c r="B2597" s="410"/>
      <c r="C2597" s="410"/>
      <c r="D2597" s="410"/>
      <c r="E2597" s="410"/>
      <c r="F2597" s="410"/>
      <c r="H2597" s="269"/>
      <c r="I2597" s="269"/>
      <c r="J2597" s="269"/>
      <c r="K2597" s="269"/>
      <c r="L2597" s="269"/>
      <c r="M2597" s="269"/>
      <c r="N2597" s="269"/>
      <c r="O2597" s="269"/>
      <c r="P2597" s="269"/>
      <c r="Q2597" s="269"/>
      <c r="R2597" s="269"/>
      <c r="S2597" s="269"/>
      <c r="T2597" s="269"/>
      <c r="U2597" s="269"/>
      <c r="V2597" s="269"/>
      <c r="W2597" s="269"/>
      <c r="X2597" s="269"/>
      <c r="Y2597" s="269"/>
      <c r="Z2597" s="269"/>
      <c r="AA2597" s="269"/>
      <c r="AB2597" s="269"/>
      <c r="AC2597" s="269"/>
      <c r="AD2597" s="269"/>
      <c r="AE2597" s="269"/>
      <c r="AF2597" s="269"/>
      <c r="AG2597" s="269"/>
      <c r="AH2597" s="269"/>
      <c r="AI2597" s="269"/>
      <c r="AJ2597" s="269"/>
      <c r="AK2597" s="269"/>
      <c r="AL2597" s="269"/>
      <c r="AM2597" s="269"/>
      <c r="AN2597" s="269"/>
      <c r="AO2597" s="269"/>
      <c r="AP2597" s="269"/>
      <c r="AQ2597" s="269"/>
      <c r="AR2597" s="269"/>
    </row>
    <row r="2598">
      <c r="A2598" s="410"/>
      <c r="B2598" s="410"/>
      <c r="C2598" s="410"/>
      <c r="D2598" s="410"/>
      <c r="E2598" s="410"/>
      <c r="F2598" s="410"/>
      <c r="H2598" s="269"/>
      <c r="I2598" s="269"/>
      <c r="J2598" s="269"/>
      <c r="K2598" s="269"/>
      <c r="L2598" s="269"/>
      <c r="M2598" s="269"/>
      <c r="N2598" s="269"/>
      <c r="O2598" s="269"/>
      <c r="P2598" s="269"/>
      <c r="Q2598" s="269"/>
      <c r="R2598" s="269"/>
      <c r="S2598" s="269"/>
      <c r="T2598" s="269"/>
      <c r="U2598" s="269"/>
      <c r="V2598" s="269"/>
      <c r="W2598" s="269"/>
      <c r="X2598" s="269"/>
      <c r="Y2598" s="269"/>
      <c r="Z2598" s="269"/>
      <c r="AA2598" s="269"/>
      <c r="AB2598" s="269"/>
      <c r="AC2598" s="269"/>
      <c r="AD2598" s="269"/>
      <c r="AE2598" s="269"/>
      <c r="AF2598" s="269"/>
      <c r="AG2598" s="269"/>
      <c r="AH2598" s="269"/>
      <c r="AI2598" s="269"/>
      <c r="AJ2598" s="269"/>
      <c r="AK2598" s="269"/>
      <c r="AL2598" s="269"/>
      <c r="AM2598" s="269"/>
      <c r="AN2598" s="269"/>
      <c r="AO2598" s="269"/>
      <c r="AP2598" s="269"/>
      <c r="AQ2598" s="269"/>
      <c r="AR2598" s="269"/>
    </row>
    <row r="2599">
      <c r="A2599" s="410"/>
      <c r="B2599" s="410"/>
      <c r="C2599" s="410"/>
      <c r="D2599" s="410"/>
      <c r="E2599" s="410"/>
      <c r="F2599" s="410"/>
      <c r="H2599" s="269"/>
      <c r="I2599" s="269"/>
      <c r="J2599" s="269"/>
      <c r="K2599" s="269"/>
      <c r="L2599" s="269"/>
      <c r="M2599" s="269"/>
      <c r="N2599" s="269"/>
      <c r="O2599" s="269"/>
      <c r="P2599" s="269"/>
      <c r="Q2599" s="269"/>
      <c r="R2599" s="269"/>
      <c r="S2599" s="269"/>
      <c r="T2599" s="269"/>
      <c r="U2599" s="269"/>
      <c r="V2599" s="269"/>
      <c r="W2599" s="269"/>
      <c r="X2599" s="269"/>
      <c r="Y2599" s="269"/>
      <c r="Z2599" s="269"/>
      <c r="AA2599" s="269"/>
      <c r="AB2599" s="269"/>
      <c r="AC2599" s="269"/>
      <c r="AD2599" s="269"/>
      <c r="AE2599" s="269"/>
      <c r="AF2599" s="269"/>
      <c r="AG2599" s="269"/>
      <c r="AH2599" s="269"/>
      <c r="AI2599" s="269"/>
      <c r="AJ2599" s="269"/>
      <c r="AK2599" s="269"/>
      <c r="AL2599" s="269"/>
      <c r="AM2599" s="269"/>
      <c r="AN2599" s="269"/>
      <c r="AO2599" s="269"/>
      <c r="AP2599" s="269"/>
      <c r="AQ2599" s="269"/>
      <c r="AR2599" s="269"/>
    </row>
    <row r="2600">
      <c r="A2600" s="410"/>
      <c r="B2600" s="410"/>
      <c r="C2600" s="410"/>
      <c r="D2600" s="410"/>
      <c r="E2600" s="410"/>
      <c r="F2600" s="410"/>
      <c r="H2600" s="269"/>
      <c r="I2600" s="269"/>
      <c r="J2600" s="269"/>
      <c r="K2600" s="269"/>
      <c r="L2600" s="269"/>
      <c r="M2600" s="269"/>
      <c r="N2600" s="269"/>
      <c r="O2600" s="269"/>
      <c r="P2600" s="269"/>
      <c r="Q2600" s="269"/>
      <c r="R2600" s="269"/>
      <c r="S2600" s="269"/>
      <c r="T2600" s="269"/>
      <c r="U2600" s="269"/>
      <c r="V2600" s="269"/>
      <c r="W2600" s="269"/>
      <c r="X2600" s="269"/>
      <c r="Y2600" s="269"/>
      <c r="Z2600" s="269"/>
      <c r="AA2600" s="269"/>
      <c r="AB2600" s="269"/>
      <c r="AC2600" s="269"/>
      <c r="AD2600" s="269"/>
      <c r="AE2600" s="269"/>
      <c r="AF2600" s="269"/>
      <c r="AG2600" s="269"/>
      <c r="AH2600" s="269"/>
      <c r="AI2600" s="269"/>
      <c r="AJ2600" s="269"/>
      <c r="AK2600" s="269"/>
      <c r="AL2600" s="269"/>
      <c r="AM2600" s="269"/>
      <c r="AN2600" s="269"/>
      <c r="AO2600" s="269"/>
      <c r="AP2600" s="269"/>
      <c r="AQ2600" s="269"/>
      <c r="AR2600" s="269"/>
    </row>
    <row r="2601">
      <c r="A2601" s="410"/>
      <c r="B2601" s="410"/>
      <c r="C2601" s="410"/>
      <c r="D2601" s="410"/>
      <c r="E2601" s="410"/>
      <c r="F2601" s="410"/>
      <c r="H2601" s="269"/>
      <c r="I2601" s="269"/>
      <c r="J2601" s="269"/>
      <c r="K2601" s="269"/>
      <c r="L2601" s="269"/>
      <c r="M2601" s="269"/>
      <c r="N2601" s="269"/>
      <c r="O2601" s="269"/>
      <c r="P2601" s="269"/>
      <c r="Q2601" s="269"/>
      <c r="R2601" s="269"/>
      <c r="S2601" s="269"/>
      <c r="T2601" s="269"/>
      <c r="U2601" s="269"/>
      <c r="V2601" s="269"/>
      <c r="W2601" s="269"/>
      <c r="X2601" s="269"/>
      <c r="Y2601" s="269"/>
      <c r="Z2601" s="269"/>
      <c r="AA2601" s="269"/>
      <c r="AB2601" s="269"/>
      <c r="AC2601" s="269"/>
      <c r="AD2601" s="269"/>
      <c r="AE2601" s="269"/>
      <c r="AF2601" s="269"/>
      <c r="AG2601" s="269"/>
      <c r="AH2601" s="269"/>
      <c r="AI2601" s="269"/>
      <c r="AJ2601" s="269"/>
      <c r="AK2601" s="269"/>
      <c r="AL2601" s="269"/>
      <c r="AM2601" s="269"/>
      <c r="AN2601" s="269"/>
      <c r="AO2601" s="269"/>
      <c r="AP2601" s="269"/>
      <c r="AQ2601" s="269"/>
      <c r="AR2601" s="269"/>
    </row>
    <row r="2602">
      <c r="A2602" s="410"/>
      <c r="B2602" s="410"/>
      <c r="C2602" s="410"/>
      <c r="D2602" s="410"/>
      <c r="E2602" s="410"/>
      <c r="F2602" s="410"/>
      <c r="H2602" s="269"/>
      <c r="I2602" s="269"/>
      <c r="J2602" s="269"/>
      <c r="K2602" s="269"/>
      <c r="L2602" s="269"/>
      <c r="M2602" s="269"/>
      <c r="N2602" s="269"/>
      <c r="O2602" s="269"/>
      <c r="P2602" s="269"/>
      <c r="Q2602" s="269"/>
      <c r="R2602" s="269"/>
      <c r="S2602" s="269"/>
      <c r="T2602" s="269"/>
      <c r="U2602" s="269"/>
      <c r="V2602" s="269"/>
      <c r="W2602" s="269"/>
      <c r="X2602" s="269"/>
      <c r="Y2602" s="269"/>
      <c r="Z2602" s="269"/>
      <c r="AA2602" s="269"/>
      <c r="AB2602" s="269"/>
      <c r="AC2602" s="269"/>
      <c r="AD2602" s="269"/>
      <c r="AE2602" s="269"/>
      <c r="AF2602" s="269"/>
      <c r="AG2602" s="269"/>
      <c r="AH2602" s="269"/>
      <c r="AI2602" s="269"/>
      <c r="AJ2602" s="269"/>
      <c r="AK2602" s="269"/>
      <c r="AL2602" s="269"/>
      <c r="AM2602" s="269"/>
      <c r="AN2602" s="269"/>
      <c r="AO2602" s="269"/>
      <c r="AP2602" s="269"/>
      <c r="AQ2602" s="269"/>
      <c r="AR2602" s="269"/>
    </row>
    <row r="2603">
      <c r="A2603" s="410"/>
      <c r="B2603" s="410"/>
      <c r="C2603" s="410"/>
      <c r="D2603" s="410"/>
      <c r="E2603" s="410"/>
      <c r="F2603" s="410"/>
      <c r="H2603" s="269"/>
      <c r="I2603" s="269"/>
      <c r="J2603" s="269"/>
      <c r="K2603" s="269"/>
      <c r="L2603" s="269"/>
      <c r="M2603" s="269"/>
      <c r="N2603" s="269"/>
      <c r="O2603" s="269"/>
      <c r="P2603" s="269"/>
      <c r="Q2603" s="269"/>
      <c r="R2603" s="269"/>
      <c r="S2603" s="269"/>
      <c r="T2603" s="269"/>
      <c r="U2603" s="269"/>
      <c r="V2603" s="269"/>
      <c r="W2603" s="269"/>
      <c r="X2603" s="269"/>
      <c r="Y2603" s="269"/>
      <c r="Z2603" s="269"/>
      <c r="AA2603" s="269"/>
      <c r="AB2603" s="269"/>
      <c r="AC2603" s="269"/>
      <c r="AD2603" s="269"/>
      <c r="AE2603" s="269"/>
      <c r="AF2603" s="269"/>
      <c r="AG2603" s="269"/>
      <c r="AH2603" s="269"/>
      <c r="AI2603" s="269"/>
      <c r="AJ2603" s="269"/>
      <c r="AK2603" s="269"/>
      <c r="AL2603" s="269"/>
      <c r="AM2603" s="269"/>
      <c r="AN2603" s="269"/>
      <c r="AO2603" s="269"/>
      <c r="AP2603" s="269"/>
      <c r="AQ2603" s="269"/>
      <c r="AR2603" s="269"/>
    </row>
    <row r="2604">
      <c r="A2604" s="410"/>
      <c r="B2604" s="410"/>
      <c r="C2604" s="410"/>
      <c r="D2604" s="410"/>
      <c r="E2604" s="410"/>
      <c r="F2604" s="410"/>
      <c r="H2604" s="269"/>
      <c r="I2604" s="269"/>
      <c r="J2604" s="269"/>
      <c r="K2604" s="269"/>
      <c r="L2604" s="269"/>
      <c r="M2604" s="269"/>
      <c r="N2604" s="269"/>
      <c r="O2604" s="269"/>
      <c r="P2604" s="269"/>
      <c r="Q2604" s="269"/>
      <c r="R2604" s="269"/>
      <c r="S2604" s="269"/>
      <c r="T2604" s="269"/>
      <c r="U2604" s="269"/>
      <c r="V2604" s="269"/>
      <c r="W2604" s="269"/>
      <c r="X2604" s="269"/>
      <c r="Y2604" s="269"/>
      <c r="Z2604" s="269"/>
      <c r="AA2604" s="269"/>
      <c r="AB2604" s="269"/>
      <c r="AC2604" s="269"/>
      <c r="AD2604" s="269"/>
      <c r="AE2604" s="269"/>
      <c r="AF2604" s="269"/>
      <c r="AG2604" s="269"/>
      <c r="AH2604" s="269"/>
      <c r="AI2604" s="269"/>
      <c r="AJ2604" s="269"/>
      <c r="AK2604" s="269"/>
      <c r="AL2604" s="269"/>
      <c r="AM2604" s="269"/>
      <c r="AN2604" s="269"/>
      <c r="AO2604" s="269"/>
      <c r="AP2604" s="269"/>
      <c r="AQ2604" s="269"/>
      <c r="AR2604" s="269"/>
    </row>
    <row r="2605">
      <c r="A2605" s="410"/>
      <c r="B2605" s="410"/>
      <c r="C2605" s="410"/>
      <c r="D2605" s="410"/>
      <c r="E2605" s="410"/>
      <c r="F2605" s="410"/>
      <c r="H2605" s="269"/>
      <c r="I2605" s="269"/>
      <c r="J2605" s="269"/>
      <c r="K2605" s="269"/>
      <c r="L2605" s="269"/>
      <c r="M2605" s="269"/>
      <c r="N2605" s="269"/>
      <c r="O2605" s="269"/>
      <c r="P2605" s="269"/>
      <c r="Q2605" s="269"/>
      <c r="R2605" s="269"/>
      <c r="S2605" s="269"/>
      <c r="T2605" s="269"/>
      <c r="U2605" s="269"/>
      <c r="V2605" s="269"/>
      <c r="W2605" s="269"/>
      <c r="X2605" s="269"/>
      <c r="Y2605" s="269"/>
      <c r="Z2605" s="269"/>
      <c r="AA2605" s="269"/>
      <c r="AB2605" s="269"/>
      <c r="AC2605" s="269"/>
      <c r="AD2605" s="269"/>
      <c r="AE2605" s="269"/>
      <c r="AF2605" s="269"/>
      <c r="AG2605" s="269"/>
      <c r="AH2605" s="269"/>
      <c r="AI2605" s="269"/>
      <c r="AJ2605" s="269"/>
      <c r="AK2605" s="269"/>
      <c r="AL2605" s="269"/>
      <c r="AM2605" s="269"/>
      <c r="AN2605" s="269"/>
      <c r="AO2605" s="269"/>
      <c r="AP2605" s="269"/>
      <c r="AQ2605" s="269"/>
      <c r="AR2605" s="269"/>
    </row>
    <row r="2606">
      <c r="A2606" s="410"/>
      <c r="B2606" s="410"/>
      <c r="C2606" s="410"/>
      <c r="D2606" s="410"/>
      <c r="E2606" s="410"/>
      <c r="F2606" s="410"/>
      <c r="H2606" s="269"/>
      <c r="I2606" s="269"/>
      <c r="J2606" s="269"/>
      <c r="K2606" s="269"/>
      <c r="L2606" s="269"/>
      <c r="M2606" s="269"/>
      <c r="N2606" s="269"/>
      <c r="O2606" s="269"/>
      <c r="P2606" s="269"/>
      <c r="Q2606" s="269"/>
      <c r="R2606" s="269"/>
      <c r="S2606" s="269"/>
      <c r="T2606" s="269"/>
      <c r="U2606" s="269"/>
      <c r="V2606" s="269"/>
      <c r="W2606" s="269"/>
      <c r="X2606" s="269"/>
      <c r="Y2606" s="269"/>
      <c r="Z2606" s="269"/>
      <c r="AA2606" s="269"/>
      <c r="AB2606" s="269"/>
      <c r="AC2606" s="269"/>
      <c r="AD2606" s="269"/>
      <c r="AE2606" s="269"/>
      <c r="AF2606" s="269"/>
      <c r="AG2606" s="269"/>
      <c r="AH2606" s="269"/>
      <c r="AI2606" s="269"/>
      <c r="AJ2606" s="269"/>
      <c r="AK2606" s="269"/>
      <c r="AL2606" s="269"/>
      <c r="AM2606" s="269"/>
      <c r="AN2606" s="269"/>
      <c r="AO2606" s="269"/>
      <c r="AP2606" s="269"/>
      <c r="AQ2606" s="269"/>
      <c r="AR2606" s="269"/>
    </row>
    <row r="2607">
      <c r="A2607" s="410"/>
      <c r="B2607" s="410"/>
      <c r="C2607" s="410"/>
      <c r="D2607" s="410"/>
      <c r="E2607" s="410"/>
      <c r="F2607" s="410"/>
      <c r="H2607" s="269"/>
      <c r="I2607" s="269"/>
      <c r="J2607" s="269"/>
      <c r="K2607" s="269"/>
      <c r="L2607" s="269"/>
      <c r="M2607" s="269"/>
      <c r="N2607" s="269"/>
      <c r="O2607" s="269"/>
      <c r="P2607" s="269"/>
      <c r="Q2607" s="269"/>
      <c r="R2607" s="269"/>
      <c r="S2607" s="269"/>
      <c r="T2607" s="269"/>
      <c r="U2607" s="269"/>
      <c r="V2607" s="269"/>
      <c r="W2607" s="269"/>
      <c r="X2607" s="269"/>
      <c r="Y2607" s="269"/>
      <c r="Z2607" s="269"/>
      <c r="AA2607" s="269"/>
      <c r="AB2607" s="269"/>
      <c r="AC2607" s="269"/>
      <c r="AD2607" s="269"/>
      <c r="AE2607" s="269"/>
      <c r="AF2607" s="269"/>
      <c r="AG2607" s="269"/>
      <c r="AH2607" s="269"/>
      <c r="AI2607" s="269"/>
      <c r="AJ2607" s="269"/>
      <c r="AK2607" s="269"/>
      <c r="AL2607" s="269"/>
      <c r="AM2607" s="269"/>
      <c r="AN2607" s="269"/>
      <c r="AO2607" s="269"/>
      <c r="AP2607" s="269"/>
      <c r="AQ2607" s="269"/>
      <c r="AR2607" s="269"/>
    </row>
    <row r="2608">
      <c r="A2608" s="410"/>
      <c r="B2608" s="410"/>
      <c r="C2608" s="410"/>
      <c r="D2608" s="410"/>
      <c r="E2608" s="410"/>
      <c r="F2608" s="410"/>
      <c r="H2608" s="269"/>
      <c r="I2608" s="269"/>
      <c r="J2608" s="269"/>
      <c r="K2608" s="269"/>
      <c r="L2608" s="269"/>
      <c r="M2608" s="269"/>
      <c r="N2608" s="269"/>
      <c r="O2608" s="269"/>
      <c r="P2608" s="269"/>
      <c r="Q2608" s="269"/>
      <c r="R2608" s="269"/>
      <c r="S2608" s="269"/>
      <c r="T2608" s="269"/>
      <c r="U2608" s="269"/>
      <c r="V2608" s="269"/>
      <c r="W2608" s="269"/>
      <c r="X2608" s="269"/>
      <c r="Y2608" s="269"/>
      <c r="Z2608" s="269"/>
      <c r="AA2608" s="269"/>
      <c r="AB2608" s="269"/>
      <c r="AC2608" s="269"/>
      <c r="AD2608" s="269"/>
      <c r="AE2608" s="269"/>
      <c r="AF2608" s="269"/>
      <c r="AG2608" s="269"/>
      <c r="AH2608" s="269"/>
      <c r="AI2608" s="269"/>
      <c r="AJ2608" s="269"/>
      <c r="AK2608" s="269"/>
      <c r="AL2608" s="269"/>
      <c r="AM2608" s="269"/>
      <c r="AN2608" s="269"/>
      <c r="AO2608" s="269"/>
      <c r="AP2608" s="269"/>
      <c r="AQ2608" s="269"/>
      <c r="AR2608" s="269"/>
    </row>
    <row r="2609">
      <c r="A2609" s="410"/>
      <c r="B2609" s="410"/>
      <c r="C2609" s="410"/>
      <c r="D2609" s="410"/>
      <c r="E2609" s="410"/>
      <c r="F2609" s="410"/>
      <c r="H2609" s="269"/>
      <c r="I2609" s="269"/>
      <c r="J2609" s="269"/>
      <c r="K2609" s="269"/>
      <c r="L2609" s="269"/>
      <c r="M2609" s="269"/>
      <c r="N2609" s="269"/>
      <c r="O2609" s="269"/>
      <c r="P2609" s="269"/>
      <c r="Q2609" s="269"/>
      <c r="R2609" s="269"/>
      <c r="S2609" s="269"/>
      <c r="T2609" s="269"/>
      <c r="U2609" s="269"/>
      <c r="V2609" s="269"/>
      <c r="W2609" s="269"/>
      <c r="X2609" s="269"/>
      <c r="Y2609" s="269"/>
      <c r="Z2609" s="269"/>
      <c r="AA2609" s="269"/>
      <c r="AB2609" s="269"/>
      <c r="AC2609" s="269"/>
      <c r="AD2609" s="269"/>
      <c r="AE2609" s="269"/>
      <c r="AF2609" s="269"/>
      <c r="AG2609" s="269"/>
      <c r="AH2609" s="269"/>
      <c r="AI2609" s="269"/>
      <c r="AJ2609" s="269"/>
      <c r="AK2609" s="269"/>
      <c r="AL2609" s="269"/>
      <c r="AM2609" s="269"/>
      <c r="AN2609" s="269"/>
      <c r="AO2609" s="269"/>
      <c r="AP2609" s="269"/>
      <c r="AQ2609" s="269"/>
      <c r="AR2609" s="269"/>
    </row>
    <row r="2610">
      <c r="A2610" s="410"/>
      <c r="B2610" s="410"/>
      <c r="C2610" s="410"/>
      <c r="D2610" s="410"/>
      <c r="E2610" s="410"/>
      <c r="F2610" s="410"/>
      <c r="H2610" s="269"/>
      <c r="I2610" s="269"/>
      <c r="J2610" s="269"/>
      <c r="K2610" s="269"/>
      <c r="L2610" s="269"/>
      <c r="M2610" s="269"/>
      <c r="N2610" s="269"/>
      <c r="O2610" s="269"/>
      <c r="P2610" s="269"/>
      <c r="Q2610" s="269"/>
      <c r="R2610" s="269"/>
      <c r="S2610" s="269"/>
      <c r="T2610" s="269"/>
      <c r="U2610" s="269"/>
      <c r="V2610" s="269"/>
      <c r="W2610" s="269"/>
      <c r="X2610" s="269"/>
      <c r="Y2610" s="269"/>
      <c r="Z2610" s="269"/>
      <c r="AA2610" s="269"/>
      <c r="AB2610" s="269"/>
      <c r="AC2610" s="269"/>
      <c r="AD2610" s="269"/>
      <c r="AE2610" s="269"/>
      <c r="AF2610" s="269"/>
      <c r="AG2610" s="269"/>
      <c r="AH2610" s="269"/>
      <c r="AI2610" s="269"/>
      <c r="AJ2610" s="269"/>
      <c r="AK2610" s="269"/>
      <c r="AL2610" s="269"/>
      <c r="AM2610" s="269"/>
      <c r="AN2610" s="269"/>
      <c r="AO2610" s="269"/>
      <c r="AP2610" s="269"/>
      <c r="AQ2610" s="269"/>
      <c r="AR2610" s="269"/>
    </row>
    <row r="2611">
      <c r="A2611" s="410"/>
      <c r="B2611" s="410"/>
      <c r="C2611" s="410"/>
      <c r="D2611" s="410"/>
      <c r="E2611" s="410"/>
      <c r="F2611" s="410"/>
      <c r="H2611" s="269"/>
      <c r="I2611" s="269"/>
      <c r="J2611" s="269"/>
      <c r="K2611" s="269"/>
      <c r="L2611" s="269"/>
      <c r="M2611" s="269"/>
      <c r="N2611" s="269"/>
      <c r="O2611" s="269"/>
      <c r="P2611" s="269"/>
      <c r="Q2611" s="269"/>
      <c r="R2611" s="269"/>
      <c r="S2611" s="269"/>
      <c r="T2611" s="269"/>
      <c r="U2611" s="269"/>
      <c r="V2611" s="269"/>
      <c r="W2611" s="269"/>
      <c r="X2611" s="269"/>
      <c r="Y2611" s="269"/>
      <c r="Z2611" s="269"/>
      <c r="AA2611" s="269"/>
      <c r="AB2611" s="269"/>
      <c r="AC2611" s="269"/>
      <c r="AD2611" s="269"/>
      <c r="AE2611" s="269"/>
      <c r="AF2611" s="269"/>
      <c r="AG2611" s="269"/>
      <c r="AH2611" s="269"/>
      <c r="AI2611" s="269"/>
      <c r="AJ2611" s="269"/>
      <c r="AK2611" s="269"/>
      <c r="AL2611" s="269"/>
      <c r="AM2611" s="269"/>
      <c r="AN2611" s="269"/>
      <c r="AO2611" s="269"/>
      <c r="AP2611" s="269"/>
      <c r="AQ2611" s="269"/>
      <c r="AR2611" s="269"/>
    </row>
    <row r="2612">
      <c r="A2612" s="410"/>
      <c r="B2612" s="410"/>
      <c r="C2612" s="410"/>
      <c r="D2612" s="410"/>
      <c r="E2612" s="410"/>
      <c r="F2612" s="410"/>
      <c r="H2612" s="269"/>
      <c r="I2612" s="269"/>
      <c r="J2612" s="269"/>
      <c r="K2612" s="269"/>
      <c r="L2612" s="269"/>
      <c r="M2612" s="269"/>
      <c r="N2612" s="269"/>
      <c r="O2612" s="269"/>
      <c r="P2612" s="269"/>
      <c r="Q2612" s="269"/>
      <c r="R2612" s="269"/>
      <c r="S2612" s="269"/>
      <c r="T2612" s="269"/>
      <c r="U2612" s="269"/>
      <c r="V2612" s="269"/>
      <c r="W2612" s="269"/>
      <c r="X2612" s="269"/>
      <c r="Y2612" s="269"/>
      <c r="Z2612" s="269"/>
      <c r="AA2612" s="269"/>
      <c r="AB2612" s="269"/>
      <c r="AC2612" s="269"/>
      <c r="AD2612" s="269"/>
      <c r="AE2612" s="269"/>
      <c r="AF2612" s="269"/>
      <c r="AG2612" s="269"/>
      <c r="AH2612" s="269"/>
      <c r="AI2612" s="269"/>
      <c r="AJ2612" s="269"/>
      <c r="AK2612" s="269"/>
      <c r="AL2612" s="269"/>
      <c r="AM2612" s="269"/>
      <c r="AN2612" s="269"/>
      <c r="AO2612" s="269"/>
      <c r="AP2612" s="269"/>
      <c r="AQ2612" s="269"/>
      <c r="AR2612" s="269"/>
    </row>
    <row r="2613">
      <c r="A2613" s="410"/>
      <c r="B2613" s="410"/>
      <c r="C2613" s="410"/>
      <c r="D2613" s="410"/>
      <c r="E2613" s="410"/>
      <c r="F2613" s="410"/>
      <c r="H2613" s="269"/>
      <c r="I2613" s="269"/>
      <c r="J2613" s="269"/>
      <c r="K2613" s="269"/>
      <c r="L2613" s="269"/>
      <c r="M2613" s="269"/>
      <c r="N2613" s="269"/>
      <c r="O2613" s="269"/>
      <c r="P2613" s="269"/>
      <c r="Q2613" s="269"/>
      <c r="R2613" s="269"/>
      <c r="S2613" s="269"/>
      <c r="T2613" s="269"/>
      <c r="U2613" s="269"/>
      <c r="V2613" s="269"/>
      <c r="W2613" s="269"/>
      <c r="X2613" s="269"/>
      <c r="Y2613" s="269"/>
      <c r="Z2613" s="269"/>
      <c r="AA2613" s="269"/>
      <c r="AB2613" s="269"/>
      <c r="AC2613" s="269"/>
      <c r="AD2613" s="269"/>
      <c r="AE2613" s="269"/>
      <c r="AF2613" s="269"/>
      <c r="AG2613" s="269"/>
      <c r="AH2613" s="269"/>
      <c r="AI2613" s="269"/>
      <c r="AJ2613" s="269"/>
      <c r="AK2613" s="269"/>
      <c r="AL2613" s="269"/>
      <c r="AM2613" s="269"/>
      <c r="AN2613" s="269"/>
      <c r="AO2613" s="269"/>
      <c r="AP2613" s="269"/>
      <c r="AQ2613" s="269"/>
      <c r="AR2613" s="269"/>
    </row>
    <row r="2614">
      <c r="A2614" s="410"/>
      <c r="B2614" s="410"/>
      <c r="C2614" s="410"/>
      <c r="D2614" s="410"/>
      <c r="E2614" s="410"/>
      <c r="F2614" s="410"/>
      <c r="H2614" s="269"/>
      <c r="I2614" s="269"/>
      <c r="J2614" s="269"/>
      <c r="K2614" s="269"/>
      <c r="L2614" s="269"/>
      <c r="M2614" s="269"/>
      <c r="N2614" s="269"/>
      <c r="O2614" s="269"/>
      <c r="P2614" s="269"/>
      <c r="Q2614" s="269"/>
      <c r="R2614" s="269"/>
      <c r="S2614" s="269"/>
      <c r="T2614" s="269"/>
      <c r="U2614" s="269"/>
      <c r="V2614" s="269"/>
      <c r="W2614" s="269"/>
      <c r="X2614" s="269"/>
      <c r="Y2614" s="269"/>
      <c r="Z2614" s="269"/>
      <c r="AA2614" s="269"/>
      <c r="AB2614" s="269"/>
      <c r="AC2614" s="269"/>
      <c r="AD2614" s="269"/>
      <c r="AE2614" s="269"/>
      <c r="AF2614" s="269"/>
      <c r="AG2614" s="269"/>
      <c r="AH2614" s="269"/>
      <c r="AI2614" s="269"/>
      <c r="AJ2614" s="269"/>
      <c r="AK2614" s="269"/>
      <c r="AL2614" s="269"/>
      <c r="AM2614" s="269"/>
      <c r="AN2614" s="269"/>
      <c r="AO2614" s="269"/>
      <c r="AP2614" s="269"/>
      <c r="AQ2614" s="269"/>
      <c r="AR2614" s="269"/>
    </row>
    <row r="2615">
      <c r="A2615" s="410"/>
      <c r="B2615" s="410"/>
      <c r="C2615" s="410"/>
      <c r="D2615" s="410"/>
      <c r="E2615" s="410"/>
      <c r="F2615" s="410"/>
      <c r="H2615" s="269"/>
      <c r="I2615" s="269"/>
      <c r="J2615" s="269"/>
      <c r="K2615" s="269"/>
      <c r="L2615" s="269"/>
      <c r="M2615" s="269"/>
      <c r="N2615" s="269"/>
      <c r="O2615" s="269"/>
      <c r="P2615" s="269"/>
      <c r="Q2615" s="269"/>
      <c r="R2615" s="269"/>
      <c r="S2615" s="269"/>
      <c r="T2615" s="269"/>
      <c r="U2615" s="269"/>
      <c r="V2615" s="269"/>
      <c r="W2615" s="269"/>
      <c r="X2615" s="269"/>
      <c r="Y2615" s="269"/>
      <c r="Z2615" s="269"/>
      <c r="AA2615" s="269"/>
      <c r="AB2615" s="269"/>
      <c r="AC2615" s="269"/>
      <c r="AD2615" s="269"/>
      <c r="AE2615" s="269"/>
      <c r="AF2615" s="269"/>
      <c r="AG2615" s="269"/>
      <c r="AH2615" s="269"/>
      <c r="AI2615" s="269"/>
      <c r="AJ2615" s="269"/>
      <c r="AK2615" s="269"/>
      <c r="AL2615" s="269"/>
      <c r="AM2615" s="269"/>
      <c r="AN2615" s="269"/>
      <c r="AO2615" s="269"/>
      <c r="AP2615" s="269"/>
      <c r="AQ2615" s="269"/>
      <c r="AR2615" s="269"/>
    </row>
    <row r="2616">
      <c r="A2616" s="410"/>
      <c r="B2616" s="410"/>
      <c r="C2616" s="410"/>
      <c r="D2616" s="410"/>
      <c r="E2616" s="410"/>
      <c r="F2616" s="410"/>
      <c r="H2616" s="269"/>
      <c r="I2616" s="269"/>
      <c r="J2616" s="269"/>
      <c r="K2616" s="269"/>
      <c r="L2616" s="269"/>
      <c r="M2616" s="269"/>
      <c r="N2616" s="269"/>
      <c r="O2616" s="269"/>
      <c r="P2616" s="269"/>
      <c r="Q2616" s="269"/>
      <c r="R2616" s="269"/>
      <c r="S2616" s="269"/>
      <c r="T2616" s="269"/>
      <c r="U2616" s="269"/>
      <c r="V2616" s="269"/>
      <c r="W2616" s="269"/>
      <c r="X2616" s="269"/>
      <c r="Y2616" s="269"/>
      <c r="Z2616" s="269"/>
      <c r="AA2616" s="269"/>
      <c r="AB2616" s="269"/>
      <c r="AC2616" s="269"/>
      <c r="AD2616" s="269"/>
      <c r="AE2616" s="269"/>
      <c r="AF2616" s="269"/>
      <c r="AG2616" s="269"/>
      <c r="AH2616" s="269"/>
      <c r="AI2616" s="269"/>
      <c r="AJ2616" s="269"/>
      <c r="AK2616" s="269"/>
      <c r="AL2616" s="269"/>
      <c r="AM2616" s="269"/>
      <c r="AN2616" s="269"/>
      <c r="AO2616" s="269"/>
      <c r="AP2616" s="269"/>
      <c r="AQ2616" s="269"/>
      <c r="AR2616" s="269"/>
    </row>
    <row r="2617">
      <c r="A2617" s="410"/>
      <c r="B2617" s="410"/>
      <c r="C2617" s="410"/>
      <c r="D2617" s="410"/>
      <c r="E2617" s="410"/>
      <c r="F2617" s="410"/>
      <c r="H2617" s="269"/>
      <c r="I2617" s="269"/>
      <c r="J2617" s="269"/>
      <c r="K2617" s="269"/>
      <c r="L2617" s="269"/>
      <c r="M2617" s="269"/>
      <c r="N2617" s="269"/>
      <c r="O2617" s="269"/>
      <c r="P2617" s="269"/>
      <c r="Q2617" s="269"/>
      <c r="R2617" s="269"/>
      <c r="S2617" s="269"/>
      <c r="T2617" s="269"/>
      <c r="U2617" s="269"/>
      <c r="V2617" s="269"/>
      <c r="W2617" s="269"/>
      <c r="X2617" s="269"/>
      <c r="Y2617" s="269"/>
      <c r="Z2617" s="269"/>
      <c r="AA2617" s="269"/>
      <c r="AB2617" s="269"/>
      <c r="AC2617" s="269"/>
      <c r="AD2617" s="269"/>
      <c r="AE2617" s="269"/>
      <c r="AF2617" s="269"/>
      <c r="AG2617" s="269"/>
      <c r="AH2617" s="269"/>
      <c r="AI2617" s="269"/>
      <c r="AJ2617" s="269"/>
      <c r="AK2617" s="269"/>
      <c r="AL2617" s="269"/>
      <c r="AM2617" s="269"/>
      <c r="AN2617" s="269"/>
      <c r="AO2617" s="269"/>
      <c r="AP2617" s="269"/>
      <c r="AQ2617" s="269"/>
      <c r="AR2617" s="269"/>
    </row>
    <row r="2618">
      <c r="A2618" s="410"/>
      <c r="B2618" s="410"/>
      <c r="C2618" s="410"/>
      <c r="D2618" s="410"/>
      <c r="E2618" s="410"/>
      <c r="F2618" s="410"/>
      <c r="H2618" s="269"/>
      <c r="I2618" s="269"/>
      <c r="J2618" s="269"/>
      <c r="K2618" s="269"/>
      <c r="L2618" s="269"/>
      <c r="M2618" s="269"/>
      <c r="N2618" s="269"/>
      <c r="O2618" s="269"/>
      <c r="P2618" s="269"/>
      <c r="Q2618" s="269"/>
      <c r="R2618" s="269"/>
      <c r="S2618" s="269"/>
      <c r="T2618" s="269"/>
      <c r="U2618" s="269"/>
      <c r="V2618" s="269"/>
      <c r="W2618" s="269"/>
      <c r="X2618" s="269"/>
      <c r="Y2618" s="269"/>
      <c r="Z2618" s="269"/>
      <c r="AA2618" s="269"/>
      <c r="AB2618" s="269"/>
      <c r="AC2618" s="269"/>
      <c r="AD2618" s="269"/>
      <c r="AE2618" s="269"/>
      <c r="AF2618" s="269"/>
      <c r="AG2618" s="269"/>
      <c r="AH2618" s="269"/>
      <c r="AI2618" s="269"/>
      <c r="AJ2618" s="269"/>
      <c r="AK2618" s="269"/>
      <c r="AL2618" s="269"/>
      <c r="AM2618" s="269"/>
      <c r="AN2618" s="269"/>
      <c r="AO2618" s="269"/>
      <c r="AP2618" s="269"/>
      <c r="AQ2618" s="269"/>
      <c r="AR2618" s="269"/>
    </row>
    <row r="2619">
      <c r="A2619" s="410"/>
      <c r="B2619" s="410"/>
      <c r="C2619" s="410"/>
      <c r="D2619" s="410"/>
      <c r="E2619" s="410"/>
      <c r="F2619" s="410"/>
      <c r="H2619" s="269"/>
      <c r="I2619" s="269"/>
      <c r="J2619" s="269"/>
      <c r="K2619" s="269"/>
      <c r="L2619" s="269"/>
      <c r="M2619" s="269"/>
      <c r="N2619" s="269"/>
      <c r="O2619" s="269"/>
      <c r="P2619" s="269"/>
      <c r="Q2619" s="269"/>
      <c r="R2619" s="269"/>
      <c r="S2619" s="269"/>
      <c r="T2619" s="269"/>
      <c r="U2619" s="269"/>
      <c r="V2619" s="269"/>
      <c r="W2619" s="269"/>
      <c r="X2619" s="269"/>
      <c r="Y2619" s="269"/>
      <c r="Z2619" s="269"/>
      <c r="AA2619" s="269"/>
      <c r="AB2619" s="269"/>
      <c r="AC2619" s="269"/>
      <c r="AD2619" s="269"/>
      <c r="AE2619" s="269"/>
      <c r="AF2619" s="269"/>
      <c r="AG2619" s="269"/>
      <c r="AH2619" s="269"/>
      <c r="AI2619" s="269"/>
      <c r="AJ2619" s="269"/>
      <c r="AK2619" s="269"/>
      <c r="AL2619" s="269"/>
      <c r="AM2619" s="269"/>
      <c r="AN2619" s="269"/>
      <c r="AO2619" s="269"/>
      <c r="AP2619" s="269"/>
      <c r="AQ2619" s="269"/>
      <c r="AR2619" s="269"/>
    </row>
    <row r="2620">
      <c r="A2620" s="410"/>
      <c r="B2620" s="410"/>
      <c r="C2620" s="410"/>
      <c r="D2620" s="410"/>
      <c r="E2620" s="410"/>
      <c r="F2620" s="410"/>
      <c r="H2620" s="269"/>
      <c r="I2620" s="269"/>
      <c r="J2620" s="269"/>
      <c r="K2620" s="269"/>
      <c r="L2620" s="269"/>
      <c r="M2620" s="269"/>
      <c r="N2620" s="269"/>
      <c r="O2620" s="269"/>
      <c r="P2620" s="269"/>
      <c r="Q2620" s="269"/>
      <c r="R2620" s="269"/>
      <c r="S2620" s="269"/>
      <c r="T2620" s="269"/>
      <c r="U2620" s="269"/>
      <c r="V2620" s="269"/>
      <c r="W2620" s="269"/>
      <c r="X2620" s="269"/>
      <c r="Y2620" s="269"/>
      <c r="Z2620" s="269"/>
      <c r="AA2620" s="269"/>
      <c r="AB2620" s="269"/>
      <c r="AC2620" s="269"/>
      <c r="AD2620" s="269"/>
      <c r="AE2620" s="269"/>
      <c r="AF2620" s="269"/>
      <c r="AG2620" s="269"/>
      <c r="AH2620" s="269"/>
      <c r="AI2620" s="269"/>
      <c r="AJ2620" s="269"/>
      <c r="AK2620" s="269"/>
      <c r="AL2620" s="269"/>
      <c r="AM2620" s="269"/>
      <c r="AN2620" s="269"/>
      <c r="AO2620" s="269"/>
      <c r="AP2620" s="269"/>
      <c r="AQ2620" s="269"/>
      <c r="AR2620" s="269"/>
    </row>
    <row r="2621">
      <c r="A2621" s="410"/>
      <c r="B2621" s="410"/>
      <c r="C2621" s="410"/>
      <c r="D2621" s="410"/>
      <c r="E2621" s="410"/>
      <c r="F2621" s="410"/>
      <c r="H2621" s="269"/>
      <c r="I2621" s="269"/>
      <c r="J2621" s="269"/>
      <c r="K2621" s="269"/>
      <c r="L2621" s="269"/>
      <c r="M2621" s="269"/>
      <c r="N2621" s="269"/>
      <c r="O2621" s="269"/>
      <c r="P2621" s="269"/>
      <c r="Q2621" s="269"/>
      <c r="R2621" s="269"/>
      <c r="S2621" s="269"/>
      <c r="T2621" s="269"/>
      <c r="U2621" s="269"/>
      <c r="V2621" s="269"/>
      <c r="W2621" s="269"/>
      <c r="X2621" s="269"/>
      <c r="Y2621" s="269"/>
      <c r="Z2621" s="269"/>
      <c r="AA2621" s="269"/>
      <c r="AB2621" s="269"/>
      <c r="AC2621" s="269"/>
      <c r="AD2621" s="269"/>
      <c r="AE2621" s="269"/>
      <c r="AF2621" s="269"/>
      <c r="AG2621" s="269"/>
      <c r="AH2621" s="269"/>
      <c r="AI2621" s="269"/>
      <c r="AJ2621" s="269"/>
      <c r="AK2621" s="269"/>
      <c r="AL2621" s="269"/>
      <c r="AM2621" s="269"/>
      <c r="AN2621" s="269"/>
      <c r="AO2621" s="269"/>
      <c r="AP2621" s="269"/>
      <c r="AQ2621" s="269"/>
      <c r="AR2621" s="269"/>
    </row>
    <row r="2622">
      <c r="A2622" s="410"/>
      <c r="B2622" s="410"/>
      <c r="C2622" s="410"/>
      <c r="D2622" s="410"/>
      <c r="E2622" s="410"/>
      <c r="F2622" s="410"/>
      <c r="H2622" s="269"/>
      <c r="I2622" s="269"/>
      <c r="J2622" s="269"/>
      <c r="K2622" s="269"/>
      <c r="L2622" s="269"/>
      <c r="M2622" s="269"/>
      <c r="N2622" s="269"/>
      <c r="O2622" s="269"/>
      <c r="P2622" s="269"/>
      <c r="Q2622" s="269"/>
      <c r="R2622" s="269"/>
      <c r="S2622" s="269"/>
      <c r="T2622" s="269"/>
      <c r="U2622" s="269"/>
      <c r="V2622" s="269"/>
      <c r="W2622" s="269"/>
      <c r="X2622" s="269"/>
      <c r="Y2622" s="269"/>
      <c r="Z2622" s="269"/>
      <c r="AA2622" s="269"/>
      <c r="AB2622" s="269"/>
      <c r="AC2622" s="269"/>
      <c r="AD2622" s="269"/>
      <c r="AE2622" s="269"/>
      <c r="AF2622" s="269"/>
      <c r="AG2622" s="269"/>
      <c r="AH2622" s="269"/>
      <c r="AI2622" s="269"/>
      <c r="AJ2622" s="269"/>
      <c r="AK2622" s="269"/>
      <c r="AL2622" s="269"/>
      <c r="AM2622" s="269"/>
      <c r="AN2622" s="269"/>
      <c r="AO2622" s="269"/>
      <c r="AP2622" s="269"/>
      <c r="AQ2622" s="269"/>
      <c r="AR2622" s="269"/>
    </row>
    <row r="2623">
      <c r="A2623" s="410"/>
      <c r="B2623" s="410"/>
      <c r="C2623" s="410"/>
      <c r="D2623" s="410"/>
      <c r="E2623" s="410"/>
      <c r="F2623" s="410"/>
      <c r="H2623" s="269"/>
      <c r="I2623" s="269"/>
      <c r="J2623" s="269"/>
      <c r="K2623" s="269"/>
      <c r="L2623" s="269"/>
      <c r="M2623" s="269"/>
      <c r="N2623" s="269"/>
      <c r="O2623" s="269"/>
      <c r="P2623" s="269"/>
      <c r="Q2623" s="269"/>
      <c r="R2623" s="269"/>
      <c r="S2623" s="269"/>
      <c r="T2623" s="269"/>
      <c r="U2623" s="269"/>
      <c r="V2623" s="269"/>
      <c r="W2623" s="269"/>
      <c r="X2623" s="269"/>
      <c r="Y2623" s="269"/>
      <c r="Z2623" s="269"/>
      <c r="AA2623" s="269"/>
      <c r="AB2623" s="269"/>
      <c r="AC2623" s="269"/>
      <c r="AD2623" s="269"/>
      <c r="AE2623" s="269"/>
      <c r="AF2623" s="269"/>
      <c r="AG2623" s="269"/>
      <c r="AH2623" s="269"/>
      <c r="AI2623" s="269"/>
      <c r="AJ2623" s="269"/>
      <c r="AK2623" s="269"/>
      <c r="AL2623" s="269"/>
      <c r="AM2623" s="269"/>
      <c r="AN2623" s="269"/>
      <c r="AO2623" s="269"/>
      <c r="AP2623" s="269"/>
      <c r="AQ2623" s="269"/>
      <c r="AR2623" s="269"/>
    </row>
    <row r="2624">
      <c r="A2624" s="410"/>
      <c r="B2624" s="410"/>
      <c r="C2624" s="410"/>
      <c r="D2624" s="410"/>
      <c r="E2624" s="410"/>
      <c r="F2624" s="410"/>
      <c r="H2624" s="269"/>
      <c r="I2624" s="269"/>
      <c r="J2624" s="269"/>
      <c r="K2624" s="269"/>
      <c r="L2624" s="269"/>
      <c r="M2624" s="269"/>
      <c r="N2624" s="269"/>
      <c r="O2624" s="269"/>
      <c r="P2624" s="269"/>
      <c r="Q2624" s="269"/>
      <c r="R2624" s="269"/>
      <c r="S2624" s="269"/>
      <c r="T2624" s="269"/>
      <c r="U2624" s="269"/>
      <c r="V2624" s="269"/>
      <c r="W2624" s="269"/>
      <c r="X2624" s="269"/>
      <c r="Y2624" s="269"/>
      <c r="Z2624" s="269"/>
      <c r="AA2624" s="269"/>
      <c r="AB2624" s="269"/>
      <c r="AC2624" s="269"/>
      <c r="AD2624" s="269"/>
      <c r="AE2624" s="269"/>
      <c r="AF2624" s="269"/>
      <c r="AG2624" s="269"/>
      <c r="AH2624" s="269"/>
      <c r="AI2624" s="269"/>
      <c r="AJ2624" s="269"/>
      <c r="AK2624" s="269"/>
      <c r="AL2624" s="269"/>
      <c r="AM2624" s="269"/>
      <c r="AN2624" s="269"/>
      <c r="AO2624" s="269"/>
      <c r="AP2624" s="269"/>
      <c r="AQ2624" s="269"/>
      <c r="AR2624" s="269"/>
    </row>
    <row r="2625">
      <c r="A2625" s="410"/>
      <c r="B2625" s="410"/>
      <c r="C2625" s="410"/>
      <c r="D2625" s="410"/>
      <c r="E2625" s="410"/>
      <c r="F2625" s="410"/>
      <c r="H2625" s="269"/>
      <c r="I2625" s="269"/>
      <c r="J2625" s="269"/>
      <c r="K2625" s="269"/>
      <c r="L2625" s="269"/>
      <c r="M2625" s="269"/>
      <c r="N2625" s="269"/>
      <c r="O2625" s="269"/>
      <c r="P2625" s="269"/>
      <c r="Q2625" s="269"/>
      <c r="R2625" s="269"/>
      <c r="S2625" s="269"/>
      <c r="T2625" s="269"/>
      <c r="U2625" s="269"/>
      <c r="V2625" s="269"/>
      <c r="W2625" s="269"/>
      <c r="X2625" s="269"/>
      <c r="Y2625" s="269"/>
      <c r="Z2625" s="269"/>
      <c r="AA2625" s="269"/>
      <c r="AB2625" s="269"/>
      <c r="AC2625" s="269"/>
      <c r="AD2625" s="269"/>
      <c r="AE2625" s="269"/>
      <c r="AF2625" s="269"/>
      <c r="AG2625" s="269"/>
      <c r="AH2625" s="269"/>
      <c r="AI2625" s="269"/>
      <c r="AJ2625" s="269"/>
      <c r="AK2625" s="269"/>
      <c r="AL2625" s="269"/>
      <c r="AM2625" s="269"/>
      <c r="AN2625" s="269"/>
      <c r="AO2625" s="269"/>
      <c r="AP2625" s="269"/>
      <c r="AQ2625" s="269"/>
      <c r="AR2625" s="269"/>
    </row>
    <row r="2626">
      <c r="A2626" s="410"/>
      <c r="B2626" s="410"/>
      <c r="C2626" s="410"/>
      <c r="D2626" s="410"/>
      <c r="E2626" s="410"/>
      <c r="F2626" s="410"/>
      <c r="H2626" s="269"/>
      <c r="I2626" s="269"/>
      <c r="J2626" s="269"/>
      <c r="K2626" s="269"/>
      <c r="L2626" s="269"/>
      <c r="M2626" s="269"/>
      <c r="N2626" s="269"/>
      <c r="O2626" s="269"/>
      <c r="P2626" s="269"/>
      <c r="Q2626" s="269"/>
      <c r="R2626" s="269"/>
      <c r="S2626" s="269"/>
      <c r="T2626" s="269"/>
      <c r="U2626" s="269"/>
      <c r="V2626" s="269"/>
      <c r="W2626" s="269"/>
      <c r="X2626" s="269"/>
      <c r="Y2626" s="269"/>
      <c r="Z2626" s="269"/>
      <c r="AA2626" s="269"/>
      <c r="AB2626" s="269"/>
      <c r="AC2626" s="269"/>
      <c r="AD2626" s="269"/>
      <c r="AE2626" s="269"/>
      <c r="AF2626" s="269"/>
      <c r="AG2626" s="269"/>
      <c r="AH2626" s="269"/>
      <c r="AI2626" s="269"/>
      <c r="AJ2626" s="269"/>
      <c r="AK2626" s="269"/>
      <c r="AL2626" s="269"/>
      <c r="AM2626" s="269"/>
      <c r="AN2626" s="269"/>
      <c r="AO2626" s="269"/>
      <c r="AP2626" s="269"/>
      <c r="AQ2626" s="269"/>
      <c r="AR2626" s="269"/>
    </row>
    <row r="2627">
      <c r="A2627" s="410"/>
      <c r="B2627" s="410"/>
      <c r="C2627" s="410"/>
      <c r="D2627" s="410"/>
      <c r="E2627" s="410"/>
      <c r="F2627" s="410"/>
      <c r="H2627" s="269"/>
      <c r="I2627" s="269"/>
      <c r="J2627" s="269"/>
      <c r="K2627" s="269"/>
      <c r="L2627" s="269"/>
      <c r="M2627" s="269"/>
      <c r="N2627" s="269"/>
      <c r="O2627" s="269"/>
      <c r="P2627" s="269"/>
      <c r="Q2627" s="269"/>
      <c r="R2627" s="269"/>
      <c r="S2627" s="269"/>
      <c r="T2627" s="269"/>
      <c r="U2627" s="269"/>
      <c r="V2627" s="269"/>
      <c r="W2627" s="269"/>
      <c r="X2627" s="269"/>
      <c r="Y2627" s="269"/>
      <c r="Z2627" s="269"/>
      <c r="AA2627" s="269"/>
      <c r="AB2627" s="269"/>
      <c r="AC2627" s="269"/>
      <c r="AD2627" s="269"/>
      <c r="AE2627" s="269"/>
      <c r="AF2627" s="269"/>
      <c r="AG2627" s="269"/>
      <c r="AH2627" s="269"/>
      <c r="AI2627" s="269"/>
      <c r="AJ2627" s="269"/>
      <c r="AK2627" s="269"/>
      <c r="AL2627" s="269"/>
      <c r="AM2627" s="269"/>
      <c r="AN2627" s="269"/>
      <c r="AO2627" s="269"/>
      <c r="AP2627" s="269"/>
      <c r="AQ2627" s="269"/>
      <c r="AR2627" s="269"/>
    </row>
    <row r="2628">
      <c r="A2628" s="410"/>
      <c r="B2628" s="410"/>
      <c r="C2628" s="410"/>
      <c r="D2628" s="410"/>
      <c r="E2628" s="410"/>
      <c r="F2628" s="410"/>
      <c r="H2628" s="269"/>
      <c r="I2628" s="269"/>
      <c r="J2628" s="269"/>
      <c r="K2628" s="269"/>
      <c r="L2628" s="269"/>
      <c r="M2628" s="269"/>
      <c r="N2628" s="269"/>
      <c r="O2628" s="269"/>
      <c r="P2628" s="269"/>
      <c r="Q2628" s="269"/>
      <c r="R2628" s="269"/>
      <c r="S2628" s="269"/>
      <c r="T2628" s="269"/>
      <c r="U2628" s="269"/>
      <c r="V2628" s="269"/>
      <c r="W2628" s="269"/>
      <c r="X2628" s="269"/>
      <c r="Y2628" s="269"/>
      <c r="Z2628" s="269"/>
      <c r="AA2628" s="269"/>
      <c r="AB2628" s="269"/>
      <c r="AC2628" s="269"/>
      <c r="AD2628" s="269"/>
      <c r="AE2628" s="269"/>
      <c r="AF2628" s="269"/>
      <c r="AG2628" s="269"/>
      <c r="AH2628" s="269"/>
      <c r="AI2628" s="269"/>
      <c r="AJ2628" s="269"/>
      <c r="AK2628" s="269"/>
      <c r="AL2628" s="269"/>
      <c r="AM2628" s="269"/>
      <c r="AN2628" s="269"/>
      <c r="AO2628" s="269"/>
      <c r="AP2628" s="269"/>
      <c r="AQ2628" s="269"/>
      <c r="AR2628" s="269"/>
    </row>
    <row r="2629">
      <c r="A2629" s="410"/>
      <c r="B2629" s="410"/>
      <c r="C2629" s="410"/>
      <c r="D2629" s="410"/>
      <c r="E2629" s="410"/>
      <c r="F2629" s="410"/>
      <c r="H2629" s="269"/>
      <c r="I2629" s="269"/>
      <c r="J2629" s="269"/>
      <c r="K2629" s="269"/>
      <c r="L2629" s="269"/>
      <c r="M2629" s="269"/>
      <c r="N2629" s="269"/>
      <c r="O2629" s="269"/>
      <c r="P2629" s="269"/>
      <c r="Q2629" s="269"/>
      <c r="R2629" s="269"/>
      <c r="S2629" s="269"/>
      <c r="T2629" s="269"/>
      <c r="U2629" s="269"/>
      <c r="V2629" s="269"/>
      <c r="W2629" s="269"/>
      <c r="X2629" s="269"/>
      <c r="Y2629" s="269"/>
      <c r="Z2629" s="269"/>
      <c r="AA2629" s="269"/>
      <c r="AB2629" s="269"/>
      <c r="AC2629" s="269"/>
      <c r="AD2629" s="269"/>
      <c r="AE2629" s="269"/>
      <c r="AF2629" s="269"/>
      <c r="AG2629" s="269"/>
      <c r="AH2629" s="269"/>
      <c r="AI2629" s="269"/>
      <c r="AJ2629" s="269"/>
      <c r="AK2629" s="269"/>
      <c r="AL2629" s="269"/>
      <c r="AM2629" s="269"/>
      <c r="AN2629" s="269"/>
      <c r="AO2629" s="269"/>
      <c r="AP2629" s="269"/>
      <c r="AQ2629" s="269"/>
      <c r="AR2629" s="269"/>
    </row>
    <row r="2630">
      <c r="A2630" s="410"/>
      <c r="B2630" s="410"/>
      <c r="C2630" s="410"/>
      <c r="D2630" s="410"/>
      <c r="E2630" s="410"/>
      <c r="F2630" s="410"/>
      <c r="H2630" s="269"/>
      <c r="I2630" s="269"/>
      <c r="J2630" s="269"/>
      <c r="K2630" s="269"/>
      <c r="L2630" s="269"/>
      <c r="M2630" s="269"/>
      <c r="N2630" s="269"/>
      <c r="O2630" s="269"/>
      <c r="P2630" s="269"/>
      <c r="Q2630" s="269"/>
      <c r="R2630" s="269"/>
      <c r="S2630" s="269"/>
      <c r="T2630" s="269"/>
      <c r="U2630" s="269"/>
      <c r="V2630" s="269"/>
      <c r="W2630" s="269"/>
      <c r="X2630" s="269"/>
      <c r="Y2630" s="269"/>
      <c r="Z2630" s="269"/>
      <c r="AA2630" s="269"/>
      <c r="AB2630" s="269"/>
      <c r="AC2630" s="269"/>
      <c r="AD2630" s="269"/>
      <c r="AE2630" s="269"/>
      <c r="AF2630" s="269"/>
      <c r="AG2630" s="269"/>
      <c r="AH2630" s="269"/>
      <c r="AI2630" s="269"/>
      <c r="AJ2630" s="269"/>
      <c r="AK2630" s="269"/>
      <c r="AL2630" s="269"/>
      <c r="AM2630" s="269"/>
      <c r="AN2630" s="269"/>
      <c r="AO2630" s="269"/>
      <c r="AP2630" s="269"/>
      <c r="AQ2630" s="269"/>
      <c r="AR2630" s="269"/>
    </row>
    <row r="2631">
      <c r="A2631" s="410"/>
      <c r="B2631" s="410"/>
      <c r="C2631" s="410"/>
      <c r="D2631" s="410"/>
      <c r="E2631" s="410"/>
      <c r="F2631" s="410"/>
      <c r="H2631" s="269"/>
      <c r="I2631" s="269"/>
      <c r="J2631" s="269"/>
      <c r="K2631" s="269"/>
      <c r="L2631" s="269"/>
      <c r="M2631" s="269"/>
      <c r="N2631" s="269"/>
      <c r="O2631" s="269"/>
      <c r="P2631" s="269"/>
      <c r="Q2631" s="269"/>
      <c r="R2631" s="269"/>
      <c r="S2631" s="269"/>
      <c r="T2631" s="269"/>
      <c r="U2631" s="269"/>
      <c r="V2631" s="269"/>
      <c r="W2631" s="269"/>
      <c r="X2631" s="269"/>
      <c r="Y2631" s="269"/>
      <c r="Z2631" s="269"/>
      <c r="AA2631" s="269"/>
      <c r="AB2631" s="269"/>
      <c r="AC2631" s="269"/>
      <c r="AD2631" s="269"/>
      <c r="AE2631" s="269"/>
      <c r="AF2631" s="269"/>
      <c r="AG2631" s="269"/>
      <c r="AH2631" s="269"/>
      <c r="AI2631" s="269"/>
      <c r="AJ2631" s="269"/>
      <c r="AK2631" s="269"/>
      <c r="AL2631" s="269"/>
      <c r="AM2631" s="269"/>
      <c r="AN2631" s="269"/>
      <c r="AO2631" s="269"/>
      <c r="AP2631" s="269"/>
      <c r="AQ2631" s="269"/>
      <c r="AR2631" s="269"/>
    </row>
    <row r="2632">
      <c r="A2632" s="410"/>
      <c r="B2632" s="410"/>
      <c r="C2632" s="410"/>
      <c r="D2632" s="410"/>
      <c r="E2632" s="410"/>
      <c r="F2632" s="410"/>
      <c r="H2632" s="269"/>
      <c r="I2632" s="269"/>
      <c r="J2632" s="269"/>
      <c r="K2632" s="269"/>
      <c r="L2632" s="269"/>
      <c r="M2632" s="269"/>
      <c r="N2632" s="269"/>
      <c r="O2632" s="269"/>
      <c r="P2632" s="269"/>
      <c r="Q2632" s="269"/>
      <c r="R2632" s="269"/>
      <c r="S2632" s="269"/>
      <c r="T2632" s="269"/>
      <c r="U2632" s="269"/>
      <c r="V2632" s="269"/>
      <c r="W2632" s="269"/>
      <c r="X2632" s="269"/>
      <c r="Y2632" s="269"/>
      <c r="Z2632" s="269"/>
      <c r="AA2632" s="269"/>
      <c r="AB2632" s="269"/>
      <c r="AC2632" s="269"/>
      <c r="AD2632" s="269"/>
      <c r="AE2632" s="269"/>
      <c r="AF2632" s="269"/>
      <c r="AG2632" s="269"/>
      <c r="AH2632" s="269"/>
      <c r="AI2632" s="269"/>
      <c r="AJ2632" s="269"/>
      <c r="AK2632" s="269"/>
      <c r="AL2632" s="269"/>
      <c r="AM2632" s="269"/>
      <c r="AN2632" s="269"/>
      <c r="AO2632" s="269"/>
      <c r="AP2632" s="269"/>
      <c r="AQ2632" s="269"/>
      <c r="AR2632" s="269"/>
    </row>
    <row r="2633">
      <c r="A2633" s="410"/>
      <c r="B2633" s="410"/>
      <c r="C2633" s="410"/>
      <c r="D2633" s="410"/>
      <c r="E2633" s="410"/>
      <c r="F2633" s="410"/>
      <c r="H2633" s="269"/>
      <c r="I2633" s="269"/>
      <c r="J2633" s="269"/>
      <c r="K2633" s="269"/>
      <c r="L2633" s="269"/>
      <c r="M2633" s="269"/>
      <c r="N2633" s="269"/>
      <c r="O2633" s="269"/>
      <c r="P2633" s="269"/>
      <c r="Q2633" s="269"/>
      <c r="R2633" s="269"/>
      <c r="S2633" s="269"/>
      <c r="T2633" s="269"/>
      <c r="U2633" s="269"/>
      <c r="V2633" s="269"/>
      <c r="W2633" s="269"/>
      <c r="X2633" s="269"/>
      <c r="Y2633" s="269"/>
      <c r="Z2633" s="269"/>
      <c r="AA2633" s="269"/>
      <c r="AB2633" s="269"/>
      <c r="AC2633" s="269"/>
      <c r="AD2633" s="269"/>
      <c r="AE2633" s="269"/>
      <c r="AF2633" s="269"/>
      <c r="AG2633" s="269"/>
      <c r="AH2633" s="269"/>
      <c r="AI2633" s="269"/>
      <c r="AJ2633" s="269"/>
      <c r="AK2633" s="269"/>
      <c r="AL2633" s="269"/>
      <c r="AM2633" s="269"/>
      <c r="AN2633" s="269"/>
      <c r="AO2633" s="269"/>
      <c r="AP2633" s="269"/>
      <c r="AQ2633" s="269"/>
      <c r="AR2633" s="269"/>
    </row>
    <row r="2634">
      <c r="A2634" s="410"/>
      <c r="B2634" s="410"/>
      <c r="C2634" s="410"/>
      <c r="D2634" s="410"/>
      <c r="E2634" s="410"/>
      <c r="F2634" s="410"/>
      <c r="H2634" s="269"/>
      <c r="I2634" s="269"/>
      <c r="J2634" s="269"/>
      <c r="K2634" s="269"/>
      <c r="L2634" s="269"/>
      <c r="M2634" s="269"/>
      <c r="N2634" s="269"/>
      <c r="O2634" s="269"/>
      <c r="P2634" s="269"/>
      <c r="Q2634" s="269"/>
      <c r="R2634" s="269"/>
      <c r="S2634" s="269"/>
      <c r="T2634" s="269"/>
      <c r="U2634" s="269"/>
      <c r="V2634" s="269"/>
      <c r="W2634" s="269"/>
      <c r="X2634" s="269"/>
      <c r="Y2634" s="269"/>
      <c r="Z2634" s="269"/>
      <c r="AA2634" s="269"/>
      <c r="AB2634" s="269"/>
      <c r="AC2634" s="269"/>
      <c r="AD2634" s="269"/>
      <c r="AE2634" s="269"/>
      <c r="AF2634" s="269"/>
      <c r="AG2634" s="269"/>
      <c r="AH2634" s="269"/>
      <c r="AI2634" s="269"/>
      <c r="AJ2634" s="269"/>
      <c r="AK2634" s="269"/>
      <c r="AL2634" s="269"/>
      <c r="AM2634" s="269"/>
      <c r="AN2634" s="269"/>
      <c r="AO2634" s="269"/>
      <c r="AP2634" s="269"/>
      <c r="AQ2634" s="269"/>
      <c r="AR2634" s="269"/>
    </row>
    <row r="2635">
      <c r="A2635" s="410"/>
      <c r="B2635" s="410"/>
      <c r="C2635" s="410"/>
      <c r="D2635" s="410"/>
      <c r="E2635" s="410"/>
      <c r="F2635" s="410"/>
      <c r="H2635" s="269"/>
      <c r="I2635" s="269"/>
      <c r="J2635" s="269"/>
      <c r="K2635" s="269"/>
      <c r="L2635" s="269"/>
      <c r="M2635" s="269"/>
      <c r="N2635" s="269"/>
      <c r="O2635" s="269"/>
      <c r="P2635" s="269"/>
      <c r="Q2635" s="269"/>
      <c r="R2635" s="269"/>
      <c r="S2635" s="269"/>
      <c r="T2635" s="269"/>
      <c r="U2635" s="269"/>
      <c r="V2635" s="269"/>
      <c r="W2635" s="269"/>
      <c r="X2635" s="269"/>
      <c r="Y2635" s="269"/>
      <c r="Z2635" s="269"/>
      <c r="AA2635" s="269"/>
      <c r="AB2635" s="269"/>
      <c r="AC2635" s="269"/>
      <c r="AD2635" s="269"/>
      <c r="AE2635" s="269"/>
      <c r="AF2635" s="269"/>
      <c r="AG2635" s="269"/>
      <c r="AH2635" s="269"/>
      <c r="AI2635" s="269"/>
      <c r="AJ2635" s="269"/>
      <c r="AK2635" s="269"/>
      <c r="AL2635" s="269"/>
      <c r="AM2635" s="269"/>
      <c r="AN2635" s="269"/>
      <c r="AO2635" s="269"/>
      <c r="AP2635" s="269"/>
      <c r="AQ2635" s="269"/>
      <c r="AR2635" s="269"/>
    </row>
    <row r="2636">
      <c r="A2636" s="410"/>
      <c r="B2636" s="410"/>
      <c r="C2636" s="410"/>
      <c r="D2636" s="410"/>
      <c r="E2636" s="410"/>
      <c r="F2636" s="410"/>
      <c r="H2636" s="269"/>
      <c r="I2636" s="269"/>
      <c r="J2636" s="269"/>
      <c r="K2636" s="269"/>
      <c r="L2636" s="269"/>
      <c r="M2636" s="269"/>
      <c r="N2636" s="269"/>
      <c r="O2636" s="269"/>
      <c r="P2636" s="269"/>
      <c r="Q2636" s="269"/>
      <c r="R2636" s="269"/>
      <c r="S2636" s="269"/>
      <c r="T2636" s="269"/>
      <c r="U2636" s="269"/>
      <c r="V2636" s="269"/>
      <c r="W2636" s="269"/>
      <c r="X2636" s="269"/>
      <c r="Y2636" s="269"/>
      <c r="Z2636" s="269"/>
      <c r="AA2636" s="269"/>
      <c r="AB2636" s="269"/>
      <c r="AC2636" s="269"/>
      <c r="AD2636" s="269"/>
      <c r="AE2636" s="269"/>
      <c r="AF2636" s="269"/>
      <c r="AG2636" s="269"/>
      <c r="AH2636" s="269"/>
      <c r="AI2636" s="269"/>
      <c r="AJ2636" s="269"/>
      <c r="AK2636" s="269"/>
      <c r="AL2636" s="269"/>
      <c r="AM2636" s="269"/>
      <c r="AN2636" s="269"/>
      <c r="AO2636" s="269"/>
      <c r="AP2636" s="269"/>
      <c r="AQ2636" s="269"/>
      <c r="AR2636" s="269"/>
    </row>
    <row r="2637">
      <c r="A2637" s="410"/>
      <c r="B2637" s="410"/>
      <c r="C2637" s="410"/>
      <c r="D2637" s="410"/>
      <c r="E2637" s="410"/>
      <c r="F2637" s="410"/>
      <c r="H2637" s="269"/>
      <c r="I2637" s="269"/>
      <c r="J2637" s="269"/>
      <c r="K2637" s="269"/>
      <c r="L2637" s="269"/>
      <c r="M2637" s="269"/>
      <c r="N2637" s="269"/>
      <c r="O2637" s="269"/>
      <c r="P2637" s="269"/>
      <c r="Q2637" s="269"/>
      <c r="R2637" s="269"/>
      <c r="S2637" s="269"/>
      <c r="T2637" s="269"/>
      <c r="U2637" s="269"/>
      <c r="V2637" s="269"/>
      <c r="W2637" s="269"/>
      <c r="X2637" s="269"/>
      <c r="Y2637" s="269"/>
      <c r="Z2637" s="269"/>
      <c r="AA2637" s="269"/>
      <c r="AB2637" s="269"/>
      <c r="AC2637" s="269"/>
      <c r="AD2637" s="269"/>
      <c r="AE2637" s="269"/>
      <c r="AF2637" s="269"/>
      <c r="AG2637" s="269"/>
      <c r="AH2637" s="269"/>
      <c r="AI2637" s="269"/>
      <c r="AJ2637" s="269"/>
      <c r="AK2637" s="269"/>
      <c r="AL2637" s="269"/>
      <c r="AM2637" s="269"/>
      <c r="AN2637" s="269"/>
      <c r="AO2637" s="269"/>
      <c r="AP2637" s="269"/>
      <c r="AQ2637" s="269"/>
      <c r="AR2637" s="269"/>
    </row>
    <row r="2638">
      <c r="A2638" s="410"/>
      <c r="B2638" s="410"/>
      <c r="C2638" s="410"/>
      <c r="D2638" s="410"/>
      <c r="E2638" s="410"/>
      <c r="F2638" s="410"/>
      <c r="H2638" s="269"/>
      <c r="I2638" s="269"/>
      <c r="J2638" s="269"/>
      <c r="K2638" s="269"/>
      <c r="L2638" s="269"/>
      <c r="M2638" s="269"/>
      <c r="N2638" s="269"/>
      <c r="O2638" s="269"/>
      <c r="P2638" s="269"/>
      <c r="Q2638" s="269"/>
      <c r="R2638" s="269"/>
      <c r="S2638" s="269"/>
      <c r="T2638" s="269"/>
      <c r="U2638" s="269"/>
      <c r="V2638" s="269"/>
      <c r="W2638" s="269"/>
      <c r="X2638" s="269"/>
      <c r="Y2638" s="269"/>
      <c r="Z2638" s="269"/>
      <c r="AA2638" s="269"/>
      <c r="AB2638" s="269"/>
      <c r="AC2638" s="269"/>
      <c r="AD2638" s="269"/>
      <c r="AE2638" s="269"/>
      <c r="AF2638" s="269"/>
      <c r="AG2638" s="269"/>
      <c r="AH2638" s="269"/>
      <c r="AI2638" s="269"/>
      <c r="AJ2638" s="269"/>
      <c r="AK2638" s="269"/>
      <c r="AL2638" s="269"/>
      <c r="AM2638" s="269"/>
      <c r="AN2638" s="269"/>
      <c r="AO2638" s="269"/>
      <c r="AP2638" s="269"/>
      <c r="AQ2638" s="269"/>
      <c r="AR2638" s="269"/>
    </row>
    <row r="2639">
      <c r="A2639" s="410"/>
      <c r="B2639" s="410"/>
      <c r="C2639" s="410"/>
      <c r="D2639" s="410"/>
      <c r="E2639" s="410"/>
      <c r="F2639" s="410"/>
      <c r="H2639" s="269"/>
      <c r="I2639" s="269"/>
      <c r="J2639" s="269"/>
      <c r="K2639" s="269"/>
      <c r="L2639" s="269"/>
      <c r="M2639" s="269"/>
      <c r="N2639" s="269"/>
      <c r="O2639" s="269"/>
      <c r="P2639" s="269"/>
      <c r="Q2639" s="269"/>
      <c r="R2639" s="269"/>
      <c r="S2639" s="269"/>
      <c r="T2639" s="269"/>
      <c r="U2639" s="269"/>
      <c r="V2639" s="269"/>
      <c r="W2639" s="269"/>
      <c r="X2639" s="269"/>
      <c r="Y2639" s="269"/>
      <c r="Z2639" s="269"/>
      <c r="AA2639" s="269"/>
      <c r="AB2639" s="269"/>
      <c r="AC2639" s="269"/>
      <c r="AD2639" s="269"/>
      <c r="AE2639" s="269"/>
      <c r="AF2639" s="269"/>
      <c r="AG2639" s="269"/>
      <c r="AH2639" s="269"/>
      <c r="AI2639" s="269"/>
      <c r="AJ2639" s="269"/>
      <c r="AK2639" s="269"/>
      <c r="AL2639" s="269"/>
      <c r="AM2639" s="269"/>
      <c r="AN2639" s="269"/>
      <c r="AO2639" s="269"/>
      <c r="AP2639" s="269"/>
      <c r="AQ2639" s="269"/>
      <c r="AR2639" s="269"/>
    </row>
    <row r="2640">
      <c r="A2640" s="410"/>
      <c r="B2640" s="410"/>
      <c r="C2640" s="410"/>
      <c r="D2640" s="410"/>
      <c r="E2640" s="410"/>
      <c r="F2640" s="410"/>
      <c r="H2640" s="269"/>
      <c r="I2640" s="269"/>
      <c r="J2640" s="269"/>
      <c r="K2640" s="269"/>
      <c r="L2640" s="269"/>
      <c r="M2640" s="269"/>
      <c r="N2640" s="269"/>
      <c r="O2640" s="269"/>
      <c r="P2640" s="269"/>
      <c r="Q2640" s="269"/>
      <c r="R2640" s="269"/>
      <c r="S2640" s="269"/>
      <c r="T2640" s="269"/>
      <c r="U2640" s="269"/>
      <c r="V2640" s="269"/>
      <c r="W2640" s="269"/>
      <c r="X2640" s="269"/>
      <c r="Y2640" s="269"/>
      <c r="Z2640" s="269"/>
      <c r="AA2640" s="269"/>
      <c r="AB2640" s="269"/>
      <c r="AC2640" s="269"/>
      <c r="AD2640" s="269"/>
      <c r="AE2640" s="269"/>
      <c r="AF2640" s="269"/>
      <c r="AG2640" s="269"/>
      <c r="AH2640" s="269"/>
      <c r="AI2640" s="269"/>
      <c r="AJ2640" s="269"/>
      <c r="AK2640" s="269"/>
      <c r="AL2640" s="269"/>
      <c r="AM2640" s="269"/>
      <c r="AN2640" s="269"/>
      <c r="AO2640" s="269"/>
      <c r="AP2640" s="269"/>
      <c r="AQ2640" s="269"/>
      <c r="AR2640" s="269"/>
    </row>
    <row r="2641">
      <c r="A2641" s="410"/>
      <c r="B2641" s="410"/>
      <c r="C2641" s="410"/>
      <c r="D2641" s="410"/>
      <c r="E2641" s="410"/>
      <c r="F2641" s="410"/>
      <c r="H2641" s="269"/>
      <c r="I2641" s="269"/>
      <c r="J2641" s="269"/>
      <c r="K2641" s="269"/>
      <c r="L2641" s="269"/>
      <c r="M2641" s="269"/>
      <c r="N2641" s="269"/>
      <c r="O2641" s="269"/>
      <c r="P2641" s="269"/>
      <c r="Q2641" s="269"/>
      <c r="R2641" s="269"/>
      <c r="S2641" s="269"/>
      <c r="T2641" s="269"/>
      <c r="U2641" s="269"/>
      <c r="V2641" s="269"/>
      <c r="W2641" s="269"/>
      <c r="X2641" s="269"/>
      <c r="Y2641" s="269"/>
      <c r="Z2641" s="269"/>
      <c r="AA2641" s="269"/>
      <c r="AB2641" s="269"/>
      <c r="AC2641" s="269"/>
      <c r="AD2641" s="269"/>
      <c r="AE2641" s="269"/>
      <c r="AF2641" s="269"/>
      <c r="AG2641" s="269"/>
      <c r="AH2641" s="269"/>
      <c r="AI2641" s="269"/>
      <c r="AJ2641" s="269"/>
      <c r="AK2641" s="269"/>
      <c r="AL2641" s="269"/>
      <c r="AM2641" s="269"/>
      <c r="AN2641" s="269"/>
      <c r="AO2641" s="269"/>
      <c r="AP2641" s="269"/>
      <c r="AQ2641" s="269"/>
      <c r="AR2641" s="269"/>
    </row>
    <row r="2642">
      <c r="A2642" s="410"/>
      <c r="B2642" s="410"/>
      <c r="C2642" s="410"/>
      <c r="D2642" s="410"/>
      <c r="E2642" s="410"/>
      <c r="F2642" s="410"/>
      <c r="H2642" s="269"/>
      <c r="I2642" s="269"/>
      <c r="J2642" s="269"/>
      <c r="K2642" s="269"/>
      <c r="L2642" s="269"/>
      <c r="M2642" s="269"/>
      <c r="N2642" s="269"/>
      <c r="O2642" s="269"/>
      <c r="P2642" s="269"/>
      <c r="Q2642" s="269"/>
      <c r="R2642" s="269"/>
      <c r="S2642" s="269"/>
      <c r="T2642" s="269"/>
      <c r="U2642" s="269"/>
      <c r="V2642" s="269"/>
      <c r="W2642" s="269"/>
      <c r="X2642" s="269"/>
      <c r="Y2642" s="269"/>
      <c r="Z2642" s="269"/>
      <c r="AA2642" s="269"/>
      <c r="AB2642" s="269"/>
      <c r="AC2642" s="269"/>
      <c r="AD2642" s="269"/>
      <c r="AE2642" s="269"/>
      <c r="AF2642" s="269"/>
      <c r="AG2642" s="269"/>
      <c r="AH2642" s="269"/>
      <c r="AI2642" s="269"/>
      <c r="AJ2642" s="269"/>
      <c r="AK2642" s="269"/>
      <c r="AL2642" s="269"/>
      <c r="AM2642" s="269"/>
      <c r="AN2642" s="269"/>
      <c r="AO2642" s="269"/>
      <c r="AP2642" s="269"/>
      <c r="AQ2642" s="269"/>
      <c r="AR2642" s="269"/>
    </row>
    <row r="2643">
      <c r="A2643" s="410"/>
      <c r="B2643" s="410"/>
      <c r="C2643" s="410"/>
      <c r="D2643" s="410"/>
      <c r="E2643" s="410"/>
      <c r="F2643" s="410"/>
      <c r="H2643" s="269"/>
      <c r="I2643" s="269"/>
      <c r="J2643" s="269"/>
      <c r="K2643" s="269"/>
      <c r="L2643" s="269"/>
      <c r="M2643" s="269"/>
      <c r="N2643" s="269"/>
      <c r="O2643" s="269"/>
      <c r="P2643" s="269"/>
      <c r="Q2643" s="269"/>
      <c r="R2643" s="269"/>
      <c r="S2643" s="269"/>
      <c r="T2643" s="269"/>
      <c r="U2643" s="269"/>
      <c r="V2643" s="269"/>
      <c r="W2643" s="269"/>
      <c r="X2643" s="269"/>
      <c r="Y2643" s="269"/>
      <c r="Z2643" s="269"/>
      <c r="AA2643" s="269"/>
      <c r="AB2643" s="269"/>
      <c r="AC2643" s="269"/>
      <c r="AD2643" s="269"/>
      <c r="AE2643" s="269"/>
      <c r="AF2643" s="269"/>
      <c r="AG2643" s="269"/>
      <c r="AH2643" s="269"/>
      <c r="AI2643" s="269"/>
      <c r="AJ2643" s="269"/>
      <c r="AK2643" s="269"/>
      <c r="AL2643" s="269"/>
      <c r="AM2643" s="269"/>
      <c r="AN2643" s="269"/>
      <c r="AO2643" s="269"/>
      <c r="AP2643" s="269"/>
      <c r="AQ2643" s="269"/>
      <c r="AR2643" s="269"/>
    </row>
    <row r="2644">
      <c r="A2644" s="410"/>
      <c r="B2644" s="410"/>
      <c r="C2644" s="410"/>
      <c r="D2644" s="410"/>
      <c r="E2644" s="410"/>
      <c r="F2644" s="410"/>
      <c r="H2644" s="269"/>
      <c r="I2644" s="269"/>
      <c r="J2644" s="269"/>
      <c r="K2644" s="269"/>
      <c r="L2644" s="269"/>
      <c r="M2644" s="269"/>
      <c r="N2644" s="269"/>
      <c r="O2644" s="269"/>
      <c r="P2644" s="269"/>
      <c r="Q2644" s="269"/>
      <c r="R2644" s="269"/>
      <c r="S2644" s="269"/>
      <c r="T2644" s="269"/>
      <c r="U2644" s="269"/>
      <c r="V2644" s="269"/>
      <c r="W2644" s="269"/>
      <c r="X2644" s="269"/>
      <c r="Y2644" s="269"/>
      <c r="Z2644" s="269"/>
      <c r="AA2644" s="269"/>
      <c r="AB2644" s="269"/>
      <c r="AC2644" s="269"/>
      <c r="AD2644" s="269"/>
      <c r="AE2644" s="269"/>
      <c r="AF2644" s="269"/>
      <c r="AG2644" s="269"/>
      <c r="AH2644" s="269"/>
      <c r="AI2644" s="269"/>
      <c r="AJ2644" s="269"/>
      <c r="AK2644" s="269"/>
      <c r="AL2644" s="269"/>
      <c r="AM2644" s="269"/>
      <c r="AN2644" s="269"/>
      <c r="AO2644" s="269"/>
      <c r="AP2644" s="269"/>
      <c r="AQ2644" s="269"/>
      <c r="AR2644" s="269"/>
    </row>
    <row r="2645">
      <c r="A2645" s="410"/>
      <c r="B2645" s="410"/>
      <c r="C2645" s="410"/>
      <c r="D2645" s="410"/>
      <c r="E2645" s="410"/>
      <c r="F2645" s="410"/>
      <c r="H2645" s="269"/>
      <c r="I2645" s="269"/>
      <c r="J2645" s="269"/>
      <c r="K2645" s="269"/>
      <c r="L2645" s="269"/>
      <c r="M2645" s="269"/>
      <c r="N2645" s="269"/>
      <c r="O2645" s="269"/>
      <c r="P2645" s="269"/>
      <c r="Q2645" s="269"/>
      <c r="R2645" s="269"/>
      <c r="S2645" s="269"/>
      <c r="T2645" s="269"/>
      <c r="U2645" s="269"/>
      <c r="V2645" s="269"/>
      <c r="W2645" s="269"/>
      <c r="X2645" s="269"/>
      <c r="Y2645" s="269"/>
      <c r="Z2645" s="269"/>
      <c r="AA2645" s="269"/>
      <c r="AB2645" s="269"/>
      <c r="AC2645" s="269"/>
      <c r="AD2645" s="269"/>
      <c r="AE2645" s="269"/>
      <c r="AF2645" s="269"/>
      <c r="AG2645" s="269"/>
      <c r="AH2645" s="269"/>
      <c r="AI2645" s="269"/>
      <c r="AJ2645" s="269"/>
      <c r="AK2645" s="269"/>
      <c r="AL2645" s="269"/>
      <c r="AM2645" s="269"/>
      <c r="AN2645" s="269"/>
      <c r="AO2645" s="269"/>
      <c r="AP2645" s="269"/>
      <c r="AQ2645" s="269"/>
      <c r="AR2645" s="269"/>
    </row>
    <row r="2646">
      <c r="A2646" s="410"/>
      <c r="B2646" s="410"/>
      <c r="C2646" s="410"/>
      <c r="D2646" s="410"/>
      <c r="E2646" s="410"/>
      <c r="F2646" s="410"/>
      <c r="H2646" s="269"/>
      <c r="I2646" s="269"/>
      <c r="J2646" s="269"/>
      <c r="K2646" s="269"/>
      <c r="L2646" s="269"/>
      <c r="M2646" s="269"/>
      <c r="N2646" s="269"/>
      <c r="O2646" s="269"/>
      <c r="P2646" s="269"/>
      <c r="Q2646" s="269"/>
      <c r="R2646" s="269"/>
      <c r="S2646" s="269"/>
      <c r="T2646" s="269"/>
      <c r="U2646" s="269"/>
      <c r="V2646" s="269"/>
      <c r="W2646" s="269"/>
      <c r="X2646" s="269"/>
      <c r="Y2646" s="269"/>
      <c r="Z2646" s="269"/>
      <c r="AA2646" s="269"/>
      <c r="AB2646" s="269"/>
      <c r="AC2646" s="269"/>
      <c r="AD2646" s="269"/>
      <c r="AE2646" s="269"/>
      <c r="AF2646" s="269"/>
      <c r="AG2646" s="269"/>
      <c r="AH2646" s="269"/>
      <c r="AI2646" s="269"/>
      <c r="AJ2646" s="269"/>
      <c r="AK2646" s="269"/>
      <c r="AL2646" s="269"/>
      <c r="AM2646" s="269"/>
      <c r="AN2646" s="269"/>
      <c r="AO2646" s="269"/>
      <c r="AP2646" s="269"/>
      <c r="AQ2646" s="269"/>
      <c r="AR2646" s="269"/>
    </row>
    <row r="2647">
      <c r="A2647" s="410"/>
      <c r="B2647" s="410"/>
      <c r="C2647" s="410"/>
      <c r="D2647" s="410"/>
      <c r="E2647" s="410"/>
      <c r="F2647" s="410"/>
      <c r="H2647" s="269"/>
      <c r="I2647" s="269"/>
      <c r="J2647" s="269"/>
      <c r="K2647" s="269"/>
      <c r="L2647" s="269"/>
      <c r="M2647" s="269"/>
      <c r="N2647" s="269"/>
      <c r="O2647" s="269"/>
      <c r="P2647" s="269"/>
      <c r="Q2647" s="269"/>
      <c r="R2647" s="269"/>
      <c r="S2647" s="269"/>
      <c r="T2647" s="269"/>
      <c r="U2647" s="269"/>
      <c r="V2647" s="269"/>
      <c r="W2647" s="269"/>
      <c r="X2647" s="269"/>
      <c r="Y2647" s="269"/>
      <c r="Z2647" s="269"/>
      <c r="AA2647" s="269"/>
      <c r="AB2647" s="269"/>
      <c r="AC2647" s="269"/>
      <c r="AD2647" s="269"/>
      <c r="AE2647" s="269"/>
      <c r="AF2647" s="269"/>
      <c r="AG2647" s="269"/>
      <c r="AH2647" s="269"/>
      <c r="AI2647" s="269"/>
      <c r="AJ2647" s="269"/>
      <c r="AK2647" s="269"/>
      <c r="AL2647" s="269"/>
      <c r="AM2647" s="269"/>
      <c r="AN2647" s="269"/>
      <c r="AO2647" s="269"/>
      <c r="AP2647" s="269"/>
      <c r="AQ2647" s="269"/>
      <c r="AR2647" s="269"/>
    </row>
    <row r="2648">
      <c r="A2648" s="410"/>
      <c r="B2648" s="410"/>
      <c r="C2648" s="410"/>
      <c r="D2648" s="410"/>
      <c r="E2648" s="410"/>
      <c r="F2648" s="410"/>
      <c r="H2648" s="269"/>
      <c r="I2648" s="269"/>
      <c r="J2648" s="269"/>
      <c r="K2648" s="269"/>
      <c r="L2648" s="269"/>
      <c r="M2648" s="269"/>
      <c r="N2648" s="269"/>
      <c r="O2648" s="269"/>
      <c r="P2648" s="269"/>
      <c r="Q2648" s="269"/>
      <c r="R2648" s="269"/>
      <c r="S2648" s="269"/>
      <c r="T2648" s="269"/>
      <c r="U2648" s="269"/>
      <c r="V2648" s="269"/>
      <c r="W2648" s="269"/>
      <c r="X2648" s="269"/>
      <c r="Y2648" s="269"/>
      <c r="Z2648" s="269"/>
      <c r="AA2648" s="269"/>
      <c r="AB2648" s="269"/>
      <c r="AC2648" s="269"/>
      <c r="AD2648" s="269"/>
      <c r="AE2648" s="269"/>
      <c r="AF2648" s="269"/>
      <c r="AG2648" s="269"/>
      <c r="AH2648" s="269"/>
      <c r="AI2648" s="269"/>
      <c r="AJ2648" s="269"/>
      <c r="AK2648" s="269"/>
      <c r="AL2648" s="269"/>
      <c r="AM2648" s="269"/>
      <c r="AN2648" s="269"/>
      <c r="AO2648" s="269"/>
      <c r="AP2648" s="269"/>
      <c r="AQ2648" s="269"/>
      <c r="AR2648" s="269"/>
    </row>
    <row r="2649">
      <c r="A2649" s="410"/>
      <c r="B2649" s="410"/>
      <c r="C2649" s="410"/>
      <c r="D2649" s="410"/>
      <c r="E2649" s="410"/>
      <c r="F2649" s="410"/>
      <c r="H2649" s="269"/>
      <c r="I2649" s="269"/>
      <c r="J2649" s="269"/>
      <c r="K2649" s="269"/>
      <c r="L2649" s="269"/>
      <c r="M2649" s="269"/>
      <c r="N2649" s="269"/>
      <c r="O2649" s="269"/>
      <c r="P2649" s="269"/>
      <c r="Q2649" s="269"/>
      <c r="R2649" s="269"/>
      <c r="S2649" s="269"/>
      <c r="T2649" s="269"/>
      <c r="U2649" s="269"/>
      <c r="V2649" s="269"/>
      <c r="W2649" s="269"/>
      <c r="X2649" s="269"/>
      <c r="Y2649" s="269"/>
      <c r="Z2649" s="269"/>
      <c r="AA2649" s="269"/>
      <c r="AB2649" s="269"/>
      <c r="AC2649" s="269"/>
      <c r="AD2649" s="269"/>
      <c r="AE2649" s="269"/>
      <c r="AF2649" s="269"/>
      <c r="AG2649" s="269"/>
      <c r="AH2649" s="269"/>
      <c r="AI2649" s="269"/>
      <c r="AJ2649" s="269"/>
      <c r="AK2649" s="269"/>
      <c r="AL2649" s="269"/>
      <c r="AM2649" s="269"/>
      <c r="AN2649" s="269"/>
      <c r="AO2649" s="269"/>
      <c r="AP2649" s="269"/>
      <c r="AQ2649" s="269"/>
      <c r="AR2649" s="269"/>
    </row>
    <row r="2650">
      <c r="A2650" s="410"/>
      <c r="B2650" s="410"/>
      <c r="C2650" s="410"/>
      <c r="D2650" s="410"/>
      <c r="E2650" s="410"/>
      <c r="F2650" s="410"/>
      <c r="H2650" s="269"/>
      <c r="I2650" s="269"/>
      <c r="J2650" s="269"/>
      <c r="K2650" s="269"/>
      <c r="L2650" s="269"/>
      <c r="M2650" s="269"/>
      <c r="N2650" s="269"/>
      <c r="O2650" s="269"/>
      <c r="P2650" s="269"/>
      <c r="Q2650" s="269"/>
      <c r="R2650" s="269"/>
      <c r="S2650" s="269"/>
      <c r="T2650" s="269"/>
      <c r="U2650" s="269"/>
      <c r="V2650" s="269"/>
      <c r="W2650" s="269"/>
      <c r="X2650" s="269"/>
      <c r="Y2650" s="269"/>
      <c r="Z2650" s="269"/>
      <c r="AA2650" s="269"/>
      <c r="AB2650" s="269"/>
      <c r="AC2650" s="269"/>
      <c r="AD2650" s="269"/>
      <c r="AE2650" s="269"/>
      <c r="AF2650" s="269"/>
      <c r="AG2650" s="269"/>
      <c r="AH2650" s="269"/>
      <c r="AI2650" s="269"/>
      <c r="AJ2650" s="269"/>
      <c r="AK2650" s="269"/>
      <c r="AL2650" s="269"/>
      <c r="AM2650" s="269"/>
      <c r="AN2650" s="269"/>
      <c r="AO2650" s="269"/>
      <c r="AP2650" s="269"/>
      <c r="AQ2650" s="269"/>
      <c r="AR2650" s="269"/>
    </row>
    <row r="2651">
      <c r="A2651" s="410"/>
      <c r="B2651" s="410"/>
      <c r="C2651" s="410"/>
      <c r="D2651" s="410"/>
      <c r="E2651" s="410"/>
      <c r="F2651" s="410"/>
      <c r="H2651" s="269"/>
      <c r="I2651" s="269"/>
      <c r="J2651" s="269"/>
      <c r="K2651" s="269"/>
      <c r="L2651" s="269"/>
      <c r="M2651" s="269"/>
      <c r="N2651" s="269"/>
      <c r="O2651" s="269"/>
      <c r="P2651" s="269"/>
      <c r="Q2651" s="269"/>
      <c r="R2651" s="269"/>
      <c r="S2651" s="269"/>
      <c r="T2651" s="269"/>
      <c r="U2651" s="269"/>
      <c r="V2651" s="269"/>
      <c r="W2651" s="269"/>
      <c r="X2651" s="269"/>
      <c r="Y2651" s="269"/>
      <c r="Z2651" s="269"/>
      <c r="AA2651" s="269"/>
      <c r="AB2651" s="269"/>
      <c r="AC2651" s="269"/>
      <c r="AD2651" s="269"/>
      <c r="AE2651" s="269"/>
      <c r="AF2651" s="269"/>
      <c r="AG2651" s="269"/>
      <c r="AH2651" s="269"/>
      <c r="AI2651" s="269"/>
      <c r="AJ2651" s="269"/>
      <c r="AK2651" s="269"/>
      <c r="AL2651" s="269"/>
      <c r="AM2651" s="269"/>
      <c r="AN2651" s="269"/>
      <c r="AO2651" s="269"/>
      <c r="AP2651" s="269"/>
      <c r="AQ2651" s="269"/>
      <c r="AR2651" s="269"/>
    </row>
    <row r="2652">
      <c r="A2652" s="410"/>
      <c r="B2652" s="410"/>
      <c r="C2652" s="410"/>
      <c r="D2652" s="410"/>
      <c r="E2652" s="410"/>
      <c r="F2652" s="410"/>
      <c r="H2652" s="269"/>
      <c r="I2652" s="269"/>
      <c r="J2652" s="269"/>
      <c r="K2652" s="269"/>
      <c r="L2652" s="269"/>
      <c r="M2652" s="269"/>
      <c r="N2652" s="269"/>
      <c r="O2652" s="269"/>
      <c r="P2652" s="269"/>
      <c r="Q2652" s="269"/>
      <c r="R2652" s="269"/>
      <c r="S2652" s="269"/>
      <c r="T2652" s="269"/>
      <c r="U2652" s="269"/>
      <c r="V2652" s="269"/>
      <c r="W2652" s="269"/>
      <c r="X2652" s="269"/>
      <c r="Y2652" s="269"/>
      <c r="Z2652" s="269"/>
      <c r="AA2652" s="269"/>
      <c r="AB2652" s="269"/>
      <c r="AC2652" s="269"/>
      <c r="AD2652" s="269"/>
      <c r="AE2652" s="269"/>
      <c r="AF2652" s="269"/>
      <c r="AG2652" s="269"/>
      <c r="AH2652" s="269"/>
      <c r="AI2652" s="269"/>
      <c r="AJ2652" s="269"/>
      <c r="AK2652" s="269"/>
      <c r="AL2652" s="269"/>
      <c r="AM2652" s="269"/>
      <c r="AN2652" s="269"/>
      <c r="AO2652" s="269"/>
      <c r="AP2652" s="269"/>
      <c r="AQ2652" s="269"/>
      <c r="AR2652" s="269"/>
    </row>
    <row r="2653">
      <c r="A2653" s="410"/>
      <c r="B2653" s="410"/>
      <c r="C2653" s="410"/>
      <c r="D2653" s="410"/>
      <c r="E2653" s="410"/>
      <c r="F2653" s="410"/>
      <c r="H2653" s="269"/>
      <c r="I2653" s="269"/>
      <c r="J2653" s="269"/>
      <c r="K2653" s="269"/>
      <c r="L2653" s="269"/>
      <c r="M2653" s="269"/>
      <c r="N2653" s="269"/>
      <c r="O2653" s="269"/>
      <c r="P2653" s="269"/>
      <c r="Q2653" s="269"/>
      <c r="R2653" s="269"/>
      <c r="S2653" s="269"/>
      <c r="T2653" s="269"/>
      <c r="U2653" s="269"/>
      <c r="V2653" s="269"/>
      <c r="W2653" s="269"/>
      <c r="X2653" s="269"/>
      <c r="Y2653" s="269"/>
      <c r="Z2653" s="269"/>
      <c r="AA2653" s="269"/>
      <c r="AB2653" s="269"/>
      <c r="AC2653" s="269"/>
      <c r="AD2653" s="269"/>
      <c r="AE2653" s="269"/>
      <c r="AF2653" s="269"/>
      <c r="AG2653" s="269"/>
      <c r="AH2653" s="269"/>
      <c r="AI2653" s="269"/>
      <c r="AJ2653" s="269"/>
      <c r="AK2653" s="269"/>
      <c r="AL2653" s="269"/>
      <c r="AM2653" s="269"/>
      <c r="AN2653" s="269"/>
      <c r="AO2653" s="269"/>
      <c r="AP2653" s="269"/>
      <c r="AQ2653" s="269"/>
      <c r="AR2653" s="269"/>
    </row>
    <row r="2654">
      <c r="A2654" s="410"/>
      <c r="B2654" s="410"/>
      <c r="C2654" s="410"/>
      <c r="D2654" s="410"/>
      <c r="E2654" s="410"/>
      <c r="F2654" s="410"/>
      <c r="H2654" s="269"/>
      <c r="I2654" s="269"/>
      <c r="J2654" s="269"/>
      <c r="K2654" s="269"/>
      <c r="L2654" s="269"/>
      <c r="M2654" s="269"/>
      <c r="N2654" s="269"/>
      <c r="O2654" s="269"/>
      <c r="P2654" s="269"/>
      <c r="Q2654" s="269"/>
      <c r="R2654" s="269"/>
      <c r="S2654" s="269"/>
      <c r="T2654" s="269"/>
      <c r="U2654" s="269"/>
      <c r="V2654" s="269"/>
      <c r="W2654" s="269"/>
      <c r="X2654" s="269"/>
      <c r="Y2654" s="269"/>
      <c r="Z2654" s="269"/>
      <c r="AA2654" s="269"/>
      <c r="AB2654" s="269"/>
      <c r="AC2654" s="269"/>
      <c r="AD2654" s="269"/>
      <c r="AE2654" s="269"/>
      <c r="AF2654" s="269"/>
      <c r="AG2654" s="269"/>
      <c r="AH2654" s="269"/>
      <c r="AI2654" s="269"/>
      <c r="AJ2654" s="269"/>
      <c r="AK2654" s="269"/>
      <c r="AL2654" s="269"/>
      <c r="AM2654" s="269"/>
      <c r="AN2654" s="269"/>
      <c r="AO2654" s="269"/>
      <c r="AP2654" s="269"/>
      <c r="AQ2654" s="269"/>
      <c r="AR2654" s="269"/>
    </row>
    <row r="2655">
      <c r="A2655" s="410"/>
      <c r="B2655" s="410"/>
      <c r="C2655" s="410"/>
      <c r="D2655" s="410"/>
      <c r="E2655" s="410"/>
      <c r="F2655" s="410"/>
      <c r="H2655" s="269"/>
      <c r="I2655" s="269"/>
      <c r="J2655" s="269"/>
      <c r="K2655" s="269"/>
      <c r="L2655" s="269"/>
      <c r="M2655" s="269"/>
      <c r="N2655" s="269"/>
      <c r="O2655" s="269"/>
      <c r="P2655" s="269"/>
      <c r="Q2655" s="269"/>
      <c r="R2655" s="269"/>
      <c r="S2655" s="269"/>
      <c r="T2655" s="269"/>
      <c r="U2655" s="269"/>
      <c r="V2655" s="269"/>
      <c r="W2655" s="269"/>
      <c r="X2655" s="269"/>
      <c r="Y2655" s="269"/>
      <c r="Z2655" s="269"/>
      <c r="AA2655" s="269"/>
      <c r="AB2655" s="269"/>
      <c r="AC2655" s="269"/>
      <c r="AD2655" s="269"/>
      <c r="AE2655" s="269"/>
      <c r="AF2655" s="269"/>
      <c r="AG2655" s="269"/>
      <c r="AH2655" s="269"/>
      <c r="AI2655" s="269"/>
      <c r="AJ2655" s="269"/>
      <c r="AK2655" s="269"/>
      <c r="AL2655" s="269"/>
      <c r="AM2655" s="269"/>
      <c r="AN2655" s="269"/>
      <c r="AO2655" s="269"/>
      <c r="AP2655" s="269"/>
      <c r="AQ2655" s="269"/>
      <c r="AR2655" s="269"/>
    </row>
    <row r="2656">
      <c r="A2656" s="410"/>
      <c r="B2656" s="410"/>
      <c r="C2656" s="410"/>
      <c r="D2656" s="410"/>
      <c r="E2656" s="410"/>
      <c r="F2656" s="410"/>
      <c r="H2656" s="269"/>
      <c r="I2656" s="269"/>
      <c r="J2656" s="269"/>
      <c r="K2656" s="269"/>
      <c r="L2656" s="269"/>
      <c r="M2656" s="269"/>
      <c r="N2656" s="269"/>
      <c r="O2656" s="269"/>
      <c r="P2656" s="269"/>
      <c r="Q2656" s="269"/>
      <c r="R2656" s="269"/>
      <c r="S2656" s="269"/>
      <c r="T2656" s="269"/>
      <c r="U2656" s="269"/>
      <c r="V2656" s="269"/>
      <c r="W2656" s="269"/>
      <c r="X2656" s="269"/>
      <c r="Y2656" s="269"/>
      <c r="Z2656" s="269"/>
      <c r="AA2656" s="269"/>
      <c r="AB2656" s="269"/>
      <c r="AC2656" s="269"/>
      <c r="AD2656" s="269"/>
      <c r="AE2656" s="269"/>
      <c r="AF2656" s="269"/>
      <c r="AG2656" s="269"/>
      <c r="AH2656" s="269"/>
      <c r="AI2656" s="269"/>
      <c r="AJ2656" s="269"/>
      <c r="AK2656" s="269"/>
      <c r="AL2656" s="269"/>
      <c r="AM2656" s="269"/>
      <c r="AN2656" s="269"/>
      <c r="AO2656" s="269"/>
      <c r="AP2656" s="269"/>
      <c r="AQ2656" s="269"/>
      <c r="AR2656" s="269"/>
    </row>
    <row r="2657">
      <c r="A2657" s="410"/>
      <c r="B2657" s="410"/>
      <c r="C2657" s="410"/>
      <c r="D2657" s="410"/>
      <c r="E2657" s="410"/>
      <c r="F2657" s="410"/>
      <c r="H2657" s="269"/>
      <c r="I2657" s="269"/>
      <c r="J2657" s="269"/>
      <c r="K2657" s="269"/>
      <c r="L2657" s="269"/>
      <c r="M2657" s="269"/>
      <c r="N2657" s="269"/>
      <c r="O2657" s="269"/>
      <c r="P2657" s="269"/>
      <c r="Q2657" s="269"/>
      <c r="R2657" s="269"/>
      <c r="S2657" s="269"/>
      <c r="T2657" s="269"/>
      <c r="U2657" s="269"/>
      <c r="V2657" s="269"/>
      <c r="W2657" s="269"/>
      <c r="X2657" s="269"/>
      <c r="Y2657" s="269"/>
      <c r="Z2657" s="269"/>
      <c r="AA2657" s="269"/>
      <c r="AB2657" s="269"/>
      <c r="AC2657" s="269"/>
      <c r="AD2657" s="269"/>
      <c r="AE2657" s="269"/>
      <c r="AF2657" s="269"/>
      <c r="AG2657" s="269"/>
      <c r="AH2657" s="269"/>
      <c r="AI2657" s="269"/>
      <c r="AJ2657" s="269"/>
      <c r="AK2657" s="269"/>
      <c r="AL2657" s="269"/>
      <c r="AM2657" s="269"/>
      <c r="AN2657" s="269"/>
      <c r="AO2657" s="269"/>
      <c r="AP2657" s="269"/>
      <c r="AQ2657" s="269"/>
      <c r="AR2657" s="269"/>
    </row>
    <row r="2658">
      <c r="A2658" s="410"/>
      <c r="B2658" s="410"/>
      <c r="C2658" s="410"/>
      <c r="D2658" s="410"/>
      <c r="E2658" s="410"/>
      <c r="F2658" s="410"/>
      <c r="H2658" s="269"/>
      <c r="I2658" s="269"/>
      <c r="J2658" s="269"/>
      <c r="K2658" s="269"/>
      <c r="L2658" s="269"/>
      <c r="M2658" s="269"/>
      <c r="N2658" s="269"/>
      <c r="O2658" s="269"/>
      <c r="P2658" s="269"/>
      <c r="Q2658" s="269"/>
      <c r="R2658" s="269"/>
      <c r="S2658" s="269"/>
      <c r="T2658" s="269"/>
      <c r="U2658" s="269"/>
      <c r="V2658" s="269"/>
      <c r="W2658" s="269"/>
      <c r="X2658" s="269"/>
      <c r="Y2658" s="269"/>
      <c r="Z2658" s="269"/>
      <c r="AA2658" s="269"/>
      <c r="AB2658" s="269"/>
      <c r="AC2658" s="269"/>
      <c r="AD2658" s="269"/>
      <c r="AE2658" s="269"/>
      <c r="AF2658" s="269"/>
      <c r="AG2658" s="269"/>
      <c r="AH2658" s="269"/>
      <c r="AI2658" s="269"/>
      <c r="AJ2658" s="269"/>
      <c r="AK2658" s="269"/>
      <c r="AL2658" s="269"/>
      <c r="AM2658" s="269"/>
      <c r="AN2658" s="269"/>
      <c r="AO2658" s="269"/>
      <c r="AP2658" s="269"/>
      <c r="AQ2658" s="269"/>
      <c r="AR2658" s="269"/>
    </row>
    <row r="2659">
      <c r="A2659" s="410"/>
      <c r="B2659" s="410"/>
      <c r="C2659" s="410"/>
      <c r="D2659" s="410"/>
      <c r="E2659" s="410"/>
      <c r="F2659" s="410"/>
      <c r="H2659" s="269"/>
      <c r="I2659" s="269"/>
      <c r="J2659" s="269"/>
      <c r="K2659" s="269"/>
      <c r="L2659" s="269"/>
      <c r="M2659" s="269"/>
      <c r="N2659" s="269"/>
      <c r="O2659" s="269"/>
      <c r="P2659" s="269"/>
      <c r="Q2659" s="269"/>
      <c r="R2659" s="269"/>
      <c r="S2659" s="269"/>
      <c r="T2659" s="269"/>
      <c r="U2659" s="269"/>
      <c r="V2659" s="269"/>
      <c r="W2659" s="269"/>
      <c r="X2659" s="269"/>
      <c r="Y2659" s="269"/>
      <c r="Z2659" s="269"/>
      <c r="AA2659" s="269"/>
      <c r="AB2659" s="269"/>
      <c r="AC2659" s="269"/>
      <c r="AD2659" s="269"/>
      <c r="AE2659" s="269"/>
      <c r="AF2659" s="269"/>
      <c r="AG2659" s="269"/>
      <c r="AH2659" s="269"/>
      <c r="AI2659" s="269"/>
      <c r="AJ2659" s="269"/>
      <c r="AK2659" s="269"/>
      <c r="AL2659" s="269"/>
      <c r="AM2659" s="269"/>
      <c r="AN2659" s="269"/>
      <c r="AO2659" s="269"/>
      <c r="AP2659" s="269"/>
      <c r="AQ2659" s="269"/>
      <c r="AR2659" s="269"/>
    </row>
    <row r="2660">
      <c r="A2660" s="410"/>
      <c r="B2660" s="410"/>
      <c r="C2660" s="410"/>
      <c r="D2660" s="410"/>
      <c r="E2660" s="410"/>
      <c r="F2660" s="410"/>
      <c r="H2660" s="269"/>
      <c r="I2660" s="269"/>
      <c r="J2660" s="269"/>
      <c r="K2660" s="269"/>
      <c r="L2660" s="269"/>
      <c r="M2660" s="269"/>
      <c r="N2660" s="269"/>
      <c r="O2660" s="269"/>
      <c r="P2660" s="269"/>
      <c r="Q2660" s="269"/>
      <c r="R2660" s="269"/>
      <c r="S2660" s="269"/>
      <c r="T2660" s="269"/>
      <c r="U2660" s="269"/>
      <c r="V2660" s="269"/>
      <c r="W2660" s="269"/>
      <c r="X2660" s="269"/>
      <c r="Y2660" s="269"/>
      <c r="Z2660" s="269"/>
      <c r="AA2660" s="269"/>
      <c r="AB2660" s="269"/>
      <c r="AC2660" s="269"/>
      <c r="AD2660" s="269"/>
      <c r="AE2660" s="269"/>
      <c r="AF2660" s="269"/>
      <c r="AG2660" s="269"/>
      <c r="AH2660" s="269"/>
      <c r="AI2660" s="269"/>
      <c r="AJ2660" s="269"/>
      <c r="AK2660" s="269"/>
      <c r="AL2660" s="269"/>
      <c r="AM2660" s="269"/>
      <c r="AN2660" s="269"/>
      <c r="AO2660" s="269"/>
      <c r="AP2660" s="269"/>
      <c r="AQ2660" s="269"/>
      <c r="AR2660" s="269"/>
    </row>
    <row r="2661">
      <c r="A2661" s="410"/>
      <c r="B2661" s="410"/>
      <c r="C2661" s="410"/>
      <c r="D2661" s="410"/>
      <c r="E2661" s="410"/>
      <c r="F2661" s="410"/>
      <c r="H2661" s="269"/>
      <c r="I2661" s="269"/>
      <c r="J2661" s="269"/>
      <c r="K2661" s="269"/>
      <c r="L2661" s="269"/>
      <c r="M2661" s="269"/>
      <c r="N2661" s="269"/>
      <c r="O2661" s="269"/>
      <c r="P2661" s="269"/>
      <c r="Q2661" s="269"/>
      <c r="R2661" s="269"/>
      <c r="S2661" s="269"/>
      <c r="T2661" s="269"/>
      <c r="U2661" s="269"/>
      <c r="V2661" s="269"/>
      <c r="W2661" s="269"/>
      <c r="X2661" s="269"/>
      <c r="Y2661" s="269"/>
      <c r="Z2661" s="269"/>
      <c r="AA2661" s="269"/>
      <c r="AB2661" s="269"/>
      <c r="AC2661" s="269"/>
      <c r="AD2661" s="269"/>
      <c r="AE2661" s="269"/>
      <c r="AF2661" s="269"/>
      <c r="AG2661" s="269"/>
      <c r="AH2661" s="269"/>
      <c r="AI2661" s="269"/>
      <c r="AJ2661" s="269"/>
      <c r="AK2661" s="269"/>
      <c r="AL2661" s="269"/>
      <c r="AM2661" s="269"/>
      <c r="AN2661" s="269"/>
      <c r="AO2661" s="269"/>
      <c r="AP2661" s="269"/>
      <c r="AQ2661" s="269"/>
      <c r="AR2661" s="269"/>
    </row>
    <row r="2662">
      <c r="A2662" s="410"/>
      <c r="B2662" s="410"/>
      <c r="C2662" s="410"/>
      <c r="D2662" s="410"/>
      <c r="E2662" s="410"/>
      <c r="F2662" s="410"/>
      <c r="H2662" s="269"/>
      <c r="I2662" s="269"/>
      <c r="J2662" s="269"/>
      <c r="K2662" s="269"/>
      <c r="L2662" s="269"/>
      <c r="M2662" s="269"/>
      <c r="N2662" s="269"/>
      <c r="O2662" s="269"/>
      <c r="P2662" s="269"/>
      <c r="Q2662" s="269"/>
      <c r="R2662" s="269"/>
      <c r="S2662" s="269"/>
      <c r="T2662" s="269"/>
      <c r="U2662" s="269"/>
      <c r="V2662" s="269"/>
      <c r="W2662" s="269"/>
      <c r="X2662" s="269"/>
      <c r="Y2662" s="269"/>
      <c r="Z2662" s="269"/>
      <c r="AA2662" s="269"/>
      <c r="AB2662" s="269"/>
      <c r="AC2662" s="269"/>
      <c r="AD2662" s="269"/>
      <c r="AE2662" s="269"/>
      <c r="AF2662" s="269"/>
      <c r="AG2662" s="269"/>
      <c r="AH2662" s="269"/>
      <c r="AI2662" s="269"/>
      <c r="AJ2662" s="269"/>
      <c r="AK2662" s="269"/>
      <c r="AL2662" s="269"/>
      <c r="AM2662" s="269"/>
      <c r="AN2662" s="269"/>
      <c r="AO2662" s="269"/>
      <c r="AP2662" s="269"/>
      <c r="AQ2662" s="269"/>
      <c r="AR2662" s="269"/>
    </row>
    <row r="2663">
      <c r="A2663" s="410"/>
      <c r="B2663" s="410"/>
      <c r="C2663" s="410"/>
      <c r="D2663" s="410"/>
      <c r="E2663" s="410"/>
      <c r="F2663" s="410"/>
      <c r="H2663" s="269"/>
      <c r="I2663" s="269"/>
      <c r="J2663" s="269"/>
      <c r="K2663" s="269"/>
      <c r="L2663" s="269"/>
      <c r="M2663" s="269"/>
      <c r="N2663" s="269"/>
      <c r="O2663" s="269"/>
      <c r="P2663" s="269"/>
      <c r="Q2663" s="269"/>
      <c r="R2663" s="269"/>
      <c r="S2663" s="269"/>
      <c r="T2663" s="269"/>
      <c r="U2663" s="269"/>
      <c r="V2663" s="269"/>
      <c r="W2663" s="269"/>
      <c r="X2663" s="269"/>
      <c r="Y2663" s="269"/>
      <c r="Z2663" s="269"/>
      <c r="AA2663" s="269"/>
      <c r="AB2663" s="269"/>
      <c r="AC2663" s="269"/>
      <c r="AD2663" s="269"/>
      <c r="AE2663" s="269"/>
      <c r="AF2663" s="269"/>
      <c r="AG2663" s="269"/>
      <c r="AH2663" s="269"/>
      <c r="AI2663" s="269"/>
      <c r="AJ2663" s="269"/>
      <c r="AK2663" s="269"/>
      <c r="AL2663" s="269"/>
      <c r="AM2663" s="269"/>
      <c r="AN2663" s="269"/>
      <c r="AO2663" s="269"/>
      <c r="AP2663" s="269"/>
      <c r="AQ2663" s="269"/>
      <c r="AR2663" s="269"/>
    </row>
    <row r="2664">
      <c r="A2664" s="410"/>
      <c r="B2664" s="410"/>
      <c r="C2664" s="410"/>
      <c r="D2664" s="410"/>
      <c r="E2664" s="410"/>
      <c r="F2664" s="410"/>
      <c r="H2664" s="269"/>
      <c r="I2664" s="269"/>
      <c r="J2664" s="269"/>
      <c r="K2664" s="269"/>
      <c r="L2664" s="269"/>
      <c r="M2664" s="269"/>
      <c r="N2664" s="269"/>
      <c r="O2664" s="269"/>
      <c r="P2664" s="269"/>
      <c r="Q2664" s="269"/>
      <c r="R2664" s="269"/>
      <c r="S2664" s="269"/>
      <c r="T2664" s="269"/>
      <c r="U2664" s="269"/>
      <c r="V2664" s="269"/>
      <c r="W2664" s="269"/>
      <c r="X2664" s="269"/>
      <c r="Y2664" s="269"/>
      <c r="Z2664" s="269"/>
      <c r="AA2664" s="269"/>
      <c r="AB2664" s="269"/>
      <c r="AC2664" s="269"/>
      <c r="AD2664" s="269"/>
      <c r="AE2664" s="269"/>
      <c r="AF2664" s="269"/>
      <c r="AG2664" s="269"/>
      <c r="AH2664" s="269"/>
      <c r="AI2664" s="269"/>
      <c r="AJ2664" s="269"/>
      <c r="AK2664" s="269"/>
      <c r="AL2664" s="269"/>
      <c r="AM2664" s="269"/>
      <c r="AN2664" s="269"/>
      <c r="AO2664" s="269"/>
      <c r="AP2664" s="269"/>
      <c r="AQ2664" s="269"/>
      <c r="AR2664" s="269"/>
    </row>
    <row r="2665">
      <c r="A2665" s="410"/>
      <c r="B2665" s="410"/>
      <c r="C2665" s="410"/>
      <c r="D2665" s="410"/>
      <c r="E2665" s="410"/>
      <c r="F2665" s="410"/>
      <c r="H2665" s="269"/>
      <c r="I2665" s="269"/>
      <c r="J2665" s="269"/>
      <c r="K2665" s="269"/>
      <c r="L2665" s="269"/>
      <c r="M2665" s="269"/>
      <c r="N2665" s="269"/>
      <c r="O2665" s="269"/>
      <c r="P2665" s="269"/>
      <c r="Q2665" s="269"/>
      <c r="R2665" s="269"/>
      <c r="S2665" s="269"/>
      <c r="T2665" s="269"/>
      <c r="U2665" s="269"/>
      <c r="V2665" s="269"/>
      <c r="W2665" s="269"/>
      <c r="X2665" s="269"/>
      <c r="Y2665" s="269"/>
      <c r="Z2665" s="269"/>
      <c r="AA2665" s="269"/>
      <c r="AB2665" s="269"/>
      <c r="AC2665" s="269"/>
      <c r="AD2665" s="269"/>
      <c r="AE2665" s="269"/>
      <c r="AF2665" s="269"/>
      <c r="AG2665" s="269"/>
      <c r="AH2665" s="269"/>
      <c r="AI2665" s="269"/>
      <c r="AJ2665" s="269"/>
      <c r="AK2665" s="269"/>
      <c r="AL2665" s="269"/>
      <c r="AM2665" s="269"/>
      <c r="AN2665" s="269"/>
      <c r="AO2665" s="269"/>
      <c r="AP2665" s="269"/>
      <c r="AQ2665" s="269"/>
      <c r="AR2665" s="269"/>
    </row>
    <row r="2666">
      <c r="A2666" s="410"/>
      <c r="B2666" s="410"/>
      <c r="C2666" s="410"/>
      <c r="D2666" s="410"/>
      <c r="E2666" s="410"/>
      <c r="F2666" s="410"/>
      <c r="H2666" s="269"/>
      <c r="I2666" s="269"/>
      <c r="J2666" s="269"/>
      <c r="K2666" s="269"/>
      <c r="L2666" s="269"/>
      <c r="M2666" s="269"/>
      <c r="N2666" s="269"/>
      <c r="O2666" s="269"/>
      <c r="P2666" s="269"/>
      <c r="Q2666" s="269"/>
      <c r="R2666" s="269"/>
      <c r="S2666" s="269"/>
      <c r="T2666" s="269"/>
      <c r="U2666" s="269"/>
      <c r="V2666" s="269"/>
      <c r="W2666" s="269"/>
      <c r="X2666" s="269"/>
      <c r="Y2666" s="269"/>
      <c r="Z2666" s="269"/>
      <c r="AA2666" s="269"/>
      <c r="AB2666" s="269"/>
      <c r="AC2666" s="269"/>
      <c r="AD2666" s="269"/>
      <c r="AE2666" s="269"/>
      <c r="AF2666" s="269"/>
      <c r="AG2666" s="269"/>
      <c r="AH2666" s="269"/>
      <c r="AI2666" s="269"/>
      <c r="AJ2666" s="269"/>
      <c r="AK2666" s="269"/>
      <c r="AL2666" s="269"/>
      <c r="AM2666" s="269"/>
      <c r="AN2666" s="269"/>
      <c r="AO2666" s="269"/>
      <c r="AP2666" s="269"/>
      <c r="AQ2666" s="269"/>
      <c r="AR2666" s="269"/>
    </row>
    <row r="2667">
      <c r="A2667" s="410"/>
      <c r="B2667" s="410"/>
      <c r="C2667" s="410"/>
      <c r="D2667" s="410"/>
      <c r="E2667" s="410"/>
      <c r="F2667" s="410"/>
      <c r="H2667" s="269"/>
      <c r="I2667" s="269"/>
      <c r="J2667" s="269"/>
      <c r="K2667" s="269"/>
      <c r="L2667" s="269"/>
      <c r="M2667" s="269"/>
      <c r="N2667" s="269"/>
      <c r="O2667" s="269"/>
      <c r="P2667" s="269"/>
      <c r="Q2667" s="269"/>
      <c r="R2667" s="269"/>
      <c r="S2667" s="269"/>
      <c r="T2667" s="269"/>
      <c r="U2667" s="269"/>
      <c r="V2667" s="269"/>
      <c r="W2667" s="269"/>
      <c r="X2667" s="269"/>
      <c r="Y2667" s="269"/>
      <c r="Z2667" s="269"/>
      <c r="AA2667" s="269"/>
      <c r="AB2667" s="269"/>
      <c r="AC2667" s="269"/>
      <c r="AD2667" s="269"/>
      <c r="AE2667" s="269"/>
      <c r="AF2667" s="269"/>
      <c r="AG2667" s="269"/>
      <c r="AH2667" s="269"/>
      <c r="AI2667" s="269"/>
      <c r="AJ2667" s="269"/>
      <c r="AK2667" s="269"/>
      <c r="AL2667" s="269"/>
      <c r="AM2667" s="269"/>
      <c r="AN2667" s="269"/>
      <c r="AO2667" s="269"/>
      <c r="AP2667" s="269"/>
      <c r="AQ2667" s="269"/>
      <c r="AR2667" s="269"/>
    </row>
    <row r="2668">
      <c r="A2668" s="410"/>
      <c r="B2668" s="410"/>
      <c r="C2668" s="410"/>
      <c r="D2668" s="410"/>
      <c r="E2668" s="410"/>
      <c r="F2668" s="410"/>
      <c r="H2668" s="269"/>
      <c r="I2668" s="269"/>
      <c r="J2668" s="269"/>
      <c r="K2668" s="269"/>
      <c r="L2668" s="269"/>
      <c r="M2668" s="269"/>
      <c r="N2668" s="269"/>
      <c r="O2668" s="269"/>
      <c r="P2668" s="269"/>
      <c r="Q2668" s="269"/>
      <c r="R2668" s="269"/>
      <c r="S2668" s="269"/>
      <c r="T2668" s="269"/>
      <c r="U2668" s="269"/>
      <c r="V2668" s="269"/>
      <c r="W2668" s="269"/>
      <c r="X2668" s="269"/>
      <c r="Y2668" s="269"/>
      <c r="Z2668" s="269"/>
      <c r="AA2668" s="269"/>
      <c r="AB2668" s="269"/>
      <c r="AC2668" s="269"/>
      <c r="AD2668" s="269"/>
      <c r="AE2668" s="269"/>
      <c r="AF2668" s="269"/>
      <c r="AG2668" s="269"/>
      <c r="AH2668" s="269"/>
      <c r="AI2668" s="269"/>
      <c r="AJ2668" s="269"/>
      <c r="AK2668" s="269"/>
      <c r="AL2668" s="269"/>
      <c r="AM2668" s="269"/>
      <c r="AN2668" s="269"/>
      <c r="AO2668" s="269"/>
      <c r="AP2668" s="269"/>
      <c r="AQ2668" s="269"/>
      <c r="AR2668" s="269"/>
    </row>
    <row r="2669">
      <c r="A2669" s="410"/>
      <c r="B2669" s="410"/>
      <c r="C2669" s="410"/>
      <c r="D2669" s="410"/>
      <c r="E2669" s="410"/>
      <c r="F2669" s="410"/>
      <c r="H2669" s="269"/>
      <c r="I2669" s="269"/>
      <c r="J2669" s="269"/>
      <c r="K2669" s="269"/>
      <c r="L2669" s="269"/>
      <c r="M2669" s="269"/>
      <c r="N2669" s="269"/>
      <c r="O2669" s="269"/>
      <c r="P2669" s="269"/>
      <c r="Q2669" s="269"/>
      <c r="R2669" s="269"/>
      <c r="S2669" s="269"/>
      <c r="T2669" s="269"/>
      <c r="U2669" s="269"/>
      <c r="V2669" s="269"/>
      <c r="W2669" s="269"/>
      <c r="X2669" s="269"/>
      <c r="Y2669" s="269"/>
      <c r="Z2669" s="269"/>
      <c r="AA2669" s="269"/>
      <c r="AB2669" s="269"/>
      <c r="AC2669" s="269"/>
      <c r="AD2669" s="269"/>
      <c r="AE2669" s="269"/>
      <c r="AF2669" s="269"/>
      <c r="AG2669" s="269"/>
      <c r="AH2669" s="269"/>
      <c r="AI2669" s="269"/>
      <c r="AJ2669" s="269"/>
      <c r="AK2669" s="269"/>
      <c r="AL2669" s="269"/>
      <c r="AM2669" s="269"/>
      <c r="AN2669" s="269"/>
      <c r="AO2669" s="269"/>
      <c r="AP2669" s="269"/>
      <c r="AQ2669" s="269"/>
      <c r="AR2669" s="269"/>
    </row>
    <row r="2670">
      <c r="A2670" s="410"/>
      <c r="B2670" s="410"/>
      <c r="C2670" s="410"/>
      <c r="D2670" s="410"/>
      <c r="E2670" s="410"/>
      <c r="F2670" s="410"/>
      <c r="H2670" s="269"/>
      <c r="I2670" s="269"/>
      <c r="J2670" s="269"/>
      <c r="K2670" s="269"/>
      <c r="L2670" s="269"/>
      <c r="M2670" s="269"/>
      <c r="N2670" s="269"/>
      <c r="O2670" s="269"/>
      <c r="P2670" s="269"/>
      <c r="Q2670" s="269"/>
      <c r="R2670" s="269"/>
      <c r="S2670" s="269"/>
      <c r="T2670" s="269"/>
      <c r="U2670" s="269"/>
      <c r="V2670" s="269"/>
      <c r="W2670" s="269"/>
      <c r="X2670" s="269"/>
      <c r="Y2670" s="269"/>
      <c r="Z2670" s="269"/>
      <c r="AA2670" s="269"/>
      <c r="AB2670" s="269"/>
      <c r="AC2670" s="269"/>
      <c r="AD2670" s="269"/>
      <c r="AE2670" s="269"/>
      <c r="AF2670" s="269"/>
      <c r="AG2670" s="269"/>
      <c r="AH2670" s="269"/>
      <c r="AI2670" s="269"/>
      <c r="AJ2670" s="269"/>
      <c r="AK2670" s="269"/>
      <c r="AL2670" s="269"/>
      <c r="AM2670" s="269"/>
      <c r="AN2670" s="269"/>
      <c r="AO2670" s="269"/>
      <c r="AP2670" s="269"/>
      <c r="AQ2670" s="269"/>
      <c r="AR2670" s="269"/>
    </row>
    <row r="2671">
      <c r="A2671" s="410"/>
      <c r="B2671" s="410"/>
      <c r="C2671" s="410"/>
      <c r="D2671" s="410"/>
      <c r="E2671" s="410"/>
      <c r="F2671" s="410"/>
      <c r="H2671" s="269"/>
      <c r="I2671" s="269"/>
      <c r="J2671" s="269"/>
      <c r="K2671" s="269"/>
      <c r="L2671" s="269"/>
      <c r="M2671" s="269"/>
      <c r="N2671" s="269"/>
      <c r="O2671" s="269"/>
      <c r="P2671" s="269"/>
      <c r="Q2671" s="269"/>
      <c r="R2671" s="269"/>
      <c r="S2671" s="269"/>
      <c r="T2671" s="269"/>
      <c r="U2671" s="269"/>
      <c r="V2671" s="269"/>
      <c r="W2671" s="269"/>
      <c r="X2671" s="269"/>
      <c r="Y2671" s="269"/>
      <c r="Z2671" s="269"/>
      <c r="AA2671" s="269"/>
      <c r="AB2671" s="269"/>
      <c r="AC2671" s="269"/>
      <c r="AD2671" s="269"/>
      <c r="AE2671" s="269"/>
      <c r="AF2671" s="269"/>
      <c r="AG2671" s="269"/>
      <c r="AH2671" s="269"/>
      <c r="AI2671" s="269"/>
      <c r="AJ2671" s="269"/>
      <c r="AK2671" s="269"/>
      <c r="AL2671" s="269"/>
      <c r="AM2671" s="269"/>
      <c r="AN2671" s="269"/>
      <c r="AO2671" s="269"/>
      <c r="AP2671" s="269"/>
      <c r="AQ2671" s="269"/>
      <c r="AR2671" s="269"/>
    </row>
    <row r="2672">
      <c r="A2672" s="410"/>
      <c r="B2672" s="410"/>
      <c r="C2672" s="410"/>
      <c r="D2672" s="410"/>
      <c r="E2672" s="410"/>
      <c r="F2672" s="410"/>
      <c r="H2672" s="269"/>
      <c r="I2672" s="269"/>
      <c r="J2672" s="269"/>
      <c r="K2672" s="269"/>
      <c r="L2672" s="269"/>
      <c r="M2672" s="269"/>
      <c r="N2672" s="269"/>
      <c r="O2672" s="269"/>
      <c r="P2672" s="269"/>
      <c r="Q2672" s="269"/>
      <c r="R2672" s="269"/>
      <c r="S2672" s="269"/>
      <c r="T2672" s="269"/>
      <c r="U2672" s="269"/>
      <c r="V2672" s="269"/>
      <c r="W2672" s="269"/>
      <c r="X2672" s="269"/>
      <c r="Y2672" s="269"/>
      <c r="Z2672" s="269"/>
      <c r="AA2672" s="269"/>
      <c r="AB2672" s="269"/>
      <c r="AC2672" s="269"/>
      <c r="AD2672" s="269"/>
      <c r="AE2672" s="269"/>
      <c r="AF2672" s="269"/>
      <c r="AG2672" s="269"/>
      <c r="AH2672" s="269"/>
      <c r="AI2672" s="269"/>
      <c r="AJ2672" s="269"/>
      <c r="AK2672" s="269"/>
      <c r="AL2672" s="269"/>
      <c r="AM2672" s="269"/>
      <c r="AN2672" s="269"/>
      <c r="AO2672" s="269"/>
      <c r="AP2672" s="269"/>
      <c r="AQ2672" s="269"/>
      <c r="AR2672" s="269"/>
    </row>
    <row r="2673">
      <c r="A2673" s="410"/>
      <c r="B2673" s="410"/>
      <c r="C2673" s="410"/>
      <c r="D2673" s="410"/>
      <c r="E2673" s="410"/>
      <c r="F2673" s="410"/>
      <c r="H2673" s="269"/>
      <c r="I2673" s="269"/>
      <c r="J2673" s="269"/>
      <c r="K2673" s="269"/>
      <c r="L2673" s="269"/>
      <c r="M2673" s="269"/>
      <c r="N2673" s="269"/>
      <c r="O2673" s="269"/>
      <c r="P2673" s="269"/>
      <c r="Q2673" s="269"/>
      <c r="R2673" s="269"/>
      <c r="S2673" s="269"/>
      <c r="T2673" s="269"/>
      <c r="U2673" s="269"/>
      <c r="V2673" s="269"/>
      <c r="W2673" s="269"/>
      <c r="X2673" s="269"/>
      <c r="Y2673" s="269"/>
      <c r="Z2673" s="269"/>
      <c r="AA2673" s="269"/>
      <c r="AB2673" s="269"/>
      <c r="AC2673" s="269"/>
      <c r="AD2673" s="269"/>
      <c r="AE2673" s="269"/>
      <c r="AF2673" s="269"/>
      <c r="AG2673" s="269"/>
      <c r="AH2673" s="269"/>
      <c r="AI2673" s="269"/>
      <c r="AJ2673" s="269"/>
      <c r="AK2673" s="269"/>
      <c r="AL2673" s="269"/>
      <c r="AM2673" s="269"/>
      <c r="AN2673" s="269"/>
      <c r="AO2673" s="269"/>
      <c r="AP2673" s="269"/>
      <c r="AQ2673" s="269"/>
      <c r="AR2673" s="269"/>
    </row>
    <row r="2674">
      <c r="A2674" s="410"/>
      <c r="B2674" s="410"/>
      <c r="C2674" s="410"/>
      <c r="D2674" s="410"/>
      <c r="E2674" s="410"/>
      <c r="F2674" s="410"/>
      <c r="H2674" s="269"/>
      <c r="I2674" s="269"/>
      <c r="J2674" s="269"/>
      <c r="K2674" s="269"/>
      <c r="L2674" s="269"/>
      <c r="M2674" s="269"/>
      <c r="N2674" s="269"/>
      <c r="O2674" s="269"/>
      <c r="P2674" s="269"/>
      <c r="Q2674" s="269"/>
      <c r="R2674" s="269"/>
      <c r="S2674" s="269"/>
      <c r="T2674" s="269"/>
      <c r="U2674" s="269"/>
      <c r="V2674" s="269"/>
      <c r="W2674" s="269"/>
      <c r="X2674" s="269"/>
      <c r="Y2674" s="269"/>
      <c r="Z2674" s="269"/>
      <c r="AA2674" s="269"/>
      <c r="AB2674" s="269"/>
      <c r="AC2674" s="269"/>
      <c r="AD2674" s="269"/>
      <c r="AE2674" s="269"/>
      <c r="AF2674" s="269"/>
      <c r="AG2674" s="269"/>
      <c r="AH2674" s="269"/>
      <c r="AI2674" s="269"/>
      <c r="AJ2674" s="269"/>
      <c r="AK2674" s="269"/>
      <c r="AL2674" s="269"/>
      <c r="AM2674" s="269"/>
      <c r="AN2674" s="269"/>
      <c r="AO2674" s="269"/>
      <c r="AP2674" s="269"/>
      <c r="AQ2674" s="269"/>
      <c r="AR2674" s="269"/>
    </row>
    <row r="2675">
      <c r="A2675" s="410"/>
      <c r="B2675" s="410"/>
      <c r="C2675" s="410"/>
      <c r="D2675" s="410"/>
      <c r="E2675" s="410"/>
      <c r="F2675" s="410"/>
      <c r="H2675" s="269"/>
      <c r="I2675" s="269"/>
      <c r="J2675" s="269"/>
      <c r="K2675" s="269"/>
      <c r="L2675" s="269"/>
      <c r="M2675" s="269"/>
      <c r="N2675" s="269"/>
      <c r="O2675" s="269"/>
      <c r="P2675" s="269"/>
      <c r="Q2675" s="269"/>
      <c r="R2675" s="269"/>
      <c r="S2675" s="269"/>
      <c r="T2675" s="269"/>
      <c r="U2675" s="269"/>
      <c r="V2675" s="269"/>
      <c r="W2675" s="269"/>
      <c r="X2675" s="269"/>
      <c r="Y2675" s="269"/>
      <c r="Z2675" s="269"/>
      <c r="AA2675" s="269"/>
      <c r="AB2675" s="269"/>
      <c r="AC2675" s="269"/>
      <c r="AD2675" s="269"/>
      <c r="AE2675" s="269"/>
      <c r="AF2675" s="269"/>
      <c r="AG2675" s="269"/>
      <c r="AH2675" s="269"/>
      <c r="AI2675" s="269"/>
      <c r="AJ2675" s="269"/>
      <c r="AK2675" s="269"/>
      <c r="AL2675" s="269"/>
      <c r="AM2675" s="269"/>
      <c r="AN2675" s="269"/>
      <c r="AO2675" s="269"/>
      <c r="AP2675" s="269"/>
      <c r="AQ2675" s="269"/>
      <c r="AR2675" s="269"/>
    </row>
    <row r="2676">
      <c r="A2676" s="410"/>
      <c r="B2676" s="410"/>
      <c r="C2676" s="410"/>
      <c r="D2676" s="410"/>
      <c r="E2676" s="410"/>
      <c r="F2676" s="410"/>
      <c r="H2676" s="269"/>
      <c r="I2676" s="269"/>
      <c r="J2676" s="269"/>
      <c r="K2676" s="269"/>
      <c r="L2676" s="269"/>
      <c r="M2676" s="269"/>
      <c r="N2676" s="269"/>
      <c r="O2676" s="269"/>
      <c r="P2676" s="269"/>
      <c r="Q2676" s="269"/>
      <c r="R2676" s="269"/>
      <c r="S2676" s="269"/>
      <c r="T2676" s="269"/>
      <c r="U2676" s="269"/>
      <c r="V2676" s="269"/>
      <c r="W2676" s="269"/>
      <c r="X2676" s="269"/>
      <c r="Y2676" s="269"/>
      <c r="Z2676" s="269"/>
      <c r="AA2676" s="269"/>
      <c r="AB2676" s="269"/>
      <c r="AC2676" s="269"/>
      <c r="AD2676" s="269"/>
      <c r="AE2676" s="269"/>
      <c r="AF2676" s="269"/>
      <c r="AG2676" s="269"/>
      <c r="AH2676" s="269"/>
      <c r="AI2676" s="269"/>
      <c r="AJ2676" s="269"/>
      <c r="AK2676" s="269"/>
      <c r="AL2676" s="269"/>
      <c r="AM2676" s="269"/>
      <c r="AN2676" s="269"/>
      <c r="AO2676" s="269"/>
      <c r="AP2676" s="269"/>
      <c r="AQ2676" s="269"/>
      <c r="AR2676" s="269"/>
    </row>
    <row r="2677">
      <c r="A2677" s="410"/>
      <c r="B2677" s="410"/>
      <c r="C2677" s="410"/>
      <c r="D2677" s="410"/>
      <c r="E2677" s="410"/>
      <c r="F2677" s="410"/>
      <c r="H2677" s="269"/>
      <c r="I2677" s="269"/>
      <c r="J2677" s="269"/>
      <c r="K2677" s="269"/>
      <c r="L2677" s="269"/>
      <c r="M2677" s="269"/>
      <c r="N2677" s="269"/>
      <c r="O2677" s="269"/>
      <c r="P2677" s="269"/>
      <c r="Q2677" s="269"/>
      <c r="R2677" s="269"/>
      <c r="S2677" s="269"/>
      <c r="T2677" s="269"/>
      <c r="U2677" s="269"/>
      <c r="V2677" s="269"/>
      <c r="W2677" s="269"/>
      <c r="X2677" s="269"/>
      <c r="Y2677" s="269"/>
      <c r="Z2677" s="269"/>
      <c r="AA2677" s="269"/>
      <c r="AB2677" s="269"/>
      <c r="AC2677" s="269"/>
      <c r="AD2677" s="269"/>
      <c r="AE2677" s="269"/>
      <c r="AF2677" s="269"/>
      <c r="AG2677" s="269"/>
      <c r="AH2677" s="269"/>
      <c r="AI2677" s="269"/>
      <c r="AJ2677" s="269"/>
      <c r="AK2677" s="269"/>
      <c r="AL2677" s="269"/>
      <c r="AM2677" s="269"/>
      <c r="AN2677" s="269"/>
      <c r="AO2677" s="269"/>
      <c r="AP2677" s="269"/>
      <c r="AQ2677" s="269"/>
      <c r="AR2677" s="269"/>
    </row>
    <row r="2678">
      <c r="A2678" s="410"/>
      <c r="B2678" s="410"/>
      <c r="C2678" s="410"/>
      <c r="D2678" s="410"/>
      <c r="E2678" s="410"/>
      <c r="F2678" s="410"/>
      <c r="H2678" s="269"/>
      <c r="I2678" s="269"/>
      <c r="J2678" s="269"/>
      <c r="K2678" s="269"/>
      <c r="L2678" s="269"/>
      <c r="M2678" s="269"/>
      <c r="N2678" s="269"/>
      <c r="O2678" s="269"/>
      <c r="P2678" s="269"/>
      <c r="Q2678" s="269"/>
      <c r="R2678" s="269"/>
      <c r="S2678" s="269"/>
      <c r="T2678" s="269"/>
      <c r="U2678" s="269"/>
      <c r="V2678" s="269"/>
      <c r="W2678" s="269"/>
      <c r="X2678" s="269"/>
      <c r="Y2678" s="269"/>
      <c r="Z2678" s="269"/>
      <c r="AA2678" s="269"/>
      <c r="AB2678" s="269"/>
      <c r="AC2678" s="269"/>
      <c r="AD2678" s="269"/>
      <c r="AE2678" s="269"/>
      <c r="AF2678" s="269"/>
      <c r="AG2678" s="269"/>
      <c r="AH2678" s="269"/>
      <c r="AI2678" s="269"/>
      <c r="AJ2678" s="269"/>
      <c r="AK2678" s="269"/>
      <c r="AL2678" s="269"/>
      <c r="AM2678" s="269"/>
      <c r="AN2678" s="269"/>
      <c r="AO2678" s="269"/>
      <c r="AP2678" s="269"/>
      <c r="AQ2678" s="269"/>
      <c r="AR2678" s="269"/>
    </row>
    <row r="2679">
      <c r="A2679" s="410"/>
      <c r="B2679" s="410"/>
      <c r="C2679" s="410"/>
      <c r="D2679" s="410"/>
      <c r="E2679" s="410"/>
      <c r="F2679" s="410"/>
      <c r="H2679" s="269"/>
      <c r="I2679" s="269"/>
      <c r="J2679" s="269"/>
      <c r="K2679" s="269"/>
      <c r="L2679" s="269"/>
      <c r="M2679" s="269"/>
      <c r="N2679" s="269"/>
      <c r="O2679" s="269"/>
      <c r="P2679" s="269"/>
      <c r="Q2679" s="269"/>
      <c r="R2679" s="269"/>
      <c r="S2679" s="269"/>
      <c r="T2679" s="269"/>
      <c r="U2679" s="269"/>
      <c r="V2679" s="269"/>
      <c r="W2679" s="269"/>
      <c r="X2679" s="269"/>
      <c r="Y2679" s="269"/>
      <c r="Z2679" s="269"/>
      <c r="AA2679" s="269"/>
      <c r="AB2679" s="269"/>
      <c r="AC2679" s="269"/>
      <c r="AD2679" s="269"/>
      <c r="AE2679" s="269"/>
      <c r="AF2679" s="269"/>
      <c r="AG2679" s="269"/>
      <c r="AH2679" s="269"/>
      <c r="AI2679" s="269"/>
      <c r="AJ2679" s="269"/>
      <c r="AK2679" s="269"/>
      <c r="AL2679" s="269"/>
      <c r="AM2679" s="269"/>
      <c r="AN2679" s="269"/>
      <c r="AO2679" s="269"/>
      <c r="AP2679" s="269"/>
      <c r="AQ2679" s="269"/>
      <c r="AR2679" s="269"/>
    </row>
    <row r="2680">
      <c r="A2680" s="410"/>
      <c r="B2680" s="410"/>
      <c r="C2680" s="410"/>
      <c r="D2680" s="410"/>
      <c r="E2680" s="410"/>
      <c r="F2680" s="410"/>
      <c r="H2680" s="269"/>
      <c r="I2680" s="269"/>
      <c r="J2680" s="269"/>
      <c r="K2680" s="269"/>
      <c r="L2680" s="269"/>
      <c r="M2680" s="269"/>
      <c r="N2680" s="269"/>
      <c r="O2680" s="269"/>
      <c r="P2680" s="269"/>
      <c r="Q2680" s="269"/>
      <c r="R2680" s="269"/>
      <c r="S2680" s="269"/>
      <c r="T2680" s="269"/>
      <c r="U2680" s="269"/>
      <c r="V2680" s="269"/>
      <c r="W2680" s="269"/>
      <c r="X2680" s="269"/>
      <c r="Y2680" s="269"/>
      <c r="Z2680" s="269"/>
      <c r="AA2680" s="269"/>
      <c r="AB2680" s="269"/>
      <c r="AC2680" s="269"/>
      <c r="AD2680" s="269"/>
      <c r="AE2680" s="269"/>
      <c r="AF2680" s="269"/>
      <c r="AG2680" s="269"/>
      <c r="AH2680" s="269"/>
      <c r="AI2680" s="269"/>
      <c r="AJ2680" s="269"/>
      <c r="AK2680" s="269"/>
      <c r="AL2680" s="269"/>
      <c r="AM2680" s="269"/>
      <c r="AN2680" s="269"/>
      <c r="AO2680" s="269"/>
      <c r="AP2680" s="269"/>
      <c r="AQ2680" s="269"/>
      <c r="AR2680" s="269"/>
    </row>
    <row r="2681">
      <c r="A2681" s="410"/>
      <c r="B2681" s="410"/>
      <c r="C2681" s="410"/>
      <c r="D2681" s="410"/>
      <c r="E2681" s="410"/>
      <c r="F2681" s="410"/>
      <c r="H2681" s="269"/>
      <c r="I2681" s="269"/>
      <c r="J2681" s="269"/>
      <c r="K2681" s="269"/>
      <c r="L2681" s="269"/>
      <c r="M2681" s="269"/>
      <c r="N2681" s="269"/>
      <c r="O2681" s="269"/>
      <c r="P2681" s="269"/>
      <c r="Q2681" s="269"/>
      <c r="R2681" s="269"/>
      <c r="S2681" s="269"/>
      <c r="T2681" s="269"/>
      <c r="U2681" s="269"/>
      <c r="V2681" s="269"/>
      <c r="W2681" s="269"/>
      <c r="X2681" s="269"/>
      <c r="Y2681" s="269"/>
      <c r="Z2681" s="269"/>
      <c r="AA2681" s="269"/>
      <c r="AB2681" s="269"/>
      <c r="AC2681" s="269"/>
      <c r="AD2681" s="269"/>
      <c r="AE2681" s="269"/>
      <c r="AF2681" s="269"/>
      <c r="AG2681" s="269"/>
      <c r="AH2681" s="269"/>
      <c r="AI2681" s="269"/>
      <c r="AJ2681" s="269"/>
      <c r="AK2681" s="269"/>
      <c r="AL2681" s="269"/>
      <c r="AM2681" s="269"/>
      <c r="AN2681" s="269"/>
      <c r="AO2681" s="269"/>
      <c r="AP2681" s="269"/>
      <c r="AQ2681" s="269"/>
      <c r="AR2681" s="269"/>
    </row>
    <row r="2682">
      <c r="A2682" s="410"/>
      <c r="B2682" s="410"/>
      <c r="C2682" s="410"/>
      <c r="D2682" s="410"/>
      <c r="E2682" s="410"/>
      <c r="F2682" s="410"/>
      <c r="H2682" s="269"/>
      <c r="I2682" s="269"/>
      <c r="J2682" s="269"/>
      <c r="K2682" s="269"/>
      <c r="L2682" s="269"/>
      <c r="M2682" s="269"/>
      <c r="N2682" s="269"/>
      <c r="O2682" s="269"/>
      <c r="P2682" s="269"/>
      <c r="Q2682" s="269"/>
      <c r="R2682" s="269"/>
      <c r="S2682" s="269"/>
      <c r="T2682" s="269"/>
      <c r="U2682" s="269"/>
      <c r="V2682" s="269"/>
      <c r="W2682" s="269"/>
      <c r="X2682" s="269"/>
      <c r="Y2682" s="269"/>
      <c r="Z2682" s="269"/>
      <c r="AA2682" s="269"/>
      <c r="AB2682" s="269"/>
      <c r="AC2682" s="269"/>
      <c r="AD2682" s="269"/>
      <c r="AE2682" s="269"/>
      <c r="AF2682" s="269"/>
      <c r="AG2682" s="269"/>
      <c r="AH2682" s="269"/>
      <c r="AI2682" s="269"/>
      <c r="AJ2682" s="269"/>
      <c r="AK2682" s="269"/>
      <c r="AL2682" s="269"/>
      <c r="AM2682" s="269"/>
      <c r="AN2682" s="269"/>
      <c r="AO2682" s="269"/>
      <c r="AP2682" s="269"/>
      <c r="AQ2682" s="269"/>
      <c r="AR2682" s="269"/>
    </row>
    <row r="2683">
      <c r="A2683" s="410"/>
      <c r="B2683" s="410"/>
      <c r="C2683" s="410"/>
      <c r="D2683" s="410"/>
      <c r="E2683" s="410"/>
      <c r="F2683" s="410"/>
      <c r="H2683" s="269"/>
      <c r="I2683" s="269"/>
      <c r="J2683" s="269"/>
      <c r="K2683" s="269"/>
      <c r="L2683" s="269"/>
      <c r="M2683" s="269"/>
      <c r="N2683" s="269"/>
      <c r="O2683" s="269"/>
      <c r="P2683" s="269"/>
      <c r="Q2683" s="269"/>
      <c r="R2683" s="269"/>
      <c r="S2683" s="269"/>
      <c r="T2683" s="269"/>
      <c r="U2683" s="269"/>
      <c r="V2683" s="269"/>
      <c r="W2683" s="269"/>
      <c r="X2683" s="269"/>
      <c r="Y2683" s="269"/>
      <c r="Z2683" s="269"/>
      <c r="AA2683" s="269"/>
      <c r="AB2683" s="269"/>
      <c r="AC2683" s="269"/>
      <c r="AD2683" s="269"/>
      <c r="AE2683" s="269"/>
      <c r="AF2683" s="269"/>
      <c r="AG2683" s="269"/>
      <c r="AH2683" s="269"/>
      <c r="AI2683" s="269"/>
      <c r="AJ2683" s="269"/>
      <c r="AK2683" s="269"/>
      <c r="AL2683" s="269"/>
      <c r="AM2683" s="269"/>
      <c r="AN2683" s="269"/>
      <c r="AO2683" s="269"/>
      <c r="AP2683" s="269"/>
      <c r="AQ2683" s="269"/>
      <c r="AR2683" s="269"/>
    </row>
    <row r="2684">
      <c r="A2684" s="410"/>
      <c r="B2684" s="410"/>
      <c r="C2684" s="410"/>
      <c r="D2684" s="410"/>
      <c r="E2684" s="410"/>
      <c r="F2684" s="410"/>
      <c r="H2684" s="269"/>
      <c r="I2684" s="269"/>
      <c r="J2684" s="269"/>
      <c r="K2684" s="269"/>
      <c r="L2684" s="269"/>
      <c r="M2684" s="269"/>
      <c r="N2684" s="269"/>
      <c r="O2684" s="269"/>
      <c r="P2684" s="269"/>
      <c r="Q2684" s="269"/>
      <c r="R2684" s="269"/>
      <c r="S2684" s="269"/>
      <c r="T2684" s="269"/>
      <c r="U2684" s="269"/>
      <c r="V2684" s="269"/>
      <c r="W2684" s="269"/>
      <c r="X2684" s="269"/>
      <c r="Y2684" s="269"/>
      <c r="Z2684" s="269"/>
      <c r="AA2684" s="269"/>
      <c r="AB2684" s="269"/>
      <c r="AC2684" s="269"/>
      <c r="AD2684" s="269"/>
      <c r="AE2684" s="269"/>
      <c r="AF2684" s="269"/>
      <c r="AG2684" s="269"/>
      <c r="AH2684" s="269"/>
      <c r="AI2684" s="269"/>
      <c r="AJ2684" s="269"/>
      <c r="AK2684" s="269"/>
      <c r="AL2684" s="269"/>
      <c r="AM2684" s="269"/>
      <c r="AN2684" s="269"/>
      <c r="AO2684" s="269"/>
      <c r="AP2684" s="269"/>
      <c r="AQ2684" s="269"/>
      <c r="AR2684" s="269"/>
    </row>
    <row r="2685">
      <c r="A2685" s="410"/>
      <c r="B2685" s="410"/>
      <c r="C2685" s="410"/>
      <c r="D2685" s="410"/>
      <c r="E2685" s="410"/>
      <c r="F2685" s="410"/>
      <c r="H2685" s="269"/>
      <c r="I2685" s="269"/>
      <c r="J2685" s="269"/>
      <c r="K2685" s="269"/>
      <c r="L2685" s="269"/>
      <c r="M2685" s="269"/>
      <c r="N2685" s="269"/>
      <c r="O2685" s="269"/>
      <c r="P2685" s="269"/>
      <c r="Q2685" s="269"/>
      <c r="R2685" s="269"/>
      <c r="S2685" s="269"/>
      <c r="T2685" s="269"/>
      <c r="U2685" s="269"/>
      <c r="V2685" s="269"/>
      <c r="W2685" s="269"/>
      <c r="X2685" s="269"/>
      <c r="Y2685" s="269"/>
      <c r="Z2685" s="269"/>
      <c r="AA2685" s="269"/>
      <c r="AB2685" s="269"/>
      <c r="AC2685" s="269"/>
      <c r="AD2685" s="269"/>
      <c r="AE2685" s="269"/>
      <c r="AF2685" s="269"/>
      <c r="AG2685" s="269"/>
      <c r="AH2685" s="269"/>
      <c r="AI2685" s="269"/>
      <c r="AJ2685" s="269"/>
      <c r="AK2685" s="269"/>
      <c r="AL2685" s="269"/>
      <c r="AM2685" s="269"/>
      <c r="AN2685" s="269"/>
      <c r="AO2685" s="269"/>
      <c r="AP2685" s="269"/>
      <c r="AQ2685" s="269"/>
      <c r="AR2685" s="269"/>
    </row>
    <row r="2686">
      <c r="A2686" s="410"/>
      <c r="B2686" s="410"/>
      <c r="C2686" s="410"/>
      <c r="D2686" s="410"/>
      <c r="E2686" s="410"/>
      <c r="F2686" s="410"/>
      <c r="H2686" s="269"/>
      <c r="I2686" s="269"/>
      <c r="J2686" s="269"/>
      <c r="K2686" s="269"/>
      <c r="L2686" s="269"/>
      <c r="M2686" s="269"/>
      <c r="N2686" s="269"/>
      <c r="O2686" s="269"/>
      <c r="P2686" s="269"/>
      <c r="Q2686" s="269"/>
      <c r="R2686" s="269"/>
      <c r="S2686" s="269"/>
      <c r="T2686" s="269"/>
      <c r="U2686" s="269"/>
      <c r="V2686" s="269"/>
      <c r="W2686" s="269"/>
      <c r="X2686" s="269"/>
      <c r="Y2686" s="269"/>
      <c r="Z2686" s="269"/>
      <c r="AA2686" s="269"/>
      <c r="AB2686" s="269"/>
      <c r="AC2686" s="269"/>
      <c r="AD2686" s="269"/>
      <c r="AE2686" s="269"/>
      <c r="AF2686" s="269"/>
      <c r="AG2686" s="269"/>
      <c r="AH2686" s="269"/>
      <c r="AI2686" s="269"/>
      <c r="AJ2686" s="269"/>
      <c r="AK2686" s="269"/>
      <c r="AL2686" s="269"/>
      <c r="AM2686" s="269"/>
      <c r="AN2686" s="269"/>
      <c r="AO2686" s="269"/>
      <c r="AP2686" s="269"/>
      <c r="AQ2686" s="269"/>
      <c r="AR2686" s="269"/>
    </row>
    <row r="2687">
      <c r="A2687" s="410"/>
      <c r="B2687" s="410"/>
      <c r="C2687" s="410"/>
      <c r="D2687" s="410"/>
      <c r="E2687" s="410"/>
      <c r="F2687" s="410"/>
      <c r="H2687" s="269"/>
      <c r="I2687" s="269"/>
      <c r="J2687" s="269"/>
      <c r="K2687" s="269"/>
      <c r="L2687" s="269"/>
      <c r="M2687" s="269"/>
      <c r="N2687" s="269"/>
      <c r="O2687" s="269"/>
      <c r="P2687" s="269"/>
      <c r="Q2687" s="269"/>
      <c r="R2687" s="269"/>
      <c r="S2687" s="269"/>
      <c r="T2687" s="269"/>
      <c r="U2687" s="269"/>
      <c r="V2687" s="269"/>
      <c r="W2687" s="269"/>
      <c r="X2687" s="269"/>
      <c r="Y2687" s="269"/>
      <c r="Z2687" s="269"/>
      <c r="AA2687" s="269"/>
      <c r="AB2687" s="269"/>
      <c r="AC2687" s="269"/>
      <c r="AD2687" s="269"/>
      <c r="AE2687" s="269"/>
      <c r="AF2687" s="269"/>
      <c r="AG2687" s="269"/>
      <c r="AH2687" s="269"/>
      <c r="AI2687" s="269"/>
      <c r="AJ2687" s="269"/>
      <c r="AK2687" s="269"/>
      <c r="AL2687" s="269"/>
      <c r="AM2687" s="269"/>
      <c r="AN2687" s="269"/>
      <c r="AO2687" s="269"/>
      <c r="AP2687" s="269"/>
      <c r="AQ2687" s="269"/>
      <c r="AR2687" s="269"/>
    </row>
    <row r="2688">
      <c r="A2688" s="410"/>
      <c r="B2688" s="410"/>
      <c r="C2688" s="410"/>
      <c r="D2688" s="410"/>
      <c r="E2688" s="410"/>
      <c r="F2688" s="410"/>
      <c r="H2688" s="269"/>
      <c r="I2688" s="269"/>
      <c r="J2688" s="269"/>
      <c r="K2688" s="269"/>
      <c r="L2688" s="269"/>
      <c r="M2688" s="269"/>
      <c r="N2688" s="269"/>
      <c r="O2688" s="269"/>
      <c r="P2688" s="269"/>
      <c r="Q2688" s="269"/>
      <c r="R2688" s="269"/>
      <c r="S2688" s="269"/>
      <c r="T2688" s="269"/>
      <c r="U2688" s="269"/>
      <c r="V2688" s="269"/>
      <c r="W2688" s="269"/>
      <c r="X2688" s="269"/>
      <c r="Y2688" s="269"/>
      <c r="Z2688" s="269"/>
      <c r="AA2688" s="269"/>
      <c r="AB2688" s="269"/>
      <c r="AC2688" s="269"/>
      <c r="AD2688" s="269"/>
      <c r="AE2688" s="269"/>
      <c r="AF2688" s="269"/>
      <c r="AG2688" s="269"/>
      <c r="AH2688" s="269"/>
      <c r="AI2688" s="269"/>
      <c r="AJ2688" s="269"/>
      <c r="AK2688" s="269"/>
      <c r="AL2688" s="269"/>
      <c r="AM2688" s="269"/>
      <c r="AN2688" s="269"/>
      <c r="AO2688" s="269"/>
      <c r="AP2688" s="269"/>
      <c r="AQ2688" s="269"/>
      <c r="AR2688" s="269"/>
    </row>
    <row r="2689">
      <c r="A2689" s="410"/>
      <c r="B2689" s="410"/>
      <c r="C2689" s="410"/>
      <c r="D2689" s="410"/>
      <c r="E2689" s="410"/>
      <c r="F2689" s="410"/>
      <c r="H2689" s="269"/>
      <c r="I2689" s="269"/>
      <c r="J2689" s="269"/>
      <c r="K2689" s="269"/>
      <c r="L2689" s="269"/>
      <c r="M2689" s="269"/>
      <c r="N2689" s="269"/>
      <c r="O2689" s="269"/>
      <c r="P2689" s="269"/>
      <c r="Q2689" s="269"/>
      <c r="R2689" s="269"/>
      <c r="S2689" s="269"/>
      <c r="T2689" s="269"/>
      <c r="U2689" s="269"/>
      <c r="V2689" s="269"/>
      <c r="W2689" s="269"/>
      <c r="X2689" s="269"/>
      <c r="Y2689" s="269"/>
      <c r="Z2689" s="269"/>
      <c r="AA2689" s="269"/>
      <c r="AB2689" s="269"/>
      <c r="AC2689" s="269"/>
      <c r="AD2689" s="269"/>
      <c r="AE2689" s="269"/>
      <c r="AF2689" s="269"/>
      <c r="AG2689" s="269"/>
      <c r="AH2689" s="269"/>
      <c r="AI2689" s="269"/>
      <c r="AJ2689" s="269"/>
      <c r="AK2689" s="269"/>
      <c r="AL2689" s="269"/>
      <c r="AM2689" s="269"/>
      <c r="AN2689" s="269"/>
      <c r="AO2689" s="269"/>
      <c r="AP2689" s="269"/>
      <c r="AQ2689" s="269"/>
      <c r="AR2689" s="269"/>
    </row>
    <row r="2690">
      <c r="A2690" s="410"/>
      <c r="B2690" s="410"/>
      <c r="C2690" s="410"/>
      <c r="D2690" s="410"/>
      <c r="E2690" s="410"/>
      <c r="F2690" s="410"/>
      <c r="H2690" s="269"/>
      <c r="I2690" s="269"/>
      <c r="J2690" s="269"/>
      <c r="K2690" s="269"/>
      <c r="L2690" s="269"/>
      <c r="M2690" s="269"/>
      <c r="N2690" s="269"/>
      <c r="O2690" s="269"/>
      <c r="P2690" s="269"/>
      <c r="Q2690" s="269"/>
      <c r="R2690" s="269"/>
      <c r="S2690" s="269"/>
      <c r="T2690" s="269"/>
      <c r="U2690" s="269"/>
      <c r="V2690" s="269"/>
      <c r="W2690" s="269"/>
      <c r="X2690" s="269"/>
      <c r="Y2690" s="269"/>
      <c r="Z2690" s="269"/>
      <c r="AA2690" s="269"/>
      <c r="AB2690" s="269"/>
      <c r="AC2690" s="269"/>
      <c r="AD2690" s="269"/>
      <c r="AE2690" s="269"/>
      <c r="AF2690" s="269"/>
      <c r="AG2690" s="269"/>
      <c r="AH2690" s="269"/>
      <c r="AI2690" s="269"/>
      <c r="AJ2690" s="269"/>
      <c r="AK2690" s="269"/>
      <c r="AL2690" s="269"/>
      <c r="AM2690" s="269"/>
      <c r="AN2690" s="269"/>
      <c r="AO2690" s="269"/>
      <c r="AP2690" s="269"/>
      <c r="AQ2690" s="269"/>
      <c r="AR2690" s="269"/>
    </row>
    <row r="2691">
      <c r="A2691" s="410"/>
      <c r="B2691" s="410"/>
      <c r="C2691" s="410"/>
      <c r="D2691" s="410"/>
      <c r="E2691" s="410"/>
      <c r="F2691" s="410"/>
      <c r="H2691" s="269"/>
      <c r="I2691" s="269"/>
      <c r="J2691" s="269"/>
      <c r="K2691" s="269"/>
      <c r="L2691" s="269"/>
      <c r="M2691" s="269"/>
      <c r="N2691" s="269"/>
      <c r="O2691" s="269"/>
      <c r="P2691" s="269"/>
      <c r="Q2691" s="269"/>
      <c r="R2691" s="269"/>
      <c r="S2691" s="269"/>
      <c r="T2691" s="269"/>
      <c r="U2691" s="269"/>
      <c r="V2691" s="269"/>
      <c r="W2691" s="269"/>
      <c r="X2691" s="269"/>
      <c r="Y2691" s="269"/>
      <c r="Z2691" s="269"/>
      <c r="AA2691" s="269"/>
      <c r="AB2691" s="269"/>
      <c r="AC2691" s="269"/>
      <c r="AD2691" s="269"/>
      <c r="AE2691" s="269"/>
      <c r="AF2691" s="269"/>
      <c r="AG2691" s="269"/>
      <c r="AH2691" s="269"/>
      <c r="AI2691" s="269"/>
      <c r="AJ2691" s="269"/>
      <c r="AK2691" s="269"/>
      <c r="AL2691" s="269"/>
      <c r="AM2691" s="269"/>
      <c r="AN2691" s="269"/>
      <c r="AO2691" s="269"/>
      <c r="AP2691" s="269"/>
      <c r="AQ2691" s="269"/>
      <c r="AR2691" s="269"/>
    </row>
    <row r="2692">
      <c r="A2692" s="410"/>
      <c r="B2692" s="410"/>
      <c r="C2692" s="410"/>
      <c r="D2692" s="410"/>
      <c r="E2692" s="410"/>
      <c r="F2692" s="410"/>
      <c r="H2692" s="269"/>
      <c r="I2692" s="269"/>
      <c r="J2692" s="269"/>
      <c r="K2692" s="269"/>
      <c r="L2692" s="269"/>
      <c r="M2692" s="269"/>
      <c r="N2692" s="269"/>
      <c r="O2692" s="269"/>
      <c r="P2692" s="269"/>
      <c r="Q2692" s="269"/>
      <c r="R2692" s="269"/>
      <c r="S2692" s="269"/>
      <c r="T2692" s="269"/>
      <c r="U2692" s="269"/>
      <c r="V2692" s="269"/>
      <c r="W2692" s="269"/>
      <c r="X2692" s="269"/>
      <c r="Y2692" s="269"/>
      <c r="Z2692" s="269"/>
      <c r="AA2692" s="269"/>
      <c r="AB2692" s="269"/>
      <c r="AC2692" s="269"/>
      <c r="AD2692" s="269"/>
      <c r="AE2692" s="269"/>
      <c r="AF2692" s="269"/>
      <c r="AG2692" s="269"/>
      <c r="AH2692" s="269"/>
      <c r="AI2692" s="269"/>
      <c r="AJ2692" s="269"/>
      <c r="AK2692" s="269"/>
      <c r="AL2692" s="269"/>
      <c r="AM2692" s="269"/>
      <c r="AN2692" s="269"/>
      <c r="AO2692" s="269"/>
      <c r="AP2692" s="269"/>
      <c r="AQ2692" s="269"/>
      <c r="AR2692" s="269"/>
    </row>
    <row r="2693">
      <c r="A2693" s="410"/>
      <c r="B2693" s="410"/>
      <c r="C2693" s="410"/>
      <c r="D2693" s="410"/>
      <c r="E2693" s="410"/>
      <c r="F2693" s="410"/>
      <c r="H2693" s="269"/>
      <c r="I2693" s="269"/>
      <c r="J2693" s="269"/>
      <c r="K2693" s="269"/>
      <c r="L2693" s="269"/>
      <c r="M2693" s="269"/>
      <c r="N2693" s="269"/>
      <c r="O2693" s="269"/>
      <c r="P2693" s="269"/>
      <c r="Q2693" s="269"/>
      <c r="R2693" s="269"/>
      <c r="S2693" s="269"/>
      <c r="T2693" s="269"/>
      <c r="U2693" s="269"/>
      <c r="V2693" s="269"/>
      <c r="W2693" s="269"/>
      <c r="X2693" s="269"/>
      <c r="Y2693" s="269"/>
      <c r="Z2693" s="269"/>
      <c r="AA2693" s="269"/>
      <c r="AB2693" s="269"/>
      <c r="AC2693" s="269"/>
      <c r="AD2693" s="269"/>
      <c r="AE2693" s="269"/>
      <c r="AF2693" s="269"/>
      <c r="AG2693" s="269"/>
      <c r="AH2693" s="269"/>
      <c r="AI2693" s="269"/>
      <c r="AJ2693" s="269"/>
      <c r="AK2693" s="269"/>
      <c r="AL2693" s="269"/>
      <c r="AM2693" s="269"/>
      <c r="AN2693" s="269"/>
      <c r="AO2693" s="269"/>
      <c r="AP2693" s="269"/>
      <c r="AQ2693" s="269"/>
      <c r="AR2693" s="269"/>
    </row>
    <row r="2694">
      <c r="A2694" s="410"/>
      <c r="B2694" s="410"/>
      <c r="C2694" s="410"/>
      <c r="D2694" s="410"/>
      <c r="E2694" s="410"/>
      <c r="F2694" s="410"/>
      <c r="H2694" s="269"/>
      <c r="I2694" s="269"/>
      <c r="J2694" s="269"/>
      <c r="K2694" s="269"/>
      <c r="L2694" s="269"/>
      <c r="M2694" s="269"/>
      <c r="N2694" s="269"/>
      <c r="O2694" s="269"/>
      <c r="P2694" s="269"/>
      <c r="Q2694" s="269"/>
      <c r="R2694" s="269"/>
      <c r="S2694" s="269"/>
      <c r="T2694" s="269"/>
      <c r="U2694" s="269"/>
      <c r="V2694" s="269"/>
      <c r="W2694" s="269"/>
      <c r="X2694" s="269"/>
      <c r="Y2694" s="269"/>
      <c r="Z2694" s="269"/>
      <c r="AA2694" s="269"/>
      <c r="AB2694" s="269"/>
      <c r="AC2694" s="269"/>
      <c r="AD2694" s="269"/>
      <c r="AE2694" s="269"/>
      <c r="AF2694" s="269"/>
      <c r="AG2694" s="269"/>
      <c r="AH2694" s="269"/>
      <c r="AI2694" s="269"/>
      <c r="AJ2694" s="269"/>
      <c r="AK2694" s="269"/>
      <c r="AL2694" s="269"/>
      <c r="AM2694" s="269"/>
      <c r="AN2694" s="269"/>
      <c r="AO2694" s="269"/>
      <c r="AP2694" s="269"/>
      <c r="AQ2694" s="269"/>
      <c r="AR2694" s="269"/>
    </row>
    <row r="2695">
      <c r="A2695" s="410"/>
      <c r="B2695" s="410"/>
      <c r="C2695" s="410"/>
      <c r="D2695" s="410"/>
      <c r="E2695" s="410"/>
      <c r="F2695" s="410"/>
      <c r="H2695" s="269"/>
      <c r="I2695" s="269"/>
      <c r="J2695" s="269"/>
      <c r="K2695" s="269"/>
      <c r="L2695" s="269"/>
      <c r="M2695" s="269"/>
      <c r="N2695" s="269"/>
      <c r="O2695" s="269"/>
      <c r="P2695" s="269"/>
      <c r="Q2695" s="269"/>
      <c r="R2695" s="269"/>
      <c r="S2695" s="269"/>
      <c r="T2695" s="269"/>
      <c r="U2695" s="269"/>
      <c r="V2695" s="269"/>
      <c r="W2695" s="269"/>
      <c r="X2695" s="269"/>
      <c r="Y2695" s="269"/>
      <c r="Z2695" s="269"/>
      <c r="AA2695" s="269"/>
      <c r="AB2695" s="269"/>
      <c r="AC2695" s="269"/>
      <c r="AD2695" s="269"/>
      <c r="AE2695" s="269"/>
      <c r="AF2695" s="269"/>
      <c r="AG2695" s="269"/>
      <c r="AH2695" s="269"/>
      <c r="AI2695" s="269"/>
      <c r="AJ2695" s="269"/>
      <c r="AK2695" s="269"/>
      <c r="AL2695" s="269"/>
      <c r="AM2695" s="269"/>
      <c r="AN2695" s="269"/>
      <c r="AO2695" s="269"/>
      <c r="AP2695" s="269"/>
      <c r="AQ2695" s="269"/>
      <c r="AR2695" s="269"/>
    </row>
    <row r="2696">
      <c r="A2696" s="410"/>
      <c r="B2696" s="410"/>
      <c r="C2696" s="410"/>
      <c r="D2696" s="410"/>
      <c r="E2696" s="410"/>
      <c r="F2696" s="410"/>
      <c r="H2696" s="269"/>
      <c r="I2696" s="269"/>
      <c r="J2696" s="269"/>
      <c r="K2696" s="269"/>
      <c r="L2696" s="269"/>
      <c r="M2696" s="269"/>
      <c r="N2696" s="269"/>
      <c r="O2696" s="269"/>
      <c r="P2696" s="269"/>
      <c r="Q2696" s="269"/>
      <c r="R2696" s="269"/>
      <c r="S2696" s="269"/>
      <c r="T2696" s="269"/>
      <c r="U2696" s="269"/>
      <c r="V2696" s="269"/>
      <c r="W2696" s="269"/>
      <c r="X2696" s="269"/>
      <c r="Y2696" s="269"/>
      <c r="Z2696" s="269"/>
      <c r="AA2696" s="269"/>
      <c r="AB2696" s="269"/>
      <c r="AC2696" s="269"/>
      <c r="AD2696" s="269"/>
      <c r="AE2696" s="269"/>
      <c r="AF2696" s="269"/>
      <c r="AG2696" s="269"/>
      <c r="AH2696" s="269"/>
      <c r="AI2696" s="269"/>
      <c r="AJ2696" s="269"/>
      <c r="AK2696" s="269"/>
      <c r="AL2696" s="269"/>
      <c r="AM2696" s="269"/>
      <c r="AN2696" s="269"/>
      <c r="AO2696" s="269"/>
      <c r="AP2696" s="269"/>
      <c r="AQ2696" s="269"/>
      <c r="AR2696" s="269"/>
    </row>
    <row r="2697">
      <c r="A2697" s="410"/>
      <c r="B2697" s="410"/>
      <c r="C2697" s="410"/>
      <c r="D2697" s="410"/>
      <c r="E2697" s="410"/>
      <c r="F2697" s="410"/>
      <c r="H2697" s="269"/>
      <c r="I2697" s="269"/>
      <c r="J2697" s="269"/>
      <c r="K2697" s="269"/>
      <c r="L2697" s="269"/>
      <c r="M2697" s="269"/>
      <c r="N2697" s="269"/>
      <c r="O2697" s="269"/>
      <c r="P2697" s="269"/>
      <c r="Q2697" s="269"/>
      <c r="R2697" s="269"/>
      <c r="S2697" s="269"/>
      <c r="T2697" s="269"/>
      <c r="U2697" s="269"/>
      <c r="V2697" s="269"/>
      <c r="W2697" s="269"/>
      <c r="X2697" s="269"/>
      <c r="Y2697" s="269"/>
      <c r="Z2697" s="269"/>
      <c r="AA2697" s="269"/>
      <c r="AB2697" s="269"/>
      <c r="AC2697" s="269"/>
      <c r="AD2697" s="269"/>
      <c r="AE2697" s="269"/>
      <c r="AF2697" s="269"/>
      <c r="AG2697" s="269"/>
      <c r="AH2697" s="269"/>
      <c r="AI2697" s="269"/>
      <c r="AJ2697" s="269"/>
      <c r="AK2697" s="269"/>
      <c r="AL2697" s="269"/>
      <c r="AM2697" s="269"/>
      <c r="AN2697" s="269"/>
      <c r="AO2697" s="269"/>
      <c r="AP2697" s="269"/>
      <c r="AQ2697" s="269"/>
      <c r="AR2697" s="269"/>
    </row>
    <row r="2698">
      <c r="A2698" s="410"/>
      <c r="B2698" s="410"/>
      <c r="C2698" s="410"/>
      <c r="D2698" s="410"/>
      <c r="E2698" s="410"/>
      <c r="F2698" s="410"/>
      <c r="H2698" s="269"/>
      <c r="I2698" s="269"/>
      <c r="J2698" s="269"/>
      <c r="K2698" s="269"/>
      <c r="L2698" s="269"/>
      <c r="M2698" s="269"/>
      <c r="N2698" s="269"/>
      <c r="O2698" s="269"/>
      <c r="P2698" s="269"/>
      <c r="Q2698" s="269"/>
      <c r="R2698" s="269"/>
      <c r="S2698" s="269"/>
      <c r="T2698" s="269"/>
      <c r="U2698" s="269"/>
      <c r="V2698" s="269"/>
      <c r="W2698" s="269"/>
      <c r="X2698" s="269"/>
      <c r="Y2698" s="269"/>
      <c r="Z2698" s="269"/>
      <c r="AA2698" s="269"/>
      <c r="AB2698" s="269"/>
      <c r="AC2698" s="269"/>
      <c r="AD2698" s="269"/>
      <c r="AE2698" s="269"/>
      <c r="AF2698" s="269"/>
      <c r="AG2698" s="269"/>
      <c r="AH2698" s="269"/>
      <c r="AI2698" s="269"/>
      <c r="AJ2698" s="269"/>
      <c r="AK2698" s="269"/>
      <c r="AL2698" s="269"/>
      <c r="AM2698" s="269"/>
      <c r="AN2698" s="269"/>
      <c r="AO2698" s="269"/>
      <c r="AP2698" s="269"/>
      <c r="AQ2698" s="269"/>
      <c r="AR2698" s="269"/>
    </row>
    <row r="2699">
      <c r="A2699" s="410"/>
      <c r="B2699" s="410"/>
      <c r="C2699" s="410"/>
      <c r="D2699" s="410"/>
      <c r="E2699" s="410"/>
      <c r="F2699" s="410"/>
      <c r="H2699" s="269"/>
      <c r="I2699" s="269"/>
      <c r="J2699" s="269"/>
      <c r="K2699" s="269"/>
      <c r="L2699" s="269"/>
      <c r="M2699" s="269"/>
      <c r="N2699" s="269"/>
      <c r="O2699" s="269"/>
      <c r="P2699" s="269"/>
      <c r="Q2699" s="269"/>
      <c r="R2699" s="269"/>
      <c r="S2699" s="269"/>
      <c r="T2699" s="269"/>
      <c r="U2699" s="269"/>
      <c r="V2699" s="269"/>
      <c r="W2699" s="269"/>
      <c r="X2699" s="269"/>
      <c r="Y2699" s="269"/>
      <c r="Z2699" s="269"/>
      <c r="AA2699" s="269"/>
      <c r="AB2699" s="269"/>
      <c r="AC2699" s="269"/>
      <c r="AD2699" s="269"/>
      <c r="AE2699" s="269"/>
      <c r="AF2699" s="269"/>
      <c r="AG2699" s="269"/>
      <c r="AH2699" s="269"/>
      <c r="AI2699" s="269"/>
      <c r="AJ2699" s="269"/>
      <c r="AK2699" s="269"/>
      <c r="AL2699" s="269"/>
      <c r="AM2699" s="269"/>
      <c r="AN2699" s="269"/>
      <c r="AO2699" s="269"/>
      <c r="AP2699" s="269"/>
      <c r="AQ2699" s="269"/>
      <c r="AR2699" s="269"/>
    </row>
    <row r="2700">
      <c r="A2700" s="410"/>
      <c r="B2700" s="410"/>
      <c r="C2700" s="410"/>
      <c r="D2700" s="410"/>
      <c r="E2700" s="410"/>
      <c r="F2700" s="410"/>
      <c r="H2700" s="269"/>
      <c r="I2700" s="269"/>
      <c r="J2700" s="269"/>
      <c r="K2700" s="269"/>
      <c r="L2700" s="269"/>
      <c r="M2700" s="269"/>
      <c r="N2700" s="269"/>
      <c r="O2700" s="269"/>
      <c r="P2700" s="269"/>
      <c r="Q2700" s="269"/>
      <c r="R2700" s="269"/>
      <c r="S2700" s="269"/>
      <c r="T2700" s="269"/>
      <c r="U2700" s="269"/>
      <c r="V2700" s="269"/>
      <c r="W2700" s="269"/>
      <c r="X2700" s="269"/>
      <c r="Y2700" s="269"/>
      <c r="Z2700" s="269"/>
      <c r="AA2700" s="269"/>
      <c r="AB2700" s="269"/>
      <c r="AC2700" s="269"/>
      <c r="AD2700" s="269"/>
      <c r="AE2700" s="269"/>
      <c r="AF2700" s="269"/>
      <c r="AG2700" s="269"/>
      <c r="AH2700" s="269"/>
      <c r="AI2700" s="269"/>
      <c r="AJ2700" s="269"/>
      <c r="AK2700" s="269"/>
      <c r="AL2700" s="269"/>
      <c r="AM2700" s="269"/>
      <c r="AN2700" s="269"/>
      <c r="AO2700" s="269"/>
      <c r="AP2700" s="269"/>
      <c r="AQ2700" s="269"/>
      <c r="AR2700" s="269"/>
    </row>
    <row r="2701">
      <c r="A2701" s="410"/>
      <c r="B2701" s="410"/>
      <c r="C2701" s="410"/>
      <c r="D2701" s="410"/>
      <c r="E2701" s="410"/>
      <c r="F2701" s="410"/>
      <c r="H2701" s="269"/>
      <c r="I2701" s="269"/>
      <c r="J2701" s="269"/>
      <c r="K2701" s="269"/>
      <c r="L2701" s="269"/>
      <c r="M2701" s="269"/>
      <c r="N2701" s="269"/>
      <c r="O2701" s="269"/>
      <c r="P2701" s="269"/>
      <c r="Q2701" s="269"/>
      <c r="R2701" s="269"/>
      <c r="S2701" s="269"/>
      <c r="T2701" s="269"/>
      <c r="U2701" s="269"/>
      <c r="V2701" s="269"/>
      <c r="W2701" s="269"/>
      <c r="X2701" s="269"/>
      <c r="Y2701" s="269"/>
      <c r="Z2701" s="269"/>
      <c r="AA2701" s="269"/>
      <c r="AB2701" s="269"/>
      <c r="AC2701" s="269"/>
      <c r="AD2701" s="269"/>
      <c r="AE2701" s="269"/>
      <c r="AF2701" s="269"/>
      <c r="AG2701" s="269"/>
      <c r="AH2701" s="269"/>
      <c r="AI2701" s="269"/>
      <c r="AJ2701" s="269"/>
      <c r="AK2701" s="269"/>
      <c r="AL2701" s="269"/>
      <c r="AM2701" s="269"/>
      <c r="AN2701" s="269"/>
      <c r="AO2701" s="269"/>
      <c r="AP2701" s="269"/>
      <c r="AQ2701" s="269"/>
      <c r="AR2701" s="269"/>
    </row>
    <row r="2702">
      <c r="A2702" s="410"/>
      <c r="B2702" s="410"/>
      <c r="C2702" s="410"/>
      <c r="D2702" s="410"/>
      <c r="E2702" s="410"/>
      <c r="F2702" s="410"/>
      <c r="H2702" s="269"/>
      <c r="I2702" s="269"/>
      <c r="J2702" s="269"/>
      <c r="K2702" s="269"/>
      <c r="L2702" s="269"/>
      <c r="M2702" s="269"/>
      <c r="N2702" s="269"/>
      <c r="O2702" s="269"/>
      <c r="P2702" s="269"/>
      <c r="Q2702" s="269"/>
      <c r="R2702" s="269"/>
      <c r="S2702" s="269"/>
      <c r="T2702" s="269"/>
      <c r="U2702" s="269"/>
      <c r="V2702" s="269"/>
      <c r="W2702" s="269"/>
      <c r="X2702" s="269"/>
      <c r="Y2702" s="269"/>
      <c r="Z2702" s="269"/>
      <c r="AA2702" s="269"/>
      <c r="AB2702" s="269"/>
      <c r="AC2702" s="269"/>
      <c r="AD2702" s="269"/>
      <c r="AE2702" s="269"/>
      <c r="AF2702" s="269"/>
      <c r="AG2702" s="269"/>
      <c r="AH2702" s="269"/>
      <c r="AI2702" s="269"/>
      <c r="AJ2702" s="269"/>
      <c r="AK2702" s="269"/>
      <c r="AL2702" s="269"/>
      <c r="AM2702" s="269"/>
      <c r="AN2702" s="269"/>
      <c r="AO2702" s="269"/>
      <c r="AP2702" s="269"/>
      <c r="AQ2702" s="269"/>
      <c r="AR2702" s="269"/>
    </row>
    <row r="2703">
      <c r="A2703" s="410"/>
      <c r="B2703" s="410"/>
      <c r="C2703" s="410"/>
      <c r="D2703" s="410"/>
      <c r="E2703" s="410"/>
      <c r="F2703" s="410"/>
      <c r="H2703" s="269"/>
      <c r="I2703" s="269"/>
      <c r="J2703" s="269"/>
      <c r="K2703" s="269"/>
      <c r="L2703" s="269"/>
      <c r="M2703" s="269"/>
      <c r="N2703" s="269"/>
      <c r="O2703" s="269"/>
      <c r="P2703" s="269"/>
      <c r="Q2703" s="269"/>
      <c r="R2703" s="269"/>
      <c r="S2703" s="269"/>
      <c r="T2703" s="269"/>
      <c r="U2703" s="269"/>
      <c r="V2703" s="269"/>
      <c r="W2703" s="269"/>
      <c r="X2703" s="269"/>
      <c r="Y2703" s="269"/>
      <c r="Z2703" s="269"/>
      <c r="AA2703" s="269"/>
      <c r="AB2703" s="269"/>
      <c r="AC2703" s="269"/>
      <c r="AD2703" s="269"/>
      <c r="AE2703" s="269"/>
      <c r="AF2703" s="269"/>
      <c r="AG2703" s="269"/>
      <c r="AH2703" s="269"/>
      <c r="AI2703" s="269"/>
      <c r="AJ2703" s="269"/>
      <c r="AK2703" s="269"/>
      <c r="AL2703" s="269"/>
      <c r="AM2703" s="269"/>
      <c r="AN2703" s="269"/>
      <c r="AO2703" s="269"/>
      <c r="AP2703" s="269"/>
      <c r="AQ2703" s="269"/>
      <c r="AR2703" s="269"/>
    </row>
    <row r="2704">
      <c r="A2704" s="410"/>
      <c r="B2704" s="410"/>
      <c r="C2704" s="410"/>
      <c r="D2704" s="410"/>
      <c r="E2704" s="410"/>
      <c r="F2704" s="410"/>
      <c r="H2704" s="269"/>
      <c r="I2704" s="269"/>
      <c r="J2704" s="269"/>
      <c r="K2704" s="269"/>
      <c r="L2704" s="269"/>
      <c r="M2704" s="269"/>
      <c r="N2704" s="269"/>
      <c r="O2704" s="269"/>
      <c r="P2704" s="269"/>
      <c r="Q2704" s="269"/>
      <c r="R2704" s="269"/>
      <c r="S2704" s="269"/>
      <c r="T2704" s="269"/>
      <c r="U2704" s="269"/>
      <c r="V2704" s="269"/>
      <c r="W2704" s="269"/>
      <c r="X2704" s="269"/>
      <c r="Y2704" s="269"/>
      <c r="Z2704" s="269"/>
      <c r="AA2704" s="269"/>
      <c r="AB2704" s="269"/>
      <c r="AC2704" s="269"/>
      <c r="AD2704" s="269"/>
      <c r="AE2704" s="269"/>
      <c r="AF2704" s="269"/>
      <c r="AG2704" s="269"/>
      <c r="AH2704" s="269"/>
      <c r="AI2704" s="269"/>
      <c r="AJ2704" s="269"/>
      <c r="AK2704" s="269"/>
      <c r="AL2704" s="269"/>
      <c r="AM2704" s="269"/>
      <c r="AN2704" s="269"/>
      <c r="AO2704" s="269"/>
      <c r="AP2704" s="269"/>
      <c r="AQ2704" s="269"/>
      <c r="AR2704" s="269"/>
    </row>
    <row r="2705">
      <c r="A2705" s="410"/>
      <c r="B2705" s="410"/>
      <c r="C2705" s="410"/>
      <c r="D2705" s="410"/>
      <c r="E2705" s="410"/>
      <c r="F2705" s="410"/>
      <c r="H2705" s="269"/>
      <c r="I2705" s="269"/>
      <c r="J2705" s="269"/>
      <c r="K2705" s="269"/>
      <c r="L2705" s="269"/>
      <c r="M2705" s="269"/>
      <c r="N2705" s="269"/>
      <c r="O2705" s="269"/>
      <c r="P2705" s="269"/>
      <c r="Q2705" s="269"/>
      <c r="R2705" s="269"/>
      <c r="S2705" s="269"/>
      <c r="T2705" s="269"/>
      <c r="U2705" s="269"/>
      <c r="V2705" s="269"/>
      <c r="W2705" s="269"/>
      <c r="X2705" s="269"/>
      <c r="Y2705" s="269"/>
      <c r="Z2705" s="269"/>
      <c r="AA2705" s="269"/>
      <c r="AB2705" s="269"/>
      <c r="AC2705" s="269"/>
      <c r="AD2705" s="269"/>
      <c r="AE2705" s="269"/>
      <c r="AF2705" s="269"/>
      <c r="AG2705" s="269"/>
      <c r="AH2705" s="269"/>
      <c r="AI2705" s="269"/>
      <c r="AJ2705" s="269"/>
      <c r="AK2705" s="269"/>
      <c r="AL2705" s="269"/>
      <c r="AM2705" s="269"/>
      <c r="AN2705" s="269"/>
      <c r="AO2705" s="269"/>
      <c r="AP2705" s="269"/>
      <c r="AQ2705" s="269"/>
      <c r="AR2705" s="269"/>
    </row>
    <row r="2706">
      <c r="A2706" s="410"/>
      <c r="B2706" s="410"/>
      <c r="C2706" s="410"/>
      <c r="D2706" s="410"/>
      <c r="E2706" s="410"/>
      <c r="F2706" s="410"/>
      <c r="H2706" s="269"/>
      <c r="I2706" s="269"/>
      <c r="J2706" s="269"/>
      <c r="K2706" s="269"/>
      <c r="L2706" s="269"/>
      <c r="M2706" s="269"/>
      <c r="N2706" s="269"/>
      <c r="O2706" s="269"/>
      <c r="P2706" s="269"/>
      <c r="Q2706" s="269"/>
      <c r="R2706" s="269"/>
      <c r="S2706" s="269"/>
      <c r="T2706" s="269"/>
      <c r="U2706" s="269"/>
      <c r="V2706" s="269"/>
      <c r="W2706" s="269"/>
      <c r="X2706" s="269"/>
      <c r="Y2706" s="269"/>
      <c r="Z2706" s="269"/>
      <c r="AA2706" s="269"/>
      <c r="AB2706" s="269"/>
      <c r="AC2706" s="269"/>
      <c r="AD2706" s="269"/>
      <c r="AE2706" s="269"/>
      <c r="AF2706" s="269"/>
      <c r="AG2706" s="269"/>
      <c r="AH2706" s="269"/>
      <c r="AI2706" s="269"/>
      <c r="AJ2706" s="269"/>
      <c r="AK2706" s="269"/>
      <c r="AL2706" s="269"/>
      <c r="AM2706" s="269"/>
      <c r="AN2706" s="269"/>
      <c r="AO2706" s="269"/>
      <c r="AP2706" s="269"/>
      <c r="AQ2706" s="269"/>
      <c r="AR2706" s="269"/>
    </row>
    <row r="2707">
      <c r="A2707" s="410"/>
      <c r="B2707" s="410"/>
      <c r="C2707" s="410"/>
      <c r="D2707" s="410"/>
      <c r="E2707" s="410"/>
      <c r="F2707" s="410"/>
      <c r="H2707" s="269"/>
      <c r="I2707" s="269"/>
      <c r="J2707" s="269"/>
      <c r="K2707" s="269"/>
      <c r="L2707" s="269"/>
      <c r="M2707" s="269"/>
      <c r="N2707" s="269"/>
      <c r="O2707" s="269"/>
      <c r="P2707" s="269"/>
      <c r="Q2707" s="269"/>
      <c r="R2707" s="269"/>
      <c r="S2707" s="269"/>
      <c r="T2707" s="269"/>
      <c r="U2707" s="269"/>
      <c r="V2707" s="269"/>
      <c r="W2707" s="269"/>
      <c r="X2707" s="269"/>
      <c r="Y2707" s="269"/>
      <c r="Z2707" s="269"/>
      <c r="AA2707" s="269"/>
      <c r="AB2707" s="269"/>
      <c r="AC2707" s="269"/>
      <c r="AD2707" s="269"/>
      <c r="AE2707" s="269"/>
      <c r="AF2707" s="269"/>
      <c r="AG2707" s="269"/>
      <c r="AH2707" s="269"/>
      <c r="AI2707" s="269"/>
      <c r="AJ2707" s="269"/>
      <c r="AK2707" s="269"/>
      <c r="AL2707" s="269"/>
      <c r="AM2707" s="269"/>
      <c r="AN2707" s="269"/>
      <c r="AO2707" s="269"/>
      <c r="AP2707" s="269"/>
      <c r="AQ2707" s="269"/>
      <c r="AR2707" s="269"/>
    </row>
    <row r="2708">
      <c r="A2708" s="410"/>
      <c r="B2708" s="410"/>
      <c r="C2708" s="410"/>
      <c r="D2708" s="410"/>
      <c r="E2708" s="410"/>
      <c r="F2708" s="410"/>
      <c r="H2708" s="269"/>
      <c r="I2708" s="269"/>
      <c r="J2708" s="269"/>
      <c r="K2708" s="269"/>
      <c r="L2708" s="269"/>
      <c r="M2708" s="269"/>
      <c r="N2708" s="269"/>
      <c r="O2708" s="269"/>
      <c r="P2708" s="269"/>
      <c r="Q2708" s="269"/>
      <c r="R2708" s="269"/>
      <c r="S2708" s="269"/>
      <c r="T2708" s="269"/>
      <c r="U2708" s="269"/>
      <c r="V2708" s="269"/>
      <c r="W2708" s="269"/>
      <c r="X2708" s="269"/>
      <c r="Y2708" s="269"/>
      <c r="Z2708" s="269"/>
      <c r="AA2708" s="269"/>
      <c r="AB2708" s="269"/>
      <c r="AC2708" s="269"/>
      <c r="AD2708" s="269"/>
      <c r="AE2708" s="269"/>
      <c r="AF2708" s="269"/>
      <c r="AG2708" s="269"/>
      <c r="AH2708" s="269"/>
      <c r="AI2708" s="269"/>
      <c r="AJ2708" s="269"/>
      <c r="AK2708" s="269"/>
      <c r="AL2708" s="269"/>
      <c r="AM2708" s="269"/>
      <c r="AN2708" s="269"/>
      <c r="AO2708" s="269"/>
      <c r="AP2708" s="269"/>
      <c r="AQ2708" s="269"/>
      <c r="AR2708" s="269"/>
    </row>
    <row r="2709">
      <c r="A2709" s="410"/>
      <c r="B2709" s="410"/>
      <c r="C2709" s="410"/>
      <c r="D2709" s="410"/>
      <c r="E2709" s="410"/>
      <c r="F2709" s="410"/>
      <c r="H2709" s="269"/>
      <c r="I2709" s="269"/>
      <c r="J2709" s="269"/>
      <c r="K2709" s="269"/>
      <c r="L2709" s="269"/>
      <c r="M2709" s="269"/>
      <c r="N2709" s="269"/>
      <c r="O2709" s="269"/>
      <c r="P2709" s="269"/>
      <c r="Q2709" s="269"/>
      <c r="R2709" s="269"/>
      <c r="S2709" s="269"/>
      <c r="T2709" s="269"/>
      <c r="U2709" s="269"/>
      <c r="V2709" s="269"/>
      <c r="W2709" s="269"/>
      <c r="X2709" s="269"/>
      <c r="Y2709" s="269"/>
      <c r="Z2709" s="269"/>
      <c r="AA2709" s="269"/>
      <c r="AB2709" s="269"/>
      <c r="AC2709" s="269"/>
      <c r="AD2709" s="269"/>
      <c r="AE2709" s="269"/>
      <c r="AF2709" s="269"/>
      <c r="AG2709" s="269"/>
      <c r="AH2709" s="269"/>
      <c r="AI2709" s="269"/>
      <c r="AJ2709" s="269"/>
      <c r="AK2709" s="269"/>
      <c r="AL2709" s="269"/>
      <c r="AM2709" s="269"/>
      <c r="AN2709" s="269"/>
      <c r="AO2709" s="269"/>
      <c r="AP2709" s="269"/>
      <c r="AQ2709" s="269"/>
      <c r="AR2709" s="269"/>
    </row>
    <row r="2710">
      <c r="A2710" s="410"/>
      <c r="B2710" s="410"/>
      <c r="C2710" s="410"/>
      <c r="D2710" s="410"/>
      <c r="E2710" s="410"/>
      <c r="F2710" s="410"/>
      <c r="H2710" s="269"/>
      <c r="I2710" s="269"/>
      <c r="J2710" s="269"/>
      <c r="K2710" s="269"/>
      <c r="L2710" s="269"/>
      <c r="M2710" s="269"/>
      <c r="N2710" s="269"/>
      <c r="O2710" s="269"/>
      <c r="P2710" s="269"/>
      <c r="Q2710" s="269"/>
      <c r="R2710" s="269"/>
      <c r="S2710" s="269"/>
      <c r="T2710" s="269"/>
      <c r="U2710" s="269"/>
      <c r="V2710" s="269"/>
      <c r="W2710" s="269"/>
      <c r="X2710" s="269"/>
      <c r="Y2710" s="269"/>
      <c r="Z2710" s="269"/>
      <c r="AA2710" s="269"/>
      <c r="AB2710" s="269"/>
      <c r="AC2710" s="269"/>
      <c r="AD2710" s="269"/>
      <c r="AE2710" s="269"/>
      <c r="AF2710" s="269"/>
      <c r="AG2710" s="269"/>
      <c r="AH2710" s="269"/>
      <c r="AI2710" s="269"/>
      <c r="AJ2710" s="269"/>
      <c r="AK2710" s="269"/>
      <c r="AL2710" s="269"/>
      <c r="AM2710" s="269"/>
      <c r="AN2710" s="269"/>
      <c r="AO2710" s="269"/>
      <c r="AP2710" s="269"/>
      <c r="AQ2710" s="269"/>
      <c r="AR2710" s="269"/>
    </row>
    <row r="2711">
      <c r="A2711" s="410"/>
      <c r="B2711" s="410"/>
      <c r="C2711" s="410"/>
      <c r="D2711" s="410"/>
      <c r="E2711" s="410"/>
      <c r="F2711" s="410"/>
      <c r="H2711" s="269"/>
      <c r="I2711" s="269"/>
      <c r="J2711" s="269"/>
      <c r="K2711" s="269"/>
      <c r="L2711" s="269"/>
      <c r="M2711" s="269"/>
      <c r="N2711" s="269"/>
      <c r="O2711" s="269"/>
      <c r="P2711" s="269"/>
      <c r="Q2711" s="269"/>
      <c r="R2711" s="269"/>
      <c r="S2711" s="269"/>
      <c r="T2711" s="269"/>
      <c r="U2711" s="269"/>
      <c r="V2711" s="269"/>
      <c r="W2711" s="269"/>
      <c r="X2711" s="269"/>
      <c r="Y2711" s="269"/>
      <c r="Z2711" s="269"/>
      <c r="AA2711" s="269"/>
      <c r="AB2711" s="269"/>
      <c r="AC2711" s="269"/>
      <c r="AD2711" s="269"/>
      <c r="AE2711" s="269"/>
      <c r="AF2711" s="269"/>
      <c r="AG2711" s="269"/>
      <c r="AH2711" s="269"/>
      <c r="AI2711" s="269"/>
      <c r="AJ2711" s="269"/>
      <c r="AK2711" s="269"/>
      <c r="AL2711" s="269"/>
      <c r="AM2711" s="269"/>
      <c r="AN2711" s="269"/>
      <c r="AO2711" s="269"/>
      <c r="AP2711" s="269"/>
      <c r="AQ2711" s="269"/>
      <c r="AR2711" s="269"/>
    </row>
    <row r="2712">
      <c r="A2712" s="410"/>
      <c r="B2712" s="410"/>
      <c r="C2712" s="410"/>
      <c r="D2712" s="410"/>
      <c r="E2712" s="410"/>
      <c r="F2712" s="410"/>
      <c r="H2712" s="269"/>
      <c r="I2712" s="269"/>
      <c r="J2712" s="269"/>
      <c r="K2712" s="269"/>
      <c r="L2712" s="269"/>
      <c r="M2712" s="269"/>
      <c r="N2712" s="269"/>
      <c r="O2712" s="269"/>
      <c r="P2712" s="269"/>
      <c r="Q2712" s="269"/>
      <c r="R2712" s="269"/>
      <c r="S2712" s="269"/>
      <c r="T2712" s="269"/>
      <c r="U2712" s="269"/>
      <c r="V2712" s="269"/>
      <c r="W2712" s="269"/>
      <c r="X2712" s="269"/>
      <c r="Y2712" s="269"/>
      <c r="Z2712" s="269"/>
      <c r="AA2712" s="269"/>
      <c r="AB2712" s="269"/>
      <c r="AC2712" s="269"/>
      <c r="AD2712" s="269"/>
      <c r="AE2712" s="269"/>
      <c r="AF2712" s="269"/>
      <c r="AG2712" s="269"/>
      <c r="AH2712" s="269"/>
      <c r="AI2712" s="269"/>
      <c r="AJ2712" s="269"/>
      <c r="AK2712" s="269"/>
      <c r="AL2712" s="269"/>
      <c r="AM2712" s="269"/>
      <c r="AN2712" s="269"/>
      <c r="AO2712" s="269"/>
      <c r="AP2712" s="269"/>
      <c r="AQ2712" s="269"/>
      <c r="AR2712" s="269"/>
    </row>
    <row r="2713">
      <c r="A2713" s="410"/>
      <c r="B2713" s="410"/>
      <c r="C2713" s="410"/>
      <c r="D2713" s="410"/>
      <c r="E2713" s="410"/>
      <c r="F2713" s="410"/>
      <c r="H2713" s="269"/>
      <c r="I2713" s="269"/>
      <c r="J2713" s="269"/>
      <c r="K2713" s="269"/>
      <c r="L2713" s="269"/>
      <c r="M2713" s="269"/>
      <c r="N2713" s="269"/>
      <c r="O2713" s="269"/>
      <c r="P2713" s="269"/>
      <c r="Q2713" s="269"/>
      <c r="R2713" s="269"/>
      <c r="S2713" s="269"/>
      <c r="T2713" s="269"/>
      <c r="U2713" s="269"/>
      <c r="V2713" s="269"/>
      <c r="W2713" s="269"/>
      <c r="X2713" s="269"/>
      <c r="Y2713" s="269"/>
      <c r="Z2713" s="269"/>
      <c r="AA2713" s="269"/>
      <c r="AB2713" s="269"/>
      <c r="AC2713" s="269"/>
      <c r="AD2713" s="269"/>
      <c r="AE2713" s="269"/>
      <c r="AF2713" s="269"/>
      <c r="AG2713" s="269"/>
      <c r="AH2713" s="269"/>
      <c r="AI2713" s="269"/>
      <c r="AJ2713" s="269"/>
      <c r="AK2713" s="269"/>
      <c r="AL2713" s="269"/>
      <c r="AM2713" s="269"/>
      <c r="AN2713" s="269"/>
      <c r="AO2713" s="269"/>
      <c r="AP2713" s="269"/>
      <c r="AQ2713" s="269"/>
      <c r="AR2713" s="269"/>
    </row>
    <row r="2714">
      <c r="A2714" s="410"/>
      <c r="B2714" s="410"/>
      <c r="C2714" s="410"/>
      <c r="D2714" s="410"/>
      <c r="E2714" s="410"/>
      <c r="F2714" s="410"/>
      <c r="H2714" s="269"/>
      <c r="I2714" s="269"/>
      <c r="J2714" s="269"/>
      <c r="K2714" s="269"/>
      <c r="L2714" s="269"/>
      <c r="M2714" s="269"/>
      <c r="N2714" s="269"/>
      <c r="O2714" s="269"/>
      <c r="P2714" s="269"/>
      <c r="Q2714" s="269"/>
      <c r="R2714" s="269"/>
      <c r="S2714" s="269"/>
      <c r="T2714" s="269"/>
      <c r="U2714" s="269"/>
      <c r="V2714" s="269"/>
      <c r="W2714" s="269"/>
      <c r="X2714" s="269"/>
      <c r="Y2714" s="269"/>
      <c r="Z2714" s="269"/>
      <c r="AA2714" s="269"/>
      <c r="AB2714" s="269"/>
      <c r="AC2714" s="269"/>
      <c r="AD2714" s="269"/>
      <c r="AE2714" s="269"/>
      <c r="AF2714" s="269"/>
      <c r="AG2714" s="269"/>
      <c r="AH2714" s="269"/>
      <c r="AI2714" s="269"/>
      <c r="AJ2714" s="269"/>
      <c r="AK2714" s="269"/>
      <c r="AL2714" s="269"/>
      <c r="AM2714" s="269"/>
      <c r="AN2714" s="269"/>
      <c r="AO2714" s="269"/>
      <c r="AP2714" s="269"/>
      <c r="AQ2714" s="269"/>
      <c r="AR2714" s="269"/>
    </row>
    <row r="2715">
      <c r="A2715" s="410"/>
      <c r="B2715" s="410"/>
      <c r="C2715" s="410"/>
      <c r="D2715" s="410"/>
      <c r="E2715" s="410"/>
      <c r="F2715" s="410"/>
      <c r="H2715" s="269"/>
      <c r="I2715" s="269"/>
      <c r="J2715" s="269"/>
      <c r="K2715" s="269"/>
      <c r="L2715" s="269"/>
      <c r="M2715" s="269"/>
      <c r="N2715" s="269"/>
      <c r="O2715" s="269"/>
      <c r="P2715" s="269"/>
      <c r="Q2715" s="269"/>
      <c r="R2715" s="269"/>
      <c r="S2715" s="269"/>
      <c r="T2715" s="269"/>
      <c r="U2715" s="269"/>
      <c r="V2715" s="269"/>
      <c r="W2715" s="269"/>
      <c r="X2715" s="269"/>
      <c r="Y2715" s="269"/>
      <c r="Z2715" s="269"/>
      <c r="AA2715" s="269"/>
      <c r="AB2715" s="269"/>
      <c r="AC2715" s="269"/>
      <c r="AD2715" s="269"/>
      <c r="AE2715" s="269"/>
      <c r="AF2715" s="269"/>
      <c r="AG2715" s="269"/>
      <c r="AH2715" s="269"/>
      <c r="AI2715" s="269"/>
      <c r="AJ2715" s="269"/>
      <c r="AK2715" s="269"/>
      <c r="AL2715" s="269"/>
      <c r="AM2715" s="269"/>
      <c r="AN2715" s="269"/>
      <c r="AO2715" s="269"/>
      <c r="AP2715" s="269"/>
      <c r="AQ2715" s="269"/>
      <c r="AR2715" s="269"/>
    </row>
    <row r="2716">
      <c r="A2716" s="410"/>
      <c r="B2716" s="410"/>
      <c r="C2716" s="410"/>
      <c r="D2716" s="410"/>
      <c r="E2716" s="410"/>
      <c r="F2716" s="410"/>
      <c r="H2716" s="269"/>
      <c r="I2716" s="269"/>
      <c r="J2716" s="269"/>
      <c r="K2716" s="269"/>
      <c r="L2716" s="269"/>
      <c r="M2716" s="269"/>
      <c r="N2716" s="269"/>
      <c r="O2716" s="269"/>
      <c r="P2716" s="269"/>
      <c r="Q2716" s="269"/>
      <c r="R2716" s="269"/>
      <c r="S2716" s="269"/>
      <c r="T2716" s="269"/>
      <c r="U2716" s="269"/>
      <c r="V2716" s="269"/>
      <c r="W2716" s="269"/>
      <c r="X2716" s="269"/>
      <c r="Y2716" s="269"/>
      <c r="Z2716" s="269"/>
      <c r="AA2716" s="269"/>
      <c r="AB2716" s="269"/>
      <c r="AC2716" s="269"/>
      <c r="AD2716" s="269"/>
      <c r="AE2716" s="269"/>
      <c r="AF2716" s="269"/>
      <c r="AG2716" s="269"/>
      <c r="AH2716" s="269"/>
      <c r="AI2716" s="269"/>
      <c r="AJ2716" s="269"/>
      <c r="AK2716" s="269"/>
      <c r="AL2716" s="269"/>
      <c r="AM2716" s="269"/>
      <c r="AN2716" s="269"/>
      <c r="AO2716" s="269"/>
      <c r="AP2716" s="269"/>
      <c r="AQ2716" s="269"/>
      <c r="AR2716" s="269"/>
    </row>
    <row r="2717">
      <c r="A2717" s="410"/>
      <c r="B2717" s="410"/>
      <c r="C2717" s="410"/>
      <c r="D2717" s="410"/>
      <c r="E2717" s="410"/>
      <c r="F2717" s="410"/>
      <c r="H2717" s="269"/>
      <c r="I2717" s="269"/>
      <c r="J2717" s="269"/>
      <c r="K2717" s="269"/>
      <c r="L2717" s="269"/>
      <c r="M2717" s="269"/>
      <c r="N2717" s="269"/>
      <c r="O2717" s="269"/>
      <c r="P2717" s="269"/>
      <c r="Q2717" s="269"/>
      <c r="R2717" s="269"/>
      <c r="S2717" s="269"/>
      <c r="T2717" s="269"/>
      <c r="U2717" s="269"/>
      <c r="V2717" s="269"/>
      <c r="W2717" s="269"/>
      <c r="X2717" s="269"/>
      <c r="Y2717" s="269"/>
      <c r="Z2717" s="269"/>
      <c r="AA2717" s="269"/>
      <c r="AB2717" s="269"/>
      <c r="AC2717" s="269"/>
      <c r="AD2717" s="269"/>
      <c r="AE2717" s="269"/>
      <c r="AF2717" s="269"/>
      <c r="AG2717" s="269"/>
      <c r="AH2717" s="269"/>
      <c r="AI2717" s="269"/>
      <c r="AJ2717" s="269"/>
      <c r="AK2717" s="269"/>
      <c r="AL2717" s="269"/>
      <c r="AM2717" s="269"/>
      <c r="AN2717" s="269"/>
      <c r="AO2717" s="269"/>
      <c r="AP2717" s="269"/>
      <c r="AQ2717" s="269"/>
      <c r="AR2717" s="269"/>
    </row>
    <row r="2718">
      <c r="A2718" s="410"/>
      <c r="B2718" s="410"/>
      <c r="C2718" s="410"/>
      <c r="D2718" s="410"/>
      <c r="E2718" s="410"/>
      <c r="F2718" s="410"/>
      <c r="H2718" s="269"/>
      <c r="I2718" s="269"/>
      <c r="J2718" s="269"/>
      <c r="K2718" s="269"/>
      <c r="L2718" s="269"/>
      <c r="M2718" s="269"/>
      <c r="N2718" s="269"/>
      <c r="O2718" s="269"/>
      <c r="P2718" s="269"/>
      <c r="Q2718" s="269"/>
      <c r="R2718" s="269"/>
      <c r="S2718" s="269"/>
      <c r="T2718" s="269"/>
      <c r="U2718" s="269"/>
      <c r="V2718" s="269"/>
      <c r="W2718" s="269"/>
      <c r="X2718" s="269"/>
      <c r="Y2718" s="269"/>
      <c r="Z2718" s="269"/>
      <c r="AA2718" s="269"/>
      <c r="AB2718" s="269"/>
      <c r="AC2718" s="269"/>
      <c r="AD2718" s="269"/>
      <c r="AE2718" s="269"/>
      <c r="AF2718" s="269"/>
      <c r="AG2718" s="269"/>
      <c r="AH2718" s="269"/>
      <c r="AI2718" s="269"/>
      <c r="AJ2718" s="269"/>
      <c r="AK2718" s="269"/>
      <c r="AL2718" s="269"/>
      <c r="AM2718" s="269"/>
      <c r="AN2718" s="269"/>
      <c r="AO2718" s="269"/>
      <c r="AP2718" s="269"/>
      <c r="AQ2718" s="269"/>
      <c r="AR2718" s="269"/>
    </row>
    <row r="2719">
      <c r="A2719" s="410"/>
      <c r="B2719" s="410"/>
      <c r="C2719" s="410"/>
      <c r="D2719" s="410"/>
      <c r="E2719" s="410"/>
      <c r="F2719" s="410"/>
      <c r="H2719" s="269"/>
      <c r="I2719" s="269"/>
      <c r="J2719" s="269"/>
      <c r="K2719" s="269"/>
      <c r="L2719" s="269"/>
      <c r="M2719" s="269"/>
      <c r="N2719" s="269"/>
      <c r="O2719" s="269"/>
      <c r="P2719" s="269"/>
      <c r="Q2719" s="269"/>
      <c r="R2719" s="269"/>
      <c r="S2719" s="269"/>
      <c r="T2719" s="269"/>
      <c r="U2719" s="269"/>
      <c r="V2719" s="269"/>
      <c r="W2719" s="269"/>
      <c r="X2719" s="269"/>
      <c r="Y2719" s="269"/>
      <c r="Z2719" s="269"/>
      <c r="AA2719" s="269"/>
      <c r="AB2719" s="269"/>
      <c r="AC2719" s="269"/>
      <c r="AD2719" s="269"/>
      <c r="AE2719" s="269"/>
      <c r="AF2719" s="269"/>
      <c r="AG2719" s="269"/>
      <c r="AH2719" s="269"/>
      <c r="AI2719" s="269"/>
      <c r="AJ2719" s="269"/>
      <c r="AK2719" s="269"/>
      <c r="AL2719" s="269"/>
      <c r="AM2719" s="269"/>
      <c r="AN2719" s="269"/>
      <c r="AO2719" s="269"/>
      <c r="AP2719" s="269"/>
      <c r="AQ2719" s="269"/>
      <c r="AR2719" s="269"/>
    </row>
    <row r="2720">
      <c r="A2720" s="410"/>
      <c r="B2720" s="410"/>
      <c r="C2720" s="410"/>
      <c r="D2720" s="410"/>
      <c r="E2720" s="410"/>
      <c r="F2720" s="410"/>
      <c r="H2720" s="269"/>
      <c r="I2720" s="269"/>
      <c r="J2720" s="269"/>
      <c r="K2720" s="269"/>
      <c r="L2720" s="269"/>
      <c r="M2720" s="269"/>
      <c r="N2720" s="269"/>
      <c r="O2720" s="269"/>
      <c r="P2720" s="269"/>
      <c r="Q2720" s="269"/>
      <c r="R2720" s="269"/>
      <c r="S2720" s="269"/>
      <c r="T2720" s="269"/>
      <c r="U2720" s="269"/>
      <c r="V2720" s="269"/>
      <c r="W2720" s="269"/>
      <c r="X2720" s="269"/>
      <c r="Y2720" s="269"/>
      <c r="Z2720" s="269"/>
      <c r="AA2720" s="269"/>
      <c r="AB2720" s="269"/>
      <c r="AC2720" s="269"/>
      <c r="AD2720" s="269"/>
      <c r="AE2720" s="269"/>
      <c r="AF2720" s="269"/>
      <c r="AG2720" s="269"/>
      <c r="AH2720" s="269"/>
      <c r="AI2720" s="269"/>
      <c r="AJ2720" s="269"/>
      <c r="AK2720" s="269"/>
      <c r="AL2720" s="269"/>
      <c r="AM2720" s="269"/>
      <c r="AN2720" s="269"/>
      <c r="AO2720" s="269"/>
      <c r="AP2720" s="269"/>
      <c r="AQ2720" s="269"/>
      <c r="AR2720" s="269"/>
    </row>
    <row r="2721">
      <c r="A2721" s="410"/>
      <c r="B2721" s="410"/>
      <c r="C2721" s="410"/>
      <c r="D2721" s="410"/>
      <c r="E2721" s="410"/>
      <c r="F2721" s="410"/>
      <c r="H2721" s="269"/>
      <c r="I2721" s="269"/>
      <c r="J2721" s="269"/>
      <c r="K2721" s="269"/>
      <c r="L2721" s="269"/>
      <c r="M2721" s="269"/>
      <c r="N2721" s="269"/>
      <c r="O2721" s="269"/>
      <c r="P2721" s="269"/>
      <c r="Q2721" s="269"/>
      <c r="R2721" s="269"/>
      <c r="S2721" s="269"/>
      <c r="T2721" s="269"/>
      <c r="U2721" s="269"/>
      <c r="V2721" s="269"/>
      <c r="W2721" s="269"/>
      <c r="X2721" s="269"/>
      <c r="Y2721" s="269"/>
      <c r="Z2721" s="269"/>
      <c r="AA2721" s="269"/>
      <c r="AB2721" s="269"/>
      <c r="AC2721" s="269"/>
      <c r="AD2721" s="269"/>
      <c r="AE2721" s="269"/>
      <c r="AF2721" s="269"/>
      <c r="AG2721" s="269"/>
      <c r="AH2721" s="269"/>
      <c r="AI2721" s="269"/>
      <c r="AJ2721" s="269"/>
      <c r="AK2721" s="269"/>
      <c r="AL2721" s="269"/>
      <c r="AM2721" s="269"/>
      <c r="AN2721" s="269"/>
      <c r="AO2721" s="269"/>
      <c r="AP2721" s="269"/>
      <c r="AQ2721" s="269"/>
      <c r="AR2721" s="269"/>
    </row>
    <row r="2722">
      <c r="A2722" s="410"/>
      <c r="B2722" s="410"/>
      <c r="C2722" s="410"/>
      <c r="D2722" s="410"/>
      <c r="E2722" s="410"/>
      <c r="F2722" s="410"/>
      <c r="H2722" s="269"/>
      <c r="I2722" s="269"/>
      <c r="J2722" s="269"/>
      <c r="K2722" s="269"/>
      <c r="L2722" s="269"/>
      <c r="M2722" s="269"/>
      <c r="N2722" s="269"/>
      <c r="O2722" s="269"/>
      <c r="P2722" s="269"/>
      <c r="Q2722" s="269"/>
      <c r="R2722" s="269"/>
      <c r="S2722" s="269"/>
      <c r="T2722" s="269"/>
      <c r="U2722" s="269"/>
      <c r="V2722" s="269"/>
      <c r="W2722" s="269"/>
      <c r="X2722" s="269"/>
      <c r="Y2722" s="269"/>
      <c r="Z2722" s="269"/>
      <c r="AA2722" s="269"/>
      <c r="AB2722" s="269"/>
      <c r="AC2722" s="269"/>
      <c r="AD2722" s="269"/>
      <c r="AE2722" s="269"/>
      <c r="AF2722" s="269"/>
      <c r="AG2722" s="269"/>
      <c r="AH2722" s="269"/>
      <c r="AI2722" s="269"/>
      <c r="AJ2722" s="269"/>
      <c r="AK2722" s="269"/>
      <c r="AL2722" s="269"/>
      <c r="AM2722" s="269"/>
      <c r="AN2722" s="269"/>
      <c r="AO2722" s="269"/>
      <c r="AP2722" s="269"/>
      <c r="AQ2722" s="269"/>
      <c r="AR2722" s="269"/>
    </row>
    <row r="2723">
      <c r="A2723" s="410"/>
      <c r="B2723" s="410"/>
      <c r="C2723" s="410"/>
      <c r="D2723" s="410"/>
      <c r="E2723" s="410"/>
      <c r="F2723" s="410"/>
      <c r="H2723" s="269"/>
      <c r="I2723" s="269"/>
      <c r="J2723" s="269"/>
      <c r="K2723" s="269"/>
      <c r="L2723" s="269"/>
      <c r="M2723" s="269"/>
      <c r="N2723" s="269"/>
      <c r="O2723" s="269"/>
      <c r="P2723" s="269"/>
      <c r="Q2723" s="269"/>
      <c r="R2723" s="269"/>
      <c r="S2723" s="269"/>
      <c r="T2723" s="269"/>
      <c r="U2723" s="269"/>
      <c r="V2723" s="269"/>
      <c r="W2723" s="269"/>
      <c r="X2723" s="269"/>
      <c r="Y2723" s="269"/>
      <c r="Z2723" s="269"/>
      <c r="AA2723" s="269"/>
      <c r="AB2723" s="269"/>
      <c r="AC2723" s="269"/>
      <c r="AD2723" s="269"/>
      <c r="AE2723" s="269"/>
      <c r="AF2723" s="269"/>
      <c r="AG2723" s="269"/>
      <c r="AH2723" s="269"/>
      <c r="AI2723" s="269"/>
      <c r="AJ2723" s="269"/>
      <c r="AK2723" s="269"/>
      <c r="AL2723" s="269"/>
      <c r="AM2723" s="269"/>
      <c r="AN2723" s="269"/>
      <c r="AO2723" s="269"/>
      <c r="AP2723" s="269"/>
      <c r="AQ2723" s="269"/>
      <c r="AR2723" s="269"/>
    </row>
    <row r="2724">
      <c r="A2724" s="410"/>
      <c r="B2724" s="410"/>
      <c r="C2724" s="410"/>
      <c r="D2724" s="410"/>
      <c r="E2724" s="410"/>
      <c r="F2724" s="410"/>
      <c r="H2724" s="269"/>
      <c r="I2724" s="269"/>
      <c r="J2724" s="269"/>
      <c r="K2724" s="269"/>
      <c r="L2724" s="269"/>
      <c r="M2724" s="269"/>
      <c r="N2724" s="269"/>
      <c r="O2724" s="269"/>
      <c r="P2724" s="269"/>
      <c r="Q2724" s="269"/>
      <c r="R2724" s="269"/>
      <c r="S2724" s="269"/>
      <c r="T2724" s="269"/>
      <c r="U2724" s="269"/>
      <c r="V2724" s="269"/>
      <c r="W2724" s="269"/>
      <c r="X2724" s="269"/>
      <c r="Y2724" s="269"/>
      <c r="Z2724" s="269"/>
      <c r="AA2724" s="269"/>
      <c r="AB2724" s="269"/>
      <c r="AC2724" s="269"/>
      <c r="AD2724" s="269"/>
      <c r="AE2724" s="269"/>
      <c r="AF2724" s="269"/>
      <c r="AG2724" s="269"/>
      <c r="AH2724" s="269"/>
      <c r="AI2724" s="269"/>
      <c r="AJ2724" s="269"/>
      <c r="AK2724" s="269"/>
      <c r="AL2724" s="269"/>
      <c r="AM2724" s="269"/>
      <c r="AN2724" s="269"/>
      <c r="AO2724" s="269"/>
      <c r="AP2724" s="269"/>
      <c r="AQ2724" s="269"/>
      <c r="AR2724" s="269"/>
    </row>
    <row r="2725">
      <c r="A2725" s="410"/>
      <c r="B2725" s="410"/>
      <c r="C2725" s="410"/>
      <c r="D2725" s="410"/>
      <c r="E2725" s="410"/>
      <c r="F2725" s="410"/>
      <c r="H2725" s="269"/>
      <c r="I2725" s="269"/>
      <c r="J2725" s="269"/>
      <c r="K2725" s="269"/>
      <c r="L2725" s="269"/>
      <c r="M2725" s="269"/>
      <c r="N2725" s="269"/>
      <c r="O2725" s="269"/>
      <c r="P2725" s="269"/>
      <c r="Q2725" s="269"/>
      <c r="R2725" s="269"/>
      <c r="S2725" s="269"/>
      <c r="T2725" s="269"/>
      <c r="U2725" s="269"/>
      <c r="V2725" s="269"/>
      <c r="W2725" s="269"/>
      <c r="X2725" s="269"/>
      <c r="Y2725" s="269"/>
      <c r="Z2725" s="269"/>
      <c r="AA2725" s="269"/>
      <c r="AB2725" s="269"/>
      <c r="AC2725" s="269"/>
      <c r="AD2725" s="269"/>
      <c r="AE2725" s="269"/>
      <c r="AF2725" s="269"/>
      <c r="AG2725" s="269"/>
      <c r="AH2725" s="269"/>
      <c r="AI2725" s="269"/>
      <c r="AJ2725" s="269"/>
      <c r="AK2725" s="269"/>
      <c r="AL2725" s="269"/>
      <c r="AM2725" s="269"/>
      <c r="AN2725" s="269"/>
      <c r="AO2725" s="269"/>
      <c r="AP2725" s="269"/>
      <c r="AQ2725" s="269"/>
      <c r="AR2725" s="269"/>
    </row>
    <row r="2726">
      <c r="A2726" s="410"/>
      <c r="B2726" s="410"/>
      <c r="C2726" s="410"/>
      <c r="D2726" s="410"/>
      <c r="E2726" s="410"/>
      <c r="F2726" s="410"/>
      <c r="H2726" s="269"/>
      <c r="I2726" s="269"/>
      <c r="J2726" s="269"/>
      <c r="K2726" s="269"/>
      <c r="L2726" s="269"/>
      <c r="M2726" s="269"/>
      <c r="N2726" s="269"/>
      <c r="O2726" s="269"/>
      <c r="P2726" s="269"/>
      <c r="Q2726" s="269"/>
      <c r="R2726" s="269"/>
      <c r="S2726" s="269"/>
      <c r="T2726" s="269"/>
      <c r="U2726" s="269"/>
      <c r="V2726" s="269"/>
      <c r="W2726" s="269"/>
      <c r="X2726" s="269"/>
      <c r="Y2726" s="269"/>
      <c r="Z2726" s="269"/>
      <c r="AA2726" s="269"/>
      <c r="AB2726" s="269"/>
      <c r="AC2726" s="269"/>
      <c r="AD2726" s="269"/>
      <c r="AE2726" s="269"/>
      <c r="AF2726" s="269"/>
      <c r="AG2726" s="269"/>
      <c r="AH2726" s="269"/>
      <c r="AI2726" s="269"/>
      <c r="AJ2726" s="269"/>
      <c r="AK2726" s="269"/>
      <c r="AL2726" s="269"/>
      <c r="AM2726" s="269"/>
      <c r="AN2726" s="269"/>
      <c r="AO2726" s="269"/>
      <c r="AP2726" s="269"/>
      <c r="AQ2726" s="269"/>
      <c r="AR2726" s="269"/>
    </row>
    <row r="2727">
      <c r="A2727" s="410"/>
      <c r="B2727" s="410"/>
      <c r="C2727" s="410"/>
      <c r="D2727" s="410"/>
      <c r="E2727" s="410"/>
      <c r="F2727" s="410"/>
      <c r="H2727" s="269"/>
      <c r="I2727" s="269"/>
      <c r="J2727" s="269"/>
      <c r="K2727" s="269"/>
      <c r="L2727" s="269"/>
      <c r="M2727" s="269"/>
      <c r="N2727" s="269"/>
      <c r="O2727" s="269"/>
      <c r="P2727" s="269"/>
      <c r="Q2727" s="269"/>
      <c r="R2727" s="269"/>
      <c r="S2727" s="269"/>
      <c r="T2727" s="269"/>
      <c r="U2727" s="269"/>
      <c r="V2727" s="269"/>
      <c r="W2727" s="269"/>
      <c r="X2727" s="269"/>
      <c r="Y2727" s="269"/>
      <c r="Z2727" s="269"/>
      <c r="AA2727" s="269"/>
      <c r="AB2727" s="269"/>
      <c r="AC2727" s="269"/>
      <c r="AD2727" s="269"/>
      <c r="AE2727" s="269"/>
      <c r="AF2727" s="269"/>
      <c r="AG2727" s="269"/>
      <c r="AH2727" s="269"/>
      <c r="AI2727" s="269"/>
      <c r="AJ2727" s="269"/>
      <c r="AK2727" s="269"/>
      <c r="AL2727" s="269"/>
      <c r="AM2727" s="269"/>
      <c r="AN2727" s="269"/>
      <c r="AO2727" s="269"/>
      <c r="AP2727" s="269"/>
      <c r="AQ2727" s="269"/>
      <c r="AR2727" s="269"/>
    </row>
    <row r="2728">
      <c r="A2728" s="410"/>
      <c r="B2728" s="410"/>
      <c r="C2728" s="410"/>
      <c r="D2728" s="410"/>
      <c r="E2728" s="410"/>
      <c r="F2728" s="410"/>
      <c r="H2728" s="269"/>
      <c r="I2728" s="269"/>
      <c r="J2728" s="269"/>
      <c r="K2728" s="269"/>
      <c r="L2728" s="269"/>
      <c r="M2728" s="269"/>
      <c r="N2728" s="269"/>
      <c r="O2728" s="269"/>
      <c r="P2728" s="269"/>
      <c r="Q2728" s="269"/>
      <c r="R2728" s="269"/>
      <c r="S2728" s="269"/>
      <c r="T2728" s="269"/>
      <c r="U2728" s="269"/>
      <c r="V2728" s="269"/>
      <c r="W2728" s="269"/>
      <c r="X2728" s="269"/>
      <c r="Y2728" s="269"/>
      <c r="Z2728" s="269"/>
      <c r="AA2728" s="269"/>
      <c r="AB2728" s="269"/>
      <c r="AC2728" s="269"/>
      <c r="AD2728" s="269"/>
      <c r="AE2728" s="269"/>
      <c r="AF2728" s="269"/>
      <c r="AG2728" s="269"/>
      <c r="AH2728" s="269"/>
      <c r="AI2728" s="269"/>
      <c r="AJ2728" s="269"/>
      <c r="AK2728" s="269"/>
      <c r="AL2728" s="269"/>
      <c r="AM2728" s="269"/>
      <c r="AN2728" s="269"/>
      <c r="AO2728" s="269"/>
      <c r="AP2728" s="269"/>
      <c r="AQ2728" s="269"/>
      <c r="AR2728" s="269"/>
    </row>
    <row r="2729">
      <c r="A2729" s="410"/>
      <c r="B2729" s="410"/>
      <c r="C2729" s="410"/>
      <c r="D2729" s="410"/>
      <c r="E2729" s="410"/>
      <c r="F2729" s="410"/>
      <c r="H2729" s="269"/>
      <c r="I2729" s="269"/>
      <c r="J2729" s="269"/>
      <c r="K2729" s="269"/>
      <c r="L2729" s="269"/>
      <c r="M2729" s="269"/>
      <c r="N2729" s="269"/>
      <c r="O2729" s="269"/>
      <c r="P2729" s="269"/>
      <c r="Q2729" s="269"/>
      <c r="R2729" s="269"/>
      <c r="S2729" s="269"/>
      <c r="T2729" s="269"/>
      <c r="U2729" s="269"/>
      <c r="V2729" s="269"/>
      <c r="W2729" s="269"/>
      <c r="X2729" s="269"/>
      <c r="Y2729" s="269"/>
      <c r="Z2729" s="269"/>
      <c r="AA2729" s="269"/>
      <c r="AB2729" s="269"/>
      <c r="AC2729" s="269"/>
      <c r="AD2729" s="269"/>
      <c r="AE2729" s="269"/>
      <c r="AF2729" s="269"/>
      <c r="AG2729" s="269"/>
      <c r="AH2729" s="269"/>
      <c r="AI2729" s="269"/>
      <c r="AJ2729" s="269"/>
      <c r="AK2729" s="269"/>
      <c r="AL2729" s="269"/>
      <c r="AM2729" s="269"/>
      <c r="AN2729" s="269"/>
      <c r="AO2729" s="269"/>
      <c r="AP2729" s="269"/>
      <c r="AQ2729" s="269"/>
      <c r="AR2729" s="269"/>
    </row>
    <row r="2730">
      <c r="A2730" s="410"/>
      <c r="B2730" s="410"/>
      <c r="C2730" s="410"/>
      <c r="D2730" s="410"/>
      <c r="E2730" s="410"/>
      <c r="F2730" s="410"/>
      <c r="H2730" s="269"/>
      <c r="I2730" s="269"/>
      <c r="J2730" s="269"/>
      <c r="K2730" s="269"/>
      <c r="L2730" s="269"/>
      <c r="M2730" s="269"/>
      <c r="N2730" s="269"/>
      <c r="O2730" s="269"/>
      <c r="P2730" s="269"/>
      <c r="Q2730" s="269"/>
      <c r="R2730" s="269"/>
      <c r="S2730" s="269"/>
      <c r="T2730" s="269"/>
      <c r="U2730" s="269"/>
      <c r="V2730" s="269"/>
      <c r="W2730" s="269"/>
      <c r="X2730" s="269"/>
      <c r="Y2730" s="269"/>
      <c r="Z2730" s="269"/>
      <c r="AA2730" s="269"/>
      <c r="AB2730" s="269"/>
      <c r="AC2730" s="269"/>
      <c r="AD2730" s="269"/>
      <c r="AE2730" s="269"/>
      <c r="AF2730" s="269"/>
      <c r="AG2730" s="269"/>
      <c r="AH2730" s="269"/>
      <c r="AI2730" s="269"/>
      <c r="AJ2730" s="269"/>
      <c r="AK2730" s="269"/>
      <c r="AL2730" s="269"/>
      <c r="AM2730" s="269"/>
      <c r="AN2730" s="269"/>
      <c r="AO2730" s="269"/>
      <c r="AP2730" s="269"/>
      <c r="AQ2730" s="269"/>
      <c r="AR2730" s="269"/>
    </row>
    <row r="2731">
      <c r="A2731" s="410"/>
      <c r="B2731" s="410"/>
      <c r="C2731" s="410"/>
      <c r="D2731" s="410"/>
      <c r="E2731" s="410"/>
      <c r="F2731" s="410"/>
      <c r="H2731" s="269"/>
      <c r="I2731" s="269"/>
      <c r="J2731" s="269"/>
      <c r="K2731" s="269"/>
      <c r="L2731" s="269"/>
      <c r="M2731" s="269"/>
      <c r="N2731" s="269"/>
      <c r="O2731" s="269"/>
      <c r="P2731" s="269"/>
      <c r="Q2731" s="269"/>
      <c r="R2731" s="269"/>
      <c r="S2731" s="269"/>
      <c r="T2731" s="269"/>
      <c r="U2731" s="269"/>
      <c r="V2731" s="269"/>
      <c r="W2731" s="269"/>
      <c r="X2731" s="269"/>
      <c r="Y2731" s="269"/>
      <c r="Z2731" s="269"/>
      <c r="AA2731" s="269"/>
      <c r="AB2731" s="269"/>
      <c r="AC2731" s="269"/>
      <c r="AD2731" s="269"/>
      <c r="AE2731" s="269"/>
      <c r="AF2731" s="269"/>
      <c r="AG2731" s="269"/>
      <c r="AH2731" s="269"/>
      <c r="AI2731" s="269"/>
      <c r="AJ2731" s="269"/>
      <c r="AK2731" s="269"/>
      <c r="AL2731" s="269"/>
      <c r="AM2731" s="269"/>
      <c r="AN2731" s="269"/>
      <c r="AO2731" s="269"/>
      <c r="AP2731" s="269"/>
      <c r="AQ2731" s="269"/>
      <c r="AR2731" s="269"/>
    </row>
    <row r="2732">
      <c r="A2732" s="410"/>
      <c r="B2732" s="410"/>
      <c r="C2732" s="410"/>
      <c r="D2732" s="410"/>
      <c r="E2732" s="410"/>
      <c r="F2732" s="410"/>
      <c r="H2732" s="269"/>
      <c r="I2732" s="269"/>
      <c r="J2732" s="269"/>
      <c r="K2732" s="269"/>
      <c r="L2732" s="269"/>
      <c r="M2732" s="269"/>
      <c r="N2732" s="269"/>
      <c r="O2732" s="269"/>
      <c r="P2732" s="269"/>
      <c r="Q2732" s="269"/>
      <c r="R2732" s="269"/>
      <c r="S2732" s="269"/>
      <c r="T2732" s="269"/>
      <c r="U2732" s="269"/>
      <c r="V2732" s="269"/>
      <c r="W2732" s="269"/>
      <c r="X2732" s="269"/>
      <c r="Y2732" s="269"/>
      <c r="Z2732" s="269"/>
      <c r="AA2732" s="269"/>
      <c r="AB2732" s="269"/>
      <c r="AC2732" s="269"/>
      <c r="AD2732" s="269"/>
      <c r="AE2732" s="269"/>
      <c r="AF2732" s="269"/>
      <c r="AG2732" s="269"/>
      <c r="AH2732" s="269"/>
      <c r="AI2732" s="269"/>
      <c r="AJ2732" s="269"/>
      <c r="AK2732" s="269"/>
      <c r="AL2732" s="269"/>
      <c r="AM2732" s="269"/>
      <c r="AN2732" s="269"/>
      <c r="AO2732" s="269"/>
      <c r="AP2732" s="269"/>
      <c r="AQ2732" s="269"/>
      <c r="AR2732" s="269"/>
    </row>
    <row r="2733">
      <c r="A2733" s="410"/>
      <c r="B2733" s="410"/>
      <c r="C2733" s="410"/>
      <c r="D2733" s="410"/>
      <c r="E2733" s="410"/>
      <c r="F2733" s="410"/>
      <c r="H2733" s="269"/>
      <c r="I2733" s="269"/>
      <c r="J2733" s="269"/>
      <c r="K2733" s="269"/>
      <c r="L2733" s="269"/>
      <c r="M2733" s="269"/>
      <c r="N2733" s="269"/>
      <c r="O2733" s="269"/>
      <c r="P2733" s="269"/>
      <c r="Q2733" s="269"/>
      <c r="R2733" s="269"/>
      <c r="S2733" s="269"/>
      <c r="T2733" s="269"/>
      <c r="U2733" s="269"/>
      <c r="V2733" s="269"/>
      <c r="W2733" s="269"/>
      <c r="X2733" s="269"/>
      <c r="Y2733" s="269"/>
      <c r="Z2733" s="269"/>
      <c r="AA2733" s="269"/>
      <c r="AB2733" s="269"/>
      <c r="AC2733" s="269"/>
      <c r="AD2733" s="269"/>
      <c r="AE2733" s="269"/>
      <c r="AF2733" s="269"/>
      <c r="AG2733" s="269"/>
      <c r="AH2733" s="269"/>
      <c r="AI2733" s="269"/>
      <c r="AJ2733" s="269"/>
      <c r="AK2733" s="269"/>
      <c r="AL2733" s="269"/>
      <c r="AM2733" s="269"/>
      <c r="AN2733" s="269"/>
      <c r="AO2733" s="269"/>
      <c r="AP2733" s="269"/>
      <c r="AQ2733" s="269"/>
      <c r="AR2733" s="269"/>
    </row>
    <row r="2734">
      <c r="A2734" s="410"/>
      <c r="B2734" s="410"/>
      <c r="C2734" s="410"/>
      <c r="D2734" s="410"/>
      <c r="E2734" s="410"/>
      <c r="F2734" s="410"/>
      <c r="H2734" s="269"/>
      <c r="I2734" s="269"/>
      <c r="J2734" s="269"/>
      <c r="K2734" s="269"/>
      <c r="L2734" s="269"/>
      <c r="M2734" s="269"/>
      <c r="N2734" s="269"/>
      <c r="O2734" s="269"/>
      <c r="P2734" s="269"/>
      <c r="Q2734" s="269"/>
      <c r="R2734" s="269"/>
      <c r="S2734" s="269"/>
      <c r="T2734" s="269"/>
      <c r="U2734" s="269"/>
      <c r="V2734" s="269"/>
      <c r="W2734" s="269"/>
      <c r="X2734" s="269"/>
      <c r="Y2734" s="269"/>
      <c r="Z2734" s="269"/>
      <c r="AA2734" s="269"/>
      <c r="AB2734" s="269"/>
      <c r="AC2734" s="269"/>
      <c r="AD2734" s="269"/>
      <c r="AE2734" s="269"/>
      <c r="AF2734" s="269"/>
      <c r="AG2734" s="269"/>
      <c r="AH2734" s="269"/>
      <c r="AI2734" s="269"/>
      <c r="AJ2734" s="269"/>
      <c r="AK2734" s="269"/>
      <c r="AL2734" s="269"/>
      <c r="AM2734" s="269"/>
      <c r="AN2734" s="269"/>
      <c r="AO2734" s="269"/>
      <c r="AP2734" s="269"/>
      <c r="AQ2734" s="269"/>
      <c r="AR2734" s="269"/>
    </row>
    <row r="2735">
      <c r="A2735" s="410"/>
      <c r="B2735" s="410"/>
      <c r="C2735" s="410"/>
      <c r="D2735" s="410"/>
      <c r="E2735" s="410"/>
      <c r="F2735" s="410"/>
      <c r="H2735" s="269"/>
      <c r="I2735" s="269"/>
      <c r="J2735" s="269"/>
      <c r="K2735" s="269"/>
      <c r="L2735" s="269"/>
      <c r="M2735" s="269"/>
      <c r="N2735" s="269"/>
      <c r="O2735" s="269"/>
      <c r="P2735" s="269"/>
      <c r="Q2735" s="269"/>
      <c r="R2735" s="269"/>
      <c r="S2735" s="269"/>
      <c r="T2735" s="269"/>
      <c r="U2735" s="269"/>
      <c r="V2735" s="269"/>
      <c r="W2735" s="269"/>
      <c r="X2735" s="269"/>
      <c r="Y2735" s="269"/>
      <c r="Z2735" s="269"/>
      <c r="AA2735" s="269"/>
      <c r="AB2735" s="269"/>
      <c r="AC2735" s="269"/>
      <c r="AD2735" s="269"/>
      <c r="AE2735" s="269"/>
      <c r="AF2735" s="269"/>
      <c r="AG2735" s="269"/>
      <c r="AH2735" s="269"/>
      <c r="AI2735" s="269"/>
      <c r="AJ2735" s="269"/>
      <c r="AK2735" s="269"/>
      <c r="AL2735" s="269"/>
      <c r="AM2735" s="269"/>
      <c r="AN2735" s="269"/>
      <c r="AO2735" s="269"/>
      <c r="AP2735" s="269"/>
      <c r="AQ2735" s="269"/>
      <c r="AR2735" s="269"/>
    </row>
    <row r="2736">
      <c r="A2736" s="410"/>
      <c r="B2736" s="410"/>
      <c r="C2736" s="410"/>
      <c r="D2736" s="410"/>
      <c r="E2736" s="410"/>
      <c r="F2736" s="410"/>
      <c r="H2736" s="269"/>
      <c r="I2736" s="269"/>
      <c r="J2736" s="269"/>
      <c r="K2736" s="269"/>
      <c r="L2736" s="269"/>
      <c r="M2736" s="269"/>
      <c r="N2736" s="269"/>
      <c r="O2736" s="269"/>
      <c r="P2736" s="269"/>
      <c r="Q2736" s="269"/>
      <c r="R2736" s="269"/>
      <c r="S2736" s="269"/>
      <c r="T2736" s="269"/>
      <c r="U2736" s="269"/>
      <c r="V2736" s="269"/>
      <c r="W2736" s="269"/>
      <c r="X2736" s="269"/>
      <c r="Y2736" s="269"/>
      <c r="Z2736" s="269"/>
      <c r="AA2736" s="269"/>
      <c r="AB2736" s="269"/>
      <c r="AC2736" s="269"/>
      <c r="AD2736" s="269"/>
      <c r="AE2736" s="269"/>
      <c r="AF2736" s="269"/>
      <c r="AG2736" s="269"/>
      <c r="AH2736" s="269"/>
      <c r="AI2736" s="269"/>
      <c r="AJ2736" s="269"/>
      <c r="AK2736" s="269"/>
      <c r="AL2736" s="269"/>
      <c r="AM2736" s="269"/>
      <c r="AN2736" s="269"/>
      <c r="AO2736" s="269"/>
      <c r="AP2736" s="269"/>
      <c r="AQ2736" s="269"/>
      <c r="AR2736" s="269"/>
    </row>
    <row r="2737">
      <c r="A2737" s="410"/>
      <c r="B2737" s="410"/>
      <c r="C2737" s="410"/>
      <c r="D2737" s="410"/>
      <c r="E2737" s="410"/>
      <c r="F2737" s="410"/>
      <c r="H2737" s="269"/>
      <c r="I2737" s="269"/>
      <c r="J2737" s="269"/>
      <c r="K2737" s="269"/>
      <c r="L2737" s="269"/>
      <c r="M2737" s="269"/>
      <c r="N2737" s="269"/>
      <c r="O2737" s="269"/>
      <c r="P2737" s="269"/>
      <c r="Q2737" s="269"/>
      <c r="R2737" s="269"/>
      <c r="S2737" s="269"/>
      <c r="T2737" s="269"/>
      <c r="U2737" s="269"/>
      <c r="V2737" s="269"/>
      <c r="W2737" s="269"/>
      <c r="X2737" s="269"/>
      <c r="Y2737" s="269"/>
      <c r="Z2737" s="269"/>
      <c r="AA2737" s="269"/>
      <c r="AB2737" s="269"/>
      <c r="AC2737" s="269"/>
      <c r="AD2737" s="269"/>
      <c r="AE2737" s="269"/>
      <c r="AF2737" s="269"/>
      <c r="AG2737" s="269"/>
      <c r="AH2737" s="269"/>
      <c r="AI2737" s="269"/>
      <c r="AJ2737" s="269"/>
      <c r="AK2737" s="269"/>
      <c r="AL2737" s="269"/>
      <c r="AM2737" s="269"/>
      <c r="AN2737" s="269"/>
      <c r="AO2737" s="269"/>
      <c r="AP2737" s="269"/>
      <c r="AQ2737" s="269"/>
      <c r="AR2737" s="269"/>
    </row>
    <row r="2738">
      <c r="A2738" s="410"/>
      <c r="B2738" s="410"/>
      <c r="C2738" s="410"/>
      <c r="D2738" s="410"/>
      <c r="E2738" s="410"/>
      <c r="F2738" s="410"/>
      <c r="H2738" s="269"/>
      <c r="I2738" s="269"/>
      <c r="J2738" s="269"/>
      <c r="K2738" s="269"/>
      <c r="L2738" s="269"/>
      <c r="M2738" s="269"/>
      <c r="N2738" s="269"/>
      <c r="O2738" s="269"/>
      <c r="P2738" s="269"/>
      <c r="Q2738" s="269"/>
      <c r="R2738" s="269"/>
      <c r="S2738" s="269"/>
      <c r="T2738" s="269"/>
      <c r="U2738" s="269"/>
      <c r="V2738" s="269"/>
      <c r="W2738" s="269"/>
      <c r="X2738" s="269"/>
      <c r="Y2738" s="269"/>
      <c r="Z2738" s="269"/>
      <c r="AA2738" s="269"/>
      <c r="AB2738" s="269"/>
      <c r="AC2738" s="269"/>
      <c r="AD2738" s="269"/>
      <c r="AE2738" s="269"/>
      <c r="AF2738" s="269"/>
      <c r="AG2738" s="269"/>
      <c r="AH2738" s="269"/>
      <c r="AI2738" s="269"/>
      <c r="AJ2738" s="269"/>
      <c r="AK2738" s="269"/>
      <c r="AL2738" s="269"/>
      <c r="AM2738" s="269"/>
      <c r="AN2738" s="269"/>
      <c r="AO2738" s="269"/>
      <c r="AP2738" s="269"/>
      <c r="AQ2738" s="269"/>
      <c r="AR2738" s="269"/>
    </row>
    <row r="2739">
      <c r="A2739" s="410"/>
      <c r="B2739" s="410"/>
      <c r="C2739" s="410"/>
      <c r="D2739" s="410"/>
      <c r="E2739" s="410"/>
      <c r="F2739" s="410"/>
      <c r="H2739" s="269"/>
      <c r="I2739" s="269"/>
      <c r="J2739" s="269"/>
      <c r="K2739" s="269"/>
      <c r="L2739" s="269"/>
      <c r="M2739" s="269"/>
      <c r="N2739" s="269"/>
      <c r="O2739" s="269"/>
      <c r="P2739" s="269"/>
      <c r="Q2739" s="269"/>
      <c r="R2739" s="269"/>
      <c r="S2739" s="269"/>
      <c r="T2739" s="269"/>
      <c r="U2739" s="269"/>
      <c r="V2739" s="269"/>
      <c r="W2739" s="269"/>
      <c r="X2739" s="269"/>
      <c r="Y2739" s="269"/>
      <c r="Z2739" s="269"/>
      <c r="AA2739" s="269"/>
      <c r="AB2739" s="269"/>
      <c r="AC2739" s="269"/>
      <c r="AD2739" s="269"/>
      <c r="AE2739" s="269"/>
      <c r="AF2739" s="269"/>
      <c r="AG2739" s="269"/>
      <c r="AH2739" s="269"/>
      <c r="AI2739" s="269"/>
      <c r="AJ2739" s="269"/>
      <c r="AK2739" s="269"/>
      <c r="AL2739" s="269"/>
      <c r="AM2739" s="269"/>
      <c r="AN2739" s="269"/>
      <c r="AO2739" s="269"/>
      <c r="AP2739" s="269"/>
      <c r="AQ2739" s="269"/>
      <c r="AR2739" s="269"/>
    </row>
    <row r="2740">
      <c r="A2740" s="410"/>
      <c r="B2740" s="410"/>
      <c r="C2740" s="410"/>
      <c r="D2740" s="410"/>
      <c r="E2740" s="410"/>
      <c r="F2740" s="410"/>
      <c r="H2740" s="269"/>
      <c r="I2740" s="269"/>
      <c r="J2740" s="269"/>
      <c r="K2740" s="269"/>
      <c r="L2740" s="269"/>
      <c r="M2740" s="269"/>
      <c r="N2740" s="269"/>
      <c r="O2740" s="269"/>
      <c r="P2740" s="269"/>
      <c r="Q2740" s="269"/>
      <c r="R2740" s="269"/>
      <c r="S2740" s="269"/>
      <c r="T2740" s="269"/>
      <c r="U2740" s="269"/>
      <c r="V2740" s="269"/>
      <c r="W2740" s="269"/>
      <c r="X2740" s="269"/>
      <c r="Y2740" s="269"/>
      <c r="Z2740" s="269"/>
      <c r="AA2740" s="269"/>
      <c r="AB2740" s="269"/>
      <c r="AC2740" s="269"/>
      <c r="AD2740" s="269"/>
      <c r="AE2740" s="269"/>
      <c r="AF2740" s="269"/>
      <c r="AG2740" s="269"/>
      <c r="AH2740" s="269"/>
      <c r="AI2740" s="269"/>
      <c r="AJ2740" s="269"/>
      <c r="AK2740" s="269"/>
      <c r="AL2740" s="269"/>
      <c r="AM2740" s="269"/>
      <c r="AN2740" s="269"/>
      <c r="AO2740" s="269"/>
      <c r="AP2740" s="269"/>
      <c r="AQ2740" s="269"/>
      <c r="AR2740" s="269"/>
    </row>
    <row r="2741">
      <c r="A2741" s="410"/>
      <c r="B2741" s="410"/>
      <c r="C2741" s="410"/>
      <c r="D2741" s="410"/>
      <c r="E2741" s="410"/>
      <c r="F2741" s="410"/>
      <c r="H2741" s="269"/>
      <c r="I2741" s="269"/>
      <c r="J2741" s="269"/>
      <c r="K2741" s="269"/>
      <c r="L2741" s="269"/>
      <c r="M2741" s="269"/>
      <c r="N2741" s="269"/>
      <c r="O2741" s="269"/>
      <c r="P2741" s="269"/>
      <c r="Q2741" s="269"/>
      <c r="R2741" s="269"/>
      <c r="S2741" s="269"/>
      <c r="T2741" s="269"/>
      <c r="U2741" s="269"/>
      <c r="V2741" s="269"/>
      <c r="W2741" s="269"/>
      <c r="X2741" s="269"/>
      <c r="Y2741" s="269"/>
      <c r="Z2741" s="269"/>
      <c r="AA2741" s="269"/>
      <c r="AB2741" s="269"/>
      <c r="AC2741" s="269"/>
      <c r="AD2741" s="269"/>
      <c r="AE2741" s="269"/>
      <c r="AF2741" s="269"/>
      <c r="AG2741" s="269"/>
      <c r="AH2741" s="269"/>
      <c r="AI2741" s="269"/>
      <c r="AJ2741" s="269"/>
      <c r="AK2741" s="269"/>
      <c r="AL2741" s="269"/>
      <c r="AM2741" s="269"/>
      <c r="AN2741" s="269"/>
      <c r="AO2741" s="269"/>
      <c r="AP2741" s="269"/>
      <c r="AQ2741" s="269"/>
      <c r="AR2741" s="269"/>
    </row>
    <row r="2742">
      <c r="A2742" s="410"/>
      <c r="B2742" s="410"/>
      <c r="C2742" s="410"/>
      <c r="D2742" s="410"/>
      <c r="E2742" s="410"/>
      <c r="F2742" s="410"/>
      <c r="H2742" s="269"/>
      <c r="I2742" s="269"/>
      <c r="J2742" s="269"/>
      <c r="K2742" s="269"/>
      <c r="L2742" s="269"/>
      <c r="M2742" s="269"/>
      <c r="N2742" s="269"/>
      <c r="O2742" s="269"/>
      <c r="P2742" s="269"/>
      <c r="Q2742" s="269"/>
      <c r="R2742" s="269"/>
      <c r="S2742" s="269"/>
      <c r="T2742" s="269"/>
      <c r="U2742" s="269"/>
      <c r="V2742" s="269"/>
      <c r="W2742" s="269"/>
      <c r="X2742" s="269"/>
      <c r="Y2742" s="269"/>
      <c r="Z2742" s="269"/>
      <c r="AA2742" s="269"/>
      <c r="AB2742" s="269"/>
      <c r="AC2742" s="269"/>
      <c r="AD2742" s="269"/>
      <c r="AE2742" s="269"/>
      <c r="AF2742" s="269"/>
      <c r="AG2742" s="269"/>
      <c r="AH2742" s="269"/>
      <c r="AI2742" s="269"/>
      <c r="AJ2742" s="269"/>
      <c r="AK2742" s="269"/>
      <c r="AL2742" s="269"/>
      <c r="AM2742" s="269"/>
      <c r="AN2742" s="269"/>
      <c r="AO2742" s="269"/>
      <c r="AP2742" s="269"/>
      <c r="AQ2742" s="269"/>
      <c r="AR2742" s="269"/>
    </row>
    <row r="2743">
      <c r="A2743" s="410"/>
      <c r="B2743" s="410"/>
      <c r="C2743" s="410"/>
      <c r="D2743" s="410"/>
      <c r="E2743" s="410"/>
      <c r="F2743" s="410"/>
      <c r="H2743" s="269"/>
      <c r="I2743" s="269"/>
      <c r="J2743" s="269"/>
      <c r="K2743" s="269"/>
      <c r="L2743" s="269"/>
      <c r="M2743" s="269"/>
      <c r="N2743" s="269"/>
      <c r="O2743" s="269"/>
      <c r="P2743" s="269"/>
      <c r="Q2743" s="269"/>
      <c r="R2743" s="269"/>
      <c r="S2743" s="269"/>
      <c r="T2743" s="269"/>
      <c r="U2743" s="269"/>
      <c r="V2743" s="269"/>
      <c r="W2743" s="269"/>
      <c r="X2743" s="269"/>
      <c r="Y2743" s="269"/>
      <c r="Z2743" s="269"/>
      <c r="AA2743" s="269"/>
      <c r="AB2743" s="269"/>
      <c r="AC2743" s="269"/>
      <c r="AD2743" s="269"/>
      <c r="AE2743" s="269"/>
      <c r="AF2743" s="269"/>
      <c r="AG2743" s="269"/>
      <c r="AH2743" s="269"/>
      <c r="AI2743" s="269"/>
      <c r="AJ2743" s="269"/>
      <c r="AK2743" s="269"/>
      <c r="AL2743" s="269"/>
      <c r="AM2743" s="269"/>
      <c r="AN2743" s="269"/>
      <c r="AO2743" s="269"/>
      <c r="AP2743" s="269"/>
      <c r="AQ2743" s="269"/>
      <c r="AR2743" s="269"/>
    </row>
    <row r="2744">
      <c r="A2744" s="410"/>
      <c r="B2744" s="410"/>
      <c r="C2744" s="410"/>
      <c r="D2744" s="410"/>
      <c r="E2744" s="410"/>
      <c r="F2744" s="410"/>
      <c r="H2744" s="269"/>
      <c r="I2744" s="269"/>
      <c r="J2744" s="269"/>
      <c r="K2744" s="269"/>
      <c r="L2744" s="269"/>
      <c r="M2744" s="269"/>
      <c r="N2744" s="269"/>
      <c r="O2744" s="269"/>
      <c r="P2744" s="269"/>
      <c r="Q2744" s="269"/>
      <c r="R2744" s="269"/>
      <c r="S2744" s="269"/>
      <c r="T2744" s="269"/>
      <c r="U2744" s="269"/>
      <c r="V2744" s="269"/>
      <c r="W2744" s="269"/>
      <c r="X2744" s="269"/>
      <c r="Y2744" s="269"/>
      <c r="Z2744" s="269"/>
      <c r="AA2744" s="269"/>
      <c r="AB2744" s="269"/>
      <c r="AC2744" s="269"/>
      <c r="AD2744" s="269"/>
      <c r="AE2744" s="269"/>
      <c r="AF2744" s="269"/>
      <c r="AG2744" s="269"/>
      <c r="AH2744" s="269"/>
      <c r="AI2744" s="269"/>
      <c r="AJ2744" s="269"/>
      <c r="AK2744" s="269"/>
      <c r="AL2744" s="269"/>
      <c r="AM2744" s="269"/>
      <c r="AN2744" s="269"/>
      <c r="AO2744" s="269"/>
      <c r="AP2744" s="269"/>
      <c r="AQ2744" s="269"/>
      <c r="AR2744" s="269"/>
    </row>
    <row r="2745">
      <c r="A2745" s="410"/>
      <c r="B2745" s="410"/>
      <c r="C2745" s="410"/>
      <c r="D2745" s="410"/>
      <c r="E2745" s="410"/>
      <c r="F2745" s="410"/>
      <c r="H2745" s="269"/>
      <c r="I2745" s="269"/>
      <c r="J2745" s="269"/>
      <c r="K2745" s="269"/>
      <c r="L2745" s="269"/>
      <c r="M2745" s="269"/>
      <c r="N2745" s="269"/>
      <c r="O2745" s="269"/>
      <c r="P2745" s="269"/>
      <c r="Q2745" s="269"/>
      <c r="R2745" s="269"/>
      <c r="S2745" s="269"/>
      <c r="T2745" s="269"/>
      <c r="U2745" s="269"/>
      <c r="V2745" s="269"/>
      <c r="W2745" s="269"/>
      <c r="X2745" s="269"/>
      <c r="Y2745" s="269"/>
      <c r="Z2745" s="269"/>
      <c r="AA2745" s="269"/>
      <c r="AB2745" s="269"/>
      <c r="AC2745" s="269"/>
      <c r="AD2745" s="269"/>
      <c r="AE2745" s="269"/>
      <c r="AF2745" s="269"/>
      <c r="AG2745" s="269"/>
      <c r="AH2745" s="269"/>
      <c r="AI2745" s="269"/>
      <c r="AJ2745" s="269"/>
      <c r="AK2745" s="269"/>
      <c r="AL2745" s="269"/>
      <c r="AM2745" s="269"/>
      <c r="AN2745" s="269"/>
      <c r="AO2745" s="269"/>
      <c r="AP2745" s="269"/>
      <c r="AQ2745" s="269"/>
      <c r="AR2745" s="269"/>
    </row>
    <row r="2746">
      <c r="A2746" s="410"/>
      <c r="B2746" s="410"/>
      <c r="C2746" s="410"/>
      <c r="D2746" s="410"/>
      <c r="E2746" s="410"/>
      <c r="F2746" s="410"/>
      <c r="H2746" s="269"/>
      <c r="I2746" s="269"/>
      <c r="J2746" s="269"/>
      <c r="K2746" s="269"/>
      <c r="L2746" s="269"/>
      <c r="M2746" s="269"/>
      <c r="N2746" s="269"/>
      <c r="O2746" s="269"/>
      <c r="P2746" s="269"/>
      <c r="Q2746" s="269"/>
      <c r="R2746" s="269"/>
      <c r="S2746" s="269"/>
      <c r="T2746" s="269"/>
      <c r="U2746" s="269"/>
      <c r="V2746" s="269"/>
      <c r="W2746" s="269"/>
      <c r="X2746" s="269"/>
      <c r="Y2746" s="269"/>
      <c r="Z2746" s="269"/>
      <c r="AA2746" s="269"/>
      <c r="AB2746" s="269"/>
      <c r="AC2746" s="269"/>
      <c r="AD2746" s="269"/>
      <c r="AE2746" s="269"/>
      <c r="AF2746" s="269"/>
      <c r="AG2746" s="269"/>
      <c r="AH2746" s="269"/>
      <c r="AI2746" s="269"/>
      <c r="AJ2746" s="269"/>
      <c r="AK2746" s="269"/>
      <c r="AL2746" s="269"/>
      <c r="AM2746" s="269"/>
      <c r="AN2746" s="269"/>
      <c r="AO2746" s="269"/>
      <c r="AP2746" s="269"/>
      <c r="AQ2746" s="269"/>
      <c r="AR2746" s="269"/>
    </row>
    <row r="2747">
      <c r="A2747" s="410"/>
      <c r="B2747" s="410"/>
      <c r="C2747" s="410"/>
      <c r="D2747" s="410"/>
      <c r="E2747" s="410"/>
      <c r="F2747" s="410"/>
      <c r="H2747" s="269"/>
      <c r="I2747" s="269"/>
      <c r="J2747" s="269"/>
      <c r="K2747" s="269"/>
      <c r="L2747" s="269"/>
      <c r="M2747" s="269"/>
      <c r="N2747" s="269"/>
      <c r="O2747" s="269"/>
      <c r="P2747" s="269"/>
      <c r="Q2747" s="269"/>
      <c r="R2747" s="269"/>
      <c r="S2747" s="269"/>
      <c r="T2747" s="269"/>
      <c r="U2747" s="269"/>
      <c r="V2747" s="269"/>
      <c r="W2747" s="269"/>
      <c r="X2747" s="269"/>
      <c r="Y2747" s="269"/>
      <c r="Z2747" s="269"/>
      <c r="AA2747" s="269"/>
      <c r="AB2747" s="269"/>
      <c r="AC2747" s="269"/>
      <c r="AD2747" s="269"/>
      <c r="AE2747" s="269"/>
      <c r="AF2747" s="269"/>
      <c r="AG2747" s="269"/>
      <c r="AH2747" s="269"/>
      <c r="AI2747" s="269"/>
      <c r="AJ2747" s="269"/>
      <c r="AK2747" s="269"/>
      <c r="AL2747" s="269"/>
      <c r="AM2747" s="269"/>
      <c r="AN2747" s="269"/>
      <c r="AO2747" s="269"/>
      <c r="AP2747" s="269"/>
      <c r="AQ2747" s="269"/>
      <c r="AR2747" s="269"/>
    </row>
    <row r="2748">
      <c r="A2748" s="410"/>
      <c r="B2748" s="410"/>
      <c r="C2748" s="410"/>
      <c r="D2748" s="410"/>
      <c r="E2748" s="410"/>
      <c r="F2748" s="410"/>
      <c r="H2748" s="269"/>
      <c r="I2748" s="269"/>
      <c r="J2748" s="269"/>
      <c r="K2748" s="269"/>
      <c r="L2748" s="269"/>
      <c r="M2748" s="269"/>
      <c r="N2748" s="269"/>
      <c r="O2748" s="269"/>
      <c r="P2748" s="269"/>
      <c r="Q2748" s="269"/>
      <c r="R2748" s="269"/>
      <c r="S2748" s="269"/>
      <c r="T2748" s="269"/>
      <c r="U2748" s="269"/>
      <c r="V2748" s="269"/>
      <c r="W2748" s="269"/>
      <c r="X2748" s="269"/>
      <c r="Y2748" s="269"/>
      <c r="Z2748" s="269"/>
      <c r="AA2748" s="269"/>
      <c r="AB2748" s="269"/>
      <c r="AC2748" s="269"/>
      <c r="AD2748" s="269"/>
      <c r="AE2748" s="269"/>
      <c r="AF2748" s="269"/>
      <c r="AG2748" s="269"/>
      <c r="AH2748" s="269"/>
      <c r="AI2748" s="269"/>
      <c r="AJ2748" s="269"/>
      <c r="AK2748" s="269"/>
      <c r="AL2748" s="269"/>
      <c r="AM2748" s="269"/>
      <c r="AN2748" s="269"/>
      <c r="AO2748" s="269"/>
      <c r="AP2748" s="269"/>
      <c r="AQ2748" s="269"/>
      <c r="AR2748" s="269"/>
    </row>
    <row r="2749">
      <c r="A2749" s="410"/>
      <c r="B2749" s="410"/>
      <c r="C2749" s="410"/>
      <c r="D2749" s="410"/>
      <c r="E2749" s="410"/>
      <c r="F2749" s="410"/>
      <c r="H2749" s="269"/>
      <c r="I2749" s="269"/>
      <c r="J2749" s="269"/>
      <c r="K2749" s="269"/>
      <c r="L2749" s="269"/>
      <c r="M2749" s="269"/>
      <c r="N2749" s="269"/>
      <c r="O2749" s="269"/>
      <c r="P2749" s="269"/>
      <c r="Q2749" s="269"/>
      <c r="R2749" s="269"/>
      <c r="S2749" s="269"/>
      <c r="T2749" s="269"/>
      <c r="U2749" s="269"/>
      <c r="V2749" s="269"/>
      <c r="W2749" s="269"/>
      <c r="X2749" s="269"/>
      <c r="Y2749" s="269"/>
      <c r="Z2749" s="269"/>
      <c r="AA2749" s="269"/>
      <c r="AB2749" s="269"/>
      <c r="AC2749" s="269"/>
      <c r="AD2749" s="269"/>
      <c r="AE2749" s="269"/>
      <c r="AF2749" s="269"/>
      <c r="AG2749" s="269"/>
      <c r="AH2749" s="269"/>
      <c r="AI2749" s="269"/>
      <c r="AJ2749" s="269"/>
      <c r="AK2749" s="269"/>
      <c r="AL2749" s="269"/>
      <c r="AM2749" s="269"/>
      <c r="AN2749" s="269"/>
      <c r="AO2749" s="269"/>
      <c r="AP2749" s="269"/>
      <c r="AQ2749" s="269"/>
      <c r="AR2749" s="269"/>
    </row>
    <row r="2750">
      <c r="A2750" s="410"/>
      <c r="B2750" s="410"/>
      <c r="C2750" s="410"/>
      <c r="D2750" s="410"/>
      <c r="E2750" s="410"/>
      <c r="F2750" s="410"/>
      <c r="H2750" s="269"/>
      <c r="I2750" s="269"/>
      <c r="J2750" s="269"/>
      <c r="K2750" s="269"/>
      <c r="L2750" s="269"/>
      <c r="M2750" s="269"/>
      <c r="N2750" s="269"/>
      <c r="O2750" s="269"/>
      <c r="P2750" s="269"/>
      <c r="Q2750" s="269"/>
      <c r="R2750" s="269"/>
      <c r="S2750" s="269"/>
      <c r="T2750" s="269"/>
      <c r="U2750" s="269"/>
      <c r="V2750" s="269"/>
      <c r="W2750" s="269"/>
      <c r="X2750" s="269"/>
      <c r="Y2750" s="269"/>
      <c r="Z2750" s="269"/>
      <c r="AA2750" s="269"/>
      <c r="AB2750" s="269"/>
      <c r="AC2750" s="269"/>
      <c r="AD2750" s="269"/>
      <c r="AE2750" s="269"/>
      <c r="AF2750" s="269"/>
      <c r="AG2750" s="269"/>
      <c r="AH2750" s="269"/>
      <c r="AI2750" s="269"/>
      <c r="AJ2750" s="269"/>
      <c r="AK2750" s="269"/>
      <c r="AL2750" s="269"/>
      <c r="AM2750" s="269"/>
      <c r="AN2750" s="269"/>
      <c r="AO2750" s="269"/>
      <c r="AP2750" s="269"/>
      <c r="AQ2750" s="269"/>
      <c r="AR2750" s="269"/>
    </row>
    <row r="2751">
      <c r="A2751" s="410"/>
      <c r="B2751" s="410"/>
      <c r="C2751" s="410"/>
      <c r="D2751" s="410"/>
      <c r="E2751" s="410"/>
      <c r="F2751" s="410"/>
      <c r="H2751" s="269"/>
      <c r="I2751" s="269"/>
      <c r="J2751" s="269"/>
      <c r="K2751" s="269"/>
      <c r="L2751" s="269"/>
      <c r="M2751" s="269"/>
      <c r="N2751" s="269"/>
      <c r="O2751" s="269"/>
      <c r="P2751" s="269"/>
      <c r="Q2751" s="269"/>
      <c r="R2751" s="269"/>
      <c r="S2751" s="269"/>
      <c r="T2751" s="269"/>
      <c r="U2751" s="269"/>
      <c r="V2751" s="269"/>
      <c r="W2751" s="269"/>
      <c r="X2751" s="269"/>
      <c r="Y2751" s="269"/>
      <c r="Z2751" s="269"/>
      <c r="AA2751" s="269"/>
      <c r="AB2751" s="269"/>
      <c r="AC2751" s="269"/>
      <c r="AD2751" s="269"/>
      <c r="AE2751" s="269"/>
      <c r="AF2751" s="269"/>
      <c r="AG2751" s="269"/>
      <c r="AH2751" s="269"/>
      <c r="AI2751" s="269"/>
      <c r="AJ2751" s="269"/>
      <c r="AK2751" s="269"/>
      <c r="AL2751" s="269"/>
      <c r="AM2751" s="269"/>
      <c r="AN2751" s="269"/>
      <c r="AO2751" s="269"/>
      <c r="AP2751" s="269"/>
      <c r="AQ2751" s="269"/>
      <c r="AR2751" s="269"/>
    </row>
    <row r="2752">
      <c r="A2752" s="410"/>
      <c r="B2752" s="410"/>
      <c r="C2752" s="410"/>
      <c r="D2752" s="410"/>
      <c r="E2752" s="410"/>
      <c r="F2752" s="410"/>
      <c r="H2752" s="269"/>
      <c r="I2752" s="269"/>
      <c r="J2752" s="269"/>
      <c r="K2752" s="269"/>
      <c r="L2752" s="269"/>
      <c r="M2752" s="269"/>
      <c r="N2752" s="269"/>
      <c r="O2752" s="269"/>
      <c r="P2752" s="269"/>
      <c r="Q2752" s="269"/>
      <c r="R2752" s="269"/>
      <c r="S2752" s="269"/>
      <c r="T2752" s="269"/>
      <c r="U2752" s="269"/>
      <c r="V2752" s="269"/>
      <c r="W2752" s="269"/>
      <c r="X2752" s="269"/>
      <c r="Y2752" s="269"/>
      <c r="Z2752" s="269"/>
      <c r="AA2752" s="269"/>
      <c r="AB2752" s="269"/>
      <c r="AC2752" s="269"/>
      <c r="AD2752" s="269"/>
      <c r="AE2752" s="269"/>
      <c r="AF2752" s="269"/>
      <c r="AG2752" s="269"/>
      <c r="AH2752" s="269"/>
      <c r="AI2752" s="269"/>
      <c r="AJ2752" s="269"/>
      <c r="AK2752" s="269"/>
      <c r="AL2752" s="269"/>
      <c r="AM2752" s="269"/>
      <c r="AN2752" s="269"/>
      <c r="AO2752" s="269"/>
      <c r="AP2752" s="269"/>
      <c r="AQ2752" s="269"/>
      <c r="AR2752" s="269"/>
    </row>
    <row r="2753">
      <c r="A2753" s="410"/>
      <c r="B2753" s="410"/>
      <c r="C2753" s="410"/>
      <c r="D2753" s="410"/>
      <c r="E2753" s="410"/>
      <c r="F2753" s="410"/>
      <c r="H2753" s="269"/>
      <c r="I2753" s="269"/>
      <c r="J2753" s="269"/>
      <c r="K2753" s="269"/>
      <c r="L2753" s="269"/>
      <c r="M2753" s="269"/>
      <c r="N2753" s="269"/>
      <c r="O2753" s="269"/>
      <c r="P2753" s="269"/>
      <c r="Q2753" s="269"/>
      <c r="R2753" s="269"/>
      <c r="S2753" s="269"/>
      <c r="T2753" s="269"/>
      <c r="U2753" s="269"/>
      <c r="V2753" s="269"/>
      <c r="W2753" s="269"/>
      <c r="X2753" s="269"/>
      <c r="Y2753" s="269"/>
      <c r="Z2753" s="269"/>
      <c r="AA2753" s="269"/>
      <c r="AB2753" s="269"/>
      <c r="AC2753" s="269"/>
      <c r="AD2753" s="269"/>
      <c r="AE2753" s="269"/>
      <c r="AF2753" s="269"/>
      <c r="AG2753" s="269"/>
      <c r="AH2753" s="269"/>
      <c r="AI2753" s="269"/>
      <c r="AJ2753" s="269"/>
      <c r="AK2753" s="269"/>
      <c r="AL2753" s="269"/>
      <c r="AM2753" s="269"/>
      <c r="AN2753" s="269"/>
      <c r="AO2753" s="269"/>
      <c r="AP2753" s="269"/>
      <c r="AQ2753" s="269"/>
      <c r="AR2753" s="269"/>
    </row>
    <row r="2754">
      <c r="A2754" s="410"/>
      <c r="B2754" s="410"/>
      <c r="C2754" s="410"/>
      <c r="D2754" s="410"/>
      <c r="E2754" s="410"/>
      <c r="F2754" s="410"/>
      <c r="H2754" s="269"/>
      <c r="I2754" s="269"/>
      <c r="J2754" s="269"/>
      <c r="K2754" s="269"/>
      <c r="L2754" s="269"/>
      <c r="M2754" s="269"/>
      <c r="N2754" s="269"/>
      <c r="O2754" s="269"/>
      <c r="P2754" s="269"/>
      <c r="Q2754" s="269"/>
      <c r="R2754" s="269"/>
      <c r="S2754" s="269"/>
      <c r="T2754" s="269"/>
      <c r="U2754" s="269"/>
      <c r="V2754" s="269"/>
      <c r="W2754" s="269"/>
      <c r="X2754" s="269"/>
      <c r="Y2754" s="269"/>
      <c r="Z2754" s="269"/>
      <c r="AA2754" s="269"/>
      <c r="AB2754" s="269"/>
      <c r="AC2754" s="269"/>
      <c r="AD2754" s="269"/>
      <c r="AE2754" s="269"/>
      <c r="AF2754" s="269"/>
      <c r="AG2754" s="269"/>
      <c r="AH2754" s="269"/>
      <c r="AI2754" s="269"/>
      <c r="AJ2754" s="269"/>
      <c r="AK2754" s="269"/>
      <c r="AL2754" s="269"/>
      <c r="AM2754" s="269"/>
      <c r="AN2754" s="269"/>
      <c r="AO2754" s="269"/>
      <c r="AP2754" s="269"/>
      <c r="AQ2754" s="269"/>
      <c r="AR2754" s="269"/>
    </row>
    <row r="2755">
      <c r="A2755" s="410"/>
      <c r="B2755" s="410"/>
      <c r="C2755" s="410"/>
      <c r="D2755" s="410"/>
      <c r="E2755" s="410"/>
      <c r="F2755" s="410"/>
      <c r="H2755" s="269"/>
      <c r="I2755" s="269"/>
      <c r="J2755" s="269"/>
      <c r="K2755" s="269"/>
      <c r="L2755" s="269"/>
      <c r="M2755" s="269"/>
      <c r="N2755" s="269"/>
      <c r="O2755" s="269"/>
      <c r="P2755" s="269"/>
      <c r="Q2755" s="269"/>
      <c r="R2755" s="269"/>
      <c r="S2755" s="269"/>
      <c r="T2755" s="269"/>
      <c r="U2755" s="269"/>
      <c r="V2755" s="269"/>
      <c r="W2755" s="269"/>
      <c r="X2755" s="269"/>
      <c r="Y2755" s="269"/>
      <c r="Z2755" s="269"/>
      <c r="AA2755" s="269"/>
      <c r="AB2755" s="269"/>
      <c r="AC2755" s="269"/>
      <c r="AD2755" s="269"/>
      <c r="AE2755" s="269"/>
      <c r="AF2755" s="269"/>
      <c r="AG2755" s="269"/>
      <c r="AH2755" s="269"/>
      <c r="AI2755" s="269"/>
      <c r="AJ2755" s="269"/>
      <c r="AK2755" s="269"/>
      <c r="AL2755" s="269"/>
      <c r="AM2755" s="269"/>
      <c r="AN2755" s="269"/>
      <c r="AO2755" s="269"/>
      <c r="AP2755" s="269"/>
      <c r="AQ2755" s="269"/>
      <c r="AR2755" s="269"/>
    </row>
    <row r="2756">
      <c r="A2756" s="410"/>
      <c r="B2756" s="410"/>
      <c r="C2756" s="410"/>
      <c r="D2756" s="410"/>
      <c r="E2756" s="410"/>
      <c r="F2756" s="410"/>
      <c r="H2756" s="269"/>
      <c r="I2756" s="269"/>
      <c r="J2756" s="269"/>
      <c r="K2756" s="269"/>
      <c r="L2756" s="269"/>
      <c r="M2756" s="269"/>
      <c r="N2756" s="269"/>
      <c r="O2756" s="269"/>
      <c r="P2756" s="269"/>
      <c r="Q2756" s="269"/>
      <c r="R2756" s="269"/>
      <c r="S2756" s="269"/>
      <c r="T2756" s="269"/>
      <c r="U2756" s="269"/>
      <c r="V2756" s="269"/>
      <c r="W2756" s="269"/>
      <c r="X2756" s="269"/>
      <c r="Y2756" s="269"/>
      <c r="Z2756" s="269"/>
      <c r="AA2756" s="269"/>
      <c r="AB2756" s="269"/>
      <c r="AC2756" s="269"/>
      <c r="AD2756" s="269"/>
      <c r="AE2756" s="269"/>
      <c r="AF2756" s="269"/>
      <c r="AG2756" s="269"/>
      <c r="AH2756" s="269"/>
      <c r="AI2756" s="269"/>
      <c r="AJ2756" s="269"/>
      <c r="AK2756" s="269"/>
      <c r="AL2756" s="269"/>
      <c r="AM2756" s="269"/>
      <c r="AN2756" s="269"/>
      <c r="AO2756" s="269"/>
      <c r="AP2756" s="269"/>
      <c r="AQ2756" s="269"/>
      <c r="AR2756" s="269"/>
    </row>
    <row r="2757">
      <c r="A2757" s="410"/>
      <c r="B2757" s="410"/>
      <c r="C2757" s="410"/>
      <c r="D2757" s="410"/>
      <c r="E2757" s="410"/>
      <c r="F2757" s="410"/>
      <c r="H2757" s="269"/>
      <c r="I2757" s="269"/>
      <c r="J2757" s="269"/>
      <c r="K2757" s="269"/>
      <c r="L2757" s="269"/>
      <c r="M2757" s="269"/>
      <c r="N2757" s="269"/>
      <c r="O2757" s="269"/>
      <c r="P2757" s="269"/>
      <c r="Q2757" s="269"/>
      <c r="R2757" s="269"/>
      <c r="S2757" s="269"/>
      <c r="T2757" s="269"/>
      <c r="U2757" s="269"/>
      <c r="V2757" s="269"/>
      <c r="W2757" s="269"/>
      <c r="X2757" s="269"/>
      <c r="Y2757" s="269"/>
      <c r="Z2757" s="269"/>
      <c r="AA2757" s="269"/>
      <c r="AB2757" s="269"/>
      <c r="AC2757" s="269"/>
      <c r="AD2757" s="269"/>
      <c r="AE2757" s="269"/>
      <c r="AF2757" s="269"/>
      <c r="AG2757" s="269"/>
      <c r="AH2757" s="269"/>
      <c r="AI2757" s="269"/>
      <c r="AJ2757" s="269"/>
      <c r="AK2757" s="269"/>
      <c r="AL2757" s="269"/>
      <c r="AM2757" s="269"/>
      <c r="AN2757" s="269"/>
      <c r="AO2757" s="269"/>
      <c r="AP2757" s="269"/>
      <c r="AQ2757" s="269"/>
      <c r="AR2757" s="269"/>
    </row>
    <row r="2758">
      <c r="A2758" s="410"/>
      <c r="B2758" s="410"/>
      <c r="C2758" s="410"/>
      <c r="D2758" s="410"/>
      <c r="E2758" s="410"/>
      <c r="F2758" s="410"/>
      <c r="H2758" s="269"/>
      <c r="I2758" s="269"/>
      <c r="J2758" s="269"/>
      <c r="K2758" s="269"/>
      <c r="L2758" s="269"/>
      <c r="M2758" s="269"/>
      <c r="N2758" s="269"/>
      <c r="O2758" s="269"/>
      <c r="P2758" s="269"/>
      <c r="Q2758" s="269"/>
      <c r="R2758" s="269"/>
      <c r="S2758" s="269"/>
      <c r="T2758" s="269"/>
      <c r="U2758" s="269"/>
      <c r="V2758" s="269"/>
      <c r="W2758" s="269"/>
      <c r="X2758" s="269"/>
      <c r="Y2758" s="269"/>
      <c r="Z2758" s="269"/>
      <c r="AA2758" s="269"/>
      <c r="AB2758" s="269"/>
      <c r="AC2758" s="269"/>
      <c r="AD2758" s="269"/>
      <c r="AE2758" s="269"/>
      <c r="AF2758" s="269"/>
      <c r="AG2758" s="269"/>
      <c r="AH2758" s="269"/>
      <c r="AI2758" s="269"/>
      <c r="AJ2758" s="269"/>
      <c r="AK2758" s="269"/>
      <c r="AL2758" s="269"/>
      <c r="AM2758" s="269"/>
      <c r="AN2758" s="269"/>
      <c r="AO2758" s="269"/>
      <c r="AP2758" s="269"/>
      <c r="AQ2758" s="269"/>
      <c r="AR2758" s="269"/>
    </row>
    <row r="2759">
      <c r="A2759" s="410"/>
      <c r="B2759" s="410"/>
      <c r="C2759" s="410"/>
      <c r="D2759" s="410"/>
      <c r="E2759" s="410"/>
      <c r="F2759" s="410"/>
      <c r="H2759" s="269"/>
      <c r="I2759" s="269"/>
      <c r="J2759" s="269"/>
      <c r="K2759" s="269"/>
      <c r="L2759" s="269"/>
      <c r="M2759" s="269"/>
      <c r="N2759" s="269"/>
      <c r="O2759" s="269"/>
      <c r="P2759" s="269"/>
      <c r="Q2759" s="269"/>
      <c r="R2759" s="269"/>
      <c r="S2759" s="269"/>
      <c r="T2759" s="269"/>
      <c r="U2759" s="269"/>
      <c r="V2759" s="269"/>
      <c r="W2759" s="269"/>
      <c r="X2759" s="269"/>
      <c r="Y2759" s="269"/>
      <c r="Z2759" s="269"/>
      <c r="AA2759" s="269"/>
      <c r="AB2759" s="269"/>
      <c r="AC2759" s="269"/>
      <c r="AD2759" s="269"/>
      <c r="AE2759" s="269"/>
      <c r="AF2759" s="269"/>
      <c r="AG2759" s="269"/>
      <c r="AH2759" s="269"/>
      <c r="AI2759" s="269"/>
      <c r="AJ2759" s="269"/>
      <c r="AK2759" s="269"/>
      <c r="AL2759" s="269"/>
      <c r="AM2759" s="269"/>
      <c r="AN2759" s="269"/>
      <c r="AO2759" s="269"/>
      <c r="AP2759" s="269"/>
      <c r="AQ2759" s="269"/>
      <c r="AR2759" s="269"/>
    </row>
    <row r="2760">
      <c r="A2760" s="410"/>
      <c r="B2760" s="410"/>
      <c r="C2760" s="410"/>
      <c r="D2760" s="410"/>
      <c r="E2760" s="410"/>
      <c r="F2760" s="410"/>
      <c r="H2760" s="269"/>
      <c r="I2760" s="269"/>
      <c r="J2760" s="269"/>
      <c r="K2760" s="269"/>
      <c r="L2760" s="269"/>
      <c r="M2760" s="269"/>
      <c r="N2760" s="269"/>
      <c r="O2760" s="269"/>
      <c r="P2760" s="269"/>
      <c r="Q2760" s="269"/>
      <c r="R2760" s="269"/>
      <c r="S2760" s="269"/>
      <c r="T2760" s="269"/>
      <c r="U2760" s="269"/>
      <c r="V2760" s="269"/>
      <c r="W2760" s="269"/>
      <c r="X2760" s="269"/>
      <c r="Y2760" s="269"/>
      <c r="Z2760" s="269"/>
      <c r="AA2760" s="269"/>
      <c r="AB2760" s="269"/>
      <c r="AC2760" s="269"/>
      <c r="AD2760" s="269"/>
      <c r="AE2760" s="269"/>
      <c r="AF2760" s="269"/>
      <c r="AG2760" s="269"/>
      <c r="AH2760" s="269"/>
      <c r="AI2760" s="269"/>
      <c r="AJ2760" s="269"/>
      <c r="AK2760" s="269"/>
      <c r="AL2760" s="269"/>
      <c r="AM2760" s="269"/>
      <c r="AN2760" s="269"/>
      <c r="AO2760" s="269"/>
      <c r="AP2760" s="269"/>
      <c r="AQ2760" s="269"/>
      <c r="AR2760" s="269"/>
    </row>
    <row r="2761">
      <c r="A2761" s="410"/>
      <c r="B2761" s="410"/>
      <c r="C2761" s="410"/>
      <c r="D2761" s="410"/>
      <c r="E2761" s="410"/>
      <c r="F2761" s="410"/>
      <c r="H2761" s="269"/>
      <c r="I2761" s="269"/>
      <c r="J2761" s="269"/>
      <c r="K2761" s="269"/>
      <c r="L2761" s="269"/>
      <c r="M2761" s="269"/>
      <c r="N2761" s="269"/>
      <c r="O2761" s="269"/>
      <c r="P2761" s="269"/>
      <c r="Q2761" s="269"/>
      <c r="R2761" s="269"/>
      <c r="S2761" s="269"/>
      <c r="T2761" s="269"/>
      <c r="U2761" s="269"/>
      <c r="V2761" s="269"/>
      <c r="W2761" s="269"/>
      <c r="X2761" s="269"/>
      <c r="Y2761" s="269"/>
      <c r="Z2761" s="269"/>
      <c r="AA2761" s="269"/>
      <c r="AB2761" s="269"/>
      <c r="AC2761" s="269"/>
      <c r="AD2761" s="269"/>
      <c r="AE2761" s="269"/>
      <c r="AF2761" s="269"/>
      <c r="AG2761" s="269"/>
      <c r="AH2761" s="269"/>
      <c r="AI2761" s="269"/>
      <c r="AJ2761" s="269"/>
      <c r="AK2761" s="269"/>
      <c r="AL2761" s="269"/>
      <c r="AM2761" s="269"/>
      <c r="AN2761" s="269"/>
      <c r="AO2761" s="269"/>
      <c r="AP2761" s="269"/>
      <c r="AQ2761" s="269"/>
      <c r="AR2761" s="269"/>
    </row>
    <row r="2762">
      <c r="A2762" s="410"/>
      <c r="B2762" s="410"/>
      <c r="C2762" s="410"/>
      <c r="D2762" s="410"/>
      <c r="E2762" s="410"/>
      <c r="F2762" s="410"/>
      <c r="H2762" s="269"/>
      <c r="I2762" s="269"/>
      <c r="J2762" s="269"/>
      <c r="K2762" s="269"/>
      <c r="L2762" s="269"/>
      <c r="M2762" s="269"/>
      <c r="N2762" s="269"/>
      <c r="O2762" s="269"/>
      <c r="P2762" s="269"/>
      <c r="Q2762" s="269"/>
      <c r="R2762" s="269"/>
      <c r="S2762" s="269"/>
      <c r="T2762" s="269"/>
      <c r="U2762" s="269"/>
      <c r="V2762" s="269"/>
      <c r="W2762" s="269"/>
      <c r="X2762" s="269"/>
      <c r="Y2762" s="269"/>
      <c r="Z2762" s="269"/>
      <c r="AA2762" s="269"/>
      <c r="AB2762" s="269"/>
      <c r="AC2762" s="269"/>
      <c r="AD2762" s="269"/>
      <c r="AE2762" s="269"/>
      <c r="AF2762" s="269"/>
      <c r="AG2762" s="269"/>
      <c r="AH2762" s="269"/>
      <c r="AI2762" s="269"/>
      <c r="AJ2762" s="269"/>
      <c r="AK2762" s="269"/>
      <c r="AL2762" s="269"/>
      <c r="AM2762" s="269"/>
      <c r="AN2762" s="269"/>
      <c r="AO2762" s="269"/>
      <c r="AP2762" s="269"/>
      <c r="AQ2762" s="269"/>
      <c r="AR2762" s="269"/>
    </row>
    <row r="2763">
      <c r="A2763" s="410"/>
      <c r="B2763" s="410"/>
      <c r="C2763" s="410"/>
      <c r="D2763" s="410"/>
      <c r="E2763" s="410"/>
      <c r="F2763" s="410"/>
      <c r="H2763" s="269"/>
      <c r="I2763" s="269"/>
      <c r="J2763" s="269"/>
      <c r="K2763" s="269"/>
      <c r="L2763" s="269"/>
      <c r="M2763" s="269"/>
      <c r="N2763" s="269"/>
      <c r="O2763" s="269"/>
      <c r="P2763" s="269"/>
      <c r="Q2763" s="269"/>
      <c r="R2763" s="269"/>
      <c r="S2763" s="269"/>
      <c r="T2763" s="269"/>
      <c r="U2763" s="269"/>
      <c r="V2763" s="269"/>
      <c r="W2763" s="269"/>
      <c r="X2763" s="269"/>
      <c r="Y2763" s="269"/>
      <c r="Z2763" s="269"/>
      <c r="AA2763" s="269"/>
      <c r="AB2763" s="269"/>
      <c r="AC2763" s="269"/>
      <c r="AD2763" s="269"/>
      <c r="AE2763" s="269"/>
      <c r="AF2763" s="269"/>
      <c r="AG2763" s="269"/>
      <c r="AH2763" s="269"/>
      <c r="AI2763" s="269"/>
      <c r="AJ2763" s="269"/>
      <c r="AK2763" s="269"/>
      <c r="AL2763" s="269"/>
      <c r="AM2763" s="269"/>
      <c r="AN2763" s="269"/>
      <c r="AO2763" s="269"/>
      <c r="AP2763" s="269"/>
      <c r="AQ2763" s="269"/>
      <c r="AR2763" s="269"/>
    </row>
    <row r="2764">
      <c r="A2764" s="410"/>
      <c r="B2764" s="410"/>
      <c r="C2764" s="410"/>
      <c r="D2764" s="410"/>
      <c r="E2764" s="410"/>
      <c r="F2764" s="410"/>
      <c r="H2764" s="269"/>
      <c r="I2764" s="269"/>
      <c r="J2764" s="269"/>
      <c r="K2764" s="269"/>
      <c r="L2764" s="269"/>
      <c r="M2764" s="269"/>
      <c r="N2764" s="269"/>
      <c r="O2764" s="269"/>
      <c r="P2764" s="269"/>
      <c r="Q2764" s="269"/>
      <c r="R2764" s="269"/>
      <c r="S2764" s="269"/>
      <c r="T2764" s="269"/>
      <c r="U2764" s="269"/>
      <c r="V2764" s="269"/>
      <c r="W2764" s="269"/>
      <c r="X2764" s="269"/>
      <c r="Y2764" s="269"/>
      <c r="Z2764" s="269"/>
      <c r="AA2764" s="269"/>
      <c r="AB2764" s="269"/>
      <c r="AC2764" s="269"/>
      <c r="AD2764" s="269"/>
      <c r="AE2764" s="269"/>
      <c r="AF2764" s="269"/>
      <c r="AG2764" s="269"/>
      <c r="AH2764" s="269"/>
      <c r="AI2764" s="269"/>
      <c r="AJ2764" s="269"/>
      <c r="AK2764" s="269"/>
      <c r="AL2764" s="269"/>
      <c r="AM2764" s="269"/>
      <c r="AN2764" s="269"/>
      <c r="AO2764" s="269"/>
      <c r="AP2764" s="269"/>
      <c r="AQ2764" s="269"/>
      <c r="AR2764" s="269"/>
    </row>
    <row r="2765">
      <c r="A2765" s="410"/>
      <c r="B2765" s="410"/>
      <c r="C2765" s="410"/>
      <c r="D2765" s="410"/>
      <c r="E2765" s="410"/>
      <c r="F2765" s="410"/>
      <c r="H2765" s="269"/>
      <c r="I2765" s="269"/>
      <c r="J2765" s="269"/>
      <c r="K2765" s="269"/>
      <c r="L2765" s="269"/>
      <c r="M2765" s="269"/>
      <c r="N2765" s="269"/>
      <c r="O2765" s="269"/>
      <c r="P2765" s="269"/>
      <c r="Q2765" s="269"/>
      <c r="R2765" s="269"/>
      <c r="S2765" s="269"/>
      <c r="T2765" s="269"/>
      <c r="U2765" s="269"/>
      <c r="V2765" s="269"/>
      <c r="W2765" s="269"/>
      <c r="X2765" s="269"/>
      <c r="Y2765" s="269"/>
      <c r="Z2765" s="269"/>
      <c r="AA2765" s="269"/>
      <c r="AB2765" s="269"/>
      <c r="AC2765" s="269"/>
      <c r="AD2765" s="269"/>
      <c r="AE2765" s="269"/>
      <c r="AF2765" s="269"/>
      <c r="AG2765" s="269"/>
      <c r="AH2765" s="269"/>
      <c r="AI2765" s="269"/>
      <c r="AJ2765" s="269"/>
      <c r="AK2765" s="269"/>
      <c r="AL2765" s="269"/>
      <c r="AM2765" s="269"/>
      <c r="AN2765" s="269"/>
      <c r="AO2765" s="269"/>
      <c r="AP2765" s="269"/>
      <c r="AQ2765" s="269"/>
      <c r="AR2765" s="269"/>
    </row>
    <row r="2766">
      <c r="A2766" s="410"/>
      <c r="B2766" s="410"/>
      <c r="C2766" s="410"/>
      <c r="D2766" s="410"/>
      <c r="E2766" s="410"/>
      <c r="F2766" s="410"/>
      <c r="H2766" s="269"/>
      <c r="I2766" s="269"/>
      <c r="J2766" s="269"/>
      <c r="K2766" s="269"/>
      <c r="L2766" s="269"/>
      <c r="M2766" s="269"/>
      <c r="N2766" s="269"/>
      <c r="O2766" s="269"/>
      <c r="P2766" s="269"/>
      <c r="Q2766" s="269"/>
      <c r="R2766" s="269"/>
      <c r="S2766" s="269"/>
      <c r="T2766" s="269"/>
      <c r="U2766" s="269"/>
      <c r="V2766" s="269"/>
      <c r="W2766" s="269"/>
      <c r="X2766" s="269"/>
      <c r="Y2766" s="269"/>
      <c r="Z2766" s="269"/>
      <c r="AA2766" s="269"/>
      <c r="AB2766" s="269"/>
      <c r="AC2766" s="269"/>
      <c r="AD2766" s="269"/>
      <c r="AE2766" s="269"/>
      <c r="AF2766" s="269"/>
      <c r="AG2766" s="269"/>
      <c r="AH2766" s="269"/>
      <c r="AI2766" s="269"/>
      <c r="AJ2766" s="269"/>
      <c r="AK2766" s="269"/>
      <c r="AL2766" s="269"/>
      <c r="AM2766" s="269"/>
      <c r="AN2766" s="269"/>
      <c r="AO2766" s="269"/>
      <c r="AP2766" s="269"/>
      <c r="AQ2766" s="269"/>
      <c r="AR2766" s="269"/>
    </row>
    <row r="2767">
      <c r="A2767" s="410"/>
      <c r="B2767" s="410"/>
      <c r="C2767" s="410"/>
      <c r="D2767" s="410"/>
      <c r="E2767" s="410"/>
      <c r="F2767" s="410"/>
      <c r="H2767" s="269"/>
      <c r="I2767" s="269"/>
      <c r="J2767" s="269"/>
      <c r="K2767" s="269"/>
      <c r="L2767" s="269"/>
      <c r="M2767" s="269"/>
      <c r="N2767" s="269"/>
      <c r="O2767" s="269"/>
      <c r="P2767" s="269"/>
      <c r="Q2767" s="269"/>
      <c r="R2767" s="269"/>
      <c r="S2767" s="269"/>
      <c r="T2767" s="269"/>
      <c r="U2767" s="269"/>
      <c r="V2767" s="269"/>
      <c r="W2767" s="269"/>
      <c r="X2767" s="269"/>
      <c r="Y2767" s="269"/>
      <c r="Z2767" s="269"/>
      <c r="AA2767" s="269"/>
      <c r="AB2767" s="269"/>
      <c r="AC2767" s="269"/>
      <c r="AD2767" s="269"/>
      <c r="AE2767" s="269"/>
      <c r="AF2767" s="269"/>
      <c r="AG2767" s="269"/>
      <c r="AH2767" s="269"/>
      <c r="AI2767" s="269"/>
      <c r="AJ2767" s="269"/>
      <c r="AK2767" s="269"/>
      <c r="AL2767" s="269"/>
      <c r="AM2767" s="269"/>
      <c r="AN2767" s="269"/>
      <c r="AO2767" s="269"/>
      <c r="AP2767" s="269"/>
      <c r="AQ2767" s="269"/>
      <c r="AR2767" s="269"/>
    </row>
    <row r="2768">
      <c r="A2768" s="410"/>
      <c r="B2768" s="410"/>
      <c r="C2768" s="410"/>
      <c r="D2768" s="410"/>
      <c r="E2768" s="410"/>
      <c r="F2768" s="410"/>
      <c r="H2768" s="269"/>
      <c r="I2768" s="269"/>
      <c r="J2768" s="269"/>
      <c r="K2768" s="269"/>
      <c r="L2768" s="269"/>
      <c r="M2768" s="269"/>
      <c r="N2768" s="269"/>
      <c r="O2768" s="269"/>
      <c r="P2768" s="269"/>
      <c r="Q2768" s="269"/>
      <c r="R2768" s="269"/>
      <c r="S2768" s="269"/>
      <c r="T2768" s="269"/>
      <c r="U2768" s="269"/>
      <c r="V2768" s="269"/>
      <c r="W2768" s="269"/>
      <c r="X2768" s="269"/>
      <c r="Y2768" s="269"/>
      <c r="Z2768" s="269"/>
      <c r="AA2768" s="269"/>
      <c r="AB2768" s="269"/>
      <c r="AC2768" s="269"/>
      <c r="AD2768" s="269"/>
      <c r="AE2768" s="269"/>
      <c r="AF2768" s="269"/>
      <c r="AG2768" s="269"/>
      <c r="AH2768" s="269"/>
      <c r="AI2768" s="269"/>
      <c r="AJ2768" s="269"/>
      <c r="AK2768" s="269"/>
      <c r="AL2768" s="269"/>
      <c r="AM2768" s="269"/>
      <c r="AN2768" s="269"/>
      <c r="AO2768" s="269"/>
      <c r="AP2768" s="269"/>
      <c r="AQ2768" s="269"/>
      <c r="AR2768" s="269"/>
    </row>
    <row r="2769">
      <c r="A2769" s="410"/>
      <c r="B2769" s="410"/>
      <c r="C2769" s="410"/>
      <c r="D2769" s="410"/>
      <c r="E2769" s="410"/>
      <c r="F2769" s="410"/>
      <c r="H2769" s="269"/>
      <c r="I2769" s="269"/>
      <c r="J2769" s="269"/>
      <c r="K2769" s="269"/>
      <c r="L2769" s="269"/>
      <c r="M2769" s="269"/>
      <c r="N2769" s="269"/>
      <c r="O2769" s="269"/>
      <c r="P2769" s="269"/>
      <c r="Q2769" s="269"/>
      <c r="R2769" s="269"/>
      <c r="S2769" s="269"/>
      <c r="T2769" s="269"/>
      <c r="U2769" s="269"/>
      <c r="V2769" s="269"/>
      <c r="W2769" s="269"/>
      <c r="X2769" s="269"/>
      <c r="Y2769" s="269"/>
      <c r="Z2769" s="269"/>
      <c r="AA2769" s="269"/>
      <c r="AB2769" s="269"/>
      <c r="AC2769" s="269"/>
      <c r="AD2769" s="269"/>
      <c r="AE2769" s="269"/>
      <c r="AF2769" s="269"/>
      <c r="AG2769" s="269"/>
      <c r="AH2769" s="269"/>
      <c r="AI2769" s="269"/>
      <c r="AJ2769" s="269"/>
      <c r="AK2769" s="269"/>
      <c r="AL2769" s="269"/>
      <c r="AM2769" s="269"/>
      <c r="AN2769" s="269"/>
      <c r="AO2769" s="269"/>
      <c r="AP2769" s="269"/>
      <c r="AQ2769" s="269"/>
      <c r="AR2769" s="269"/>
    </row>
    <row r="2770">
      <c r="A2770" s="410"/>
      <c r="B2770" s="410"/>
      <c r="C2770" s="410"/>
      <c r="D2770" s="410"/>
      <c r="E2770" s="410"/>
      <c r="F2770" s="410"/>
      <c r="H2770" s="269"/>
      <c r="I2770" s="269"/>
      <c r="J2770" s="269"/>
      <c r="K2770" s="269"/>
      <c r="L2770" s="269"/>
      <c r="M2770" s="269"/>
      <c r="N2770" s="269"/>
      <c r="O2770" s="269"/>
      <c r="P2770" s="269"/>
      <c r="Q2770" s="269"/>
      <c r="R2770" s="269"/>
      <c r="S2770" s="269"/>
      <c r="T2770" s="269"/>
      <c r="U2770" s="269"/>
      <c r="V2770" s="269"/>
      <c r="W2770" s="269"/>
      <c r="X2770" s="269"/>
      <c r="Y2770" s="269"/>
      <c r="Z2770" s="269"/>
      <c r="AA2770" s="269"/>
      <c r="AB2770" s="269"/>
      <c r="AC2770" s="269"/>
      <c r="AD2770" s="269"/>
      <c r="AE2770" s="269"/>
      <c r="AF2770" s="269"/>
      <c r="AG2770" s="269"/>
      <c r="AH2770" s="269"/>
      <c r="AI2770" s="269"/>
      <c r="AJ2770" s="269"/>
      <c r="AK2770" s="269"/>
      <c r="AL2770" s="269"/>
      <c r="AM2770" s="269"/>
      <c r="AN2770" s="269"/>
      <c r="AO2770" s="269"/>
      <c r="AP2770" s="269"/>
      <c r="AQ2770" s="269"/>
      <c r="AR2770" s="269"/>
    </row>
    <row r="2771">
      <c r="A2771" s="410"/>
      <c r="B2771" s="410"/>
      <c r="C2771" s="410"/>
      <c r="D2771" s="410"/>
      <c r="E2771" s="410"/>
      <c r="F2771" s="410"/>
      <c r="H2771" s="269"/>
      <c r="I2771" s="269"/>
      <c r="J2771" s="269"/>
      <c r="K2771" s="269"/>
      <c r="L2771" s="269"/>
      <c r="M2771" s="269"/>
      <c r="N2771" s="269"/>
      <c r="O2771" s="269"/>
      <c r="P2771" s="269"/>
      <c r="Q2771" s="269"/>
      <c r="R2771" s="269"/>
      <c r="S2771" s="269"/>
      <c r="T2771" s="269"/>
      <c r="U2771" s="269"/>
      <c r="V2771" s="269"/>
      <c r="W2771" s="269"/>
      <c r="X2771" s="269"/>
      <c r="Y2771" s="269"/>
      <c r="Z2771" s="269"/>
      <c r="AA2771" s="269"/>
      <c r="AB2771" s="269"/>
      <c r="AC2771" s="269"/>
      <c r="AD2771" s="269"/>
      <c r="AE2771" s="269"/>
      <c r="AF2771" s="269"/>
      <c r="AG2771" s="269"/>
      <c r="AH2771" s="269"/>
      <c r="AI2771" s="269"/>
      <c r="AJ2771" s="269"/>
      <c r="AK2771" s="269"/>
      <c r="AL2771" s="269"/>
      <c r="AM2771" s="269"/>
      <c r="AN2771" s="269"/>
      <c r="AO2771" s="269"/>
      <c r="AP2771" s="269"/>
      <c r="AQ2771" s="269"/>
      <c r="AR2771" s="269"/>
    </row>
    <row r="2772">
      <c r="A2772" s="410"/>
      <c r="B2772" s="410"/>
      <c r="C2772" s="410"/>
      <c r="D2772" s="410"/>
      <c r="E2772" s="410"/>
      <c r="F2772" s="410"/>
      <c r="H2772" s="269"/>
      <c r="I2772" s="269"/>
      <c r="J2772" s="269"/>
      <c r="K2772" s="269"/>
      <c r="L2772" s="269"/>
      <c r="M2772" s="269"/>
      <c r="N2772" s="269"/>
      <c r="O2772" s="269"/>
      <c r="P2772" s="269"/>
      <c r="Q2772" s="269"/>
      <c r="R2772" s="269"/>
      <c r="S2772" s="269"/>
      <c r="T2772" s="269"/>
      <c r="U2772" s="269"/>
      <c r="V2772" s="269"/>
      <c r="W2772" s="269"/>
      <c r="X2772" s="269"/>
      <c r="Y2772" s="269"/>
      <c r="Z2772" s="269"/>
      <c r="AA2772" s="269"/>
      <c r="AB2772" s="269"/>
      <c r="AC2772" s="269"/>
      <c r="AD2772" s="269"/>
      <c r="AE2772" s="269"/>
      <c r="AF2772" s="269"/>
      <c r="AG2772" s="269"/>
      <c r="AH2772" s="269"/>
      <c r="AI2772" s="269"/>
      <c r="AJ2772" s="269"/>
      <c r="AK2772" s="269"/>
      <c r="AL2772" s="269"/>
      <c r="AM2772" s="269"/>
      <c r="AN2772" s="269"/>
      <c r="AO2772" s="269"/>
      <c r="AP2772" s="269"/>
      <c r="AQ2772" s="269"/>
      <c r="AR2772" s="269"/>
    </row>
    <row r="2773">
      <c r="A2773" s="410"/>
      <c r="B2773" s="410"/>
      <c r="C2773" s="410"/>
      <c r="D2773" s="410"/>
      <c r="E2773" s="410"/>
      <c r="F2773" s="410"/>
      <c r="H2773" s="269"/>
      <c r="I2773" s="269"/>
      <c r="J2773" s="269"/>
      <c r="K2773" s="269"/>
      <c r="L2773" s="269"/>
      <c r="M2773" s="269"/>
      <c r="N2773" s="269"/>
      <c r="O2773" s="269"/>
      <c r="P2773" s="269"/>
      <c r="Q2773" s="269"/>
      <c r="R2773" s="269"/>
      <c r="S2773" s="269"/>
      <c r="T2773" s="269"/>
      <c r="U2773" s="269"/>
      <c r="V2773" s="269"/>
      <c r="W2773" s="269"/>
      <c r="X2773" s="269"/>
      <c r="Y2773" s="269"/>
      <c r="Z2773" s="269"/>
      <c r="AA2773" s="269"/>
      <c r="AB2773" s="269"/>
      <c r="AC2773" s="269"/>
      <c r="AD2773" s="269"/>
      <c r="AE2773" s="269"/>
      <c r="AF2773" s="269"/>
      <c r="AG2773" s="269"/>
      <c r="AH2773" s="269"/>
      <c r="AI2773" s="269"/>
      <c r="AJ2773" s="269"/>
      <c r="AK2773" s="269"/>
      <c r="AL2773" s="269"/>
      <c r="AM2773" s="269"/>
      <c r="AN2773" s="269"/>
      <c r="AO2773" s="269"/>
      <c r="AP2773" s="269"/>
      <c r="AQ2773" s="269"/>
      <c r="AR2773" s="269"/>
    </row>
    <row r="2774">
      <c r="A2774" s="410"/>
      <c r="B2774" s="410"/>
      <c r="C2774" s="410"/>
      <c r="D2774" s="410"/>
      <c r="E2774" s="410"/>
      <c r="F2774" s="410"/>
      <c r="H2774" s="269"/>
      <c r="I2774" s="269"/>
      <c r="J2774" s="269"/>
      <c r="K2774" s="269"/>
      <c r="L2774" s="269"/>
      <c r="M2774" s="269"/>
      <c r="N2774" s="269"/>
      <c r="O2774" s="269"/>
      <c r="P2774" s="269"/>
      <c r="Q2774" s="269"/>
      <c r="R2774" s="269"/>
      <c r="S2774" s="269"/>
      <c r="T2774" s="269"/>
      <c r="U2774" s="269"/>
      <c r="V2774" s="269"/>
      <c r="W2774" s="269"/>
      <c r="X2774" s="269"/>
      <c r="Y2774" s="269"/>
      <c r="Z2774" s="269"/>
      <c r="AA2774" s="269"/>
      <c r="AB2774" s="269"/>
      <c r="AC2774" s="269"/>
      <c r="AD2774" s="269"/>
      <c r="AE2774" s="269"/>
      <c r="AF2774" s="269"/>
      <c r="AG2774" s="269"/>
      <c r="AH2774" s="269"/>
      <c r="AI2774" s="269"/>
      <c r="AJ2774" s="269"/>
      <c r="AK2774" s="269"/>
      <c r="AL2774" s="269"/>
      <c r="AM2774" s="269"/>
      <c r="AN2774" s="269"/>
      <c r="AO2774" s="269"/>
      <c r="AP2774" s="269"/>
      <c r="AQ2774" s="269"/>
      <c r="AR2774" s="269"/>
    </row>
    <row r="2775">
      <c r="A2775" s="410"/>
      <c r="B2775" s="410"/>
      <c r="C2775" s="410"/>
      <c r="D2775" s="410"/>
      <c r="E2775" s="410"/>
      <c r="F2775" s="410"/>
      <c r="H2775" s="269"/>
      <c r="I2775" s="269"/>
      <c r="J2775" s="269"/>
      <c r="K2775" s="269"/>
      <c r="L2775" s="269"/>
      <c r="M2775" s="269"/>
      <c r="N2775" s="269"/>
      <c r="O2775" s="269"/>
      <c r="P2775" s="269"/>
      <c r="Q2775" s="269"/>
      <c r="R2775" s="269"/>
      <c r="S2775" s="269"/>
      <c r="T2775" s="269"/>
      <c r="U2775" s="269"/>
      <c r="V2775" s="269"/>
      <c r="W2775" s="269"/>
      <c r="X2775" s="269"/>
      <c r="Y2775" s="269"/>
      <c r="Z2775" s="269"/>
      <c r="AA2775" s="269"/>
      <c r="AB2775" s="269"/>
      <c r="AC2775" s="269"/>
      <c r="AD2775" s="269"/>
      <c r="AE2775" s="269"/>
      <c r="AF2775" s="269"/>
      <c r="AG2775" s="269"/>
      <c r="AH2775" s="269"/>
      <c r="AI2775" s="269"/>
      <c r="AJ2775" s="269"/>
      <c r="AK2775" s="269"/>
      <c r="AL2775" s="269"/>
      <c r="AM2775" s="269"/>
      <c r="AN2775" s="269"/>
      <c r="AO2775" s="269"/>
      <c r="AP2775" s="269"/>
      <c r="AQ2775" s="269"/>
      <c r="AR2775" s="269"/>
    </row>
    <row r="2776">
      <c r="A2776" s="410"/>
      <c r="B2776" s="410"/>
      <c r="C2776" s="410"/>
      <c r="D2776" s="410"/>
      <c r="E2776" s="410"/>
      <c r="F2776" s="410"/>
      <c r="H2776" s="269"/>
      <c r="I2776" s="269"/>
      <c r="J2776" s="269"/>
      <c r="K2776" s="269"/>
      <c r="L2776" s="269"/>
      <c r="M2776" s="269"/>
      <c r="N2776" s="269"/>
      <c r="O2776" s="269"/>
      <c r="P2776" s="269"/>
      <c r="Q2776" s="269"/>
      <c r="R2776" s="269"/>
      <c r="S2776" s="269"/>
      <c r="T2776" s="269"/>
      <c r="U2776" s="269"/>
      <c r="V2776" s="269"/>
      <c r="W2776" s="269"/>
      <c r="X2776" s="269"/>
      <c r="Y2776" s="269"/>
      <c r="Z2776" s="269"/>
      <c r="AA2776" s="269"/>
      <c r="AB2776" s="269"/>
      <c r="AC2776" s="269"/>
      <c r="AD2776" s="269"/>
      <c r="AE2776" s="269"/>
      <c r="AF2776" s="269"/>
      <c r="AG2776" s="269"/>
      <c r="AH2776" s="269"/>
      <c r="AI2776" s="269"/>
      <c r="AJ2776" s="269"/>
      <c r="AK2776" s="269"/>
      <c r="AL2776" s="269"/>
      <c r="AM2776" s="269"/>
      <c r="AN2776" s="269"/>
      <c r="AO2776" s="269"/>
      <c r="AP2776" s="269"/>
      <c r="AQ2776" s="269"/>
      <c r="AR2776" s="269"/>
    </row>
    <row r="2777">
      <c r="A2777" s="410"/>
      <c r="B2777" s="410"/>
      <c r="C2777" s="410"/>
      <c r="D2777" s="410"/>
      <c r="E2777" s="410"/>
      <c r="F2777" s="410"/>
      <c r="H2777" s="269"/>
      <c r="I2777" s="269"/>
      <c r="J2777" s="269"/>
      <c r="K2777" s="269"/>
      <c r="L2777" s="269"/>
      <c r="M2777" s="269"/>
      <c r="N2777" s="269"/>
      <c r="O2777" s="269"/>
      <c r="P2777" s="269"/>
      <c r="Q2777" s="269"/>
      <c r="R2777" s="269"/>
      <c r="S2777" s="269"/>
      <c r="T2777" s="269"/>
      <c r="U2777" s="269"/>
      <c r="V2777" s="269"/>
      <c r="W2777" s="269"/>
      <c r="X2777" s="269"/>
      <c r="Y2777" s="269"/>
      <c r="Z2777" s="269"/>
      <c r="AA2777" s="269"/>
      <c r="AB2777" s="269"/>
      <c r="AC2777" s="269"/>
      <c r="AD2777" s="269"/>
      <c r="AE2777" s="269"/>
      <c r="AF2777" s="269"/>
      <c r="AG2777" s="269"/>
      <c r="AH2777" s="269"/>
      <c r="AI2777" s="269"/>
      <c r="AJ2777" s="269"/>
      <c r="AK2777" s="269"/>
      <c r="AL2777" s="269"/>
      <c r="AM2777" s="269"/>
      <c r="AN2777" s="269"/>
      <c r="AO2777" s="269"/>
      <c r="AP2777" s="269"/>
      <c r="AQ2777" s="269"/>
      <c r="AR2777" s="269"/>
    </row>
    <row r="2778">
      <c r="A2778" s="410"/>
      <c r="B2778" s="410"/>
      <c r="C2778" s="410"/>
      <c r="D2778" s="410"/>
      <c r="E2778" s="410"/>
      <c r="F2778" s="410"/>
      <c r="H2778" s="269"/>
      <c r="I2778" s="269"/>
      <c r="J2778" s="269"/>
      <c r="K2778" s="269"/>
      <c r="L2778" s="269"/>
      <c r="M2778" s="269"/>
      <c r="N2778" s="269"/>
      <c r="O2778" s="269"/>
      <c r="P2778" s="269"/>
      <c r="Q2778" s="269"/>
      <c r="R2778" s="269"/>
      <c r="S2778" s="269"/>
      <c r="T2778" s="269"/>
      <c r="U2778" s="269"/>
      <c r="V2778" s="269"/>
      <c r="W2778" s="269"/>
      <c r="X2778" s="269"/>
      <c r="Y2778" s="269"/>
      <c r="Z2778" s="269"/>
      <c r="AA2778" s="269"/>
      <c r="AB2778" s="269"/>
      <c r="AC2778" s="269"/>
      <c r="AD2778" s="269"/>
      <c r="AE2778" s="269"/>
      <c r="AF2778" s="269"/>
      <c r="AG2778" s="269"/>
      <c r="AH2778" s="269"/>
      <c r="AI2778" s="269"/>
      <c r="AJ2778" s="269"/>
      <c r="AK2778" s="269"/>
      <c r="AL2778" s="269"/>
      <c r="AM2778" s="269"/>
      <c r="AN2778" s="269"/>
      <c r="AO2778" s="269"/>
      <c r="AP2778" s="269"/>
      <c r="AQ2778" s="269"/>
      <c r="AR2778" s="269"/>
    </row>
    <row r="2779">
      <c r="A2779" s="410"/>
      <c r="B2779" s="410"/>
      <c r="C2779" s="410"/>
      <c r="D2779" s="410"/>
      <c r="E2779" s="410"/>
      <c r="F2779" s="410"/>
      <c r="H2779" s="269"/>
      <c r="I2779" s="269"/>
      <c r="J2779" s="269"/>
      <c r="K2779" s="269"/>
      <c r="L2779" s="269"/>
      <c r="M2779" s="269"/>
      <c r="N2779" s="269"/>
      <c r="O2779" s="269"/>
      <c r="P2779" s="269"/>
      <c r="Q2779" s="269"/>
      <c r="R2779" s="269"/>
      <c r="S2779" s="269"/>
      <c r="T2779" s="269"/>
      <c r="U2779" s="269"/>
      <c r="V2779" s="269"/>
      <c r="W2779" s="269"/>
      <c r="X2779" s="269"/>
      <c r="Y2779" s="269"/>
      <c r="Z2779" s="269"/>
      <c r="AA2779" s="269"/>
      <c r="AB2779" s="269"/>
      <c r="AC2779" s="269"/>
      <c r="AD2779" s="269"/>
      <c r="AE2779" s="269"/>
      <c r="AF2779" s="269"/>
      <c r="AG2779" s="269"/>
      <c r="AH2779" s="269"/>
      <c r="AI2779" s="269"/>
      <c r="AJ2779" s="269"/>
      <c r="AK2779" s="269"/>
      <c r="AL2779" s="269"/>
      <c r="AM2779" s="269"/>
      <c r="AN2779" s="269"/>
      <c r="AO2779" s="269"/>
      <c r="AP2779" s="269"/>
      <c r="AQ2779" s="269"/>
      <c r="AR2779" s="269"/>
    </row>
    <row r="2780">
      <c r="A2780" s="410"/>
      <c r="B2780" s="410"/>
      <c r="C2780" s="410"/>
      <c r="D2780" s="410"/>
      <c r="E2780" s="410"/>
      <c r="F2780" s="410"/>
      <c r="H2780" s="269"/>
      <c r="I2780" s="269"/>
      <c r="J2780" s="269"/>
      <c r="K2780" s="269"/>
      <c r="L2780" s="269"/>
      <c r="M2780" s="269"/>
      <c r="N2780" s="269"/>
      <c r="O2780" s="269"/>
      <c r="P2780" s="269"/>
      <c r="Q2780" s="269"/>
      <c r="R2780" s="269"/>
      <c r="S2780" s="269"/>
      <c r="T2780" s="269"/>
      <c r="U2780" s="269"/>
      <c r="V2780" s="269"/>
      <c r="W2780" s="269"/>
      <c r="X2780" s="269"/>
      <c r="Y2780" s="269"/>
      <c r="Z2780" s="269"/>
      <c r="AA2780" s="269"/>
      <c r="AB2780" s="269"/>
      <c r="AC2780" s="269"/>
      <c r="AD2780" s="269"/>
      <c r="AE2780" s="269"/>
      <c r="AF2780" s="269"/>
      <c r="AG2780" s="269"/>
      <c r="AH2780" s="269"/>
      <c r="AI2780" s="269"/>
      <c r="AJ2780" s="269"/>
      <c r="AK2780" s="269"/>
      <c r="AL2780" s="269"/>
      <c r="AM2780" s="269"/>
      <c r="AN2780" s="269"/>
      <c r="AO2780" s="269"/>
      <c r="AP2780" s="269"/>
      <c r="AQ2780" s="269"/>
      <c r="AR2780" s="269"/>
    </row>
    <row r="2781">
      <c r="A2781" s="410"/>
      <c r="B2781" s="410"/>
      <c r="C2781" s="410"/>
      <c r="D2781" s="410"/>
      <c r="E2781" s="410"/>
      <c r="F2781" s="410"/>
      <c r="H2781" s="269"/>
      <c r="I2781" s="269"/>
      <c r="J2781" s="269"/>
      <c r="K2781" s="269"/>
      <c r="L2781" s="269"/>
      <c r="M2781" s="269"/>
      <c r="N2781" s="269"/>
      <c r="O2781" s="269"/>
      <c r="P2781" s="269"/>
      <c r="Q2781" s="269"/>
      <c r="R2781" s="269"/>
      <c r="S2781" s="269"/>
      <c r="T2781" s="269"/>
      <c r="U2781" s="269"/>
      <c r="V2781" s="269"/>
      <c r="W2781" s="269"/>
      <c r="X2781" s="269"/>
      <c r="Y2781" s="269"/>
      <c r="Z2781" s="269"/>
      <c r="AA2781" s="269"/>
      <c r="AB2781" s="269"/>
      <c r="AC2781" s="269"/>
      <c r="AD2781" s="269"/>
      <c r="AE2781" s="269"/>
      <c r="AF2781" s="269"/>
      <c r="AG2781" s="269"/>
      <c r="AH2781" s="269"/>
      <c r="AI2781" s="269"/>
      <c r="AJ2781" s="269"/>
      <c r="AK2781" s="269"/>
      <c r="AL2781" s="269"/>
      <c r="AM2781" s="269"/>
      <c r="AN2781" s="269"/>
      <c r="AO2781" s="269"/>
      <c r="AP2781" s="269"/>
      <c r="AQ2781" s="269"/>
      <c r="AR2781" s="269"/>
    </row>
    <row r="2782">
      <c r="A2782" s="410"/>
      <c r="B2782" s="410"/>
      <c r="C2782" s="410"/>
      <c r="D2782" s="410"/>
      <c r="E2782" s="410"/>
      <c r="F2782" s="410"/>
      <c r="H2782" s="269"/>
      <c r="I2782" s="269"/>
      <c r="J2782" s="269"/>
      <c r="K2782" s="269"/>
      <c r="L2782" s="269"/>
      <c r="M2782" s="269"/>
      <c r="N2782" s="269"/>
      <c r="O2782" s="269"/>
      <c r="P2782" s="269"/>
      <c r="Q2782" s="269"/>
      <c r="R2782" s="269"/>
      <c r="S2782" s="269"/>
      <c r="T2782" s="269"/>
      <c r="U2782" s="269"/>
      <c r="V2782" s="269"/>
      <c r="W2782" s="269"/>
      <c r="X2782" s="269"/>
      <c r="Y2782" s="269"/>
      <c r="Z2782" s="269"/>
      <c r="AA2782" s="269"/>
      <c r="AB2782" s="269"/>
      <c r="AC2782" s="269"/>
      <c r="AD2782" s="269"/>
      <c r="AE2782" s="269"/>
      <c r="AF2782" s="269"/>
      <c r="AG2782" s="269"/>
      <c r="AH2782" s="269"/>
      <c r="AI2782" s="269"/>
      <c r="AJ2782" s="269"/>
      <c r="AK2782" s="269"/>
      <c r="AL2782" s="269"/>
      <c r="AM2782" s="269"/>
      <c r="AN2782" s="269"/>
      <c r="AO2782" s="269"/>
      <c r="AP2782" s="269"/>
      <c r="AQ2782" s="269"/>
      <c r="AR2782" s="269"/>
    </row>
    <row r="2783">
      <c r="A2783" s="410"/>
      <c r="B2783" s="410"/>
      <c r="C2783" s="410"/>
      <c r="D2783" s="410"/>
      <c r="E2783" s="410"/>
      <c r="F2783" s="410"/>
      <c r="H2783" s="269"/>
      <c r="I2783" s="269"/>
      <c r="J2783" s="269"/>
      <c r="K2783" s="269"/>
      <c r="L2783" s="269"/>
      <c r="M2783" s="269"/>
      <c r="N2783" s="269"/>
      <c r="O2783" s="269"/>
      <c r="P2783" s="269"/>
      <c r="Q2783" s="269"/>
      <c r="R2783" s="269"/>
      <c r="S2783" s="269"/>
      <c r="T2783" s="269"/>
      <c r="U2783" s="269"/>
      <c r="V2783" s="269"/>
      <c r="W2783" s="269"/>
      <c r="X2783" s="269"/>
      <c r="Y2783" s="269"/>
      <c r="Z2783" s="269"/>
      <c r="AA2783" s="269"/>
      <c r="AB2783" s="269"/>
      <c r="AC2783" s="269"/>
      <c r="AD2783" s="269"/>
      <c r="AE2783" s="269"/>
      <c r="AF2783" s="269"/>
      <c r="AG2783" s="269"/>
      <c r="AH2783" s="269"/>
      <c r="AI2783" s="269"/>
      <c r="AJ2783" s="269"/>
      <c r="AK2783" s="269"/>
      <c r="AL2783" s="269"/>
      <c r="AM2783" s="269"/>
      <c r="AN2783" s="269"/>
      <c r="AO2783" s="269"/>
      <c r="AP2783" s="269"/>
      <c r="AQ2783" s="269"/>
      <c r="AR2783" s="269"/>
    </row>
    <row r="2784">
      <c r="A2784" s="410"/>
      <c r="B2784" s="410"/>
      <c r="C2784" s="410"/>
      <c r="D2784" s="410"/>
      <c r="E2784" s="410"/>
      <c r="F2784" s="410"/>
      <c r="H2784" s="269"/>
      <c r="I2784" s="269"/>
      <c r="J2784" s="269"/>
      <c r="K2784" s="269"/>
      <c r="L2784" s="269"/>
      <c r="M2784" s="269"/>
      <c r="N2784" s="269"/>
      <c r="O2784" s="269"/>
      <c r="P2784" s="269"/>
      <c r="Q2784" s="269"/>
      <c r="R2784" s="269"/>
      <c r="S2784" s="269"/>
      <c r="T2784" s="269"/>
      <c r="U2784" s="269"/>
      <c r="V2784" s="269"/>
      <c r="W2784" s="269"/>
      <c r="X2784" s="269"/>
      <c r="Y2784" s="269"/>
      <c r="Z2784" s="269"/>
      <c r="AA2784" s="269"/>
      <c r="AB2784" s="269"/>
      <c r="AC2784" s="269"/>
      <c r="AD2784" s="269"/>
      <c r="AE2784" s="269"/>
      <c r="AF2784" s="269"/>
      <c r="AG2784" s="269"/>
      <c r="AH2784" s="269"/>
      <c r="AI2784" s="269"/>
      <c r="AJ2784" s="269"/>
      <c r="AK2784" s="269"/>
      <c r="AL2784" s="269"/>
      <c r="AM2784" s="269"/>
      <c r="AN2784" s="269"/>
      <c r="AO2784" s="269"/>
      <c r="AP2784" s="269"/>
      <c r="AQ2784" s="269"/>
      <c r="AR2784" s="269"/>
    </row>
    <row r="2785">
      <c r="A2785" s="410"/>
      <c r="B2785" s="410"/>
      <c r="C2785" s="410"/>
      <c r="D2785" s="410"/>
      <c r="E2785" s="410"/>
      <c r="F2785" s="410"/>
      <c r="H2785" s="269"/>
      <c r="I2785" s="269"/>
      <c r="J2785" s="269"/>
      <c r="K2785" s="269"/>
      <c r="L2785" s="269"/>
      <c r="M2785" s="269"/>
      <c r="N2785" s="269"/>
      <c r="O2785" s="269"/>
      <c r="P2785" s="269"/>
      <c r="Q2785" s="269"/>
      <c r="R2785" s="269"/>
      <c r="S2785" s="269"/>
      <c r="T2785" s="269"/>
      <c r="U2785" s="269"/>
      <c r="V2785" s="269"/>
      <c r="W2785" s="269"/>
      <c r="X2785" s="269"/>
      <c r="Y2785" s="269"/>
      <c r="Z2785" s="269"/>
      <c r="AA2785" s="269"/>
      <c r="AB2785" s="269"/>
      <c r="AC2785" s="269"/>
      <c r="AD2785" s="269"/>
      <c r="AE2785" s="269"/>
      <c r="AF2785" s="269"/>
      <c r="AG2785" s="269"/>
      <c r="AH2785" s="269"/>
      <c r="AI2785" s="269"/>
      <c r="AJ2785" s="269"/>
      <c r="AK2785" s="269"/>
      <c r="AL2785" s="269"/>
      <c r="AM2785" s="269"/>
      <c r="AN2785" s="269"/>
      <c r="AO2785" s="269"/>
      <c r="AP2785" s="269"/>
      <c r="AQ2785" s="269"/>
      <c r="AR2785" s="269"/>
    </row>
    <row r="2786">
      <c r="A2786" s="410"/>
      <c r="B2786" s="410"/>
      <c r="C2786" s="410"/>
      <c r="D2786" s="410"/>
      <c r="E2786" s="410"/>
      <c r="F2786" s="410"/>
      <c r="H2786" s="269"/>
      <c r="I2786" s="269"/>
      <c r="J2786" s="269"/>
      <c r="K2786" s="269"/>
      <c r="L2786" s="269"/>
      <c r="M2786" s="269"/>
      <c r="N2786" s="269"/>
      <c r="O2786" s="269"/>
      <c r="P2786" s="269"/>
      <c r="Q2786" s="269"/>
      <c r="R2786" s="269"/>
      <c r="S2786" s="269"/>
      <c r="T2786" s="269"/>
      <c r="U2786" s="269"/>
      <c r="V2786" s="269"/>
      <c r="W2786" s="269"/>
      <c r="X2786" s="269"/>
      <c r="Y2786" s="269"/>
      <c r="Z2786" s="269"/>
      <c r="AA2786" s="269"/>
      <c r="AB2786" s="269"/>
      <c r="AC2786" s="269"/>
      <c r="AD2786" s="269"/>
      <c r="AE2786" s="269"/>
      <c r="AF2786" s="269"/>
      <c r="AG2786" s="269"/>
      <c r="AH2786" s="269"/>
      <c r="AI2786" s="269"/>
      <c r="AJ2786" s="269"/>
      <c r="AK2786" s="269"/>
      <c r="AL2786" s="269"/>
      <c r="AM2786" s="269"/>
      <c r="AN2786" s="269"/>
      <c r="AO2786" s="269"/>
      <c r="AP2786" s="269"/>
      <c r="AQ2786" s="269"/>
      <c r="AR2786" s="269"/>
    </row>
    <row r="2787">
      <c r="A2787" s="410"/>
      <c r="B2787" s="410"/>
      <c r="C2787" s="410"/>
      <c r="D2787" s="410"/>
      <c r="E2787" s="410"/>
      <c r="F2787" s="410"/>
      <c r="H2787" s="269"/>
      <c r="I2787" s="269"/>
      <c r="J2787" s="269"/>
      <c r="K2787" s="269"/>
      <c r="L2787" s="269"/>
      <c r="M2787" s="269"/>
      <c r="N2787" s="269"/>
      <c r="O2787" s="269"/>
      <c r="P2787" s="269"/>
      <c r="Q2787" s="269"/>
      <c r="R2787" s="269"/>
      <c r="S2787" s="269"/>
      <c r="T2787" s="269"/>
      <c r="U2787" s="269"/>
      <c r="V2787" s="269"/>
      <c r="W2787" s="269"/>
      <c r="X2787" s="269"/>
      <c r="Y2787" s="269"/>
      <c r="Z2787" s="269"/>
      <c r="AA2787" s="269"/>
      <c r="AB2787" s="269"/>
      <c r="AC2787" s="269"/>
      <c r="AD2787" s="269"/>
      <c r="AE2787" s="269"/>
      <c r="AF2787" s="269"/>
      <c r="AG2787" s="269"/>
      <c r="AH2787" s="269"/>
      <c r="AI2787" s="269"/>
      <c r="AJ2787" s="269"/>
      <c r="AK2787" s="269"/>
      <c r="AL2787" s="269"/>
      <c r="AM2787" s="269"/>
      <c r="AN2787" s="269"/>
      <c r="AO2787" s="269"/>
      <c r="AP2787" s="269"/>
      <c r="AQ2787" s="269"/>
      <c r="AR2787" s="269"/>
    </row>
    <row r="2788">
      <c r="A2788" s="410"/>
      <c r="B2788" s="410"/>
      <c r="C2788" s="410"/>
      <c r="D2788" s="410"/>
      <c r="E2788" s="410"/>
      <c r="F2788" s="410"/>
      <c r="H2788" s="269"/>
      <c r="I2788" s="269"/>
      <c r="J2788" s="269"/>
      <c r="K2788" s="269"/>
      <c r="L2788" s="269"/>
      <c r="M2788" s="269"/>
      <c r="N2788" s="269"/>
      <c r="O2788" s="269"/>
      <c r="P2788" s="269"/>
      <c r="Q2788" s="269"/>
      <c r="R2788" s="269"/>
      <c r="S2788" s="269"/>
      <c r="T2788" s="269"/>
      <c r="U2788" s="269"/>
      <c r="V2788" s="269"/>
      <c r="W2788" s="269"/>
      <c r="X2788" s="269"/>
      <c r="Y2788" s="269"/>
      <c r="Z2788" s="269"/>
      <c r="AA2788" s="269"/>
      <c r="AB2788" s="269"/>
      <c r="AC2788" s="269"/>
      <c r="AD2788" s="269"/>
      <c r="AE2788" s="269"/>
      <c r="AF2788" s="269"/>
      <c r="AG2788" s="269"/>
      <c r="AH2788" s="269"/>
      <c r="AI2788" s="269"/>
      <c r="AJ2788" s="269"/>
      <c r="AK2788" s="269"/>
      <c r="AL2788" s="269"/>
      <c r="AM2788" s="269"/>
      <c r="AN2788" s="269"/>
      <c r="AO2788" s="269"/>
      <c r="AP2788" s="269"/>
      <c r="AQ2788" s="269"/>
      <c r="AR2788" s="269"/>
    </row>
    <row r="2789">
      <c r="A2789" s="410"/>
      <c r="B2789" s="410"/>
      <c r="C2789" s="410"/>
      <c r="D2789" s="410"/>
      <c r="E2789" s="410"/>
      <c r="F2789" s="410"/>
      <c r="H2789" s="269"/>
      <c r="I2789" s="269"/>
      <c r="J2789" s="269"/>
      <c r="K2789" s="269"/>
      <c r="L2789" s="269"/>
      <c r="M2789" s="269"/>
      <c r="N2789" s="269"/>
      <c r="O2789" s="269"/>
      <c r="P2789" s="269"/>
      <c r="Q2789" s="269"/>
      <c r="R2789" s="269"/>
      <c r="S2789" s="269"/>
      <c r="T2789" s="269"/>
      <c r="U2789" s="269"/>
      <c r="V2789" s="269"/>
      <c r="W2789" s="269"/>
      <c r="X2789" s="269"/>
      <c r="Y2789" s="269"/>
      <c r="Z2789" s="269"/>
      <c r="AA2789" s="269"/>
      <c r="AB2789" s="269"/>
      <c r="AC2789" s="269"/>
      <c r="AD2789" s="269"/>
      <c r="AE2789" s="269"/>
      <c r="AF2789" s="269"/>
      <c r="AG2789" s="269"/>
      <c r="AH2789" s="269"/>
      <c r="AI2789" s="269"/>
      <c r="AJ2789" s="269"/>
      <c r="AK2789" s="269"/>
      <c r="AL2789" s="269"/>
      <c r="AM2789" s="269"/>
      <c r="AN2789" s="269"/>
      <c r="AO2789" s="269"/>
      <c r="AP2789" s="269"/>
      <c r="AQ2789" s="269"/>
      <c r="AR2789" s="269"/>
    </row>
    <row r="2790">
      <c r="A2790" s="410"/>
      <c r="B2790" s="410"/>
      <c r="C2790" s="410"/>
      <c r="D2790" s="410"/>
      <c r="E2790" s="410"/>
      <c r="F2790" s="410"/>
      <c r="H2790" s="269"/>
      <c r="I2790" s="269"/>
      <c r="J2790" s="269"/>
      <c r="K2790" s="269"/>
      <c r="L2790" s="269"/>
      <c r="M2790" s="269"/>
      <c r="N2790" s="269"/>
      <c r="O2790" s="269"/>
      <c r="P2790" s="269"/>
      <c r="Q2790" s="269"/>
      <c r="R2790" s="269"/>
      <c r="S2790" s="269"/>
      <c r="T2790" s="269"/>
      <c r="U2790" s="269"/>
      <c r="V2790" s="269"/>
      <c r="W2790" s="269"/>
      <c r="X2790" s="269"/>
      <c r="Y2790" s="269"/>
      <c r="Z2790" s="269"/>
      <c r="AA2790" s="269"/>
      <c r="AB2790" s="269"/>
      <c r="AC2790" s="269"/>
      <c r="AD2790" s="269"/>
      <c r="AE2790" s="269"/>
      <c r="AF2790" s="269"/>
      <c r="AG2790" s="269"/>
      <c r="AH2790" s="269"/>
      <c r="AI2790" s="269"/>
      <c r="AJ2790" s="269"/>
      <c r="AK2790" s="269"/>
      <c r="AL2790" s="269"/>
      <c r="AM2790" s="269"/>
      <c r="AN2790" s="269"/>
      <c r="AO2790" s="269"/>
      <c r="AP2790" s="269"/>
      <c r="AQ2790" s="269"/>
      <c r="AR2790" s="269"/>
    </row>
    <row r="2791">
      <c r="A2791" s="410"/>
      <c r="B2791" s="410"/>
      <c r="C2791" s="410"/>
      <c r="D2791" s="410"/>
      <c r="E2791" s="410"/>
      <c r="F2791" s="410"/>
      <c r="H2791" s="269"/>
      <c r="I2791" s="269"/>
      <c r="J2791" s="269"/>
      <c r="K2791" s="269"/>
      <c r="L2791" s="269"/>
      <c r="M2791" s="269"/>
      <c r="N2791" s="269"/>
      <c r="O2791" s="269"/>
      <c r="P2791" s="269"/>
      <c r="Q2791" s="269"/>
      <c r="R2791" s="269"/>
      <c r="S2791" s="269"/>
      <c r="T2791" s="269"/>
      <c r="U2791" s="269"/>
      <c r="V2791" s="269"/>
      <c r="W2791" s="269"/>
      <c r="X2791" s="269"/>
      <c r="Y2791" s="269"/>
      <c r="Z2791" s="269"/>
      <c r="AA2791" s="269"/>
      <c r="AB2791" s="269"/>
      <c r="AC2791" s="269"/>
      <c r="AD2791" s="269"/>
      <c r="AE2791" s="269"/>
      <c r="AF2791" s="269"/>
      <c r="AG2791" s="269"/>
      <c r="AH2791" s="269"/>
      <c r="AI2791" s="269"/>
      <c r="AJ2791" s="269"/>
      <c r="AK2791" s="269"/>
      <c r="AL2791" s="269"/>
      <c r="AM2791" s="269"/>
      <c r="AN2791" s="269"/>
      <c r="AO2791" s="269"/>
      <c r="AP2791" s="269"/>
      <c r="AQ2791" s="269"/>
      <c r="AR2791" s="269"/>
    </row>
    <row r="2792">
      <c r="A2792" s="410"/>
      <c r="B2792" s="410"/>
      <c r="C2792" s="410"/>
      <c r="D2792" s="410"/>
      <c r="E2792" s="410"/>
      <c r="F2792" s="410"/>
      <c r="H2792" s="269"/>
      <c r="I2792" s="269"/>
      <c r="J2792" s="269"/>
      <c r="K2792" s="269"/>
      <c r="L2792" s="269"/>
      <c r="M2792" s="269"/>
      <c r="N2792" s="269"/>
      <c r="O2792" s="269"/>
      <c r="P2792" s="269"/>
      <c r="Q2792" s="269"/>
      <c r="R2792" s="269"/>
      <c r="S2792" s="269"/>
      <c r="T2792" s="269"/>
      <c r="U2792" s="269"/>
      <c r="V2792" s="269"/>
      <c r="W2792" s="269"/>
      <c r="X2792" s="269"/>
      <c r="Y2792" s="269"/>
      <c r="Z2792" s="269"/>
      <c r="AA2792" s="269"/>
      <c r="AB2792" s="269"/>
      <c r="AC2792" s="269"/>
      <c r="AD2792" s="269"/>
      <c r="AE2792" s="269"/>
      <c r="AF2792" s="269"/>
      <c r="AG2792" s="269"/>
      <c r="AH2792" s="269"/>
      <c r="AI2792" s="269"/>
      <c r="AJ2792" s="269"/>
      <c r="AK2792" s="269"/>
      <c r="AL2792" s="269"/>
      <c r="AM2792" s="269"/>
      <c r="AN2792" s="269"/>
      <c r="AO2792" s="269"/>
      <c r="AP2792" s="269"/>
      <c r="AQ2792" s="269"/>
      <c r="AR2792" s="269"/>
    </row>
    <row r="2793">
      <c r="A2793" s="410"/>
      <c r="B2793" s="410"/>
      <c r="C2793" s="410"/>
      <c r="D2793" s="410"/>
      <c r="E2793" s="410"/>
      <c r="F2793" s="410"/>
      <c r="H2793" s="269"/>
      <c r="I2793" s="269"/>
      <c r="J2793" s="269"/>
      <c r="K2793" s="269"/>
      <c r="L2793" s="269"/>
      <c r="M2793" s="269"/>
      <c r="N2793" s="269"/>
      <c r="O2793" s="269"/>
      <c r="P2793" s="269"/>
      <c r="Q2793" s="269"/>
      <c r="R2793" s="269"/>
      <c r="S2793" s="269"/>
      <c r="T2793" s="269"/>
      <c r="U2793" s="269"/>
      <c r="V2793" s="269"/>
      <c r="W2793" s="269"/>
      <c r="X2793" s="269"/>
      <c r="Y2793" s="269"/>
      <c r="Z2793" s="269"/>
      <c r="AA2793" s="269"/>
      <c r="AB2793" s="269"/>
      <c r="AC2793" s="269"/>
      <c r="AD2793" s="269"/>
      <c r="AE2793" s="269"/>
      <c r="AF2793" s="269"/>
      <c r="AG2793" s="269"/>
      <c r="AH2793" s="269"/>
      <c r="AI2793" s="269"/>
      <c r="AJ2793" s="269"/>
      <c r="AK2793" s="269"/>
      <c r="AL2793" s="269"/>
      <c r="AM2793" s="269"/>
      <c r="AN2793" s="269"/>
      <c r="AO2793" s="269"/>
      <c r="AP2793" s="269"/>
      <c r="AQ2793" s="269"/>
      <c r="AR2793" s="269"/>
    </row>
    <row r="2794">
      <c r="A2794" s="410"/>
      <c r="B2794" s="410"/>
      <c r="C2794" s="410"/>
      <c r="D2794" s="410"/>
      <c r="E2794" s="410"/>
      <c r="F2794" s="410"/>
      <c r="H2794" s="269"/>
      <c r="I2794" s="269"/>
      <c r="J2794" s="269"/>
      <c r="K2794" s="269"/>
      <c r="L2794" s="269"/>
      <c r="M2794" s="269"/>
      <c r="N2794" s="269"/>
      <c r="O2794" s="269"/>
      <c r="P2794" s="269"/>
      <c r="Q2794" s="269"/>
      <c r="R2794" s="269"/>
      <c r="S2794" s="269"/>
      <c r="T2794" s="269"/>
      <c r="U2794" s="269"/>
      <c r="V2794" s="269"/>
      <c r="W2794" s="269"/>
      <c r="X2794" s="269"/>
      <c r="Y2794" s="269"/>
      <c r="Z2794" s="269"/>
      <c r="AA2794" s="269"/>
      <c r="AB2794" s="269"/>
      <c r="AC2794" s="269"/>
      <c r="AD2794" s="269"/>
      <c r="AE2794" s="269"/>
      <c r="AF2794" s="269"/>
      <c r="AG2794" s="269"/>
      <c r="AH2794" s="269"/>
      <c r="AI2794" s="269"/>
      <c r="AJ2794" s="269"/>
      <c r="AK2794" s="269"/>
      <c r="AL2794" s="269"/>
      <c r="AM2794" s="269"/>
      <c r="AN2794" s="269"/>
      <c r="AO2794" s="269"/>
      <c r="AP2794" s="269"/>
      <c r="AQ2794" s="269"/>
      <c r="AR2794" s="269"/>
    </row>
    <row r="2795">
      <c r="A2795" s="410"/>
      <c r="B2795" s="410"/>
      <c r="C2795" s="410"/>
      <c r="D2795" s="410"/>
      <c r="E2795" s="410"/>
      <c r="F2795" s="410"/>
      <c r="H2795" s="269"/>
      <c r="I2795" s="269"/>
      <c r="J2795" s="269"/>
      <c r="K2795" s="269"/>
      <c r="L2795" s="269"/>
      <c r="M2795" s="269"/>
      <c r="N2795" s="269"/>
      <c r="O2795" s="269"/>
      <c r="P2795" s="269"/>
      <c r="Q2795" s="269"/>
      <c r="R2795" s="269"/>
      <c r="S2795" s="269"/>
      <c r="T2795" s="269"/>
      <c r="U2795" s="269"/>
      <c r="V2795" s="269"/>
      <c r="W2795" s="269"/>
      <c r="X2795" s="269"/>
      <c r="Y2795" s="269"/>
      <c r="Z2795" s="269"/>
      <c r="AA2795" s="269"/>
      <c r="AB2795" s="269"/>
      <c r="AC2795" s="269"/>
      <c r="AD2795" s="269"/>
      <c r="AE2795" s="269"/>
      <c r="AF2795" s="269"/>
      <c r="AG2795" s="269"/>
      <c r="AH2795" s="269"/>
      <c r="AI2795" s="269"/>
      <c r="AJ2795" s="269"/>
      <c r="AK2795" s="269"/>
      <c r="AL2795" s="269"/>
      <c r="AM2795" s="269"/>
      <c r="AN2795" s="269"/>
      <c r="AO2795" s="269"/>
      <c r="AP2795" s="269"/>
      <c r="AQ2795" s="269"/>
      <c r="AR2795" s="269"/>
    </row>
    <row r="2796">
      <c r="A2796" s="410"/>
      <c r="B2796" s="410"/>
      <c r="C2796" s="410"/>
      <c r="D2796" s="410"/>
      <c r="E2796" s="410"/>
      <c r="F2796" s="410"/>
      <c r="H2796" s="269"/>
      <c r="I2796" s="269"/>
      <c r="J2796" s="269"/>
      <c r="K2796" s="269"/>
      <c r="L2796" s="269"/>
      <c r="M2796" s="269"/>
      <c r="N2796" s="269"/>
      <c r="O2796" s="269"/>
      <c r="P2796" s="269"/>
      <c r="Q2796" s="269"/>
      <c r="R2796" s="269"/>
      <c r="S2796" s="269"/>
      <c r="T2796" s="269"/>
      <c r="U2796" s="269"/>
      <c r="V2796" s="269"/>
      <c r="W2796" s="269"/>
      <c r="X2796" s="269"/>
      <c r="Y2796" s="269"/>
      <c r="Z2796" s="269"/>
      <c r="AA2796" s="269"/>
      <c r="AB2796" s="269"/>
      <c r="AC2796" s="269"/>
      <c r="AD2796" s="269"/>
      <c r="AE2796" s="269"/>
      <c r="AF2796" s="269"/>
      <c r="AG2796" s="269"/>
      <c r="AH2796" s="269"/>
      <c r="AI2796" s="269"/>
      <c r="AJ2796" s="269"/>
      <c r="AK2796" s="269"/>
      <c r="AL2796" s="269"/>
      <c r="AM2796" s="269"/>
      <c r="AN2796" s="269"/>
      <c r="AO2796" s="269"/>
      <c r="AP2796" s="269"/>
      <c r="AQ2796" s="269"/>
      <c r="AR2796" s="269"/>
    </row>
    <row r="2797">
      <c r="A2797" s="410"/>
      <c r="B2797" s="410"/>
      <c r="C2797" s="410"/>
      <c r="D2797" s="410"/>
      <c r="E2797" s="410"/>
      <c r="F2797" s="410"/>
      <c r="H2797" s="269"/>
      <c r="I2797" s="269"/>
      <c r="J2797" s="269"/>
      <c r="K2797" s="269"/>
      <c r="L2797" s="269"/>
      <c r="M2797" s="269"/>
      <c r="N2797" s="269"/>
      <c r="O2797" s="269"/>
      <c r="P2797" s="269"/>
      <c r="Q2797" s="269"/>
      <c r="R2797" s="269"/>
      <c r="S2797" s="269"/>
      <c r="T2797" s="269"/>
      <c r="U2797" s="269"/>
      <c r="V2797" s="269"/>
      <c r="W2797" s="269"/>
      <c r="X2797" s="269"/>
      <c r="Y2797" s="269"/>
      <c r="Z2797" s="269"/>
      <c r="AA2797" s="269"/>
      <c r="AB2797" s="269"/>
      <c r="AC2797" s="269"/>
      <c r="AD2797" s="269"/>
      <c r="AE2797" s="269"/>
      <c r="AF2797" s="269"/>
      <c r="AG2797" s="269"/>
      <c r="AH2797" s="269"/>
      <c r="AI2797" s="269"/>
      <c r="AJ2797" s="269"/>
      <c r="AK2797" s="269"/>
      <c r="AL2797" s="269"/>
      <c r="AM2797" s="269"/>
      <c r="AN2797" s="269"/>
      <c r="AO2797" s="269"/>
      <c r="AP2797" s="269"/>
      <c r="AQ2797" s="269"/>
      <c r="AR2797" s="269"/>
    </row>
    <row r="2798">
      <c r="A2798" s="410"/>
      <c r="B2798" s="410"/>
      <c r="C2798" s="410"/>
      <c r="D2798" s="410"/>
      <c r="E2798" s="410"/>
      <c r="F2798" s="410"/>
      <c r="H2798" s="269"/>
      <c r="I2798" s="269"/>
      <c r="J2798" s="269"/>
      <c r="K2798" s="269"/>
      <c r="L2798" s="269"/>
      <c r="M2798" s="269"/>
      <c r="N2798" s="269"/>
      <c r="O2798" s="269"/>
      <c r="P2798" s="269"/>
      <c r="Q2798" s="269"/>
      <c r="R2798" s="269"/>
      <c r="S2798" s="269"/>
      <c r="T2798" s="269"/>
      <c r="U2798" s="269"/>
      <c r="V2798" s="269"/>
      <c r="W2798" s="269"/>
      <c r="X2798" s="269"/>
      <c r="Y2798" s="269"/>
      <c r="Z2798" s="269"/>
      <c r="AA2798" s="269"/>
      <c r="AB2798" s="269"/>
      <c r="AC2798" s="269"/>
      <c r="AD2798" s="269"/>
      <c r="AE2798" s="269"/>
      <c r="AF2798" s="269"/>
      <c r="AG2798" s="269"/>
      <c r="AH2798" s="269"/>
      <c r="AI2798" s="269"/>
      <c r="AJ2798" s="269"/>
      <c r="AK2798" s="269"/>
      <c r="AL2798" s="269"/>
      <c r="AM2798" s="269"/>
      <c r="AN2798" s="269"/>
      <c r="AO2798" s="269"/>
      <c r="AP2798" s="269"/>
      <c r="AQ2798" s="269"/>
      <c r="AR2798" s="269"/>
    </row>
    <row r="2799">
      <c r="A2799" s="410"/>
      <c r="B2799" s="410"/>
      <c r="C2799" s="410"/>
      <c r="D2799" s="410"/>
      <c r="E2799" s="410"/>
      <c r="F2799" s="410"/>
      <c r="H2799" s="269"/>
      <c r="I2799" s="269"/>
      <c r="J2799" s="269"/>
      <c r="K2799" s="269"/>
      <c r="L2799" s="269"/>
      <c r="M2799" s="269"/>
      <c r="N2799" s="269"/>
      <c r="O2799" s="269"/>
      <c r="P2799" s="269"/>
      <c r="Q2799" s="269"/>
      <c r="R2799" s="269"/>
      <c r="S2799" s="269"/>
      <c r="T2799" s="269"/>
      <c r="U2799" s="269"/>
      <c r="V2799" s="269"/>
      <c r="W2799" s="269"/>
      <c r="X2799" s="269"/>
      <c r="Y2799" s="269"/>
      <c r="Z2799" s="269"/>
      <c r="AA2799" s="269"/>
      <c r="AB2799" s="269"/>
      <c r="AC2799" s="269"/>
      <c r="AD2799" s="269"/>
      <c r="AE2799" s="269"/>
      <c r="AF2799" s="269"/>
      <c r="AG2799" s="269"/>
      <c r="AH2799" s="269"/>
      <c r="AI2799" s="269"/>
      <c r="AJ2799" s="269"/>
      <c r="AK2799" s="269"/>
      <c r="AL2799" s="269"/>
      <c r="AM2799" s="269"/>
      <c r="AN2799" s="269"/>
      <c r="AO2799" s="269"/>
      <c r="AP2799" s="269"/>
      <c r="AQ2799" s="269"/>
      <c r="AR2799" s="269"/>
    </row>
    <row r="2800">
      <c r="A2800" s="410"/>
      <c r="B2800" s="410"/>
      <c r="C2800" s="410"/>
      <c r="D2800" s="410"/>
      <c r="E2800" s="410"/>
      <c r="F2800" s="410"/>
      <c r="H2800" s="269"/>
      <c r="I2800" s="269"/>
      <c r="J2800" s="269"/>
      <c r="K2800" s="269"/>
      <c r="L2800" s="269"/>
      <c r="M2800" s="269"/>
      <c r="N2800" s="269"/>
      <c r="O2800" s="269"/>
      <c r="P2800" s="269"/>
      <c r="Q2800" s="269"/>
      <c r="R2800" s="269"/>
      <c r="S2800" s="269"/>
      <c r="T2800" s="269"/>
      <c r="U2800" s="269"/>
      <c r="V2800" s="269"/>
      <c r="W2800" s="269"/>
      <c r="X2800" s="269"/>
      <c r="Y2800" s="269"/>
      <c r="Z2800" s="269"/>
      <c r="AA2800" s="269"/>
      <c r="AB2800" s="269"/>
      <c r="AC2800" s="269"/>
      <c r="AD2800" s="269"/>
      <c r="AE2800" s="269"/>
      <c r="AF2800" s="269"/>
      <c r="AG2800" s="269"/>
      <c r="AH2800" s="269"/>
      <c r="AI2800" s="269"/>
      <c r="AJ2800" s="269"/>
      <c r="AK2800" s="269"/>
      <c r="AL2800" s="269"/>
      <c r="AM2800" s="269"/>
      <c r="AN2800" s="269"/>
      <c r="AO2800" s="269"/>
      <c r="AP2800" s="269"/>
      <c r="AQ2800" s="269"/>
      <c r="AR2800" s="269"/>
    </row>
    <row r="2801">
      <c r="A2801" s="410"/>
      <c r="B2801" s="410"/>
      <c r="C2801" s="410"/>
      <c r="D2801" s="410"/>
      <c r="E2801" s="410"/>
      <c r="F2801" s="410"/>
      <c r="H2801" s="269"/>
      <c r="I2801" s="269"/>
      <c r="J2801" s="269"/>
      <c r="K2801" s="269"/>
      <c r="L2801" s="269"/>
      <c r="M2801" s="269"/>
      <c r="N2801" s="269"/>
      <c r="O2801" s="269"/>
      <c r="P2801" s="269"/>
      <c r="Q2801" s="269"/>
      <c r="R2801" s="269"/>
      <c r="S2801" s="269"/>
      <c r="T2801" s="269"/>
      <c r="U2801" s="269"/>
      <c r="V2801" s="269"/>
      <c r="W2801" s="269"/>
      <c r="X2801" s="269"/>
      <c r="Y2801" s="269"/>
      <c r="Z2801" s="269"/>
      <c r="AA2801" s="269"/>
      <c r="AB2801" s="269"/>
      <c r="AC2801" s="269"/>
      <c r="AD2801" s="269"/>
      <c r="AE2801" s="269"/>
      <c r="AF2801" s="269"/>
      <c r="AG2801" s="269"/>
      <c r="AH2801" s="269"/>
      <c r="AI2801" s="269"/>
      <c r="AJ2801" s="269"/>
      <c r="AK2801" s="269"/>
      <c r="AL2801" s="269"/>
      <c r="AM2801" s="269"/>
      <c r="AN2801" s="269"/>
      <c r="AO2801" s="269"/>
      <c r="AP2801" s="269"/>
      <c r="AQ2801" s="269"/>
      <c r="AR2801" s="269"/>
    </row>
    <row r="2802">
      <c r="A2802" s="410"/>
      <c r="B2802" s="410"/>
      <c r="C2802" s="410"/>
      <c r="D2802" s="410"/>
      <c r="E2802" s="410"/>
      <c r="F2802" s="410"/>
      <c r="H2802" s="269"/>
      <c r="I2802" s="269"/>
      <c r="J2802" s="269"/>
      <c r="K2802" s="269"/>
      <c r="L2802" s="269"/>
      <c r="M2802" s="269"/>
      <c r="N2802" s="269"/>
      <c r="O2802" s="269"/>
      <c r="P2802" s="269"/>
      <c r="Q2802" s="269"/>
      <c r="R2802" s="269"/>
      <c r="S2802" s="269"/>
      <c r="T2802" s="269"/>
      <c r="U2802" s="269"/>
      <c r="V2802" s="269"/>
      <c r="W2802" s="269"/>
      <c r="X2802" s="269"/>
      <c r="Y2802" s="269"/>
      <c r="Z2802" s="269"/>
      <c r="AA2802" s="269"/>
      <c r="AB2802" s="269"/>
      <c r="AC2802" s="269"/>
      <c r="AD2802" s="269"/>
      <c r="AE2802" s="269"/>
      <c r="AF2802" s="269"/>
      <c r="AG2802" s="269"/>
      <c r="AH2802" s="269"/>
      <c r="AI2802" s="269"/>
      <c r="AJ2802" s="269"/>
      <c r="AK2802" s="269"/>
      <c r="AL2802" s="269"/>
      <c r="AM2802" s="269"/>
      <c r="AN2802" s="269"/>
      <c r="AO2802" s="269"/>
      <c r="AP2802" s="269"/>
      <c r="AQ2802" s="269"/>
      <c r="AR2802" s="269"/>
    </row>
    <row r="2803">
      <c r="A2803" s="410"/>
      <c r="B2803" s="410"/>
      <c r="C2803" s="410"/>
      <c r="D2803" s="410"/>
      <c r="E2803" s="410"/>
      <c r="F2803" s="410"/>
      <c r="H2803" s="269"/>
      <c r="I2803" s="269"/>
      <c r="J2803" s="269"/>
      <c r="K2803" s="269"/>
      <c r="L2803" s="269"/>
      <c r="M2803" s="269"/>
      <c r="N2803" s="269"/>
      <c r="O2803" s="269"/>
      <c r="P2803" s="269"/>
      <c r="Q2803" s="269"/>
      <c r="R2803" s="269"/>
      <c r="S2803" s="269"/>
      <c r="T2803" s="269"/>
      <c r="U2803" s="269"/>
      <c r="V2803" s="269"/>
      <c r="W2803" s="269"/>
      <c r="X2803" s="269"/>
      <c r="Y2803" s="269"/>
      <c r="Z2803" s="269"/>
      <c r="AA2803" s="269"/>
      <c r="AB2803" s="269"/>
      <c r="AC2803" s="269"/>
      <c r="AD2803" s="269"/>
      <c r="AE2803" s="269"/>
      <c r="AF2803" s="269"/>
      <c r="AG2803" s="269"/>
      <c r="AH2803" s="269"/>
      <c r="AI2803" s="269"/>
      <c r="AJ2803" s="269"/>
      <c r="AK2803" s="269"/>
      <c r="AL2803" s="269"/>
      <c r="AM2803" s="269"/>
      <c r="AN2803" s="269"/>
      <c r="AO2803" s="269"/>
      <c r="AP2803" s="269"/>
      <c r="AQ2803" s="269"/>
      <c r="AR2803" s="269"/>
    </row>
    <row r="2804">
      <c r="A2804" s="410"/>
      <c r="B2804" s="410"/>
      <c r="C2804" s="410"/>
      <c r="D2804" s="410"/>
      <c r="E2804" s="410"/>
      <c r="F2804" s="410"/>
      <c r="H2804" s="269"/>
      <c r="I2804" s="269"/>
      <c r="J2804" s="269"/>
      <c r="K2804" s="269"/>
      <c r="L2804" s="269"/>
      <c r="M2804" s="269"/>
      <c r="N2804" s="269"/>
      <c r="O2804" s="269"/>
      <c r="P2804" s="269"/>
      <c r="Q2804" s="269"/>
      <c r="R2804" s="269"/>
      <c r="S2804" s="269"/>
      <c r="T2804" s="269"/>
      <c r="U2804" s="269"/>
      <c r="V2804" s="269"/>
      <c r="W2804" s="269"/>
      <c r="X2804" s="269"/>
      <c r="Y2804" s="269"/>
      <c r="Z2804" s="269"/>
      <c r="AA2804" s="269"/>
      <c r="AB2804" s="269"/>
      <c r="AC2804" s="269"/>
      <c r="AD2804" s="269"/>
      <c r="AE2804" s="269"/>
      <c r="AF2804" s="269"/>
      <c r="AG2804" s="269"/>
      <c r="AH2804" s="269"/>
      <c r="AI2804" s="269"/>
      <c r="AJ2804" s="269"/>
      <c r="AK2804" s="269"/>
      <c r="AL2804" s="269"/>
      <c r="AM2804" s="269"/>
      <c r="AN2804" s="269"/>
      <c r="AO2804" s="269"/>
      <c r="AP2804" s="269"/>
      <c r="AQ2804" s="269"/>
      <c r="AR2804" s="269"/>
    </row>
    <row r="2805">
      <c r="A2805" s="410"/>
      <c r="B2805" s="410"/>
      <c r="C2805" s="410"/>
      <c r="D2805" s="410"/>
      <c r="E2805" s="410"/>
      <c r="F2805" s="410"/>
      <c r="H2805" s="269"/>
      <c r="I2805" s="269"/>
      <c r="J2805" s="269"/>
      <c r="K2805" s="269"/>
      <c r="L2805" s="269"/>
      <c r="M2805" s="269"/>
      <c r="N2805" s="269"/>
      <c r="O2805" s="269"/>
      <c r="P2805" s="269"/>
      <c r="Q2805" s="269"/>
      <c r="R2805" s="269"/>
      <c r="S2805" s="269"/>
      <c r="T2805" s="269"/>
      <c r="U2805" s="269"/>
      <c r="V2805" s="269"/>
      <c r="W2805" s="269"/>
      <c r="X2805" s="269"/>
      <c r="Y2805" s="269"/>
      <c r="Z2805" s="269"/>
      <c r="AA2805" s="269"/>
      <c r="AB2805" s="269"/>
      <c r="AC2805" s="269"/>
      <c r="AD2805" s="269"/>
      <c r="AE2805" s="269"/>
      <c r="AF2805" s="269"/>
      <c r="AG2805" s="269"/>
      <c r="AH2805" s="269"/>
      <c r="AI2805" s="269"/>
      <c r="AJ2805" s="269"/>
      <c r="AK2805" s="269"/>
      <c r="AL2805" s="269"/>
      <c r="AM2805" s="269"/>
      <c r="AN2805" s="269"/>
      <c r="AO2805" s="269"/>
      <c r="AP2805" s="269"/>
      <c r="AQ2805" s="269"/>
      <c r="AR2805" s="269"/>
    </row>
    <row r="2806">
      <c r="A2806" s="410"/>
      <c r="B2806" s="410"/>
      <c r="C2806" s="410"/>
      <c r="D2806" s="410"/>
      <c r="E2806" s="410"/>
      <c r="F2806" s="410"/>
      <c r="H2806" s="269"/>
      <c r="I2806" s="269"/>
      <c r="J2806" s="269"/>
      <c r="K2806" s="269"/>
      <c r="L2806" s="269"/>
      <c r="M2806" s="269"/>
      <c r="N2806" s="269"/>
      <c r="O2806" s="269"/>
      <c r="P2806" s="269"/>
      <c r="Q2806" s="269"/>
      <c r="R2806" s="269"/>
      <c r="S2806" s="269"/>
      <c r="T2806" s="269"/>
      <c r="U2806" s="269"/>
      <c r="V2806" s="269"/>
      <c r="W2806" s="269"/>
      <c r="X2806" s="269"/>
      <c r="Y2806" s="269"/>
      <c r="Z2806" s="269"/>
      <c r="AA2806" s="269"/>
      <c r="AB2806" s="269"/>
      <c r="AC2806" s="269"/>
      <c r="AD2806" s="269"/>
      <c r="AE2806" s="269"/>
      <c r="AF2806" s="269"/>
      <c r="AG2806" s="269"/>
      <c r="AH2806" s="269"/>
      <c r="AI2806" s="269"/>
      <c r="AJ2806" s="269"/>
      <c r="AK2806" s="269"/>
      <c r="AL2806" s="269"/>
      <c r="AM2806" s="269"/>
      <c r="AN2806" s="269"/>
      <c r="AO2806" s="269"/>
      <c r="AP2806" s="269"/>
      <c r="AQ2806" s="269"/>
      <c r="AR2806" s="269"/>
    </row>
    <row r="2807">
      <c r="A2807" s="410"/>
      <c r="B2807" s="410"/>
      <c r="C2807" s="410"/>
      <c r="D2807" s="410"/>
      <c r="E2807" s="410"/>
      <c r="F2807" s="410"/>
      <c r="H2807" s="269"/>
      <c r="I2807" s="269"/>
      <c r="J2807" s="269"/>
      <c r="K2807" s="269"/>
      <c r="L2807" s="269"/>
      <c r="M2807" s="269"/>
      <c r="N2807" s="269"/>
      <c r="O2807" s="269"/>
      <c r="P2807" s="269"/>
      <c r="Q2807" s="269"/>
      <c r="R2807" s="269"/>
      <c r="S2807" s="269"/>
      <c r="T2807" s="269"/>
      <c r="U2807" s="269"/>
      <c r="V2807" s="269"/>
      <c r="W2807" s="269"/>
      <c r="X2807" s="269"/>
      <c r="Y2807" s="269"/>
      <c r="Z2807" s="269"/>
      <c r="AA2807" s="269"/>
      <c r="AB2807" s="269"/>
      <c r="AC2807" s="269"/>
      <c r="AD2807" s="269"/>
      <c r="AE2807" s="269"/>
      <c r="AF2807" s="269"/>
      <c r="AG2807" s="269"/>
      <c r="AH2807" s="269"/>
      <c r="AI2807" s="269"/>
      <c r="AJ2807" s="269"/>
      <c r="AK2807" s="269"/>
      <c r="AL2807" s="269"/>
      <c r="AM2807" s="269"/>
      <c r="AN2807" s="269"/>
      <c r="AO2807" s="269"/>
      <c r="AP2807" s="269"/>
      <c r="AQ2807" s="269"/>
      <c r="AR2807" s="269"/>
    </row>
    <row r="2808">
      <c r="A2808" s="410"/>
      <c r="B2808" s="410"/>
      <c r="C2808" s="410"/>
      <c r="D2808" s="410"/>
      <c r="E2808" s="410"/>
      <c r="F2808" s="410"/>
      <c r="H2808" s="269"/>
      <c r="I2808" s="269"/>
      <c r="J2808" s="269"/>
      <c r="K2808" s="269"/>
      <c r="L2808" s="269"/>
      <c r="M2808" s="269"/>
      <c r="N2808" s="269"/>
      <c r="O2808" s="269"/>
      <c r="P2808" s="269"/>
      <c r="Q2808" s="269"/>
      <c r="R2808" s="269"/>
      <c r="S2808" s="269"/>
      <c r="T2808" s="269"/>
      <c r="U2808" s="269"/>
      <c r="V2808" s="269"/>
      <c r="W2808" s="269"/>
      <c r="X2808" s="269"/>
      <c r="Y2808" s="269"/>
      <c r="Z2808" s="269"/>
      <c r="AA2808" s="269"/>
      <c r="AB2808" s="269"/>
      <c r="AC2808" s="269"/>
      <c r="AD2808" s="269"/>
      <c r="AE2808" s="269"/>
      <c r="AF2808" s="269"/>
      <c r="AG2808" s="269"/>
      <c r="AH2808" s="269"/>
      <c r="AI2808" s="269"/>
      <c r="AJ2808" s="269"/>
      <c r="AK2808" s="269"/>
      <c r="AL2808" s="269"/>
      <c r="AM2808" s="269"/>
      <c r="AN2808" s="269"/>
      <c r="AO2808" s="269"/>
      <c r="AP2808" s="269"/>
      <c r="AQ2808" s="269"/>
      <c r="AR2808" s="269"/>
    </row>
    <row r="2809">
      <c r="A2809" s="410"/>
      <c r="B2809" s="410"/>
      <c r="C2809" s="410"/>
      <c r="D2809" s="410"/>
      <c r="E2809" s="410"/>
      <c r="F2809" s="410"/>
      <c r="H2809" s="269"/>
      <c r="I2809" s="269"/>
      <c r="J2809" s="269"/>
      <c r="K2809" s="269"/>
      <c r="L2809" s="269"/>
      <c r="M2809" s="269"/>
      <c r="N2809" s="269"/>
      <c r="O2809" s="269"/>
      <c r="P2809" s="269"/>
      <c r="Q2809" s="269"/>
      <c r="R2809" s="269"/>
      <c r="S2809" s="269"/>
      <c r="T2809" s="269"/>
      <c r="U2809" s="269"/>
      <c r="V2809" s="269"/>
      <c r="W2809" s="269"/>
      <c r="X2809" s="269"/>
      <c r="Y2809" s="269"/>
      <c r="Z2809" s="269"/>
      <c r="AA2809" s="269"/>
      <c r="AB2809" s="269"/>
      <c r="AC2809" s="269"/>
      <c r="AD2809" s="269"/>
      <c r="AE2809" s="269"/>
      <c r="AF2809" s="269"/>
      <c r="AG2809" s="269"/>
      <c r="AH2809" s="269"/>
      <c r="AI2809" s="269"/>
      <c r="AJ2809" s="269"/>
      <c r="AK2809" s="269"/>
      <c r="AL2809" s="269"/>
      <c r="AM2809" s="269"/>
      <c r="AN2809" s="269"/>
      <c r="AO2809" s="269"/>
      <c r="AP2809" s="269"/>
      <c r="AQ2809" s="269"/>
      <c r="AR2809" s="269"/>
    </row>
    <row r="2810">
      <c r="A2810" s="410"/>
      <c r="B2810" s="410"/>
      <c r="C2810" s="410"/>
      <c r="D2810" s="410"/>
      <c r="E2810" s="410"/>
      <c r="F2810" s="410"/>
      <c r="H2810" s="269"/>
      <c r="I2810" s="269"/>
      <c r="J2810" s="269"/>
      <c r="K2810" s="269"/>
      <c r="L2810" s="269"/>
      <c r="M2810" s="269"/>
      <c r="N2810" s="269"/>
      <c r="O2810" s="269"/>
      <c r="P2810" s="269"/>
      <c r="Q2810" s="269"/>
      <c r="R2810" s="269"/>
      <c r="S2810" s="269"/>
      <c r="T2810" s="269"/>
      <c r="U2810" s="269"/>
      <c r="V2810" s="269"/>
      <c r="W2810" s="269"/>
      <c r="X2810" s="269"/>
      <c r="Y2810" s="269"/>
      <c r="Z2810" s="269"/>
      <c r="AA2810" s="269"/>
      <c r="AB2810" s="269"/>
      <c r="AC2810" s="269"/>
      <c r="AD2810" s="269"/>
      <c r="AE2810" s="269"/>
      <c r="AF2810" s="269"/>
      <c r="AG2810" s="269"/>
      <c r="AH2810" s="269"/>
      <c r="AI2810" s="269"/>
      <c r="AJ2810" s="269"/>
      <c r="AK2810" s="269"/>
      <c r="AL2810" s="269"/>
      <c r="AM2810" s="269"/>
      <c r="AN2810" s="269"/>
      <c r="AO2810" s="269"/>
      <c r="AP2810" s="269"/>
      <c r="AQ2810" s="269"/>
      <c r="AR2810" s="269"/>
    </row>
    <row r="2811">
      <c r="A2811" s="410"/>
      <c r="B2811" s="410"/>
      <c r="C2811" s="410"/>
      <c r="D2811" s="410"/>
      <c r="E2811" s="410"/>
      <c r="F2811" s="410"/>
      <c r="H2811" s="269"/>
      <c r="I2811" s="269"/>
      <c r="J2811" s="269"/>
      <c r="K2811" s="269"/>
      <c r="L2811" s="269"/>
      <c r="M2811" s="269"/>
      <c r="N2811" s="269"/>
      <c r="O2811" s="269"/>
      <c r="P2811" s="269"/>
      <c r="Q2811" s="269"/>
      <c r="R2811" s="269"/>
      <c r="S2811" s="269"/>
      <c r="T2811" s="269"/>
      <c r="U2811" s="269"/>
      <c r="V2811" s="269"/>
      <c r="W2811" s="269"/>
      <c r="X2811" s="269"/>
      <c r="Y2811" s="269"/>
      <c r="Z2811" s="269"/>
      <c r="AA2811" s="269"/>
      <c r="AB2811" s="269"/>
      <c r="AC2811" s="269"/>
      <c r="AD2811" s="269"/>
      <c r="AE2811" s="269"/>
      <c r="AF2811" s="269"/>
      <c r="AG2811" s="269"/>
      <c r="AH2811" s="269"/>
      <c r="AI2811" s="269"/>
      <c r="AJ2811" s="269"/>
      <c r="AK2811" s="269"/>
      <c r="AL2811" s="269"/>
      <c r="AM2811" s="269"/>
      <c r="AN2811" s="269"/>
      <c r="AO2811" s="269"/>
      <c r="AP2811" s="269"/>
      <c r="AQ2811" s="269"/>
      <c r="AR2811" s="269"/>
    </row>
    <row r="2812">
      <c r="A2812" s="410"/>
      <c r="B2812" s="410"/>
      <c r="C2812" s="410"/>
      <c r="D2812" s="410"/>
      <c r="E2812" s="410"/>
      <c r="F2812" s="410"/>
      <c r="H2812" s="269"/>
      <c r="I2812" s="269"/>
      <c r="J2812" s="269"/>
      <c r="K2812" s="269"/>
      <c r="L2812" s="269"/>
      <c r="M2812" s="269"/>
      <c r="N2812" s="269"/>
      <c r="O2812" s="269"/>
      <c r="P2812" s="269"/>
      <c r="Q2812" s="269"/>
      <c r="R2812" s="269"/>
      <c r="S2812" s="269"/>
      <c r="T2812" s="269"/>
      <c r="U2812" s="269"/>
      <c r="V2812" s="269"/>
      <c r="W2812" s="269"/>
      <c r="X2812" s="269"/>
      <c r="Y2812" s="269"/>
      <c r="Z2812" s="269"/>
      <c r="AA2812" s="269"/>
      <c r="AB2812" s="269"/>
      <c r="AC2812" s="269"/>
      <c r="AD2812" s="269"/>
      <c r="AE2812" s="269"/>
      <c r="AF2812" s="269"/>
      <c r="AG2812" s="269"/>
      <c r="AH2812" s="269"/>
      <c r="AI2812" s="269"/>
      <c r="AJ2812" s="269"/>
      <c r="AK2812" s="269"/>
      <c r="AL2812" s="269"/>
      <c r="AM2812" s="269"/>
      <c r="AN2812" s="269"/>
      <c r="AO2812" s="269"/>
      <c r="AP2812" s="269"/>
      <c r="AQ2812" s="269"/>
      <c r="AR2812" s="269"/>
    </row>
    <row r="2813">
      <c r="A2813" s="410"/>
      <c r="B2813" s="410"/>
      <c r="C2813" s="410"/>
      <c r="D2813" s="410"/>
      <c r="E2813" s="410"/>
      <c r="F2813" s="410"/>
      <c r="H2813" s="269"/>
      <c r="I2813" s="269"/>
      <c r="J2813" s="269"/>
      <c r="K2813" s="269"/>
      <c r="L2813" s="269"/>
      <c r="M2813" s="269"/>
      <c r="N2813" s="269"/>
      <c r="O2813" s="269"/>
      <c r="P2813" s="269"/>
      <c r="Q2813" s="269"/>
      <c r="R2813" s="269"/>
      <c r="S2813" s="269"/>
      <c r="T2813" s="269"/>
      <c r="U2813" s="269"/>
      <c r="V2813" s="269"/>
      <c r="W2813" s="269"/>
      <c r="X2813" s="269"/>
      <c r="Y2813" s="269"/>
      <c r="Z2813" s="269"/>
      <c r="AA2813" s="269"/>
      <c r="AB2813" s="269"/>
      <c r="AC2813" s="269"/>
      <c r="AD2813" s="269"/>
      <c r="AE2813" s="269"/>
      <c r="AF2813" s="269"/>
      <c r="AG2813" s="269"/>
      <c r="AH2813" s="269"/>
      <c r="AI2813" s="269"/>
      <c r="AJ2813" s="269"/>
      <c r="AK2813" s="269"/>
      <c r="AL2813" s="269"/>
      <c r="AM2813" s="269"/>
      <c r="AN2813" s="269"/>
      <c r="AO2813" s="269"/>
      <c r="AP2813" s="269"/>
      <c r="AQ2813" s="269"/>
      <c r="AR2813" s="269"/>
    </row>
    <row r="2814">
      <c r="A2814" s="410"/>
      <c r="B2814" s="410"/>
      <c r="C2814" s="410"/>
      <c r="D2814" s="410"/>
      <c r="E2814" s="410"/>
      <c r="F2814" s="410"/>
      <c r="H2814" s="269"/>
      <c r="I2814" s="269"/>
      <c r="J2814" s="269"/>
      <c r="K2814" s="269"/>
      <c r="L2814" s="269"/>
      <c r="M2814" s="269"/>
      <c r="N2814" s="269"/>
      <c r="O2814" s="269"/>
      <c r="P2814" s="269"/>
      <c r="Q2814" s="269"/>
      <c r="R2814" s="269"/>
      <c r="S2814" s="269"/>
      <c r="T2814" s="269"/>
      <c r="U2814" s="269"/>
      <c r="V2814" s="269"/>
      <c r="W2814" s="269"/>
      <c r="X2814" s="269"/>
      <c r="Y2814" s="269"/>
      <c r="Z2814" s="269"/>
      <c r="AA2814" s="269"/>
      <c r="AB2814" s="269"/>
      <c r="AC2814" s="269"/>
      <c r="AD2814" s="269"/>
      <c r="AE2814" s="269"/>
      <c r="AF2814" s="269"/>
      <c r="AG2814" s="269"/>
      <c r="AH2814" s="269"/>
      <c r="AI2814" s="269"/>
      <c r="AJ2814" s="269"/>
      <c r="AK2814" s="269"/>
      <c r="AL2814" s="269"/>
      <c r="AM2814" s="269"/>
      <c r="AN2814" s="269"/>
      <c r="AO2814" s="269"/>
      <c r="AP2814" s="269"/>
      <c r="AQ2814" s="269"/>
      <c r="AR2814" s="269"/>
    </row>
    <row r="2815">
      <c r="A2815" s="410"/>
      <c r="B2815" s="410"/>
      <c r="C2815" s="410"/>
      <c r="D2815" s="410"/>
      <c r="E2815" s="410"/>
      <c r="F2815" s="410"/>
      <c r="H2815" s="269"/>
      <c r="I2815" s="269"/>
      <c r="J2815" s="269"/>
      <c r="K2815" s="269"/>
      <c r="L2815" s="269"/>
      <c r="M2815" s="269"/>
      <c r="N2815" s="269"/>
      <c r="O2815" s="269"/>
      <c r="P2815" s="269"/>
      <c r="Q2815" s="269"/>
      <c r="R2815" s="269"/>
      <c r="S2815" s="269"/>
      <c r="T2815" s="269"/>
      <c r="U2815" s="269"/>
      <c r="V2815" s="269"/>
      <c r="W2815" s="269"/>
      <c r="X2815" s="269"/>
      <c r="Y2815" s="269"/>
      <c r="Z2815" s="269"/>
      <c r="AA2815" s="269"/>
      <c r="AB2815" s="269"/>
      <c r="AC2815" s="269"/>
      <c r="AD2815" s="269"/>
      <c r="AE2815" s="269"/>
      <c r="AF2815" s="269"/>
      <c r="AG2815" s="269"/>
      <c r="AH2815" s="269"/>
      <c r="AI2815" s="269"/>
      <c r="AJ2815" s="269"/>
      <c r="AK2815" s="269"/>
      <c r="AL2815" s="269"/>
      <c r="AM2815" s="269"/>
      <c r="AN2815" s="269"/>
      <c r="AO2815" s="269"/>
      <c r="AP2815" s="269"/>
      <c r="AQ2815" s="269"/>
      <c r="AR2815" s="269"/>
    </row>
    <row r="2816">
      <c r="A2816" s="410"/>
      <c r="B2816" s="410"/>
      <c r="C2816" s="410"/>
      <c r="D2816" s="410"/>
      <c r="E2816" s="410"/>
      <c r="F2816" s="410"/>
      <c r="H2816" s="269"/>
      <c r="I2816" s="269"/>
      <c r="J2816" s="269"/>
      <c r="K2816" s="269"/>
      <c r="L2816" s="269"/>
      <c r="M2816" s="269"/>
      <c r="N2816" s="269"/>
      <c r="O2816" s="269"/>
      <c r="P2816" s="269"/>
      <c r="Q2816" s="269"/>
      <c r="R2816" s="269"/>
      <c r="S2816" s="269"/>
      <c r="T2816" s="269"/>
      <c r="U2816" s="269"/>
      <c r="V2816" s="269"/>
      <c r="W2816" s="269"/>
      <c r="X2816" s="269"/>
      <c r="Y2816" s="269"/>
      <c r="Z2816" s="269"/>
      <c r="AA2816" s="269"/>
      <c r="AB2816" s="269"/>
      <c r="AC2816" s="269"/>
      <c r="AD2816" s="269"/>
      <c r="AE2816" s="269"/>
      <c r="AF2816" s="269"/>
      <c r="AG2816" s="269"/>
      <c r="AH2816" s="269"/>
      <c r="AI2816" s="269"/>
      <c r="AJ2816" s="269"/>
      <c r="AK2816" s="269"/>
      <c r="AL2816" s="269"/>
      <c r="AM2816" s="269"/>
      <c r="AN2816" s="269"/>
      <c r="AO2816" s="269"/>
      <c r="AP2816" s="269"/>
      <c r="AQ2816" s="269"/>
      <c r="AR2816" s="269"/>
    </row>
    <row r="2817">
      <c r="A2817" s="410"/>
      <c r="B2817" s="410"/>
      <c r="C2817" s="410"/>
      <c r="D2817" s="410"/>
      <c r="E2817" s="410"/>
      <c r="F2817" s="410"/>
      <c r="H2817" s="269"/>
      <c r="I2817" s="269"/>
      <c r="J2817" s="269"/>
      <c r="K2817" s="269"/>
      <c r="L2817" s="269"/>
      <c r="M2817" s="269"/>
      <c r="N2817" s="269"/>
      <c r="O2817" s="269"/>
      <c r="P2817" s="269"/>
      <c r="Q2817" s="269"/>
      <c r="R2817" s="269"/>
      <c r="S2817" s="269"/>
      <c r="T2817" s="269"/>
      <c r="U2817" s="269"/>
      <c r="V2817" s="269"/>
      <c r="W2817" s="269"/>
      <c r="X2817" s="269"/>
      <c r="Y2817" s="269"/>
      <c r="Z2817" s="269"/>
      <c r="AA2817" s="269"/>
      <c r="AB2817" s="269"/>
      <c r="AC2817" s="269"/>
      <c r="AD2817" s="269"/>
      <c r="AE2817" s="269"/>
      <c r="AF2817" s="269"/>
      <c r="AG2817" s="269"/>
      <c r="AH2817" s="269"/>
      <c r="AI2817" s="269"/>
      <c r="AJ2817" s="269"/>
      <c r="AK2817" s="269"/>
      <c r="AL2817" s="269"/>
      <c r="AM2817" s="269"/>
      <c r="AN2817" s="269"/>
      <c r="AO2817" s="269"/>
      <c r="AP2817" s="269"/>
      <c r="AQ2817" s="269"/>
      <c r="AR2817" s="269"/>
    </row>
    <row r="2818">
      <c r="A2818" s="410"/>
      <c r="B2818" s="410"/>
      <c r="C2818" s="410"/>
      <c r="D2818" s="410"/>
      <c r="E2818" s="410"/>
      <c r="F2818" s="410"/>
      <c r="H2818" s="269"/>
      <c r="I2818" s="269"/>
      <c r="J2818" s="269"/>
      <c r="K2818" s="269"/>
      <c r="L2818" s="269"/>
      <c r="M2818" s="269"/>
      <c r="N2818" s="269"/>
      <c r="O2818" s="269"/>
      <c r="P2818" s="269"/>
      <c r="Q2818" s="269"/>
      <c r="R2818" s="269"/>
      <c r="S2818" s="269"/>
      <c r="T2818" s="269"/>
      <c r="U2818" s="269"/>
      <c r="V2818" s="269"/>
      <c r="W2818" s="269"/>
      <c r="X2818" s="269"/>
      <c r="Y2818" s="269"/>
      <c r="Z2818" s="269"/>
      <c r="AA2818" s="269"/>
      <c r="AB2818" s="269"/>
      <c r="AC2818" s="269"/>
      <c r="AD2818" s="269"/>
      <c r="AE2818" s="269"/>
      <c r="AF2818" s="269"/>
      <c r="AG2818" s="269"/>
      <c r="AH2818" s="269"/>
      <c r="AI2818" s="269"/>
      <c r="AJ2818" s="269"/>
      <c r="AK2818" s="269"/>
      <c r="AL2818" s="269"/>
      <c r="AM2818" s="269"/>
      <c r="AN2818" s="269"/>
      <c r="AO2818" s="269"/>
      <c r="AP2818" s="269"/>
      <c r="AQ2818" s="269"/>
      <c r="AR2818" s="269"/>
    </row>
    <row r="2819">
      <c r="A2819" s="410"/>
      <c r="B2819" s="410"/>
      <c r="C2819" s="410"/>
      <c r="D2819" s="410"/>
      <c r="E2819" s="410"/>
      <c r="F2819" s="410"/>
      <c r="H2819" s="269"/>
      <c r="I2819" s="269"/>
      <c r="J2819" s="269"/>
      <c r="K2819" s="269"/>
      <c r="L2819" s="269"/>
      <c r="M2819" s="269"/>
      <c r="N2819" s="269"/>
      <c r="O2819" s="269"/>
      <c r="P2819" s="269"/>
      <c r="Q2819" s="269"/>
      <c r="R2819" s="269"/>
      <c r="S2819" s="269"/>
      <c r="T2819" s="269"/>
      <c r="U2819" s="269"/>
      <c r="V2819" s="269"/>
      <c r="W2819" s="269"/>
      <c r="X2819" s="269"/>
      <c r="Y2819" s="269"/>
      <c r="Z2819" s="269"/>
      <c r="AA2819" s="269"/>
      <c r="AB2819" s="269"/>
      <c r="AC2819" s="269"/>
      <c r="AD2819" s="269"/>
      <c r="AE2819" s="269"/>
      <c r="AF2819" s="269"/>
      <c r="AG2819" s="269"/>
      <c r="AH2819" s="269"/>
      <c r="AI2819" s="269"/>
      <c r="AJ2819" s="269"/>
      <c r="AK2819" s="269"/>
      <c r="AL2819" s="269"/>
      <c r="AM2819" s="269"/>
      <c r="AN2819" s="269"/>
      <c r="AO2819" s="269"/>
      <c r="AP2819" s="269"/>
      <c r="AQ2819" s="269"/>
      <c r="AR2819" s="269"/>
    </row>
    <row r="2820">
      <c r="A2820" s="410"/>
      <c r="B2820" s="410"/>
      <c r="C2820" s="410"/>
      <c r="D2820" s="410"/>
      <c r="E2820" s="410"/>
      <c r="F2820" s="410"/>
      <c r="H2820" s="269"/>
      <c r="I2820" s="269"/>
      <c r="J2820" s="269"/>
      <c r="K2820" s="269"/>
      <c r="L2820" s="269"/>
      <c r="M2820" s="269"/>
      <c r="N2820" s="269"/>
      <c r="O2820" s="269"/>
      <c r="P2820" s="269"/>
      <c r="Q2820" s="269"/>
      <c r="R2820" s="269"/>
      <c r="S2820" s="269"/>
      <c r="T2820" s="269"/>
      <c r="U2820" s="269"/>
      <c r="V2820" s="269"/>
      <c r="W2820" s="269"/>
      <c r="X2820" s="269"/>
      <c r="Y2820" s="269"/>
      <c r="Z2820" s="269"/>
      <c r="AA2820" s="269"/>
      <c r="AB2820" s="269"/>
      <c r="AC2820" s="269"/>
      <c r="AD2820" s="269"/>
      <c r="AE2820" s="269"/>
      <c r="AF2820" s="269"/>
      <c r="AG2820" s="269"/>
      <c r="AH2820" s="269"/>
      <c r="AI2820" s="269"/>
      <c r="AJ2820" s="269"/>
      <c r="AK2820" s="269"/>
      <c r="AL2820" s="269"/>
      <c r="AM2820" s="269"/>
      <c r="AN2820" s="269"/>
      <c r="AO2820" s="269"/>
      <c r="AP2820" s="269"/>
      <c r="AQ2820" s="269"/>
      <c r="AR2820" s="269"/>
    </row>
    <row r="2821">
      <c r="A2821" s="410"/>
      <c r="B2821" s="410"/>
      <c r="C2821" s="410"/>
      <c r="D2821" s="410"/>
      <c r="E2821" s="410"/>
      <c r="F2821" s="410"/>
      <c r="H2821" s="269"/>
      <c r="I2821" s="269"/>
      <c r="J2821" s="269"/>
      <c r="K2821" s="269"/>
      <c r="L2821" s="269"/>
      <c r="M2821" s="269"/>
      <c r="N2821" s="269"/>
      <c r="O2821" s="269"/>
      <c r="P2821" s="269"/>
      <c r="Q2821" s="269"/>
      <c r="R2821" s="269"/>
      <c r="S2821" s="269"/>
      <c r="T2821" s="269"/>
      <c r="U2821" s="269"/>
      <c r="V2821" s="269"/>
      <c r="W2821" s="269"/>
      <c r="X2821" s="269"/>
      <c r="Y2821" s="269"/>
      <c r="Z2821" s="269"/>
      <c r="AA2821" s="269"/>
      <c r="AB2821" s="269"/>
      <c r="AC2821" s="269"/>
      <c r="AD2821" s="269"/>
      <c r="AE2821" s="269"/>
      <c r="AF2821" s="269"/>
      <c r="AG2821" s="269"/>
      <c r="AH2821" s="269"/>
      <c r="AI2821" s="269"/>
      <c r="AJ2821" s="269"/>
      <c r="AK2821" s="269"/>
      <c r="AL2821" s="269"/>
      <c r="AM2821" s="269"/>
      <c r="AN2821" s="269"/>
      <c r="AO2821" s="269"/>
      <c r="AP2821" s="269"/>
      <c r="AQ2821" s="269"/>
      <c r="AR2821" s="269"/>
    </row>
    <row r="2822">
      <c r="A2822" s="410"/>
      <c r="B2822" s="410"/>
      <c r="C2822" s="410"/>
      <c r="D2822" s="410"/>
      <c r="E2822" s="410"/>
      <c r="F2822" s="410"/>
      <c r="H2822" s="269"/>
      <c r="I2822" s="269"/>
      <c r="J2822" s="269"/>
      <c r="K2822" s="269"/>
      <c r="L2822" s="269"/>
      <c r="M2822" s="269"/>
      <c r="N2822" s="269"/>
      <c r="O2822" s="269"/>
      <c r="P2822" s="269"/>
      <c r="Q2822" s="269"/>
      <c r="R2822" s="269"/>
      <c r="S2822" s="269"/>
      <c r="T2822" s="269"/>
      <c r="U2822" s="269"/>
      <c r="V2822" s="269"/>
      <c r="W2822" s="269"/>
      <c r="X2822" s="269"/>
      <c r="Y2822" s="269"/>
      <c r="Z2822" s="269"/>
      <c r="AA2822" s="269"/>
      <c r="AB2822" s="269"/>
      <c r="AC2822" s="269"/>
      <c r="AD2822" s="269"/>
      <c r="AE2822" s="269"/>
      <c r="AF2822" s="269"/>
      <c r="AG2822" s="269"/>
      <c r="AH2822" s="269"/>
      <c r="AI2822" s="269"/>
      <c r="AJ2822" s="269"/>
      <c r="AK2822" s="269"/>
      <c r="AL2822" s="269"/>
      <c r="AM2822" s="269"/>
      <c r="AN2822" s="269"/>
      <c r="AO2822" s="269"/>
      <c r="AP2822" s="269"/>
      <c r="AQ2822" s="269"/>
      <c r="AR2822" s="269"/>
    </row>
    <row r="2823">
      <c r="A2823" s="410"/>
      <c r="B2823" s="410"/>
      <c r="C2823" s="410"/>
      <c r="D2823" s="410"/>
      <c r="E2823" s="410"/>
      <c r="F2823" s="410"/>
      <c r="H2823" s="269"/>
      <c r="I2823" s="269"/>
      <c r="J2823" s="269"/>
      <c r="K2823" s="269"/>
      <c r="L2823" s="269"/>
      <c r="M2823" s="269"/>
      <c r="N2823" s="269"/>
      <c r="O2823" s="269"/>
      <c r="P2823" s="269"/>
      <c r="Q2823" s="269"/>
      <c r="R2823" s="269"/>
      <c r="S2823" s="269"/>
      <c r="T2823" s="269"/>
      <c r="U2823" s="269"/>
      <c r="V2823" s="269"/>
      <c r="W2823" s="269"/>
      <c r="X2823" s="269"/>
      <c r="Y2823" s="269"/>
      <c r="Z2823" s="269"/>
      <c r="AA2823" s="269"/>
      <c r="AB2823" s="269"/>
      <c r="AC2823" s="269"/>
      <c r="AD2823" s="269"/>
      <c r="AE2823" s="269"/>
      <c r="AF2823" s="269"/>
      <c r="AG2823" s="269"/>
      <c r="AH2823" s="269"/>
      <c r="AI2823" s="269"/>
      <c r="AJ2823" s="269"/>
      <c r="AK2823" s="269"/>
      <c r="AL2823" s="269"/>
      <c r="AM2823" s="269"/>
      <c r="AN2823" s="269"/>
      <c r="AO2823" s="269"/>
      <c r="AP2823" s="269"/>
      <c r="AQ2823" s="269"/>
      <c r="AR2823" s="269"/>
    </row>
    <row r="2824">
      <c r="A2824" s="410"/>
      <c r="B2824" s="410"/>
      <c r="C2824" s="410"/>
      <c r="D2824" s="410"/>
      <c r="E2824" s="410"/>
      <c r="F2824" s="410"/>
      <c r="H2824" s="269"/>
      <c r="I2824" s="269"/>
      <c r="J2824" s="269"/>
      <c r="K2824" s="269"/>
      <c r="L2824" s="269"/>
      <c r="M2824" s="269"/>
      <c r="N2824" s="269"/>
      <c r="O2824" s="269"/>
      <c r="P2824" s="269"/>
      <c r="Q2824" s="269"/>
      <c r="R2824" s="269"/>
      <c r="S2824" s="269"/>
      <c r="T2824" s="269"/>
      <c r="U2824" s="269"/>
      <c r="V2824" s="269"/>
      <c r="W2824" s="269"/>
      <c r="X2824" s="269"/>
      <c r="Y2824" s="269"/>
      <c r="Z2824" s="269"/>
      <c r="AA2824" s="269"/>
      <c r="AB2824" s="269"/>
      <c r="AC2824" s="269"/>
      <c r="AD2824" s="269"/>
      <c r="AE2824" s="269"/>
      <c r="AF2824" s="269"/>
      <c r="AG2824" s="269"/>
      <c r="AH2824" s="269"/>
      <c r="AI2824" s="269"/>
      <c r="AJ2824" s="269"/>
      <c r="AK2824" s="269"/>
      <c r="AL2824" s="269"/>
      <c r="AM2824" s="269"/>
      <c r="AN2824" s="269"/>
      <c r="AO2824" s="269"/>
      <c r="AP2824" s="269"/>
      <c r="AQ2824" s="269"/>
      <c r="AR2824" s="269"/>
    </row>
    <row r="2825">
      <c r="A2825" s="410"/>
      <c r="B2825" s="410"/>
      <c r="C2825" s="410"/>
      <c r="D2825" s="410"/>
      <c r="E2825" s="410"/>
      <c r="F2825" s="410"/>
      <c r="H2825" s="269"/>
      <c r="I2825" s="269"/>
      <c r="J2825" s="269"/>
      <c r="K2825" s="269"/>
      <c r="L2825" s="269"/>
      <c r="M2825" s="269"/>
      <c r="N2825" s="269"/>
      <c r="O2825" s="269"/>
      <c r="P2825" s="269"/>
      <c r="Q2825" s="269"/>
      <c r="R2825" s="269"/>
      <c r="S2825" s="269"/>
      <c r="T2825" s="269"/>
      <c r="U2825" s="269"/>
      <c r="V2825" s="269"/>
      <c r="W2825" s="269"/>
      <c r="X2825" s="269"/>
      <c r="Y2825" s="269"/>
      <c r="Z2825" s="269"/>
      <c r="AA2825" s="269"/>
      <c r="AB2825" s="269"/>
      <c r="AC2825" s="269"/>
      <c r="AD2825" s="269"/>
      <c r="AE2825" s="269"/>
      <c r="AF2825" s="269"/>
      <c r="AG2825" s="269"/>
      <c r="AH2825" s="269"/>
      <c r="AI2825" s="269"/>
      <c r="AJ2825" s="269"/>
      <c r="AK2825" s="269"/>
      <c r="AL2825" s="269"/>
      <c r="AM2825" s="269"/>
      <c r="AN2825" s="269"/>
      <c r="AO2825" s="269"/>
      <c r="AP2825" s="269"/>
      <c r="AQ2825" s="269"/>
      <c r="AR2825" s="269"/>
    </row>
    <row r="2826">
      <c r="A2826" s="410"/>
      <c r="B2826" s="410"/>
      <c r="C2826" s="410"/>
      <c r="D2826" s="410"/>
      <c r="E2826" s="410"/>
      <c r="F2826" s="410"/>
      <c r="H2826" s="269"/>
      <c r="I2826" s="269"/>
      <c r="J2826" s="269"/>
      <c r="K2826" s="269"/>
      <c r="L2826" s="269"/>
      <c r="M2826" s="269"/>
      <c r="N2826" s="269"/>
      <c r="O2826" s="269"/>
      <c r="P2826" s="269"/>
      <c r="Q2826" s="269"/>
      <c r="R2826" s="269"/>
      <c r="S2826" s="269"/>
      <c r="T2826" s="269"/>
      <c r="U2826" s="269"/>
      <c r="V2826" s="269"/>
      <c r="W2826" s="269"/>
      <c r="X2826" s="269"/>
      <c r="Y2826" s="269"/>
      <c r="Z2826" s="269"/>
      <c r="AA2826" s="269"/>
      <c r="AB2826" s="269"/>
      <c r="AC2826" s="269"/>
      <c r="AD2826" s="269"/>
      <c r="AE2826" s="269"/>
      <c r="AF2826" s="269"/>
      <c r="AG2826" s="269"/>
      <c r="AH2826" s="269"/>
      <c r="AI2826" s="269"/>
      <c r="AJ2826" s="269"/>
      <c r="AK2826" s="269"/>
      <c r="AL2826" s="269"/>
      <c r="AM2826" s="269"/>
      <c r="AN2826" s="269"/>
      <c r="AO2826" s="269"/>
      <c r="AP2826" s="269"/>
      <c r="AQ2826" s="269"/>
      <c r="AR2826" s="269"/>
    </row>
    <row r="2827">
      <c r="A2827" s="410"/>
      <c r="B2827" s="410"/>
      <c r="C2827" s="410"/>
      <c r="D2827" s="410"/>
      <c r="E2827" s="410"/>
      <c r="F2827" s="410"/>
      <c r="H2827" s="269"/>
      <c r="I2827" s="269"/>
      <c r="J2827" s="269"/>
      <c r="K2827" s="269"/>
      <c r="L2827" s="269"/>
      <c r="M2827" s="269"/>
      <c r="N2827" s="269"/>
      <c r="O2827" s="269"/>
      <c r="P2827" s="269"/>
      <c r="Q2827" s="269"/>
      <c r="R2827" s="269"/>
      <c r="S2827" s="269"/>
      <c r="T2827" s="269"/>
      <c r="U2827" s="269"/>
      <c r="V2827" s="269"/>
      <c r="W2827" s="269"/>
      <c r="X2827" s="269"/>
      <c r="Y2827" s="269"/>
      <c r="Z2827" s="269"/>
      <c r="AA2827" s="269"/>
      <c r="AB2827" s="269"/>
      <c r="AC2827" s="269"/>
      <c r="AD2827" s="269"/>
      <c r="AE2827" s="269"/>
      <c r="AF2827" s="269"/>
      <c r="AG2827" s="269"/>
      <c r="AH2827" s="269"/>
      <c r="AI2827" s="269"/>
      <c r="AJ2827" s="269"/>
      <c r="AK2827" s="269"/>
      <c r="AL2827" s="269"/>
      <c r="AM2827" s="269"/>
      <c r="AN2827" s="269"/>
      <c r="AO2827" s="269"/>
      <c r="AP2827" s="269"/>
      <c r="AQ2827" s="269"/>
      <c r="AR2827" s="269"/>
    </row>
    <row r="2828">
      <c r="A2828" s="410"/>
      <c r="B2828" s="410"/>
      <c r="C2828" s="410"/>
      <c r="D2828" s="410"/>
      <c r="E2828" s="410"/>
      <c r="F2828" s="410"/>
      <c r="H2828" s="269"/>
      <c r="I2828" s="269"/>
      <c r="J2828" s="269"/>
      <c r="K2828" s="269"/>
      <c r="L2828" s="269"/>
      <c r="M2828" s="269"/>
      <c r="N2828" s="269"/>
      <c r="O2828" s="269"/>
      <c r="P2828" s="269"/>
      <c r="Q2828" s="269"/>
      <c r="R2828" s="269"/>
      <c r="S2828" s="269"/>
      <c r="T2828" s="269"/>
      <c r="U2828" s="269"/>
      <c r="V2828" s="269"/>
      <c r="W2828" s="269"/>
      <c r="X2828" s="269"/>
      <c r="Y2828" s="269"/>
      <c r="Z2828" s="269"/>
      <c r="AA2828" s="269"/>
      <c r="AB2828" s="269"/>
      <c r="AC2828" s="269"/>
      <c r="AD2828" s="269"/>
      <c r="AE2828" s="269"/>
      <c r="AF2828" s="269"/>
      <c r="AG2828" s="269"/>
      <c r="AH2828" s="269"/>
      <c r="AI2828" s="269"/>
      <c r="AJ2828" s="269"/>
      <c r="AK2828" s="269"/>
      <c r="AL2828" s="269"/>
      <c r="AM2828" s="269"/>
      <c r="AN2828" s="269"/>
      <c r="AO2828" s="269"/>
      <c r="AP2828" s="269"/>
      <c r="AQ2828" s="269"/>
      <c r="AR2828" s="269"/>
    </row>
    <row r="2829">
      <c r="A2829" s="410"/>
      <c r="B2829" s="410"/>
      <c r="C2829" s="410"/>
      <c r="D2829" s="410"/>
      <c r="E2829" s="410"/>
      <c r="F2829" s="410"/>
      <c r="H2829" s="269"/>
      <c r="I2829" s="269"/>
      <c r="J2829" s="269"/>
      <c r="K2829" s="269"/>
      <c r="L2829" s="269"/>
      <c r="M2829" s="269"/>
      <c r="N2829" s="269"/>
      <c r="O2829" s="269"/>
      <c r="P2829" s="269"/>
      <c r="Q2829" s="269"/>
      <c r="R2829" s="269"/>
      <c r="S2829" s="269"/>
      <c r="T2829" s="269"/>
      <c r="U2829" s="269"/>
      <c r="V2829" s="269"/>
      <c r="W2829" s="269"/>
      <c r="X2829" s="269"/>
      <c r="Y2829" s="269"/>
      <c r="Z2829" s="269"/>
      <c r="AA2829" s="269"/>
      <c r="AB2829" s="269"/>
      <c r="AC2829" s="269"/>
      <c r="AD2829" s="269"/>
      <c r="AE2829" s="269"/>
      <c r="AF2829" s="269"/>
      <c r="AG2829" s="269"/>
      <c r="AH2829" s="269"/>
      <c r="AI2829" s="269"/>
      <c r="AJ2829" s="269"/>
      <c r="AK2829" s="269"/>
      <c r="AL2829" s="269"/>
      <c r="AM2829" s="269"/>
      <c r="AN2829" s="269"/>
      <c r="AO2829" s="269"/>
      <c r="AP2829" s="269"/>
      <c r="AQ2829" s="269"/>
      <c r="AR2829" s="269"/>
    </row>
    <row r="2830">
      <c r="A2830" s="410"/>
      <c r="B2830" s="410"/>
      <c r="C2830" s="410"/>
      <c r="D2830" s="410"/>
      <c r="E2830" s="410"/>
      <c r="F2830" s="410"/>
      <c r="H2830" s="269"/>
      <c r="I2830" s="269"/>
      <c r="J2830" s="269"/>
      <c r="K2830" s="269"/>
      <c r="L2830" s="269"/>
      <c r="M2830" s="269"/>
      <c r="N2830" s="269"/>
      <c r="O2830" s="269"/>
      <c r="P2830" s="269"/>
      <c r="Q2830" s="269"/>
      <c r="R2830" s="269"/>
      <c r="S2830" s="269"/>
      <c r="T2830" s="269"/>
      <c r="U2830" s="269"/>
      <c r="V2830" s="269"/>
      <c r="W2830" s="269"/>
      <c r="X2830" s="269"/>
      <c r="Y2830" s="269"/>
      <c r="Z2830" s="269"/>
      <c r="AA2830" s="269"/>
      <c r="AB2830" s="269"/>
      <c r="AC2830" s="269"/>
      <c r="AD2830" s="269"/>
      <c r="AE2830" s="269"/>
      <c r="AF2830" s="269"/>
      <c r="AG2830" s="269"/>
      <c r="AH2830" s="269"/>
      <c r="AI2830" s="269"/>
      <c r="AJ2830" s="269"/>
      <c r="AK2830" s="269"/>
      <c r="AL2830" s="269"/>
      <c r="AM2830" s="269"/>
      <c r="AN2830" s="269"/>
      <c r="AO2830" s="269"/>
      <c r="AP2830" s="269"/>
      <c r="AQ2830" s="269"/>
      <c r="AR2830" s="269"/>
    </row>
    <row r="2831">
      <c r="A2831" s="410"/>
      <c r="B2831" s="410"/>
      <c r="C2831" s="410"/>
      <c r="D2831" s="410"/>
      <c r="E2831" s="410"/>
      <c r="F2831" s="410"/>
      <c r="H2831" s="269"/>
      <c r="I2831" s="269"/>
      <c r="J2831" s="269"/>
      <c r="K2831" s="269"/>
      <c r="L2831" s="269"/>
      <c r="M2831" s="269"/>
      <c r="N2831" s="269"/>
      <c r="O2831" s="269"/>
      <c r="P2831" s="269"/>
      <c r="Q2831" s="269"/>
      <c r="R2831" s="269"/>
      <c r="S2831" s="269"/>
      <c r="T2831" s="269"/>
      <c r="U2831" s="269"/>
      <c r="V2831" s="269"/>
      <c r="W2831" s="269"/>
      <c r="X2831" s="269"/>
      <c r="Y2831" s="269"/>
      <c r="Z2831" s="269"/>
      <c r="AA2831" s="269"/>
      <c r="AB2831" s="269"/>
      <c r="AC2831" s="269"/>
      <c r="AD2831" s="269"/>
      <c r="AE2831" s="269"/>
      <c r="AF2831" s="269"/>
      <c r="AG2831" s="269"/>
      <c r="AH2831" s="269"/>
      <c r="AI2831" s="269"/>
      <c r="AJ2831" s="269"/>
      <c r="AK2831" s="269"/>
      <c r="AL2831" s="269"/>
      <c r="AM2831" s="269"/>
      <c r="AN2831" s="269"/>
      <c r="AO2831" s="269"/>
      <c r="AP2831" s="269"/>
      <c r="AQ2831" s="269"/>
      <c r="AR2831" s="269"/>
    </row>
    <row r="2832">
      <c r="A2832" s="410"/>
      <c r="B2832" s="410"/>
      <c r="C2832" s="410"/>
      <c r="D2832" s="410"/>
      <c r="E2832" s="410"/>
      <c r="F2832" s="410"/>
      <c r="H2832" s="269"/>
      <c r="I2832" s="269"/>
      <c r="J2832" s="269"/>
      <c r="K2832" s="269"/>
      <c r="L2832" s="269"/>
      <c r="M2832" s="269"/>
      <c r="N2832" s="269"/>
      <c r="O2832" s="269"/>
      <c r="P2832" s="269"/>
      <c r="Q2832" s="269"/>
      <c r="R2832" s="269"/>
      <c r="S2832" s="269"/>
      <c r="T2832" s="269"/>
      <c r="U2832" s="269"/>
      <c r="V2832" s="269"/>
      <c r="W2832" s="269"/>
      <c r="X2832" s="269"/>
      <c r="Y2832" s="269"/>
      <c r="Z2832" s="269"/>
      <c r="AA2832" s="269"/>
      <c r="AB2832" s="269"/>
      <c r="AC2832" s="269"/>
      <c r="AD2832" s="269"/>
      <c r="AE2832" s="269"/>
      <c r="AF2832" s="269"/>
      <c r="AG2832" s="269"/>
      <c r="AH2832" s="269"/>
      <c r="AI2832" s="269"/>
      <c r="AJ2832" s="269"/>
      <c r="AK2832" s="269"/>
      <c r="AL2832" s="269"/>
      <c r="AM2832" s="269"/>
      <c r="AN2832" s="269"/>
      <c r="AO2832" s="269"/>
      <c r="AP2832" s="269"/>
      <c r="AQ2832" s="269"/>
      <c r="AR2832" s="269"/>
    </row>
    <row r="2833">
      <c r="A2833" s="410"/>
      <c r="B2833" s="410"/>
      <c r="C2833" s="410"/>
      <c r="D2833" s="410"/>
      <c r="E2833" s="410"/>
      <c r="F2833" s="410"/>
      <c r="H2833" s="269"/>
      <c r="I2833" s="269"/>
      <c r="J2833" s="269"/>
      <c r="K2833" s="269"/>
      <c r="L2833" s="269"/>
      <c r="M2833" s="269"/>
      <c r="N2833" s="269"/>
      <c r="O2833" s="269"/>
      <c r="P2833" s="269"/>
      <c r="Q2833" s="269"/>
      <c r="R2833" s="269"/>
      <c r="S2833" s="269"/>
      <c r="T2833" s="269"/>
      <c r="U2833" s="269"/>
      <c r="V2833" s="269"/>
      <c r="W2833" s="269"/>
      <c r="X2833" s="269"/>
      <c r="Y2833" s="269"/>
      <c r="Z2833" s="269"/>
      <c r="AA2833" s="269"/>
      <c r="AB2833" s="269"/>
      <c r="AC2833" s="269"/>
      <c r="AD2833" s="269"/>
      <c r="AE2833" s="269"/>
      <c r="AF2833" s="269"/>
      <c r="AG2833" s="269"/>
      <c r="AH2833" s="269"/>
      <c r="AI2833" s="269"/>
      <c r="AJ2833" s="269"/>
      <c r="AK2833" s="269"/>
      <c r="AL2833" s="269"/>
      <c r="AM2833" s="269"/>
      <c r="AN2833" s="269"/>
      <c r="AO2833" s="269"/>
      <c r="AP2833" s="269"/>
      <c r="AQ2833" s="269"/>
      <c r="AR2833" s="269"/>
    </row>
    <row r="2834">
      <c r="A2834" s="410"/>
      <c r="B2834" s="410"/>
      <c r="C2834" s="410"/>
      <c r="D2834" s="410"/>
      <c r="E2834" s="410"/>
      <c r="F2834" s="410"/>
      <c r="H2834" s="269"/>
      <c r="I2834" s="269"/>
      <c r="J2834" s="269"/>
      <c r="K2834" s="269"/>
      <c r="L2834" s="269"/>
      <c r="M2834" s="269"/>
      <c r="N2834" s="269"/>
      <c r="O2834" s="269"/>
      <c r="P2834" s="269"/>
      <c r="Q2834" s="269"/>
      <c r="R2834" s="269"/>
      <c r="S2834" s="269"/>
      <c r="T2834" s="269"/>
      <c r="U2834" s="269"/>
      <c r="V2834" s="269"/>
      <c r="W2834" s="269"/>
      <c r="X2834" s="269"/>
      <c r="Y2834" s="269"/>
      <c r="Z2834" s="269"/>
      <c r="AA2834" s="269"/>
      <c r="AB2834" s="269"/>
      <c r="AC2834" s="269"/>
      <c r="AD2834" s="269"/>
      <c r="AE2834" s="269"/>
      <c r="AF2834" s="269"/>
      <c r="AG2834" s="269"/>
      <c r="AH2834" s="269"/>
      <c r="AI2834" s="269"/>
      <c r="AJ2834" s="269"/>
      <c r="AK2834" s="269"/>
      <c r="AL2834" s="269"/>
      <c r="AM2834" s="269"/>
      <c r="AN2834" s="269"/>
      <c r="AO2834" s="269"/>
      <c r="AP2834" s="269"/>
      <c r="AQ2834" s="269"/>
      <c r="AR2834" s="269"/>
    </row>
    <row r="2835">
      <c r="A2835" s="410"/>
      <c r="B2835" s="410"/>
      <c r="C2835" s="410"/>
      <c r="D2835" s="410"/>
      <c r="E2835" s="410"/>
      <c r="F2835" s="410"/>
      <c r="H2835" s="269"/>
      <c r="I2835" s="269"/>
      <c r="J2835" s="269"/>
      <c r="K2835" s="269"/>
      <c r="L2835" s="269"/>
      <c r="M2835" s="269"/>
      <c r="N2835" s="269"/>
      <c r="O2835" s="269"/>
      <c r="P2835" s="269"/>
      <c r="Q2835" s="269"/>
      <c r="R2835" s="269"/>
      <c r="S2835" s="269"/>
      <c r="T2835" s="269"/>
      <c r="U2835" s="269"/>
      <c r="V2835" s="269"/>
      <c r="W2835" s="269"/>
      <c r="X2835" s="269"/>
      <c r="Y2835" s="269"/>
      <c r="Z2835" s="269"/>
      <c r="AA2835" s="269"/>
      <c r="AB2835" s="269"/>
      <c r="AC2835" s="269"/>
      <c r="AD2835" s="269"/>
      <c r="AE2835" s="269"/>
      <c r="AF2835" s="269"/>
      <c r="AG2835" s="269"/>
      <c r="AH2835" s="269"/>
      <c r="AI2835" s="269"/>
      <c r="AJ2835" s="269"/>
      <c r="AK2835" s="269"/>
      <c r="AL2835" s="269"/>
      <c r="AM2835" s="269"/>
      <c r="AN2835" s="269"/>
      <c r="AO2835" s="269"/>
      <c r="AP2835" s="269"/>
      <c r="AQ2835" s="269"/>
      <c r="AR2835" s="269"/>
    </row>
    <row r="2836">
      <c r="A2836" s="410"/>
      <c r="B2836" s="410"/>
      <c r="C2836" s="410"/>
      <c r="D2836" s="410"/>
      <c r="E2836" s="410"/>
      <c r="F2836" s="410"/>
      <c r="H2836" s="269"/>
      <c r="I2836" s="269"/>
      <c r="J2836" s="269"/>
      <c r="K2836" s="269"/>
      <c r="L2836" s="269"/>
      <c r="M2836" s="269"/>
      <c r="N2836" s="269"/>
      <c r="O2836" s="269"/>
      <c r="P2836" s="269"/>
      <c r="Q2836" s="269"/>
      <c r="R2836" s="269"/>
      <c r="S2836" s="269"/>
      <c r="T2836" s="269"/>
      <c r="U2836" s="269"/>
      <c r="V2836" s="269"/>
      <c r="W2836" s="269"/>
      <c r="X2836" s="269"/>
      <c r="Y2836" s="269"/>
      <c r="Z2836" s="269"/>
      <c r="AA2836" s="269"/>
      <c r="AB2836" s="269"/>
      <c r="AC2836" s="269"/>
      <c r="AD2836" s="269"/>
      <c r="AE2836" s="269"/>
      <c r="AF2836" s="269"/>
      <c r="AG2836" s="269"/>
      <c r="AH2836" s="269"/>
      <c r="AI2836" s="269"/>
      <c r="AJ2836" s="269"/>
      <c r="AK2836" s="269"/>
      <c r="AL2836" s="269"/>
      <c r="AM2836" s="269"/>
      <c r="AN2836" s="269"/>
      <c r="AO2836" s="269"/>
      <c r="AP2836" s="269"/>
      <c r="AQ2836" s="269"/>
      <c r="AR2836" s="269"/>
    </row>
    <row r="2837">
      <c r="A2837" s="410"/>
      <c r="B2837" s="410"/>
      <c r="C2837" s="410"/>
      <c r="D2837" s="410"/>
      <c r="E2837" s="410"/>
      <c r="F2837" s="410"/>
      <c r="H2837" s="269"/>
      <c r="I2837" s="269"/>
      <c r="J2837" s="269"/>
      <c r="K2837" s="269"/>
      <c r="L2837" s="269"/>
      <c r="M2837" s="269"/>
      <c r="N2837" s="269"/>
      <c r="O2837" s="269"/>
      <c r="P2837" s="269"/>
      <c r="Q2837" s="269"/>
      <c r="R2837" s="269"/>
      <c r="S2837" s="269"/>
      <c r="T2837" s="269"/>
      <c r="U2837" s="269"/>
      <c r="V2837" s="269"/>
      <c r="W2837" s="269"/>
      <c r="X2837" s="269"/>
      <c r="Y2837" s="269"/>
      <c r="Z2837" s="269"/>
      <c r="AA2837" s="269"/>
      <c r="AB2837" s="269"/>
      <c r="AC2837" s="269"/>
      <c r="AD2837" s="269"/>
      <c r="AE2837" s="269"/>
      <c r="AF2837" s="269"/>
      <c r="AG2837" s="269"/>
      <c r="AH2837" s="269"/>
      <c r="AI2837" s="269"/>
      <c r="AJ2837" s="269"/>
      <c r="AK2837" s="269"/>
      <c r="AL2837" s="269"/>
      <c r="AM2837" s="269"/>
      <c r="AN2837" s="269"/>
      <c r="AO2837" s="269"/>
      <c r="AP2837" s="269"/>
      <c r="AQ2837" s="269"/>
      <c r="AR2837" s="269"/>
    </row>
    <row r="2838">
      <c r="A2838" s="410"/>
      <c r="B2838" s="410"/>
      <c r="C2838" s="410"/>
      <c r="D2838" s="410"/>
      <c r="E2838" s="410"/>
      <c r="F2838" s="410"/>
      <c r="H2838" s="269"/>
      <c r="I2838" s="269"/>
      <c r="J2838" s="269"/>
      <c r="K2838" s="269"/>
      <c r="L2838" s="269"/>
      <c r="M2838" s="269"/>
      <c r="N2838" s="269"/>
      <c r="O2838" s="269"/>
      <c r="P2838" s="269"/>
      <c r="Q2838" s="269"/>
      <c r="R2838" s="269"/>
      <c r="S2838" s="269"/>
      <c r="T2838" s="269"/>
      <c r="U2838" s="269"/>
      <c r="V2838" s="269"/>
      <c r="W2838" s="269"/>
      <c r="X2838" s="269"/>
      <c r="Y2838" s="269"/>
      <c r="Z2838" s="269"/>
      <c r="AA2838" s="269"/>
      <c r="AB2838" s="269"/>
      <c r="AC2838" s="269"/>
      <c r="AD2838" s="269"/>
      <c r="AE2838" s="269"/>
      <c r="AF2838" s="269"/>
      <c r="AG2838" s="269"/>
      <c r="AH2838" s="269"/>
      <c r="AI2838" s="269"/>
      <c r="AJ2838" s="269"/>
      <c r="AK2838" s="269"/>
      <c r="AL2838" s="269"/>
      <c r="AM2838" s="269"/>
      <c r="AN2838" s="269"/>
      <c r="AO2838" s="269"/>
      <c r="AP2838" s="269"/>
      <c r="AQ2838" s="269"/>
      <c r="AR2838" s="269"/>
    </row>
    <row r="2839">
      <c r="A2839" s="410"/>
      <c r="B2839" s="410"/>
      <c r="C2839" s="410"/>
      <c r="D2839" s="410"/>
      <c r="E2839" s="410"/>
      <c r="F2839" s="410"/>
      <c r="H2839" s="269"/>
      <c r="I2839" s="269"/>
      <c r="J2839" s="269"/>
      <c r="K2839" s="269"/>
      <c r="L2839" s="269"/>
      <c r="M2839" s="269"/>
      <c r="N2839" s="269"/>
      <c r="O2839" s="269"/>
      <c r="P2839" s="269"/>
      <c r="Q2839" s="269"/>
      <c r="R2839" s="269"/>
      <c r="S2839" s="269"/>
      <c r="T2839" s="269"/>
      <c r="U2839" s="269"/>
      <c r="V2839" s="269"/>
      <c r="W2839" s="269"/>
      <c r="X2839" s="269"/>
      <c r="Y2839" s="269"/>
      <c r="Z2839" s="269"/>
      <c r="AA2839" s="269"/>
      <c r="AB2839" s="269"/>
      <c r="AC2839" s="269"/>
      <c r="AD2839" s="269"/>
      <c r="AE2839" s="269"/>
      <c r="AF2839" s="269"/>
      <c r="AG2839" s="269"/>
      <c r="AH2839" s="269"/>
      <c r="AI2839" s="269"/>
      <c r="AJ2839" s="269"/>
      <c r="AK2839" s="269"/>
      <c r="AL2839" s="269"/>
      <c r="AM2839" s="269"/>
      <c r="AN2839" s="269"/>
      <c r="AO2839" s="269"/>
      <c r="AP2839" s="269"/>
      <c r="AQ2839" s="269"/>
      <c r="AR2839" s="269"/>
    </row>
    <row r="2840">
      <c r="A2840" s="410"/>
      <c r="B2840" s="410"/>
      <c r="C2840" s="410"/>
      <c r="D2840" s="410"/>
      <c r="E2840" s="410"/>
      <c r="F2840" s="410"/>
      <c r="H2840" s="269"/>
      <c r="I2840" s="269"/>
      <c r="J2840" s="269"/>
      <c r="K2840" s="269"/>
      <c r="L2840" s="269"/>
      <c r="M2840" s="269"/>
      <c r="N2840" s="269"/>
      <c r="O2840" s="269"/>
      <c r="P2840" s="269"/>
      <c r="Q2840" s="269"/>
      <c r="R2840" s="269"/>
      <c r="S2840" s="269"/>
      <c r="T2840" s="269"/>
      <c r="U2840" s="269"/>
      <c r="V2840" s="269"/>
      <c r="W2840" s="269"/>
      <c r="X2840" s="269"/>
      <c r="Y2840" s="269"/>
      <c r="Z2840" s="269"/>
      <c r="AA2840" s="269"/>
      <c r="AB2840" s="269"/>
      <c r="AC2840" s="269"/>
      <c r="AD2840" s="269"/>
      <c r="AE2840" s="269"/>
      <c r="AF2840" s="269"/>
      <c r="AG2840" s="269"/>
      <c r="AH2840" s="269"/>
      <c r="AI2840" s="269"/>
      <c r="AJ2840" s="269"/>
      <c r="AK2840" s="269"/>
      <c r="AL2840" s="269"/>
      <c r="AM2840" s="269"/>
      <c r="AN2840" s="269"/>
      <c r="AO2840" s="269"/>
      <c r="AP2840" s="269"/>
      <c r="AQ2840" s="269"/>
      <c r="AR2840" s="269"/>
    </row>
    <row r="2841">
      <c r="A2841" s="410"/>
      <c r="B2841" s="410"/>
      <c r="C2841" s="410"/>
      <c r="D2841" s="410"/>
      <c r="E2841" s="410"/>
      <c r="F2841" s="410"/>
      <c r="H2841" s="269"/>
      <c r="I2841" s="269"/>
      <c r="J2841" s="269"/>
      <c r="K2841" s="269"/>
      <c r="L2841" s="269"/>
      <c r="M2841" s="269"/>
      <c r="N2841" s="269"/>
      <c r="O2841" s="269"/>
      <c r="P2841" s="269"/>
      <c r="Q2841" s="269"/>
      <c r="R2841" s="269"/>
      <c r="S2841" s="269"/>
      <c r="T2841" s="269"/>
      <c r="U2841" s="269"/>
      <c r="V2841" s="269"/>
      <c r="W2841" s="269"/>
      <c r="X2841" s="269"/>
      <c r="Y2841" s="269"/>
      <c r="Z2841" s="269"/>
      <c r="AA2841" s="269"/>
      <c r="AB2841" s="269"/>
      <c r="AC2841" s="269"/>
      <c r="AD2841" s="269"/>
      <c r="AE2841" s="269"/>
      <c r="AF2841" s="269"/>
      <c r="AG2841" s="269"/>
      <c r="AH2841" s="269"/>
      <c r="AI2841" s="269"/>
      <c r="AJ2841" s="269"/>
      <c r="AK2841" s="269"/>
      <c r="AL2841" s="269"/>
      <c r="AM2841" s="269"/>
      <c r="AN2841" s="269"/>
      <c r="AO2841" s="269"/>
      <c r="AP2841" s="269"/>
      <c r="AQ2841" s="269"/>
      <c r="AR2841" s="269"/>
    </row>
    <row r="2842">
      <c r="A2842" s="410"/>
      <c r="B2842" s="410"/>
      <c r="C2842" s="410"/>
      <c r="D2842" s="410"/>
      <c r="E2842" s="410"/>
      <c r="F2842" s="410"/>
      <c r="H2842" s="269"/>
      <c r="I2842" s="269"/>
      <c r="J2842" s="269"/>
      <c r="K2842" s="269"/>
      <c r="L2842" s="269"/>
      <c r="M2842" s="269"/>
      <c r="N2842" s="269"/>
      <c r="O2842" s="269"/>
      <c r="P2842" s="269"/>
      <c r="Q2842" s="269"/>
      <c r="R2842" s="269"/>
      <c r="S2842" s="269"/>
      <c r="T2842" s="269"/>
      <c r="U2842" s="269"/>
      <c r="V2842" s="269"/>
      <c r="W2842" s="269"/>
      <c r="X2842" s="269"/>
      <c r="Y2842" s="269"/>
      <c r="Z2842" s="269"/>
      <c r="AA2842" s="269"/>
      <c r="AB2842" s="269"/>
      <c r="AC2842" s="269"/>
      <c r="AD2842" s="269"/>
      <c r="AE2842" s="269"/>
      <c r="AF2842" s="269"/>
      <c r="AG2842" s="269"/>
      <c r="AH2842" s="269"/>
      <c r="AI2842" s="269"/>
      <c r="AJ2842" s="269"/>
      <c r="AK2842" s="269"/>
      <c r="AL2842" s="269"/>
      <c r="AM2842" s="269"/>
      <c r="AN2842" s="269"/>
      <c r="AO2842" s="269"/>
      <c r="AP2842" s="269"/>
      <c r="AQ2842" s="269"/>
      <c r="AR2842" s="269"/>
    </row>
    <row r="2843">
      <c r="A2843" s="410"/>
      <c r="B2843" s="410"/>
      <c r="C2843" s="410"/>
      <c r="D2843" s="410"/>
      <c r="E2843" s="410"/>
      <c r="F2843" s="410"/>
      <c r="H2843" s="269"/>
      <c r="I2843" s="269"/>
      <c r="J2843" s="269"/>
      <c r="K2843" s="269"/>
      <c r="L2843" s="269"/>
      <c r="M2843" s="269"/>
      <c r="N2843" s="269"/>
      <c r="O2843" s="269"/>
      <c r="P2843" s="269"/>
      <c r="Q2843" s="269"/>
      <c r="R2843" s="269"/>
      <c r="S2843" s="269"/>
      <c r="T2843" s="269"/>
      <c r="U2843" s="269"/>
      <c r="V2843" s="269"/>
      <c r="W2843" s="269"/>
      <c r="X2843" s="269"/>
      <c r="Y2843" s="269"/>
      <c r="Z2843" s="269"/>
      <c r="AA2843" s="269"/>
      <c r="AB2843" s="269"/>
      <c r="AC2843" s="269"/>
      <c r="AD2843" s="269"/>
      <c r="AE2843" s="269"/>
      <c r="AF2843" s="269"/>
      <c r="AG2843" s="269"/>
      <c r="AH2843" s="269"/>
      <c r="AI2843" s="269"/>
      <c r="AJ2843" s="269"/>
      <c r="AK2843" s="269"/>
      <c r="AL2843" s="269"/>
      <c r="AM2843" s="269"/>
      <c r="AN2843" s="269"/>
      <c r="AO2843" s="269"/>
      <c r="AP2843" s="269"/>
      <c r="AQ2843" s="269"/>
      <c r="AR2843" s="269"/>
    </row>
    <row r="2844">
      <c r="A2844" s="410"/>
      <c r="B2844" s="410"/>
      <c r="C2844" s="410"/>
      <c r="D2844" s="410"/>
      <c r="E2844" s="410"/>
      <c r="F2844" s="410"/>
      <c r="H2844" s="269"/>
      <c r="I2844" s="269"/>
      <c r="J2844" s="269"/>
      <c r="K2844" s="269"/>
      <c r="L2844" s="269"/>
      <c r="M2844" s="269"/>
      <c r="N2844" s="269"/>
      <c r="O2844" s="269"/>
      <c r="P2844" s="269"/>
      <c r="Q2844" s="269"/>
      <c r="R2844" s="269"/>
      <c r="S2844" s="269"/>
      <c r="T2844" s="269"/>
      <c r="U2844" s="269"/>
      <c r="V2844" s="269"/>
      <c r="W2844" s="269"/>
      <c r="X2844" s="269"/>
      <c r="Y2844" s="269"/>
      <c r="Z2844" s="269"/>
      <c r="AA2844" s="269"/>
      <c r="AB2844" s="269"/>
      <c r="AC2844" s="269"/>
      <c r="AD2844" s="269"/>
      <c r="AE2844" s="269"/>
      <c r="AF2844" s="269"/>
      <c r="AG2844" s="269"/>
      <c r="AH2844" s="269"/>
      <c r="AI2844" s="269"/>
      <c r="AJ2844" s="269"/>
      <c r="AK2844" s="269"/>
      <c r="AL2844" s="269"/>
      <c r="AM2844" s="269"/>
      <c r="AN2844" s="269"/>
      <c r="AO2844" s="269"/>
      <c r="AP2844" s="269"/>
      <c r="AQ2844" s="269"/>
      <c r="AR2844" s="269"/>
    </row>
    <row r="2845">
      <c r="A2845" s="410"/>
      <c r="B2845" s="410"/>
      <c r="C2845" s="410"/>
      <c r="D2845" s="410"/>
      <c r="E2845" s="410"/>
      <c r="F2845" s="410"/>
      <c r="H2845" s="269"/>
      <c r="I2845" s="269"/>
      <c r="J2845" s="269"/>
      <c r="K2845" s="269"/>
      <c r="L2845" s="269"/>
      <c r="M2845" s="269"/>
      <c r="N2845" s="269"/>
      <c r="O2845" s="269"/>
      <c r="P2845" s="269"/>
      <c r="Q2845" s="269"/>
      <c r="R2845" s="269"/>
      <c r="S2845" s="269"/>
      <c r="T2845" s="269"/>
      <c r="U2845" s="269"/>
      <c r="V2845" s="269"/>
      <c r="W2845" s="269"/>
      <c r="X2845" s="269"/>
      <c r="Y2845" s="269"/>
      <c r="Z2845" s="269"/>
      <c r="AA2845" s="269"/>
      <c r="AB2845" s="269"/>
      <c r="AC2845" s="269"/>
      <c r="AD2845" s="269"/>
      <c r="AE2845" s="269"/>
      <c r="AF2845" s="269"/>
      <c r="AG2845" s="269"/>
      <c r="AH2845" s="269"/>
      <c r="AI2845" s="269"/>
      <c r="AJ2845" s="269"/>
      <c r="AK2845" s="269"/>
      <c r="AL2845" s="269"/>
      <c r="AM2845" s="269"/>
      <c r="AN2845" s="269"/>
      <c r="AO2845" s="269"/>
      <c r="AP2845" s="269"/>
      <c r="AQ2845" s="269"/>
      <c r="AR2845" s="269"/>
    </row>
    <row r="2846">
      <c r="A2846" s="410"/>
      <c r="B2846" s="410"/>
      <c r="C2846" s="410"/>
      <c r="D2846" s="410"/>
      <c r="E2846" s="410"/>
      <c r="F2846" s="410"/>
      <c r="H2846" s="269"/>
      <c r="I2846" s="269"/>
      <c r="J2846" s="269"/>
      <c r="K2846" s="269"/>
      <c r="L2846" s="269"/>
      <c r="M2846" s="269"/>
      <c r="N2846" s="269"/>
      <c r="O2846" s="269"/>
      <c r="P2846" s="269"/>
      <c r="Q2846" s="269"/>
      <c r="R2846" s="269"/>
      <c r="S2846" s="269"/>
      <c r="T2846" s="269"/>
      <c r="U2846" s="269"/>
      <c r="V2846" s="269"/>
      <c r="W2846" s="269"/>
      <c r="X2846" s="269"/>
      <c r="Y2846" s="269"/>
      <c r="Z2846" s="269"/>
      <c r="AA2846" s="269"/>
      <c r="AB2846" s="269"/>
      <c r="AC2846" s="269"/>
      <c r="AD2846" s="269"/>
      <c r="AE2846" s="269"/>
      <c r="AF2846" s="269"/>
      <c r="AG2846" s="269"/>
      <c r="AH2846" s="269"/>
      <c r="AI2846" s="269"/>
      <c r="AJ2846" s="269"/>
      <c r="AK2846" s="269"/>
      <c r="AL2846" s="269"/>
      <c r="AM2846" s="269"/>
      <c r="AN2846" s="269"/>
      <c r="AO2846" s="269"/>
      <c r="AP2846" s="269"/>
      <c r="AQ2846" s="269"/>
      <c r="AR2846" s="269"/>
    </row>
    <row r="2847">
      <c r="A2847" s="410"/>
      <c r="B2847" s="410"/>
      <c r="C2847" s="410"/>
      <c r="D2847" s="410"/>
      <c r="E2847" s="410"/>
      <c r="F2847" s="410"/>
      <c r="H2847" s="269"/>
      <c r="I2847" s="269"/>
      <c r="J2847" s="269"/>
      <c r="K2847" s="269"/>
      <c r="L2847" s="269"/>
      <c r="M2847" s="269"/>
      <c r="N2847" s="269"/>
      <c r="O2847" s="269"/>
      <c r="P2847" s="269"/>
      <c r="Q2847" s="269"/>
      <c r="R2847" s="269"/>
      <c r="S2847" s="269"/>
      <c r="T2847" s="269"/>
      <c r="U2847" s="269"/>
      <c r="V2847" s="269"/>
      <c r="W2847" s="269"/>
      <c r="X2847" s="269"/>
      <c r="Y2847" s="269"/>
      <c r="Z2847" s="269"/>
      <c r="AA2847" s="269"/>
      <c r="AB2847" s="269"/>
      <c r="AC2847" s="269"/>
      <c r="AD2847" s="269"/>
      <c r="AE2847" s="269"/>
      <c r="AF2847" s="269"/>
      <c r="AG2847" s="269"/>
      <c r="AH2847" s="269"/>
      <c r="AI2847" s="269"/>
      <c r="AJ2847" s="269"/>
      <c r="AK2847" s="269"/>
      <c r="AL2847" s="269"/>
      <c r="AM2847" s="269"/>
      <c r="AN2847" s="269"/>
      <c r="AO2847" s="269"/>
      <c r="AP2847" s="269"/>
      <c r="AQ2847" s="269"/>
      <c r="AR2847" s="269"/>
    </row>
    <row r="2848">
      <c r="A2848" s="410"/>
      <c r="B2848" s="410"/>
      <c r="C2848" s="410"/>
      <c r="D2848" s="410"/>
      <c r="E2848" s="410"/>
      <c r="F2848" s="410"/>
      <c r="H2848" s="269"/>
      <c r="I2848" s="269"/>
      <c r="J2848" s="269"/>
      <c r="K2848" s="269"/>
      <c r="L2848" s="269"/>
      <c r="M2848" s="269"/>
      <c r="N2848" s="269"/>
      <c r="O2848" s="269"/>
      <c r="P2848" s="269"/>
      <c r="Q2848" s="269"/>
      <c r="R2848" s="269"/>
      <c r="S2848" s="269"/>
      <c r="T2848" s="269"/>
      <c r="U2848" s="269"/>
      <c r="V2848" s="269"/>
      <c r="W2848" s="269"/>
      <c r="X2848" s="269"/>
      <c r="Y2848" s="269"/>
      <c r="Z2848" s="269"/>
      <c r="AA2848" s="269"/>
      <c r="AB2848" s="269"/>
      <c r="AC2848" s="269"/>
      <c r="AD2848" s="269"/>
      <c r="AE2848" s="269"/>
      <c r="AF2848" s="269"/>
      <c r="AG2848" s="269"/>
      <c r="AH2848" s="269"/>
      <c r="AI2848" s="269"/>
      <c r="AJ2848" s="269"/>
      <c r="AK2848" s="269"/>
      <c r="AL2848" s="269"/>
      <c r="AM2848" s="269"/>
      <c r="AN2848" s="269"/>
      <c r="AO2848" s="269"/>
      <c r="AP2848" s="269"/>
      <c r="AQ2848" s="269"/>
      <c r="AR2848" s="269"/>
    </row>
    <row r="2849">
      <c r="A2849" s="410"/>
      <c r="B2849" s="410"/>
      <c r="C2849" s="410"/>
      <c r="D2849" s="410"/>
      <c r="E2849" s="410"/>
      <c r="F2849" s="410"/>
      <c r="H2849" s="269"/>
      <c r="I2849" s="269"/>
      <c r="J2849" s="269"/>
      <c r="K2849" s="269"/>
      <c r="L2849" s="269"/>
      <c r="M2849" s="269"/>
      <c r="N2849" s="269"/>
      <c r="O2849" s="269"/>
      <c r="P2849" s="269"/>
      <c r="Q2849" s="269"/>
      <c r="R2849" s="269"/>
      <c r="S2849" s="269"/>
      <c r="T2849" s="269"/>
      <c r="U2849" s="269"/>
      <c r="V2849" s="269"/>
      <c r="W2849" s="269"/>
      <c r="X2849" s="269"/>
      <c r="Y2849" s="269"/>
      <c r="Z2849" s="269"/>
      <c r="AA2849" s="269"/>
      <c r="AB2849" s="269"/>
      <c r="AC2849" s="269"/>
      <c r="AD2849" s="269"/>
      <c r="AE2849" s="269"/>
      <c r="AF2849" s="269"/>
      <c r="AG2849" s="269"/>
      <c r="AH2849" s="269"/>
      <c r="AI2849" s="269"/>
      <c r="AJ2849" s="269"/>
      <c r="AK2849" s="269"/>
      <c r="AL2849" s="269"/>
      <c r="AM2849" s="269"/>
      <c r="AN2849" s="269"/>
      <c r="AO2849" s="269"/>
      <c r="AP2849" s="269"/>
      <c r="AQ2849" s="269"/>
      <c r="AR2849" s="269"/>
    </row>
    <row r="2850">
      <c r="A2850" s="410"/>
      <c r="B2850" s="410"/>
      <c r="C2850" s="410"/>
      <c r="D2850" s="410"/>
      <c r="E2850" s="410"/>
      <c r="F2850" s="410"/>
      <c r="H2850" s="269"/>
      <c r="I2850" s="269"/>
      <c r="J2850" s="269"/>
      <c r="K2850" s="269"/>
      <c r="L2850" s="269"/>
      <c r="M2850" s="269"/>
      <c r="N2850" s="269"/>
      <c r="O2850" s="269"/>
      <c r="P2850" s="269"/>
      <c r="Q2850" s="269"/>
      <c r="R2850" s="269"/>
      <c r="S2850" s="269"/>
      <c r="T2850" s="269"/>
      <c r="U2850" s="269"/>
      <c r="V2850" s="269"/>
      <c r="W2850" s="269"/>
      <c r="X2850" s="269"/>
      <c r="Y2850" s="269"/>
      <c r="Z2850" s="269"/>
      <c r="AA2850" s="269"/>
      <c r="AB2850" s="269"/>
      <c r="AC2850" s="269"/>
      <c r="AD2850" s="269"/>
      <c r="AE2850" s="269"/>
      <c r="AF2850" s="269"/>
      <c r="AG2850" s="269"/>
      <c r="AH2850" s="269"/>
      <c r="AI2850" s="269"/>
      <c r="AJ2850" s="269"/>
      <c r="AK2850" s="269"/>
      <c r="AL2850" s="269"/>
      <c r="AM2850" s="269"/>
      <c r="AN2850" s="269"/>
      <c r="AO2850" s="269"/>
      <c r="AP2850" s="269"/>
      <c r="AQ2850" s="269"/>
      <c r="AR2850" s="269"/>
    </row>
    <row r="2851">
      <c r="A2851" s="410"/>
      <c r="B2851" s="410"/>
      <c r="C2851" s="410"/>
      <c r="D2851" s="410"/>
      <c r="E2851" s="410"/>
      <c r="F2851" s="410"/>
      <c r="H2851" s="269"/>
      <c r="I2851" s="269"/>
      <c r="J2851" s="269"/>
      <c r="K2851" s="269"/>
      <c r="L2851" s="269"/>
      <c r="M2851" s="269"/>
      <c r="N2851" s="269"/>
      <c r="O2851" s="269"/>
      <c r="P2851" s="269"/>
      <c r="Q2851" s="269"/>
      <c r="R2851" s="269"/>
      <c r="S2851" s="269"/>
      <c r="T2851" s="269"/>
      <c r="U2851" s="269"/>
      <c r="V2851" s="269"/>
      <c r="W2851" s="269"/>
      <c r="X2851" s="269"/>
      <c r="Y2851" s="269"/>
      <c r="Z2851" s="269"/>
      <c r="AA2851" s="269"/>
      <c r="AB2851" s="269"/>
      <c r="AC2851" s="269"/>
      <c r="AD2851" s="269"/>
      <c r="AE2851" s="269"/>
      <c r="AF2851" s="269"/>
      <c r="AG2851" s="269"/>
      <c r="AH2851" s="269"/>
      <c r="AI2851" s="269"/>
      <c r="AJ2851" s="269"/>
      <c r="AK2851" s="269"/>
      <c r="AL2851" s="269"/>
      <c r="AM2851" s="269"/>
      <c r="AN2851" s="269"/>
      <c r="AO2851" s="269"/>
      <c r="AP2851" s="269"/>
      <c r="AQ2851" s="269"/>
      <c r="AR2851" s="269"/>
    </row>
    <row r="2852">
      <c r="A2852" s="410"/>
      <c r="B2852" s="410"/>
      <c r="C2852" s="410"/>
      <c r="D2852" s="410"/>
      <c r="E2852" s="410"/>
      <c r="F2852" s="410"/>
      <c r="H2852" s="269"/>
      <c r="I2852" s="269"/>
      <c r="J2852" s="269"/>
      <c r="K2852" s="269"/>
      <c r="L2852" s="269"/>
      <c r="M2852" s="269"/>
      <c r="N2852" s="269"/>
      <c r="O2852" s="269"/>
      <c r="P2852" s="269"/>
      <c r="Q2852" s="269"/>
      <c r="R2852" s="269"/>
      <c r="S2852" s="269"/>
      <c r="T2852" s="269"/>
      <c r="U2852" s="269"/>
      <c r="V2852" s="269"/>
      <c r="W2852" s="269"/>
      <c r="X2852" s="269"/>
      <c r="Y2852" s="269"/>
      <c r="Z2852" s="269"/>
      <c r="AA2852" s="269"/>
      <c r="AB2852" s="269"/>
      <c r="AC2852" s="269"/>
      <c r="AD2852" s="269"/>
      <c r="AE2852" s="269"/>
      <c r="AF2852" s="269"/>
      <c r="AG2852" s="269"/>
      <c r="AH2852" s="269"/>
      <c r="AI2852" s="269"/>
      <c r="AJ2852" s="269"/>
      <c r="AK2852" s="269"/>
      <c r="AL2852" s="269"/>
      <c r="AM2852" s="269"/>
      <c r="AN2852" s="269"/>
      <c r="AO2852" s="269"/>
      <c r="AP2852" s="269"/>
      <c r="AQ2852" s="269"/>
      <c r="AR2852" s="269"/>
    </row>
    <row r="2853">
      <c r="A2853" s="410"/>
      <c r="B2853" s="410"/>
      <c r="C2853" s="410"/>
      <c r="D2853" s="410"/>
      <c r="E2853" s="410"/>
      <c r="F2853" s="410"/>
      <c r="H2853" s="269"/>
      <c r="I2853" s="269"/>
      <c r="J2853" s="269"/>
      <c r="K2853" s="269"/>
      <c r="L2853" s="269"/>
      <c r="M2853" s="269"/>
      <c r="N2853" s="269"/>
      <c r="O2853" s="269"/>
      <c r="P2853" s="269"/>
      <c r="Q2853" s="269"/>
      <c r="R2853" s="269"/>
      <c r="S2853" s="269"/>
      <c r="T2853" s="269"/>
      <c r="U2853" s="269"/>
      <c r="V2853" s="269"/>
      <c r="W2853" s="269"/>
      <c r="X2853" s="269"/>
      <c r="Y2853" s="269"/>
      <c r="Z2853" s="269"/>
      <c r="AA2853" s="269"/>
      <c r="AB2853" s="269"/>
      <c r="AC2853" s="269"/>
      <c r="AD2853" s="269"/>
      <c r="AE2853" s="269"/>
      <c r="AF2853" s="269"/>
      <c r="AG2853" s="269"/>
      <c r="AH2853" s="269"/>
      <c r="AI2853" s="269"/>
      <c r="AJ2853" s="269"/>
      <c r="AK2853" s="269"/>
      <c r="AL2853" s="269"/>
      <c r="AM2853" s="269"/>
      <c r="AN2853" s="269"/>
      <c r="AO2853" s="269"/>
      <c r="AP2853" s="269"/>
      <c r="AQ2853" s="269"/>
      <c r="AR2853" s="269"/>
    </row>
    <row r="2854">
      <c r="A2854" s="410"/>
      <c r="B2854" s="410"/>
      <c r="C2854" s="410"/>
      <c r="D2854" s="410"/>
      <c r="E2854" s="410"/>
      <c r="F2854" s="410"/>
      <c r="H2854" s="269"/>
      <c r="I2854" s="269"/>
      <c r="J2854" s="269"/>
      <c r="K2854" s="269"/>
      <c r="L2854" s="269"/>
      <c r="M2854" s="269"/>
      <c r="N2854" s="269"/>
      <c r="O2854" s="269"/>
      <c r="P2854" s="269"/>
      <c r="Q2854" s="269"/>
      <c r="R2854" s="269"/>
      <c r="S2854" s="269"/>
      <c r="T2854" s="269"/>
      <c r="U2854" s="269"/>
      <c r="V2854" s="269"/>
      <c r="W2854" s="269"/>
      <c r="X2854" s="269"/>
      <c r="Y2854" s="269"/>
      <c r="Z2854" s="269"/>
      <c r="AA2854" s="269"/>
      <c r="AB2854" s="269"/>
      <c r="AC2854" s="269"/>
      <c r="AD2854" s="269"/>
      <c r="AE2854" s="269"/>
      <c r="AF2854" s="269"/>
      <c r="AG2854" s="269"/>
      <c r="AH2854" s="269"/>
      <c r="AI2854" s="269"/>
      <c r="AJ2854" s="269"/>
      <c r="AK2854" s="269"/>
      <c r="AL2854" s="269"/>
      <c r="AM2854" s="269"/>
      <c r="AN2854" s="269"/>
      <c r="AO2854" s="269"/>
      <c r="AP2854" s="269"/>
      <c r="AQ2854" s="269"/>
      <c r="AR2854" s="269"/>
    </row>
    <row r="2855">
      <c r="A2855" s="410"/>
      <c r="B2855" s="410"/>
      <c r="C2855" s="410"/>
      <c r="D2855" s="410"/>
      <c r="E2855" s="410"/>
      <c r="F2855" s="410"/>
      <c r="H2855" s="269"/>
      <c r="I2855" s="269"/>
      <c r="J2855" s="269"/>
      <c r="K2855" s="269"/>
      <c r="L2855" s="269"/>
      <c r="M2855" s="269"/>
      <c r="N2855" s="269"/>
      <c r="O2855" s="269"/>
      <c r="P2855" s="269"/>
      <c r="Q2855" s="269"/>
      <c r="R2855" s="269"/>
      <c r="S2855" s="269"/>
      <c r="T2855" s="269"/>
      <c r="U2855" s="269"/>
      <c r="V2855" s="269"/>
      <c r="W2855" s="269"/>
      <c r="X2855" s="269"/>
      <c r="Y2855" s="269"/>
      <c r="Z2855" s="269"/>
      <c r="AA2855" s="269"/>
      <c r="AB2855" s="269"/>
      <c r="AC2855" s="269"/>
      <c r="AD2855" s="269"/>
      <c r="AE2855" s="269"/>
      <c r="AF2855" s="269"/>
      <c r="AG2855" s="269"/>
      <c r="AH2855" s="269"/>
      <c r="AI2855" s="269"/>
      <c r="AJ2855" s="269"/>
      <c r="AK2855" s="269"/>
      <c r="AL2855" s="269"/>
      <c r="AM2855" s="269"/>
      <c r="AN2855" s="269"/>
      <c r="AO2855" s="269"/>
      <c r="AP2855" s="269"/>
      <c r="AQ2855" s="269"/>
      <c r="AR2855" s="269"/>
    </row>
    <row r="2856">
      <c r="A2856" s="410"/>
      <c r="B2856" s="410"/>
      <c r="C2856" s="410"/>
      <c r="D2856" s="410"/>
      <c r="E2856" s="410"/>
      <c r="F2856" s="410"/>
      <c r="H2856" s="269"/>
      <c r="I2856" s="269"/>
      <c r="J2856" s="269"/>
      <c r="K2856" s="269"/>
      <c r="L2856" s="269"/>
      <c r="M2856" s="269"/>
      <c r="N2856" s="269"/>
      <c r="O2856" s="269"/>
      <c r="P2856" s="269"/>
      <c r="Q2856" s="269"/>
      <c r="R2856" s="269"/>
      <c r="S2856" s="269"/>
      <c r="T2856" s="269"/>
      <c r="U2856" s="269"/>
      <c r="V2856" s="269"/>
      <c r="W2856" s="269"/>
      <c r="X2856" s="269"/>
      <c r="Y2856" s="269"/>
      <c r="Z2856" s="269"/>
      <c r="AA2856" s="269"/>
      <c r="AB2856" s="269"/>
      <c r="AC2856" s="269"/>
      <c r="AD2856" s="269"/>
      <c r="AE2856" s="269"/>
      <c r="AF2856" s="269"/>
      <c r="AG2856" s="269"/>
      <c r="AH2856" s="269"/>
      <c r="AI2856" s="269"/>
      <c r="AJ2856" s="269"/>
      <c r="AK2856" s="269"/>
      <c r="AL2856" s="269"/>
      <c r="AM2856" s="269"/>
      <c r="AN2856" s="269"/>
      <c r="AO2856" s="269"/>
      <c r="AP2856" s="269"/>
      <c r="AQ2856" s="269"/>
      <c r="AR2856" s="269"/>
    </row>
    <row r="2857">
      <c r="A2857" s="410"/>
      <c r="B2857" s="410"/>
      <c r="C2857" s="410"/>
      <c r="D2857" s="410"/>
      <c r="E2857" s="410"/>
      <c r="F2857" s="410"/>
      <c r="H2857" s="269"/>
      <c r="I2857" s="269"/>
      <c r="J2857" s="269"/>
      <c r="K2857" s="269"/>
      <c r="L2857" s="269"/>
      <c r="M2857" s="269"/>
      <c r="N2857" s="269"/>
      <c r="O2857" s="269"/>
      <c r="P2857" s="269"/>
      <c r="Q2857" s="269"/>
      <c r="R2857" s="269"/>
      <c r="S2857" s="269"/>
      <c r="T2857" s="269"/>
      <c r="U2857" s="269"/>
      <c r="V2857" s="269"/>
      <c r="W2857" s="269"/>
      <c r="X2857" s="269"/>
      <c r="Y2857" s="269"/>
      <c r="Z2857" s="269"/>
      <c r="AA2857" s="269"/>
      <c r="AB2857" s="269"/>
      <c r="AC2857" s="269"/>
      <c r="AD2857" s="269"/>
      <c r="AE2857" s="269"/>
      <c r="AF2857" s="269"/>
      <c r="AG2857" s="269"/>
      <c r="AH2857" s="269"/>
      <c r="AI2857" s="269"/>
      <c r="AJ2857" s="269"/>
      <c r="AK2857" s="269"/>
      <c r="AL2857" s="269"/>
      <c r="AM2857" s="269"/>
      <c r="AN2857" s="269"/>
      <c r="AO2857" s="269"/>
      <c r="AP2857" s="269"/>
      <c r="AQ2857" s="269"/>
      <c r="AR2857" s="269"/>
    </row>
    <row r="2858">
      <c r="A2858" s="410"/>
      <c r="B2858" s="410"/>
      <c r="C2858" s="410"/>
      <c r="D2858" s="410"/>
      <c r="E2858" s="410"/>
      <c r="F2858" s="410"/>
      <c r="H2858" s="269"/>
      <c r="I2858" s="269"/>
      <c r="J2858" s="269"/>
      <c r="K2858" s="269"/>
      <c r="L2858" s="269"/>
      <c r="M2858" s="269"/>
      <c r="N2858" s="269"/>
      <c r="O2858" s="269"/>
      <c r="P2858" s="269"/>
      <c r="Q2858" s="269"/>
      <c r="R2858" s="269"/>
      <c r="S2858" s="269"/>
      <c r="T2858" s="269"/>
      <c r="U2858" s="269"/>
      <c r="V2858" s="269"/>
      <c r="W2858" s="269"/>
      <c r="X2858" s="269"/>
      <c r="Y2858" s="269"/>
      <c r="Z2858" s="269"/>
      <c r="AA2858" s="269"/>
      <c r="AB2858" s="269"/>
      <c r="AC2858" s="269"/>
      <c r="AD2858" s="269"/>
      <c r="AE2858" s="269"/>
      <c r="AF2858" s="269"/>
      <c r="AG2858" s="269"/>
      <c r="AH2858" s="269"/>
      <c r="AI2858" s="269"/>
      <c r="AJ2858" s="269"/>
      <c r="AK2858" s="269"/>
      <c r="AL2858" s="269"/>
      <c r="AM2858" s="269"/>
      <c r="AN2858" s="269"/>
      <c r="AO2858" s="269"/>
      <c r="AP2858" s="269"/>
      <c r="AQ2858" s="269"/>
      <c r="AR2858" s="269"/>
    </row>
    <row r="2859">
      <c r="A2859" s="410"/>
      <c r="B2859" s="410"/>
      <c r="C2859" s="410"/>
      <c r="D2859" s="410"/>
      <c r="E2859" s="410"/>
      <c r="F2859" s="410"/>
      <c r="H2859" s="269"/>
      <c r="I2859" s="269"/>
      <c r="J2859" s="269"/>
      <c r="K2859" s="269"/>
      <c r="L2859" s="269"/>
      <c r="M2859" s="269"/>
      <c r="N2859" s="269"/>
      <c r="O2859" s="269"/>
      <c r="P2859" s="269"/>
      <c r="Q2859" s="269"/>
      <c r="R2859" s="269"/>
      <c r="S2859" s="269"/>
      <c r="T2859" s="269"/>
      <c r="U2859" s="269"/>
      <c r="V2859" s="269"/>
      <c r="W2859" s="269"/>
      <c r="X2859" s="269"/>
      <c r="Y2859" s="269"/>
      <c r="Z2859" s="269"/>
      <c r="AA2859" s="269"/>
      <c r="AB2859" s="269"/>
      <c r="AC2859" s="269"/>
      <c r="AD2859" s="269"/>
      <c r="AE2859" s="269"/>
      <c r="AF2859" s="269"/>
      <c r="AG2859" s="269"/>
      <c r="AH2859" s="269"/>
      <c r="AI2859" s="269"/>
      <c r="AJ2859" s="269"/>
      <c r="AK2859" s="269"/>
      <c r="AL2859" s="269"/>
      <c r="AM2859" s="269"/>
      <c r="AN2859" s="269"/>
      <c r="AO2859" s="269"/>
      <c r="AP2859" s="269"/>
      <c r="AQ2859" s="269"/>
      <c r="AR2859" s="269"/>
    </row>
    <row r="2860">
      <c r="A2860" s="410"/>
      <c r="B2860" s="410"/>
      <c r="C2860" s="410"/>
      <c r="D2860" s="410"/>
      <c r="E2860" s="410"/>
      <c r="F2860" s="410"/>
      <c r="H2860" s="269"/>
      <c r="I2860" s="269"/>
      <c r="J2860" s="269"/>
      <c r="K2860" s="269"/>
      <c r="L2860" s="269"/>
      <c r="M2860" s="269"/>
      <c r="N2860" s="269"/>
      <c r="O2860" s="269"/>
      <c r="P2860" s="269"/>
      <c r="Q2860" s="269"/>
      <c r="R2860" s="269"/>
      <c r="S2860" s="269"/>
      <c r="T2860" s="269"/>
      <c r="U2860" s="269"/>
      <c r="V2860" s="269"/>
      <c r="W2860" s="269"/>
      <c r="X2860" s="269"/>
      <c r="Y2860" s="269"/>
      <c r="Z2860" s="269"/>
      <c r="AA2860" s="269"/>
      <c r="AB2860" s="269"/>
      <c r="AC2860" s="269"/>
      <c r="AD2860" s="269"/>
      <c r="AE2860" s="269"/>
      <c r="AF2860" s="269"/>
      <c r="AG2860" s="269"/>
      <c r="AH2860" s="269"/>
      <c r="AI2860" s="269"/>
      <c r="AJ2860" s="269"/>
      <c r="AK2860" s="269"/>
      <c r="AL2860" s="269"/>
      <c r="AM2860" s="269"/>
      <c r="AN2860" s="269"/>
      <c r="AO2860" s="269"/>
      <c r="AP2860" s="269"/>
      <c r="AQ2860" s="269"/>
      <c r="AR2860" s="269"/>
    </row>
    <row r="2861">
      <c r="A2861" s="410"/>
      <c r="B2861" s="410"/>
      <c r="C2861" s="410"/>
      <c r="D2861" s="410"/>
      <c r="E2861" s="410"/>
      <c r="F2861" s="410"/>
      <c r="H2861" s="269"/>
      <c r="I2861" s="269"/>
      <c r="J2861" s="269"/>
      <c r="K2861" s="269"/>
      <c r="L2861" s="269"/>
      <c r="M2861" s="269"/>
      <c r="N2861" s="269"/>
      <c r="O2861" s="269"/>
      <c r="P2861" s="269"/>
      <c r="Q2861" s="269"/>
      <c r="R2861" s="269"/>
      <c r="S2861" s="269"/>
      <c r="T2861" s="269"/>
      <c r="U2861" s="269"/>
      <c r="V2861" s="269"/>
      <c r="W2861" s="269"/>
      <c r="X2861" s="269"/>
      <c r="Y2861" s="269"/>
      <c r="Z2861" s="269"/>
      <c r="AA2861" s="269"/>
      <c r="AB2861" s="269"/>
      <c r="AC2861" s="269"/>
      <c r="AD2861" s="269"/>
      <c r="AE2861" s="269"/>
      <c r="AF2861" s="269"/>
      <c r="AG2861" s="269"/>
      <c r="AH2861" s="269"/>
      <c r="AI2861" s="269"/>
      <c r="AJ2861" s="269"/>
      <c r="AK2861" s="269"/>
      <c r="AL2861" s="269"/>
      <c r="AM2861" s="269"/>
      <c r="AN2861" s="269"/>
      <c r="AO2861" s="269"/>
      <c r="AP2861" s="269"/>
      <c r="AQ2861" s="269"/>
      <c r="AR2861" s="269"/>
    </row>
    <row r="2862">
      <c r="A2862" s="410"/>
      <c r="B2862" s="410"/>
      <c r="C2862" s="410"/>
      <c r="D2862" s="410"/>
      <c r="E2862" s="410"/>
      <c r="F2862" s="410"/>
      <c r="H2862" s="269"/>
      <c r="I2862" s="269"/>
      <c r="J2862" s="269"/>
      <c r="K2862" s="269"/>
      <c r="L2862" s="269"/>
      <c r="M2862" s="269"/>
      <c r="N2862" s="269"/>
      <c r="O2862" s="269"/>
      <c r="P2862" s="269"/>
      <c r="Q2862" s="269"/>
      <c r="R2862" s="269"/>
      <c r="S2862" s="269"/>
      <c r="T2862" s="269"/>
      <c r="U2862" s="269"/>
      <c r="V2862" s="269"/>
      <c r="W2862" s="269"/>
      <c r="X2862" s="269"/>
      <c r="Y2862" s="269"/>
      <c r="Z2862" s="269"/>
      <c r="AA2862" s="269"/>
      <c r="AB2862" s="269"/>
      <c r="AC2862" s="269"/>
      <c r="AD2862" s="269"/>
      <c r="AE2862" s="269"/>
      <c r="AF2862" s="269"/>
      <c r="AG2862" s="269"/>
      <c r="AH2862" s="269"/>
      <c r="AI2862" s="269"/>
      <c r="AJ2862" s="269"/>
      <c r="AK2862" s="269"/>
      <c r="AL2862" s="269"/>
      <c r="AM2862" s="269"/>
      <c r="AN2862" s="269"/>
      <c r="AO2862" s="269"/>
      <c r="AP2862" s="269"/>
      <c r="AQ2862" s="269"/>
      <c r="AR2862" s="269"/>
    </row>
    <row r="2863">
      <c r="A2863" s="410"/>
      <c r="B2863" s="410"/>
      <c r="C2863" s="410"/>
      <c r="D2863" s="410"/>
      <c r="E2863" s="410"/>
      <c r="F2863" s="410"/>
      <c r="H2863" s="269"/>
      <c r="I2863" s="269"/>
      <c r="J2863" s="269"/>
      <c r="K2863" s="269"/>
      <c r="L2863" s="269"/>
      <c r="M2863" s="269"/>
      <c r="N2863" s="269"/>
      <c r="O2863" s="269"/>
      <c r="P2863" s="269"/>
      <c r="Q2863" s="269"/>
      <c r="R2863" s="269"/>
      <c r="S2863" s="269"/>
      <c r="T2863" s="269"/>
      <c r="U2863" s="269"/>
      <c r="V2863" s="269"/>
      <c r="W2863" s="269"/>
      <c r="X2863" s="269"/>
      <c r="Y2863" s="269"/>
      <c r="Z2863" s="269"/>
      <c r="AA2863" s="269"/>
      <c r="AB2863" s="269"/>
      <c r="AC2863" s="269"/>
      <c r="AD2863" s="269"/>
      <c r="AE2863" s="269"/>
      <c r="AF2863" s="269"/>
      <c r="AG2863" s="269"/>
      <c r="AH2863" s="269"/>
      <c r="AI2863" s="269"/>
      <c r="AJ2863" s="269"/>
      <c r="AK2863" s="269"/>
      <c r="AL2863" s="269"/>
      <c r="AM2863" s="269"/>
      <c r="AN2863" s="269"/>
      <c r="AO2863" s="269"/>
      <c r="AP2863" s="269"/>
      <c r="AQ2863" s="269"/>
      <c r="AR2863" s="269"/>
    </row>
    <row r="2864">
      <c r="A2864" s="410"/>
      <c r="B2864" s="410"/>
      <c r="C2864" s="410"/>
      <c r="D2864" s="410"/>
      <c r="E2864" s="410"/>
      <c r="F2864" s="410"/>
      <c r="H2864" s="269"/>
      <c r="I2864" s="269"/>
      <c r="J2864" s="269"/>
      <c r="K2864" s="269"/>
      <c r="L2864" s="269"/>
      <c r="M2864" s="269"/>
      <c r="N2864" s="269"/>
      <c r="O2864" s="269"/>
      <c r="P2864" s="269"/>
      <c r="Q2864" s="269"/>
      <c r="R2864" s="269"/>
      <c r="S2864" s="269"/>
      <c r="T2864" s="269"/>
      <c r="U2864" s="269"/>
      <c r="V2864" s="269"/>
      <c r="W2864" s="269"/>
      <c r="X2864" s="269"/>
      <c r="Y2864" s="269"/>
      <c r="Z2864" s="269"/>
      <c r="AA2864" s="269"/>
      <c r="AB2864" s="269"/>
      <c r="AC2864" s="269"/>
      <c r="AD2864" s="269"/>
      <c r="AE2864" s="269"/>
      <c r="AF2864" s="269"/>
      <c r="AG2864" s="269"/>
      <c r="AH2864" s="269"/>
      <c r="AI2864" s="269"/>
      <c r="AJ2864" s="269"/>
      <c r="AK2864" s="269"/>
      <c r="AL2864" s="269"/>
      <c r="AM2864" s="269"/>
      <c r="AN2864" s="269"/>
      <c r="AO2864" s="269"/>
      <c r="AP2864" s="269"/>
      <c r="AQ2864" s="269"/>
      <c r="AR2864" s="269"/>
    </row>
    <row r="2865">
      <c r="A2865" s="410"/>
      <c r="B2865" s="410"/>
      <c r="C2865" s="410"/>
      <c r="D2865" s="410"/>
      <c r="E2865" s="410"/>
      <c r="F2865" s="410"/>
      <c r="H2865" s="269"/>
      <c r="I2865" s="269"/>
      <c r="J2865" s="269"/>
      <c r="K2865" s="269"/>
      <c r="L2865" s="269"/>
      <c r="M2865" s="269"/>
      <c r="N2865" s="269"/>
      <c r="O2865" s="269"/>
      <c r="P2865" s="269"/>
      <c r="Q2865" s="269"/>
      <c r="R2865" s="269"/>
      <c r="S2865" s="269"/>
      <c r="T2865" s="269"/>
      <c r="U2865" s="269"/>
      <c r="V2865" s="269"/>
      <c r="W2865" s="269"/>
      <c r="X2865" s="269"/>
      <c r="Y2865" s="269"/>
      <c r="Z2865" s="269"/>
      <c r="AA2865" s="269"/>
      <c r="AB2865" s="269"/>
      <c r="AC2865" s="269"/>
      <c r="AD2865" s="269"/>
      <c r="AE2865" s="269"/>
      <c r="AF2865" s="269"/>
      <c r="AG2865" s="269"/>
      <c r="AH2865" s="269"/>
      <c r="AI2865" s="269"/>
      <c r="AJ2865" s="269"/>
      <c r="AK2865" s="269"/>
      <c r="AL2865" s="269"/>
      <c r="AM2865" s="269"/>
      <c r="AN2865" s="269"/>
      <c r="AO2865" s="269"/>
      <c r="AP2865" s="269"/>
      <c r="AQ2865" s="269"/>
      <c r="AR2865" s="269"/>
    </row>
    <row r="2866">
      <c r="A2866" s="410"/>
      <c r="B2866" s="410"/>
      <c r="C2866" s="410"/>
      <c r="D2866" s="410"/>
      <c r="E2866" s="410"/>
      <c r="F2866" s="410"/>
      <c r="H2866" s="269"/>
      <c r="I2866" s="269"/>
      <c r="J2866" s="269"/>
      <c r="K2866" s="269"/>
      <c r="L2866" s="269"/>
      <c r="M2866" s="269"/>
      <c r="N2866" s="269"/>
      <c r="O2866" s="269"/>
      <c r="P2866" s="269"/>
      <c r="Q2866" s="269"/>
      <c r="R2866" s="269"/>
      <c r="S2866" s="269"/>
      <c r="T2866" s="269"/>
      <c r="U2866" s="269"/>
      <c r="V2866" s="269"/>
      <c r="W2866" s="269"/>
      <c r="X2866" s="269"/>
      <c r="Y2866" s="269"/>
      <c r="Z2866" s="269"/>
      <c r="AA2866" s="269"/>
      <c r="AB2866" s="269"/>
      <c r="AC2866" s="269"/>
      <c r="AD2866" s="269"/>
      <c r="AE2866" s="269"/>
      <c r="AF2866" s="269"/>
      <c r="AG2866" s="269"/>
      <c r="AH2866" s="269"/>
      <c r="AI2866" s="269"/>
      <c r="AJ2866" s="269"/>
      <c r="AK2866" s="269"/>
      <c r="AL2866" s="269"/>
      <c r="AM2866" s="269"/>
      <c r="AN2866" s="269"/>
      <c r="AO2866" s="269"/>
      <c r="AP2866" s="269"/>
      <c r="AQ2866" s="269"/>
      <c r="AR2866" s="269"/>
    </row>
    <row r="2867">
      <c r="A2867" s="410"/>
      <c r="B2867" s="410"/>
      <c r="C2867" s="410"/>
      <c r="D2867" s="410"/>
      <c r="E2867" s="410"/>
      <c r="F2867" s="410"/>
      <c r="H2867" s="269"/>
      <c r="I2867" s="269"/>
      <c r="J2867" s="269"/>
      <c r="K2867" s="269"/>
      <c r="L2867" s="269"/>
      <c r="M2867" s="269"/>
      <c r="N2867" s="269"/>
      <c r="O2867" s="269"/>
      <c r="P2867" s="269"/>
      <c r="Q2867" s="269"/>
      <c r="R2867" s="269"/>
      <c r="S2867" s="269"/>
      <c r="T2867" s="269"/>
      <c r="U2867" s="269"/>
      <c r="V2867" s="269"/>
      <c r="W2867" s="269"/>
      <c r="X2867" s="269"/>
      <c r="Y2867" s="269"/>
      <c r="Z2867" s="269"/>
      <c r="AA2867" s="269"/>
      <c r="AB2867" s="269"/>
      <c r="AC2867" s="269"/>
      <c r="AD2867" s="269"/>
      <c r="AE2867" s="269"/>
      <c r="AF2867" s="269"/>
      <c r="AG2867" s="269"/>
      <c r="AH2867" s="269"/>
      <c r="AI2867" s="269"/>
      <c r="AJ2867" s="269"/>
      <c r="AK2867" s="269"/>
      <c r="AL2867" s="269"/>
      <c r="AM2867" s="269"/>
      <c r="AN2867" s="269"/>
      <c r="AO2867" s="269"/>
      <c r="AP2867" s="269"/>
      <c r="AQ2867" s="269"/>
      <c r="AR2867" s="269"/>
    </row>
    <row r="2868">
      <c r="A2868" s="410"/>
      <c r="B2868" s="410"/>
      <c r="C2868" s="410"/>
      <c r="D2868" s="410"/>
      <c r="E2868" s="410"/>
      <c r="F2868" s="410"/>
      <c r="H2868" s="269"/>
      <c r="I2868" s="269"/>
      <c r="J2868" s="269"/>
      <c r="K2868" s="269"/>
      <c r="L2868" s="269"/>
      <c r="M2868" s="269"/>
      <c r="N2868" s="269"/>
      <c r="O2868" s="269"/>
      <c r="P2868" s="269"/>
      <c r="Q2868" s="269"/>
      <c r="R2868" s="269"/>
      <c r="S2868" s="269"/>
      <c r="T2868" s="269"/>
      <c r="U2868" s="269"/>
      <c r="V2868" s="269"/>
      <c r="W2868" s="269"/>
      <c r="X2868" s="269"/>
      <c r="Y2868" s="269"/>
      <c r="Z2868" s="269"/>
      <c r="AA2868" s="269"/>
      <c r="AB2868" s="269"/>
      <c r="AC2868" s="269"/>
      <c r="AD2868" s="269"/>
      <c r="AE2868" s="269"/>
      <c r="AF2868" s="269"/>
      <c r="AG2868" s="269"/>
      <c r="AH2868" s="269"/>
      <c r="AI2868" s="269"/>
      <c r="AJ2868" s="269"/>
      <c r="AK2868" s="269"/>
      <c r="AL2868" s="269"/>
      <c r="AM2868" s="269"/>
      <c r="AN2868" s="269"/>
      <c r="AO2868" s="269"/>
      <c r="AP2868" s="269"/>
      <c r="AQ2868" s="269"/>
      <c r="AR2868" s="269"/>
    </row>
    <row r="2869">
      <c r="A2869" s="410"/>
      <c r="B2869" s="410"/>
      <c r="C2869" s="410"/>
      <c r="D2869" s="410"/>
      <c r="E2869" s="410"/>
      <c r="F2869" s="410"/>
      <c r="H2869" s="269"/>
      <c r="I2869" s="269"/>
      <c r="J2869" s="269"/>
      <c r="K2869" s="269"/>
      <c r="L2869" s="269"/>
      <c r="M2869" s="269"/>
      <c r="N2869" s="269"/>
      <c r="O2869" s="269"/>
      <c r="P2869" s="269"/>
      <c r="Q2869" s="269"/>
      <c r="R2869" s="269"/>
      <c r="S2869" s="269"/>
      <c r="T2869" s="269"/>
      <c r="U2869" s="269"/>
      <c r="V2869" s="269"/>
      <c r="W2869" s="269"/>
      <c r="X2869" s="269"/>
      <c r="Y2869" s="269"/>
      <c r="Z2869" s="269"/>
      <c r="AA2869" s="269"/>
      <c r="AB2869" s="269"/>
      <c r="AC2869" s="269"/>
      <c r="AD2869" s="269"/>
      <c r="AE2869" s="269"/>
      <c r="AF2869" s="269"/>
      <c r="AG2869" s="269"/>
      <c r="AH2869" s="269"/>
      <c r="AI2869" s="269"/>
      <c r="AJ2869" s="269"/>
      <c r="AK2869" s="269"/>
      <c r="AL2869" s="269"/>
      <c r="AM2869" s="269"/>
      <c r="AN2869" s="269"/>
      <c r="AO2869" s="269"/>
      <c r="AP2869" s="269"/>
      <c r="AQ2869" s="269"/>
      <c r="AR2869" s="269"/>
    </row>
    <row r="2870">
      <c r="A2870" s="410"/>
      <c r="B2870" s="410"/>
      <c r="C2870" s="410"/>
      <c r="D2870" s="410"/>
      <c r="E2870" s="410"/>
      <c r="F2870" s="410"/>
      <c r="H2870" s="269"/>
      <c r="I2870" s="269"/>
      <c r="J2870" s="269"/>
      <c r="K2870" s="269"/>
      <c r="L2870" s="269"/>
      <c r="M2870" s="269"/>
      <c r="N2870" s="269"/>
      <c r="O2870" s="269"/>
      <c r="P2870" s="269"/>
      <c r="Q2870" s="269"/>
      <c r="R2870" s="269"/>
      <c r="S2870" s="269"/>
      <c r="T2870" s="269"/>
      <c r="U2870" s="269"/>
      <c r="V2870" s="269"/>
      <c r="W2870" s="269"/>
      <c r="X2870" s="269"/>
      <c r="Y2870" s="269"/>
      <c r="Z2870" s="269"/>
      <c r="AA2870" s="269"/>
      <c r="AB2870" s="269"/>
      <c r="AC2870" s="269"/>
      <c r="AD2870" s="269"/>
      <c r="AE2870" s="269"/>
      <c r="AF2870" s="269"/>
      <c r="AG2870" s="269"/>
      <c r="AH2870" s="269"/>
      <c r="AI2870" s="269"/>
      <c r="AJ2870" s="269"/>
      <c r="AK2870" s="269"/>
      <c r="AL2870" s="269"/>
      <c r="AM2870" s="269"/>
      <c r="AN2870" s="269"/>
      <c r="AO2870" s="269"/>
      <c r="AP2870" s="269"/>
      <c r="AQ2870" s="269"/>
      <c r="AR2870" s="269"/>
    </row>
    <row r="2871">
      <c r="A2871" s="410"/>
      <c r="B2871" s="410"/>
      <c r="C2871" s="410"/>
      <c r="D2871" s="410"/>
      <c r="E2871" s="410"/>
      <c r="F2871" s="410"/>
      <c r="H2871" s="269"/>
      <c r="I2871" s="269"/>
      <c r="J2871" s="269"/>
      <c r="K2871" s="269"/>
      <c r="L2871" s="269"/>
      <c r="M2871" s="269"/>
      <c r="N2871" s="269"/>
      <c r="O2871" s="269"/>
      <c r="P2871" s="269"/>
      <c r="Q2871" s="269"/>
      <c r="R2871" s="269"/>
      <c r="S2871" s="269"/>
      <c r="T2871" s="269"/>
      <c r="U2871" s="269"/>
      <c r="V2871" s="269"/>
      <c r="W2871" s="269"/>
      <c r="X2871" s="269"/>
      <c r="Y2871" s="269"/>
      <c r="Z2871" s="269"/>
      <c r="AA2871" s="269"/>
      <c r="AB2871" s="269"/>
      <c r="AC2871" s="269"/>
      <c r="AD2871" s="269"/>
      <c r="AE2871" s="269"/>
      <c r="AF2871" s="269"/>
      <c r="AG2871" s="269"/>
      <c r="AH2871" s="269"/>
      <c r="AI2871" s="269"/>
      <c r="AJ2871" s="269"/>
      <c r="AK2871" s="269"/>
      <c r="AL2871" s="269"/>
      <c r="AM2871" s="269"/>
      <c r="AN2871" s="269"/>
      <c r="AO2871" s="269"/>
      <c r="AP2871" s="269"/>
      <c r="AQ2871" s="269"/>
      <c r="AR2871" s="269"/>
    </row>
    <row r="2872">
      <c r="A2872" s="410"/>
      <c r="B2872" s="410"/>
      <c r="C2872" s="410"/>
      <c r="D2872" s="410"/>
      <c r="E2872" s="410"/>
      <c r="F2872" s="410"/>
      <c r="H2872" s="269"/>
      <c r="I2872" s="269"/>
      <c r="J2872" s="269"/>
      <c r="K2872" s="269"/>
      <c r="L2872" s="269"/>
      <c r="M2872" s="269"/>
      <c r="N2872" s="269"/>
      <c r="O2872" s="269"/>
      <c r="P2872" s="269"/>
      <c r="Q2872" s="269"/>
      <c r="R2872" s="269"/>
      <c r="S2872" s="269"/>
      <c r="T2872" s="269"/>
      <c r="U2872" s="269"/>
      <c r="V2872" s="269"/>
      <c r="W2872" s="269"/>
      <c r="X2872" s="269"/>
      <c r="Y2872" s="269"/>
      <c r="Z2872" s="269"/>
      <c r="AA2872" s="269"/>
      <c r="AB2872" s="269"/>
      <c r="AC2872" s="269"/>
      <c r="AD2872" s="269"/>
      <c r="AE2872" s="269"/>
      <c r="AF2872" s="269"/>
      <c r="AG2872" s="269"/>
      <c r="AH2872" s="269"/>
      <c r="AI2872" s="269"/>
      <c r="AJ2872" s="269"/>
      <c r="AK2872" s="269"/>
      <c r="AL2872" s="269"/>
      <c r="AM2872" s="269"/>
      <c r="AN2872" s="269"/>
      <c r="AO2872" s="269"/>
      <c r="AP2872" s="269"/>
      <c r="AQ2872" s="269"/>
      <c r="AR2872" s="269"/>
    </row>
    <row r="2873">
      <c r="A2873" s="410"/>
      <c r="B2873" s="410"/>
      <c r="C2873" s="410"/>
      <c r="D2873" s="410"/>
      <c r="E2873" s="410"/>
      <c r="F2873" s="410"/>
      <c r="H2873" s="269"/>
      <c r="I2873" s="269"/>
      <c r="J2873" s="269"/>
      <c r="K2873" s="269"/>
      <c r="L2873" s="269"/>
      <c r="M2873" s="269"/>
      <c r="N2873" s="269"/>
      <c r="O2873" s="269"/>
      <c r="P2873" s="269"/>
      <c r="Q2873" s="269"/>
      <c r="R2873" s="269"/>
      <c r="S2873" s="269"/>
      <c r="T2873" s="269"/>
      <c r="U2873" s="269"/>
      <c r="V2873" s="269"/>
      <c r="W2873" s="269"/>
      <c r="X2873" s="269"/>
      <c r="Y2873" s="269"/>
      <c r="Z2873" s="269"/>
      <c r="AA2873" s="269"/>
      <c r="AB2873" s="269"/>
      <c r="AC2873" s="269"/>
      <c r="AD2873" s="269"/>
      <c r="AE2873" s="269"/>
      <c r="AF2873" s="269"/>
      <c r="AG2873" s="269"/>
      <c r="AH2873" s="269"/>
      <c r="AI2873" s="269"/>
      <c r="AJ2873" s="269"/>
      <c r="AK2873" s="269"/>
      <c r="AL2873" s="269"/>
      <c r="AM2873" s="269"/>
      <c r="AN2873" s="269"/>
      <c r="AO2873" s="269"/>
      <c r="AP2873" s="269"/>
      <c r="AQ2873" s="269"/>
      <c r="AR2873" s="269"/>
    </row>
    <row r="2874">
      <c r="A2874" s="410"/>
      <c r="B2874" s="410"/>
      <c r="C2874" s="410"/>
      <c r="D2874" s="410"/>
      <c r="E2874" s="410"/>
      <c r="F2874" s="410"/>
      <c r="H2874" s="269"/>
      <c r="I2874" s="269"/>
      <c r="J2874" s="269"/>
      <c r="K2874" s="269"/>
      <c r="L2874" s="269"/>
      <c r="M2874" s="269"/>
      <c r="N2874" s="269"/>
      <c r="O2874" s="269"/>
      <c r="P2874" s="269"/>
      <c r="Q2874" s="269"/>
      <c r="R2874" s="269"/>
      <c r="S2874" s="269"/>
      <c r="T2874" s="269"/>
      <c r="U2874" s="269"/>
      <c r="V2874" s="269"/>
      <c r="W2874" s="269"/>
      <c r="X2874" s="269"/>
      <c r="Y2874" s="269"/>
      <c r="Z2874" s="269"/>
      <c r="AA2874" s="269"/>
      <c r="AB2874" s="269"/>
      <c r="AC2874" s="269"/>
      <c r="AD2874" s="269"/>
      <c r="AE2874" s="269"/>
      <c r="AF2874" s="269"/>
      <c r="AG2874" s="269"/>
      <c r="AH2874" s="269"/>
      <c r="AI2874" s="269"/>
      <c r="AJ2874" s="269"/>
      <c r="AK2874" s="269"/>
      <c r="AL2874" s="269"/>
      <c r="AM2874" s="269"/>
      <c r="AN2874" s="269"/>
      <c r="AO2874" s="269"/>
      <c r="AP2874" s="269"/>
      <c r="AQ2874" s="269"/>
      <c r="AR2874" s="269"/>
    </row>
    <row r="2875">
      <c r="A2875" s="410"/>
      <c r="B2875" s="410"/>
      <c r="C2875" s="410"/>
      <c r="D2875" s="410"/>
      <c r="E2875" s="410"/>
      <c r="F2875" s="410"/>
      <c r="H2875" s="269"/>
      <c r="I2875" s="269"/>
      <c r="J2875" s="269"/>
      <c r="K2875" s="269"/>
      <c r="L2875" s="269"/>
      <c r="M2875" s="269"/>
      <c r="N2875" s="269"/>
      <c r="O2875" s="269"/>
      <c r="P2875" s="269"/>
      <c r="Q2875" s="269"/>
      <c r="R2875" s="269"/>
      <c r="S2875" s="269"/>
      <c r="T2875" s="269"/>
      <c r="U2875" s="269"/>
      <c r="V2875" s="269"/>
      <c r="W2875" s="269"/>
      <c r="X2875" s="269"/>
      <c r="Y2875" s="269"/>
      <c r="Z2875" s="269"/>
      <c r="AA2875" s="269"/>
      <c r="AB2875" s="269"/>
      <c r="AC2875" s="269"/>
      <c r="AD2875" s="269"/>
      <c r="AE2875" s="269"/>
      <c r="AF2875" s="269"/>
      <c r="AG2875" s="269"/>
      <c r="AH2875" s="269"/>
      <c r="AI2875" s="269"/>
      <c r="AJ2875" s="269"/>
      <c r="AK2875" s="269"/>
      <c r="AL2875" s="269"/>
      <c r="AM2875" s="269"/>
      <c r="AN2875" s="269"/>
      <c r="AO2875" s="269"/>
      <c r="AP2875" s="269"/>
      <c r="AQ2875" s="269"/>
      <c r="AR2875" s="269"/>
    </row>
    <row r="2876">
      <c r="A2876" s="410"/>
      <c r="B2876" s="410"/>
      <c r="C2876" s="410"/>
      <c r="D2876" s="410"/>
      <c r="E2876" s="410"/>
      <c r="F2876" s="410"/>
      <c r="H2876" s="269"/>
      <c r="I2876" s="269"/>
      <c r="J2876" s="269"/>
      <c r="K2876" s="269"/>
      <c r="L2876" s="269"/>
      <c r="M2876" s="269"/>
      <c r="N2876" s="269"/>
      <c r="O2876" s="269"/>
      <c r="P2876" s="269"/>
      <c r="Q2876" s="269"/>
      <c r="R2876" s="269"/>
      <c r="S2876" s="269"/>
      <c r="T2876" s="269"/>
      <c r="U2876" s="269"/>
      <c r="V2876" s="269"/>
      <c r="W2876" s="269"/>
      <c r="X2876" s="269"/>
      <c r="Y2876" s="269"/>
      <c r="Z2876" s="269"/>
      <c r="AA2876" s="269"/>
      <c r="AB2876" s="269"/>
      <c r="AC2876" s="269"/>
      <c r="AD2876" s="269"/>
      <c r="AE2876" s="269"/>
      <c r="AF2876" s="269"/>
      <c r="AG2876" s="269"/>
      <c r="AH2876" s="269"/>
      <c r="AI2876" s="269"/>
      <c r="AJ2876" s="269"/>
      <c r="AK2876" s="269"/>
      <c r="AL2876" s="269"/>
      <c r="AM2876" s="269"/>
      <c r="AN2876" s="269"/>
      <c r="AO2876" s="269"/>
      <c r="AP2876" s="269"/>
      <c r="AQ2876" s="269"/>
      <c r="AR2876" s="269"/>
    </row>
    <row r="2877">
      <c r="A2877" s="410"/>
      <c r="B2877" s="410"/>
      <c r="C2877" s="410"/>
      <c r="D2877" s="410"/>
      <c r="E2877" s="410"/>
      <c r="F2877" s="410"/>
      <c r="H2877" s="269"/>
      <c r="I2877" s="269"/>
      <c r="J2877" s="269"/>
      <c r="K2877" s="269"/>
      <c r="L2877" s="269"/>
      <c r="M2877" s="269"/>
      <c r="N2877" s="269"/>
      <c r="O2877" s="269"/>
      <c r="P2877" s="269"/>
      <c r="Q2877" s="269"/>
      <c r="R2877" s="269"/>
      <c r="S2877" s="269"/>
      <c r="T2877" s="269"/>
      <c r="U2877" s="269"/>
      <c r="V2877" s="269"/>
      <c r="W2877" s="269"/>
      <c r="X2877" s="269"/>
      <c r="Y2877" s="269"/>
      <c r="Z2877" s="269"/>
      <c r="AA2877" s="269"/>
      <c r="AB2877" s="269"/>
      <c r="AC2877" s="269"/>
      <c r="AD2877" s="269"/>
      <c r="AE2877" s="269"/>
      <c r="AF2877" s="269"/>
      <c r="AG2877" s="269"/>
      <c r="AH2877" s="269"/>
      <c r="AI2877" s="269"/>
      <c r="AJ2877" s="269"/>
      <c r="AK2877" s="269"/>
      <c r="AL2877" s="269"/>
      <c r="AM2877" s="269"/>
      <c r="AN2877" s="269"/>
      <c r="AO2877" s="269"/>
      <c r="AP2877" s="269"/>
      <c r="AQ2877" s="269"/>
      <c r="AR2877" s="269"/>
    </row>
    <row r="2878">
      <c r="A2878" s="410"/>
      <c r="B2878" s="410"/>
      <c r="C2878" s="410"/>
      <c r="D2878" s="410"/>
      <c r="E2878" s="410"/>
      <c r="F2878" s="410"/>
      <c r="H2878" s="269"/>
      <c r="I2878" s="269"/>
      <c r="J2878" s="269"/>
      <c r="K2878" s="269"/>
      <c r="L2878" s="269"/>
      <c r="M2878" s="269"/>
      <c r="N2878" s="269"/>
      <c r="O2878" s="269"/>
      <c r="P2878" s="269"/>
      <c r="Q2878" s="269"/>
      <c r="R2878" s="269"/>
      <c r="S2878" s="269"/>
      <c r="T2878" s="269"/>
      <c r="U2878" s="269"/>
      <c r="V2878" s="269"/>
      <c r="W2878" s="269"/>
      <c r="X2878" s="269"/>
      <c r="Y2878" s="269"/>
      <c r="Z2878" s="269"/>
      <c r="AA2878" s="269"/>
      <c r="AB2878" s="269"/>
      <c r="AC2878" s="269"/>
      <c r="AD2878" s="269"/>
      <c r="AE2878" s="269"/>
      <c r="AF2878" s="269"/>
      <c r="AG2878" s="269"/>
      <c r="AH2878" s="269"/>
      <c r="AI2878" s="269"/>
      <c r="AJ2878" s="269"/>
      <c r="AK2878" s="269"/>
      <c r="AL2878" s="269"/>
      <c r="AM2878" s="269"/>
      <c r="AN2878" s="269"/>
      <c r="AO2878" s="269"/>
      <c r="AP2878" s="269"/>
      <c r="AQ2878" s="269"/>
      <c r="AR2878" s="269"/>
    </row>
    <row r="2879">
      <c r="A2879" s="410"/>
      <c r="B2879" s="410"/>
      <c r="C2879" s="410"/>
      <c r="D2879" s="410"/>
      <c r="E2879" s="410"/>
      <c r="F2879" s="410"/>
      <c r="H2879" s="269"/>
      <c r="I2879" s="269"/>
      <c r="J2879" s="269"/>
      <c r="K2879" s="269"/>
      <c r="L2879" s="269"/>
      <c r="M2879" s="269"/>
      <c r="N2879" s="269"/>
      <c r="O2879" s="269"/>
      <c r="P2879" s="269"/>
      <c r="Q2879" s="269"/>
      <c r="R2879" s="269"/>
      <c r="S2879" s="269"/>
      <c r="T2879" s="269"/>
      <c r="U2879" s="269"/>
      <c r="V2879" s="269"/>
      <c r="W2879" s="269"/>
      <c r="X2879" s="269"/>
      <c r="Y2879" s="269"/>
      <c r="Z2879" s="269"/>
      <c r="AA2879" s="269"/>
      <c r="AB2879" s="269"/>
      <c r="AC2879" s="269"/>
      <c r="AD2879" s="269"/>
      <c r="AE2879" s="269"/>
      <c r="AF2879" s="269"/>
      <c r="AG2879" s="269"/>
      <c r="AH2879" s="269"/>
      <c r="AI2879" s="269"/>
      <c r="AJ2879" s="269"/>
      <c r="AK2879" s="269"/>
      <c r="AL2879" s="269"/>
      <c r="AM2879" s="269"/>
      <c r="AN2879" s="269"/>
      <c r="AO2879" s="269"/>
      <c r="AP2879" s="269"/>
      <c r="AQ2879" s="269"/>
      <c r="AR2879" s="269"/>
    </row>
    <row r="2880">
      <c r="A2880" s="410"/>
      <c r="B2880" s="410"/>
      <c r="C2880" s="410"/>
      <c r="D2880" s="410"/>
      <c r="E2880" s="410"/>
      <c r="F2880" s="410"/>
      <c r="H2880" s="269"/>
      <c r="I2880" s="269"/>
      <c r="J2880" s="269"/>
      <c r="K2880" s="269"/>
      <c r="L2880" s="269"/>
      <c r="M2880" s="269"/>
      <c r="N2880" s="269"/>
      <c r="O2880" s="269"/>
      <c r="P2880" s="269"/>
      <c r="Q2880" s="269"/>
      <c r="R2880" s="269"/>
      <c r="S2880" s="269"/>
      <c r="T2880" s="269"/>
      <c r="U2880" s="269"/>
      <c r="V2880" s="269"/>
      <c r="W2880" s="269"/>
      <c r="X2880" s="269"/>
      <c r="Y2880" s="269"/>
      <c r="Z2880" s="269"/>
      <c r="AA2880" s="269"/>
      <c r="AB2880" s="269"/>
      <c r="AC2880" s="269"/>
      <c r="AD2880" s="269"/>
      <c r="AE2880" s="269"/>
      <c r="AF2880" s="269"/>
      <c r="AG2880" s="269"/>
      <c r="AH2880" s="269"/>
      <c r="AI2880" s="269"/>
      <c r="AJ2880" s="269"/>
      <c r="AK2880" s="269"/>
      <c r="AL2880" s="269"/>
      <c r="AM2880" s="269"/>
      <c r="AN2880" s="269"/>
      <c r="AO2880" s="269"/>
      <c r="AP2880" s="269"/>
      <c r="AQ2880" s="269"/>
      <c r="AR2880" s="269"/>
    </row>
    <row r="2881">
      <c r="A2881" s="410"/>
      <c r="B2881" s="410"/>
      <c r="C2881" s="410"/>
      <c r="D2881" s="410"/>
      <c r="E2881" s="410"/>
      <c r="F2881" s="410"/>
      <c r="H2881" s="269"/>
      <c r="I2881" s="269"/>
      <c r="J2881" s="269"/>
      <c r="K2881" s="269"/>
      <c r="L2881" s="269"/>
      <c r="M2881" s="269"/>
      <c r="N2881" s="269"/>
      <c r="O2881" s="269"/>
      <c r="P2881" s="269"/>
      <c r="Q2881" s="269"/>
      <c r="R2881" s="269"/>
      <c r="S2881" s="269"/>
      <c r="T2881" s="269"/>
      <c r="U2881" s="269"/>
      <c r="V2881" s="269"/>
      <c r="W2881" s="269"/>
      <c r="X2881" s="269"/>
      <c r="Y2881" s="269"/>
      <c r="Z2881" s="269"/>
      <c r="AA2881" s="269"/>
      <c r="AB2881" s="269"/>
      <c r="AC2881" s="269"/>
      <c r="AD2881" s="269"/>
      <c r="AE2881" s="269"/>
      <c r="AF2881" s="269"/>
      <c r="AG2881" s="269"/>
      <c r="AH2881" s="269"/>
      <c r="AI2881" s="269"/>
      <c r="AJ2881" s="269"/>
      <c r="AK2881" s="269"/>
      <c r="AL2881" s="269"/>
      <c r="AM2881" s="269"/>
      <c r="AN2881" s="269"/>
      <c r="AO2881" s="269"/>
      <c r="AP2881" s="269"/>
      <c r="AQ2881" s="269"/>
      <c r="AR2881" s="269"/>
    </row>
    <row r="2882">
      <c r="A2882" s="410"/>
      <c r="B2882" s="410"/>
      <c r="C2882" s="410"/>
      <c r="D2882" s="410"/>
      <c r="E2882" s="410"/>
      <c r="F2882" s="410"/>
      <c r="H2882" s="269"/>
      <c r="I2882" s="269"/>
      <c r="J2882" s="269"/>
      <c r="K2882" s="269"/>
      <c r="L2882" s="269"/>
      <c r="M2882" s="269"/>
      <c r="N2882" s="269"/>
      <c r="O2882" s="269"/>
      <c r="P2882" s="269"/>
      <c r="Q2882" s="269"/>
      <c r="R2882" s="269"/>
      <c r="S2882" s="269"/>
      <c r="T2882" s="269"/>
      <c r="U2882" s="269"/>
      <c r="V2882" s="269"/>
      <c r="W2882" s="269"/>
      <c r="X2882" s="269"/>
      <c r="Y2882" s="269"/>
      <c r="Z2882" s="269"/>
      <c r="AA2882" s="269"/>
      <c r="AB2882" s="269"/>
      <c r="AC2882" s="269"/>
      <c r="AD2882" s="269"/>
      <c r="AE2882" s="269"/>
      <c r="AF2882" s="269"/>
      <c r="AG2882" s="269"/>
      <c r="AH2882" s="269"/>
      <c r="AI2882" s="269"/>
      <c r="AJ2882" s="269"/>
      <c r="AK2882" s="269"/>
      <c r="AL2882" s="269"/>
      <c r="AM2882" s="269"/>
      <c r="AN2882" s="269"/>
      <c r="AO2882" s="269"/>
      <c r="AP2882" s="269"/>
      <c r="AQ2882" s="269"/>
      <c r="AR2882" s="269"/>
    </row>
    <row r="2883">
      <c r="A2883" s="410"/>
      <c r="B2883" s="410"/>
      <c r="C2883" s="410"/>
      <c r="D2883" s="410"/>
      <c r="E2883" s="410"/>
      <c r="F2883" s="410"/>
      <c r="H2883" s="269"/>
      <c r="I2883" s="269"/>
      <c r="J2883" s="269"/>
      <c r="K2883" s="269"/>
      <c r="L2883" s="269"/>
      <c r="M2883" s="269"/>
      <c r="N2883" s="269"/>
      <c r="O2883" s="269"/>
      <c r="P2883" s="269"/>
      <c r="Q2883" s="269"/>
      <c r="R2883" s="269"/>
      <c r="S2883" s="269"/>
      <c r="T2883" s="269"/>
      <c r="U2883" s="269"/>
      <c r="V2883" s="269"/>
      <c r="W2883" s="269"/>
      <c r="X2883" s="269"/>
      <c r="Y2883" s="269"/>
      <c r="Z2883" s="269"/>
      <c r="AA2883" s="269"/>
      <c r="AB2883" s="269"/>
      <c r="AC2883" s="269"/>
      <c r="AD2883" s="269"/>
      <c r="AE2883" s="269"/>
      <c r="AF2883" s="269"/>
      <c r="AG2883" s="269"/>
      <c r="AH2883" s="269"/>
      <c r="AI2883" s="269"/>
      <c r="AJ2883" s="269"/>
      <c r="AK2883" s="269"/>
      <c r="AL2883" s="269"/>
      <c r="AM2883" s="269"/>
      <c r="AN2883" s="269"/>
      <c r="AO2883" s="269"/>
      <c r="AP2883" s="269"/>
      <c r="AQ2883" s="269"/>
      <c r="AR2883" s="269"/>
    </row>
    <row r="2884">
      <c r="A2884" s="410"/>
      <c r="B2884" s="410"/>
      <c r="C2884" s="410"/>
      <c r="D2884" s="410"/>
      <c r="E2884" s="410"/>
      <c r="F2884" s="410"/>
      <c r="H2884" s="269"/>
      <c r="I2884" s="269"/>
      <c r="J2884" s="269"/>
      <c r="K2884" s="269"/>
      <c r="L2884" s="269"/>
      <c r="M2884" s="269"/>
      <c r="N2884" s="269"/>
      <c r="O2884" s="269"/>
      <c r="P2884" s="269"/>
      <c r="Q2884" s="269"/>
      <c r="R2884" s="269"/>
      <c r="S2884" s="269"/>
      <c r="T2884" s="269"/>
      <c r="U2884" s="269"/>
      <c r="V2884" s="269"/>
      <c r="W2884" s="269"/>
      <c r="X2884" s="269"/>
      <c r="Y2884" s="269"/>
      <c r="Z2884" s="269"/>
      <c r="AA2884" s="269"/>
      <c r="AB2884" s="269"/>
      <c r="AC2884" s="269"/>
      <c r="AD2884" s="269"/>
      <c r="AE2884" s="269"/>
      <c r="AF2884" s="269"/>
      <c r="AG2884" s="269"/>
      <c r="AH2884" s="269"/>
      <c r="AI2884" s="269"/>
      <c r="AJ2884" s="269"/>
      <c r="AK2884" s="269"/>
      <c r="AL2884" s="269"/>
      <c r="AM2884" s="269"/>
      <c r="AN2884" s="269"/>
      <c r="AO2884" s="269"/>
      <c r="AP2884" s="269"/>
      <c r="AQ2884" s="269"/>
      <c r="AR2884" s="269"/>
    </row>
    <row r="2885">
      <c r="A2885" s="410"/>
      <c r="B2885" s="410"/>
      <c r="C2885" s="410"/>
      <c r="D2885" s="410"/>
      <c r="E2885" s="410"/>
      <c r="F2885" s="410"/>
      <c r="H2885" s="269"/>
      <c r="I2885" s="269"/>
      <c r="J2885" s="269"/>
      <c r="K2885" s="269"/>
      <c r="L2885" s="269"/>
      <c r="M2885" s="269"/>
      <c r="N2885" s="269"/>
      <c r="O2885" s="269"/>
      <c r="P2885" s="269"/>
      <c r="Q2885" s="269"/>
      <c r="R2885" s="269"/>
      <c r="S2885" s="269"/>
      <c r="T2885" s="269"/>
      <c r="U2885" s="269"/>
      <c r="V2885" s="269"/>
      <c r="W2885" s="269"/>
      <c r="X2885" s="269"/>
      <c r="Y2885" s="269"/>
      <c r="Z2885" s="269"/>
      <c r="AA2885" s="269"/>
      <c r="AB2885" s="269"/>
      <c r="AC2885" s="269"/>
      <c r="AD2885" s="269"/>
      <c r="AE2885" s="269"/>
      <c r="AF2885" s="269"/>
      <c r="AG2885" s="269"/>
      <c r="AH2885" s="269"/>
      <c r="AI2885" s="269"/>
      <c r="AJ2885" s="269"/>
      <c r="AK2885" s="269"/>
      <c r="AL2885" s="269"/>
      <c r="AM2885" s="269"/>
      <c r="AN2885" s="269"/>
      <c r="AO2885" s="269"/>
      <c r="AP2885" s="269"/>
      <c r="AQ2885" s="269"/>
      <c r="AR2885" s="269"/>
    </row>
    <row r="2886">
      <c r="A2886" s="410"/>
      <c r="B2886" s="410"/>
      <c r="C2886" s="410"/>
      <c r="D2886" s="410"/>
      <c r="E2886" s="410"/>
      <c r="F2886" s="410"/>
      <c r="H2886" s="269"/>
      <c r="I2886" s="269"/>
      <c r="J2886" s="269"/>
      <c r="K2886" s="269"/>
      <c r="L2886" s="269"/>
      <c r="M2886" s="269"/>
      <c r="N2886" s="269"/>
      <c r="O2886" s="269"/>
      <c r="P2886" s="269"/>
      <c r="Q2886" s="269"/>
      <c r="R2886" s="269"/>
      <c r="S2886" s="269"/>
      <c r="T2886" s="269"/>
      <c r="U2886" s="269"/>
      <c r="V2886" s="269"/>
      <c r="W2886" s="269"/>
      <c r="X2886" s="269"/>
      <c r="Y2886" s="269"/>
      <c r="Z2886" s="269"/>
      <c r="AA2886" s="269"/>
      <c r="AB2886" s="269"/>
      <c r="AC2886" s="269"/>
      <c r="AD2886" s="269"/>
      <c r="AE2886" s="269"/>
      <c r="AF2886" s="269"/>
      <c r="AG2886" s="269"/>
      <c r="AH2886" s="269"/>
      <c r="AI2886" s="269"/>
      <c r="AJ2886" s="269"/>
      <c r="AK2886" s="269"/>
      <c r="AL2886" s="269"/>
      <c r="AM2886" s="269"/>
      <c r="AN2886" s="269"/>
      <c r="AO2886" s="269"/>
      <c r="AP2886" s="269"/>
      <c r="AQ2886" s="269"/>
      <c r="AR2886" s="269"/>
    </row>
    <row r="2887">
      <c r="A2887" s="410"/>
      <c r="B2887" s="410"/>
      <c r="C2887" s="410"/>
      <c r="D2887" s="410"/>
      <c r="E2887" s="410"/>
      <c r="F2887" s="410"/>
      <c r="H2887" s="269"/>
      <c r="I2887" s="269"/>
      <c r="J2887" s="269"/>
      <c r="K2887" s="269"/>
      <c r="L2887" s="269"/>
      <c r="M2887" s="269"/>
      <c r="N2887" s="269"/>
      <c r="O2887" s="269"/>
      <c r="P2887" s="269"/>
      <c r="Q2887" s="269"/>
      <c r="R2887" s="269"/>
      <c r="S2887" s="269"/>
      <c r="T2887" s="269"/>
      <c r="U2887" s="269"/>
      <c r="V2887" s="269"/>
      <c r="W2887" s="269"/>
      <c r="X2887" s="269"/>
      <c r="Y2887" s="269"/>
      <c r="Z2887" s="269"/>
      <c r="AA2887" s="269"/>
      <c r="AB2887" s="269"/>
      <c r="AC2887" s="269"/>
      <c r="AD2887" s="269"/>
      <c r="AE2887" s="269"/>
      <c r="AF2887" s="269"/>
      <c r="AG2887" s="269"/>
      <c r="AH2887" s="269"/>
      <c r="AI2887" s="269"/>
      <c r="AJ2887" s="269"/>
      <c r="AK2887" s="269"/>
      <c r="AL2887" s="269"/>
      <c r="AM2887" s="269"/>
      <c r="AN2887" s="269"/>
      <c r="AO2887" s="269"/>
      <c r="AP2887" s="269"/>
      <c r="AQ2887" s="269"/>
      <c r="AR2887" s="269"/>
    </row>
    <row r="2888">
      <c r="A2888" s="410"/>
      <c r="B2888" s="410"/>
      <c r="C2888" s="410"/>
      <c r="D2888" s="410"/>
      <c r="E2888" s="410"/>
      <c r="F2888" s="410"/>
      <c r="H2888" s="269"/>
      <c r="I2888" s="269"/>
      <c r="J2888" s="269"/>
      <c r="K2888" s="269"/>
      <c r="L2888" s="269"/>
      <c r="M2888" s="269"/>
      <c r="N2888" s="269"/>
      <c r="O2888" s="269"/>
      <c r="P2888" s="269"/>
      <c r="Q2888" s="269"/>
      <c r="R2888" s="269"/>
      <c r="S2888" s="269"/>
      <c r="T2888" s="269"/>
      <c r="U2888" s="269"/>
      <c r="V2888" s="269"/>
      <c r="W2888" s="269"/>
      <c r="X2888" s="269"/>
      <c r="Y2888" s="269"/>
      <c r="Z2888" s="269"/>
      <c r="AA2888" s="269"/>
      <c r="AB2888" s="269"/>
      <c r="AC2888" s="269"/>
      <c r="AD2888" s="269"/>
      <c r="AE2888" s="269"/>
      <c r="AF2888" s="269"/>
      <c r="AG2888" s="269"/>
      <c r="AH2888" s="269"/>
      <c r="AI2888" s="269"/>
      <c r="AJ2888" s="269"/>
      <c r="AK2888" s="269"/>
      <c r="AL2888" s="269"/>
      <c r="AM2888" s="269"/>
      <c r="AN2888" s="269"/>
      <c r="AO2888" s="269"/>
      <c r="AP2888" s="269"/>
      <c r="AQ2888" s="269"/>
      <c r="AR2888" s="269"/>
    </row>
    <row r="2889">
      <c r="A2889" s="410"/>
      <c r="B2889" s="410"/>
      <c r="C2889" s="410"/>
      <c r="D2889" s="410"/>
      <c r="E2889" s="410"/>
      <c r="F2889" s="410"/>
      <c r="H2889" s="269"/>
      <c r="I2889" s="269"/>
      <c r="J2889" s="269"/>
      <c r="K2889" s="269"/>
      <c r="L2889" s="269"/>
      <c r="M2889" s="269"/>
      <c r="N2889" s="269"/>
      <c r="O2889" s="269"/>
      <c r="P2889" s="269"/>
      <c r="Q2889" s="269"/>
      <c r="R2889" s="269"/>
      <c r="S2889" s="269"/>
      <c r="T2889" s="269"/>
      <c r="U2889" s="269"/>
      <c r="V2889" s="269"/>
      <c r="W2889" s="269"/>
      <c r="X2889" s="269"/>
      <c r="Y2889" s="269"/>
      <c r="Z2889" s="269"/>
      <c r="AA2889" s="269"/>
      <c r="AB2889" s="269"/>
      <c r="AC2889" s="269"/>
      <c r="AD2889" s="269"/>
      <c r="AE2889" s="269"/>
      <c r="AF2889" s="269"/>
      <c r="AG2889" s="269"/>
      <c r="AH2889" s="269"/>
      <c r="AI2889" s="269"/>
      <c r="AJ2889" s="269"/>
      <c r="AK2889" s="269"/>
      <c r="AL2889" s="269"/>
      <c r="AM2889" s="269"/>
      <c r="AN2889" s="269"/>
      <c r="AO2889" s="269"/>
      <c r="AP2889" s="269"/>
      <c r="AQ2889" s="269"/>
      <c r="AR2889" s="269"/>
    </row>
    <row r="2890">
      <c r="A2890" s="410"/>
      <c r="B2890" s="410"/>
      <c r="C2890" s="410"/>
      <c r="D2890" s="410"/>
      <c r="E2890" s="410"/>
      <c r="F2890" s="410"/>
      <c r="H2890" s="269"/>
      <c r="I2890" s="269"/>
      <c r="J2890" s="269"/>
      <c r="K2890" s="269"/>
      <c r="L2890" s="269"/>
      <c r="M2890" s="269"/>
      <c r="N2890" s="269"/>
      <c r="O2890" s="269"/>
      <c r="P2890" s="269"/>
      <c r="Q2890" s="269"/>
      <c r="R2890" s="269"/>
      <c r="S2890" s="269"/>
      <c r="T2890" s="269"/>
      <c r="U2890" s="269"/>
      <c r="V2890" s="269"/>
      <c r="W2890" s="269"/>
      <c r="X2890" s="269"/>
      <c r="Y2890" s="269"/>
      <c r="Z2890" s="269"/>
      <c r="AA2890" s="269"/>
      <c r="AB2890" s="269"/>
      <c r="AC2890" s="269"/>
      <c r="AD2890" s="269"/>
      <c r="AE2890" s="269"/>
      <c r="AF2890" s="269"/>
      <c r="AG2890" s="269"/>
      <c r="AH2890" s="269"/>
      <c r="AI2890" s="269"/>
      <c r="AJ2890" s="269"/>
      <c r="AK2890" s="269"/>
      <c r="AL2890" s="269"/>
      <c r="AM2890" s="269"/>
      <c r="AN2890" s="269"/>
      <c r="AO2890" s="269"/>
      <c r="AP2890" s="269"/>
      <c r="AQ2890" s="269"/>
      <c r="AR2890" s="269"/>
    </row>
    <row r="2891">
      <c r="A2891" s="410"/>
      <c r="B2891" s="410"/>
      <c r="C2891" s="410"/>
      <c r="D2891" s="410"/>
      <c r="E2891" s="410"/>
      <c r="F2891" s="410"/>
      <c r="H2891" s="269"/>
      <c r="I2891" s="269"/>
      <c r="J2891" s="269"/>
      <c r="K2891" s="269"/>
      <c r="L2891" s="269"/>
      <c r="M2891" s="269"/>
      <c r="N2891" s="269"/>
      <c r="O2891" s="269"/>
      <c r="P2891" s="269"/>
      <c r="Q2891" s="269"/>
      <c r="R2891" s="269"/>
      <c r="S2891" s="269"/>
      <c r="T2891" s="269"/>
      <c r="U2891" s="269"/>
      <c r="V2891" s="269"/>
      <c r="W2891" s="269"/>
      <c r="X2891" s="269"/>
      <c r="Y2891" s="269"/>
      <c r="Z2891" s="269"/>
      <c r="AA2891" s="269"/>
      <c r="AB2891" s="269"/>
      <c r="AC2891" s="269"/>
      <c r="AD2891" s="269"/>
      <c r="AE2891" s="269"/>
      <c r="AF2891" s="269"/>
      <c r="AG2891" s="269"/>
      <c r="AH2891" s="269"/>
      <c r="AI2891" s="269"/>
      <c r="AJ2891" s="269"/>
      <c r="AK2891" s="269"/>
      <c r="AL2891" s="269"/>
      <c r="AM2891" s="269"/>
      <c r="AN2891" s="269"/>
      <c r="AO2891" s="269"/>
      <c r="AP2891" s="269"/>
      <c r="AQ2891" s="269"/>
      <c r="AR2891" s="269"/>
    </row>
    <row r="2892">
      <c r="A2892" s="410"/>
      <c r="B2892" s="410"/>
      <c r="C2892" s="410"/>
      <c r="D2892" s="410"/>
      <c r="E2892" s="410"/>
      <c r="F2892" s="410"/>
      <c r="H2892" s="269"/>
      <c r="I2892" s="269"/>
      <c r="J2892" s="269"/>
      <c r="K2892" s="269"/>
      <c r="L2892" s="269"/>
      <c r="M2892" s="269"/>
      <c r="N2892" s="269"/>
      <c r="O2892" s="269"/>
      <c r="P2892" s="269"/>
      <c r="Q2892" s="269"/>
      <c r="R2892" s="269"/>
      <c r="S2892" s="269"/>
      <c r="T2892" s="269"/>
      <c r="U2892" s="269"/>
      <c r="V2892" s="269"/>
      <c r="W2892" s="269"/>
      <c r="X2892" s="269"/>
      <c r="Y2892" s="269"/>
      <c r="Z2892" s="269"/>
      <c r="AA2892" s="269"/>
      <c r="AB2892" s="269"/>
      <c r="AC2892" s="269"/>
      <c r="AD2892" s="269"/>
      <c r="AE2892" s="269"/>
      <c r="AF2892" s="269"/>
      <c r="AG2892" s="269"/>
      <c r="AH2892" s="269"/>
      <c r="AI2892" s="269"/>
      <c r="AJ2892" s="269"/>
      <c r="AK2892" s="269"/>
      <c r="AL2892" s="269"/>
      <c r="AM2892" s="269"/>
      <c r="AN2892" s="269"/>
      <c r="AO2892" s="269"/>
      <c r="AP2892" s="269"/>
      <c r="AQ2892" s="269"/>
      <c r="AR2892" s="269"/>
    </row>
    <row r="2893">
      <c r="A2893" s="410"/>
      <c r="B2893" s="410"/>
      <c r="C2893" s="410"/>
      <c r="D2893" s="410"/>
      <c r="E2893" s="410"/>
      <c r="F2893" s="410"/>
      <c r="H2893" s="269"/>
      <c r="I2893" s="269"/>
      <c r="J2893" s="269"/>
      <c r="K2893" s="269"/>
      <c r="L2893" s="269"/>
      <c r="M2893" s="269"/>
      <c r="N2893" s="269"/>
      <c r="O2893" s="269"/>
      <c r="P2893" s="269"/>
      <c r="Q2893" s="269"/>
      <c r="R2893" s="269"/>
      <c r="S2893" s="269"/>
      <c r="T2893" s="269"/>
      <c r="U2893" s="269"/>
      <c r="V2893" s="269"/>
      <c r="W2893" s="269"/>
      <c r="X2893" s="269"/>
      <c r="Y2893" s="269"/>
      <c r="Z2893" s="269"/>
      <c r="AA2893" s="269"/>
      <c r="AB2893" s="269"/>
      <c r="AC2893" s="269"/>
      <c r="AD2893" s="269"/>
      <c r="AE2893" s="269"/>
      <c r="AF2893" s="269"/>
      <c r="AG2893" s="269"/>
      <c r="AH2893" s="269"/>
      <c r="AI2893" s="269"/>
      <c r="AJ2893" s="269"/>
      <c r="AK2893" s="269"/>
      <c r="AL2893" s="269"/>
      <c r="AM2893" s="269"/>
      <c r="AN2893" s="269"/>
      <c r="AO2893" s="269"/>
      <c r="AP2893" s="269"/>
      <c r="AQ2893" s="269"/>
      <c r="AR2893" s="269"/>
    </row>
    <row r="2894">
      <c r="A2894" s="410"/>
      <c r="B2894" s="410"/>
      <c r="C2894" s="410"/>
      <c r="D2894" s="410"/>
      <c r="E2894" s="410"/>
      <c r="F2894" s="410"/>
      <c r="H2894" s="269"/>
      <c r="I2894" s="269"/>
      <c r="J2894" s="269"/>
      <c r="K2894" s="269"/>
      <c r="L2894" s="269"/>
      <c r="M2894" s="269"/>
      <c r="N2894" s="269"/>
      <c r="O2894" s="269"/>
      <c r="P2894" s="269"/>
      <c r="Q2894" s="269"/>
      <c r="R2894" s="269"/>
      <c r="S2894" s="269"/>
      <c r="T2894" s="269"/>
      <c r="U2894" s="269"/>
      <c r="V2894" s="269"/>
      <c r="W2894" s="269"/>
      <c r="X2894" s="269"/>
      <c r="Y2894" s="269"/>
      <c r="Z2894" s="269"/>
      <c r="AA2894" s="269"/>
      <c r="AB2894" s="269"/>
      <c r="AC2894" s="269"/>
      <c r="AD2894" s="269"/>
      <c r="AE2894" s="269"/>
      <c r="AF2894" s="269"/>
      <c r="AG2894" s="269"/>
      <c r="AH2894" s="269"/>
      <c r="AI2894" s="269"/>
      <c r="AJ2894" s="269"/>
      <c r="AK2894" s="269"/>
      <c r="AL2894" s="269"/>
      <c r="AM2894" s="269"/>
      <c r="AN2894" s="269"/>
      <c r="AO2894" s="269"/>
      <c r="AP2894" s="269"/>
      <c r="AQ2894" s="269"/>
      <c r="AR2894" s="269"/>
    </row>
    <row r="2895">
      <c r="A2895" s="410"/>
      <c r="B2895" s="410"/>
      <c r="C2895" s="410"/>
      <c r="D2895" s="410"/>
      <c r="E2895" s="410"/>
      <c r="F2895" s="410"/>
      <c r="H2895" s="269"/>
      <c r="I2895" s="269"/>
      <c r="J2895" s="269"/>
      <c r="K2895" s="269"/>
      <c r="L2895" s="269"/>
      <c r="M2895" s="269"/>
      <c r="N2895" s="269"/>
      <c r="O2895" s="269"/>
      <c r="P2895" s="269"/>
      <c r="Q2895" s="269"/>
      <c r="R2895" s="269"/>
      <c r="S2895" s="269"/>
      <c r="T2895" s="269"/>
      <c r="U2895" s="269"/>
      <c r="V2895" s="269"/>
      <c r="W2895" s="269"/>
      <c r="X2895" s="269"/>
      <c r="Y2895" s="269"/>
      <c r="Z2895" s="269"/>
      <c r="AA2895" s="269"/>
      <c r="AB2895" s="269"/>
      <c r="AC2895" s="269"/>
      <c r="AD2895" s="269"/>
      <c r="AE2895" s="269"/>
      <c r="AF2895" s="269"/>
      <c r="AG2895" s="269"/>
      <c r="AH2895" s="269"/>
      <c r="AI2895" s="269"/>
      <c r="AJ2895" s="269"/>
      <c r="AK2895" s="269"/>
      <c r="AL2895" s="269"/>
      <c r="AM2895" s="269"/>
      <c r="AN2895" s="269"/>
      <c r="AO2895" s="269"/>
      <c r="AP2895" s="269"/>
      <c r="AQ2895" s="269"/>
      <c r="AR2895" s="269"/>
    </row>
    <row r="2896">
      <c r="A2896" s="410"/>
      <c r="B2896" s="410"/>
      <c r="C2896" s="410"/>
      <c r="D2896" s="410"/>
      <c r="E2896" s="410"/>
      <c r="F2896" s="410"/>
      <c r="H2896" s="269"/>
      <c r="I2896" s="269"/>
      <c r="J2896" s="269"/>
      <c r="K2896" s="269"/>
      <c r="L2896" s="269"/>
      <c r="M2896" s="269"/>
      <c r="N2896" s="269"/>
      <c r="O2896" s="269"/>
      <c r="P2896" s="269"/>
      <c r="Q2896" s="269"/>
      <c r="R2896" s="269"/>
      <c r="S2896" s="269"/>
      <c r="T2896" s="269"/>
      <c r="U2896" s="269"/>
      <c r="V2896" s="269"/>
      <c r="W2896" s="269"/>
      <c r="X2896" s="269"/>
      <c r="Y2896" s="269"/>
      <c r="Z2896" s="269"/>
      <c r="AA2896" s="269"/>
      <c r="AB2896" s="269"/>
      <c r="AC2896" s="269"/>
      <c r="AD2896" s="269"/>
      <c r="AE2896" s="269"/>
      <c r="AF2896" s="269"/>
      <c r="AG2896" s="269"/>
      <c r="AH2896" s="269"/>
      <c r="AI2896" s="269"/>
      <c r="AJ2896" s="269"/>
      <c r="AK2896" s="269"/>
      <c r="AL2896" s="269"/>
      <c r="AM2896" s="269"/>
      <c r="AN2896" s="269"/>
      <c r="AO2896" s="269"/>
      <c r="AP2896" s="269"/>
      <c r="AQ2896" s="269"/>
      <c r="AR2896" s="269"/>
    </row>
    <row r="2897">
      <c r="A2897" s="410"/>
      <c r="B2897" s="410"/>
      <c r="C2897" s="410"/>
      <c r="D2897" s="410"/>
      <c r="E2897" s="410"/>
      <c r="F2897" s="410"/>
      <c r="H2897" s="269"/>
      <c r="I2897" s="269"/>
      <c r="J2897" s="269"/>
      <c r="K2897" s="269"/>
      <c r="L2897" s="269"/>
      <c r="M2897" s="269"/>
      <c r="N2897" s="269"/>
      <c r="O2897" s="269"/>
      <c r="P2897" s="269"/>
      <c r="Q2897" s="269"/>
      <c r="R2897" s="269"/>
      <c r="S2897" s="269"/>
      <c r="T2897" s="269"/>
      <c r="U2897" s="269"/>
      <c r="V2897" s="269"/>
      <c r="W2897" s="269"/>
      <c r="X2897" s="269"/>
      <c r="Y2897" s="269"/>
      <c r="Z2897" s="269"/>
      <c r="AA2897" s="269"/>
      <c r="AB2897" s="269"/>
      <c r="AC2897" s="269"/>
      <c r="AD2897" s="269"/>
      <c r="AE2897" s="269"/>
      <c r="AF2897" s="269"/>
      <c r="AG2897" s="269"/>
      <c r="AH2897" s="269"/>
      <c r="AI2897" s="269"/>
      <c r="AJ2897" s="269"/>
      <c r="AK2897" s="269"/>
      <c r="AL2897" s="269"/>
      <c r="AM2897" s="269"/>
      <c r="AN2897" s="269"/>
      <c r="AO2897" s="269"/>
      <c r="AP2897" s="269"/>
      <c r="AQ2897" s="269"/>
      <c r="AR2897" s="269"/>
    </row>
    <row r="2898">
      <c r="A2898" s="410"/>
      <c r="B2898" s="410"/>
      <c r="C2898" s="410"/>
      <c r="D2898" s="410"/>
      <c r="E2898" s="410"/>
      <c r="F2898" s="410"/>
      <c r="H2898" s="269"/>
      <c r="I2898" s="269"/>
      <c r="J2898" s="269"/>
      <c r="K2898" s="269"/>
      <c r="L2898" s="269"/>
      <c r="M2898" s="269"/>
      <c r="N2898" s="269"/>
      <c r="O2898" s="269"/>
      <c r="P2898" s="269"/>
      <c r="Q2898" s="269"/>
      <c r="R2898" s="269"/>
      <c r="S2898" s="269"/>
      <c r="T2898" s="269"/>
      <c r="U2898" s="269"/>
      <c r="V2898" s="269"/>
      <c r="W2898" s="269"/>
      <c r="X2898" s="269"/>
      <c r="Y2898" s="269"/>
      <c r="Z2898" s="269"/>
      <c r="AA2898" s="269"/>
      <c r="AB2898" s="269"/>
      <c r="AC2898" s="269"/>
      <c r="AD2898" s="269"/>
      <c r="AE2898" s="269"/>
      <c r="AF2898" s="269"/>
      <c r="AG2898" s="269"/>
      <c r="AH2898" s="269"/>
      <c r="AI2898" s="269"/>
      <c r="AJ2898" s="269"/>
      <c r="AK2898" s="269"/>
      <c r="AL2898" s="269"/>
      <c r="AM2898" s="269"/>
      <c r="AN2898" s="269"/>
      <c r="AO2898" s="269"/>
      <c r="AP2898" s="269"/>
      <c r="AQ2898" s="269"/>
      <c r="AR2898" s="269"/>
    </row>
    <row r="2899">
      <c r="A2899" s="410"/>
      <c r="B2899" s="410"/>
      <c r="C2899" s="410"/>
      <c r="D2899" s="410"/>
      <c r="E2899" s="410"/>
      <c r="F2899" s="410"/>
      <c r="H2899" s="269"/>
      <c r="I2899" s="269"/>
      <c r="J2899" s="269"/>
      <c r="K2899" s="269"/>
      <c r="L2899" s="269"/>
      <c r="M2899" s="269"/>
      <c r="N2899" s="269"/>
      <c r="O2899" s="269"/>
      <c r="P2899" s="269"/>
      <c r="Q2899" s="269"/>
      <c r="R2899" s="269"/>
      <c r="S2899" s="269"/>
      <c r="T2899" s="269"/>
      <c r="U2899" s="269"/>
      <c r="V2899" s="269"/>
      <c r="W2899" s="269"/>
      <c r="X2899" s="269"/>
      <c r="Y2899" s="269"/>
      <c r="Z2899" s="269"/>
      <c r="AA2899" s="269"/>
      <c r="AB2899" s="269"/>
      <c r="AC2899" s="269"/>
      <c r="AD2899" s="269"/>
      <c r="AE2899" s="269"/>
      <c r="AF2899" s="269"/>
      <c r="AG2899" s="269"/>
      <c r="AH2899" s="269"/>
      <c r="AI2899" s="269"/>
      <c r="AJ2899" s="269"/>
      <c r="AK2899" s="269"/>
      <c r="AL2899" s="269"/>
      <c r="AM2899" s="269"/>
      <c r="AN2899" s="269"/>
      <c r="AO2899" s="269"/>
      <c r="AP2899" s="269"/>
      <c r="AQ2899" s="269"/>
      <c r="AR2899" s="269"/>
    </row>
    <row r="2900">
      <c r="A2900" s="410"/>
      <c r="B2900" s="410"/>
      <c r="C2900" s="410"/>
      <c r="D2900" s="410"/>
      <c r="E2900" s="410"/>
      <c r="F2900" s="410"/>
      <c r="H2900" s="269"/>
      <c r="I2900" s="269"/>
      <c r="J2900" s="269"/>
      <c r="K2900" s="269"/>
      <c r="L2900" s="269"/>
      <c r="M2900" s="269"/>
      <c r="N2900" s="269"/>
      <c r="O2900" s="269"/>
      <c r="P2900" s="269"/>
      <c r="Q2900" s="269"/>
      <c r="R2900" s="269"/>
      <c r="S2900" s="269"/>
      <c r="T2900" s="269"/>
      <c r="U2900" s="269"/>
      <c r="V2900" s="269"/>
      <c r="W2900" s="269"/>
      <c r="X2900" s="269"/>
      <c r="Y2900" s="269"/>
      <c r="Z2900" s="269"/>
      <c r="AA2900" s="269"/>
      <c r="AB2900" s="269"/>
      <c r="AC2900" s="269"/>
      <c r="AD2900" s="269"/>
      <c r="AE2900" s="269"/>
      <c r="AF2900" s="269"/>
      <c r="AG2900" s="269"/>
      <c r="AH2900" s="269"/>
      <c r="AI2900" s="269"/>
      <c r="AJ2900" s="269"/>
      <c r="AK2900" s="269"/>
      <c r="AL2900" s="269"/>
      <c r="AM2900" s="269"/>
      <c r="AN2900" s="269"/>
      <c r="AO2900" s="269"/>
      <c r="AP2900" s="269"/>
      <c r="AQ2900" s="269"/>
      <c r="AR2900" s="269"/>
    </row>
    <row r="2901">
      <c r="A2901" s="410"/>
      <c r="B2901" s="410"/>
      <c r="C2901" s="410"/>
      <c r="D2901" s="410"/>
      <c r="E2901" s="410"/>
      <c r="F2901" s="410"/>
      <c r="H2901" s="269"/>
      <c r="I2901" s="269"/>
      <c r="J2901" s="269"/>
      <c r="K2901" s="269"/>
      <c r="L2901" s="269"/>
      <c r="M2901" s="269"/>
      <c r="N2901" s="269"/>
      <c r="O2901" s="269"/>
      <c r="P2901" s="269"/>
      <c r="Q2901" s="269"/>
      <c r="R2901" s="269"/>
      <c r="S2901" s="269"/>
      <c r="T2901" s="269"/>
      <c r="U2901" s="269"/>
      <c r="V2901" s="269"/>
      <c r="W2901" s="269"/>
      <c r="X2901" s="269"/>
      <c r="Y2901" s="269"/>
      <c r="Z2901" s="269"/>
      <c r="AA2901" s="269"/>
      <c r="AB2901" s="269"/>
      <c r="AC2901" s="269"/>
      <c r="AD2901" s="269"/>
      <c r="AE2901" s="269"/>
      <c r="AF2901" s="269"/>
      <c r="AG2901" s="269"/>
      <c r="AH2901" s="269"/>
      <c r="AI2901" s="269"/>
      <c r="AJ2901" s="269"/>
      <c r="AK2901" s="269"/>
      <c r="AL2901" s="269"/>
      <c r="AM2901" s="269"/>
      <c r="AN2901" s="269"/>
      <c r="AO2901" s="269"/>
      <c r="AP2901" s="269"/>
      <c r="AQ2901" s="269"/>
      <c r="AR2901" s="269"/>
    </row>
    <row r="2902">
      <c r="A2902" s="410"/>
      <c r="B2902" s="410"/>
      <c r="C2902" s="410"/>
      <c r="D2902" s="410"/>
      <c r="E2902" s="410"/>
      <c r="F2902" s="410"/>
      <c r="H2902" s="269"/>
      <c r="I2902" s="269"/>
      <c r="J2902" s="269"/>
      <c r="K2902" s="269"/>
      <c r="L2902" s="269"/>
      <c r="M2902" s="269"/>
      <c r="N2902" s="269"/>
      <c r="O2902" s="269"/>
      <c r="P2902" s="269"/>
      <c r="Q2902" s="269"/>
      <c r="R2902" s="269"/>
      <c r="S2902" s="269"/>
      <c r="T2902" s="269"/>
      <c r="U2902" s="269"/>
      <c r="V2902" s="269"/>
      <c r="W2902" s="269"/>
      <c r="X2902" s="269"/>
      <c r="Y2902" s="269"/>
      <c r="Z2902" s="269"/>
      <c r="AA2902" s="269"/>
      <c r="AB2902" s="269"/>
      <c r="AC2902" s="269"/>
      <c r="AD2902" s="269"/>
      <c r="AE2902" s="269"/>
      <c r="AF2902" s="269"/>
      <c r="AG2902" s="269"/>
      <c r="AH2902" s="269"/>
      <c r="AI2902" s="269"/>
      <c r="AJ2902" s="269"/>
      <c r="AK2902" s="269"/>
      <c r="AL2902" s="269"/>
      <c r="AM2902" s="269"/>
      <c r="AN2902" s="269"/>
      <c r="AO2902" s="269"/>
      <c r="AP2902" s="269"/>
      <c r="AQ2902" s="269"/>
      <c r="AR2902" s="269"/>
    </row>
    <row r="2903">
      <c r="A2903" s="410"/>
      <c r="B2903" s="410"/>
      <c r="C2903" s="410"/>
      <c r="D2903" s="410"/>
      <c r="E2903" s="410"/>
      <c r="F2903" s="410"/>
      <c r="H2903" s="269"/>
      <c r="I2903" s="269"/>
      <c r="J2903" s="269"/>
      <c r="K2903" s="269"/>
      <c r="L2903" s="269"/>
      <c r="M2903" s="269"/>
      <c r="N2903" s="269"/>
      <c r="O2903" s="269"/>
      <c r="P2903" s="269"/>
      <c r="Q2903" s="269"/>
      <c r="R2903" s="269"/>
      <c r="S2903" s="269"/>
      <c r="T2903" s="269"/>
      <c r="U2903" s="269"/>
      <c r="V2903" s="269"/>
      <c r="W2903" s="269"/>
      <c r="X2903" s="269"/>
      <c r="Y2903" s="269"/>
      <c r="Z2903" s="269"/>
      <c r="AA2903" s="269"/>
      <c r="AB2903" s="269"/>
      <c r="AC2903" s="269"/>
      <c r="AD2903" s="269"/>
      <c r="AE2903" s="269"/>
      <c r="AF2903" s="269"/>
      <c r="AG2903" s="269"/>
      <c r="AH2903" s="269"/>
      <c r="AI2903" s="269"/>
      <c r="AJ2903" s="269"/>
      <c r="AK2903" s="269"/>
      <c r="AL2903" s="269"/>
      <c r="AM2903" s="269"/>
      <c r="AN2903" s="269"/>
      <c r="AO2903" s="269"/>
      <c r="AP2903" s="269"/>
      <c r="AQ2903" s="269"/>
      <c r="AR2903" s="269"/>
    </row>
    <row r="2904">
      <c r="A2904" s="410"/>
      <c r="B2904" s="410"/>
      <c r="C2904" s="410"/>
      <c r="D2904" s="410"/>
      <c r="E2904" s="410"/>
      <c r="F2904" s="410"/>
      <c r="H2904" s="269"/>
      <c r="I2904" s="269"/>
      <c r="J2904" s="269"/>
      <c r="K2904" s="269"/>
      <c r="L2904" s="269"/>
      <c r="M2904" s="269"/>
      <c r="N2904" s="269"/>
      <c r="O2904" s="269"/>
      <c r="P2904" s="269"/>
      <c r="Q2904" s="269"/>
      <c r="R2904" s="269"/>
      <c r="S2904" s="269"/>
      <c r="T2904" s="269"/>
      <c r="U2904" s="269"/>
      <c r="V2904" s="269"/>
      <c r="W2904" s="269"/>
      <c r="X2904" s="269"/>
      <c r="Y2904" s="269"/>
      <c r="Z2904" s="269"/>
      <c r="AA2904" s="269"/>
      <c r="AB2904" s="269"/>
      <c r="AC2904" s="269"/>
      <c r="AD2904" s="269"/>
      <c r="AE2904" s="269"/>
      <c r="AF2904" s="269"/>
      <c r="AG2904" s="269"/>
      <c r="AH2904" s="269"/>
      <c r="AI2904" s="269"/>
      <c r="AJ2904" s="269"/>
      <c r="AK2904" s="269"/>
      <c r="AL2904" s="269"/>
      <c r="AM2904" s="269"/>
      <c r="AN2904" s="269"/>
      <c r="AO2904" s="269"/>
      <c r="AP2904" s="269"/>
      <c r="AQ2904" s="269"/>
      <c r="AR2904" s="269"/>
    </row>
    <row r="2905">
      <c r="A2905" s="410"/>
      <c r="B2905" s="410"/>
      <c r="C2905" s="410"/>
      <c r="D2905" s="410"/>
      <c r="E2905" s="410"/>
      <c r="F2905" s="410"/>
      <c r="H2905" s="269"/>
      <c r="I2905" s="269"/>
      <c r="J2905" s="269"/>
      <c r="K2905" s="269"/>
      <c r="L2905" s="269"/>
      <c r="M2905" s="269"/>
      <c r="N2905" s="269"/>
      <c r="O2905" s="269"/>
      <c r="P2905" s="269"/>
      <c r="Q2905" s="269"/>
      <c r="R2905" s="269"/>
      <c r="S2905" s="269"/>
      <c r="T2905" s="269"/>
      <c r="U2905" s="269"/>
      <c r="V2905" s="269"/>
      <c r="W2905" s="269"/>
      <c r="X2905" s="269"/>
      <c r="Y2905" s="269"/>
      <c r="Z2905" s="269"/>
      <c r="AA2905" s="269"/>
      <c r="AB2905" s="269"/>
      <c r="AC2905" s="269"/>
      <c r="AD2905" s="269"/>
      <c r="AE2905" s="269"/>
      <c r="AF2905" s="269"/>
      <c r="AG2905" s="269"/>
      <c r="AH2905" s="269"/>
      <c r="AI2905" s="269"/>
      <c r="AJ2905" s="269"/>
      <c r="AK2905" s="269"/>
      <c r="AL2905" s="269"/>
      <c r="AM2905" s="269"/>
      <c r="AN2905" s="269"/>
      <c r="AO2905" s="269"/>
      <c r="AP2905" s="269"/>
      <c r="AQ2905" s="269"/>
      <c r="AR2905" s="269"/>
    </row>
    <row r="2906">
      <c r="A2906" s="410"/>
      <c r="B2906" s="410"/>
      <c r="C2906" s="410"/>
      <c r="D2906" s="410"/>
      <c r="E2906" s="410"/>
      <c r="F2906" s="410"/>
      <c r="H2906" s="269"/>
      <c r="I2906" s="269"/>
      <c r="J2906" s="269"/>
      <c r="K2906" s="269"/>
      <c r="L2906" s="269"/>
      <c r="M2906" s="269"/>
      <c r="N2906" s="269"/>
      <c r="O2906" s="269"/>
      <c r="P2906" s="269"/>
      <c r="Q2906" s="269"/>
      <c r="R2906" s="269"/>
      <c r="S2906" s="269"/>
      <c r="T2906" s="269"/>
      <c r="U2906" s="269"/>
      <c r="V2906" s="269"/>
      <c r="W2906" s="269"/>
      <c r="X2906" s="269"/>
      <c r="Y2906" s="269"/>
      <c r="Z2906" s="269"/>
      <c r="AA2906" s="269"/>
      <c r="AB2906" s="269"/>
      <c r="AC2906" s="269"/>
      <c r="AD2906" s="269"/>
      <c r="AE2906" s="269"/>
      <c r="AF2906" s="269"/>
      <c r="AG2906" s="269"/>
      <c r="AH2906" s="269"/>
      <c r="AI2906" s="269"/>
      <c r="AJ2906" s="269"/>
      <c r="AK2906" s="269"/>
      <c r="AL2906" s="269"/>
      <c r="AM2906" s="269"/>
      <c r="AN2906" s="269"/>
      <c r="AO2906" s="269"/>
      <c r="AP2906" s="269"/>
      <c r="AQ2906" s="269"/>
      <c r="AR2906" s="269"/>
    </row>
    <row r="2907">
      <c r="A2907" s="410"/>
      <c r="B2907" s="410"/>
      <c r="C2907" s="410"/>
      <c r="D2907" s="410"/>
      <c r="E2907" s="410"/>
      <c r="F2907" s="410"/>
      <c r="H2907" s="269"/>
      <c r="I2907" s="269"/>
      <c r="J2907" s="269"/>
      <c r="K2907" s="269"/>
      <c r="L2907" s="269"/>
      <c r="M2907" s="269"/>
      <c r="N2907" s="269"/>
      <c r="O2907" s="269"/>
      <c r="P2907" s="269"/>
      <c r="Q2907" s="269"/>
      <c r="R2907" s="269"/>
      <c r="S2907" s="269"/>
      <c r="T2907" s="269"/>
      <c r="U2907" s="269"/>
      <c r="V2907" s="269"/>
      <c r="W2907" s="269"/>
      <c r="X2907" s="269"/>
      <c r="Y2907" s="269"/>
      <c r="Z2907" s="269"/>
      <c r="AA2907" s="269"/>
      <c r="AB2907" s="269"/>
      <c r="AC2907" s="269"/>
      <c r="AD2907" s="269"/>
      <c r="AE2907" s="269"/>
      <c r="AF2907" s="269"/>
      <c r="AG2907" s="269"/>
      <c r="AH2907" s="269"/>
      <c r="AI2907" s="269"/>
      <c r="AJ2907" s="269"/>
      <c r="AK2907" s="269"/>
      <c r="AL2907" s="269"/>
      <c r="AM2907" s="269"/>
      <c r="AN2907" s="269"/>
      <c r="AO2907" s="269"/>
      <c r="AP2907" s="269"/>
      <c r="AQ2907" s="269"/>
      <c r="AR2907" s="269"/>
    </row>
    <row r="2908">
      <c r="A2908" s="410"/>
      <c r="B2908" s="410"/>
      <c r="C2908" s="410"/>
      <c r="D2908" s="410"/>
      <c r="E2908" s="410"/>
      <c r="F2908" s="410"/>
      <c r="H2908" s="269"/>
      <c r="I2908" s="269"/>
      <c r="J2908" s="269"/>
      <c r="K2908" s="269"/>
      <c r="L2908" s="269"/>
      <c r="M2908" s="269"/>
      <c r="N2908" s="269"/>
      <c r="O2908" s="269"/>
      <c r="P2908" s="269"/>
      <c r="Q2908" s="269"/>
      <c r="R2908" s="269"/>
      <c r="S2908" s="269"/>
      <c r="T2908" s="269"/>
      <c r="U2908" s="269"/>
      <c r="V2908" s="269"/>
      <c r="W2908" s="269"/>
      <c r="X2908" s="269"/>
      <c r="Y2908" s="269"/>
      <c r="Z2908" s="269"/>
      <c r="AA2908" s="269"/>
      <c r="AB2908" s="269"/>
      <c r="AC2908" s="269"/>
      <c r="AD2908" s="269"/>
      <c r="AE2908" s="269"/>
      <c r="AF2908" s="269"/>
      <c r="AG2908" s="269"/>
      <c r="AH2908" s="269"/>
      <c r="AI2908" s="269"/>
      <c r="AJ2908" s="269"/>
      <c r="AK2908" s="269"/>
      <c r="AL2908" s="269"/>
      <c r="AM2908" s="269"/>
      <c r="AN2908" s="269"/>
      <c r="AO2908" s="269"/>
      <c r="AP2908" s="269"/>
      <c r="AQ2908" s="269"/>
      <c r="AR2908" s="269"/>
    </row>
    <row r="2909">
      <c r="A2909" s="410"/>
      <c r="B2909" s="410"/>
      <c r="C2909" s="410"/>
      <c r="D2909" s="410"/>
      <c r="E2909" s="410"/>
      <c r="F2909" s="410"/>
      <c r="H2909" s="269"/>
      <c r="I2909" s="269"/>
      <c r="J2909" s="269"/>
      <c r="K2909" s="269"/>
      <c r="L2909" s="269"/>
      <c r="M2909" s="269"/>
      <c r="N2909" s="269"/>
      <c r="O2909" s="269"/>
      <c r="P2909" s="269"/>
      <c r="Q2909" s="269"/>
      <c r="R2909" s="269"/>
      <c r="S2909" s="269"/>
      <c r="T2909" s="269"/>
      <c r="U2909" s="269"/>
      <c r="V2909" s="269"/>
      <c r="W2909" s="269"/>
      <c r="X2909" s="269"/>
      <c r="Y2909" s="269"/>
      <c r="Z2909" s="269"/>
      <c r="AA2909" s="269"/>
      <c r="AB2909" s="269"/>
      <c r="AC2909" s="269"/>
      <c r="AD2909" s="269"/>
      <c r="AE2909" s="269"/>
      <c r="AF2909" s="269"/>
      <c r="AG2909" s="269"/>
      <c r="AH2909" s="269"/>
      <c r="AI2909" s="269"/>
      <c r="AJ2909" s="269"/>
      <c r="AK2909" s="269"/>
      <c r="AL2909" s="269"/>
      <c r="AM2909" s="269"/>
      <c r="AN2909" s="269"/>
      <c r="AO2909" s="269"/>
      <c r="AP2909" s="269"/>
      <c r="AQ2909" s="269"/>
      <c r="AR2909" s="269"/>
    </row>
    <row r="2910">
      <c r="A2910" s="410"/>
      <c r="B2910" s="410"/>
      <c r="C2910" s="410"/>
      <c r="D2910" s="410"/>
      <c r="E2910" s="410"/>
      <c r="F2910" s="410"/>
      <c r="H2910" s="269"/>
      <c r="I2910" s="269"/>
      <c r="J2910" s="269"/>
      <c r="K2910" s="269"/>
      <c r="L2910" s="269"/>
      <c r="M2910" s="269"/>
      <c r="N2910" s="269"/>
      <c r="O2910" s="269"/>
      <c r="P2910" s="269"/>
      <c r="Q2910" s="269"/>
      <c r="R2910" s="269"/>
      <c r="S2910" s="269"/>
      <c r="T2910" s="269"/>
      <c r="U2910" s="269"/>
      <c r="V2910" s="269"/>
      <c r="W2910" s="269"/>
      <c r="X2910" s="269"/>
      <c r="Y2910" s="269"/>
      <c r="Z2910" s="269"/>
      <c r="AA2910" s="269"/>
      <c r="AB2910" s="269"/>
      <c r="AC2910" s="269"/>
      <c r="AD2910" s="269"/>
      <c r="AE2910" s="269"/>
      <c r="AF2910" s="269"/>
      <c r="AG2910" s="269"/>
      <c r="AH2910" s="269"/>
      <c r="AI2910" s="269"/>
      <c r="AJ2910" s="269"/>
      <c r="AK2910" s="269"/>
      <c r="AL2910" s="269"/>
      <c r="AM2910" s="269"/>
      <c r="AN2910" s="269"/>
      <c r="AO2910" s="269"/>
      <c r="AP2910" s="269"/>
      <c r="AQ2910" s="269"/>
      <c r="AR2910" s="269"/>
    </row>
    <row r="2911">
      <c r="A2911" s="410"/>
      <c r="B2911" s="410"/>
      <c r="C2911" s="410"/>
      <c r="D2911" s="410"/>
      <c r="E2911" s="410"/>
      <c r="F2911" s="410"/>
      <c r="H2911" s="269"/>
      <c r="I2911" s="269"/>
      <c r="J2911" s="269"/>
      <c r="K2911" s="269"/>
      <c r="L2911" s="269"/>
      <c r="M2911" s="269"/>
      <c r="N2911" s="269"/>
      <c r="O2911" s="269"/>
      <c r="P2911" s="269"/>
      <c r="Q2911" s="269"/>
      <c r="R2911" s="269"/>
      <c r="S2911" s="269"/>
      <c r="T2911" s="269"/>
      <c r="U2911" s="269"/>
      <c r="V2911" s="269"/>
      <c r="W2911" s="269"/>
      <c r="X2911" s="269"/>
      <c r="Y2911" s="269"/>
      <c r="Z2911" s="269"/>
      <c r="AA2911" s="269"/>
      <c r="AB2911" s="269"/>
      <c r="AC2911" s="269"/>
      <c r="AD2911" s="269"/>
      <c r="AE2911" s="269"/>
      <c r="AF2911" s="269"/>
      <c r="AG2911" s="269"/>
      <c r="AH2911" s="269"/>
      <c r="AI2911" s="269"/>
      <c r="AJ2911" s="269"/>
      <c r="AK2911" s="269"/>
      <c r="AL2911" s="269"/>
      <c r="AM2911" s="269"/>
      <c r="AN2911" s="269"/>
      <c r="AO2911" s="269"/>
      <c r="AP2911" s="269"/>
      <c r="AQ2911" s="269"/>
      <c r="AR2911" s="269"/>
    </row>
    <row r="2912">
      <c r="A2912" s="410"/>
      <c r="B2912" s="410"/>
      <c r="C2912" s="410"/>
      <c r="D2912" s="410"/>
      <c r="E2912" s="410"/>
      <c r="F2912" s="410"/>
      <c r="H2912" s="269"/>
      <c r="I2912" s="269"/>
      <c r="J2912" s="269"/>
      <c r="K2912" s="269"/>
      <c r="L2912" s="269"/>
      <c r="M2912" s="269"/>
      <c r="N2912" s="269"/>
      <c r="O2912" s="269"/>
      <c r="P2912" s="269"/>
      <c r="Q2912" s="269"/>
      <c r="R2912" s="269"/>
      <c r="S2912" s="269"/>
      <c r="T2912" s="269"/>
      <c r="U2912" s="269"/>
      <c r="V2912" s="269"/>
      <c r="W2912" s="269"/>
      <c r="X2912" s="269"/>
      <c r="Y2912" s="269"/>
      <c r="Z2912" s="269"/>
      <c r="AA2912" s="269"/>
      <c r="AB2912" s="269"/>
      <c r="AC2912" s="269"/>
      <c r="AD2912" s="269"/>
      <c r="AE2912" s="269"/>
      <c r="AF2912" s="269"/>
      <c r="AG2912" s="269"/>
      <c r="AH2912" s="269"/>
      <c r="AI2912" s="269"/>
      <c r="AJ2912" s="269"/>
      <c r="AK2912" s="269"/>
      <c r="AL2912" s="269"/>
      <c r="AM2912" s="269"/>
      <c r="AN2912" s="269"/>
      <c r="AO2912" s="269"/>
      <c r="AP2912" s="269"/>
      <c r="AQ2912" s="269"/>
      <c r="AR2912" s="269"/>
    </row>
    <row r="2913">
      <c r="A2913" s="410"/>
      <c r="B2913" s="410"/>
      <c r="C2913" s="410"/>
      <c r="D2913" s="410"/>
      <c r="E2913" s="410"/>
      <c r="F2913" s="410"/>
      <c r="H2913" s="269"/>
      <c r="I2913" s="269"/>
      <c r="J2913" s="269"/>
      <c r="K2913" s="269"/>
      <c r="L2913" s="269"/>
      <c r="M2913" s="269"/>
      <c r="N2913" s="269"/>
      <c r="O2913" s="269"/>
      <c r="P2913" s="269"/>
      <c r="Q2913" s="269"/>
      <c r="R2913" s="269"/>
      <c r="S2913" s="269"/>
      <c r="T2913" s="269"/>
      <c r="U2913" s="269"/>
      <c r="V2913" s="269"/>
      <c r="W2913" s="269"/>
      <c r="X2913" s="269"/>
      <c r="Y2913" s="269"/>
      <c r="Z2913" s="269"/>
      <c r="AA2913" s="269"/>
      <c r="AB2913" s="269"/>
      <c r="AC2913" s="269"/>
      <c r="AD2913" s="269"/>
      <c r="AE2913" s="269"/>
      <c r="AF2913" s="269"/>
      <c r="AG2913" s="269"/>
      <c r="AH2913" s="269"/>
      <c r="AI2913" s="269"/>
      <c r="AJ2913" s="269"/>
      <c r="AK2913" s="269"/>
      <c r="AL2913" s="269"/>
      <c r="AM2913" s="269"/>
      <c r="AN2913" s="269"/>
      <c r="AO2913" s="269"/>
      <c r="AP2913" s="269"/>
      <c r="AQ2913" s="269"/>
      <c r="AR2913" s="269"/>
    </row>
    <row r="2914">
      <c r="A2914" s="410"/>
      <c r="B2914" s="410"/>
      <c r="C2914" s="410"/>
      <c r="D2914" s="410"/>
      <c r="E2914" s="410"/>
      <c r="F2914" s="410"/>
      <c r="H2914" s="269"/>
      <c r="I2914" s="269"/>
      <c r="J2914" s="269"/>
      <c r="K2914" s="269"/>
      <c r="L2914" s="269"/>
      <c r="M2914" s="269"/>
      <c r="N2914" s="269"/>
      <c r="O2914" s="269"/>
      <c r="P2914" s="269"/>
      <c r="Q2914" s="269"/>
      <c r="R2914" s="269"/>
      <c r="S2914" s="269"/>
      <c r="T2914" s="269"/>
      <c r="U2914" s="269"/>
      <c r="V2914" s="269"/>
      <c r="W2914" s="269"/>
      <c r="X2914" s="269"/>
      <c r="Y2914" s="269"/>
      <c r="Z2914" s="269"/>
      <c r="AA2914" s="269"/>
      <c r="AB2914" s="269"/>
      <c r="AC2914" s="269"/>
      <c r="AD2914" s="269"/>
      <c r="AE2914" s="269"/>
      <c r="AF2914" s="269"/>
      <c r="AG2914" s="269"/>
      <c r="AH2914" s="269"/>
      <c r="AI2914" s="269"/>
      <c r="AJ2914" s="269"/>
      <c r="AK2914" s="269"/>
      <c r="AL2914" s="269"/>
      <c r="AM2914" s="269"/>
      <c r="AN2914" s="269"/>
      <c r="AO2914" s="269"/>
      <c r="AP2914" s="269"/>
      <c r="AQ2914" s="269"/>
      <c r="AR2914" s="269"/>
    </row>
    <row r="2915">
      <c r="A2915" s="410"/>
      <c r="B2915" s="410"/>
      <c r="C2915" s="410"/>
      <c r="D2915" s="410"/>
      <c r="E2915" s="410"/>
      <c r="F2915" s="410"/>
      <c r="H2915" s="269"/>
      <c r="I2915" s="269"/>
      <c r="J2915" s="269"/>
      <c r="K2915" s="269"/>
      <c r="L2915" s="269"/>
      <c r="M2915" s="269"/>
      <c r="N2915" s="269"/>
      <c r="O2915" s="269"/>
      <c r="P2915" s="269"/>
      <c r="Q2915" s="269"/>
      <c r="R2915" s="269"/>
      <c r="S2915" s="269"/>
      <c r="T2915" s="269"/>
      <c r="U2915" s="269"/>
      <c r="V2915" s="269"/>
      <c r="W2915" s="269"/>
      <c r="X2915" s="269"/>
      <c r="Y2915" s="269"/>
      <c r="Z2915" s="269"/>
      <c r="AA2915" s="269"/>
      <c r="AB2915" s="269"/>
      <c r="AC2915" s="269"/>
      <c r="AD2915" s="269"/>
      <c r="AE2915" s="269"/>
      <c r="AF2915" s="269"/>
      <c r="AG2915" s="269"/>
      <c r="AH2915" s="269"/>
      <c r="AI2915" s="269"/>
      <c r="AJ2915" s="269"/>
      <c r="AK2915" s="269"/>
      <c r="AL2915" s="269"/>
      <c r="AM2915" s="269"/>
      <c r="AN2915" s="269"/>
      <c r="AO2915" s="269"/>
      <c r="AP2915" s="269"/>
      <c r="AQ2915" s="269"/>
      <c r="AR2915" s="269"/>
    </row>
    <row r="2916">
      <c r="A2916" s="410"/>
      <c r="B2916" s="410"/>
      <c r="C2916" s="410"/>
      <c r="D2916" s="410"/>
      <c r="E2916" s="410"/>
      <c r="F2916" s="410"/>
      <c r="H2916" s="269"/>
      <c r="I2916" s="269"/>
      <c r="J2916" s="269"/>
      <c r="K2916" s="269"/>
      <c r="L2916" s="269"/>
      <c r="M2916" s="269"/>
      <c r="N2916" s="269"/>
      <c r="O2916" s="269"/>
      <c r="P2916" s="269"/>
      <c r="Q2916" s="269"/>
      <c r="R2916" s="269"/>
      <c r="S2916" s="269"/>
      <c r="T2916" s="269"/>
      <c r="U2916" s="269"/>
      <c r="V2916" s="269"/>
      <c r="W2916" s="269"/>
      <c r="X2916" s="269"/>
      <c r="Y2916" s="269"/>
      <c r="Z2916" s="269"/>
      <c r="AA2916" s="269"/>
      <c r="AB2916" s="269"/>
      <c r="AC2916" s="269"/>
      <c r="AD2916" s="269"/>
      <c r="AE2916" s="269"/>
      <c r="AF2916" s="269"/>
      <c r="AG2916" s="269"/>
      <c r="AH2916" s="269"/>
      <c r="AI2916" s="269"/>
      <c r="AJ2916" s="269"/>
      <c r="AK2916" s="269"/>
      <c r="AL2916" s="269"/>
      <c r="AM2916" s="269"/>
      <c r="AN2916" s="269"/>
      <c r="AO2916" s="269"/>
      <c r="AP2916" s="269"/>
      <c r="AQ2916" s="269"/>
      <c r="AR2916" s="269"/>
    </row>
    <row r="2917">
      <c r="A2917" s="410"/>
      <c r="B2917" s="410"/>
      <c r="C2917" s="410"/>
      <c r="D2917" s="410"/>
      <c r="E2917" s="410"/>
      <c r="F2917" s="410"/>
      <c r="H2917" s="269"/>
      <c r="I2917" s="269"/>
      <c r="J2917" s="269"/>
      <c r="K2917" s="269"/>
      <c r="L2917" s="269"/>
      <c r="M2917" s="269"/>
      <c r="N2917" s="269"/>
      <c r="O2917" s="269"/>
      <c r="P2917" s="269"/>
      <c r="Q2917" s="269"/>
      <c r="R2917" s="269"/>
      <c r="S2917" s="269"/>
      <c r="T2917" s="269"/>
      <c r="U2917" s="269"/>
      <c r="V2917" s="269"/>
      <c r="W2917" s="269"/>
      <c r="X2917" s="269"/>
      <c r="Y2917" s="269"/>
      <c r="Z2917" s="269"/>
      <c r="AA2917" s="269"/>
      <c r="AB2917" s="269"/>
      <c r="AC2917" s="269"/>
      <c r="AD2917" s="269"/>
      <c r="AE2917" s="269"/>
      <c r="AF2917" s="269"/>
      <c r="AG2917" s="269"/>
      <c r="AH2917" s="269"/>
      <c r="AI2917" s="269"/>
      <c r="AJ2917" s="269"/>
      <c r="AK2917" s="269"/>
      <c r="AL2917" s="269"/>
      <c r="AM2917" s="269"/>
      <c r="AN2917" s="269"/>
      <c r="AO2917" s="269"/>
      <c r="AP2917" s="269"/>
      <c r="AQ2917" s="269"/>
      <c r="AR2917" s="269"/>
    </row>
    <row r="2918">
      <c r="A2918" s="410"/>
      <c r="B2918" s="410"/>
      <c r="C2918" s="410"/>
      <c r="D2918" s="410"/>
      <c r="E2918" s="410"/>
      <c r="F2918" s="410"/>
      <c r="H2918" s="269"/>
      <c r="I2918" s="269"/>
      <c r="J2918" s="269"/>
      <c r="K2918" s="269"/>
      <c r="L2918" s="269"/>
      <c r="M2918" s="269"/>
      <c r="N2918" s="269"/>
      <c r="O2918" s="269"/>
      <c r="P2918" s="269"/>
      <c r="Q2918" s="269"/>
      <c r="R2918" s="269"/>
      <c r="S2918" s="269"/>
      <c r="T2918" s="269"/>
      <c r="U2918" s="269"/>
      <c r="V2918" s="269"/>
      <c r="W2918" s="269"/>
      <c r="X2918" s="269"/>
      <c r="Y2918" s="269"/>
      <c r="Z2918" s="269"/>
      <c r="AA2918" s="269"/>
      <c r="AB2918" s="269"/>
      <c r="AC2918" s="269"/>
      <c r="AD2918" s="269"/>
      <c r="AE2918" s="269"/>
      <c r="AF2918" s="269"/>
      <c r="AG2918" s="269"/>
      <c r="AH2918" s="269"/>
      <c r="AI2918" s="269"/>
      <c r="AJ2918" s="269"/>
      <c r="AK2918" s="269"/>
      <c r="AL2918" s="269"/>
      <c r="AM2918" s="269"/>
      <c r="AN2918" s="269"/>
      <c r="AO2918" s="269"/>
      <c r="AP2918" s="269"/>
      <c r="AQ2918" s="269"/>
      <c r="AR2918" s="269"/>
    </row>
    <row r="2919">
      <c r="A2919" s="410"/>
      <c r="B2919" s="410"/>
      <c r="C2919" s="410"/>
      <c r="D2919" s="410"/>
      <c r="E2919" s="410"/>
      <c r="F2919" s="410"/>
      <c r="H2919" s="269"/>
      <c r="I2919" s="269"/>
      <c r="J2919" s="269"/>
      <c r="K2919" s="269"/>
      <c r="L2919" s="269"/>
      <c r="M2919" s="269"/>
      <c r="N2919" s="269"/>
      <c r="O2919" s="269"/>
      <c r="P2919" s="269"/>
      <c r="Q2919" s="269"/>
      <c r="R2919" s="269"/>
      <c r="S2919" s="269"/>
      <c r="T2919" s="269"/>
      <c r="U2919" s="269"/>
      <c r="V2919" s="269"/>
      <c r="W2919" s="269"/>
      <c r="X2919" s="269"/>
      <c r="Y2919" s="269"/>
      <c r="Z2919" s="269"/>
      <c r="AA2919" s="269"/>
      <c r="AB2919" s="269"/>
      <c r="AC2919" s="269"/>
      <c r="AD2919" s="269"/>
      <c r="AE2919" s="269"/>
      <c r="AF2919" s="269"/>
      <c r="AG2919" s="269"/>
      <c r="AH2919" s="269"/>
      <c r="AI2919" s="269"/>
      <c r="AJ2919" s="269"/>
      <c r="AK2919" s="269"/>
      <c r="AL2919" s="269"/>
      <c r="AM2919" s="269"/>
      <c r="AN2919" s="269"/>
      <c r="AO2919" s="269"/>
      <c r="AP2919" s="269"/>
      <c r="AQ2919" s="269"/>
      <c r="AR2919" s="269"/>
    </row>
    <row r="2920">
      <c r="A2920" s="410"/>
      <c r="B2920" s="410"/>
      <c r="C2920" s="410"/>
      <c r="D2920" s="410"/>
      <c r="E2920" s="410"/>
      <c r="F2920" s="410"/>
      <c r="H2920" s="269"/>
      <c r="I2920" s="269"/>
      <c r="J2920" s="269"/>
      <c r="K2920" s="269"/>
      <c r="L2920" s="269"/>
      <c r="M2920" s="269"/>
      <c r="N2920" s="269"/>
      <c r="O2920" s="269"/>
      <c r="P2920" s="269"/>
      <c r="Q2920" s="269"/>
      <c r="R2920" s="269"/>
      <c r="S2920" s="269"/>
      <c r="T2920" s="269"/>
      <c r="U2920" s="269"/>
      <c r="V2920" s="269"/>
      <c r="W2920" s="269"/>
      <c r="X2920" s="269"/>
      <c r="Y2920" s="269"/>
      <c r="Z2920" s="269"/>
      <c r="AA2920" s="269"/>
      <c r="AB2920" s="269"/>
      <c r="AC2920" s="269"/>
      <c r="AD2920" s="269"/>
      <c r="AE2920" s="269"/>
      <c r="AF2920" s="269"/>
      <c r="AG2920" s="269"/>
      <c r="AH2920" s="269"/>
      <c r="AI2920" s="269"/>
      <c r="AJ2920" s="269"/>
      <c r="AK2920" s="269"/>
      <c r="AL2920" s="269"/>
      <c r="AM2920" s="269"/>
      <c r="AN2920" s="269"/>
      <c r="AO2920" s="269"/>
      <c r="AP2920" s="269"/>
      <c r="AQ2920" s="269"/>
      <c r="AR2920" s="269"/>
    </row>
    <row r="2921">
      <c r="A2921" s="410"/>
      <c r="B2921" s="410"/>
      <c r="C2921" s="410"/>
      <c r="D2921" s="410"/>
      <c r="E2921" s="410"/>
      <c r="F2921" s="410"/>
      <c r="H2921" s="269"/>
      <c r="I2921" s="269"/>
      <c r="J2921" s="269"/>
      <c r="K2921" s="269"/>
      <c r="L2921" s="269"/>
      <c r="M2921" s="269"/>
      <c r="N2921" s="269"/>
      <c r="O2921" s="269"/>
      <c r="P2921" s="269"/>
      <c r="Q2921" s="269"/>
      <c r="R2921" s="269"/>
      <c r="S2921" s="269"/>
      <c r="T2921" s="269"/>
      <c r="U2921" s="269"/>
      <c r="V2921" s="269"/>
      <c r="W2921" s="269"/>
      <c r="X2921" s="269"/>
      <c r="Y2921" s="269"/>
      <c r="Z2921" s="269"/>
      <c r="AA2921" s="269"/>
      <c r="AB2921" s="269"/>
      <c r="AC2921" s="269"/>
      <c r="AD2921" s="269"/>
      <c r="AE2921" s="269"/>
      <c r="AF2921" s="269"/>
      <c r="AG2921" s="269"/>
      <c r="AH2921" s="269"/>
      <c r="AI2921" s="269"/>
      <c r="AJ2921" s="269"/>
      <c r="AK2921" s="269"/>
      <c r="AL2921" s="269"/>
      <c r="AM2921" s="269"/>
      <c r="AN2921" s="269"/>
      <c r="AO2921" s="269"/>
      <c r="AP2921" s="269"/>
      <c r="AQ2921" s="269"/>
      <c r="AR2921" s="269"/>
    </row>
    <row r="2922">
      <c r="A2922" s="410"/>
      <c r="B2922" s="410"/>
      <c r="C2922" s="410"/>
      <c r="D2922" s="410"/>
      <c r="E2922" s="410"/>
      <c r="F2922" s="410"/>
      <c r="H2922" s="269"/>
      <c r="I2922" s="269"/>
      <c r="J2922" s="269"/>
      <c r="K2922" s="269"/>
      <c r="L2922" s="269"/>
      <c r="M2922" s="269"/>
      <c r="N2922" s="269"/>
      <c r="O2922" s="269"/>
      <c r="P2922" s="269"/>
      <c r="Q2922" s="269"/>
      <c r="R2922" s="269"/>
      <c r="S2922" s="269"/>
      <c r="T2922" s="269"/>
      <c r="U2922" s="269"/>
      <c r="V2922" s="269"/>
      <c r="W2922" s="269"/>
      <c r="X2922" s="269"/>
      <c r="Y2922" s="269"/>
      <c r="Z2922" s="269"/>
      <c r="AA2922" s="269"/>
      <c r="AB2922" s="269"/>
      <c r="AC2922" s="269"/>
      <c r="AD2922" s="269"/>
      <c r="AE2922" s="269"/>
      <c r="AF2922" s="269"/>
      <c r="AG2922" s="269"/>
      <c r="AH2922" s="269"/>
      <c r="AI2922" s="269"/>
      <c r="AJ2922" s="269"/>
      <c r="AK2922" s="269"/>
      <c r="AL2922" s="269"/>
      <c r="AM2922" s="269"/>
      <c r="AN2922" s="269"/>
      <c r="AO2922" s="269"/>
      <c r="AP2922" s="269"/>
      <c r="AQ2922" s="269"/>
      <c r="AR2922" s="269"/>
    </row>
    <row r="2923">
      <c r="A2923" s="410"/>
      <c r="B2923" s="410"/>
      <c r="C2923" s="410"/>
      <c r="D2923" s="410"/>
      <c r="E2923" s="410"/>
      <c r="F2923" s="410"/>
      <c r="H2923" s="269"/>
      <c r="I2923" s="269"/>
      <c r="J2923" s="269"/>
      <c r="K2923" s="269"/>
      <c r="L2923" s="269"/>
      <c r="M2923" s="269"/>
      <c r="N2923" s="269"/>
      <c r="O2923" s="269"/>
      <c r="P2923" s="269"/>
      <c r="Q2923" s="269"/>
      <c r="R2923" s="269"/>
      <c r="S2923" s="269"/>
      <c r="T2923" s="269"/>
      <c r="U2923" s="269"/>
      <c r="V2923" s="269"/>
      <c r="W2923" s="269"/>
      <c r="X2923" s="269"/>
      <c r="Y2923" s="269"/>
      <c r="Z2923" s="269"/>
      <c r="AA2923" s="269"/>
      <c r="AB2923" s="269"/>
      <c r="AC2923" s="269"/>
      <c r="AD2923" s="269"/>
      <c r="AE2923" s="269"/>
      <c r="AF2923" s="269"/>
      <c r="AG2923" s="269"/>
      <c r="AH2923" s="269"/>
      <c r="AI2923" s="269"/>
      <c r="AJ2923" s="269"/>
      <c r="AK2923" s="269"/>
      <c r="AL2923" s="269"/>
      <c r="AM2923" s="269"/>
      <c r="AN2923" s="269"/>
      <c r="AO2923" s="269"/>
      <c r="AP2923" s="269"/>
      <c r="AQ2923" s="269"/>
      <c r="AR2923" s="269"/>
    </row>
    <row r="2924">
      <c r="A2924" s="410"/>
      <c r="B2924" s="410"/>
      <c r="C2924" s="410"/>
      <c r="D2924" s="410"/>
      <c r="E2924" s="410"/>
      <c r="F2924" s="410"/>
      <c r="H2924" s="269"/>
      <c r="I2924" s="269"/>
      <c r="J2924" s="269"/>
      <c r="K2924" s="269"/>
      <c r="L2924" s="269"/>
      <c r="M2924" s="269"/>
      <c r="N2924" s="269"/>
      <c r="O2924" s="269"/>
      <c r="P2924" s="269"/>
      <c r="Q2924" s="269"/>
      <c r="R2924" s="269"/>
      <c r="S2924" s="269"/>
      <c r="T2924" s="269"/>
      <c r="U2924" s="269"/>
      <c r="V2924" s="269"/>
      <c r="W2924" s="269"/>
      <c r="X2924" s="269"/>
      <c r="Y2924" s="269"/>
      <c r="Z2924" s="269"/>
      <c r="AA2924" s="269"/>
      <c r="AB2924" s="269"/>
      <c r="AC2924" s="269"/>
      <c r="AD2924" s="269"/>
      <c r="AE2924" s="269"/>
      <c r="AF2924" s="269"/>
      <c r="AG2924" s="269"/>
      <c r="AH2924" s="269"/>
      <c r="AI2924" s="269"/>
      <c r="AJ2924" s="269"/>
      <c r="AK2924" s="269"/>
      <c r="AL2924" s="269"/>
      <c r="AM2924" s="269"/>
      <c r="AN2924" s="269"/>
      <c r="AO2924" s="269"/>
      <c r="AP2924" s="269"/>
      <c r="AQ2924" s="269"/>
      <c r="AR2924" s="269"/>
    </row>
    <row r="2925">
      <c r="A2925" s="410"/>
      <c r="B2925" s="410"/>
      <c r="C2925" s="410"/>
      <c r="D2925" s="410"/>
      <c r="E2925" s="410"/>
      <c r="F2925" s="410"/>
      <c r="H2925" s="269"/>
      <c r="I2925" s="269"/>
      <c r="J2925" s="269"/>
      <c r="K2925" s="269"/>
      <c r="L2925" s="269"/>
      <c r="M2925" s="269"/>
      <c r="N2925" s="269"/>
      <c r="O2925" s="269"/>
      <c r="P2925" s="269"/>
      <c r="Q2925" s="269"/>
      <c r="R2925" s="269"/>
      <c r="S2925" s="269"/>
      <c r="T2925" s="269"/>
      <c r="U2925" s="269"/>
      <c r="V2925" s="269"/>
      <c r="W2925" s="269"/>
      <c r="X2925" s="269"/>
      <c r="Y2925" s="269"/>
      <c r="Z2925" s="269"/>
      <c r="AA2925" s="269"/>
      <c r="AB2925" s="269"/>
      <c r="AC2925" s="269"/>
      <c r="AD2925" s="269"/>
      <c r="AE2925" s="269"/>
      <c r="AF2925" s="269"/>
      <c r="AG2925" s="269"/>
      <c r="AH2925" s="269"/>
      <c r="AI2925" s="269"/>
      <c r="AJ2925" s="269"/>
      <c r="AK2925" s="269"/>
      <c r="AL2925" s="269"/>
      <c r="AM2925" s="269"/>
      <c r="AN2925" s="269"/>
      <c r="AO2925" s="269"/>
      <c r="AP2925" s="269"/>
      <c r="AQ2925" s="269"/>
      <c r="AR2925" s="269"/>
    </row>
    <row r="2926">
      <c r="A2926" s="410"/>
      <c r="B2926" s="410"/>
      <c r="C2926" s="410"/>
      <c r="D2926" s="410"/>
      <c r="E2926" s="410"/>
      <c r="F2926" s="410"/>
      <c r="H2926" s="269"/>
      <c r="I2926" s="269"/>
      <c r="J2926" s="269"/>
      <c r="K2926" s="269"/>
      <c r="L2926" s="269"/>
      <c r="M2926" s="269"/>
      <c r="N2926" s="269"/>
      <c r="O2926" s="269"/>
      <c r="P2926" s="269"/>
      <c r="Q2926" s="269"/>
      <c r="R2926" s="269"/>
      <c r="S2926" s="269"/>
      <c r="T2926" s="269"/>
      <c r="U2926" s="269"/>
      <c r="V2926" s="269"/>
      <c r="W2926" s="269"/>
      <c r="X2926" s="269"/>
      <c r="Y2926" s="269"/>
      <c r="Z2926" s="269"/>
      <c r="AA2926" s="269"/>
      <c r="AB2926" s="269"/>
      <c r="AC2926" s="269"/>
      <c r="AD2926" s="269"/>
      <c r="AE2926" s="269"/>
      <c r="AF2926" s="269"/>
      <c r="AG2926" s="269"/>
      <c r="AH2926" s="269"/>
      <c r="AI2926" s="269"/>
      <c r="AJ2926" s="269"/>
      <c r="AK2926" s="269"/>
      <c r="AL2926" s="269"/>
      <c r="AM2926" s="269"/>
      <c r="AN2926" s="269"/>
      <c r="AO2926" s="269"/>
      <c r="AP2926" s="269"/>
      <c r="AQ2926" s="269"/>
      <c r="AR2926" s="269"/>
    </row>
    <row r="2927">
      <c r="A2927" s="410"/>
      <c r="B2927" s="410"/>
      <c r="C2927" s="410"/>
      <c r="D2927" s="410"/>
      <c r="E2927" s="410"/>
      <c r="F2927" s="410"/>
      <c r="H2927" s="269"/>
      <c r="I2927" s="269"/>
      <c r="J2927" s="269"/>
      <c r="K2927" s="269"/>
      <c r="L2927" s="269"/>
      <c r="M2927" s="269"/>
      <c r="N2927" s="269"/>
      <c r="O2927" s="269"/>
      <c r="P2927" s="269"/>
      <c r="Q2927" s="269"/>
      <c r="R2927" s="269"/>
      <c r="S2927" s="269"/>
      <c r="T2927" s="269"/>
      <c r="U2927" s="269"/>
      <c r="V2927" s="269"/>
      <c r="W2927" s="269"/>
      <c r="X2927" s="269"/>
      <c r="Y2927" s="269"/>
      <c r="Z2927" s="269"/>
      <c r="AA2927" s="269"/>
      <c r="AB2927" s="269"/>
      <c r="AC2927" s="269"/>
      <c r="AD2927" s="269"/>
      <c r="AE2927" s="269"/>
      <c r="AF2927" s="269"/>
      <c r="AG2927" s="269"/>
      <c r="AH2927" s="269"/>
      <c r="AI2927" s="269"/>
      <c r="AJ2927" s="269"/>
      <c r="AK2927" s="269"/>
      <c r="AL2927" s="269"/>
      <c r="AM2927" s="269"/>
      <c r="AN2927" s="269"/>
      <c r="AO2927" s="269"/>
      <c r="AP2927" s="269"/>
      <c r="AQ2927" s="269"/>
      <c r="AR2927" s="269"/>
    </row>
    <row r="2928">
      <c r="A2928" s="410"/>
      <c r="B2928" s="410"/>
      <c r="C2928" s="410"/>
      <c r="D2928" s="410"/>
      <c r="E2928" s="410"/>
      <c r="F2928" s="410"/>
      <c r="H2928" s="269"/>
      <c r="I2928" s="269"/>
      <c r="J2928" s="269"/>
      <c r="K2928" s="269"/>
      <c r="L2928" s="269"/>
      <c r="M2928" s="269"/>
      <c r="N2928" s="269"/>
      <c r="O2928" s="269"/>
      <c r="P2928" s="269"/>
      <c r="Q2928" s="269"/>
      <c r="R2928" s="269"/>
      <c r="S2928" s="269"/>
      <c r="T2928" s="269"/>
      <c r="U2928" s="269"/>
      <c r="V2928" s="269"/>
      <c r="W2928" s="269"/>
      <c r="X2928" s="269"/>
      <c r="Y2928" s="269"/>
      <c r="Z2928" s="269"/>
      <c r="AA2928" s="269"/>
      <c r="AB2928" s="269"/>
      <c r="AC2928" s="269"/>
      <c r="AD2928" s="269"/>
      <c r="AE2928" s="269"/>
      <c r="AF2928" s="269"/>
      <c r="AG2928" s="269"/>
      <c r="AH2928" s="269"/>
      <c r="AI2928" s="269"/>
      <c r="AJ2928" s="269"/>
      <c r="AK2928" s="269"/>
      <c r="AL2928" s="269"/>
      <c r="AM2928" s="269"/>
      <c r="AN2928" s="269"/>
      <c r="AO2928" s="269"/>
      <c r="AP2928" s="269"/>
      <c r="AQ2928" s="269"/>
      <c r="AR2928" s="269"/>
    </row>
    <row r="2929">
      <c r="A2929" s="410"/>
      <c r="B2929" s="410"/>
      <c r="C2929" s="410"/>
      <c r="D2929" s="410"/>
      <c r="E2929" s="410"/>
      <c r="F2929" s="410"/>
      <c r="H2929" s="269"/>
      <c r="I2929" s="269"/>
      <c r="J2929" s="269"/>
      <c r="K2929" s="269"/>
      <c r="L2929" s="269"/>
      <c r="M2929" s="269"/>
      <c r="N2929" s="269"/>
      <c r="O2929" s="269"/>
      <c r="P2929" s="269"/>
      <c r="Q2929" s="269"/>
      <c r="R2929" s="269"/>
      <c r="S2929" s="269"/>
      <c r="T2929" s="269"/>
      <c r="U2929" s="269"/>
      <c r="V2929" s="269"/>
      <c r="W2929" s="269"/>
      <c r="X2929" s="269"/>
      <c r="Y2929" s="269"/>
      <c r="Z2929" s="269"/>
      <c r="AA2929" s="269"/>
      <c r="AB2929" s="269"/>
      <c r="AC2929" s="269"/>
      <c r="AD2929" s="269"/>
      <c r="AE2929" s="269"/>
      <c r="AF2929" s="269"/>
      <c r="AG2929" s="269"/>
      <c r="AH2929" s="269"/>
      <c r="AI2929" s="269"/>
      <c r="AJ2929" s="269"/>
      <c r="AK2929" s="269"/>
      <c r="AL2929" s="269"/>
      <c r="AM2929" s="269"/>
      <c r="AN2929" s="269"/>
      <c r="AO2929" s="269"/>
      <c r="AP2929" s="269"/>
      <c r="AQ2929" s="269"/>
      <c r="AR2929" s="269"/>
    </row>
    <row r="2930">
      <c r="A2930" s="410"/>
      <c r="B2930" s="410"/>
      <c r="C2930" s="410"/>
      <c r="D2930" s="410"/>
      <c r="E2930" s="410"/>
      <c r="F2930" s="410"/>
      <c r="H2930" s="269"/>
      <c r="I2930" s="269"/>
      <c r="J2930" s="269"/>
      <c r="K2930" s="269"/>
      <c r="L2930" s="269"/>
      <c r="M2930" s="269"/>
      <c r="N2930" s="269"/>
      <c r="O2930" s="269"/>
      <c r="P2930" s="269"/>
      <c r="Q2930" s="269"/>
      <c r="R2930" s="269"/>
      <c r="S2930" s="269"/>
      <c r="T2930" s="269"/>
      <c r="U2930" s="269"/>
      <c r="V2930" s="269"/>
      <c r="W2930" s="269"/>
      <c r="X2930" s="269"/>
      <c r="Y2930" s="269"/>
      <c r="Z2930" s="269"/>
      <c r="AA2930" s="269"/>
      <c r="AB2930" s="269"/>
      <c r="AC2930" s="269"/>
      <c r="AD2930" s="269"/>
      <c r="AE2930" s="269"/>
      <c r="AF2930" s="269"/>
      <c r="AG2930" s="269"/>
      <c r="AH2930" s="269"/>
      <c r="AI2930" s="269"/>
      <c r="AJ2930" s="269"/>
      <c r="AK2930" s="269"/>
      <c r="AL2930" s="269"/>
      <c r="AM2930" s="269"/>
      <c r="AN2930" s="269"/>
      <c r="AO2930" s="269"/>
      <c r="AP2930" s="269"/>
      <c r="AQ2930" s="269"/>
      <c r="AR2930" s="269"/>
    </row>
    <row r="2931">
      <c r="A2931" s="410"/>
      <c r="B2931" s="410"/>
      <c r="C2931" s="410"/>
      <c r="D2931" s="410"/>
      <c r="E2931" s="410"/>
      <c r="F2931" s="410"/>
      <c r="H2931" s="269"/>
      <c r="I2931" s="269"/>
      <c r="J2931" s="269"/>
      <c r="K2931" s="269"/>
      <c r="L2931" s="269"/>
      <c r="M2931" s="269"/>
      <c r="N2931" s="269"/>
      <c r="O2931" s="269"/>
      <c r="P2931" s="269"/>
      <c r="Q2931" s="269"/>
      <c r="R2931" s="269"/>
      <c r="S2931" s="269"/>
      <c r="T2931" s="269"/>
      <c r="U2931" s="269"/>
      <c r="V2931" s="269"/>
      <c r="W2931" s="269"/>
      <c r="X2931" s="269"/>
      <c r="Y2931" s="269"/>
      <c r="Z2931" s="269"/>
      <c r="AA2931" s="269"/>
      <c r="AB2931" s="269"/>
      <c r="AC2931" s="269"/>
      <c r="AD2931" s="269"/>
      <c r="AE2931" s="269"/>
      <c r="AF2931" s="269"/>
      <c r="AG2931" s="269"/>
      <c r="AH2931" s="269"/>
      <c r="AI2931" s="269"/>
      <c r="AJ2931" s="269"/>
      <c r="AK2931" s="269"/>
      <c r="AL2931" s="269"/>
      <c r="AM2931" s="269"/>
      <c r="AN2931" s="269"/>
      <c r="AO2931" s="269"/>
      <c r="AP2931" s="269"/>
      <c r="AQ2931" s="269"/>
      <c r="AR2931" s="269"/>
    </row>
    <row r="2932">
      <c r="A2932" s="410"/>
      <c r="B2932" s="410"/>
      <c r="C2932" s="410"/>
      <c r="D2932" s="410"/>
      <c r="E2932" s="410"/>
      <c r="F2932" s="410"/>
      <c r="H2932" s="269"/>
      <c r="I2932" s="269"/>
      <c r="J2932" s="269"/>
      <c r="K2932" s="269"/>
      <c r="L2932" s="269"/>
      <c r="M2932" s="269"/>
      <c r="N2932" s="269"/>
      <c r="O2932" s="269"/>
      <c r="P2932" s="269"/>
      <c r="Q2932" s="269"/>
      <c r="R2932" s="269"/>
      <c r="S2932" s="269"/>
      <c r="T2932" s="269"/>
      <c r="U2932" s="269"/>
      <c r="V2932" s="269"/>
      <c r="W2932" s="269"/>
      <c r="X2932" s="269"/>
      <c r="Y2932" s="269"/>
      <c r="Z2932" s="269"/>
      <c r="AA2932" s="269"/>
      <c r="AB2932" s="269"/>
      <c r="AC2932" s="269"/>
      <c r="AD2932" s="269"/>
      <c r="AE2932" s="269"/>
      <c r="AF2932" s="269"/>
      <c r="AG2932" s="269"/>
      <c r="AH2932" s="269"/>
      <c r="AI2932" s="269"/>
      <c r="AJ2932" s="269"/>
      <c r="AK2932" s="269"/>
      <c r="AL2932" s="269"/>
      <c r="AM2932" s="269"/>
      <c r="AN2932" s="269"/>
      <c r="AO2932" s="269"/>
      <c r="AP2932" s="269"/>
      <c r="AQ2932" s="269"/>
      <c r="AR2932" s="269"/>
    </row>
    <row r="2933">
      <c r="A2933" s="410"/>
      <c r="B2933" s="410"/>
      <c r="C2933" s="410"/>
      <c r="D2933" s="410"/>
      <c r="E2933" s="410"/>
      <c r="F2933" s="410"/>
      <c r="H2933" s="269"/>
      <c r="I2933" s="269"/>
      <c r="J2933" s="269"/>
      <c r="K2933" s="269"/>
      <c r="L2933" s="269"/>
      <c r="M2933" s="269"/>
      <c r="N2933" s="269"/>
      <c r="O2933" s="269"/>
      <c r="P2933" s="269"/>
      <c r="Q2933" s="269"/>
      <c r="R2933" s="269"/>
      <c r="S2933" s="269"/>
      <c r="T2933" s="269"/>
      <c r="U2933" s="269"/>
      <c r="V2933" s="269"/>
      <c r="W2933" s="269"/>
      <c r="X2933" s="269"/>
      <c r="Y2933" s="269"/>
      <c r="Z2933" s="269"/>
      <c r="AA2933" s="269"/>
      <c r="AB2933" s="269"/>
      <c r="AC2933" s="269"/>
      <c r="AD2933" s="269"/>
      <c r="AE2933" s="269"/>
      <c r="AF2933" s="269"/>
      <c r="AG2933" s="269"/>
      <c r="AH2933" s="269"/>
      <c r="AI2933" s="269"/>
      <c r="AJ2933" s="269"/>
      <c r="AK2933" s="269"/>
      <c r="AL2933" s="269"/>
      <c r="AM2933" s="269"/>
      <c r="AN2933" s="269"/>
      <c r="AO2933" s="269"/>
      <c r="AP2933" s="269"/>
      <c r="AQ2933" s="269"/>
      <c r="AR2933" s="269"/>
    </row>
    <row r="2934">
      <c r="A2934" s="410"/>
      <c r="B2934" s="410"/>
      <c r="C2934" s="410"/>
      <c r="D2934" s="410"/>
      <c r="E2934" s="410"/>
      <c r="F2934" s="410"/>
      <c r="H2934" s="269"/>
      <c r="I2934" s="269"/>
      <c r="J2934" s="269"/>
      <c r="K2934" s="269"/>
      <c r="L2934" s="269"/>
      <c r="M2934" s="269"/>
      <c r="N2934" s="269"/>
      <c r="O2934" s="269"/>
      <c r="P2934" s="269"/>
      <c r="Q2934" s="269"/>
      <c r="R2934" s="269"/>
      <c r="S2934" s="269"/>
      <c r="T2934" s="269"/>
      <c r="U2934" s="269"/>
      <c r="V2934" s="269"/>
      <c r="W2934" s="269"/>
      <c r="X2934" s="269"/>
      <c r="Y2934" s="269"/>
      <c r="Z2934" s="269"/>
      <c r="AA2934" s="269"/>
      <c r="AB2934" s="269"/>
      <c r="AC2934" s="269"/>
      <c r="AD2934" s="269"/>
      <c r="AE2934" s="269"/>
      <c r="AF2934" s="269"/>
      <c r="AG2934" s="269"/>
      <c r="AH2934" s="269"/>
      <c r="AI2934" s="269"/>
      <c r="AJ2934" s="269"/>
      <c r="AK2934" s="269"/>
      <c r="AL2934" s="269"/>
      <c r="AM2934" s="269"/>
      <c r="AN2934" s="269"/>
      <c r="AO2934" s="269"/>
      <c r="AP2934" s="269"/>
      <c r="AQ2934" s="269"/>
      <c r="AR2934" s="269"/>
    </row>
    <row r="2935">
      <c r="A2935" s="410"/>
      <c r="B2935" s="410"/>
      <c r="C2935" s="410"/>
      <c r="D2935" s="410"/>
      <c r="E2935" s="410"/>
      <c r="F2935" s="410"/>
      <c r="H2935" s="269"/>
      <c r="I2935" s="269"/>
      <c r="J2935" s="269"/>
      <c r="K2935" s="269"/>
      <c r="L2935" s="269"/>
      <c r="M2935" s="269"/>
      <c r="N2935" s="269"/>
      <c r="O2935" s="269"/>
      <c r="P2935" s="269"/>
      <c r="Q2935" s="269"/>
      <c r="R2935" s="269"/>
      <c r="S2935" s="269"/>
      <c r="T2935" s="269"/>
      <c r="U2935" s="269"/>
      <c r="V2935" s="269"/>
      <c r="W2935" s="269"/>
      <c r="X2935" s="269"/>
      <c r="Y2935" s="269"/>
      <c r="Z2935" s="269"/>
      <c r="AA2935" s="269"/>
      <c r="AB2935" s="269"/>
      <c r="AC2935" s="269"/>
      <c r="AD2935" s="269"/>
      <c r="AE2935" s="269"/>
      <c r="AF2935" s="269"/>
      <c r="AG2935" s="269"/>
      <c r="AH2935" s="269"/>
      <c r="AI2935" s="269"/>
      <c r="AJ2935" s="269"/>
      <c r="AK2935" s="269"/>
      <c r="AL2935" s="269"/>
      <c r="AM2935" s="269"/>
      <c r="AN2935" s="269"/>
      <c r="AO2935" s="269"/>
      <c r="AP2935" s="269"/>
      <c r="AQ2935" s="269"/>
      <c r="AR2935" s="269"/>
    </row>
    <row r="2936">
      <c r="A2936" s="410"/>
      <c r="B2936" s="410"/>
      <c r="C2936" s="410"/>
      <c r="D2936" s="410"/>
      <c r="E2936" s="410"/>
      <c r="F2936" s="410"/>
      <c r="H2936" s="269"/>
      <c r="I2936" s="269"/>
      <c r="J2936" s="269"/>
      <c r="K2936" s="269"/>
      <c r="L2936" s="269"/>
      <c r="M2936" s="269"/>
      <c r="N2936" s="269"/>
      <c r="O2936" s="269"/>
      <c r="P2936" s="269"/>
      <c r="Q2936" s="269"/>
      <c r="R2936" s="269"/>
      <c r="S2936" s="269"/>
      <c r="T2936" s="269"/>
      <c r="U2936" s="269"/>
      <c r="V2936" s="269"/>
      <c r="W2936" s="269"/>
      <c r="X2936" s="269"/>
      <c r="Y2936" s="269"/>
      <c r="Z2936" s="269"/>
      <c r="AA2936" s="269"/>
      <c r="AB2936" s="269"/>
      <c r="AC2936" s="269"/>
      <c r="AD2936" s="269"/>
      <c r="AE2936" s="269"/>
      <c r="AF2936" s="269"/>
      <c r="AG2936" s="269"/>
      <c r="AH2936" s="269"/>
      <c r="AI2936" s="269"/>
      <c r="AJ2936" s="269"/>
      <c r="AK2936" s="269"/>
      <c r="AL2936" s="269"/>
      <c r="AM2936" s="269"/>
      <c r="AN2936" s="269"/>
      <c r="AO2936" s="269"/>
      <c r="AP2936" s="269"/>
      <c r="AQ2936" s="269"/>
      <c r="AR2936" s="269"/>
    </row>
    <row r="2937">
      <c r="A2937" s="410"/>
      <c r="B2937" s="410"/>
      <c r="C2937" s="410"/>
      <c r="D2937" s="410"/>
      <c r="E2937" s="410"/>
      <c r="F2937" s="410"/>
      <c r="H2937" s="269"/>
      <c r="I2937" s="269"/>
      <c r="J2937" s="269"/>
      <c r="K2937" s="269"/>
      <c r="L2937" s="269"/>
      <c r="M2937" s="269"/>
      <c r="N2937" s="269"/>
      <c r="O2937" s="269"/>
      <c r="P2937" s="269"/>
      <c r="Q2937" s="269"/>
      <c r="R2937" s="269"/>
      <c r="S2937" s="269"/>
      <c r="T2937" s="269"/>
      <c r="U2937" s="269"/>
      <c r="V2937" s="269"/>
      <c r="W2937" s="269"/>
      <c r="X2937" s="269"/>
      <c r="Y2937" s="269"/>
      <c r="Z2937" s="269"/>
      <c r="AA2937" s="269"/>
      <c r="AB2937" s="269"/>
      <c r="AC2937" s="269"/>
      <c r="AD2937" s="269"/>
      <c r="AE2937" s="269"/>
      <c r="AF2937" s="269"/>
      <c r="AG2937" s="269"/>
      <c r="AH2937" s="269"/>
      <c r="AI2937" s="269"/>
      <c r="AJ2937" s="269"/>
      <c r="AK2937" s="269"/>
      <c r="AL2937" s="269"/>
      <c r="AM2937" s="269"/>
      <c r="AN2937" s="269"/>
      <c r="AO2937" s="269"/>
      <c r="AP2937" s="269"/>
      <c r="AQ2937" s="269"/>
      <c r="AR2937" s="269"/>
    </row>
    <row r="2938">
      <c r="A2938" s="410"/>
      <c r="B2938" s="410"/>
      <c r="C2938" s="410"/>
      <c r="D2938" s="410"/>
      <c r="E2938" s="410"/>
      <c r="F2938" s="410"/>
      <c r="H2938" s="269"/>
      <c r="I2938" s="269"/>
      <c r="J2938" s="269"/>
      <c r="K2938" s="269"/>
      <c r="L2938" s="269"/>
      <c r="M2938" s="269"/>
      <c r="N2938" s="269"/>
      <c r="O2938" s="269"/>
      <c r="P2938" s="269"/>
      <c r="Q2938" s="269"/>
      <c r="R2938" s="269"/>
      <c r="S2938" s="269"/>
      <c r="T2938" s="269"/>
      <c r="U2938" s="269"/>
      <c r="V2938" s="269"/>
      <c r="W2938" s="269"/>
      <c r="X2938" s="269"/>
      <c r="Y2938" s="269"/>
      <c r="Z2938" s="269"/>
      <c r="AA2938" s="269"/>
      <c r="AB2938" s="269"/>
      <c r="AC2938" s="269"/>
      <c r="AD2938" s="269"/>
      <c r="AE2938" s="269"/>
      <c r="AF2938" s="269"/>
      <c r="AG2938" s="269"/>
      <c r="AH2938" s="269"/>
      <c r="AI2938" s="269"/>
      <c r="AJ2938" s="269"/>
      <c r="AK2938" s="269"/>
      <c r="AL2938" s="269"/>
      <c r="AM2938" s="269"/>
      <c r="AN2938" s="269"/>
      <c r="AO2938" s="269"/>
      <c r="AP2938" s="269"/>
      <c r="AQ2938" s="269"/>
      <c r="AR2938" s="269"/>
    </row>
    <row r="2939">
      <c r="A2939" s="410"/>
      <c r="B2939" s="410"/>
      <c r="C2939" s="410"/>
      <c r="D2939" s="410"/>
      <c r="E2939" s="410"/>
      <c r="F2939" s="410"/>
      <c r="H2939" s="269"/>
      <c r="I2939" s="269"/>
      <c r="J2939" s="269"/>
      <c r="K2939" s="269"/>
      <c r="L2939" s="269"/>
      <c r="M2939" s="269"/>
      <c r="N2939" s="269"/>
      <c r="O2939" s="269"/>
      <c r="P2939" s="269"/>
      <c r="Q2939" s="269"/>
      <c r="R2939" s="269"/>
      <c r="S2939" s="269"/>
      <c r="T2939" s="269"/>
      <c r="U2939" s="269"/>
      <c r="V2939" s="269"/>
      <c r="W2939" s="269"/>
      <c r="X2939" s="269"/>
      <c r="Y2939" s="269"/>
      <c r="Z2939" s="269"/>
      <c r="AA2939" s="269"/>
      <c r="AB2939" s="269"/>
      <c r="AC2939" s="269"/>
      <c r="AD2939" s="269"/>
      <c r="AE2939" s="269"/>
      <c r="AF2939" s="269"/>
      <c r="AG2939" s="269"/>
      <c r="AH2939" s="269"/>
      <c r="AI2939" s="269"/>
      <c r="AJ2939" s="269"/>
      <c r="AK2939" s="269"/>
      <c r="AL2939" s="269"/>
      <c r="AM2939" s="269"/>
      <c r="AN2939" s="269"/>
      <c r="AO2939" s="269"/>
      <c r="AP2939" s="269"/>
      <c r="AQ2939" s="269"/>
      <c r="AR2939" s="269"/>
    </row>
    <row r="2940">
      <c r="A2940" s="410"/>
      <c r="B2940" s="410"/>
      <c r="C2940" s="410"/>
      <c r="D2940" s="410"/>
      <c r="E2940" s="410"/>
      <c r="F2940" s="410"/>
      <c r="H2940" s="269"/>
      <c r="I2940" s="269"/>
      <c r="J2940" s="269"/>
      <c r="K2940" s="269"/>
      <c r="L2940" s="269"/>
      <c r="M2940" s="269"/>
      <c r="N2940" s="269"/>
      <c r="O2940" s="269"/>
      <c r="P2940" s="269"/>
      <c r="Q2940" s="269"/>
      <c r="R2940" s="269"/>
      <c r="S2940" s="269"/>
      <c r="T2940" s="269"/>
      <c r="U2940" s="269"/>
      <c r="V2940" s="269"/>
      <c r="W2940" s="269"/>
      <c r="X2940" s="269"/>
      <c r="Y2940" s="269"/>
      <c r="Z2940" s="269"/>
      <c r="AA2940" s="269"/>
      <c r="AB2940" s="269"/>
      <c r="AC2940" s="269"/>
      <c r="AD2940" s="269"/>
      <c r="AE2940" s="269"/>
      <c r="AF2940" s="269"/>
      <c r="AG2940" s="269"/>
      <c r="AH2940" s="269"/>
      <c r="AI2940" s="269"/>
      <c r="AJ2940" s="269"/>
      <c r="AK2940" s="269"/>
      <c r="AL2940" s="269"/>
      <c r="AM2940" s="269"/>
      <c r="AN2940" s="269"/>
      <c r="AO2940" s="269"/>
      <c r="AP2940" s="269"/>
      <c r="AQ2940" s="269"/>
      <c r="AR2940" s="269"/>
    </row>
    <row r="2941">
      <c r="A2941" s="410"/>
      <c r="B2941" s="410"/>
      <c r="C2941" s="410"/>
      <c r="D2941" s="410"/>
      <c r="E2941" s="410"/>
      <c r="F2941" s="410"/>
      <c r="H2941" s="269"/>
      <c r="I2941" s="269"/>
      <c r="J2941" s="269"/>
      <c r="K2941" s="269"/>
      <c r="L2941" s="269"/>
      <c r="M2941" s="269"/>
      <c r="N2941" s="269"/>
      <c r="O2941" s="269"/>
      <c r="P2941" s="269"/>
      <c r="Q2941" s="269"/>
      <c r="R2941" s="269"/>
      <c r="S2941" s="269"/>
      <c r="T2941" s="269"/>
      <c r="U2941" s="269"/>
      <c r="V2941" s="269"/>
      <c r="W2941" s="269"/>
      <c r="X2941" s="269"/>
      <c r="Y2941" s="269"/>
      <c r="Z2941" s="269"/>
      <c r="AA2941" s="269"/>
      <c r="AB2941" s="269"/>
      <c r="AC2941" s="269"/>
      <c r="AD2941" s="269"/>
      <c r="AE2941" s="269"/>
      <c r="AF2941" s="269"/>
      <c r="AG2941" s="269"/>
      <c r="AH2941" s="269"/>
      <c r="AI2941" s="269"/>
      <c r="AJ2941" s="269"/>
      <c r="AK2941" s="269"/>
      <c r="AL2941" s="269"/>
      <c r="AM2941" s="269"/>
      <c r="AN2941" s="269"/>
      <c r="AO2941" s="269"/>
      <c r="AP2941" s="269"/>
      <c r="AQ2941" s="269"/>
      <c r="AR2941" s="269"/>
    </row>
    <row r="2942">
      <c r="A2942" s="410"/>
      <c r="B2942" s="410"/>
      <c r="C2942" s="410"/>
      <c r="D2942" s="410"/>
      <c r="E2942" s="410"/>
      <c r="F2942" s="410"/>
      <c r="H2942" s="269"/>
      <c r="I2942" s="269"/>
      <c r="J2942" s="269"/>
      <c r="K2942" s="269"/>
      <c r="L2942" s="269"/>
      <c r="M2942" s="269"/>
      <c r="N2942" s="269"/>
      <c r="O2942" s="269"/>
      <c r="P2942" s="269"/>
      <c r="Q2942" s="269"/>
      <c r="R2942" s="269"/>
      <c r="S2942" s="269"/>
      <c r="T2942" s="269"/>
      <c r="U2942" s="269"/>
      <c r="V2942" s="269"/>
      <c r="W2942" s="269"/>
      <c r="X2942" s="269"/>
      <c r="Y2942" s="269"/>
      <c r="Z2942" s="269"/>
      <c r="AA2942" s="269"/>
      <c r="AB2942" s="269"/>
      <c r="AC2942" s="269"/>
      <c r="AD2942" s="269"/>
      <c r="AE2942" s="269"/>
      <c r="AF2942" s="269"/>
      <c r="AG2942" s="269"/>
      <c r="AH2942" s="269"/>
      <c r="AI2942" s="269"/>
      <c r="AJ2942" s="269"/>
      <c r="AK2942" s="269"/>
      <c r="AL2942" s="269"/>
      <c r="AM2942" s="269"/>
      <c r="AN2942" s="269"/>
      <c r="AO2942" s="269"/>
      <c r="AP2942" s="269"/>
      <c r="AQ2942" s="269"/>
      <c r="AR2942" s="269"/>
    </row>
    <row r="2943">
      <c r="A2943" s="410"/>
      <c r="B2943" s="410"/>
      <c r="C2943" s="410"/>
      <c r="D2943" s="410"/>
      <c r="E2943" s="410"/>
      <c r="F2943" s="410"/>
      <c r="H2943" s="269"/>
      <c r="I2943" s="269"/>
      <c r="J2943" s="269"/>
      <c r="K2943" s="269"/>
      <c r="L2943" s="269"/>
      <c r="M2943" s="269"/>
      <c r="N2943" s="269"/>
      <c r="O2943" s="269"/>
      <c r="P2943" s="269"/>
      <c r="Q2943" s="269"/>
      <c r="R2943" s="269"/>
      <c r="S2943" s="269"/>
      <c r="T2943" s="269"/>
      <c r="U2943" s="269"/>
      <c r="V2943" s="269"/>
      <c r="W2943" s="269"/>
      <c r="X2943" s="269"/>
      <c r="Y2943" s="269"/>
      <c r="Z2943" s="269"/>
      <c r="AA2943" s="269"/>
      <c r="AB2943" s="269"/>
      <c r="AC2943" s="269"/>
      <c r="AD2943" s="269"/>
      <c r="AE2943" s="269"/>
      <c r="AF2943" s="269"/>
      <c r="AG2943" s="269"/>
      <c r="AH2943" s="269"/>
      <c r="AI2943" s="269"/>
      <c r="AJ2943" s="269"/>
      <c r="AK2943" s="269"/>
      <c r="AL2943" s="269"/>
      <c r="AM2943" s="269"/>
      <c r="AN2943" s="269"/>
      <c r="AO2943" s="269"/>
      <c r="AP2943" s="269"/>
      <c r="AQ2943" s="269"/>
      <c r="AR2943" s="269"/>
    </row>
    <row r="2944">
      <c r="A2944" s="410"/>
      <c r="B2944" s="410"/>
      <c r="C2944" s="410"/>
      <c r="D2944" s="410"/>
      <c r="E2944" s="410"/>
      <c r="F2944" s="410"/>
      <c r="H2944" s="269"/>
      <c r="I2944" s="269"/>
      <c r="J2944" s="269"/>
      <c r="K2944" s="269"/>
      <c r="L2944" s="269"/>
      <c r="M2944" s="269"/>
      <c r="N2944" s="269"/>
      <c r="O2944" s="269"/>
      <c r="P2944" s="269"/>
      <c r="Q2944" s="269"/>
      <c r="R2944" s="269"/>
      <c r="S2944" s="269"/>
      <c r="T2944" s="269"/>
      <c r="U2944" s="269"/>
      <c r="V2944" s="269"/>
      <c r="W2944" s="269"/>
      <c r="X2944" s="269"/>
      <c r="Y2944" s="269"/>
      <c r="Z2944" s="269"/>
      <c r="AA2944" s="269"/>
      <c r="AB2944" s="269"/>
      <c r="AC2944" s="269"/>
      <c r="AD2944" s="269"/>
      <c r="AE2944" s="269"/>
      <c r="AF2944" s="269"/>
      <c r="AG2944" s="269"/>
      <c r="AH2944" s="269"/>
      <c r="AI2944" s="269"/>
      <c r="AJ2944" s="269"/>
      <c r="AK2944" s="269"/>
      <c r="AL2944" s="269"/>
      <c r="AM2944" s="269"/>
      <c r="AN2944" s="269"/>
      <c r="AO2944" s="269"/>
      <c r="AP2944" s="269"/>
      <c r="AQ2944" s="269"/>
      <c r="AR2944" s="269"/>
    </row>
    <row r="2945">
      <c r="A2945" s="410"/>
      <c r="B2945" s="410"/>
      <c r="C2945" s="410"/>
      <c r="D2945" s="410"/>
      <c r="E2945" s="410"/>
      <c r="F2945" s="410"/>
      <c r="H2945" s="269"/>
      <c r="I2945" s="269"/>
      <c r="J2945" s="269"/>
      <c r="K2945" s="269"/>
      <c r="L2945" s="269"/>
      <c r="M2945" s="269"/>
      <c r="N2945" s="269"/>
      <c r="O2945" s="269"/>
      <c r="P2945" s="269"/>
      <c r="Q2945" s="269"/>
      <c r="R2945" s="269"/>
      <c r="S2945" s="269"/>
      <c r="T2945" s="269"/>
      <c r="U2945" s="269"/>
      <c r="V2945" s="269"/>
      <c r="W2945" s="269"/>
      <c r="X2945" s="269"/>
      <c r="Y2945" s="269"/>
      <c r="Z2945" s="269"/>
      <c r="AA2945" s="269"/>
      <c r="AB2945" s="269"/>
      <c r="AC2945" s="269"/>
      <c r="AD2945" s="269"/>
      <c r="AE2945" s="269"/>
      <c r="AF2945" s="269"/>
      <c r="AG2945" s="269"/>
      <c r="AH2945" s="269"/>
      <c r="AI2945" s="269"/>
      <c r="AJ2945" s="269"/>
      <c r="AK2945" s="269"/>
      <c r="AL2945" s="269"/>
      <c r="AM2945" s="269"/>
      <c r="AN2945" s="269"/>
      <c r="AO2945" s="269"/>
      <c r="AP2945" s="269"/>
      <c r="AQ2945" s="269"/>
      <c r="AR2945" s="269"/>
    </row>
    <row r="2946">
      <c r="A2946" s="410"/>
      <c r="B2946" s="410"/>
      <c r="C2946" s="410"/>
      <c r="D2946" s="410"/>
      <c r="E2946" s="410"/>
      <c r="F2946" s="410"/>
      <c r="H2946" s="269"/>
      <c r="I2946" s="269"/>
      <c r="J2946" s="269"/>
      <c r="K2946" s="269"/>
      <c r="L2946" s="269"/>
      <c r="M2946" s="269"/>
      <c r="N2946" s="269"/>
      <c r="O2946" s="269"/>
      <c r="P2946" s="269"/>
      <c r="Q2946" s="269"/>
      <c r="R2946" s="269"/>
      <c r="S2946" s="269"/>
      <c r="T2946" s="269"/>
      <c r="U2946" s="269"/>
      <c r="V2946" s="269"/>
      <c r="W2946" s="269"/>
      <c r="X2946" s="269"/>
      <c r="Y2946" s="269"/>
      <c r="Z2946" s="269"/>
      <c r="AA2946" s="269"/>
      <c r="AB2946" s="269"/>
      <c r="AC2946" s="269"/>
      <c r="AD2946" s="269"/>
      <c r="AE2946" s="269"/>
      <c r="AF2946" s="269"/>
      <c r="AG2946" s="269"/>
      <c r="AH2946" s="269"/>
      <c r="AI2946" s="269"/>
      <c r="AJ2946" s="269"/>
      <c r="AK2946" s="269"/>
      <c r="AL2946" s="269"/>
      <c r="AM2946" s="269"/>
      <c r="AN2946" s="269"/>
      <c r="AO2946" s="269"/>
      <c r="AP2946" s="269"/>
      <c r="AQ2946" s="269"/>
      <c r="AR2946" s="269"/>
    </row>
    <row r="2947">
      <c r="A2947" s="410"/>
      <c r="B2947" s="410"/>
      <c r="C2947" s="410"/>
      <c r="D2947" s="410"/>
      <c r="E2947" s="410"/>
      <c r="F2947" s="410"/>
      <c r="H2947" s="269"/>
      <c r="I2947" s="269"/>
      <c r="J2947" s="269"/>
      <c r="K2947" s="269"/>
      <c r="L2947" s="269"/>
      <c r="M2947" s="269"/>
      <c r="N2947" s="269"/>
      <c r="O2947" s="269"/>
      <c r="P2947" s="269"/>
      <c r="Q2947" s="269"/>
      <c r="R2947" s="269"/>
      <c r="S2947" s="269"/>
      <c r="T2947" s="269"/>
      <c r="U2947" s="269"/>
      <c r="V2947" s="269"/>
      <c r="W2947" s="269"/>
      <c r="X2947" s="269"/>
      <c r="Y2947" s="269"/>
      <c r="Z2947" s="269"/>
      <c r="AA2947" s="269"/>
      <c r="AB2947" s="269"/>
      <c r="AC2947" s="269"/>
      <c r="AD2947" s="269"/>
      <c r="AE2947" s="269"/>
      <c r="AF2947" s="269"/>
      <c r="AG2947" s="269"/>
      <c r="AH2947" s="269"/>
      <c r="AI2947" s="269"/>
      <c r="AJ2947" s="269"/>
      <c r="AK2947" s="269"/>
      <c r="AL2947" s="269"/>
      <c r="AM2947" s="269"/>
      <c r="AN2947" s="269"/>
      <c r="AO2947" s="269"/>
      <c r="AP2947" s="269"/>
      <c r="AQ2947" s="269"/>
      <c r="AR2947" s="269"/>
    </row>
    <row r="2948">
      <c r="A2948" s="410"/>
      <c r="B2948" s="410"/>
      <c r="C2948" s="410"/>
      <c r="D2948" s="410"/>
      <c r="E2948" s="410"/>
      <c r="F2948" s="410"/>
      <c r="H2948" s="269"/>
      <c r="I2948" s="269"/>
      <c r="J2948" s="269"/>
      <c r="K2948" s="269"/>
      <c r="L2948" s="269"/>
      <c r="M2948" s="269"/>
      <c r="N2948" s="269"/>
      <c r="O2948" s="269"/>
      <c r="P2948" s="269"/>
      <c r="Q2948" s="269"/>
      <c r="R2948" s="269"/>
      <c r="S2948" s="269"/>
      <c r="T2948" s="269"/>
      <c r="U2948" s="269"/>
      <c r="V2948" s="269"/>
      <c r="W2948" s="269"/>
      <c r="X2948" s="269"/>
      <c r="Y2948" s="269"/>
      <c r="Z2948" s="269"/>
      <c r="AA2948" s="269"/>
      <c r="AB2948" s="269"/>
      <c r="AC2948" s="269"/>
      <c r="AD2948" s="269"/>
      <c r="AE2948" s="269"/>
      <c r="AF2948" s="269"/>
      <c r="AG2948" s="269"/>
      <c r="AH2948" s="269"/>
      <c r="AI2948" s="269"/>
      <c r="AJ2948" s="269"/>
      <c r="AK2948" s="269"/>
      <c r="AL2948" s="269"/>
      <c r="AM2948" s="269"/>
      <c r="AN2948" s="269"/>
      <c r="AO2948" s="269"/>
      <c r="AP2948" s="269"/>
      <c r="AQ2948" s="269"/>
      <c r="AR2948" s="269"/>
    </row>
    <row r="2949">
      <c r="A2949" s="410"/>
      <c r="B2949" s="410"/>
      <c r="C2949" s="410"/>
      <c r="D2949" s="410"/>
      <c r="E2949" s="410"/>
      <c r="F2949" s="410"/>
      <c r="H2949" s="269"/>
      <c r="I2949" s="269"/>
      <c r="J2949" s="269"/>
      <c r="K2949" s="269"/>
      <c r="L2949" s="269"/>
      <c r="M2949" s="269"/>
      <c r="N2949" s="269"/>
      <c r="O2949" s="269"/>
      <c r="P2949" s="269"/>
      <c r="Q2949" s="269"/>
      <c r="R2949" s="269"/>
      <c r="S2949" s="269"/>
      <c r="T2949" s="269"/>
      <c r="U2949" s="269"/>
      <c r="V2949" s="269"/>
      <c r="W2949" s="269"/>
      <c r="X2949" s="269"/>
      <c r="Y2949" s="269"/>
      <c r="Z2949" s="269"/>
      <c r="AA2949" s="269"/>
      <c r="AB2949" s="269"/>
      <c r="AC2949" s="269"/>
      <c r="AD2949" s="269"/>
      <c r="AE2949" s="269"/>
      <c r="AF2949" s="269"/>
      <c r="AG2949" s="269"/>
      <c r="AH2949" s="269"/>
      <c r="AI2949" s="269"/>
      <c r="AJ2949" s="269"/>
      <c r="AK2949" s="269"/>
      <c r="AL2949" s="269"/>
      <c r="AM2949" s="269"/>
      <c r="AN2949" s="269"/>
      <c r="AO2949" s="269"/>
      <c r="AP2949" s="269"/>
      <c r="AQ2949" s="269"/>
      <c r="AR2949" s="269"/>
    </row>
    <row r="2950">
      <c r="A2950" s="410"/>
      <c r="B2950" s="410"/>
      <c r="C2950" s="410"/>
      <c r="D2950" s="410"/>
      <c r="E2950" s="410"/>
      <c r="F2950" s="410"/>
      <c r="H2950" s="269"/>
      <c r="I2950" s="269"/>
      <c r="J2950" s="269"/>
      <c r="K2950" s="269"/>
      <c r="L2950" s="269"/>
      <c r="M2950" s="269"/>
      <c r="N2950" s="269"/>
      <c r="O2950" s="269"/>
      <c r="P2950" s="269"/>
      <c r="Q2950" s="269"/>
      <c r="R2950" s="269"/>
      <c r="S2950" s="269"/>
      <c r="T2950" s="269"/>
      <c r="U2950" s="269"/>
      <c r="V2950" s="269"/>
      <c r="W2950" s="269"/>
      <c r="X2950" s="269"/>
      <c r="Y2950" s="269"/>
      <c r="Z2950" s="269"/>
      <c r="AA2950" s="269"/>
      <c r="AB2950" s="269"/>
      <c r="AC2950" s="269"/>
      <c r="AD2950" s="269"/>
      <c r="AE2950" s="269"/>
      <c r="AF2950" s="269"/>
      <c r="AG2950" s="269"/>
      <c r="AH2950" s="269"/>
      <c r="AI2950" s="269"/>
      <c r="AJ2950" s="269"/>
      <c r="AK2950" s="269"/>
      <c r="AL2950" s="269"/>
      <c r="AM2950" s="269"/>
      <c r="AN2950" s="269"/>
      <c r="AO2950" s="269"/>
      <c r="AP2950" s="269"/>
      <c r="AQ2950" s="269"/>
      <c r="AR2950" s="269"/>
    </row>
    <row r="2951">
      <c r="A2951" s="410"/>
      <c r="B2951" s="410"/>
      <c r="C2951" s="410"/>
      <c r="D2951" s="410"/>
      <c r="E2951" s="410"/>
      <c r="F2951" s="410"/>
      <c r="H2951" s="269"/>
      <c r="I2951" s="269"/>
      <c r="J2951" s="269"/>
      <c r="K2951" s="269"/>
      <c r="L2951" s="269"/>
      <c r="M2951" s="269"/>
      <c r="N2951" s="269"/>
      <c r="O2951" s="269"/>
      <c r="P2951" s="269"/>
      <c r="Q2951" s="269"/>
      <c r="R2951" s="269"/>
      <c r="S2951" s="269"/>
      <c r="T2951" s="269"/>
      <c r="U2951" s="269"/>
      <c r="V2951" s="269"/>
      <c r="W2951" s="269"/>
      <c r="X2951" s="269"/>
      <c r="Y2951" s="269"/>
      <c r="Z2951" s="269"/>
      <c r="AA2951" s="269"/>
      <c r="AB2951" s="269"/>
      <c r="AC2951" s="269"/>
      <c r="AD2951" s="269"/>
      <c r="AE2951" s="269"/>
      <c r="AF2951" s="269"/>
      <c r="AG2951" s="269"/>
      <c r="AH2951" s="269"/>
      <c r="AI2951" s="269"/>
      <c r="AJ2951" s="269"/>
      <c r="AK2951" s="269"/>
      <c r="AL2951" s="269"/>
      <c r="AM2951" s="269"/>
      <c r="AN2951" s="269"/>
      <c r="AO2951" s="269"/>
      <c r="AP2951" s="269"/>
      <c r="AQ2951" s="269"/>
      <c r="AR2951" s="269"/>
    </row>
    <row r="2952">
      <c r="A2952" s="410"/>
      <c r="B2952" s="410"/>
      <c r="C2952" s="410"/>
      <c r="D2952" s="410"/>
      <c r="E2952" s="410"/>
      <c r="F2952" s="410"/>
      <c r="H2952" s="269"/>
      <c r="I2952" s="269"/>
      <c r="J2952" s="269"/>
      <c r="K2952" s="269"/>
      <c r="L2952" s="269"/>
      <c r="M2952" s="269"/>
      <c r="N2952" s="269"/>
      <c r="O2952" s="269"/>
      <c r="P2952" s="269"/>
      <c r="Q2952" s="269"/>
      <c r="R2952" s="269"/>
      <c r="S2952" s="269"/>
      <c r="T2952" s="269"/>
      <c r="U2952" s="269"/>
      <c r="V2952" s="269"/>
      <c r="W2952" s="269"/>
      <c r="X2952" s="269"/>
      <c r="Y2952" s="269"/>
      <c r="Z2952" s="269"/>
      <c r="AA2952" s="269"/>
      <c r="AB2952" s="269"/>
      <c r="AC2952" s="269"/>
      <c r="AD2952" s="269"/>
      <c r="AE2952" s="269"/>
      <c r="AF2952" s="269"/>
      <c r="AG2952" s="269"/>
      <c r="AH2952" s="269"/>
      <c r="AI2952" s="269"/>
      <c r="AJ2952" s="269"/>
      <c r="AK2952" s="269"/>
      <c r="AL2952" s="269"/>
      <c r="AM2952" s="269"/>
      <c r="AN2952" s="269"/>
      <c r="AO2952" s="269"/>
      <c r="AP2952" s="269"/>
      <c r="AQ2952" s="269"/>
      <c r="AR2952" s="269"/>
    </row>
    <row r="2953">
      <c r="A2953" s="410"/>
      <c r="B2953" s="410"/>
      <c r="C2953" s="410"/>
      <c r="D2953" s="410"/>
      <c r="E2953" s="410"/>
      <c r="F2953" s="410"/>
      <c r="H2953" s="269"/>
      <c r="I2953" s="269"/>
      <c r="J2953" s="269"/>
      <c r="K2953" s="269"/>
      <c r="L2953" s="269"/>
      <c r="M2953" s="269"/>
      <c r="N2953" s="269"/>
      <c r="O2953" s="269"/>
      <c r="P2953" s="269"/>
      <c r="Q2953" s="269"/>
      <c r="R2953" s="269"/>
      <c r="S2953" s="269"/>
      <c r="T2953" s="269"/>
      <c r="U2953" s="269"/>
      <c r="V2953" s="269"/>
      <c r="W2953" s="269"/>
      <c r="X2953" s="269"/>
      <c r="Y2953" s="269"/>
      <c r="Z2953" s="269"/>
      <c r="AA2953" s="269"/>
      <c r="AB2953" s="269"/>
      <c r="AC2953" s="269"/>
      <c r="AD2953" s="269"/>
      <c r="AE2953" s="269"/>
      <c r="AF2953" s="269"/>
      <c r="AG2953" s="269"/>
      <c r="AH2953" s="269"/>
      <c r="AI2953" s="269"/>
      <c r="AJ2953" s="269"/>
      <c r="AK2953" s="269"/>
      <c r="AL2953" s="269"/>
      <c r="AM2953" s="269"/>
      <c r="AN2953" s="269"/>
      <c r="AO2953" s="269"/>
      <c r="AP2953" s="269"/>
      <c r="AQ2953" s="269"/>
      <c r="AR2953" s="269"/>
    </row>
    <row r="2954">
      <c r="A2954" s="410"/>
      <c r="B2954" s="410"/>
      <c r="C2954" s="410"/>
      <c r="D2954" s="410"/>
      <c r="E2954" s="410"/>
      <c r="F2954" s="410"/>
      <c r="H2954" s="269"/>
      <c r="I2954" s="269"/>
      <c r="J2954" s="269"/>
      <c r="K2954" s="269"/>
      <c r="L2954" s="269"/>
      <c r="M2954" s="269"/>
      <c r="N2954" s="269"/>
      <c r="O2954" s="269"/>
      <c r="P2954" s="269"/>
      <c r="Q2954" s="269"/>
      <c r="R2954" s="269"/>
      <c r="S2954" s="269"/>
      <c r="T2954" s="269"/>
      <c r="U2954" s="269"/>
      <c r="V2954" s="269"/>
      <c r="W2954" s="269"/>
      <c r="X2954" s="269"/>
      <c r="Y2954" s="269"/>
      <c r="Z2954" s="269"/>
      <c r="AA2954" s="269"/>
      <c r="AB2954" s="269"/>
      <c r="AC2954" s="269"/>
      <c r="AD2954" s="269"/>
      <c r="AE2954" s="269"/>
      <c r="AF2954" s="269"/>
      <c r="AG2954" s="269"/>
      <c r="AH2954" s="269"/>
      <c r="AI2954" s="269"/>
      <c r="AJ2954" s="269"/>
      <c r="AK2954" s="269"/>
      <c r="AL2954" s="269"/>
      <c r="AM2954" s="269"/>
      <c r="AN2954" s="269"/>
      <c r="AO2954" s="269"/>
      <c r="AP2954" s="269"/>
      <c r="AQ2954" s="269"/>
      <c r="AR2954" s="269"/>
    </row>
    <row r="2955">
      <c r="A2955" s="410"/>
      <c r="B2955" s="410"/>
      <c r="C2955" s="410"/>
      <c r="D2955" s="410"/>
      <c r="E2955" s="410"/>
      <c r="F2955" s="410"/>
      <c r="H2955" s="269"/>
      <c r="I2955" s="269"/>
      <c r="J2955" s="269"/>
      <c r="K2955" s="269"/>
      <c r="L2955" s="269"/>
      <c r="M2955" s="269"/>
      <c r="N2955" s="269"/>
      <c r="O2955" s="269"/>
      <c r="P2955" s="269"/>
      <c r="Q2955" s="269"/>
      <c r="R2955" s="269"/>
      <c r="S2955" s="269"/>
      <c r="T2955" s="269"/>
      <c r="U2955" s="269"/>
      <c r="V2955" s="269"/>
      <c r="W2955" s="269"/>
      <c r="X2955" s="269"/>
      <c r="Y2955" s="269"/>
      <c r="Z2955" s="269"/>
      <c r="AA2955" s="269"/>
      <c r="AB2955" s="269"/>
      <c r="AC2955" s="269"/>
      <c r="AD2955" s="269"/>
      <c r="AE2955" s="269"/>
      <c r="AF2955" s="269"/>
      <c r="AG2955" s="269"/>
      <c r="AH2955" s="269"/>
      <c r="AI2955" s="269"/>
      <c r="AJ2955" s="269"/>
      <c r="AK2955" s="269"/>
      <c r="AL2955" s="269"/>
      <c r="AM2955" s="269"/>
      <c r="AN2955" s="269"/>
      <c r="AO2955" s="269"/>
      <c r="AP2955" s="269"/>
      <c r="AQ2955" s="269"/>
      <c r="AR2955" s="269"/>
    </row>
    <row r="2956">
      <c r="A2956" s="410"/>
      <c r="B2956" s="410"/>
      <c r="C2956" s="410"/>
      <c r="D2956" s="410"/>
      <c r="E2956" s="410"/>
      <c r="F2956" s="410"/>
      <c r="H2956" s="269"/>
      <c r="I2956" s="269"/>
      <c r="J2956" s="269"/>
      <c r="K2956" s="269"/>
      <c r="L2956" s="269"/>
      <c r="M2956" s="269"/>
      <c r="N2956" s="269"/>
      <c r="O2956" s="269"/>
      <c r="P2956" s="269"/>
      <c r="Q2956" s="269"/>
      <c r="R2956" s="269"/>
      <c r="S2956" s="269"/>
      <c r="T2956" s="269"/>
      <c r="U2956" s="269"/>
      <c r="V2956" s="269"/>
      <c r="W2956" s="269"/>
      <c r="X2956" s="269"/>
      <c r="Y2956" s="269"/>
      <c r="Z2956" s="269"/>
      <c r="AA2956" s="269"/>
      <c r="AB2956" s="269"/>
      <c r="AC2956" s="269"/>
      <c r="AD2956" s="269"/>
      <c r="AE2956" s="269"/>
      <c r="AF2956" s="269"/>
      <c r="AG2956" s="269"/>
      <c r="AH2956" s="269"/>
      <c r="AI2956" s="269"/>
      <c r="AJ2956" s="269"/>
      <c r="AK2956" s="269"/>
      <c r="AL2956" s="269"/>
      <c r="AM2956" s="269"/>
      <c r="AN2956" s="269"/>
      <c r="AO2956" s="269"/>
      <c r="AP2956" s="269"/>
      <c r="AQ2956" s="269"/>
      <c r="AR2956" s="269"/>
    </row>
    <row r="2957">
      <c r="A2957" s="410"/>
      <c r="B2957" s="410"/>
      <c r="C2957" s="410"/>
      <c r="D2957" s="410"/>
      <c r="E2957" s="410"/>
      <c r="F2957" s="410"/>
      <c r="H2957" s="269"/>
      <c r="I2957" s="269"/>
      <c r="J2957" s="269"/>
      <c r="K2957" s="269"/>
      <c r="L2957" s="269"/>
      <c r="M2957" s="269"/>
      <c r="N2957" s="269"/>
      <c r="O2957" s="269"/>
      <c r="P2957" s="269"/>
      <c r="Q2957" s="269"/>
      <c r="R2957" s="269"/>
      <c r="S2957" s="269"/>
      <c r="T2957" s="269"/>
      <c r="U2957" s="269"/>
      <c r="V2957" s="269"/>
      <c r="W2957" s="269"/>
      <c r="X2957" s="269"/>
      <c r="Y2957" s="269"/>
      <c r="Z2957" s="269"/>
      <c r="AA2957" s="269"/>
      <c r="AB2957" s="269"/>
      <c r="AC2957" s="269"/>
      <c r="AD2957" s="269"/>
      <c r="AE2957" s="269"/>
      <c r="AF2957" s="269"/>
      <c r="AG2957" s="269"/>
      <c r="AH2957" s="269"/>
      <c r="AI2957" s="269"/>
      <c r="AJ2957" s="269"/>
      <c r="AK2957" s="269"/>
      <c r="AL2957" s="269"/>
      <c r="AM2957" s="269"/>
      <c r="AN2957" s="269"/>
      <c r="AO2957" s="269"/>
      <c r="AP2957" s="269"/>
      <c r="AQ2957" s="269"/>
      <c r="AR2957" s="269"/>
    </row>
    <row r="2958">
      <c r="A2958" s="410"/>
      <c r="B2958" s="410"/>
      <c r="C2958" s="410"/>
      <c r="D2958" s="410"/>
      <c r="E2958" s="410"/>
      <c r="F2958" s="410"/>
      <c r="H2958" s="269"/>
      <c r="I2958" s="269"/>
      <c r="J2958" s="269"/>
      <c r="K2958" s="269"/>
      <c r="L2958" s="269"/>
      <c r="M2958" s="269"/>
      <c r="N2958" s="269"/>
      <c r="O2958" s="269"/>
      <c r="P2958" s="269"/>
      <c r="Q2958" s="269"/>
      <c r="R2958" s="269"/>
      <c r="S2958" s="269"/>
      <c r="T2958" s="269"/>
      <c r="U2958" s="269"/>
      <c r="V2958" s="269"/>
      <c r="W2958" s="269"/>
      <c r="X2958" s="269"/>
      <c r="Y2958" s="269"/>
      <c r="Z2958" s="269"/>
      <c r="AA2958" s="269"/>
      <c r="AB2958" s="269"/>
      <c r="AC2958" s="269"/>
      <c r="AD2958" s="269"/>
      <c r="AE2958" s="269"/>
      <c r="AF2958" s="269"/>
      <c r="AG2958" s="269"/>
      <c r="AH2958" s="269"/>
      <c r="AI2958" s="269"/>
      <c r="AJ2958" s="269"/>
      <c r="AK2958" s="269"/>
      <c r="AL2958" s="269"/>
      <c r="AM2958" s="269"/>
      <c r="AN2958" s="269"/>
      <c r="AO2958" s="269"/>
      <c r="AP2958" s="269"/>
      <c r="AQ2958" s="269"/>
      <c r="AR2958" s="269"/>
    </row>
    <row r="2959">
      <c r="A2959" s="410"/>
      <c r="B2959" s="410"/>
      <c r="C2959" s="410"/>
      <c r="D2959" s="410"/>
      <c r="E2959" s="410"/>
      <c r="F2959" s="410"/>
      <c r="H2959" s="269"/>
      <c r="I2959" s="269"/>
      <c r="J2959" s="269"/>
      <c r="K2959" s="269"/>
      <c r="L2959" s="269"/>
      <c r="M2959" s="269"/>
      <c r="N2959" s="269"/>
      <c r="O2959" s="269"/>
      <c r="P2959" s="269"/>
      <c r="Q2959" s="269"/>
      <c r="R2959" s="269"/>
      <c r="S2959" s="269"/>
      <c r="T2959" s="269"/>
      <c r="U2959" s="269"/>
      <c r="V2959" s="269"/>
      <c r="W2959" s="269"/>
      <c r="X2959" s="269"/>
      <c r="Y2959" s="269"/>
      <c r="Z2959" s="269"/>
      <c r="AA2959" s="269"/>
      <c r="AB2959" s="269"/>
      <c r="AC2959" s="269"/>
      <c r="AD2959" s="269"/>
      <c r="AE2959" s="269"/>
      <c r="AF2959" s="269"/>
      <c r="AG2959" s="269"/>
      <c r="AH2959" s="269"/>
      <c r="AI2959" s="269"/>
      <c r="AJ2959" s="269"/>
      <c r="AK2959" s="269"/>
      <c r="AL2959" s="269"/>
      <c r="AM2959" s="269"/>
      <c r="AN2959" s="269"/>
      <c r="AO2959" s="269"/>
      <c r="AP2959" s="269"/>
      <c r="AQ2959" s="269"/>
      <c r="AR2959" s="269"/>
    </row>
    <row r="2960">
      <c r="A2960" s="410"/>
      <c r="B2960" s="410"/>
      <c r="C2960" s="410"/>
      <c r="D2960" s="410"/>
      <c r="E2960" s="410"/>
      <c r="F2960" s="410"/>
      <c r="H2960" s="269"/>
      <c r="I2960" s="269"/>
      <c r="J2960" s="269"/>
      <c r="K2960" s="269"/>
      <c r="L2960" s="269"/>
      <c r="M2960" s="269"/>
      <c r="N2960" s="269"/>
      <c r="O2960" s="269"/>
      <c r="P2960" s="269"/>
      <c r="Q2960" s="269"/>
      <c r="R2960" s="269"/>
      <c r="S2960" s="269"/>
      <c r="T2960" s="269"/>
      <c r="U2960" s="269"/>
      <c r="V2960" s="269"/>
      <c r="W2960" s="269"/>
      <c r="X2960" s="269"/>
      <c r="Y2960" s="269"/>
      <c r="Z2960" s="269"/>
      <c r="AA2960" s="269"/>
      <c r="AB2960" s="269"/>
      <c r="AC2960" s="269"/>
      <c r="AD2960" s="269"/>
      <c r="AE2960" s="269"/>
      <c r="AF2960" s="269"/>
      <c r="AG2960" s="269"/>
      <c r="AH2960" s="269"/>
      <c r="AI2960" s="269"/>
      <c r="AJ2960" s="269"/>
      <c r="AK2960" s="269"/>
      <c r="AL2960" s="269"/>
      <c r="AM2960" s="269"/>
      <c r="AN2960" s="269"/>
      <c r="AO2960" s="269"/>
      <c r="AP2960" s="269"/>
      <c r="AQ2960" s="269"/>
      <c r="AR2960" s="269"/>
    </row>
    <row r="2961">
      <c r="A2961" s="410"/>
      <c r="B2961" s="410"/>
      <c r="C2961" s="410"/>
      <c r="D2961" s="410"/>
      <c r="E2961" s="410"/>
      <c r="F2961" s="410"/>
      <c r="H2961" s="269"/>
      <c r="I2961" s="269"/>
      <c r="J2961" s="269"/>
      <c r="K2961" s="269"/>
      <c r="L2961" s="269"/>
      <c r="M2961" s="269"/>
      <c r="N2961" s="269"/>
      <c r="O2961" s="269"/>
      <c r="P2961" s="269"/>
      <c r="Q2961" s="269"/>
      <c r="R2961" s="269"/>
      <c r="S2961" s="269"/>
      <c r="T2961" s="269"/>
      <c r="U2961" s="269"/>
      <c r="V2961" s="269"/>
      <c r="W2961" s="269"/>
      <c r="X2961" s="269"/>
      <c r="Y2961" s="269"/>
      <c r="Z2961" s="269"/>
      <c r="AA2961" s="269"/>
      <c r="AB2961" s="269"/>
      <c r="AC2961" s="269"/>
      <c r="AD2961" s="269"/>
      <c r="AE2961" s="269"/>
      <c r="AF2961" s="269"/>
      <c r="AG2961" s="269"/>
      <c r="AH2961" s="269"/>
      <c r="AI2961" s="269"/>
      <c r="AJ2961" s="269"/>
      <c r="AK2961" s="269"/>
      <c r="AL2961" s="269"/>
      <c r="AM2961" s="269"/>
      <c r="AN2961" s="269"/>
      <c r="AO2961" s="269"/>
      <c r="AP2961" s="269"/>
      <c r="AQ2961" s="269"/>
      <c r="AR2961" s="269"/>
    </row>
    <row r="2962">
      <c r="A2962" s="410"/>
      <c r="B2962" s="410"/>
      <c r="C2962" s="410"/>
      <c r="D2962" s="410"/>
      <c r="E2962" s="410"/>
      <c r="F2962" s="410"/>
      <c r="H2962" s="269"/>
      <c r="I2962" s="269"/>
      <c r="J2962" s="269"/>
      <c r="K2962" s="269"/>
      <c r="L2962" s="269"/>
      <c r="M2962" s="269"/>
      <c r="N2962" s="269"/>
      <c r="O2962" s="269"/>
      <c r="P2962" s="269"/>
      <c r="Q2962" s="269"/>
      <c r="R2962" s="269"/>
      <c r="S2962" s="269"/>
      <c r="T2962" s="269"/>
      <c r="U2962" s="269"/>
      <c r="V2962" s="269"/>
      <c r="W2962" s="269"/>
      <c r="X2962" s="269"/>
      <c r="Y2962" s="269"/>
      <c r="Z2962" s="269"/>
      <c r="AA2962" s="269"/>
      <c r="AB2962" s="269"/>
      <c r="AC2962" s="269"/>
      <c r="AD2962" s="269"/>
      <c r="AE2962" s="269"/>
      <c r="AF2962" s="269"/>
      <c r="AG2962" s="269"/>
      <c r="AH2962" s="269"/>
      <c r="AI2962" s="269"/>
      <c r="AJ2962" s="269"/>
      <c r="AK2962" s="269"/>
      <c r="AL2962" s="269"/>
      <c r="AM2962" s="269"/>
      <c r="AN2962" s="269"/>
      <c r="AO2962" s="269"/>
      <c r="AP2962" s="269"/>
      <c r="AQ2962" s="269"/>
      <c r="AR2962" s="269"/>
    </row>
    <row r="2963">
      <c r="A2963" s="410"/>
      <c r="B2963" s="410"/>
      <c r="C2963" s="410"/>
      <c r="D2963" s="410"/>
      <c r="E2963" s="410"/>
      <c r="F2963" s="410"/>
      <c r="H2963" s="269"/>
      <c r="I2963" s="269"/>
      <c r="J2963" s="269"/>
      <c r="K2963" s="269"/>
      <c r="L2963" s="269"/>
      <c r="M2963" s="269"/>
      <c r="N2963" s="269"/>
      <c r="O2963" s="269"/>
      <c r="P2963" s="269"/>
      <c r="Q2963" s="269"/>
      <c r="R2963" s="269"/>
      <c r="S2963" s="269"/>
      <c r="T2963" s="269"/>
      <c r="U2963" s="269"/>
      <c r="V2963" s="269"/>
      <c r="W2963" s="269"/>
      <c r="X2963" s="269"/>
      <c r="Y2963" s="269"/>
      <c r="Z2963" s="269"/>
      <c r="AA2963" s="269"/>
      <c r="AB2963" s="269"/>
      <c r="AC2963" s="269"/>
      <c r="AD2963" s="269"/>
      <c r="AE2963" s="269"/>
      <c r="AF2963" s="269"/>
      <c r="AG2963" s="269"/>
      <c r="AH2963" s="269"/>
      <c r="AI2963" s="269"/>
      <c r="AJ2963" s="269"/>
      <c r="AK2963" s="269"/>
      <c r="AL2963" s="269"/>
      <c r="AM2963" s="269"/>
      <c r="AN2963" s="269"/>
      <c r="AO2963" s="269"/>
      <c r="AP2963" s="269"/>
      <c r="AQ2963" s="269"/>
      <c r="AR2963" s="269"/>
    </row>
    <row r="2964">
      <c r="A2964" s="410"/>
      <c r="B2964" s="410"/>
      <c r="C2964" s="410"/>
      <c r="D2964" s="410"/>
      <c r="E2964" s="410"/>
      <c r="F2964" s="410"/>
      <c r="H2964" s="269"/>
      <c r="I2964" s="269"/>
      <c r="J2964" s="269"/>
      <c r="K2964" s="269"/>
      <c r="L2964" s="269"/>
      <c r="M2964" s="269"/>
      <c r="N2964" s="269"/>
      <c r="O2964" s="269"/>
      <c r="P2964" s="269"/>
      <c r="Q2964" s="269"/>
      <c r="R2964" s="269"/>
      <c r="S2964" s="269"/>
      <c r="T2964" s="269"/>
      <c r="U2964" s="269"/>
      <c r="V2964" s="269"/>
      <c r="W2964" s="269"/>
      <c r="X2964" s="269"/>
      <c r="Y2964" s="269"/>
      <c r="Z2964" s="269"/>
      <c r="AA2964" s="269"/>
      <c r="AB2964" s="269"/>
      <c r="AC2964" s="269"/>
      <c r="AD2964" s="269"/>
      <c r="AE2964" s="269"/>
      <c r="AF2964" s="269"/>
      <c r="AG2964" s="269"/>
      <c r="AH2964" s="269"/>
      <c r="AI2964" s="269"/>
      <c r="AJ2964" s="269"/>
      <c r="AK2964" s="269"/>
      <c r="AL2964" s="269"/>
      <c r="AM2964" s="269"/>
      <c r="AN2964" s="269"/>
      <c r="AO2964" s="269"/>
      <c r="AP2964" s="269"/>
      <c r="AQ2964" s="269"/>
      <c r="AR2964" s="269"/>
    </row>
    <row r="2965">
      <c r="A2965" s="410"/>
      <c r="B2965" s="410"/>
      <c r="C2965" s="410"/>
      <c r="D2965" s="410"/>
      <c r="E2965" s="410"/>
      <c r="F2965" s="410"/>
      <c r="H2965" s="269"/>
      <c r="I2965" s="269"/>
      <c r="J2965" s="269"/>
      <c r="K2965" s="269"/>
      <c r="L2965" s="269"/>
      <c r="M2965" s="269"/>
      <c r="N2965" s="269"/>
      <c r="O2965" s="269"/>
      <c r="P2965" s="269"/>
      <c r="Q2965" s="269"/>
      <c r="R2965" s="269"/>
      <c r="S2965" s="269"/>
      <c r="T2965" s="269"/>
      <c r="U2965" s="269"/>
      <c r="V2965" s="269"/>
      <c r="W2965" s="269"/>
      <c r="X2965" s="269"/>
      <c r="Y2965" s="269"/>
      <c r="Z2965" s="269"/>
      <c r="AA2965" s="269"/>
      <c r="AB2965" s="269"/>
      <c r="AC2965" s="269"/>
      <c r="AD2965" s="269"/>
      <c r="AE2965" s="269"/>
      <c r="AF2965" s="269"/>
      <c r="AG2965" s="269"/>
      <c r="AH2965" s="269"/>
      <c r="AI2965" s="269"/>
      <c r="AJ2965" s="269"/>
      <c r="AK2965" s="269"/>
      <c r="AL2965" s="269"/>
      <c r="AM2965" s="269"/>
      <c r="AN2965" s="269"/>
      <c r="AO2965" s="269"/>
      <c r="AP2965" s="269"/>
      <c r="AQ2965" s="269"/>
      <c r="AR2965" s="269"/>
    </row>
    <row r="2966">
      <c r="A2966" s="410"/>
      <c r="B2966" s="410"/>
      <c r="C2966" s="410"/>
      <c r="D2966" s="410"/>
      <c r="E2966" s="410"/>
      <c r="F2966" s="410"/>
      <c r="H2966" s="269"/>
      <c r="I2966" s="269"/>
      <c r="J2966" s="269"/>
      <c r="K2966" s="269"/>
      <c r="L2966" s="269"/>
      <c r="M2966" s="269"/>
      <c r="N2966" s="269"/>
      <c r="O2966" s="269"/>
      <c r="P2966" s="269"/>
      <c r="Q2966" s="269"/>
      <c r="R2966" s="269"/>
      <c r="S2966" s="269"/>
      <c r="T2966" s="269"/>
      <c r="U2966" s="269"/>
      <c r="V2966" s="269"/>
      <c r="W2966" s="269"/>
      <c r="X2966" s="269"/>
      <c r="Y2966" s="269"/>
      <c r="Z2966" s="269"/>
      <c r="AA2966" s="269"/>
      <c r="AB2966" s="269"/>
      <c r="AC2966" s="269"/>
      <c r="AD2966" s="269"/>
      <c r="AE2966" s="269"/>
      <c r="AF2966" s="269"/>
      <c r="AG2966" s="269"/>
      <c r="AH2966" s="269"/>
      <c r="AI2966" s="269"/>
      <c r="AJ2966" s="269"/>
      <c r="AK2966" s="269"/>
      <c r="AL2966" s="269"/>
      <c r="AM2966" s="269"/>
      <c r="AN2966" s="269"/>
      <c r="AO2966" s="269"/>
      <c r="AP2966" s="269"/>
      <c r="AQ2966" s="269"/>
      <c r="AR2966" s="269"/>
    </row>
    <row r="2967">
      <c r="A2967" s="410"/>
      <c r="B2967" s="410"/>
      <c r="C2967" s="410"/>
      <c r="D2967" s="410"/>
      <c r="E2967" s="410"/>
      <c r="F2967" s="410"/>
      <c r="H2967" s="269"/>
      <c r="I2967" s="269"/>
      <c r="J2967" s="269"/>
      <c r="K2967" s="269"/>
      <c r="L2967" s="269"/>
      <c r="M2967" s="269"/>
      <c r="N2967" s="269"/>
      <c r="O2967" s="269"/>
      <c r="P2967" s="269"/>
      <c r="Q2967" s="269"/>
      <c r="R2967" s="269"/>
      <c r="S2967" s="269"/>
      <c r="T2967" s="269"/>
      <c r="U2967" s="269"/>
      <c r="V2967" s="269"/>
      <c r="W2967" s="269"/>
      <c r="X2967" s="269"/>
      <c r="Y2967" s="269"/>
      <c r="Z2967" s="269"/>
      <c r="AA2967" s="269"/>
      <c r="AB2967" s="269"/>
      <c r="AC2967" s="269"/>
      <c r="AD2967" s="269"/>
      <c r="AE2967" s="269"/>
      <c r="AF2967" s="269"/>
      <c r="AG2967" s="269"/>
      <c r="AH2967" s="269"/>
      <c r="AI2967" s="269"/>
      <c r="AJ2967" s="269"/>
      <c r="AK2967" s="269"/>
      <c r="AL2967" s="269"/>
      <c r="AM2967" s="269"/>
      <c r="AN2967" s="269"/>
      <c r="AO2967" s="269"/>
      <c r="AP2967" s="269"/>
      <c r="AQ2967" s="269"/>
      <c r="AR2967" s="269"/>
    </row>
    <row r="2968">
      <c r="A2968" s="410"/>
      <c r="B2968" s="410"/>
      <c r="C2968" s="410"/>
      <c r="D2968" s="410"/>
      <c r="E2968" s="410"/>
      <c r="F2968" s="410"/>
      <c r="H2968" s="269"/>
      <c r="I2968" s="269"/>
      <c r="J2968" s="269"/>
      <c r="K2968" s="269"/>
      <c r="L2968" s="269"/>
      <c r="M2968" s="269"/>
      <c r="N2968" s="269"/>
      <c r="O2968" s="269"/>
      <c r="P2968" s="269"/>
      <c r="Q2968" s="269"/>
      <c r="R2968" s="269"/>
      <c r="S2968" s="269"/>
      <c r="T2968" s="269"/>
      <c r="U2968" s="269"/>
      <c r="V2968" s="269"/>
      <c r="W2968" s="269"/>
      <c r="X2968" s="269"/>
      <c r="Y2968" s="269"/>
      <c r="Z2968" s="269"/>
      <c r="AA2968" s="269"/>
      <c r="AB2968" s="269"/>
      <c r="AC2968" s="269"/>
      <c r="AD2968" s="269"/>
      <c r="AE2968" s="269"/>
      <c r="AF2968" s="269"/>
      <c r="AG2968" s="269"/>
      <c r="AH2968" s="269"/>
      <c r="AI2968" s="269"/>
      <c r="AJ2968" s="269"/>
      <c r="AK2968" s="269"/>
      <c r="AL2968" s="269"/>
      <c r="AM2968" s="269"/>
      <c r="AN2968" s="269"/>
      <c r="AO2968" s="269"/>
      <c r="AP2968" s="269"/>
      <c r="AQ2968" s="269"/>
      <c r="AR2968" s="269"/>
    </row>
    <row r="2969">
      <c r="A2969" s="410"/>
      <c r="B2969" s="410"/>
      <c r="C2969" s="410"/>
      <c r="D2969" s="410"/>
      <c r="E2969" s="410"/>
      <c r="F2969" s="410"/>
      <c r="H2969" s="269"/>
      <c r="I2969" s="269"/>
      <c r="J2969" s="269"/>
      <c r="K2969" s="269"/>
      <c r="L2969" s="269"/>
      <c r="M2969" s="269"/>
      <c r="N2969" s="269"/>
      <c r="O2969" s="269"/>
      <c r="P2969" s="269"/>
      <c r="Q2969" s="269"/>
      <c r="R2969" s="269"/>
      <c r="S2969" s="269"/>
      <c r="T2969" s="269"/>
      <c r="U2969" s="269"/>
      <c r="V2969" s="269"/>
      <c r="W2969" s="269"/>
      <c r="X2969" s="269"/>
      <c r="Y2969" s="269"/>
      <c r="Z2969" s="269"/>
      <c r="AA2969" s="269"/>
      <c r="AB2969" s="269"/>
      <c r="AC2969" s="269"/>
      <c r="AD2969" s="269"/>
      <c r="AE2969" s="269"/>
      <c r="AF2969" s="269"/>
      <c r="AG2969" s="269"/>
      <c r="AH2969" s="269"/>
      <c r="AI2969" s="269"/>
      <c r="AJ2969" s="269"/>
      <c r="AK2969" s="269"/>
      <c r="AL2969" s="269"/>
      <c r="AM2969" s="269"/>
      <c r="AN2969" s="269"/>
      <c r="AO2969" s="269"/>
      <c r="AP2969" s="269"/>
      <c r="AQ2969" s="269"/>
      <c r="AR2969" s="269"/>
    </row>
    <row r="2970">
      <c r="A2970" s="410"/>
      <c r="B2970" s="410"/>
      <c r="C2970" s="410"/>
      <c r="D2970" s="410"/>
      <c r="E2970" s="410"/>
      <c r="F2970" s="410"/>
      <c r="H2970" s="269"/>
      <c r="I2970" s="269"/>
      <c r="J2970" s="269"/>
      <c r="K2970" s="269"/>
      <c r="L2970" s="269"/>
      <c r="M2970" s="269"/>
      <c r="N2970" s="269"/>
      <c r="O2970" s="269"/>
      <c r="P2970" s="269"/>
      <c r="Q2970" s="269"/>
      <c r="R2970" s="269"/>
      <c r="S2970" s="269"/>
      <c r="T2970" s="269"/>
      <c r="U2970" s="269"/>
      <c r="V2970" s="269"/>
      <c r="W2970" s="269"/>
      <c r="X2970" s="269"/>
      <c r="Y2970" s="269"/>
      <c r="Z2970" s="269"/>
      <c r="AA2970" s="269"/>
      <c r="AB2970" s="269"/>
      <c r="AC2970" s="269"/>
      <c r="AD2970" s="269"/>
      <c r="AE2970" s="269"/>
      <c r="AF2970" s="269"/>
      <c r="AG2970" s="269"/>
      <c r="AH2970" s="269"/>
      <c r="AI2970" s="269"/>
      <c r="AJ2970" s="269"/>
      <c r="AK2970" s="269"/>
      <c r="AL2970" s="269"/>
      <c r="AM2970" s="269"/>
      <c r="AN2970" s="269"/>
      <c r="AO2970" s="269"/>
      <c r="AP2970" s="269"/>
      <c r="AQ2970" s="269"/>
      <c r="AR2970" s="269"/>
    </row>
    <row r="2971">
      <c r="A2971" s="410"/>
      <c r="B2971" s="410"/>
      <c r="C2971" s="410"/>
      <c r="D2971" s="410"/>
      <c r="E2971" s="410"/>
      <c r="F2971" s="410"/>
      <c r="H2971" s="269"/>
      <c r="I2971" s="269"/>
      <c r="J2971" s="269"/>
      <c r="K2971" s="269"/>
      <c r="L2971" s="269"/>
      <c r="M2971" s="269"/>
      <c r="N2971" s="269"/>
      <c r="O2971" s="269"/>
      <c r="P2971" s="269"/>
      <c r="Q2971" s="269"/>
      <c r="R2971" s="269"/>
      <c r="S2971" s="269"/>
      <c r="T2971" s="269"/>
      <c r="U2971" s="269"/>
      <c r="V2971" s="269"/>
      <c r="W2971" s="269"/>
      <c r="X2971" s="269"/>
      <c r="Y2971" s="269"/>
      <c r="Z2971" s="269"/>
      <c r="AA2971" s="269"/>
      <c r="AB2971" s="269"/>
      <c r="AC2971" s="269"/>
      <c r="AD2971" s="269"/>
      <c r="AE2971" s="269"/>
      <c r="AF2971" s="269"/>
      <c r="AG2971" s="269"/>
      <c r="AH2971" s="269"/>
      <c r="AI2971" s="269"/>
      <c r="AJ2971" s="269"/>
      <c r="AK2971" s="269"/>
      <c r="AL2971" s="269"/>
      <c r="AM2971" s="269"/>
      <c r="AN2971" s="269"/>
      <c r="AO2971" s="269"/>
      <c r="AP2971" s="269"/>
      <c r="AQ2971" s="269"/>
      <c r="AR2971" s="269"/>
    </row>
    <row r="2972">
      <c r="A2972" s="410"/>
      <c r="B2972" s="410"/>
      <c r="C2972" s="410"/>
      <c r="D2972" s="410"/>
      <c r="E2972" s="410"/>
      <c r="F2972" s="410"/>
      <c r="H2972" s="269"/>
      <c r="I2972" s="269"/>
      <c r="J2972" s="269"/>
      <c r="K2972" s="269"/>
      <c r="L2972" s="269"/>
      <c r="M2972" s="269"/>
      <c r="N2972" s="269"/>
      <c r="O2972" s="269"/>
      <c r="P2972" s="269"/>
      <c r="Q2972" s="269"/>
      <c r="R2972" s="269"/>
      <c r="S2972" s="269"/>
      <c r="T2972" s="269"/>
      <c r="U2972" s="269"/>
      <c r="V2972" s="269"/>
      <c r="W2972" s="269"/>
      <c r="X2972" s="269"/>
      <c r="Y2972" s="269"/>
      <c r="Z2972" s="269"/>
      <c r="AA2972" s="269"/>
      <c r="AB2972" s="269"/>
      <c r="AC2972" s="269"/>
      <c r="AD2972" s="269"/>
      <c r="AE2972" s="269"/>
      <c r="AF2972" s="269"/>
      <c r="AG2972" s="269"/>
      <c r="AH2972" s="269"/>
      <c r="AI2972" s="269"/>
      <c r="AJ2972" s="269"/>
      <c r="AK2972" s="269"/>
      <c r="AL2972" s="269"/>
      <c r="AM2972" s="269"/>
      <c r="AN2972" s="269"/>
      <c r="AO2972" s="269"/>
      <c r="AP2972" s="269"/>
      <c r="AQ2972" s="269"/>
      <c r="AR2972" s="269"/>
    </row>
    <row r="2973">
      <c r="A2973" s="410"/>
      <c r="B2973" s="410"/>
      <c r="C2973" s="410"/>
      <c r="D2973" s="410"/>
      <c r="E2973" s="410"/>
      <c r="F2973" s="410"/>
      <c r="H2973" s="269"/>
      <c r="I2973" s="269"/>
      <c r="J2973" s="269"/>
      <c r="K2973" s="269"/>
      <c r="L2973" s="269"/>
      <c r="M2973" s="269"/>
      <c r="N2973" s="269"/>
      <c r="O2973" s="269"/>
      <c r="P2973" s="269"/>
      <c r="Q2973" s="269"/>
      <c r="R2973" s="269"/>
      <c r="S2973" s="269"/>
      <c r="T2973" s="269"/>
      <c r="U2973" s="269"/>
      <c r="V2973" s="269"/>
      <c r="W2973" s="269"/>
      <c r="X2973" s="269"/>
      <c r="Y2973" s="269"/>
      <c r="Z2973" s="269"/>
      <c r="AA2973" s="269"/>
      <c r="AB2973" s="269"/>
      <c r="AC2973" s="269"/>
      <c r="AD2973" s="269"/>
      <c r="AE2973" s="269"/>
      <c r="AF2973" s="269"/>
      <c r="AG2973" s="269"/>
      <c r="AH2973" s="269"/>
      <c r="AI2973" s="269"/>
      <c r="AJ2973" s="269"/>
      <c r="AK2973" s="269"/>
      <c r="AL2973" s="269"/>
      <c r="AM2973" s="269"/>
      <c r="AN2973" s="269"/>
      <c r="AO2973" s="269"/>
      <c r="AP2973" s="269"/>
      <c r="AQ2973" s="269"/>
      <c r="AR2973" s="269"/>
    </row>
    <row r="2974">
      <c r="A2974" s="410"/>
      <c r="B2974" s="410"/>
      <c r="C2974" s="410"/>
      <c r="D2974" s="410"/>
      <c r="E2974" s="410"/>
      <c r="F2974" s="410"/>
      <c r="H2974" s="269"/>
      <c r="I2974" s="269"/>
      <c r="J2974" s="269"/>
      <c r="K2974" s="269"/>
      <c r="L2974" s="269"/>
      <c r="M2974" s="269"/>
      <c r="N2974" s="269"/>
      <c r="O2974" s="269"/>
      <c r="P2974" s="269"/>
      <c r="Q2974" s="269"/>
      <c r="R2974" s="269"/>
      <c r="S2974" s="269"/>
      <c r="T2974" s="269"/>
      <c r="U2974" s="269"/>
      <c r="V2974" s="269"/>
      <c r="W2974" s="269"/>
      <c r="X2974" s="269"/>
      <c r="Y2974" s="269"/>
      <c r="Z2974" s="269"/>
      <c r="AA2974" s="269"/>
      <c r="AB2974" s="269"/>
      <c r="AC2974" s="269"/>
      <c r="AD2974" s="269"/>
      <c r="AE2974" s="269"/>
      <c r="AF2974" s="269"/>
      <c r="AG2974" s="269"/>
      <c r="AH2974" s="269"/>
      <c r="AI2974" s="269"/>
      <c r="AJ2974" s="269"/>
      <c r="AK2974" s="269"/>
      <c r="AL2974" s="269"/>
      <c r="AM2974" s="269"/>
      <c r="AN2974" s="269"/>
      <c r="AO2974" s="269"/>
      <c r="AP2974" s="269"/>
      <c r="AQ2974" s="269"/>
      <c r="AR2974" s="269"/>
    </row>
    <row r="2975">
      <c r="A2975" s="410"/>
      <c r="B2975" s="410"/>
      <c r="C2975" s="410"/>
      <c r="D2975" s="410"/>
      <c r="E2975" s="410"/>
      <c r="F2975" s="410"/>
      <c r="H2975" s="269"/>
      <c r="I2975" s="269"/>
      <c r="J2975" s="269"/>
      <c r="K2975" s="269"/>
      <c r="L2975" s="269"/>
      <c r="M2975" s="269"/>
      <c r="N2975" s="269"/>
      <c r="O2975" s="269"/>
      <c r="P2975" s="269"/>
      <c r="Q2975" s="269"/>
      <c r="R2975" s="269"/>
      <c r="S2975" s="269"/>
      <c r="T2975" s="269"/>
      <c r="U2975" s="269"/>
      <c r="V2975" s="269"/>
      <c r="W2975" s="269"/>
      <c r="X2975" s="269"/>
      <c r="Y2975" s="269"/>
      <c r="Z2975" s="269"/>
      <c r="AA2975" s="269"/>
      <c r="AB2975" s="269"/>
      <c r="AC2975" s="269"/>
      <c r="AD2975" s="269"/>
      <c r="AE2975" s="269"/>
      <c r="AF2975" s="269"/>
      <c r="AG2975" s="269"/>
      <c r="AH2975" s="269"/>
      <c r="AI2975" s="269"/>
      <c r="AJ2975" s="269"/>
      <c r="AK2975" s="269"/>
      <c r="AL2975" s="269"/>
      <c r="AM2975" s="269"/>
      <c r="AN2975" s="269"/>
      <c r="AO2975" s="269"/>
      <c r="AP2975" s="269"/>
      <c r="AQ2975" s="269"/>
      <c r="AR2975" s="269"/>
    </row>
    <row r="2976">
      <c r="A2976" s="410"/>
      <c r="B2976" s="410"/>
      <c r="C2976" s="410"/>
      <c r="D2976" s="410"/>
      <c r="E2976" s="410"/>
      <c r="F2976" s="410"/>
      <c r="H2976" s="269"/>
      <c r="I2976" s="269"/>
      <c r="J2976" s="269"/>
      <c r="K2976" s="269"/>
      <c r="L2976" s="269"/>
      <c r="M2976" s="269"/>
      <c r="N2976" s="269"/>
      <c r="O2976" s="269"/>
      <c r="P2976" s="269"/>
      <c r="Q2976" s="269"/>
      <c r="R2976" s="269"/>
      <c r="S2976" s="269"/>
      <c r="T2976" s="269"/>
      <c r="U2976" s="269"/>
      <c r="V2976" s="269"/>
      <c r="W2976" s="269"/>
      <c r="X2976" s="269"/>
      <c r="Y2976" s="269"/>
      <c r="Z2976" s="269"/>
      <c r="AA2976" s="269"/>
      <c r="AB2976" s="269"/>
      <c r="AC2976" s="269"/>
      <c r="AD2976" s="269"/>
      <c r="AE2976" s="269"/>
      <c r="AF2976" s="269"/>
      <c r="AG2976" s="269"/>
      <c r="AH2976" s="269"/>
      <c r="AI2976" s="269"/>
      <c r="AJ2976" s="269"/>
      <c r="AK2976" s="269"/>
      <c r="AL2976" s="269"/>
      <c r="AM2976" s="269"/>
      <c r="AN2976" s="269"/>
      <c r="AO2976" s="269"/>
      <c r="AP2976" s="269"/>
      <c r="AQ2976" s="269"/>
      <c r="AR2976" s="269"/>
    </row>
    <row r="2977">
      <c r="A2977" s="410"/>
      <c r="B2977" s="410"/>
      <c r="C2977" s="410"/>
      <c r="D2977" s="410"/>
      <c r="E2977" s="410"/>
      <c r="F2977" s="410"/>
      <c r="H2977" s="269"/>
      <c r="I2977" s="269"/>
      <c r="J2977" s="269"/>
      <c r="K2977" s="269"/>
      <c r="L2977" s="269"/>
      <c r="M2977" s="269"/>
      <c r="N2977" s="269"/>
      <c r="O2977" s="269"/>
      <c r="P2977" s="269"/>
      <c r="Q2977" s="269"/>
      <c r="R2977" s="269"/>
      <c r="S2977" s="269"/>
      <c r="T2977" s="269"/>
      <c r="U2977" s="269"/>
      <c r="V2977" s="269"/>
      <c r="W2977" s="269"/>
      <c r="X2977" s="269"/>
      <c r="Y2977" s="269"/>
      <c r="Z2977" s="269"/>
      <c r="AA2977" s="269"/>
      <c r="AB2977" s="269"/>
      <c r="AC2977" s="269"/>
      <c r="AD2977" s="269"/>
      <c r="AE2977" s="269"/>
      <c r="AF2977" s="269"/>
      <c r="AG2977" s="269"/>
      <c r="AH2977" s="269"/>
      <c r="AI2977" s="269"/>
      <c r="AJ2977" s="269"/>
      <c r="AK2977" s="269"/>
      <c r="AL2977" s="269"/>
      <c r="AM2977" s="269"/>
      <c r="AN2977" s="269"/>
      <c r="AO2977" s="269"/>
      <c r="AP2977" s="269"/>
      <c r="AQ2977" s="269"/>
      <c r="AR2977" s="269"/>
    </row>
    <row r="2978">
      <c r="A2978" s="410"/>
      <c r="B2978" s="410"/>
      <c r="C2978" s="410"/>
      <c r="D2978" s="410"/>
      <c r="E2978" s="410"/>
      <c r="F2978" s="410"/>
      <c r="H2978" s="269"/>
      <c r="I2978" s="269"/>
      <c r="J2978" s="269"/>
      <c r="K2978" s="269"/>
      <c r="L2978" s="269"/>
      <c r="M2978" s="269"/>
      <c r="N2978" s="269"/>
      <c r="O2978" s="269"/>
      <c r="P2978" s="269"/>
      <c r="Q2978" s="269"/>
      <c r="R2978" s="269"/>
      <c r="S2978" s="269"/>
      <c r="T2978" s="269"/>
      <c r="U2978" s="269"/>
      <c r="V2978" s="269"/>
      <c r="W2978" s="269"/>
      <c r="X2978" s="269"/>
      <c r="Y2978" s="269"/>
      <c r="Z2978" s="269"/>
      <c r="AA2978" s="269"/>
      <c r="AB2978" s="269"/>
      <c r="AC2978" s="269"/>
      <c r="AD2978" s="269"/>
      <c r="AE2978" s="269"/>
      <c r="AF2978" s="269"/>
      <c r="AG2978" s="269"/>
      <c r="AH2978" s="269"/>
      <c r="AI2978" s="269"/>
      <c r="AJ2978" s="269"/>
      <c r="AK2978" s="269"/>
      <c r="AL2978" s="269"/>
      <c r="AM2978" s="269"/>
      <c r="AN2978" s="269"/>
      <c r="AO2978" s="269"/>
      <c r="AP2978" s="269"/>
      <c r="AQ2978" s="269"/>
      <c r="AR2978" s="269"/>
    </row>
    <row r="2979">
      <c r="A2979" s="410"/>
      <c r="B2979" s="410"/>
      <c r="C2979" s="410"/>
      <c r="D2979" s="410"/>
      <c r="E2979" s="410"/>
      <c r="F2979" s="410"/>
      <c r="H2979" s="269"/>
      <c r="I2979" s="269"/>
      <c r="J2979" s="269"/>
      <c r="K2979" s="269"/>
      <c r="L2979" s="269"/>
      <c r="M2979" s="269"/>
      <c r="N2979" s="269"/>
      <c r="O2979" s="269"/>
      <c r="P2979" s="269"/>
      <c r="Q2979" s="269"/>
      <c r="R2979" s="269"/>
      <c r="S2979" s="269"/>
      <c r="T2979" s="269"/>
      <c r="U2979" s="269"/>
      <c r="V2979" s="269"/>
      <c r="W2979" s="269"/>
      <c r="X2979" s="269"/>
      <c r="Y2979" s="269"/>
      <c r="Z2979" s="269"/>
      <c r="AA2979" s="269"/>
      <c r="AB2979" s="269"/>
      <c r="AC2979" s="269"/>
      <c r="AD2979" s="269"/>
      <c r="AE2979" s="269"/>
      <c r="AF2979" s="269"/>
      <c r="AG2979" s="269"/>
      <c r="AH2979" s="269"/>
      <c r="AI2979" s="269"/>
      <c r="AJ2979" s="269"/>
      <c r="AK2979" s="269"/>
      <c r="AL2979" s="269"/>
      <c r="AM2979" s="269"/>
      <c r="AN2979" s="269"/>
      <c r="AO2979" s="269"/>
      <c r="AP2979" s="269"/>
      <c r="AQ2979" s="269"/>
      <c r="AR2979" s="269"/>
    </row>
    <row r="2980">
      <c r="A2980" s="410"/>
      <c r="B2980" s="410"/>
      <c r="C2980" s="410"/>
      <c r="D2980" s="410"/>
      <c r="E2980" s="410"/>
      <c r="F2980" s="410"/>
      <c r="H2980" s="269"/>
      <c r="I2980" s="269"/>
      <c r="J2980" s="269"/>
      <c r="K2980" s="269"/>
      <c r="L2980" s="269"/>
      <c r="M2980" s="269"/>
      <c r="N2980" s="269"/>
      <c r="O2980" s="269"/>
      <c r="P2980" s="269"/>
      <c r="Q2980" s="269"/>
      <c r="R2980" s="269"/>
      <c r="S2980" s="269"/>
      <c r="T2980" s="269"/>
      <c r="U2980" s="269"/>
      <c r="V2980" s="269"/>
      <c r="W2980" s="269"/>
      <c r="X2980" s="269"/>
      <c r="Y2980" s="269"/>
      <c r="Z2980" s="269"/>
      <c r="AA2980" s="269"/>
      <c r="AB2980" s="269"/>
      <c r="AC2980" s="269"/>
      <c r="AD2980" s="269"/>
      <c r="AE2980" s="269"/>
      <c r="AF2980" s="269"/>
      <c r="AG2980" s="269"/>
      <c r="AH2980" s="269"/>
      <c r="AI2980" s="269"/>
      <c r="AJ2980" s="269"/>
      <c r="AK2980" s="269"/>
      <c r="AL2980" s="269"/>
      <c r="AM2980" s="269"/>
      <c r="AN2980" s="269"/>
      <c r="AO2980" s="269"/>
      <c r="AP2980" s="269"/>
      <c r="AQ2980" s="269"/>
      <c r="AR2980" s="269"/>
    </row>
    <row r="2981">
      <c r="A2981" s="410"/>
      <c r="B2981" s="410"/>
      <c r="C2981" s="410"/>
      <c r="D2981" s="410"/>
      <c r="E2981" s="410"/>
      <c r="F2981" s="410"/>
      <c r="H2981" s="269"/>
      <c r="I2981" s="269"/>
      <c r="J2981" s="269"/>
      <c r="K2981" s="269"/>
      <c r="L2981" s="269"/>
      <c r="M2981" s="269"/>
      <c r="N2981" s="269"/>
      <c r="O2981" s="269"/>
      <c r="P2981" s="269"/>
      <c r="Q2981" s="269"/>
      <c r="R2981" s="269"/>
      <c r="S2981" s="269"/>
      <c r="T2981" s="269"/>
      <c r="U2981" s="269"/>
      <c r="V2981" s="269"/>
      <c r="W2981" s="269"/>
      <c r="X2981" s="269"/>
      <c r="Y2981" s="269"/>
      <c r="Z2981" s="269"/>
      <c r="AA2981" s="269"/>
      <c r="AB2981" s="269"/>
      <c r="AC2981" s="269"/>
      <c r="AD2981" s="269"/>
      <c r="AE2981" s="269"/>
      <c r="AF2981" s="269"/>
      <c r="AG2981" s="269"/>
      <c r="AH2981" s="269"/>
      <c r="AI2981" s="269"/>
      <c r="AJ2981" s="269"/>
      <c r="AK2981" s="269"/>
      <c r="AL2981" s="269"/>
      <c r="AM2981" s="269"/>
      <c r="AN2981" s="269"/>
      <c r="AO2981" s="269"/>
      <c r="AP2981" s="269"/>
      <c r="AQ2981" s="269"/>
      <c r="AR2981" s="269"/>
    </row>
    <row r="2982">
      <c r="A2982" s="410"/>
      <c r="B2982" s="410"/>
      <c r="C2982" s="410"/>
      <c r="D2982" s="410"/>
      <c r="E2982" s="410"/>
      <c r="F2982" s="410"/>
      <c r="H2982" s="269"/>
      <c r="I2982" s="269"/>
      <c r="J2982" s="269"/>
      <c r="K2982" s="269"/>
      <c r="L2982" s="269"/>
      <c r="M2982" s="269"/>
      <c r="N2982" s="269"/>
      <c r="O2982" s="269"/>
      <c r="P2982" s="269"/>
      <c r="Q2982" s="269"/>
      <c r="R2982" s="269"/>
      <c r="S2982" s="269"/>
      <c r="T2982" s="269"/>
      <c r="U2982" s="269"/>
      <c r="V2982" s="269"/>
      <c r="W2982" s="269"/>
      <c r="X2982" s="269"/>
      <c r="Y2982" s="269"/>
      <c r="Z2982" s="269"/>
      <c r="AA2982" s="269"/>
      <c r="AB2982" s="269"/>
      <c r="AC2982" s="269"/>
      <c r="AD2982" s="269"/>
      <c r="AE2982" s="269"/>
      <c r="AF2982" s="269"/>
      <c r="AG2982" s="269"/>
      <c r="AH2982" s="269"/>
      <c r="AI2982" s="269"/>
      <c r="AJ2982" s="269"/>
      <c r="AK2982" s="269"/>
      <c r="AL2982" s="269"/>
      <c r="AM2982" s="269"/>
      <c r="AN2982" s="269"/>
      <c r="AO2982" s="269"/>
      <c r="AP2982" s="269"/>
      <c r="AQ2982" s="269"/>
      <c r="AR2982" s="269"/>
    </row>
    <row r="2983">
      <c r="A2983" s="410"/>
      <c r="B2983" s="410"/>
      <c r="C2983" s="410"/>
      <c r="D2983" s="410"/>
      <c r="E2983" s="410"/>
      <c r="F2983" s="410"/>
      <c r="H2983" s="269"/>
      <c r="I2983" s="269"/>
      <c r="J2983" s="269"/>
      <c r="K2983" s="269"/>
      <c r="L2983" s="269"/>
      <c r="M2983" s="269"/>
      <c r="N2983" s="269"/>
      <c r="O2983" s="269"/>
      <c r="P2983" s="269"/>
      <c r="Q2983" s="269"/>
      <c r="R2983" s="269"/>
      <c r="S2983" s="269"/>
      <c r="T2983" s="269"/>
      <c r="U2983" s="269"/>
      <c r="V2983" s="269"/>
      <c r="W2983" s="269"/>
      <c r="X2983" s="269"/>
      <c r="Y2983" s="269"/>
      <c r="Z2983" s="269"/>
      <c r="AA2983" s="269"/>
      <c r="AB2983" s="269"/>
      <c r="AC2983" s="269"/>
      <c r="AD2983" s="269"/>
      <c r="AE2983" s="269"/>
      <c r="AF2983" s="269"/>
      <c r="AG2983" s="269"/>
      <c r="AH2983" s="269"/>
      <c r="AI2983" s="269"/>
      <c r="AJ2983" s="269"/>
      <c r="AK2983" s="269"/>
      <c r="AL2983" s="269"/>
      <c r="AM2983" s="269"/>
      <c r="AN2983" s="269"/>
      <c r="AO2983" s="269"/>
      <c r="AP2983" s="269"/>
      <c r="AQ2983" s="269"/>
      <c r="AR2983" s="269"/>
    </row>
    <row r="2984">
      <c r="A2984" s="410"/>
      <c r="B2984" s="410"/>
      <c r="C2984" s="410"/>
      <c r="D2984" s="410"/>
      <c r="E2984" s="410"/>
      <c r="F2984" s="410"/>
      <c r="H2984" s="269"/>
      <c r="I2984" s="269"/>
      <c r="J2984" s="269"/>
      <c r="K2984" s="269"/>
      <c r="L2984" s="269"/>
      <c r="M2984" s="269"/>
      <c r="N2984" s="269"/>
      <c r="O2984" s="269"/>
      <c r="P2984" s="269"/>
      <c r="Q2984" s="269"/>
      <c r="R2984" s="269"/>
      <c r="S2984" s="269"/>
      <c r="T2984" s="269"/>
      <c r="U2984" s="269"/>
      <c r="V2984" s="269"/>
      <c r="W2984" s="269"/>
      <c r="X2984" s="269"/>
      <c r="Y2984" s="269"/>
      <c r="Z2984" s="269"/>
      <c r="AA2984" s="269"/>
      <c r="AB2984" s="269"/>
      <c r="AC2984" s="269"/>
      <c r="AD2984" s="269"/>
      <c r="AE2984" s="269"/>
      <c r="AF2984" s="269"/>
      <c r="AG2984" s="269"/>
      <c r="AH2984" s="269"/>
      <c r="AI2984" s="269"/>
      <c r="AJ2984" s="269"/>
      <c r="AK2984" s="269"/>
      <c r="AL2984" s="269"/>
      <c r="AM2984" s="269"/>
      <c r="AN2984" s="269"/>
      <c r="AO2984" s="269"/>
      <c r="AP2984" s="269"/>
      <c r="AQ2984" s="269"/>
      <c r="AR2984" s="269"/>
    </row>
    <row r="2985">
      <c r="A2985" s="410"/>
      <c r="B2985" s="410"/>
      <c r="C2985" s="410"/>
      <c r="D2985" s="410"/>
      <c r="E2985" s="410"/>
      <c r="F2985" s="410"/>
      <c r="H2985" s="269"/>
      <c r="I2985" s="269"/>
      <c r="J2985" s="269"/>
      <c r="K2985" s="269"/>
      <c r="L2985" s="269"/>
      <c r="M2985" s="269"/>
      <c r="N2985" s="269"/>
      <c r="O2985" s="269"/>
      <c r="P2985" s="269"/>
      <c r="Q2985" s="269"/>
      <c r="R2985" s="269"/>
      <c r="S2985" s="269"/>
      <c r="T2985" s="269"/>
      <c r="U2985" s="269"/>
      <c r="V2985" s="269"/>
      <c r="W2985" s="269"/>
      <c r="X2985" s="269"/>
      <c r="Y2985" s="269"/>
      <c r="Z2985" s="269"/>
      <c r="AA2985" s="269"/>
      <c r="AB2985" s="269"/>
      <c r="AC2985" s="269"/>
      <c r="AD2985" s="269"/>
      <c r="AE2985" s="269"/>
      <c r="AF2985" s="269"/>
      <c r="AG2985" s="269"/>
      <c r="AH2985" s="269"/>
      <c r="AI2985" s="269"/>
      <c r="AJ2985" s="269"/>
      <c r="AK2985" s="269"/>
      <c r="AL2985" s="269"/>
      <c r="AM2985" s="269"/>
      <c r="AN2985" s="269"/>
      <c r="AO2985" s="269"/>
      <c r="AP2985" s="269"/>
      <c r="AQ2985" s="269"/>
      <c r="AR2985" s="269"/>
    </row>
    <row r="2986">
      <c r="A2986" s="410"/>
      <c r="B2986" s="410"/>
      <c r="C2986" s="410"/>
      <c r="D2986" s="410"/>
      <c r="E2986" s="410"/>
      <c r="F2986" s="410"/>
      <c r="H2986" s="269"/>
      <c r="I2986" s="269"/>
      <c r="J2986" s="269"/>
      <c r="K2986" s="269"/>
      <c r="L2986" s="269"/>
      <c r="M2986" s="269"/>
      <c r="N2986" s="269"/>
      <c r="O2986" s="269"/>
      <c r="P2986" s="269"/>
      <c r="Q2986" s="269"/>
      <c r="R2986" s="269"/>
      <c r="S2986" s="269"/>
      <c r="T2986" s="269"/>
      <c r="U2986" s="269"/>
      <c r="V2986" s="269"/>
      <c r="W2986" s="269"/>
      <c r="X2986" s="269"/>
      <c r="Y2986" s="269"/>
      <c r="Z2986" s="269"/>
      <c r="AA2986" s="269"/>
      <c r="AB2986" s="269"/>
      <c r="AC2986" s="269"/>
      <c r="AD2986" s="269"/>
      <c r="AE2986" s="269"/>
      <c r="AF2986" s="269"/>
      <c r="AG2986" s="269"/>
      <c r="AH2986" s="269"/>
      <c r="AI2986" s="269"/>
      <c r="AJ2986" s="269"/>
      <c r="AK2986" s="269"/>
      <c r="AL2986" s="269"/>
      <c r="AM2986" s="269"/>
      <c r="AN2986" s="269"/>
      <c r="AO2986" s="269"/>
      <c r="AP2986" s="269"/>
      <c r="AQ2986" s="269"/>
      <c r="AR2986" s="269"/>
    </row>
    <row r="2987">
      <c r="A2987" s="410"/>
      <c r="B2987" s="410"/>
      <c r="C2987" s="410"/>
      <c r="D2987" s="410"/>
      <c r="E2987" s="410"/>
      <c r="F2987" s="410"/>
      <c r="H2987" s="269"/>
      <c r="I2987" s="269"/>
      <c r="J2987" s="269"/>
      <c r="K2987" s="269"/>
      <c r="L2987" s="269"/>
      <c r="M2987" s="269"/>
      <c r="N2987" s="269"/>
      <c r="O2987" s="269"/>
      <c r="P2987" s="269"/>
      <c r="Q2987" s="269"/>
      <c r="R2987" s="269"/>
      <c r="S2987" s="269"/>
      <c r="T2987" s="269"/>
      <c r="U2987" s="269"/>
      <c r="V2987" s="269"/>
      <c r="W2987" s="269"/>
      <c r="X2987" s="269"/>
      <c r="Y2987" s="269"/>
      <c r="Z2987" s="269"/>
      <c r="AA2987" s="269"/>
      <c r="AB2987" s="269"/>
      <c r="AC2987" s="269"/>
      <c r="AD2987" s="269"/>
      <c r="AE2987" s="269"/>
      <c r="AF2987" s="269"/>
      <c r="AG2987" s="269"/>
      <c r="AH2987" s="269"/>
      <c r="AI2987" s="269"/>
      <c r="AJ2987" s="269"/>
      <c r="AK2987" s="269"/>
      <c r="AL2987" s="269"/>
      <c r="AM2987" s="269"/>
      <c r="AN2987" s="269"/>
      <c r="AO2987" s="269"/>
      <c r="AP2987" s="269"/>
      <c r="AQ2987" s="269"/>
      <c r="AR2987" s="269"/>
    </row>
    <row r="2988">
      <c r="A2988" s="410"/>
      <c r="B2988" s="410"/>
      <c r="C2988" s="410"/>
      <c r="D2988" s="410"/>
      <c r="E2988" s="410"/>
      <c r="F2988" s="410"/>
      <c r="H2988" s="269"/>
      <c r="I2988" s="269"/>
      <c r="J2988" s="269"/>
      <c r="K2988" s="269"/>
      <c r="L2988" s="269"/>
      <c r="M2988" s="269"/>
      <c r="N2988" s="269"/>
      <c r="O2988" s="269"/>
      <c r="P2988" s="269"/>
      <c r="Q2988" s="269"/>
      <c r="R2988" s="269"/>
      <c r="S2988" s="269"/>
      <c r="T2988" s="269"/>
      <c r="U2988" s="269"/>
      <c r="V2988" s="269"/>
      <c r="W2988" s="269"/>
      <c r="X2988" s="269"/>
      <c r="Y2988" s="269"/>
      <c r="Z2988" s="269"/>
      <c r="AA2988" s="269"/>
      <c r="AB2988" s="269"/>
      <c r="AC2988" s="269"/>
      <c r="AD2988" s="269"/>
      <c r="AE2988" s="269"/>
      <c r="AF2988" s="269"/>
      <c r="AG2988" s="269"/>
      <c r="AH2988" s="269"/>
      <c r="AI2988" s="269"/>
      <c r="AJ2988" s="269"/>
      <c r="AK2988" s="269"/>
      <c r="AL2988" s="269"/>
      <c r="AM2988" s="269"/>
      <c r="AN2988" s="269"/>
      <c r="AO2988" s="269"/>
      <c r="AP2988" s="269"/>
      <c r="AQ2988" s="269"/>
      <c r="AR2988" s="269"/>
    </row>
    <row r="2989">
      <c r="A2989" s="410"/>
      <c r="B2989" s="410"/>
      <c r="C2989" s="410"/>
      <c r="D2989" s="410"/>
      <c r="E2989" s="410"/>
      <c r="F2989" s="410"/>
      <c r="H2989" s="269"/>
      <c r="I2989" s="269"/>
      <c r="J2989" s="269"/>
      <c r="K2989" s="269"/>
      <c r="L2989" s="269"/>
      <c r="M2989" s="269"/>
      <c r="N2989" s="269"/>
      <c r="O2989" s="269"/>
      <c r="P2989" s="269"/>
      <c r="Q2989" s="269"/>
      <c r="R2989" s="269"/>
      <c r="S2989" s="269"/>
      <c r="T2989" s="269"/>
      <c r="U2989" s="269"/>
      <c r="V2989" s="269"/>
      <c r="W2989" s="269"/>
      <c r="X2989" s="269"/>
      <c r="Y2989" s="269"/>
      <c r="Z2989" s="269"/>
      <c r="AA2989" s="269"/>
      <c r="AB2989" s="269"/>
      <c r="AC2989" s="269"/>
      <c r="AD2989" s="269"/>
      <c r="AE2989" s="269"/>
      <c r="AF2989" s="269"/>
      <c r="AG2989" s="269"/>
      <c r="AH2989" s="269"/>
      <c r="AI2989" s="269"/>
      <c r="AJ2989" s="269"/>
      <c r="AK2989" s="269"/>
      <c r="AL2989" s="269"/>
      <c r="AM2989" s="269"/>
      <c r="AN2989" s="269"/>
      <c r="AO2989" s="269"/>
      <c r="AP2989" s="269"/>
      <c r="AQ2989" s="269"/>
      <c r="AR2989" s="269"/>
    </row>
    <row r="2990">
      <c r="A2990" s="410"/>
      <c r="B2990" s="410"/>
      <c r="C2990" s="410"/>
      <c r="D2990" s="410"/>
      <c r="E2990" s="410"/>
      <c r="F2990" s="410"/>
      <c r="H2990" s="269"/>
      <c r="I2990" s="269"/>
      <c r="J2990" s="269"/>
      <c r="K2990" s="269"/>
      <c r="L2990" s="269"/>
      <c r="M2990" s="269"/>
      <c r="N2990" s="269"/>
      <c r="O2990" s="269"/>
      <c r="P2990" s="269"/>
      <c r="Q2990" s="269"/>
      <c r="R2990" s="269"/>
      <c r="S2990" s="269"/>
      <c r="T2990" s="269"/>
      <c r="U2990" s="269"/>
      <c r="V2990" s="269"/>
      <c r="W2990" s="269"/>
      <c r="X2990" s="269"/>
      <c r="Y2990" s="269"/>
      <c r="Z2990" s="269"/>
      <c r="AA2990" s="269"/>
      <c r="AB2990" s="269"/>
      <c r="AC2990" s="269"/>
      <c r="AD2990" s="269"/>
      <c r="AE2990" s="269"/>
      <c r="AF2990" s="269"/>
      <c r="AG2990" s="269"/>
      <c r="AH2990" s="269"/>
      <c r="AI2990" s="269"/>
      <c r="AJ2990" s="269"/>
      <c r="AK2990" s="269"/>
      <c r="AL2990" s="269"/>
      <c r="AM2990" s="269"/>
      <c r="AN2990" s="269"/>
      <c r="AO2990" s="269"/>
      <c r="AP2990" s="269"/>
      <c r="AQ2990" s="269"/>
      <c r="AR2990" s="269"/>
    </row>
    <row r="2991">
      <c r="A2991" s="410"/>
      <c r="B2991" s="410"/>
      <c r="C2991" s="410"/>
      <c r="D2991" s="410"/>
      <c r="E2991" s="410"/>
      <c r="F2991" s="410"/>
      <c r="H2991" s="269"/>
      <c r="I2991" s="269"/>
      <c r="J2991" s="269"/>
      <c r="K2991" s="269"/>
      <c r="L2991" s="269"/>
      <c r="M2991" s="269"/>
      <c r="N2991" s="269"/>
      <c r="O2991" s="269"/>
      <c r="P2991" s="269"/>
      <c r="Q2991" s="269"/>
      <c r="R2991" s="269"/>
      <c r="S2991" s="269"/>
      <c r="T2991" s="269"/>
      <c r="U2991" s="269"/>
      <c r="V2991" s="269"/>
      <c r="W2991" s="269"/>
      <c r="X2991" s="269"/>
      <c r="Y2991" s="269"/>
      <c r="Z2991" s="269"/>
      <c r="AA2991" s="269"/>
      <c r="AB2991" s="269"/>
      <c r="AC2991" s="269"/>
      <c r="AD2991" s="269"/>
      <c r="AE2991" s="269"/>
      <c r="AF2991" s="269"/>
      <c r="AG2991" s="269"/>
      <c r="AH2991" s="269"/>
      <c r="AI2991" s="269"/>
      <c r="AJ2991" s="269"/>
      <c r="AK2991" s="269"/>
      <c r="AL2991" s="269"/>
      <c r="AM2991" s="269"/>
      <c r="AN2991" s="269"/>
      <c r="AO2991" s="269"/>
      <c r="AP2991" s="269"/>
      <c r="AQ2991" s="269"/>
      <c r="AR2991" s="269"/>
    </row>
    <row r="2992">
      <c r="A2992" s="410"/>
      <c r="B2992" s="410"/>
      <c r="C2992" s="410"/>
      <c r="D2992" s="410"/>
      <c r="E2992" s="410"/>
      <c r="F2992" s="410"/>
      <c r="H2992" s="269"/>
      <c r="I2992" s="269"/>
      <c r="J2992" s="269"/>
      <c r="K2992" s="269"/>
      <c r="L2992" s="269"/>
      <c r="M2992" s="269"/>
      <c r="N2992" s="269"/>
      <c r="O2992" s="269"/>
      <c r="P2992" s="269"/>
      <c r="Q2992" s="269"/>
      <c r="R2992" s="269"/>
      <c r="S2992" s="269"/>
      <c r="T2992" s="269"/>
      <c r="U2992" s="269"/>
      <c r="V2992" s="269"/>
      <c r="W2992" s="269"/>
      <c r="X2992" s="269"/>
      <c r="Y2992" s="269"/>
      <c r="Z2992" s="269"/>
      <c r="AA2992" s="269"/>
      <c r="AB2992" s="269"/>
      <c r="AC2992" s="269"/>
      <c r="AD2992" s="269"/>
      <c r="AE2992" s="269"/>
      <c r="AF2992" s="269"/>
      <c r="AG2992" s="269"/>
      <c r="AH2992" s="269"/>
      <c r="AI2992" s="269"/>
      <c r="AJ2992" s="269"/>
      <c r="AK2992" s="269"/>
      <c r="AL2992" s="269"/>
      <c r="AM2992" s="269"/>
      <c r="AN2992" s="269"/>
      <c r="AO2992" s="269"/>
      <c r="AP2992" s="269"/>
      <c r="AQ2992" s="269"/>
      <c r="AR2992" s="269"/>
    </row>
    <row r="2993">
      <c r="A2993" s="410"/>
      <c r="B2993" s="410"/>
      <c r="C2993" s="410"/>
      <c r="D2993" s="410"/>
      <c r="E2993" s="410"/>
      <c r="F2993" s="410"/>
      <c r="H2993" s="269"/>
      <c r="I2993" s="269"/>
      <c r="J2993" s="269"/>
      <c r="K2993" s="269"/>
      <c r="L2993" s="269"/>
      <c r="M2993" s="269"/>
      <c r="N2993" s="269"/>
      <c r="O2993" s="269"/>
      <c r="P2993" s="269"/>
      <c r="Q2993" s="269"/>
      <c r="R2993" s="269"/>
      <c r="S2993" s="269"/>
      <c r="T2993" s="269"/>
      <c r="U2993" s="269"/>
      <c r="V2993" s="269"/>
      <c r="W2993" s="269"/>
      <c r="X2993" s="269"/>
      <c r="Y2993" s="269"/>
      <c r="Z2993" s="269"/>
      <c r="AA2993" s="269"/>
      <c r="AB2993" s="269"/>
      <c r="AC2993" s="269"/>
      <c r="AD2993" s="269"/>
      <c r="AE2993" s="269"/>
      <c r="AF2993" s="269"/>
      <c r="AG2993" s="269"/>
      <c r="AH2993" s="269"/>
      <c r="AI2993" s="269"/>
      <c r="AJ2993" s="269"/>
      <c r="AK2993" s="269"/>
      <c r="AL2993" s="269"/>
      <c r="AM2993" s="269"/>
      <c r="AN2993" s="269"/>
      <c r="AO2993" s="269"/>
      <c r="AP2993" s="269"/>
      <c r="AQ2993" s="269"/>
      <c r="AR2993" s="269"/>
    </row>
    <row r="2994">
      <c r="A2994" s="410"/>
      <c r="B2994" s="410"/>
      <c r="C2994" s="410"/>
      <c r="D2994" s="410"/>
      <c r="E2994" s="410"/>
      <c r="F2994" s="410"/>
      <c r="H2994" s="269"/>
      <c r="I2994" s="269"/>
      <c r="J2994" s="269"/>
      <c r="K2994" s="269"/>
      <c r="L2994" s="269"/>
      <c r="M2994" s="269"/>
      <c r="N2994" s="269"/>
      <c r="O2994" s="269"/>
      <c r="P2994" s="269"/>
      <c r="Q2994" s="269"/>
      <c r="R2994" s="269"/>
      <c r="S2994" s="269"/>
      <c r="T2994" s="269"/>
      <c r="U2994" s="269"/>
      <c r="V2994" s="269"/>
      <c r="W2994" s="269"/>
      <c r="X2994" s="269"/>
      <c r="Y2994" s="269"/>
      <c r="Z2994" s="269"/>
      <c r="AA2994" s="269"/>
      <c r="AB2994" s="269"/>
      <c r="AC2994" s="269"/>
      <c r="AD2994" s="269"/>
      <c r="AE2994" s="269"/>
      <c r="AF2994" s="269"/>
      <c r="AG2994" s="269"/>
      <c r="AH2994" s="269"/>
      <c r="AI2994" s="269"/>
      <c r="AJ2994" s="269"/>
      <c r="AK2994" s="269"/>
      <c r="AL2994" s="269"/>
      <c r="AM2994" s="269"/>
      <c r="AN2994" s="269"/>
      <c r="AO2994" s="269"/>
      <c r="AP2994" s="269"/>
      <c r="AQ2994" s="269"/>
      <c r="AR2994" s="269"/>
    </row>
    <row r="2995">
      <c r="A2995" s="410"/>
      <c r="B2995" s="410"/>
      <c r="C2995" s="410"/>
      <c r="D2995" s="410"/>
      <c r="E2995" s="410"/>
      <c r="F2995" s="410"/>
      <c r="H2995" s="269"/>
      <c r="I2995" s="269"/>
      <c r="J2995" s="269"/>
      <c r="K2995" s="269"/>
      <c r="L2995" s="269"/>
      <c r="M2995" s="269"/>
      <c r="N2995" s="269"/>
      <c r="O2995" s="269"/>
      <c r="P2995" s="269"/>
      <c r="Q2995" s="269"/>
      <c r="R2995" s="269"/>
      <c r="S2995" s="269"/>
      <c r="T2995" s="269"/>
      <c r="U2995" s="269"/>
      <c r="V2995" s="269"/>
      <c r="W2995" s="269"/>
      <c r="X2995" s="269"/>
      <c r="Y2995" s="269"/>
      <c r="Z2995" s="269"/>
      <c r="AA2995" s="269"/>
      <c r="AB2995" s="269"/>
      <c r="AC2995" s="269"/>
      <c r="AD2995" s="269"/>
      <c r="AE2995" s="269"/>
      <c r="AF2995" s="269"/>
      <c r="AG2995" s="269"/>
      <c r="AH2995" s="269"/>
      <c r="AI2995" s="269"/>
      <c r="AJ2995" s="269"/>
      <c r="AK2995" s="269"/>
      <c r="AL2995" s="269"/>
      <c r="AM2995" s="269"/>
      <c r="AN2995" s="269"/>
      <c r="AO2995" s="269"/>
      <c r="AP2995" s="269"/>
      <c r="AQ2995" s="269"/>
      <c r="AR2995" s="269"/>
    </row>
    <row r="2996">
      <c r="A2996" s="410"/>
      <c r="B2996" s="410"/>
      <c r="C2996" s="410"/>
      <c r="D2996" s="410"/>
      <c r="E2996" s="410"/>
      <c r="F2996" s="410"/>
      <c r="H2996" s="269"/>
      <c r="I2996" s="269"/>
      <c r="J2996" s="269"/>
      <c r="K2996" s="269"/>
      <c r="L2996" s="269"/>
      <c r="M2996" s="269"/>
      <c r="N2996" s="269"/>
      <c r="O2996" s="269"/>
      <c r="P2996" s="269"/>
      <c r="Q2996" s="269"/>
      <c r="R2996" s="269"/>
      <c r="S2996" s="269"/>
      <c r="T2996" s="269"/>
      <c r="U2996" s="269"/>
      <c r="V2996" s="269"/>
      <c r="W2996" s="269"/>
      <c r="X2996" s="269"/>
      <c r="Y2996" s="269"/>
      <c r="Z2996" s="269"/>
      <c r="AA2996" s="269"/>
      <c r="AB2996" s="269"/>
      <c r="AC2996" s="269"/>
      <c r="AD2996" s="269"/>
      <c r="AE2996" s="269"/>
      <c r="AF2996" s="269"/>
      <c r="AG2996" s="269"/>
      <c r="AH2996" s="269"/>
      <c r="AI2996" s="269"/>
      <c r="AJ2996" s="269"/>
      <c r="AK2996" s="269"/>
      <c r="AL2996" s="269"/>
      <c r="AM2996" s="269"/>
      <c r="AN2996" s="269"/>
      <c r="AO2996" s="269"/>
      <c r="AP2996" s="269"/>
      <c r="AQ2996" s="269"/>
      <c r="AR2996" s="269"/>
    </row>
    <row r="2997">
      <c r="A2997" s="410"/>
      <c r="B2997" s="410"/>
      <c r="C2997" s="410"/>
      <c r="D2997" s="410"/>
      <c r="E2997" s="410"/>
      <c r="F2997" s="410"/>
      <c r="H2997" s="269"/>
      <c r="I2997" s="269"/>
      <c r="J2997" s="269"/>
      <c r="K2997" s="269"/>
      <c r="L2997" s="269"/>
      <c r="M2997" s="269"/>
      <c r="N2997" s="269"/>
      <c r="O2997" s="269"/>
      <c r="P2997" s="269"/>
      <c r="Q2997" s="269"/>
      <c r="R2997" s="269"/>
      <c r="S2997" s="269"/>
      <c r="T2997" s="269"/>
      <c r="U2997" s="269"/>
      <c r="V2997" s="269"/>
      <c r="W2997" s="269"/>
      <c r="X2997" s="269"/>
      <c r="Y2997" s="269"/>
      <c r="Z2997" s="269"/>
      <c r="AA2997" s="269"/>
      <c r="AB2997" s="269"/>
      <c r="AC2997" s="269"/>
      <c r="AD2997" s="269"/>
      <c r="AE2997" s="269"/>
      <c r="AF2997" s="269"/>
      <c r="AG2997" s="269"/>
      <c r="AH2997" s="269"/>
      <c r="AI2997" s="269"/>
      <c r="AJ2997" s="269"/>
      <c r="AK2997" s="269"/>
      <c r="AL2997" s="269"/>
      <c r="AM2997" s="269"/>
      <c r="AN2997" s="269"/>
      <c r="AO2997" s="269"/>
      <c r="AP2997" s="269"/>
      <c r="AQ2997" s="269"/>
      <c r="AR2997" s="269"/>
    </row>
    <row r="2998">
      <c r="A2998" s="410"/>
      <c r="B2998" s="410"/>
      <c r="C2998" s="410"/>
      <c r="D2998" s="410"/>
      <c r="E2998" s="410"/>
      <c r="F2998" s="410"/>
      <c r="H2998" s="269"/>
      <c r="I2998" s="269"/>
      <c r="J2998" s="269"/>
      <c r="K2998" s="269"/>
      <c r="L2998" s="269"/>
      <c r="M2998" s="269"/>
      <c r="N2998" s="269"/>
      <c r="O2998" s="269"/>
      <c r="P2998" s="269"/>
      <c r="Q2998" s="269"/>
      <c r="R2998" s="269"/>
      <c r="S2998" s="269"/>
      <c r="T2998" s="269"/>
      <c r="U2998" s="269"/>
      <c r="V2998" s="269"/>
      <c r="W2998" s="269"/>
      <c r="X2998" s="269"/>
      <c r="Y2998" s="269"/>
      <c r="Z2998" s="269"/>
      <c r="AA2998" s="269"/>
      <c r="AB2998" s="269"/>
      <c r="AC2998" s="269"/>
      <c r="AD2998" s="269"/>
      <c r="AE2998" s="269"/>
      <c r="AF2998" s="269"/>
      <c r="AG2998" s="269"/>
      <c r="AH2998" s="269"/>
      <c r="AI2998" s="269"/>
      <c r="AJ2998" s="269"/>
      <c r="AK2998" s="269"/>
      <c r="AL2998" s="269"/>
      <c r="AM2998" s="269"/>
      <c r="AN2998" s="269"/>
      <c r="AO2998" s="269"/>
      <c r="AP2998" s="269"/>
      <c r="AQ2998" s="269"/>
      <c r="AR2998" s="269"/>
    </row>
    <row r="2999">
      <c r="A2999" s="410"/>
      <c r="B2999" s="410"/>
      <c r="C2999" s="410"/>
      <c r="D2999" s="410"/>
      <c r="E2999" s="410"/>
      <c r="F2999" s="410"/>
      <c r="H2999" s="269"/>
      <c r="I2999" s="269"/>
      <c r="J2999" s="269"/>
      <c r="K2999" s="269"/>
      <c r="L2999" s="269"/>
      <c r="M2999" s="269"/>
      <c r="N2999" s="269"/>
      <c r="O2999" s="269"/>
      <c r="P2999" s="269"/>
      <c r="Q2999" s="269"/>
      <c r="R2999" s="269"/>
      <c r="S2999" s="269"/>
      <c r="T2999" s="269"/>
      <c r="U2999" s="269"/>
      <c r="V2999" s="269"/>
      <c r="W2999" s="269"/>
      <c r="X2999" s="269"/>
      <c r="Y2999" s="269"/>
      <c r="Z2999" s="269"/>
      <c r="AA2999" s="269"/>
      <c r="AB2999" s="269"/>
      <c r="AC2999" s="269"/>
      <c r="AD2999" s="269"/>
      <c r="AE2999" s="269"/>
      <c r="AF2999" s="269"/>
      <c r="AG2999" s="269"/>
      <c r="AH2999" s="269"/>
      <c r="AI2999" s="269"/>
      <c r="AJ2999" s="269"/>
      <c r="AK2999" s="269"/>
      <c r="AL2999" s="269"/>
      <c r="AM2999" s="269"/>
      <c r="AN2999" s="269"/>
      <c r="AO2999" s="269"/>
      <c r="AP2999" s="269"/>
      <c r="AQ2999" s="269"/>
      <c r="AR2999" s="269"/>
    </row>
    <row r="3000">
      <c r="A3000" s="410"/>
      <c r="B3000" s="410"/>
      <c r="C3000" s="410"/>
      <c r="D3000" s="410"/>
      <c r="E3000" s="410"/>
      <c r="F3000" s="410"/>
      <c r="H3000" s="269"/>
      <c r="I3000" s="269"/>
      <c r="J3000" s="269"/>
      <c r="K3000" s="269"/>
      <c r="L3000" s="269"/>
      <c r="M3000" s="269"/>
      <c r="N3000" s="269"/>
      <c r="O3000" s="269"/>
      <c r="P3000" s="269"/>
      <c r="Q3000" s="269"/>
      <c r="R3000" s="269"/>
      <c r="S3000" s="269"/>
      <c r="T3000" s="269"/>
      <c r="U3000" s="269"/>
      <c r="V3000" s="269"/>
      <c r="W3000" s="269"/>
      <c r="X3000" s="269"/>
      <c r="Y3000" s="269"/>
      <c r="Z3000" s="269"/>
      <c r="AA3000" s="269"/>
      <c r="AB3000" s="269"/>
      <c r="AC3000" s="269"/>
      <c r="AD3000" s="269"/>
      <c r="AE3000" s="269"/>
      <c r="AF3000" s="269"/>
      <c r="AG3000" s="269"/>
      <c r="AH3000" s="269"/>
      <c r="AI3000" s="269"/>
      <c r="AJ3000" s="269"/>
      <c r="AK3000" s="269"/>
      <c r="AL3000" s="269"/>
      <c r="AM3000" s="269"/>
      <c r="AN3000" s="269"/>
      <c r="AO3000" s="269"/>
      <c r="AP3000" s="269"/>
      <c r="AQ3000" s="269"/>
      <c r="AR3000" s="269"/>
    </row>
    <row r="3001">
      <c r="A3001" s="410"/>
      <c r="B3001" s="410"/>
      <c r="C3001" s="410"/>
      <c r="D3001" s="410"/>
      <c r="E3001" s="410"/>
      <c r="F3001" s="410"/>
      <c r="H3001" s="269"/>
      <c r="I3001" s="269"/>
      <c r="J3001" s="269"/>
      <c r="K3001" s="269"/>
      <c r="L3001" s="269"/>
      <c r="M3001" s="269"/>
      <c r="N3001" s="269"/>
      <c r="O3001" s="269"/>
      <c r="P3001" s="269"/>
      <c r="Q3001" s="269"/>
      <c r="R3001" s="269"/>
      <c r="S3001" s="269"/>
      <c r="T3001" s="269"/>
      <c r="U3001" s="269"/>
      <c r="V3001" s="269"/>
      <c r="W3001" s="269"/>
      <c r="X3001" s="269"/>
      <c r="Y3001" s="269"/>
      <c r="Z3001" s="269"/>
      <c r="AA3001" s="269"/>
      <c r="AB3001" s="269"/>
      <c r="AC3001" s="269"/>
      <c r="AD3001" s="269"/>
      <c r="AE3001" s="269"/>
      <c r="AF3001" s="269"/>
      <c r="AG3001" s="269"/>
      <c r="AH3001" s="269"/>
      <c r="AI3001" s="269"/>
      <c r="AJ3001" s="269"/>
      <c r="AK3001" s="269"/>
      <c r="AL3001" s="269"/>
      <c r="AM3001" s="269"/>
      <c r="AN3001" s="269"/>
      <c r="AO3001" s="269"/>
      <c r="AP3001" s="269"/>
      <c r="AQ3001" s="269"/>
      <c r="AR3001" s="269"/>
    </row>
    <row r="3002">
      <c r="A3002" s="410"/>
      <c r="B3002" s="410"/>
      <c r="C3002" s="410"/>
      <c r="D3002" s="410"/>
      <c r="E3002" s="410"/>
      <c r="F3002" s="410"/>
      <c r="H3002" s="269"/>
      <c r="I3002" s="269"/>
      <c r="J3002" s="269"/>
      <c r="K3002" s="269"/>
      <c r="L3002" s="269"/>
      <c r="M3002" s="269"/>
      <c r="N3002" s="269"/>
      <c r="O3002" s="269"/>
      <c r="P3002" s="269"/>
      <c r="Q3002" s="269"/>
      <c r="R3002" s="269"/>
      <c r="S3002" s="269"/>
      <c r="T3002" s="269"/>
      <c r="U3002" s="269"/>
      <c r="V3002" s="269"/>
      <c r="W3002" s="269"/>
      <c r="X3002" s="269"/>
      <c r="Y3002" s="269"/>
      <c r="Z3002" s="269"/>
      <c r="AA3002" s="269"/>
      <c r="AB3002" s="269"/>
      <c r="AC3002" s="269"/>
      <c r="AD3002" s="269"/>
      <c r="AE3002" s="269"/>
      <c r="AF3002" s="269"/>
      <c r="AG3002" s="269"/>
      <c r="AH3002" s="269"/>
      <c r="AI3002" s="269"/>
      <c r="AJ3002" s="269"/>
      <c r="AK3002" s="269"/>
      <c r="AL3002" s="269"/>
      <c r="AM3002" s="269"/>
      <c r="AN3002" s="269"/>
      <c r="AO3002" s="269"/>
      <c r="AP3002" s="269"/>
      <c r="AQ3002" s="269"/>
      <c r="AR3002" s="269"/>
    </row>
    <row r="3003">
      <c r="A3003" s="410"/>
      <c r="B3003" s="410"/>
      <c r="C3003" s="410"/>
      <c r="D3003" s="410"/>
      <c r="E3003" s="410"/>
      <c r="F3003" s="410"/>
      <c r="H3003" s="269"/>
      <c r="I3003" s="269"/>
      <c r="J3003" s="269"/>
      <c r="K3003" s="269"/>
      <c r="L3003" s="269"/>
      <c r="M3003" s="269"/>
      <c r="N3003" s="269"/>
      <c r="O3003" s="269"/>
      <c r="P3003" s="269"/>
      <c r="Q3003" s="269"/>
      <c r="R3003" s="269"/>
      <c r="S3003" s="269"/>
      <c r="T3003" s="269"/>
      <c r="U3003" s="269"/>
      <c r="V3003" s="269"/>
      <c r="W3003" s="269"/>
      <c r="X3003" s="269"/>
      <c r="Y3003" s="269"/>
      <c r="Z3003" s="269"/>
      <c r="AA3003" s="269"/>
      <c r="AB3003" s="269"/>
      <c r="AC3003" s="269"/>
      <c r="AD3003" s="269"/>
      <c r="AE3003" s="269"/>
      <c r="AF3003" s="269"/>
      <c r="AG3003" s="269"/>
      <c r="AH3003" s="269"/>
      <c r="AI3003" s="269"/>
      <c r="AJ3003" s="269"/>
      <c r="AK3003" s="269"/>
      <c r="AL3003" s="269"/>
      <c r="AM3003" s="269"/>
      <c r="AN3003" s="269"/>
      <c r="AO3003" s="269"/>
      <c r="AP3003" s="269"/>
      <c r="AQ3003" s="269"/>
      <c r="AR3003" s="269"/>
    </row>
    <row r="3004">
      <c r="A3004" s="410"/>
      <c r="B3004" s="410"/>
      <c r="C3004" s="410"/>
      <c r="D3004" s="410"/>
      <c r="E3004" s="410"/>
      <c r="F3004" s="410"/>
      <c r="H3004" s="269"/>
      <c r="I3004" s="269"/>
      <c r="J3004" s="269"/>
      <c r="K3004" s="269"/>
      <c r="L3004" s="269"/>
      <c r="M3004" s="269"/>
      <c r="N3004" s="269"/>
      <c r="O3004" s="269"/>
      <c r="P3004" s="269"/>
      <c r="Q3004" s="269"/>
      <c r="R3004" s="269"/>
      <c r="S3004" s="269"/>
      <c r="T3004" s="269"/>
      <c r="U3004" s="269"/>
      <c r="V3004" s="269"/>
      <c r="W3004" s="269"/>
      <c r="X3004" s="269"/>
      <c r="Y3004" s="269"/>
      <c r="Z3004" s="269"/>
      <c r="AA3004" s="269"/>
      <c r="AB3004" s="269"/>
      <c r="AC3004" s="269"/>
      <c r="AD3004" s="269"/>
      <c r="AE3004" s="269"/>
      <c r="AF3004" s="269"/>
      <c r="AG3004" s="269"/>
      <c r="AH3004" s="269"/>
      <c r="AI3004" s="269"/>
      <c r="AJ3004" s="269"/>
      <c r="AK3004" s="269"/>
      <c r="AL3004" s="269"/>
      <c r="AM3004" s="269"/>
      <c r="AN3004" s="269"/>
      <c r="AO3004" s="269"/>
      <c r="AP3004" s="269"/>
      <c r="AQ3004" s="269"/>
      <c r="AR3004" s="269"/>
    </row>
    <row r="3005">
      <c r="A3005" s="410"/>
      <c r="B3005" s="410"/>
      <c r="C3005" s="410"/>
      <c r="D3005" s="410"/>
      <c r="E3005" s="410"/>
      <c r="F3005" s="410"/>
      <c r="H3005" s="269"/>
      <c r="I3005" s="269"/>
      <c r="J3005" s="269"/>
      <c r="K3005" s="269"/>
      <c r="L3005" s="269"/>
      <c r="M3005" s="269"/>
      <c r="N3005" s="269"/>
      <c r="O3005" s="269"/>
      <c r="P3005" s="269"/>
      <c r="Q3005" s="269"/>
      <c r="R3005" s="269"/>
      <c r="S3005" s="269"/>
      <c r="T3005" s="269"/>
      <c r="U3005" s="269"/>
      <c r="V3005" s="269"/>
      <c r="W3005" s="269"/>
      <c r="X3005" s="269"/>
      <c r="Y3005" s="269"/>
      <c r="Z3005" s="269"/>
      <c r="AA3005" s="269"/>
      <c r="AB3005" s="269"/>
      <c r="AC3005" s="269"/>
      <c r="AD3005" s="269"/>
      <c r="AE3005" s="269"/>
      <c r="AF3005" s="269"/>
      <c r="AG3005" s="269"/>
      <c r="AH3005" s="269"/>
      <c r="AI3005" s="269"/>
      <c r="AJ3005" s="269"/>
      <c r="AK3005" s="269"/>
      <c r="AL3005" s="269"/>
      <c r="AM3005" s="269"/>
      <c r="AN3005" s="269"/>
      <c r="AO3005" s="269"/>
      <c r="AP3005" s="269"/>
      <c r="AQ3005" s="269"/>
      <c r="AR3005" s="269"/>
    </row>
    <row r="3006">
      <c r="A3006" s="410"/>
      <c r="B3006" s="410"/>
      <c r="C3006" s="410"/>
      <c r="D3006" s="410"/>
      <c r="E3006" s="410"/>
      <c r="F3006" s="410"/>
      <c r="H3006" s="269"/>
      <c r="I3006" s="269"/>
      <c r="J3006" s="269"/>
      <c r="K3006" s="269"/>
      <c r="L3006" s="269"/>
      <c r="M3006" s="269"/>
      <c r="N3006" s="269"/>
      <c r="O3006" s="269"/>
      <c r="P3006" s="269"/>
      <c r="Q3006" s="269"/>
      <c r="R3006" s="269"/>
      <c r="S3006" s="269"/>
      <c r="T3006" s="269"/>
      <c r="U3006" s="269"/>
      <c r="V3006" s="269"/>
      <c r="W3006" s="269"/>
      <c r="X3006" s="269"/>
      <c r="Y3006" s="269"/>
      <c r="Z3006" s="269"/>
      <c r="AA3006" s="269"/>
      <c r="AB3006" s="269"/>
      <c r="AC3006" s="269"/>
      <c r="AD3006" s="269"/>
      <c r="AE3006" s="269"/>
      <c r="AF3006" s="269"/>
      <c r="AG3006" s="269"/>
      <c r="AH3006" s="269"/>
      <c r="AI3006" s="269"/>
      <c r="AJ3006" s="269"/>
      <c r="AK3006" s="269"/>
      <c r="AL3006" s="269"/>
      <c r="AM3006" s="269"/>
      <c r="AN3006" s="269"/>
      <c r="AO3006" s="269"/>
      <c r="AP3006" s="269"/>
      <c r="AQ3006" s="269"/>
      <c r="AR3006" s="269"/>
    </row>
    <row r="3007">
      <c r="A3007" s="410"/>
      <c r="B3007" s="410"/>
      <c r="C3007" s="410"/>
      <c r="D3007" s="410"/>
      <c r="E3007" s="410"/>
      <c r="F3007" s="410"/>
      <c r="H3007" s="269"/>
      <c r="I3007" s="269"/>
      <c r="J3007" s="269"/>
      <c r="K3007" s="269"/>
      <c r="L3007" s="269"/>
      <c r="M3007" s="269"/>
      <c r="N3007" s="269"/>
      <c r="O3007" s="269"/>
      <c r="P3007" s="269"/>
      <c r="Q3007" s="269"/>
      <c r="R3007" s="269"/>
      <c r="S3007" s="269"/>
      <c r="T3007" s="269"/>
      <c r="U3007" s="269"/>
      <c r="V3007" s="269"/>
      <c r="W3007" s="269"/>
      <c r="X3007" s="269"/>
      <c r="Y3007" s="269"/>
      <c r="Z3007" s="269"/>
      <c r="AA3007" s="269"/>
      <c r="AB3007" s="269"/>
      <c r="AC3007" s="269"/>
      <c r="AD3007" s="269"/>
      <c r="AE3007" s="269"/>
      <c r="AF3007" s="269"/>
      <c r="AG3007" s="269"/>
      <c r="AH3007" s="269"/>
      <c r="AI3007" s="269"/>
      <c r="AJ3007" s="269"/>
      <c r="AK3007" s="269"/>
      <c r="AL3007" s="269"/>
      <c r="AM3007" s="269"/>
      <c r="AN3007" s="269"/>
      <c r="AO3007" s="269"/>
      <c r="AP3007" s="269"/>
      <c r="AQ3007" s="269"/>
      <c r="AR3007" s="269"/>
    </row>
    <row r="3008">
      <c r="A3008" s="410"/>
      <c r="B3008" s="410"/>
      <c r="C3008" s="410"/>
      <c r="D3008" s="410"/>
      <c r="E3008" s="410"/>
      <c r="F3008" s="410"/>
      <c r="H3008" s="269"/>
      <c r="I3008" s="269"/>
      <c r="J3008" s="269"/>
      <c r="K3008" s="269"/>
      <c r="L3008" s="269"/>
      <c r="M3008" s="269"/>
      <c r="N3008" s="269"/>
      <c r="O3008" s="269"/>
      <c r="P3008" s="269"/>
      <c r="Q3008" s="269"/>
      <c r="R3008" s="269"/>
      <c r="S3008" s="269"/>
      <c r="T3008" s="269"/>
      <c r="U3008" s="269"/>
      <c r="V3008" s="269"/>
      <c r="W3008" s="269"/>
      <c r="X3008" s="269"/>
      <c r="Y3008" s="269"/>
      <c r="Z3008" s="269"/>
      <c r="AA3008" s="269"/>
      <c r="AB3008" s="269"/>
      <c r="AC3008" s="269"/>
      <c r="AD3008" s="269"/>
      <c r="AE3008" s="269"/>
      <c r="AF3008" s="269"/>
      <c r="AG3008" s="269"/>
      <c r="AH3008" s="269"/>
      <c r="AI3008" s="269"/>
      <c r="AJ3008" s="269"/>
      <c r="AK3008" s="269"/>
      <c r="AL3008" s="269"/>
      <c r="AM3008" s="269"/>
      <c r="AN3008" s="269"/>
      <c r="AO3008" s="269"/>
      <c r="AP3008" s="269"/>
      <c r="AQ3008" s="269"/>
      <c r="AR3008" s="269"/>
    </row>
    <row r="3009">
      <c r="A3009" s="410"/>
      <c r="B3009" s="410"/>
      <c r="C3009" s="410"/>
      <c r="D3009" s="410"/>
      <c r="E3009" s="410"/>
      <c r="F3009" s="410"/>
      <c r="H3009" s="269"/>
      <c r="I3009" s="269"/>
      <c r="J3009" s="269"/>
      <c r="K3009" s="269"/>
      <c r="L3009" s="269"/>
      <c r="M3009" s="269"/>
      <c r="N3009" s="269"/>
      <c r="O3009" s="269"/>
      <c r="P3009" s="269"/>
      <c r="Q3009" s="269"/>
      <c r="R3009" s="269"/>
      <c r="S3009" s="269"/>
      <c r="T3009" s="269"/>
      <c r="U3009" s="269"/>
      <c r="V3009" s="269"/>
      <c r="W3009" s="269"/>
      <c r="X3009" s="269"/>
      <c r="Y3009" s="269"/>
      <c r="Z3009" s="269"/>
      <c r="AA3009" s="269"/>
      <c r="AB3009" s="269"/>
      <c r="AC3009" s="269"/>
      <c r="AD3009" s="269"/>
      <c r="AE3009" s="269"/>
      <c r="AF3009" s="269"/>
      <c r="AG3009" s="269"/>
      <c r="AH3009" s="269"/>
      <c r="AI3009" s="269"/>
      <c r="AJ3009" s="269"/>
      <c r="AK3009" s="269"/>
      <c r="AL3009" s="269"/>
      <c r="AM3009" s="269"/>
      <c r="AN3009" s="269"/>
      <c r="AO3009" s="269"/>
      <c r="AP3009" s="269"/>
      <c r="AQ3009" s="269"/>
      <c r="AR3009" s="269"/>
    </row>
    <row r="3010">
      <c r="A3010" s="410"/>
      <c r="B3010" s="410"/>
      <c r="C3010" s="410"/>
      <c r="D3010" s="410"/>
      <c r="E3010" s="410"/>
      <c r="F3010" s="410"/>
      <c r="H3010" s="269"/>
      <c r="I3010" s="269"/>
      <c r="J3010" s="269"/>
      <c r="K3010" s="269"/>
      <c r="L3010" s="269"/>
      <c r="M3010" s="269"/>
      <c r="N3010" s="269"/>
      <c r="O3010" s="269"/>
      <c r="P3010" s="269"/>
      <c r="Q3010" s="269"/>
      <c r="R3010" s="269"/>
      <c r="S3010" s="269"/>
      <c r="T3010" s="269"/>
      <c r="U3010" s="269"/>
      <c r="V3010" s="269"/>
      <c r="W3010" s="269"/>
      <c r="X3010" s="269"/>
      <c r="Y3010" s="269"/>
      <c r="Z3010" s="269"/>
      <c r="AA3010" s="269"/>
      <c r="AB3010" s="269"/>
      <c r="AC3010" s="269"/>
      <c r="AD3010" s="269"/>
      <c r="AE3010" s="269"/>
      <c r="AF3010" s="269"/>
      <c r="AG3010" s="269"/>
      <c r="AH3010" s="269"/>
      <c r="AI3010" s="269"/>
      <c r="AJ3010" s="269"/>
      <c r="AK3010" s="269"/>
      <c r="AL3010" s="269"/>
      <c r="AM3010" s="269"/>
      <c r="AN3010" s="269"/>
      <c r="AO3010" s="269"/>
      <c r="AP3010" s="269"/>
      <c r="AQ3010" s="269"/>
      <c r="AR3010" s="269"/>
    </row>
    <row r="3011">
      <c r="A3011" s="410"/>
      <c r="B3011" s="410"/>
      <c r="C3011" s="410"/>
      <c r="D3011" s="410"/>
      <c r="E3011" s="410"/>
      <c r="F3011" s="410"/>
      <c r="H3011" s="269"/>
      <c r="I3011" s="269"/>
      <c r="J3011" s="269"/>
      <c r="K3011" s="269"/>
      <c r="L3011" s="269"/>
      <c r="M3011" s="269"/>
      <c r="N3011" s="269"/>
      <c r="O3011" s="269"/>
      <c r="P3011" s="269"/>
      <c r="Q3011" s="269"/>
      <c r="R3011" s="269"/>
      <c r="S3011" s="269"/>
      <c r="T3011" s="269"/>
      <c r="U3011" s="269"/>
      <c r="V3011" s="269"/>
      <c r="W3011" s="269"/>
      <c r="X3011" s="269"/>
      <c r="Y3011" s="269"/>
      <c r="Z3011" s="269"/>
      <c r="AA3011" s="269"/>
      <c r="AB3011" s="269"/>
      <c r="AC3011" s="269"/>
      <c r="AD3011" s="269"/>
      <c r="AE3011" s="269"/>
      <c r="AF3011" s="269"/>
      <c r="AG3011" s="269"/>
      <c r="AH3011" s="269"/>
      <c r="AI3011" s="269"/>
      <c r="AJ3011" s="269"/>
      <c r="AK3011" s="269"/>
      <c r="AL3011" s="269"/>
      <c r="AM3011" s="269"/>
      <c r="AN3011" s="269"/>
      <c r="AO3011" s="269"/>
      <c r="AP3011" s="269"/>
      <c r="AQ3011" s="269"/>
      <c r="AR3011" s="269"/>
    </row>
    <row r="3012">
      <c r="A3012" s="410"/>
      <c r="B3012" s="410"/>
      <c r="C3012" s="410"/>
      <c r="D3012" s="410"/>
      <c r="E3012" s="410"/>
      <c r="F3012" s="410"/>
      <c r="H3012" s="269"/>
      <c r="I3012" s="269"/>
      <c r="J3012" s="269"/>
      <c r="K3012" s="269"/>
      <c r="L3012" s="269"/>
      <c r="M3012" s="269"/>
      <c r="N3012" s="269"/>
      <c r="O3012" s="269"/>
      <c r="P3012" s="269"/>
      <c r="Q3012" s="269"/>
      <c r="R3012" s="269"/>
      <c r="S3012" s="269"/>
      <c r="T3012" s="269"/>
      <c r="U3012" s="269"/>
      <c r="V3012" s="269"/>
      <c r="W3012" s="269"/>
      <c r="X3012" s="269"/>
      <c r="Y3012" s="269"/>
      <c r="Z3012" s="269"/>
      <c r="AA3012" s="269"/>
      <c r="AB3012" s="269"/>
      <c r="AC3012" s="269"/>
      <c r="AD3012" s="269"/>
      <c r="AE3012" s="269"/>
      <c r="AF3012" s="269"/>
      <c r="AG3012" s="269"/>
      <c r="AH3012" s="269"/>
      <c r="AI3012" s="269"/>
      <c r="AJ3012" s="269"/>
      <c r="AK3012" s="269"/>
      <c r="AL3012" s="269"/>
      <c r="AM3012" s="269"/>
      <c r="AN3012" s="269"/>
      <c r="AO3012" s="269"/>
      <c r="AP3012" s="269"/>
      <c r="AQ3012" s="269"/>
      <c r="AR3012" s="269"/>
    </row>
    <row r="3013">
      <c r="A3013" s="410"/>
      <c r="B3013" s="410"/>
      <c r="C3013" s="410"/>
      <c r="D3013" s="410"/>
      <c r="E3013" s="410"/>
      <c r="F3013" s="410"/>
      <c r="H3013" s="269"/>
      <c r="I3013" s="269"/>
      <c r="J3013" s="269"/>
      <c r="K3013" s="269"/>
      <c r="L3013" s="269"/>
      <c r="M3013" s="269"/>
      <c r="N3013" s="269"/>
      <c r="O3013" s="269"/>
      <c r="P3013" s="269"/>
      <c r="Q3013" s="269"/>
      <c r="R3013" s="269"/>
      <c r="S3013" s="269"/>
      <c r="T3013" s="269"/>
      <c r="U3013" s="269"/>
      <c r="V3013" s="269"/>
      <c r="W3013" s="269"/>
      <c r="X3013" s="269"/>
      <c r="Y3013" s="269"/>
      <c r="Z3013" s="269"/>
      <c r="AA3013" s="269"/>
      <c r="AB3013" s="269"/>
      <c r="AC3013" s="269"/>
      <c r="AD3013" s="269"/>
      <c r="AE3013" s="269"/>
      <c r="AF3013" s="269"/>
      <c r="AG3013" s="269"/>
      <c r="AH3013" s="269"/>
      <c r="AI3013" s="269"/>
      <c r="AJ3013" s="269"/>
      <c r="AK3013" s="269"/>
      <c r="AL3013" s="269"/>
      <c r="AM3013" s="269"/>
      <c r="AN3013" s="269"/>
      <c r="AO3013" s="269"/>
      <c r="AP3013" s="269"/>
      <c r="AQ3013" s="269"/>
      <c r="AR3013" s="269"/>
    </row>
    <row r="3014">
      <c r="A3014" s="410"/>
      <c r="B3014" s="410"/>
      <c r="C3014" s="410"/>
      <c r="D3014" s="410"/>
      <c r="E3014" s="410"/>
      <c r="F3014" s="410"/>
      <c r="H3014" s="269"/>
      <c r="I3014" s="269"/>
      <c r="J3014" s="269"/>
      <c r="K3014" s="269"/>
      <c r="L3014" s="269"/>
      <c r="M3014" s="269"/>
      <c r="N3014" s="269"/>
      <c r="O3014" s="269"/>
      <c r="P3014" s="269"/>
      <c r="Q3014" s="269"/>
      <c r="R3014" s="269"/>
      <c r="S3014" s="269"/>
      <c r="T3014" s="269"/>
      <c r="U3014" s="269"/>
      <c r="V3014" s="269"/>
      <c r="W3014" s="269"/>
      <c r="X3014" s="269"/>
      <c r="Y3014" s="269"/>
      <c r="Z3014" s="269"/>
      <c r="AA3014" s="269"/>
      <c r="AB3014" s="269"/>
      <c r="AC3014" s="269"/>
      <c r="AD3014" s="269"/>
      <c r="AE3014" s="269"/>
      <c r="AF3014" s="269"/>
      <c r="AG3014" s="269"/>
      <c r="AH3014" s="269"/>
      <c r="AI3014" s="269"/>
      <c r="AJ3014" s="269"/>
      <c r="AK3014" s="269"/>
      <c r="AL3014" s="269"/>
      <c r="AM3014" s="269"/>
      <c r="AN3014" s="269"/>
      <c r="AO3014" s="269"/>
      <c r="AP3014" s="269"/>
      <c r="AQ3014" s="269"/>
      <c r="AR3014" s="269"/>
    </row>
    <row r="3015">
      <c r="A3015" s="410"/>
      <c r="B3015" s="410"/>
      <c r="C3015" s="410"/>
      <c r="D3015" s="410"/>
      <c r="E3015" s="410"/>
      <c r="F3015" s="410"/>
      <c r="H3015" s="269"/>
      <c r="I3015" s="269"/>
      <c r="J3015" s="269"/>
      <c r="K3015" s="269"/>
      <c r="L3015" s="269"/>
      <c r="M3015" s="269"/>
      <c r="N3015" s="269"/>
      <c r="O3015" s="269"/>
      <c r="P3015" s="269"/>
      <c r="Q3015" s="269"/>
      <c r="R3015" s="269"/>
      <c r="S3015" s="269"/>
      <c r="T3015" s="269"/>
      <c r="U3015" s="269"/>
      <c r="V3015" s="269"/>
      <c r="W3015" s="269"/>
      <c r="X3015" s="269"/>
      <c r="Y3015" s="269"/>
      <c r="Z3015" s="269"/>
      <c r="AA3015" s="269"/>
      <c r="AB3015" s="269"/>
      <c r="AC3015" s="269"/>
      <c r="AD3015" s="269"/>
      <c r="AE3015" s="269"/>
      <c r="AF3015" s="269"/>
      <c r="AG3015" s="269"/>
      <c r="AH3015" s="269"/>
      <c r="AI3015" s="269"/>
      <c r="AJ3015" s="269"/>
      <c r="AK3015" s="269"/>
      <c r="AL3015" s="269"/>
      <c r="AM3015" s="269"/>
      <c r="AN3015" s="269"/>
      <c r="AO3015" s="269"/>
      <c r="AP3015" s="269"/>
      <c r="AQ3015" s="269"/>
      <c r="AR3015" s="269"/>
    </row>
    <row r="3016">
      <c r="A3016" s="410"/>
      <c r="B3016" s="410"/>
      <c r="C3016" s="410"/>
      <c r="D3016" s="410"/>
      <c r="E3016" s="410"/>
      <c r="F3016" s="410"/>
      <c r="H3016" s="269"/>
      <c r="I3016" s="269"/>
      <c r="J3016" s="269"/>
      <c r="K3016" s="269"/>
      <c r="L3016" s="269"/>
      <c r="M3016" s="269"/>
      <c r="N3016" s="269"/>
      <c r="O3016" s="269"/>
      <c r="P3016" s="269"/>
      <c r="Q3016" s="269"/>
      <c r="R3016" s="269"/>
      <c r="S3016" s="269"/>
      <c r="T3016" s="269"/>
      <c r="U3016" s="269"/>
      <c r="V3016" s="269"/>
      <c r="W3016" s="269"/>
      <c r="X3016" s="269"/>
      <c r="Y3016" s="269"/>
      <c r="Z3016" s="269"/>
      <c r="AA3016" s="269"/>
      <c r="AB3016" s="269"/>
      <c r="AC3016" s="269"/>
      <c r="AD3016" s="269"/>
      <c r="AE3016" s="269"/>
      <c r="AF3016" s="269"/>
      <c r="AG3016" s="269"/>
      <c r="AH3016" s="269"/>
      <c r="AI3016" s="269"/>
      <c r="AJ3016" s="269"/>
      <c r="AK3016" s="269"/>
      <c r="AL3016" s="269"/>
      <c r="AM3016" s="269"/>
      <c r="AN3016" s="269"/>
      <c r="AO3016" s="269"/>
      <c r="AP3016" s="269"/>
      <c r="AQ3016" s="269"/>
      <c r="AR3016" s="269"/>
    </row>
    <row r="3017">
      <c r="A3017" s="410"/>
      <c r="B3017" s="410"/>
      <c r="C3017" s="410"/>
      <c r="D3017" s="410"/>
      <c r="E3017" s="410"/>
      <c r="F3017" s="410"/>
      <c r="H3017" s="269"/>
      <c r="I3017" s="269"/>
      <c r="J3017" s="269"/>
      <c r="K3017" s="269"/>
      <c r="L3017" s="269"/>
      <c r="M3017" s="269"/>
      <c r="N3017" s="269"/>
      <c r="O3017" s="269"/>
      <c r="P3017" s="269"/>
      <c r="Q3017" s="269"/>
      <c r="R3017" s="269"/>
      <c r="S3017" s="269"/>
      <c r="T3017" s="269"/>
      <c r="U3017" s="269"/>
      <c r="V3017" s="269"/>
      <c r="W3017" s="269"/>
      <c r="X3017" s="269"/>
      <c r="Y3017" s="269"/>
      <c r="Z3017" s="269"/>
      <c r="AA3017" s="269"/>
      <c r="AB3017" s="269"/>
      <c r="AC3017" s="269"/>
      <c r="AD3017" s="269"/>
      <c r="AE3017" s="269"/>
      <c r="AF3017" s="269"/>
      <c r="AG3017" s="269"/>
      <c r="AH3017" s="269"/>
      <c r="AI3017" s="269"/>
      <c r="AJ3017" s="269"/>
      <c r="AK3017" s="269"/>
      <c r="AL3017" s="269"/>
      <c r="AM3017" s="269"/>
      <c r="AN3017" s="269"/>
      <c r="AO3017" s="269"/>
      <c r="AP3017" s="269"/>
      <c r="AQ3017" s="269"/>
      <c r="AR3017" s="269"/>
    </row>
    <row r="3018">
      <c r="A3018" s="410"/>
      <c r="B3018" s="410"/>
      <c r="C3018" s="410"/>
      <c r="D3018" s="410"/>
      <c r="E3018" s="410"/>
      <c r="F3018" s="410"/>
      <c r="H3018" s="269"/>
      <c r="I3018" s="269"/>
      <c r="J3018" s="269"/>
      <c r="K3018" s="269"/>
      <c r="L3018" s="269"/>
      <c r="M3018" s="269"/>
      <c r="N3018" s="269"/>
      <c r="O3018" s="269"/>
      <c r="P3018" s="269"/>
      <c r="Q3018" s="269"/>
      <c r="R3018" s="269"/>
      <c r="S3018" s="269"/>
      <c r="T3018" s="269"/>
      <c r="U3018" s="269"/>
      <c r="V3018" s="269"/>
      <c r="W3018" s="269"/>
      <c r="X3018" s="269"/>
      <c r="Y3018" s="269"/>
      <c r="Z3018" s="269"/>
      <c r="AA3018" s="269"/>
      <c r="AB3018" s="269"/>
      <c r="AC3018" s="269"/>
      <c r="AD3018" s="269"/>
      <c r="AE3018" s="269"/>
      <c r="AF3018" s="269"/>
      <c r="AG3018" s="269"/>
      <c r="AH3018" s="269"/>
      <c r="AI3018" s="269"/>
      <c r="AJ3018" s="269"/>
      <c r="AK3018" s="269"/>
      <c r="AL3018" s="269"/>
      <c r="AM3018" s="269"/>
      <c r="AN3018" s="269"/>
      <c r="AO3018" s="269"/>
      <c r="AP3018" s="269"/>
      <c r="AQ3018" s="269"/>
      <c r="AR3018" s="269"/>
    </row>
    <row r="3019">
      <c r="A3019" s="410"/>
      <c r="B3019" s="410"/>
      <c r="C3019" s="410"/>
      <c r="D3019" s="410"/>
      <c r="E3019" s="410"/>
      <c r="F3019" s="410"/>
      <c r="H3019" s="269"/>
      <c r="I3019" s="269"/>
      <c r="J3019" s="269"/>
      <c r="K3019" s="269"/>
      <c r="L3019" s="269"/>
      <c r="M3019" s="269"/>
      <c r="N3019" s="269"/>
      <c r="O3019" s="269"/>
      <c r="P3019" s="269"/>
      <c r="Q3019" s="269"/>
      <c r="R3019" s="269"/>
      <c r="S3019" s="269"/>
      <c r="T3019" s="269"/>
      <c r="U3019" s="269"/>
      <c r="V3019" s="269"/>
      <c r="W3019" s="269"/>
      <c r="X3019" s="269"/>
      <c r="Y3019" s="269"/>
      <c r="Z3019" s="269"/>
      <c r="AA3019" s="269"/>
      <c r="AB3019" s="269"/>
      <c r="AC3019" s="269"/>
      <c r="AD3019" s="269"/>
      <c r="AE3019" s="269"/>
      <c r="AF3019" s="269"/>
      <c r="AG3019" s="269"/>
      <c r="AH3019" s="269"/>
      <c r="AI3019" s="269"/>
      <c r="AJ3019" s="269"/>
      <c r="AK3019" s="269"/>
      <c r="AL3019" s="269"/>
      <c r="AM3019" s="269"/>
      <c r="AN3019" s="269"/>
      <c r="AO3019" s="269"/>
      <c r="AP3019" s="269"/>
      <c r="AQ3019" s="269"/>
      <c r="AR3019" s="269"/>
    </row>
    <row r="3020">
      <c r="A3020" s="410"/>
      <c r="B3020" s="410"/>
      <c r="C3020" s="410"/>
      <c r="D3020" s="410"/>
      <c r="E3020" s="410"/>
      <c r="F3020" s="410"/>
      <c r="H3020" s="269"/>
      <c r="I3020" s="269"/>
      <c r="J3020" s="269"/>
      <c r="K3020" s="269"/>
      <c r="L3020" s="269"/>
      <c r="M3020" s="269"/>
      <c r="N3020" s="269"/>
      <c r="O3020" s="269"/>
      <c r="P3020" s="269"/>
      <c r="Q3020" s="269"/>
      <c r="R3020" s="269"/>
      <c r="S3020" s="269"/>
      <c r="T3020" s="269"/>
      <c r="U3020" s="269"/>
      <c r="V3020" s="269"/>
      <c r="W3020" s="269"/>
      <c r="X3020" s="269"/>
      <c r="Y3020" s="269"/>
      <c r="Z3020" s="269"/>
      <c r="AA3020" s="269"/>
      <c r="AB3020" s="269"/>
      <c r="AC3020" s="269"/>
      <c r="AD3020" s="269"/>
      <c r="AE3020" s="269"/>
      <c r="AF3020" s="269"/>
      <c r="AG3020" s="269"/>
      <c r="AH3020" s="269"/>
      <c r="AI3020" s="269"/>
      <c r="AJ3020" s="269"/>
      <c r="AK3020" s="269"/>
      <c r="AL3020" s="269"/>
      <c r="AM3020" s="269"/>
      <c r="AN3020" s="269"/>
      <c r="AO3020" s="269"/>
      <c r="AP3020" s="269"/>
      <c r="AQ3020" s="269"/>
      <c r="AR3020" s="269"/>
    </row>
    <row r="3021">
      <c r="A3021" s="410"/>
      <c r="B3021" s="410"/>
      <c r="C3021" s="410"/>
      <c r="D3021" s="410"/>
      <c r="E3021" s="410"/>
      <c r="F3021" s="410"/>
      <c r="H3021" s="269"/>
      <c r="I3021" s="269"/>
      <c r="J3021" s="269"/>
      <c r="K3021" s="269"/>
      <c r="L3021" s="269"/>
      <c r="M3021" s="269"/>
      <c r="N3021" s="269"/>
      <c r="O3021" s="269"/>
      <c r="P3021" s="269"/>
      <c r="Q3021" s="269"/>
      <c r="R3021" s="269"/>
      <c r="S3021" s="269"/>
      <c r="T3021" s="269"/>
      <c r="U3021" s="269"/>
      <c r="V3021" s="269"/>
      <c r="W3021" s="269"/>
      <c r="X3021" s="269"/>
      <c r="Y3021" s="269"/>
      <c r="Z3021" s="269"/>
      <c r="AA3021" s="269"/>
      <c r="AB3021" s="269"/>
      <c r="AC3021" s="269"/>
      <c r="AD3021" s="269"/>
      <c r="AE3021" s="269"/>
      <c r="AF3021" s="269"/>
      <c r="AG3021" s="269"/>
      <c r="AH3021" s="269"/>
      <c r="AI3021" s="269"/>
      <c r="AJ3021" s="269"/>
      <c r="AK3021" s="269"/>
      <c r="AL3021" s="269"/>
      <c r="AM3021" s="269"/>
      <c r="AN3021" s="269"/>
      <c r="AO3021" s="269"/>
      <c r="AP3021" s="269"/>
      <c r="AQ3021" s="269"/>
      <c r="AR3021" s="269"/>
    </row>
    <row r="3022">
      <c r="A3022" s="410"/>
      <c r="B3022" s="410"/>
      <c r="C3022" s="410"/>
      <c r="D3022" s="410"/>
      <c r="E3022" s="410"/>
      <c r="F3022" s="410"/>
      <c r="H3022" s="269"/>
      <c r="I3022" s="269"/>
      <c r="J3022" s="269"/>
      <c r="K3022" s="269"/>
      <c r="L3022" s="269"/>
      <c r="M3022" s="269"/>
      <c r="N3022" s="269"/>
      <c r="O3022" s="269"/>
      <c r="P3022" s="269"/>
      <c r="Q3022" s="269"/>
      <c r="R3022" s="269"/>
      <c r="S3022" s="269"/>
      <c r="T3022" s="269"/>
      <c r="U3022" s="269"/>
      <c r="V3022" s="269"/>
      <c r="W3022" s="269"/>
      <c r="X3022" s="269"/>
      <c r="Y3022" s="269"/>
      <c r="Z3022" s="269"/>
      <c r="AA3022" s="269"/>
      <c r="AB3022" s="269"/>
      <c r="AC3022" s="269"/>
      <c r="AD3022" s="269"/>
      <c r="AE3022" s="269"/>
      <c r="AF3022" s="269"/>
      <c r="AG3022" s="269"/>
      <c r="AH3022" s="269"/>
      <c r="AI3022" s="269"/>
      <c r="AJ3022" s="269"/>
      <c r="AK3022" s="269"/>
      <c r="AL3022" s="269"/>
      <c r="AM3022" s="269"/>
      <c r="AN3022" s="269"/>
      <c r="AO3022" s="269"/>
      <c r="AP3022" s="269"/>
      <c r="AQ3022" s="269"/>
      <c r="AR3022" s="269"/>
    </row>
    <row r="3023">
      <c r="A3023" s="410"/>
      <c r="B3023" s="410"/>
      <c r="C3023" s="410"/>
      <c r="D3023" s="410"/>
      <c r="E3023" s="410"/>
      <c r="F3023" s="410"/>
      <c r="H3023" s="269"/>
      <c r="I3023" s="269"/>
      <c r="J3023" s="269"/>
      <c r="K3023" s="269"/>
      <c r="L3023" s="269"/>
      <c r="M3023" s="269"/>
      <c r="N3023" s="269"/>
      <c r="O3023" s="269"/>
      <c r="P3023" s="269"/>
      <c r="Q3023" s="269"/>
      <c r="R3023" s="269"/>
      <c r="S3023" s="269"/>
      <c r="T3023" s="269"/>
      <c r="U3023" s="269"/>
      <c r="V3023" s="269"/>
      <c r="W3023" s="269"/>
      <c r="X3023" s="269"/>
      <c r="Y3023" s="269"/>
      <c r="Z3023" s="269"/>
      <c r="AA3023" s="269"/>
      <c r="AB3023" s="269"/>
      <c r="AC3023" s="269"/>
      <c r="AD3023" s="269"/>
      <c r="AE3023" s="269"/>
      <c r="AF3023" s="269"/>
      <c r="AG3023" s="269"/>
      <c r="AH3023" s="269"/>
      <c r="AI3023" s="269"/>
      <c r="AJ3023" s="269"/>
      <c r="AK3023" s="269"/>
      <c r="AL3023" s="269"/>
      <c r="AM3023" s="269"/>
      <c r="AN3023" s="269"/>
      <c r="AO3023" s="269"/>
      <c r="AP3023" s="269"/>
      <c r="AQ3023" s="269"/>
      <c r="AR3023" s="269"/>
    </row>
    <row r="3024">
      <c r="A3024" s="410"/>
      <c r="B3024" s="410"/>
      <c r="C3024" s="410"/>
      <c r="D3024" s="410"/>
      <c r="E3024" s="410"/>
      <c r="F3024" s="410"/>
      <c r="H3024" s="269"/>
      <c r="I3024" s="269"/>
      <c r="J3024" s="269"/>
      <c r="K3024" s="269"/>
      <c r="L3024" s="269"/>
      <c r="M3024" s="269"/>
      <c r="N3024" s="269"/>
      <c r="O3024" s="269"/>
      <c r="P3024" s="269"/>
      <c r="Q3024" s="269"/>
      <c r="R3024" s="269"/>
      <c r="S3024" s="269"/>
      <c r="T3024" s="269"/>
      <c r="U3024" s="269"/>
      <c r="V3024" s="269"/>
      <c r="W3024" s="269"/>
      <c r="X3024" s="269"/>
      <c r="Y3024" s="269"/>
      <c r="Z3024" s="269"/>
      <c r="AA3024" s="269"/>
      <c r="AB3024" s="269"/>
      <c r="AC3024" s="269"/>
      <c r="AD3024" s="269"/>
      <c r="AE3024" s="269"/>
      <c r="AF3024" s="269"/>
      <c r="AG3024" s="269"/>
      <c r="AH3024" s="269"/>
      <c r="AI3024" s="269"/>
      <c r="AJ3024" s="269"/>
      <c r="AK3024" s="269"/>
      <c r="AL3024" s="269"/>
      <c r="AM3024" s="269"/>
      <c r="AN3024" s="269"/>
      <c r="AO3024" s="269"/>
      <c r="AP3024" s="269"/>
      <c r="AQ3024" s="269"/>
      <c r="AR3024" s="269"/>
    </row>
    <row r="3025">
      <c r="A3025" s="410"/>
      <c r="B3025" s="410"/>
      <c r="C3025" s="410"/>
      <c r="D3025" s="410"/>
      <c r="E3025" s="410"/>
      <c r="F3025" s="410"/>
      <c r="H3025" s="269"/>
      <c r="I3025" s="269"/>
      <c r="J3025" s="269"/>
      <c r="K3025" s="269"/>
      <c r="L3025" s="269"/>
      <c r="M3025" s="269"/>
      <c r="N3025" s="269"/>
      <c r="O3025" s="269"/>
      <c r="P3025" s="269"/>
      <c r="Q3025" s="269"/>
      <c r="R3025" s="269"/>
      <c r="S3025" s="269"/>
      <c r="T3025" s="269"/>
      <c r="U3025" s="269"/>
      <c r="V3025" s="269"/>
      <c r="W3025" s="269"/>
      <c r="X3025" s="269"/>
      <c r="Y3025" s="269"/>
      <c r="Z3025" s="269"/>
      <c r="AA3025" s="269"/>
      <c r="AB3025" s="269"/>
      <c r="AC3025" s="269"/>
      <c r="AD3025" s="269"/>
      <c r="AE3025" s="269"/>
      <c r="AF3025" s="269"/>
      <c r="AG3025" s="269"/>
      <c r="AH3025" s="269"/>
      <c r="AI3025" s="269"/>
      <c r="AJ3025" s="269"/>
      <c r="AK3025" s="269"/>
      <c r="AL3025" s="269"/>
      <c r="AM3025" s="269"/>
      <c r="AN3025" s="269"/>
      <c r="AO3025" s="269"/>
      <c r="AP3025" s="269"/>
      <c r="AQ3025" s="269"/>
      <c r="AR3025" s="269"/>
    </row>
    <row r="3026">
      <c r="A3026" s="410"/>
      <c r="B3026" s="410"/>
      <c r="C3026" s="410"/>
      <c r="D3026" s="410"/>
      <c r="E3026" s="410"/>
      <c r="F3026" s="410"/>
      <c r="H3026" s="269"/>
      <c r="I3026" s="269"/>
      <c r="J3026" s="269"/>
      <c r="K3026" s="269"/>
      <c r="L3026" s="269"/>
      <c r="M3026" s="269"/>
      <c r="N3026" s="269"/>
      <c r="O3026" s="269"/>
      <c r="P3026" s="269"/>
      <c r="Q3026" s="269"/>
      <c r="R3026" s="269"/>
      <c r="S3026" s="269"/>
      <c r="T3026" s="269"/>
      <c r="U3026" s="269"/>
      <c r="V3026" s="269"/>
      <c r="W3026" s="269"/>
      <c r="X3026" s="269"/>
      <c r="Y3026" s="269"/>
      <c r="Z3026" s="269"/>
      <c r="AA3026" s="269"/>
      <c r="AB3026" s="269"/>
      <c r="AC3026" s="269"/>
      <c r="AD3026" s="269"/>
      <c r="AE3026" s="269"/>
      <c r="AF3026" s="269"/>
      <c r="AG3026" s="269"/>
      <c r="AH3026" s="269"/>
      <c r="AI3026" s="269"/>
      <c r="AJ3026" s="269"/>
      <c r="AK3026" s="269"/>
      <c r="AL3026" s="269"/>
      <c r="AM3026" s="269"/>
      <c r="AN3026" s="269"/>
      <c r="AO3026" s="269"/>
      <c r="AP3026" s="269"/>
      <c r="AQ3026" s="269"/>
      <c r="AR3026" s="269"/>
    </row>
    <row r="3027">
      <c r="A3027" s="410"/>
      <c r="B3027" s="410"/>
      <c r="C3027" s="410"/>
      <c r="D3027" s="410"/>
      <c r="E3027" s="410"/>
      <c r="F3027" s="410"/>
      <c r="H3027" s="269"/>
      <c r="I3027" s="269"/>
      <c r="J3027" s="269"/>
      <c r="K3027" s="269"/>
      <c r="L3027" s="269"/>
      <c r="M3027" s="269"/>
      <c r="N3027" s="269"/>
      <c r="O3027" s="269"/>
      <c r="P3027" s="269"/>
      <c r="Q3027" s="269"/>
      <c r="R3027" s="269"/>
      <c r="S3027" s="269"/>
      <c r="T3027" s="269"/>
      <c r="U3027" s="269"/>
      <c r="V3027" s="269"/>
      <c r="W3027" s="269"/>
      <c r="X3027" s="269"/>
      <c r="Y3027" s="269"/>
      <c r="Z3027" s="269"/>
      <c r="AA3027" s="269"/>
      <c r="AB3027" s="269"/>
      <c r="AC3027" s="269"/>
      <c r="AD3027" s="269"/>
      <c r="AE3027" s="269"/>
      <c r="AF3027" s="269"/>
      <c r="AG3027" s="269"/>
      <c r="AH3027" s="269"/>
      <c r="AI3027" s="269"/>
      <c r="AJ3027" s="269"/>
      <c r="AK3027" s="269"/>
      <c r="AL3027" s="269"/>
      <c r="AM3027" s="269"/>
      <c r="AN3027" s="269"/>
      <c r="AO3027" s="269"/>
      <c r="AP3027" s="269"/>
      <c r="AQ3027" s="269"/>
      <c r="AR3027" s="269"/>
    </row>
    <row r="3028">
      <c r="A3028" s="410"/>
      <c r="B3028" s="410"/>
      <c r="C3028" s="410"/>
      <c r="D3028" s="410"/>
      <c r="E3028" s="410"/>
      <c r="F3028" s="410"/>
      <c r="H3028" s="269"/>
      <c r="I3028" s="269"/>
      <c r="J3028" s="269"/>
      <c r="K3028" s="269"/>
      <c r="L3028" s="269"/>
      <c r="M3028" s="269"/>
      <c r="N3028" s="269"/>
      <c r="O3028" s="269"/>
      <c r="P3028" s="269"/>
      <c r="Q3028" s="269"/>
      <c r="R3028" s="269"/>
      <c r="S3028" s="269"/>
      <c r="T3028" s="269"/>
      <c r="U3028" s="269"/>
      <c r="V3028" s="269"/>
      <c r="W3028" s="269"/>
      <c r="X3028" s="269"/>
      <c r="Y3028" s="269"/>
      <c r="Z3028" s="269"/>
      <c r="AA3028" s="269"/>
      <c r="AB3028" s="269"/>
      <c r="AC3028" s="269"/>
      <c r="AD3028" s="269"/>
      <c r="AE3028" s="269"/>
      <c r="AF3028" s="269"/>
      <c r="AG3028" s="269"/>
      <c r="AH3028" s="269"/>
      <c r="AI3028" s="269"/>
      <c r="AJ3028" s="269"/>
      <c r="AK3028" s="269"/>
      <c r="AL3028" s="269"/>
      <c r="AM3028" s="269"/>
      <c r="AN3028" s="269"/>
      <c r="AO3028" s="269"/>
      <c r="AP3028" s="269"/>
      <c r="AQ3028" s="269"/>
      <c r="AR3028" s="269"/>
    </row>
    <row r="3029">
      <c r="A3029" s="410"/>
      <c r="B3029" s="410"/>
      <c r="C3029" s="410"/>
      <c r="D3029" s="410"/>
      <c r="E3029" s="410"/>
      <c r="F3029" s="410"/>
      <c r="H3029" s="269"/>
      <c r="I3029" s="269"/>
      <c r="J3029" s="269"/>
      <c r="K3029" s="269"/>
      <c r="L3029" s="269"/>
      <c r="M3029" s="269"/>
      <c r="N3029" s="269"/>
      <c r="O3029" s="269"/>
      <c r="P3029" s="269"/>
      <c r="Q3029" s="269"/>
      <c r="R3029" s="269"/>
      <c r="S3029" s="269"/>
      <c r="T3029" s="269"/>
      <c r="U3029" s="269"/>
      <c r="V3029" s="269"/>
      <c r="W3029" s="269"/>
      <c r="X3029" s="269"/>
      <c r="Y3029" s="269"/>
      <c r="Z3029" s="269"/>
      <c r="AA3029" s="269"/>
      <c r="AB3029" s="269"/>
      <c r="AC3029" s="269"/>
      <c r="AD3029" s="269"/>
      <c r="AE3029" s="269"/>
      <c r="AF3029" s="269"/>
      <c r="AG3029" s="269"/>
      <c r="AH3029" s="269"/>
      <c r="AI3029" s="269"/>
      <c r="AJ3029" s="269"/>
      <c r="AK3029" s="269"/>
      <c r="AL3029" s="269"/>
      <c r="AM3029" s="269"/>
      <c r="AN3029" s="269"/>
      <c r="AO3029" s="269"/>
      <c r="AP3029" s="269"/>
      <c r="AQ3029" s="269"/>
      <c r="AR3029" s="269"/>
    </row>
    <row r="3030">
      <c r="A3030" s="410"/>
      <c r="B3030" s="410"/>
      <c r="C3030" s="410"/>
      <c r="D3030" s="410"/>
      <c r="E3030" s="410"/>
      <c r="F3030" s="410"/>
      <c r="H3030" s="269"/>
      <c r="I3030" s="269"/>
      <c r="J3030" s="269"/>
      <c r="K3030" s="269"/>
      <c r="L3030" s="269"/>
      <c r="M3030" s="269"/>
      <c r="N3030" s="269"/>
      <c r="O3030" s="269"/>
      <c r="P3030" s="269"/>
      <c r="Q3030" s="269"/>
      <c r="R3030" s="269"/>
      <c r="S3030" s="269"/>
      <c r="T3030" s="269"/>
      <c r="U3030" s="269"/>
      <c r="V3030" s="269"/>
      <c r="W3030" s="269"/>
      <c r="X3030" s="269"/>
      <c r="Y3030" s="269"/>
      <c r="Z3030" s="269"/>
      <c r="AA3030" s="269"/>
      <c r="AB3030" s="269"/>
      <c r="AC3030" s="269"/>
      <c r="AD3030" s="269"/>
      <c r="AE3030" s="269"/>
      <c r="AF3030" s="269"/>
      <c r="AG3030" s="269"/>
      <c r="AH3030" s="269"/>
      <c r="AI3030" s="269"/>
      <c r="AJ3030" s="269"/>
      <c r="AK3030" s="269"/>
      <c r="AL3030" s="269"/>
      <c r="AM3030" s="269"/>
      <c r="AN3030" s="269"/>
      <c r="AO3030" s="269"/>
      <c r="AP3030" s="269"/>
      <c r="AQ3030" s="269"/>
      <c r="AR3030" s="269"/>
    </row>
    <row r="3031">
      <c r="A3031" s="410"/>
      <c r="B3031" s="410"/>
      <c r="C3031" s="410"/>
      <c r="D3031" s="410"/>
      <c r="E3031" s="410"/>
      <c r="F3031" s="410"/>
      <c r="H3031" s="269"/>
      <c r="I3031" s="269"/>
      <c r="J3031" s="269"/>
      <c r="K3031" s="269"/>
      <c r="L3031" s="269"/>
      <c r="M3031" s="269"/>
      <c r="N3031" s="269"/>
      <c r="O3031" s="269"/>
      <c r="P3031" s="269"/>
      <c r="Q3031" s="269"/>
      <c r="R3031" s="269"/>
      <c r="S3031" s="269"/>
      <c r="T3031" s="269"/>
      <c r="U3031" s="269"/>
      <c r="V3031" s="269"/>
      <c r="W3031" s="269"/>
      <c r="X3031" s="269"/>
      <c r="Y3031" s="269"/>
      <c r="Z3031" s="269"/>
      <c r="AA3031" s="269"/>
      <c r="AB3031" s="269"/>
      <c r="AC3031" s="269"/>
      <c r="AD3031" s="269"/>
      <c r="AE3031" s="269"/>
      <c r="AF3031" s="269"/>
      <c r="AG3031" s="269"/>
      <c r="AH3031" s="269"/>
      <c r="AI3031" s="269"/>
      <c r="AJ3031" s="269"/>
      <c r="AK3031" s="269"/>
      <c r="AL3031" s="269"/>
      <c r="AM3031" s="269"/>
      <c r="AN3031" s="269"/>
      <c r="AO3031" s="269"/>
      <c r="AP3031" s="269"/>
      <c r="AQ3031" s="269"/>
      <c r="AR3031" s="269"/>
    </row>
    <row r="3032">
      <c r="A3032" s="410"/>
      <c r="B3032" s="410"/>
      <c r="C3032" s="410"/>
      <c r="D3032" s="410"/>
      <c r="E3032" s="410"/>
      <c r="F3032" s="410"/>
      <c r="H3032" s="269"/>
      <c r="I3032" s="269"/>
      <c r="J3032" s="269"/>
      <c r="K3032" s="269"/>
      <c r="L3032" s="269"/>
      <c r="M3032" s="269"/>
      <c r="N3032" s="269"/>
      <c r="O3032" s="269"/>
      <c r="P3032" s="269"/>
      <c r="Q3032" s="269"/>
      <c r="R3032" s="269"/>
      <c r="S3032" s="269"/>
      <c r="T3032" s="269"/>
      <c r="U3032" s="269"/>
      <c r="V3032" s="269"/>
      <c r="W3032" s="269"/>
      <c r="X3032" s="269"/>
      <c r="Y3032" s="269"/>
      <c r="Z3032" s="269"/>
      <c r="AA3032" s="269"/>
      <c r="AB3032" s="269"/>
      <c r="AC3032" s="269"/>
      <c r="AD3032" s="269"/>
      <c r="AE3032" s="269"/>
      <c r="AF3032" s="269"/>
      <c r="AG3032" s="269"/>
      <c r="AH3032" s="269"/>
      <c r="AI3032" s="269"/>
      <c r="AJ3032" s="269"/>
      <c r="AK3032" s="269"/>
      <c r="AL3032" s="269"/>
      <c r="AM3032" s="269"/>
      <c r="AN3032" s="269"/>
      <c r="AO3032" s="269"/>
      <c r="AP3032" s="269"/>
      <c r="AQ3032" s="269"/>
      <c r="AR3032" s="269"/>
    </row>
    <row r="3033">
      <c r="A3033" s="410"/>
      <c r="B3033" s="410"/>
      <c r="C3033" s="410"/>
      <c r="D3033" s="410"/>
      <c r="E3033" s="410"/>
      <c r="F3033" s="410"/>
      <c r="H3033" s="269"/>
      <c r="I3033" s="269"/>
      <c r="J3033" s="269"/>
      <c r="K3033" s="269"/>
      <c r="L3033" s="269"/>
      <c r="M3033" s="269"/>
      <c r="N3033" s="269"/>
      <c r="O3033" s="269"/>
      <c r="P3033" s="269"/>
      <c r="Q3033" s="269"/>
      <c r="R3033" s="269"/>
      <c r="S3033" s="269"/>
      <c r="T3033" s="269"/>
      <c r="U3033" s="269"/>
      <c r="V3033" s="269"/>
      <c r="W3033" s="269"/>
      <c r="X3033" s="269"/>
      <c r="Y3033" s="269"/>
      <c r="Z3033" s="269"/>
      <c r="AA3033" s="269"/>
      <c r="AB3033" s="269"/>
      <c r="AC3033" s="269"/>
      <c r="AD3033" s="269"/>
      <c r="AE3033" s="269"/>
      <c r="AF3033" s="269"/>
      <c r="AG3033" s="269"/>
      <c r="AH3033" s="269"/>
      <c r="AI3033" s="269"/>
      <c r="AJ3033" s="269"/>
      <c r="AK3033" s="269"/>
      <c r="AL3033" s="269"/>
      <c r="AM3033" s="269"/>
      <c r="AN3033" s="269"/>
      <c r="AO3033" s="269"/>
      <c r="AP3033" s="269"/>
      <c r="AQ3033" s="269"/>
      <c r="AR3033" s="269"/>
    </row>
    <row r="3034">
      <c r="A3034" s="410"/>
      <c r="B3034" s="410"/>
      <c r="C3034" s="410"/>
      <c r="D3034" s="410"/>
      <c r="E3034" s="410"/>
      <c r="F3034" s="410"/>
      <c r="H3034" s="269"/>
      <c r="I3034" s="269"/>
      <c r="J3034" s="269"/>
      <c r="K3034" s="269"/>
      <c r="L3034" s="269"/>
      <c r="M3034" s="269"/>
      <c r="N3034" s="269"/>
      <c r="O3034" s="269"/>
      <c r="P3034" s="269"/>
      <c r="Q3034" s="269"/>
      <c r="R3034" s="269"/>
      <c r="S3034" s="269"/>
      <c r="T3034" s="269"/>
      <c r="U3034" s="269"/>
      <c r="V3034" s="269"/>
      <c r="W3034" s="269"/>
      <c r="X3034" s="269"/>
      <c r="Y3034" s="269"/>
      <c r="Z3034" s="269"/>
      <c r="AA3034" s="269"/>
      <c r="AB3034" s="269"/>
      <c r="AC3034" s="269"/>
      <c r="AD3034" s="269"/>
      <c r="AE3034" s="269"/>
      <c r="AF3034" s="269"/>
      <c r="AG3034" s="269"/>
      <c r="AH3034" s="269"/>
      <c r="AI3034" s="269"/>
      <c r="AJ3034" s="269"/>
      <c r="AK3034" s="269"/>
      <c r="AL3034" s="269"/>
      <c r="AM3034" s="269"/>
      <c r="AN3034" s="269"/>
      <c r="AO3034" s="269"/>
      <c r="AP3034" s="269"/>
      <c r="AQ3034" s="269"/>
      <c r="AR3034" s="269"/>
    </row>
    <row r="3035">
      <c r="A3035" s="410"/>
      <c r="B3035" s="410"/>
      <c r="C3035" s="410"/>
      <c r="D3035" s="410"/>
      <c r="E3035" s="410"/>
      <c r="F3035" s="410"/>
      <c r="H3035" s="269"/>
      <c r="I3035" s="269"/>
      <c r="J3035" s="269"/>
      <c r="K3035" s="269"/>
      <c r="L3035" s="269"/>
      <c r="M3035" s="269"/>
      <c r="N3035" s="269"/>
      <c r="O3035" s="269"/>
      <c r="P3035" s="269"/>
      <c r="Q3035" s="269"/>
      <c r="R3035" s="269"/>
      <c r="S3035" s="269"/>
      <c r="T3035" s="269"/>
      <c r="U3035" s="269"/>
      <c r="V3035" s="269"/>
      <c r="W3035" s="269"/>
      <c r="X3035" s="269"/>
      <c r="Y3035" s="269"/>
      <c r="Z3035" s="269"/>
      <c r="AA3035" s="269"/>
      <c r="AB3035" s="269"/>
      <c r="AC3035" s="269"/>
      <c r="AD3035" s="269"/>
      <c r="AE3035" s="269"/>
      <c r="AF3035" s="269"/>
      <c r="AG3035" s="269"/>
      <c r="AH3035" s="269"/>
      <c r="AI3035" s="269"/>
      <c r="AJ3035" s="269"/>
      <c r="AK3035" s="269"/>
      <c r="AL3035" s="269"/>
      <c r="AM3035" s="269"/>
      <c r="AN3035" s="269"/>
      <c r="AO3035" s="269"/>
      <c r="AP3035" s="269"/>
      <c r="AQ3035" s="269"/>
      <c r="AR3035" s="269"/>
    </row>
    <row r="3036">
      <c r="A3036" s="410"/>
      <c r="B3036" s="410"/>
      <c r="C3036" s="410"/>
      <c r="D3036" s="410"/>
      <c r="E3036" s="410"/>
      <c r="F3036" s="410"/>
      <c r="H3036" s="269"/>
      <c r="I3036" s="269"/>
      <c r="J3036" s="269"/>
      <c r="K3036" s="269"/>
      <c r="L3036" s="269"/>
      <c r="M3036" s="269"/>
      <c r="N3036" s="269"/>
      <c r="O3036" s="269"/>
      <c r="P3036" s="269"/>
      <c r="Q3036" s="269"/>
      <c r="R3036" s="269"/>
      <c r="S3036" s="269"/>
      <c r="T3036" s="269"/>
      <c r="U3036" s="269"/>
      <c r="V3036" s="269"/>
      <c r="W3036" s="269"/>
      <c r="X3036" s="269"/>
      <c r="Y3036" s="269"/>
      <c r="Z3036" s="269"/>
      <c r="AA3036" s="269"/>
      <c r="AB3036" s="269"/>
      <c r="AC3036" s="269"/>
      <c r="AD3036" s="269"/>
      <c r="AE3036" s="269"/>
      <c r="AF3036" s="269"/>
      <c r="AG3036" s="269"/>
      <c r="AH3036" s="269"/>
      <c r="AI3036" s="269"/>
      <c r="AJ3036" s="269"/>
      <c r="AK3036" s="269"/>
      <c r="AL3036" s="269"/>
      <c r="AM3036" s="269"/>
      <c r="AN3036" s="269"/>
      <c r="AO3036" s="269"/>
      <c r="AP3036" s="269"/>
      <c r="AQ3036" s="269"/>
      <c r="AR3036" s="269"/>
    </row>
    <row r="3037">
      <c r="A3037" s="410"/>
      <c r="B3037" s="410"/>
      <c r="C3037" s="410"/>
      <c r="D3037" s="410"/>
      <c r="E3037" s="410"/>
      <c r="F3037" s="410"/>
      <c r="H3037" s="269"/>
      <c r="I3037" s="269"/>
      <c r="J3037" s="269"/>
      <c r="K3037" s="269"/>
      <c r="L3037" s="269"/>
      <c r="M3037" s="269"/>
      <c r="N3037" s="269"/>
      <c r="O3037" s="269"/>
      <c r="P3037" s="269"/>
      <c r="Q3037" s="269"/>
      <c r="R3037" s="269"/>
      <c r="S3037" s="269"/>
      <c r="T3037" s="269"/>
      <c r="U3037" s="269"/>
      <c r="V3037" s="269"/>
      <c r="W3037" s="269"/>
      <c r="X3037" s="269"/>
      <c r="Y3037" s="269"/>
      <c r="Z3037" s="269"/>
      <c r="AA3037" s="269"/>
      <c r="AB3037" s="269"/>
      <c r="AC3037" s="269"/>
      <c r="AD3037" s="269"/>
      <c r="AE3037" s="269"/>
      <c r="AF3037" s="269"/>
      <c r="AG3037" s="269"/>
      <c r="AH3037" s="269"/>
      <c r="AI3037" s="269"/>
      <c r="AJ3037" s="269"/>
      <c r="AK3037" s="269"/>
      <c r="AL3037" s="269"/>
      <c r="AM3037" s="269"/>
      <c r="AN3037" s="269"/>
      <c r="AO3037" s="269"/>
      <c r="AP3037" s="269"/>
      <c r="AQ3037" s="269"/>
      <c r="AR3037" s="269"/>
    </row>
    <row r="3038">
      <c r="A3038" s="410"/>
      <c r="B3038" s="410"/>
      <c r="C3038" s="410"/>
      <c r="D3038" s="410"/>
      <c r="E3038" s="410"/>
      <c r="F3038" s="410"/>
      <c r="H3038" s="269"/>
      <c r="I3038" s="269"/>
      <c r="J3038" s="269"/>
      <c r="K3038" s="269"/>
      <c r="L3038" s="269"/>
      <c r="M3038" s="269"/>
      <c r="N3038" s="269"/>
      <c r="O3038" s="269"/>
      <c r="P3038" s="269"/>
      <c r="Q3038" s="269"/>
      <c r="R3038" s="269"/>
      <c r="S3038" s="269"/>
      <c r="T3038" s="269"/>
      <c r="U3038" s="269"/>
      <c r="V3038" s="269"/>
      <c r="W3038" s="269"/>
      <c r="X3038" s="269"/>
      <c r="Y3038" s="269"/>
      <c r="Z3038" s="269"/>
      <c r="AA3038" s="269"/>
      <c r="AB3038" s="269"/>
      <c r="AC3038" s="269"/>
      <c r="AD3038" s="269"/>
      <c r="AE3038" s="269"/>
      <c r="AF3038" s="269"/>
      <c r="AG3038" s="269"/>
      <c r="AH3038" s="269"/>
      <c r="AI3038" s="269"/>
      <c r="AJ3038" s="269"/>
      <c r="AK3038" s="269"/>
      <c r="AL3038" s="269"/>
      <c r="AM3038" s="269"/>
      <c r="AN3038" s="269"/>
      <c r="AO3038" s="269"/>
      <c r="AP3038" s="269"/>
      <c r="AQ3038" s="269"/>
      <c r="AR3038" s="269"/>
    </row>
    <row r="3039">
      <c r="A3039" s="410"/>
      <c r="B3039" s="410"/>
      <c r="C3039" s="410"/>
      <c r="D3039" s="410"/>
      <c r="E3039" s="410"/>
      <c r="F3039" s="410"/>
      <c r="H3039" s="269"/>
      <c r="I3039" s="269"/>
      <c r="J3039" s="269"/>
      <c r="K3039" s="269"/>
      <c r="L3039" s="269"/>
      <c r="M3039" s="269"/>
      <c r="N3039" s="269"/>
      <c r="O3039" s="269"/>
      <c r="P3039" s="269"/>
      <c r="Q3039" s="269"/>
      <c r="R3039" s="269"/>
      <c r="S3039" s="269"/>
      <c r="T3039" s="269"/>
      <c r="U3039" s="269"/>
      <c r="V3039" s="269"/>
      <c r="W3039" s="269"/>
      <c r="X3039" s="269"/>
      <c r="Y3039" s="269"/>
      <c r="Z3039" s="269"/>
      <c r="AA3039" s="269"/>
      <c r="AB3039" s="269"/>
      <c r="AC3039" s="269"/>
      <c r="AD3039" s="269"/>
      <c r="AE3039" s="269"/>
      <c r="AF3039" s="269"/>
      <c r="AG3039" s="269"/>
      <c r="AH3039" s="269"/>
      <c r="AI3039" s="269"/>
      <c r="AJ3039" s="269"/>
      <c r="AK3039" s="269"/>
      <c r="AL3039" s="269"/>
      <c r="AM3039" s="269"/>
      <c r="AN3039" s="269"/>
      <c r="AO3039" s="269"/>
      <c r="AP3039" s="269"/>
      <c r="AQ3039" s="269"/>
      <c r="AR3039" s="269"/>
    </row>
    <row r="3040">
      <c r="A3040" s="410"/>
      <c r="B3040" s="410"/>
      <c r="C3040" s="410"/>
      <c r="D3040" s="410"/>
      <c r="E3040" s="410"/>
      <c r="F3040" s="410"/>
      <c r="H3040" s="269"/>
      <c r="I3040" s="269"/>
      <c r="J3040" s="269"/>
      <c r="K3040" s="269"/>
      <c r="L3040" s="269"/>
      <c r="M3040" s="269"/>
      <c r="N3040" s="269"/>
      <c r="O3040" s="269"/>
      <c r="P3040" s="269"/>
      <c r="Q3040" s="269"/>
      <c r="R3040" s="269"/>
      <c r="S3040" s="269"/>
      <c r="T3040" s="269"/>
      <c r="U3040" s="269"/>
      <c r="V3040" s="269"/>
      <c r="W3040" s="269"/>
      <c r="X3040" s="269"/>
      <c r="Y3040" s="269"/>
      <c r="Z3040" s="269"/>
      <c r="AA3040" s="269"/>
      <c r="AB3040" s="269"/>
      <c r="AC3040" s="269"/>
      <c r="AD3040" s="269"/>
      <c r="AE3040" s="269"/>
      <c r="AF3040" s="269"/>
      <c r="AG3040" s="269"/>
      <c r="AH3040" s="269"/>
      <c r="AI3040" s="269"/>
      <c r="AJ3040" s="269"/>
      <c r="AK3040" s="269"/>
      <c r="AL3040" s="269"/>
      <c r="AM3040" s="269"/>
      <c r="AN3040" s="269"/>
      <c r="AO3040" s="269"/>
      <c r="AP3040" s="269"/>
      <c r="AQ3040" s="269"/>
      <c r="AR3040" s="269"/>
    </row>
    <row r="3041">
      <c r="A3041" s="410"/>
      <c r="B3041" s="410"/>
      <c r="C3041" s="410"/>
      <c r="D3041" s="410"/>
      <c r="E3041" s="410"/>
      <c r="F3041" s="410"/>
      <c r="H3041" s="269"/>
      <c r="I3041" s="269"/>
      <c r="J3041" s="269"/>
      <c r="K3041" s="269"/>
      <c r="L3041" s="269"/>
      <c r="M3041" s="269"/>
      <c r="N3041" s="269"/>
      <c r="O3041" s="269"/>
      <c r="P3041" s="269"/>
      <c r="Q3041" s="269"/>
      <c r="R3041" s="269"/>
      <c r="S3041" s="269"/>
      <c r="T3041" s="269"/>
      <c r="U3041" s="269"/>
      <c r="V3041" s="269"/>
      <c r="W3041" s="269"/>
      <c r="X3041" s="269"/>
      <c r="Y3041" s="269"/>
      <c r="Z3041" s="269"/>
      <c r="AA3041" s="269"/>
      <c r="AB3041" s="269"/>
      <c r="AC3041" s="269"/>
      <c r="AD3041" s="269"/>
      <c r="AE3041" s="269"/>
      <c r="AF3041" s="269"/>
      <c r="AG3041" s="269"/>
      <c r="AH3041" s="269"/>
      <c r="AI3041" s="269"/>
      <c r="AJ3041" s="269"/>
      <c r="AK3041" s="269"/>
      <c r="AL3041" s="269"/>
      <c r="AM3041" s="269"/>
      <c r="AN3041" s="269"/>
      <c r="AO3041" s="269"/>
      <c r="AP3041" s="269"/>
      <c r="AQ3041" s="269"/>
      <c r="AR3041" s="269"/>
    </row>
    <row r="3042">
      <c r="A3042" s="410"/>
      <c r="B3042" s="410"/>
      <c r="C3042" s="410"/>
      <c r="D3042" s="410"/>
      <c r="E3042" s="410"/>
      <c r="F3042" s="410"/>
      <c r="H3042" s="269"/>
      <c r="I3042" s="269"/>
      <c r="J3042" s="269"/>
      <c r="K3042" s="269"/>
      <c r="L3042" s="269"/>
      <c r="M3042" s="269"/>
      <c r="N3042" s="269"/>
      <c r="O3042" s="269"/>
      <c r="P3042" s="269"/>
      <c r="Q3042" s="269"/>
      <c r="R3042" s="269"/>
      <c r="S3042" s="269"/>
      <c r="T3042" s="269"/>
      <c r="U3042" s="269"/>
      <c r="V3042" s="269"/>
      <c r="W3042" s="269"/>
      <c r="X3042" s="269"/>
      <c r="Y3042" s="269"/>
      <c r="Z3042" s="269"/>
      <c r="AA3042" s="269"/>
      <c r="AB3042" s="269"/>
      <c r="AC3042" s="269"/>
      <c r="AD3042" s="269"/>
      <c r="AE3042" s="269"/>
      <c r="AF3042" s="269"/>
      <c r="AG3042" s="269"/>
      <c r="AH3042" s="269"/>
      <c r="AI3042" s="269"/>
      <c r="AJ3042" s="269"/>
      <c r="AK3042" s="269"/>
      <c r="AL3042" s="269"/>
      <c r="AM3042" s="269"/>
      <c r="AN3042" s="269"/>
      <c r="AO3042" s="269"/>
      <c r="AP3042" s="269"/>
      <c r="AQ3042" s="269"/>
      <c r="AR3042" s="269"/>
    </row>
    <row r="3043">
      <c r="A3043" s="410"/>
      <c r="B3043" s="410"/>
      <c r="C3043" s="410"/>
      <c r="D3043" s="410"/>
      <c r="E3043" s="410"/>
      <c r="F3043" s="410"/>
      <c r="H3043" s="269"/>
      <c r="I3043" s="269"/>
      <c r="J3043" s="269"/>
      <c r="K3043" s="269"/>
      <c r="L3043" s="269"/>
      <c r="M3043" s="269"/>
      <c r="N3043" s="269"/>
      <c r="O3043" s="269"/>
      <c r="P3043" s="269"/>
      <c r="Q3043" s="269"/>
      <c r="R3043" s="269"/>
      <c r="S3043" s="269"/>
      <c r="T3043" s="269"/>
      <c r="U3043" s="269"/>
      <c r="V3043" s="269"/>
      <c r="W3043" s="269"/>
      <c r="X3043" s="269"/>
      <c r="Y3043" s="269"/>
      <c r="Z3043" s="269"/>
      <c r="AA3043" s="269"/>
      <c r="AB3043" s="269"/>
      <c r="AC3043" s="269"/>
      <c r="AD3043" s="269"/>
      <c r="AE3043" s="269"/>
      <c r="AF3043" s="269"/>
      <c r="AG3043" s="269"/>
      <c r="AH3043" s="269"/>
      <c r="AI3043" s="269"/>
      <c r="AJ3043" s="269"/>
      <c r="AK3043" s="269"/>
      <c r="AL3043" s="269"/>
      <c r="AM3043" s="269"/>
      <c r="AN3043" s="269"/>
      <c r="AO3043" s="269"/>
      <c r="AP3043" s="269"/>
      <c r="AQ3043" s="269"/>
      <c r="AR3043" s="269"/>
    </row>
    <row r="3044">
      <c r="A3044" s="410"/>
      <c r="B3044" s="410"/>
      <c r="C3044" s="410"/>
      <c r="D3044" s="410"/>
      <c r="E3044" s="410"/>
      <c r="F3044" s="410"/>
      <c r="H3044" s="269"/>
      <c r="I3044" s="269"/>
      <c r="J3044" s="269"/>
      <c r="K3044" s="269"/>
      <c r="L3044" s="269"/>
      <c r="M3044" s="269"/>
      <c r="N3044" s="269"/>
      <c r="O3044" s="269"/>
      <c r="P3044" s="269"/>
      <c r="Q3044" s="269"/>
      <c r="R3044" s="269"/>
      <c r="S3044" s="269"/>
      <c r="T3044" s="269"/>
      <c r="U3044" s="269"/>
      <c r="V3044" s="269"/>
      <c r="W3044" s="269"/>
      <c r="X3044" s="269"/>
      <c r="Y3044" s="269"/>
      <c r="Z3044" s="269"/>
      <c r="AA3044" s="269"/>
      <c r="AB3044" s="269"/>
      <c r="AC3044" s="269"/>
      <c r="AD3044" s="269"/>
      <c r="AE3044" s="269"/>
      <c r="AF3044" s="269"/>
      <c r="AG3044" s="269"/>
      <c r="AH3044" s="269"/>
      <c r="AI3044" s="269"/>
      <c r="AJ3044" s="269"/>
      <c r="AK3044" s="269"/>
      <c r="AL3044" s="269"/>
      <c r="AM3044" s="269"/>
      <c r="AN3044" s="269"/>
      <c r="AO3044" s="269"/>
      <c r="AP3044" s="269"/>
      <c r="AQ3044" s="269"/>
      <c r="AR3044" s="269"/>
    </row>
    <row r="3045">
      <c r="A3045" s="410"/>
      <c r="B3045" s="410"/>
      <c r="C3045" s="410"/>
      <c r="D3045" s="410"/>
      <c r="E3045" s="410"/>
      <c r="F3045" s="410"/>
      <c r="H3045" s="269"/>
      <c r="I3045" s="269"/>
      <c r="J3045" s="269"/>
      <c r="K3045" s="269"/>
      <c r="L3045" s="269"/>
      <c r="M3045" s="269"/>
      <c r="N3045" s="269"/>
      <c r="O3045" s="269"/>
      <c r="P3045" s="269"/>
      <c r="Q3045" s="269"/>
      <c r="R3045" s="269"/>
      <c r="S3045" s="269"/>
      <c r="T3045" s="269"/>
      <c r="U3045" s="269"/>
      <c r="V3045" s="269"/>
      <c r="W3045" s="269"/>
      <c r="X3045" s="269"/>
      <c r="Y3045" s="269"/>
      <c r="Z3045" s="269"/>
      <c r="AA3045" s="269"/>
      <c r="AB3045" s="269"/>
      <c r="AC3045" s="269"/>
      <c r="AD3045" s="269"/>
      <c r="AE3045" s="269"/>
      <c r="AF3045" s="269"/>
      <c r="AG3045" s="269"/>
      <c r="AH3045" s="269"/>
      <c r="AI3045" s="269"/>
      <c r="AJ3045" s="269"/>
      <c r="AK3045" s="269"/>
      <c r="AL3045" s="269"/>
      <c r="AM3045" s="269"/>
      <c r="AN3045" s="269"/>
      <c r="AO3045" s="269"/>
      <c r="AP3045" s="269"/>
      <c r="AQ3045" s="269"/>
      <c r="AR3045" s="269"/>
    </row>
    <row r="3046">
      <c r="A3046" s="410"/>
      <c r="B3046" s="410"/>
      <c r="C3046" s="410"/>
      <c r="D3046" s="410"/>
      <c r="E3046" s="410"/>
      <c r="F3046" s="410"/>
      <c r="H3046" s="269"/>
      <c r="I3046" s="269"/>
      <c r="J3046" s="269"/>
      <c r="K3046" s="269"/>
      <c r="L3046" s="269"/>
      <c r="M3046" s="269"/>
      <c r="N3046" s="269"/>
      <c r="O3046" s="269"/>
      <c r="P3046" s="269"/>
      <c r="Q3046" s="269"/>
      <c r="R3046" s="269"/>
      <c r="S3046" s="269"/>
      <c r="T3046" s="269"/>
      <c r="U3046" s="269"/>
      <c r="V3046" s="269"/>
      <c r="W3046" s="269"/>
      <c r="X3046" s="269"/>
      <c r="Y3046" s="269"/>
      <c r="Z3046" s="269"/>
      <c r="AA3046" s="269"/>
      <c r="AB3046" s="269"/>
      <c r="AC3046" s="269"/>
      <c r="AD3046" s="269"/>
      <c r="AE3046" s="269"/>
      <c r="AF3046" s="269"/>
      <c r="AG3046" s="269"/>
      <c r="AH3046" s="269"/>
      <c r="AI3046" s="269"/>
      <c r="AJ3046" s="269"/>
      <c r="AK3046" s="269"/>
      <c r="AL3046" s="269"/>
      <c r="AM3046" s="269"/>
      <c r="AN3046" s="269"/>
      <c r="AO3046" s="269"/>
      <c r="AP3046" s="269"/>
      <c r="AQ3046" s="269"/>
      <c r="AR3046" s="269"/>
    </row>
    <row r="3047">
      <c r="A3047" s="410"/>
      <c r="B3047" s="410"/>
      <c r="C3047" s="410"/>
      <c r="D3047" s="410"/>
      <c r="E3047" s="410"/>
      <c r="F3047" s="410"/>
      <c r="H3047" s="269"/>
      <c r="I3047" s="269"/>
      <c r="J3047" s="269"/>
      <c r="K3047" s="269"/>
      <c r="L3047" s="269"/>
      <c r="M3047" s="269"/>
      <c r="N3047" s="269"/>
      <c r="O3047" s="269"/>
      <c r="P3047" s="269"/>
      <c r="Q3047" s="269"/>
      <c r="R3047" s="269"/>
      <c r="S3047" s="269"/>
      <c r="T3047" s="269"/>
      <c r="U3047" s="269"/>
      <c r="V3047" s="269"/>
      <c r="W3047" s="269"/>
      <c r="X3047" s="269"/>
      <c r="Y3047" s="269"/>
      <c r="Z3047" s="269"/>
      <c r="AA3047" s="269"/>
      <c r="AB3047" s="269"/>
      <c r="AC3047" s="269"/>
      <c r="AD3047" s="269"/>
      <c r="AE3047" s="269"/>
      <c r="AF3047" s="269"/>
      <c r="AG3047" s="269"/>
      <c r="AH3047" s="269"/>
      <c r="AI3047" s="269"/>
      <c r="AJ3047" s="269"/>
      <c r="AK3047" s="269"/>
      <c r="AL3047" s="269"/>
      <c r="AM3047" s="269"/>
      <c r="AN3047" s="269"/>
      <c r="AO3047" s="269"/>
      <c r="AP3047" s="269"/>
      <c r="AQ3047" s="269"/>
      <c r="AR3047" s="269"/>
    </row>
    <row r="3048">
      <c r="A3048" s="410"/>
      <c r="B3048" s="410"/>
      <c r="C3048" s="410"/>
      <c r="D3048" s="410"/>
      <c r="E3048" s="410"/>
      <c r="F3048" s="410"/>
      <c r="H3048" s="269"/>
      <c r="I3048" s="269"/>
      <c r="J3048" s="269"/>
      <c r="K3048" s="269"/>
      <c r="L3048" s="269"/>
      <c r="M3048" s="269"/>
      <c r="N3048" s="269"/>
      <c r="O3048" s="269"/>
      <c r="P3048" s="269"/>
      <c r="Q3048" s="269"/>
      <c r="R3048" s="269"/>
      <c r="S3048" s="269"/>
      <c r="T3048" s="269"/>
      <c r="U3048" s="269"/>
      <c r="V3048" s="269"/>
      <c r="W3048" s="269"/>
      <c r="X3048" s="269"/>
      <c r="Y3048" s="269"/>
      <c r="Z3048" s="269"/>
      <c r="AA3048" s="269"/>
      <c r="AB3048" s="269"/>
      <c r="AC3048" s="269"/>
      <c r="AD3048" s="269"/>
      <c r="AE3048" s="269"/>
      <c r="AF3048" s="269"/>
      <c r="AG3048" s="269"/>
      <c r="AH3048" s="269"/>
      <c r="AI3048" s="269"/>
      <c r="AJ3048" s="269"/>
      <c r="AK3048" s="269"/>
      <c r="AL3048" s="269"/>
      <c r="AM3048" s="269"/>
      <c r="AN3048" s="269"/>
      <c r="AO3048" s="269"/>
      <c r="AP3048" s="269"/>
      <c r="AQ3048" s="269"/>
      <c r="AR3048" s="269"/>
    </row>
    <row r="3049">
      <c r="A3049" s="410"/>
      <c r="B3049" s="410"/>
      <c r="C3049" s="410"/>
      <c r="D3049" s="410"/>
      <c r="E3049" s="410"/>
      <c r="F3049" s="410"/>
      <c r="H3049" s="269"/>
      <c r="I3049" s="269"/>
      <c r="J3049" s="269"/>
      <c r="K3049" s="269"/>
      <c r="L3049" s="269"/>
      <c r="M3049" s="269"/>
      <c r="N3049" s="269"/>
      <c r="O3049" s="269"/>
      <c r="P3049" s="269"/>
      <c r="Q3049" s="269"/>
      <c r="R3049" s="269"/>
      <c r="S3049" s="269"/>
      <c r="T3049" s="269"/>
      <c r="U3049" s="269"/>
      <c r="V3049" s="269"/>
      <c r="W3049" s="269"/>
      <c r="X3049" s="269"/>
      <c r="Y3049" s="269"/>
      <c r="Z3049" s="269"/>
      <c r="AA3049" s="269"/>
      <c r="AB3049" s="269"/>
      <c r="AC3049" s="269"/>
      <c r="AD3049" s="269"/>
      <c r="AE3049" s="269"/>
      <c r="AF3049" s="269"/>
      <c r="AG3049" s="269"/>
      <c r="AH3049" s="269"/>
      <c r="AI3049" s="269"/>
      <c r="AJ3049" s="269"/>
      <c r="AK3049" s="269"/>
      <c r="AL3049" s="269"/>
      <c r="AM3049" s="269"/>
      <c r="AN3049" s="269"/>
      <c r="AO3049" s="269"/>
      <c r="AP3049" s="269"/>
      <c r="AQ3049" s="269"/>
      <c r="AR3049" s="269"/>
    </row>
    <row r="3050">
      <c r="A3050" s="410"/>
      <c r="B3050" s="410"/>
      <c r="C3050" s="410"/>
      <c r="D3050" s="410"/>
      <c r="E3050" s="410"/>
      <c r="F3050" s="410"/>
      <c r="H3050" s="269"/>
      <c r="I3050" s="269"/>
      <c r="J3050" s="269"/>
      <c r="K3050" s="269"/>
      <c r="L3050" s="269"/>
      <c r="M3050" s="269"/>
      <c r="N3050" s="269"/>
      <c r="O3050" s="269"/>
      <c r="P3050" s="269"/>
      <c r="Q3050" s="269"/>
      <c r="R3050" s="269"/>
      <c r="S3050" s="269"/>
      <c r="T3050" s="269"/>
      <c r="U3050" s="269"/>
      <c r="V3050" s="269"/>
      <c r="W3050" s="269"/>
      <c r="X3050" s="269"/>
      <c r="Y3050" s="269"/>
      <c r="Z3050" s="269"/>
      <c r="AA3050" s="269"/>
      <c r="AB3050" s="269"/>
      <c r="AC3050" s="269"/>
      <c r="AD3050" s="269"/>
      <c r="AE3050" s="269"/>
      <c r="AF3050" s="269"/>
      <c r="AG3050" s="269"/>
      <c r="AH3050" s="269"/>
      <c r="AI3050" s="269"/>
      <c r="AJ3050" s="269"/>
      <c r="AK3050" s="269"/>
      <c r="AL3050" s="269"/>
      <c r="AM3050" s="269"/>
      <c r="AN3050" s="269"/>
      <c r="AO3050" s="269"/>
      <c r="AP3050" s="269"/>
      <c r="AQ3050" s="269"/>
      <c r="AR3050" s="269"/>
    </row>
    <row r="3051">
      <c r="A3051" s="410"/>
      <c r="B3051" s="410"/>
      <c r="C3051" s="410"/>
      <c r="D3051" s="410"/>
      <c r="E3051" s="410"/>
      <c r="F3051" s="410"/>
      <c r="H3051" s="269"/>
      <c r="I3051" s="269"/>
      <c r="J3051" s="269"/>
      <c r="K3051" s="269"/>
      <c r="L3051" s="269"/>
      <c r="M3051" s="269"/>
      <c r="N3051" s="269"/>
      <c r="O3051" s="269"/>
      <c r="P3051" s="269"/>
      <c r="Q3051" s="269"/>
      <c r="R3051" s="269"/>
      <c r="S3051" s="269"/>
      <c r="T3051" s="269"/>
      <c r="U3051" s="269"/>
      <c r="V3051" s="269"/>
      <c r="W3051" s="269"/>
      <c r="X3051" s="269"/>
      <c r="Y3051" s="269"/>
      <c r="Z3051" s="269"/>
      <c r="AA3051" s="269"/>
      <c r="AB3051" s="269"/>
      <c r="AC3051" s="269"/>
      <c r="AD3051" s="269"/>
      <c r="AE3051" s="269"/>
      <c r="AF3051" s="269"/>
      <c r="AG3051" s="269"/>
      <c r="AH3051" s="269"/>
      <c r="AI3051" s="269"/>
      <c r="AJ3051" s="269"/>
      <c r="AK3051" s="269"/>
      <c r="AL3051" s="269"/>
      <c r="AM3051" s="269"/>
      <c r="AN3051" s="269"/>
      <c r="AO3051" s="269"/>
      <c r="AP3051" s="269"/>
      <c r="AQ3051" s="269"/>
      <c r="AR3051" s="269"/>
    </row>
    <row r="3052">
      <c r="A3052" s="410"/>
      <c r="B3052" s="410"/>
      <c r="C3052" s="410"/>
      <c r="D3052" s="410"/>
      <c r="E3052" s="410"/>
      <c r="F3052" s="410"/>
      <c r="H3052" s="269"/>
      <c r="I3052" s="269"/>
      <c r="J3052" s="269"/>
      <c r="K3052" s="269"/>
      <c r="L3052" s="269"/>
      <c r="M3052" s="269"/>
      <c r="N3052" s="269"/>
      <c r="O3052" s="269"/>
      <c r="P3052" s="269"/>
      <c r="Q3052" s="269"/>
      <c r="R3052" s="269"/>
      <c r="S3052" s="269"/>
      <c r="T3052" s="269"/>
      <c r="U3052" s="269"/>
      <c r="V3052" s="269"/>
      <c r="W3052" s="269"/>
      <c r="X3052" s="269"/>
      <c r="Y3052" s="269"/>
      <c r="Z3052" s="269"/>
      <c r="AA3052" s="269"/>
      <c r="AB3052" s="269"/>
      <c r="AC3052" s="269"/>
      <c r="AD3052" s="269"/>
      <c r="AE3052" s="269"/>
      <c r="AF3052" s="269"/>
      <c r="AG3052" s="269"/>
      <c r="AH3052" s="269"/>
      <c r="AI3052" s="269"/>
      <c r="AJ3052" s="269"/>
      <c r="AK3052" s="269"/>
      <c r="AL3052" s="269"/>
      <c r="AM3052" s="269"/>
      <c r="AN3052" s="269"/>
      <c r="AO3052" s="269"/>
      <c r="AP3052" s="269"/>
      <c r="AQ3052" s="269"/>
      <c r="AR3052" s="269"/>
    </row>
    <row r="3053">
      <c r="A3053" s="410"/>
      <c r="B3053" s="410"/>
      <c r="C3053" s="410"/>
      <c r="D3053" s="410"/>
      <c r="E3053" s="410"/>
      <c r="F3053" s="410"/>
      <c r="H3053" s="269"/>
      <c r="I3053" s="269"/>
      <c r="J3053" s="269"/>
      <c r="K3053" s="269"/>
      <c r="L3053" s="269"/>
      <c r="M3053" s="269"/>
      <c r="N3053" s="269"/>
      <c r="O3053" s="269"/>
      <c r="P3053" s="269"/>
      <c r="Q3053" s="269"/>
      <c r="R3053" s="269"/>
      <c r="S3053" s="269"/>
      <c r="T3053" s="269"/>
      <c r="U3053" s="269"/>
      <c r="V3053" s="269"/>
      <c r="W3053" s="269"/>
      <c r="X3053" s="269"/>
      <c r="Y3053" s="269"/>
      <c r="Z3053" s="269"/>
      <c r="AA3053" s="269"/>
      <c r="AB3053" s="269"/>
      <c r="AC3053" s="269"/>
      <c r="AD3053" s="269"/>
      <c r="AE3053" s="269"/>
      <c r="AF3053" s="269"/>
      <c r="AG3053" s="269"/>
      <c r="AH3053" s="269"/>
      <c r="AI3053" s="269"/>
      <c r="AJ3053" s="269"/>
      <c r="AK3053" s="269"/>
      <c r="AL3053" s="269"/>
      <c r="AM3053" s="269"/>
      <c r="AN3053" s="269"/>
      <c r="AO3053" s="269"/>
      <c r="AP3053" s="269"/>
      <c r="AQ3053" s="269"/>
      <c r="AR3053" s="269"/>
    </row>
    <row r="3054">
      <c r="A3054" s="410"/>
      <c r="B3054" s="410"/>
      <c r="C3054" s="410"/>
      <c r="D3054" s="410"/>
      <c r="E3054" s="410"/>
      <c r="F3054" s="410"/>
      <c r="H3054" s="269"/>
      <c r="I3054" s="269"/>
      <c r="J3054" s="269"/>
      <c r="K3054" s="269"/>
      <c r="L3054" s="269"/>
      <c r="M3054" s="269"/>
      <c r="N3054" s="269"/>
      <c r="O3054" s="269"/>
      <c r="P3054" s="269"/>
      <c r="Q3054" s="269"/>
      <c r="R3054" s="269"/>
      <c r="S3054" s="269"/>
      <c r="T3054" s="269"/>
      <c r="U3054" s="269"/>
      <c r="V3054" s="269"/>
      <c r="W3054" s="269"/>
      <c r="X3054" s="269"/>
      <c r="Y3054" s="269"/>
      <c r="Z3054" s="269"/>
      <c r="AA3054" s="269"/>
      <c r="AB3054" s="269"/>
      <c r="AC3054" s="269"/>
      <c r="AD3054" s="269"/>
      <c r="AE3054" s="269"/>
      <c r="AF3054" s="269"/>
      <c r="AG3054" s="269"/>
      <c r="AH3054" s="269"/>
      <c r="AI3054" s="269"/>
      <c r="AJ3054" s="269"/>
      <c r="AK3054" s="269"/>
      <c r="AL3054" s="269"/>
      <c r="AM3054" s="269"/>
      <c r="AN3054" s="269"/>
      <c r="AO3054" s="269"/>
      <c r="AP3054" s="269"/>
      <c r="AQ3054" s="269"/>
      <c r="AR3054" s="269"/>
    </row>
    <row r="3055">
      <c r="A3055" s="410"/>
      <c r="B3055" s="410"/>
      <c r="C3055" s="410"/>
      <c r="D3055" s="410"/>
      <c r="E3055" s="410"/>
      <c r="F3055" s="410"/>
      <c r="H3055" s="269"/>
      <c r="I3055" s="269"/>
      <c r="J3055" s="269"/>
      <c r="K3055" s="269"/>
      <c r="L3055" s="269"/>
      <c r="M3055" s="269"/>
      <c r="N3055" s="269"/>
      <c r="O3055" s="269"/>
      <c r="P3055" s="269"/>
      <c r="Q3055" s="269"/>
      <c r="R3055" s="269"/>
      <c r="S3055" s="269"/>
      <c r="T3055" s="269"/>
      <c r="U3055" s="269"/>
      <c r="V3055" s="269"/>
      <c r="W3055" s="269"/>
      <c r="X3055" s="269"/>
      <c r="Y3055" s="269"/>
      <c r="Z3055" s="269"/>
      <c r="AA3055" s="269"/>
      <c r="AB3055" s="269"/>
      <c r="AC3055" s="269"/>
      <c r="AD3055" s="269"/>
      <c r="AE3055" s="269"/>
      <c r="AF3055" s="269"/>
      <c r="AG3055" s="269"/>
      <c r="AH3055" s="269"/>
      <c r="AI3055" s="269"/>
      <c r="AJ3055" s="269"/>
      <c r="AK3055" s="269"/>
      <c r="AL3055" s="269"/>
      <c r="AM3055" s="269"/>
      <c r="AN3055" s="269"/>
      <c r="AO3055" s="269"/>
      <c r="AP3055" s="269"/>
      <c r="AQ3055" s="269"/>
      <c r="AR3055" s="269"/>
    </row>
    <row r="3056">
      <c r="A3056" s="410"/>
      <c r="B3056" s="410"/>
      <c r="C3056" s="410"/>
      <c r="D3056" s="410"/>
      <c r="E3056" s="410"/>
      <c r="F3056" s="410"/>
      <c r="H3056" s="269"/>
      <c r="I3056" s="269"/>
      <c r="J3056" s="269"/>
      <c r="K3056" s="269"/>
      <c r="L3056" s="269"/>
      <c r="M3056" s="269"/>
      <c r="N3056" s="269"/>
      <c r="O3056" s="269"/>
      <c r="P3056" s="269"/>
      <c r="Q3056" s="269"/>
      <c r="R3056" s="269"/>
      <c r="S3056" s="269"/>
      <c r="T3056" s="269"/>
      <c r="U3056" s="269"/>
      <c r="V3056" s="269"/>
      <c r="W3056" s="269"/>
      <c r="X3056" s="269"/>
      <c r="Y3056" s="269"/>
      <c r="Z3056" s="269"/>
      <c r="AA3056" s="269"/>
      <c r="AB3056" s="269"/>
      <c r="AC3056" s="269"/>
      <c r="AD3056" s="269"/>
      <c r="AE3056" s="269"/>
      <c r="AF3056" s="269"/>
      <c r="AG3056" s="269"/>
      <c r="AH3056" s="269"/>
      <c r="AI3056" s="269"/>
      <c r="AJ3056" s="269"/>
      <c r="AK3056" s="269"/>
      <c r="AL3056" s="269"/>
      <c r="AM3056" s="269"/>
      <c r="AN3056" s="269"/>
      <c r="AO3056" s="269"/>
      <c r="AP3056" s="269"/>
      <c r="AQ3056" s="269"/>
      <c r="AR3056" s="269"/>
    </row>
    <row r="3057">
      <c r="A3057" s="410"/>
      <c r="B3057" s="410"/>
      <c r="C3057" s="410"/>
      <c r="D3057" s="410"/>
      <c r="E3057" s="410"/>
      <c r="F3057" s="410"/>
      <c r="H3057" s="269"/>
      <c r="I3057" s="269"/>
      <c r="J3057" s="269"/>
      <c r="K3057" s="269"/>
      <c r="L3057" s="269"/>
      <c r="M3057" s="269"/>
      <c r="N3057" s="269"/>
      <c r="O3057" s="269"/>
      <c r="P3057" s="269"/>
      <c r="Q3057" s="269"/>
      <c r="R3057" s="269"/>
      <c r="S3057" s="269"/>
      <c r="T3057" s="269"/>
      <c r="U3057" s="269"/>
      <c r="V3057" s="269"/>
      <c r="W3057" s="269"/>
      <c r="X3057" s="269"/>
      <c r="Y3057" s="269"/>
      <c r="Z3057" s="269"/>
      <c r="AA3057" s="269"/>
      <c r="AB3057" s="269"/>
      <c r="AC3057" s="269"/>
      <c r="AD3057" s="269"/>
      <c r="AE3057" s="269"/>
      <c r="AF3057" s="269"/>
      <c r="AG3057" s="269"/>
      <c r="AH3057" s="269"/>
      <c r="AI3057" s="269"/>
      <c r="AJ3057" s="269"/>
      <c r="AK3057" s="269"/>
      <c r="AL3057" s="269"/>
      <c r="AM3057" s="269"/>
      <c r="AN3057" s="269"/>
      <c r="AO3057" s="269"/>
      <c r="AP3057" s="269"/>
      <c r="AQ3057" s="269"/>
      <c r="AR3057" s="269"/>
    </row>
    <row r="3058">
      <c r="A3058" s="410"/>
      <c r="B3058" s="410"/>
      <c r="C3058" s="410"/>
      <c r="D3058" s="410"/>
      <c r="E3058" s="410"/>
      <c r="F3058" s="410"/>
      <c r="H3058" s="269"/>
      <c r="I3058" s="269"/>
      <c r="J3058" s="269"/>
      <c r="K3058" s="269"/>
      <c r="L3058" s="269"/>
      <c r="M3058" s="269"/>
      <c r="N3058" s="269"/>
      <c r="O3058" s="269"/>
      <c r="P3058" s="269"/>
      <c r="Q3058" s="269"/>
      <c r="R3058" s="269"/>
      <c r="S3058" s="269"/>
      <c r="T3058" s="269"/>
      <c r="U3058" s="269"/>
      <c r="V3058" s="269"/>
      <c r="W3058" s="269"/>
      <c r="X3058" s="269"/>
      <c r="Y3058" s="269"/>
      <c r="Z3058" s="269"/>
      <c r="AA3058" s="269"/>
      <c r="AB3058" s="269"/>
      <c r="AC3058" s="269"/>
      <c r="AD3058" s="269"/>
      <c r="AE3058" s="269"/>
      <c r="AF3058" s="269"/>
      <c r="AG3058" s="269"/>
      <c r="AH3058" s="269"/>
      <c r="AI3058" s="269"/>
      <c r="AJ3058" s="269"/>
      <c r="AK3058" s="269"/>
      <c r="AL3058" s="269"/>
      <c r="AM3058" s="269"/>
      <c r="AN3058" s="269"/>
      <c r="AO3058" s="269"/>
      <c r="AP3058" s="269"/>
      <c r="AQ3058" s="269"/>
      <c r="AR3058" s="269"/>
    </row>
    <row r="3059">
      <c r="A3059" s="410"/>
      <c r="B3059" s="410"/>
      <c r="C3059" s="410"/>
      <c r="D3059" s="410"/>
      <c r="E3059" s="410"/>
      <c r="F3059" s="410"/>
      <c r="H3059" s="269"/>
      <c r="I3059" s="269"/>
      <c r="J3059" s="269"/>
      <c r="K3059" s="269"/>
      <c r="L3059" s="269"/>
      <c r="M3059" s="269"/>
      <c r="N3059" s="269"/>
      <c r="O3059" s="269"/>
      <c r="P3059" s="269"/>
      <c r="Q3059" s="269"/>
      <c r="R3059" s="269"/>
      <c r="S3059" s="269"/>
      <c r="T3059" s="269"/>
      <c r="U3059" s="269"/>
      <c r="V3059" s="269"/>
      <c r="W3059" s="269"/>
      <c r="X3059" s="269"/>
      <c r="Y3059" s="269"/>
      <c r="Z3059" s="269"/>
      <c r="AA3059" s="269"/>
      <c r="AB3059" s="269"/>
      <c r="AC3059" s="269"/>
      <c r="AD3059" s="269"/>
      <c r="AE3059" s="269"/>
      <c r="AF3059" s="269"/>
      <c r="AG3059" s="269"/>
      <c r="AH3059" s="269"/>
      <c r="AI3059" s="269"/>
      <c r="AJ3059" s="269"/>
      <c r="AK3059" s="269"/>
      <c r="AL3059" s="269"/>
      <c r="AM3059" s="269"/>
      <c r="AN3059" s="269"/>
      <c r="AO3059" s="269"/>
      <c r="AP3059" s="269"/>
      <c r="AQ3059" s="269"/>
      <c r="AR3059" s="269"/>
    </row>
    <row r="3060">
      <c r="A3060" s="410"/>
      <c r="B3060" s="410"/>
      <c r="C3060" s="410"/>
      <c r="D3060" s="410"/>
      <c r="E3060" s="410"/>
      <c r="F3060" s="410"/>
      <c r="H3060" s="269"/>
      <c r="I3060" s="269"/>
      <c r="J3060" s="269"/>
      <c r="K3060" s="269"/>
      <c r="L3060" s="269"/>
      <c r="M3060" s="269"/>
      <c r="N3060" s="269"/>
      <c r="O3060" s="269"/>
      <c r="P3060" s="269"/>
      <c r="Q3060" s="269"/>
      <c r="R3060" s="269"/>
      <c r="S3060" s="269"/>
      <c r="T3060" s="269"/>
      <c r="U3060" s="269"/>
      <c r="V3060" s="269"/>
      <c r="W3060" s="269"/>
      <c r="X3060" s="269"/>
      <c r="Y3060" s="269"/>
      <c r="Z3060" s="269"/>
      <c r="AA3060" s="269"/>
      <c r="AB3060" s="269"/>
      <c r="AC3060" s="269"/>
      <c r="AD3060" s="269"/>
      <c r="AE3060" s="269"/>
      <c r="AF3060" s="269"/>
      <c r="AG3060" s="269"/>
      <c r="AH3060" s="269"/>
      <c r="AI3060" s="269"/>
      <c r="AJ3060" s="269"/>
      <c r="AK3060" s="269"/>
      <c r="AL3060" s="269"/>
      <c r="AM3060" s="269"/>
      <c r="AN3060" s="269"/>
      <c r="AO3060" s="269"/>
      <c r="AP3060" s="269"/>
      <c r="AQ3060" s="269"/>
      <c r="AR3060" s="269"/>
    </row>
    <row r="3061">
      <c r="A3061" s="410"/>
      <c r="B3061" s="410"/>
      <c r="C3061" s="410"/>
      <c r="D3061" s="410"/>
      <c r="E3061" s="410"/>
      <c r="F3061" s="410"/>
      <c r="H3061" s="269"/>
      <c r="I3061" s="269"/>
      <c r="J3061" s="269"/>
      <c r="K3061" s="269"/>
      <c r="L3061" s="269"/>
      <c r="M3061" s="269"/>
      <c r="N3061" s="269"/>
      <c r="O3061" s="269"/>
      <c r="P3061" s="269"/>
      <c r="Q3061" s="269"/>
      <c r="R3061" s="269"/>
      <c r="S3061" s="269"/>
      <c r="T3061" s="269"/>
      <c r="U3061" s="269"/>
      <c r="V3061" s="269"/>
      <c r="W3061" s="269"/>
      <c r="X3061" s="269"/>
      <c r="Y3061" s="269"/>
      <c r="Z3061" s="269"/>
      <c r="AA3061" s="269"/>
      <c r="AB3061" s="269"/>
      <c r="AC3061" s="269"/>
      <c r="AD3061" s="269"/>
      <c r="AE3061" s="269"/>
      <c r="AF3061" s="269"/>
      <c r="AG3061" s="269"/>
      <c r="AH3061" s="269"/>
      <c r="AI3061" s="269"/>
      <c r="AJ3061" s="269"/>
      <c r="AK3061" s="269"/>
      <c r="AL3061" s="269"/>
      <c r="AM3061" s="269"/>
      <c r="AN3061" s="269"/>
      <c r="AO3061" s="269"/>
      <c r="AP3061" s="269"/>
      <c r="AQ3061" s="269"/>
      <c r="AR3061" s="269"/>
    </row>
    <row r="3062">
      <c r="A3062" s="410"/>
      <c r="B3062" s="410"/>
      <c r="C3062" s="410"/>
      <c r="D3062" s="410"/>
      <c r="E3062" s="410"/>
      <c r="F3062" s="410"/>
      <c r="H3062" s="269"/>
      <c r="I3062" s="269"/>
      <c r="J3062" s="269"/>
      <c r="K3062" s="269"/>
      <c r="L3062" s="269"/>
      <c r="M3062" s="269"/>
      <c r="N3062" s="269"/>
      <c r="O3062" s="269"/>
      <c r="P3062" s="269"/>
      <c r="Q3062" s="269"/>
      <c r="R3062" s="269"/>
      <c r="S3062" s="269"/>
      <c r="T3062" s="269"/>
      <c r="U3062" s="269"/>
      <c r="V3062" s="269"/>
      <c r="W3062" s="269"/>
      <c r="X3062" s="269"/>
      <c r="Y3062" s="269"/>
      <c r="Z3062" s="269"/>
      <c r="AA3062" s="269"/>
      <c r="AB3062" s="269"/>
      <c r="AC3062" s="269"/>
      <c r="AD3062" s="269"/>
      <c r="AE3062" s="269"/>
      <c r="AF3062" s="269"/>
      <c r="AG3062" s="269"/>
      <c r="AH3062" s="269"/>
      <c r="AI3062" s="269"/>
      <c r="AJ3062" s="269"/>
      <c r="AK3062" s="269"/>
      <c r="AL3062" s="269"/>
      <c r="AM3062" s="269"/>
      <c r="AN3062" s="269"/>
      <c r="AO3062" s="269"/>
      <c r="AP3062" s="269"/>
      <c r="AQ3062" s="269"/>
      <c r="AR3062" s="269"/>
    </row>
    <row r="3063">
      <c r="A3063" s="410"/>
      <c r="B3063" s="410"/>
      <c r="C3063" s="410"/>
      <c r="D3063" s="410"/>
      <c r="E3063" s="410"/>
      <c r="F3063" s="410"/>
      <c r="H3063" s="269"/>
      <c r="I3063" s="269"/>
      <c r="J3063" s="269"/>
      <c r="K3063" s="269"/>
      <c r="L3063" s="269"/>
      <c r="M3063" s="269"/>
      <c r="N3063" s="269"/>
      <c r="O3063" s="269"/>
      <c r="P3063" s="269"/>
      <c r="Q3063" s="269"/>
      <c r="R3063" s="269"/>
      <c r="S3063" s="269"/>
      <c r="T3063" s="269"/>
      <c r="U3063" s="269"/>
      <c r="V3063" s="269"/>
      <c r="W3063" s="269"/>
      <c r="X3063" s="269"/>
      <c r="Y3063" s="269"/>
      <c r="Z3063" s="269"/>
      <c r="AA3063" s="269"/>
      <c r="AB3063" s="269"/>
      <c r="AC3063" s="269"/>
      <c r="AD3063" s="269"/>
      <c r="AE3063" s="269"/>
      <c r="AF3063" s="269"/>
      <c r="AG3063" s="269"/>
      <c r="AH3063" s="269"/>
      <c r="AI3063" s="269"/>
      <c r="AJ3063" s="269"/>
      <c r="AK3063" s="269"/>
      <c r="AL3063" s="269"/>
      <c r="AM3063" s="269"/>
      <c r="AN3063" s="269"/>
      <c r="AO3063" s="269"/>
      <c r="AP3063" s="269"/>
      <c r="AQ3063" s="269"/>
      <c r="AR3063" s="269"/>
    </row>
    <row r="3064">
      <c r="A3064" s="410"/>
      <c r="B3064" s="410"/>
      <c r="C3064" s="410"/>
      <c r="D3064" s="410"/>
      <c r="E3064" s="410"/>
      <c r="F3064" s="410"/>
      <c r="H3064" s="269"/>
      <c r="I3064" s="269"/>
      <c r="J3064" s="269"/>
      <c r="K3064" s="269"/>
      <c r="L3064" s="269"/>
      <c r="M3064" s="269"/>
      <c r="N3064" s="269"/>
      <c r="O3064" s="269"/>
      <c r="P3064" s="269"/>
      <c r="Q3064" s="269"/>
      <c r="R3064" s="269"/>
      <c r="S3064" s="269"/>
      <c r="T3064" s="269"/>
      <c r="U3064" s="269"/>
      <c r="V3064" s="269"/>
      <c r="W3064" s="269"/>
      <c r="X3064" s="269"/>
      <c r="Y3064" s="269"/>
      <c r="Z3064" s="269"/>
      <c r="AA3064" s="269"/>
      <c r="AB3064" s="269"/>
      <c r="AC3064" s="269"/>
      <c r="AD3064" s="269"/>
      <c r="AE3064" s="269"/>
      <c r="AF3064" s="269"/>
      <c r="AG3064" s="269"/>
      <c r="AH3064" s="269"/>
      <c r="AI3064" s="269"/>
      <c r="AJ3064" s="269"/>
      <c r="AK3064" s="269"/>
      <c r="AL3064" s="269"/>
      <c r="AM3064" s="269"/>
      <c r="AN3064" s="269"/>
      <c r="AO3064" s="269"/>
      <c r="AP3064" s="269"/>
      <c r="AQ3064" s="269"/>
      <c r="AR3064" s="269"/>
    </row>
    <row r="3065">
      <c r="A3065" s="410"/>
      <c r="B3065" s="410"/>
      <c r="C3065" s="410"/>
      <c r="D3065" s="410"/>
      <c r="E3065" s="410"/>
      <c r="F3065" s="410"/>
      <c r="H3065" s="269"/>
      <c r="I3065" s="269"/>
      <c r="J3065" s="269"/>
      <c r="K3065" s="269"/>
      <c r="L3065" s="269"/>
      <c r="M3065" s="269"/>
      <c r="N3065" s="269"/>
      <c r="O3065" s="269"/>
      <c r="P3065" s="269"/>
      <c r="Q3065" s="269"/>
      <c r="R3065" s="269"/>
      <c r="S3065" s="269"/>
      <c r="T3065" s="269"/>
      <c r="U3065" s="269"/>
      <c r="V3065" s="269"/>
      <c r="W3065" s="269"/>
      <c r="X3065" s="269"/>
      <c r="Y3065" s="269"/>
      <c r="Z3065" s="269"/>
      <c r="AA3065" s="269"/>
      <c r="AB3065" s="269"/>
      <c r="AC3065" s="269"/>
      <c r="AD3065" s="269"/>
      <c r="AE3065" s="269"/>
      <c r="AF3065" s="269"/>
      <c r="AG3065" s="269"/>
      <c r="AH3065" s="269"/>
      <c r="AI3065" s="269"/>
      <c r="AJ3065" s="269"/>
      <c r="AK3065" s="269"/>
      <c r="AL3065" s="269"/>
      <c r="AM3065" s="269"/>
      <c r="AN3065" s="269"/>
      <c r="AO3065" s="269"/>
      <c r="AP3065" s="269"/>
      <c r="AQ3065" s="269"/>
      <c r="AR3065" s="269"/>
    </row>
    <row r="3066">
      <c r="A3066" s="410"/>
      <c r="B3066" s="410"/>
      <c r="C3066" s="410"/>
      <c r="D3066" s="410"/>
      <c r="E3066" s="410"/>
      <c r="F3066" s="410"/>
      <c r="H3066" s="269"/>
      <c r="I3066" s="269"/>
      <c r="J3066" s="269"/>
      <c r="K3066" s="269"/>
      <c r="L3066" s="269"/>
      <c r="M3066" s="269"/>
      <c r="N3066" s="269"/>
      <c r="O3066" s="269"/>
      <c r="P3066" s="269"/>
      <c r="Q3066" s="269"/>
      <c r="R3066" s="269"/>
      <c r="S3066" s="269"/>
      <c r="T3066" s="269"/>
      <c r="U3066" s="269"/>
      <c r="V3066" s="269"/>
      <c r="W3066" s="269"/>
      <c r="X3066" s="269"/>
      <c r="Y3066" s="269"/>
      <c r="Z3066" s="269"/>
      <c r="AA3066" s="269"/>
      <c r="AB3066" s="269"/>
      <c r="AC3066" s="269"/>
      <c r="AD3066" s="269"/>
      <c r="AE3066" s="269"/>
      <c r="AF3066" s="269"/>
      <c r="AG3066" s="269"/>
      <c r="AH3066" s="269"/>
      <c r="AI3066" s="269"/>
      <c r="AJ3066" s="269"/>
      <c r="AK3066" s="269"/>
      <c r="AL3066" s="269"/>
      <c r="AM3066" s="269"/>
      <c r="AN3066" s="269"/>
      <c r="AO3066" s="269"/>
      <c r="AP3066" s="269"/>
      <c r="AQ3066" s="269"/>
      <c r="AR3066" s="269"/>
    </row>
    <row r="3067">
      <c r="A3067" s="410"/>
      <c r="B3067" s="410"/>
      <c r="C3067" s="410"/>
      <c r="D3067" s="410"/>
      <c r="E3067" s="410"/>
      <c r="F3067" s="410"/>
      <c r="H3067" s="269"/>
      <c r="I3067" s="269"/>
      <c r="J3067" s="269"/>
      <c r="K3067" s="269"/>
      <c r="L3067" s="269"/>
      <c r="M3067" s="269"/>
      <c r="N3067" s="269"/>
      <c r="O3067" s="269"/>
      <c r="P3067" s="269"/>
      <c r="Q3067" s="269"/>
      <c r="R3067" s="269"/>
      <c r="S3067" s="269"/>
      <c r="T3067" s="269"/>
      <c r="U3067" s="269"/>
      <c r="V3067" s="269"/>
      <c r="W3067" s="269"/>
      <c r="X3067" s="269"/>
      <c r="Y3067" s="269"/>
      <c r="Z3067" s="269"/>
      <c r="AA3067" s="269"/>
      <c r="AB3067" s="269"/>
      <c r="AC3067" s="269"/>
      <c r="AD3067" s="269"/>
      <c r="AE3067" s="269"/>
      <c r="AF3067" s="269"/>
      <c r="AG3067" s="269"/>
      <c r="AH3067" s="269"/>
      <c r="AI3067" s="269"/>
      <c r="AJ3067" s="269"/>
      <c r="AK3067" s="269"/>
      <c r="AL3067" s="269"/>
      <c r="AM3067" s="269"/>
      <c r="AN3067" s="269"/>
      <c r="AO3067" s="269"/>
      <c r="AP3067" s="269"/>
      <c r="AQ3067" s="269"/>
      <c r="AR3067" s="269"/>
    </row>
    <row r="3068">
      <c r="A3068" s="410"/>
      <c r="B3068" s="410"/>
      <c r="C3068" s="410"/>
      <c r="D3068" s="410"/>
      <c r="E3068" s="410"/>
      <c r="F3068" s="410"/>
      <c r="H3068" s="269"/>
      <c r="I3068" s="269"/>
      <c r="J3068" s="269"/>
      <c r="K3068" s="269"/>
      <c r="L3068" s="269"/>
      <c r="M3068" s="269"/>
      <c r="N3068" s="269"/>
      <c r="O3068" s="269"/>
      <c r="P3068" s="269"/>
      <c r="Q3068" s="269"/>
      <c r="R3068" s="269"/>
      <c r="S3068" s="269"/>
      <c r="T3068" s="269"/>
      <c r="U3068" s="269"/>
      <c r="V3068" s="269"/>
      <c r="W3068" s="269"/>
      <c r="X3068" s="269"/>
      <c r="Y3068" s="269"/>
      <c r="Z3068" s="269"/>
      <c r="AA3068" s="269"/>
      <c r="AB3068" s="269"/>
      <c r="AC3068" s="269"/>
      <c r="AD3068" s="269"/>
      <c r="AE3068" s="269"/>
      <c r="AF3068" s="269"/>
      <c r="AG3068" s="269"/>
      <c r="AH3068" s="269"/>
      <c r="AI3068" s="269"/>
      <c r="AJ3068" s="269"/>
      <c r="AK3068" s="269"/>
      <c r="AL3068" s="269"/>
      <c r="AM3068" s="269"/>
      <c r="AN3068" s="269"/>
      <c r="AO3068" s="269"/>
      <c r="AP3068" s="269"/>
      <c r="AQ3068" s="269"/>
      <c r="AR3068" s="269"/>
    </row>
    <row r="3069">
      <c r="A3069" s="410"/>
      <c r="B3069" s="410"/>
      <c r="C3069" s="410"/>
      <c r="D3069" s="410"/>
      <c r="E3069" s="410"/>
      <c r="F3069" s="410"/>
      <c r="H3069" s="269"/>
      <c r="I3069" s="269"/>
      <c r="J3069" s="269"/>
      <c r="K3069" s="269"/>
      <c r="L3069" s="269"/>
      <c r="M3069" s="269"/>
      <c r="N3069" s="269"/>
      <c r="O3069" s="269"/>
      <c r="P3069" s="269"/>
      <c r="Q3069" s="269"/>
      <c r="R3069" s="269"/>
      <c r="S3069" s="269"/>
      <c r="T3069" s="269"/>
      <c r="U3069" s="269"/>
      <c r="V3069" s="269"/>
      <c r="W3069" s="269"/>
      <c r="X3069" s="269"/>
      <c r="Y3069" s="269"/>
      <c r="Z3069" s="269"/>
      <c r="AA3069" s="269"/>
      <c r="AB3069" s="269"/>
      <c r="AC3069" s="269"/>
      <c r="AD3069" s="269"/>
      <c r="AE3069" s="269"/>
      <c r="AF3069" s="269"/>
      <c r="AG3069" s="269"/>
      <c r="AH3069" s="269"/>
      <c r="AI3069" s="269"/>
      <c r="AJ3069" s="269"/>
      <c r="AK3069" s="269"/>
      <c r="AL3069" s="269"/>
      <c r="AM3069" s="269"/>
      <c r="AN3069" s="269"/>
      <c r="AO3069" s="269"/>
      <c r="AP3069" s="269"/>
      <c r="AQ3069" s="269"/>
      <c r="AR3069" s="269"/>
    </row>
    <row r="3070">
      <c r="A3070" s="410"/>
      <c r="B3070" s="410"/>
      <c r="C3070" s="410"/>
      <c r="D3070" s="410"/>
      <c r="E3070" s="410"/>
      <c r="F3070" s="410"/>
      <c r="H3070" s="269"/>
      <c r="I3070" s="269"/>
      <c r="J3070" s="269"/>
      <c r="K3070" s="269"/>
      <c r="L3070" s="269"/>
      <c r="M3070" s="269"/>
      <c r="N3070" s="269"/>
      <c r="O3070" s="269"/>
      <c r="P3070" s="269"/>
      <c r="Q3070" s="269"/>
      <c r="R3070" s="269"/>
      <c r="S3070" s="269"/>
      <c r="T3070" s="269"/>
      <c r="U3070" s="269"/>
      <c r="V3070" s="269"/>
      <c r="W3070" s="269"/>
      <c r="X3070" s="269"/>
      <c r="Y3070" s="269"/>
      <c r="Z3070" s="269"/>
      <c r="AA3070" s="269"/>
      <c r="AB3070" s="269"/>
      <c r="AC3070" s="269"/>
      <c r="AD3070" s="269"/>
      <c r="AE3070" s="269"/>
      <c r="AF3070" s="269"/>
      <c r="AG3070" s="269"/>
      <c r="AH3070" s="269"/>
      <c r="AI3070" s="269"/>
      <c r="AJ3070" s="269"/>
      <c r="AK3070" s="269"/>
      <c r="AL3070" s="269"/>
      <c r="AM3070" s="269"/>
      <c r="AN3070" s="269"/>
      <c r="AO3070" s="269"/>
      <c r="AP3070" s="269"/>
      <c r="AQ3070" s="269"/>
      <c r="AR3070" s="269"/>
    </row>
    <row r="3071">
      <c r="A3071" s="410"/>
      <c r="B3071" s="410"/>
      <c r="C3071" s="410"/>
      <c r="D3071" s="410"/>
      <c r="E3071" s="410"/>
      <c r="F3071" s="410"/>
      <c r="H3071" s="269"/>
      <c r="I3071" s="269"/>
      <c r="J3071" s="269"/>
      <c r="K3071" s="269"/>
      <c r="L3071" s="269"/>
      <c r="M3071" s="269"/>
      <c r="N3071" s="269"/>
      <c r="O3071" s="269"/>
      <c r="P3071" s="269"/>
      <c r="Q3071" s="269"/>
      <c r="R3071" s="269"/>
      <c r="S3071" s="269"/>
      <c r="T3071" s="269"/>
      <c r="U3071" s="269"/>
      <c r="V3071" s="269"/>
      <c r="W3071" s="269"/>
      <c r="X3071" s="269"/>
      <c r="Y3071" s="269"/>
      <c r="Z3071" s="269"/>
      <c r="AA3071" s="269"/>
      <c r="AB3071" s="269"/>
      <c r="AC3071" s="269"/>
      <c r="AD3071" s="269"/>
      <c r="AE3071" s="269"/>
      <c r="AF3071" s="269"/>
      <c r="AG3071" s="269"/>
      <c r="AH3071" s="269"/>
      <c r="AI3071" s="269"/>
      <c r="AJ3071" s="269"/>
      <c r="AK3071" s="269"/>
      <c r="AL3071" s="269"/>
      <c r="AM3071" s="269"/>
      <c r="AN3071" s="269"/>
      <c r="AO3071" s="269"/>
      <c r="AP3071" s="269"/>
      <c r="AQ3071" s="269"/>
      <c r="AR3071" s="269"/>
    </row>
    <row r="3072">
      <c r="A3072" s="410"/>
      <c r="B3072" s="410"/>
      <c r="C3072" s="410"/>
      <c r="D3072" s="410"/>
      <c r="E3072" s="410"/>
      <c r="F3072" s="410"/>
      <c r="H3072" s="269"/>
      <c r="I3072" s="269"/>
      <c r="J3072" s="269"/>
      <c r="K3072" s="269"/>
      <c r="L3072" s="269"/>
      <c r="M3072" s="269"/>
      <c r="N3072" s="269"/>
      <c r="O3072" s="269"/>
      <c r="P3072" s="269"/>
      <c r="Q3072" s="269"/>
      <c r="R3072" s="269"/>
      <c r="S3072" s="269"/>
      <c r="T3072" s="269"/>
      <c r="U3072" s="269"/>
      <c r="V3072" s="269"/>
      <c r="W3072" s="269"/>
      <c r="X3072" s="269"/>
      <c r="Y3072" s="269"/>
      <c r="Z3072" s="269"/>
      <c r="AA3072" s="269"/>
      <c r="AB3072" s="269"/>
      <c r="AC3072" s="269"/>
      <c r="AD3072" s="269"/>
      <c r="AE3072" s="269"/>
      <c r="AF3072" s="269"/>
      <c r="AG3072" s="269"/>
      <c r="AH3072" s="269"/>
      <c r="AI3072" s="269"/>
      <c r="AJ3072" s="269"/>
      <c r="AK3072" s="269"/>
      <c r="AL3072" s="269"/>
      <c r="AM3072" s="269"/>
      <c r="AN3072" s="269"/>
      <c r="AO3072" s="269"/>
      <c r="AP3072" s="269"/>
      <c r="AQ3072" s="269"/>
      <c r="AR3072" s="269"/>
    </row>
    <row r="3073">
      <c r="A3073" s="410"/>
      <c r="B3073" s="410"/>
      <c r="C3073" s="410"/>
      <c r="D3073" s="410"/>
      <c r="E3073" s="410"/>
      <c r="F3073" s="410"/>
      <c r="H3073" s="269"/>
      <c r="I3073" s="269"/>
      <c r="J3073" s="269"/>
      <c r="K3073" s="269"/>
      <c r="L3073" s="269"/>
      <c r="M3073" s="269"/>
      <c r="N3073" s="269"/>
      <c r="O3073" s="269"/>
      <c r="P3073" s="269"/>
      <c r="Q3073" s="269"/>
      <c r="R3073" s="269"/>
      <c r="S3073" s="269"/>
      <c r="T3073" s="269"/>
      <c r="U3073" s="269"/>
      <c r="V3073" s="269"/>
      <c r="W3073" s="269"/>
      <c r="X3073" s="269"/>
      <c r="Y3073" s="269"/>
      <c r="Z3073" s="269"/>
      <c r="AA3073" s="269"/>
      <c r="AB3073" s="269"/>
      <c r="AC3073" s="269"/>
      <c r="AD3073" s="269"/>
      <c r="AE3073" s="269"/>
      <c r="AF3073" s="269"/>
      <c r="AG3073" s="269"/>
      <c r="AH3073" s="269"/>
      <c r="AI3073" s="269"/>
      <c r="AJ3073" s="269"/>
      <c r="AK3073" s="269"/>
      <c r="AL3073" s="269"/>
      <c r="AM3073" s="269"/>
      <c r="AN3073" s="269"/>
      <c r="AO3073" s="269"/>
      <c r="AP3073" s="269"/>
      <c r="AQ3073" s="269"/>
      <c r="AR3073" s="269"/>
    </row>
    <row r="3074">
      <c r="A3074" s="410"/>
      <c r="B3074" s="410"/>
      <c r="C3074" s="410"/>
      <c r="D3074" s="410"/>
      <c r="E3074" s="410"/>
      <c r="F3074" s="410"/>
      <c r="H3074" s="269"/>
      <c r="I3074" s="269"/>
      <c r="J3074" s="269"/>
      <c r="K3074" s="269"/>
      <c r="L3074" s="269"/>
      <c r="M3074" s="269"/>
      <c r="N3074" s="269"/>
      <c r="O3074" s="269"/>
      <c r="P3074" s="269"/>
      <c r="Q3074" s="269"/>
      <c r="R3074" s="269"/>
      <c r="S3074" s="269"/>
      <c r="T3074" s="269"/>
      <c r="U3074" s="269"/>
      <c r="V3074" s="269"/>
      <c r="W3074" s="269"/>
      <c r="X3074" s="269"/>
      <c r="Y3074" s="269"/>
      <c r="Z3074" s="269"/>
      <c r="AA3074" s="269"/>
      <c r="AB3074" s="269"/>
      <c r="AC3074" s="269"/>
      <c r="AD3074" s="269"/>
      <c r="AE3074" s="269"/>
      <c r="AF3074" s="269"/>
      <c r="AG3074" s="269"/>
      <c r="AH3074" s="269"/>
      <c r="AI3074" s="269"/>
      <c r="AJ3074" s="269"/>
      <c r="AK3074" s="269"/>
      <c r="AL3074" s="269"/>
      <c r="AM3074" s="269"/>
      <c r="AN3074" s="269"/>
      <c r="AO3074" s="269"/>
      <c r="AP3074" s="269"/>
      <c r="AQ3074" s="269"/>
      <c r="AR3074" s="269"/>
    </row>
    <row r="3075">
      <c r="A3075" s="410"/>
      <c r="B3075" s="410"/>
      <c r="C3075" s="410"/>
      <c r="D3075" s="410"/>
      <c r="E3075" s="410"/>
      <c r="F3075" s="410"/>
      <c r="H3075" s="269"/>
      <c r="I3075" s="269"/>
      <c r="J3075" s="269"/>
      <c r="K3075" s="269"/>
      <c r="L3075" s="269"/>
      <c r="M3075" s="269"/>
      <c r="N3075" s="269"/>
      <c r="O3075" s="269"/>
      <c r="P3075" s="269"/>
      <c r="Q3075" s="269"/>
      <c r="R3075" s="269"/>
      <c r="S3075" s="269"/>
      <c r="T3075" s="269"/>
      <c r="U3075" s="269"/>
      <c r="V3075" s="269"/>
      <c r="W3075" s="269"/>
      <c r="X3075" s="269"/>
      <c r="Y3075" s="269"/>
      <c r="Z3075" s="269"/>
      <c r="AA3075" s="269"/>
      <c r="AB3075" s="269"/>
      <c r="AC3075" s="269"/>
      <c r="AD3075" s="269"/>
      <c r="AE3075" s="269"/>
      <c r="AF3075" s="269"/>
      <c r="AG3075" s="269"/>
      <c r="AH3075" s="269"/>
      <c r="AI3075" s="269"/>
      <c r="AJ3075" s="269"/>
      <c r="AK3075" s="269"/>
      <c r="AL3075" s="269"/>
      <c r="AM3075" s="269"/>
      <c r="AN3075" s="269"/>
      <c r="AO3075" s="269"/>
      <c r="AP3075" s="269"/>
      <c r="AQ3075" s="269"/>
      <c r="AR3075" s="269"/>
    </row>
    <row r="3076">
      <c r="A3076" s="410"/>
      <c r="B3076" s="410"/>
      <c r="C3076" s="410"/>
      <c r="D3076" s="410"/>
      <c r="E3076" s="410"/>
      <c r="F3076" s="410"/>
      <c r="H3076" s="269"/>
      <c r="I3076" s="269"/>
      <c r="J3076" s="269"/>
      <c r="K3076" s="269"/>
      <c r="L3076" s="269"/>
      <c r="M3076" s="269"/>
      <c r="N3076" s="269"/>
      <c r="O3076" s="269"/>
      <c r="P3076" s="269"/>
      <c r="Q3076" s="269"/>
      <c r="R3076" s="269"/>
      <c r="S3076" s="269"/>
      <c r="T3076" s="269"/>
      <c r="U3076" s="269"/>
      <c r="V3076" s="269"/>
      <c r="W3076" s="269"/>
      <c r="X3076" s="269"/>
      <c r="Y3076" s="269"/>
      <c r="Z3076" s="269"/>
      <c r="AA3076" s="269"/>
      <c r="AB3076" s="269"/>
      <c r="AC3076" s="269"/>
      <c r="AD3076" s="269"/>
      <c r="AE3076" s="269"/>
      <c r="AF3076" s="269"/>
      <c r="AG3076" s="269"/>
      <c r="AH3076" s="269"/>
      <c r="AI3076" s="269"/>
      <c r="AJ3076" s="269"/>
      <c r="AK3076" s="269"/>
      <c r="AL3076" s="269"/>
      <c r="AM3076" s="269"/>
      <c r="AN3076" s="269"/>
      <c r="AO3076" s="269"/>
      <c r="AP3076" s="269"/>
      <c r="AQ3076" s="269"/>
      <c r="AR3076" s="269"/>
    </row>
    <row r="3077">
      <c r="A3077" s="410"/>
      <c r="B3077" s="410"/>
      <c r="C3077" s="410"/>
      <c r="D3077" s="410"/>
      <c r="E3077" s="410"/>
      <c r="F3077" s="410"/>
      <c r="H3077" s="269"/>
      <c r="I3077" s="269"/>
      <c r="J3077" s="269"/>
      <c r="K3077" s="269"/>
      <c r="L3077" s="269"/>
      <c r="M3077" s="269"/>
      <c r="N3077" s="269"/>
      <c r="O3077" s="269"/>
      <c r="P3077" s="269"/>
      <c r="Q3077" s="269"/>
      <c r="R3077" s="269"/>
      <c r="S3077" s="269"/>
      <c r="T3077" s="269"/>
      <c r="U3077" s="269"/>
      <c r="V3077" s="269"/>
      <c r="W3077" s="269"/>
      <c r="X3077" s="269"/>
      <c r="Y3077" s="269"/>
      <c r="Z3077" s="269"/>
      <c r="AA3077" s="269"/>
      <c r="AB3077" s="269"/>
      <c r="AC3077" s="269"/>
      <c r="AD3077" s="269"/>
      <c r="AE3077" s="269"/>
      <c r="AF3077" s="269"/>
      <c r="AG3077" s="269"/>
      <c r="AH3077" s="269"/>
      <c r="AI3077" s="269"/>
      <c r="AJ3077" s="269"/>
      <c r="AK3077" s="269"/>
      <c r="AL3077" s="269"/>
      <c r="AM3077" s="269"/>
      <c r="AN3077" s="269"/>
      <c r="AO3077" s="269"/>
      <c r="AP3077" s="269"/>
      <c r="AQ3077" s="269"/>
      <c r="AR3077" s="269"/>
    </row>
    <row r="3078">
      <c r="A3078" s="410"/>
      <c r="B3078" s="410"/>
      <c r="C3078" s="410"/>
      <c r="D3078" s="410"/>
      <c r="E3078" s="410"/>
      <c r="F3078" s="410"/>
      <c r="H3078" s="269"/>
      <c r="I3078" s="269"/>
      <c r="J3078" s="269"/>
      <c r="K3078" s="269"/>
      <c r="L3078" s="269"/>
      <c r="M3078" s="269"/>
      <c r="N3078" s="269"/>
      <c r="O3078" s="269"/>
      <c r="P3078" s="269"/>
      <c r="Q3078" s="269"/>
      <c r="R3078" s="269"/>
      <c r="S3078" s="269"/>
      <c r="T3078" s="269"/>
      <c r="U3078" s="269"/>
      <c r="V3078" s="269"/>
      <c r="W3078" s="269"/>
      <c r="X3078" s="269"/>
      <c r="Y3078" s="269"/>
      <c r="Z3078" s="269"/>
      <c r="AA3078" s="269"/>
      <c r="AB3078" s="269"/>
      <c r="AC3078" s="269"/>
      <c r="AD3078" s="269"/>
      <c r="AE3078" s="269"/>
      <c r="AF3078" s="269"/>
      <c r="AG3078" s="269"/>
      <c r="AH3078" s="269"/>
      <c r="AI3078" s="269"/>
      <c r="AJ3078" s="269"/>
      <c r="AK3078" s="269"/>
      <c r="AL3078" s="269"/>
      <c r="AM3078" s="269"/>
      <c r="AN3078" s="269"/>
      <c r="AO3078" s="269"/>
      <c r="AP3078" s="269"/>
      <c r="AQ3078" s="269"/>
      <c r="AR3078" s="269"/>
    </row>
    <row r="3079">
      <c r="A3079" s="410"/>
      <c r="B3079" s="410"/>
      <c r="C3079" s="410"/>
      <c r="D3079" s="410"/>
      <c r="E3079" s="410"/>
      <c r="F3079" s="410"/>
      <c r="H3079" s="269"/>
      <c r="I3079" s="269"/>
      <c r="J3079" s="269"/>
      <c r="K3079" s="269"/>
      <c r="L3079" s="269"/>
      <c r="M3079" s="269"/>
      <c r="N3079" s="269"/>
      <c r="O3079" s="269"/>
      <c r="P3079" s="269"/>
      <c r="Q3079" s="269"/>
      <c r="R3079" s="269"/>
      <c r="S3079" s="269"/>
      <c r="T3079" s="269"/>
      <c r="U3079" s="269"/>
      <c r="V3079" s="269"/>
      <c r="W3079" s="269"/>
      <c r="X3079" s="269"/>
      <c r="Y3079" s="269"/>
      <c r="Z3079" s="269"/>
      <c r="AA3079" s="269"/>
      <c r="AB3079" s="269"/>
      <c r="AC3079" s="269"/>
      <c r="AD3079" s="269"/>
      <c r="AE3079" s="269"/>
      <c r="AF3079" s="269"/>
      <c r="AG3079" s="269"/>
      <c r="AH3079" s="269"/>
      <c r="AI3079" s="269"/>
      <c r="AJ3079" s="269"/>
      <c r="AK3079" s="269"/>
      <c r="AL3079" s="269"/>
      <c r="AM3079" s="269"/>
      <c r="AN3079" s="269"/>
      <c r="AO3079" s="269"/>
      <c r="AP3079" s="269"/>
      <c r="AQ3079" s="269"/>
      <c r="AR3079" s="269"/>
    </row>
    <row r="3080">
      <c r="A3080" s="410"/>
      <c r="B3080" s="410"/>
      <c r="C3080" s="410"/>
      <c r="D3080" s="410"/>
      <c r="E3080" s="410"/>
      <c r="F3080" s="410"/>
      <c r="H3080" s="269"/>
      <c r="I3080" s="269"/>
      <c r="J3080" s="269"/>
      <c r="K3080" s="269"/>
      <c r="L3080" s="269"/>
      <c r="M3080" s="269"/>
      <c r="N3080" s="269"/>
      <c r="O3080" s="269"/>
      <c r="P3080" s="269"/>
      <c r="Q3080" s="269"/>
      <c r="R3080" s="269"/>
      <c r="S3080" s="269"/>
      <c r="T3080" s="269"/>
      <c r="U3080" s="269"/>
      <c r="V3080" s="269"/>
      <c r="W3080" s="269"/>
      <c r="X3080" s="269"/>
      <c r="Y3080" s="269"/>
      <c r="Z3080" s="269"/>
      <c r="AA3080" s="269"/>
      <c r="AB3080" s="269"/>
      <c r="AC3080" s="269"/>
      <c r="AD3080" s="269"/>
      <c r="AE3080" s="269"/>
      <c r="AF3080" s="269"/>
      <c r="AG3080" s="269"/>
      <c r="AH3080" s="269"/>
      <c r="AI3080" s="269"/>
      <c r="AJ3080" s="269"/>
      <c r="AK3080" s="269"/>
      <c r="AL3080" s="269"/>
      <c r="AM3080" s="269"/>
      <c r="AN3080" s="269"/>
      <c r="AO3080" s="269"/>
      <c r="AP3080" s="269"/>
      <c r="AQ3080" s="269"/>
      <c r="AR3080" s="269"/>
    </row>
    <row r="3081">
      <c r="A3081" s="410"/>
      <c r="B3081" s="410"/>
      <c r="C3081" s="410"/>
      <c r="D3081" s="410"/>
      <c r="E3081" s="410"/>
      <c r="F3081" s="410"/>
      <c r="H3081" s="269"/>
      <c r="I3081" s="269"/>
      <c r="J3081" s="269"/>
      <c r="K3081" s="269"/>
      <c r="L3081" s="269"/>
      <c r="M3081" s="269"/>
      <c r="N3081" s="269"/>
      <c r="O3081" s="269"/>
      <c r="P3081" s="269"/>
      <c r="Q3081" s="269"/>
      <c r="R3081" s="269"/>
      <c r="S3081" s="269"/>
      <c r="T3081" s="269"/>
      <c r="U3081" s="269"/>
      <c r="V3081" s="269"/>
      <c r="W3081" s="269"/>
      <c r="X3081" s="269"/>
      <c r="Y3081" s="269"/>
      <c r="Z3081" s="269"/>
      <c r="AA3081" s="269"/>
      <c r="AB3081" s="269"/>
      <c r="AC3081" s="269"/>
      <c r="AD3081" s="269"/>
      <c r="AE3081" s="269"/>
      <c r="AF3081" s="269"/>
      <c r="AG3081" s="269"/>
      <c r="AH3081" s="269"/>
      <c r="AI3081" s="269"/>
      <c r="AJ3081" s="269"/>
      <c r="AK3081" s="269"/>
      <c r="AL3081" s="269"/>
      <c r="AM3081" s="269"/>
      <c r="AN3081" s="269"/>
      <c r="AO3081" s="269"/>
      <c r="AP3081" s="269"/>
      <c r="AQ3081" s="269"/>
      <c r="AR3081" s="269"/>
    </row>
    <row r="3082">
      <c r="A3082" s="410"/>
      <c r="B3082" s="410"/>
      <c r="C3082" s="410"/>
      <c r="D3082" s="410"/>
      <c r="E3082" s="410"/>
      <c r="F3082" s="410"/>
      <c r="H3082" s="269"/>
      <c r="I3082" s="269"/>
      <c r="J3082" s="269"/>
      <c r="K3082" s="269"/>
      <c r="L3082" s="269"/>
      <c r="M3082" s="269"/>
      <c r="N3082" s="269"/>
      <c r="O3082" s="269"/>
      <c r="P3082" s="269"/>
      <c r="Q3082" s="269"/>
      <c r="R3082" s="269"/>
      <c r="S3082" s="269"/>
      <c r="T3082" s="269"/>
      <c r="U3082" s="269"/>
      <c r="V3082" s="269"/>
      <c r="W3082" s="269"/>
      <c r="X3082" s="269"/>
      <c r="Y3082" s="269"/>
      <c r="Z3082" s="269"/>
      <c r="AA3082" s="269"/>
      <c r="AB3082" s="269"/>
      <c r="AC3082" s="269"/>
      <c r="AD3082" s="269"/>
      <c r="AE3082" s="269"/>
      <c r="AF3082" s="269"/>
      <c r="AG3082" s="269"/>
      <c r="AH3082" s="269"/>
      <c r="AI3082" s="269"/>
      <c r="AJ3082" s="269"/>
      <c r="AK3082" s="269"/>
      <c r="AL3082" s="269"/>
      <c r="AM3082" s="269"/>
      <c r="AN3082" s="269"/>
      <c r="AO3082" s="269"/>
      <c r="AP3082" s="269"/>
      <c r="AQ3082" s="269"/>
      <c r="AR3082" s="269"/>
    </row>
    <row r="3083">
      <c r="A3083" s="410"/>
      <c r="B3083" s="410"/>
      <c r="C3083" s="410"/>
      <c r="D3083" s="410"/>
      <c r="E3083" s="410"/>
      <c r="F3083" s="410"/>
      <c r="H3083" s="269"/>
      <c r="I3083" s="269"/>
      <c r="J3083" s="269"/>
      <c r="K3083" s="269"/>
      <c r="L3083" s="269"/>
      <c r="M3083" s="269"/>
      <c r="N3083" s="269"/>
      <c r="O3083" s="269"/>
      <c r="P3083" s="269"/>
      <c r="Q3083" s="269"/>
      <c r="R3083" s="269"/>
      <c r="S3083" s="269"/>
      <c r="T3083" s="269"/>
      <c r="U3083" s="269"/>
      <c r="V3083" s="269"/>
      <c r="W3083" s="269"/>
      <c r="X3083" s="269"/>
      <c r="Y3083" s="269"/>
      <c r="Z3083" s="269"/>
      <c r="AA3083" s="269"/>
      <c r="AB3083" s="269"/>
      <c r="AC3083" s="269"/>
      <c r="AD3083" s="269"/>
      <c r="AE3083" s="269"/>
      <c r="AF3083" s="269"/>
      <c r="AG3083" s="269"/>
      <c r="AH3083" s="269"/>
      <c r="AI3083" s="269"/>
      <c r="AJ3083" s="269"/>
      <c r="AK3083" s="269"/>
      <c r="AL3083" s="269"/>
      <c r="AM3083" s="269"/>
      <c r="AN3083" s="269"/>
      <c r="AO3083" s="269"/>
      <c r="AP3083" s="269"/>
      <c r="AQ3083" s="269"/>
      <c r="AR3083" s="269"/>
    </row>
    <row r="3084">
      <c r="A3084" s="410"/>
      <c r="B3084" s="410"/>
      <c r="C3084" s="410"/>
      <c r="D3084" s="410"/>
      <c r="E3084" s="410"/>
      <c r="F3084" s="410"/>
      <c r="H3084" s="269"/>
      <c r="I3084" s="269"/>
      <c r="J3084" s="269"/>
      <c r="K3084" s="269"/>
      <c r="L3084" s="269"/>
      <c r="M3084" s="269"/>
      <c r="N3084" s="269"/>
      <c r="O3084" s="269"/>
      <c r="P3084" s="269"/>
      <c r="Q3084" s="269"/>
      <c r="R3084" s="269"/>
      <c r="S3084" s="269"/>
      <c r="T3084" s="269"/>
      <c r="U3084" s="269"/>
      <c r="V3084" s="269"/>
      <c r="W3084" s="269"/>
      <c r="X3084" s="269"/>
      <c r="Y3084" s="269"/>
      <c r="Z3084" s="269"/>
      <c r="AA3084" s="269"/>
      <c r="AB3084" s="269"/>
      <c r="AC3084" s="269"/>
      <c r="AD3084" s="269"/>
      <c r="AE3084" s="269"/>
      <c r="AF3084" s="269"/>
      <c r="AG3084" s="269"/>
      <c r="AH3084" s="269"/>
      <c r="AI3084" s="269"/>
      <c r="AJ3084" s="269"/>
      <c r="AK3084" s="269"/>
      <c r="AL3084" s="269"/>
      <c r="AM3084" s="269"/>
      <c r="AN3084" s="269"/>
      <c r="AO3084" s="269"/>
      <c r="AP3084" s="269"/>
      <c r="AQ3084" s="269"/>
      <c r="AR3084" s="269"/>
    </row>
    <row r="3085">
      <c r="A3085" s="410"/>
      <c r="B3085" s="410"/>
      <c r="C3085" s="410"/>
      <c r="D3085" s="410"/>
      <c r="E3085" s="410"/>
      <c r="F3085" s="410"/>
      <c r="H3085" s="269"/>
      <c r="I3085" s="269"/>
      <c r="J3085" s="269"/>
      <c r="K3085" s="269"/>
      <c r="L3085" s="269"/>
      <c r="M3085" s="269"/>
      <c r="N3085" s="269"/>
      <c r="O3085" s="269"/>
      <c r="P3085" s="269"/>
      <c r="Q3085" s="269"/>
      <c r="R3085" s="269"/>
      <c r="S3085" s="269"/>
      <c r="T3085" s="269"/>
      <c r="U3085" s="269"/>
      <c r="V3085" s="269"/>
      <c r="W3085" s="269"/>
      <c r="X3085" s="269"/>
      <c r="Y3085" s="269"/>
      <c r="Z3085" s="269"/>
      <c r="AA3085" s="269"/>
      <c r="AB3085" s="269"/>
      <c r="AC3085" s="269"/>
      <c r="AD3085" s="269"/>
      <c r="AE3085" s="269"/>
      <c r="AF3085" s="269"/>
      <c r="AG3085" s="269"/>
      <c r="AH3085" s="269"/>
      <c r="AI3085" s="269"/>
      <c r="AJ3085" s="269"/>
      <c r="AK3085" s="269"/>
      <c r="AL3085" s="269"/>
      <c r="AM3085" s="269"/>
      <c r="AN3085" s="269"/>
      <c r="AO3085" s="269"/>
      <c r="AP3085" s="269"/>
      <c r="AQ3085" s="269"/>
      <c r="AR3085" s="269"/>
    </row>
    <row r="3086">
      <c r="A3086" s="410"/>
      <c r="B3086" s="410"/>
      <c r="C3086" s="410"/>
      <c r="D3086" s="410"/>
      <c r="E3086" s="410"/>
      <c r="F3086" s="410"/>
      <c r="H3086" s="269"/>
      <c r="I3086" s="269"/>
      <c r="J3086" s="269"/>
      <c r="K3086" s="269"/>
      <c r="L3086" s="269"/>
      <c r="M3086" s="269"/>
      <c r="N3086" s="269"/>
      <c r="O3086" s="269"/>
      <c r="P3086" s="269"/>
      <c r="Q3086" s="269"/>
      <c r="R3086" s="269"/>
      <c r="S3086" s="269"/>
      <c r="T3086" s="269"/>
      <c r="U3086" s="269"/>
      <c r="V3086" s="269"/>
      <c r="W3086" s="269"/>
      <c r="X3086" s="269"/>
      <c r="Y3086" s="269"/>
      <c r="Z3086" s="269"/>
      <c r="AA3086" s="269"/>
      <c r="AB3086" s="269"/>
      <c r="AC3086" s="269"/>
      <c r="AD3086" s="269"/>
      <c r="AE3086" s="269"/>
      <c r="AF3086" s="269"/>
      <c r="AG3086" s="269"/>
      <c r="AH3086" s="269"/>
      <c r="AI3086" s="269"/>
      <c r="AJ3086" s="269"/>
      <c r="AK3086" s="269"/>
      <c r="AL3086" s="269"/>
      <c r="AM3086" s="269"/>
      <c r="AN3086" s="269"/>
      <c r="AO3086" s="269"/>
      <c r="AP3086" s="269"/>
      <c r="AQ3086" s="269"/>
      <c r="AR3086" s="269"/>
    </row>
    <row r="3087">
      <c r="A3087" s="410"/>
      <c r="B3087" s="410"/>
      <c r="C3087" s="410"/>
      <c r="D3087" s="410"/>
      <c r="E3087" s="410"/>
      <c r="F3087" s="410"/>
      <c r="H3087" s="269"/>
      <c r="I3087" s="269"/>
      <c r="J3087" s="269"/>
      <c r="K3087" s="269"/>
      <c r="L3087" s="269"/>
      <c r="M3087" s="269"/>
      <c r="N3087" s="269"/>
      <c r="O3087" s="269"/>
      <c r="P3087" s="269"/>
      <c r="Q3087" s="269"/>
      <c r="R3087" s="269"/>
      <c r="S3087" s="269"/>
      <c r="T3087" s="269"/>
      <c r="U3087" s="269"/>
      <c r="V3087" s="269"/>
      <c r="W3087" s="269"/>
      <c r="X3087" s="269"/>
      <c r="Y3087" s="269"/>
      <c r="Z3087" s="269"/>
      <c r="AA3087" s="269"/>
      <c r="AB3087" s="269"/>
      <c r="AC3087" s="269"/>
      <c r="AD3087" s="269"/>
      <c r="AE3087" s="269"/>
      <c r="AF3087" s="269"/>
      <c r="AG3087" s="269"/>
      <c r="AH3087" s="269"/>
      <c r="AI3087" s="269"/>
      <c r="AJ3087" s="269"/>
      <c r="AK3087" s="269"/>
      <c r="AL3087" s="269"/>
      <c r="AM3087" s="269"/>
      <c r="AN3087" s="269"/>
      <c r="AO3087" s="269"/>
      <c r="AP3087" s="269"/>
      <c r="AQ3087" s="269"/>
      <c r="AR3087" s="269"/>
    </row>
    <row r="3088">
      <c r="A3088" s="410"/>
      <c r="B3088" s="410"/>
      <c r="C3088" s="410"/>
      <c r="D3088" s="410"/>
      <c r="E3088" s="410"/>
      <c r="F3088" s="410"/>
      <c r="H3088" s="269"/>
      <c r="I3088" s="269"/>
      <c r="J3088" s="269"/>
      <c r="K3088" s="269"/>
      <c r="L3088" s="269"/>
      <c r="M3088" s="269"/>
      <c r="N3088" s="269"/>
      <c r="O3088" s="269"/>
      <c r="P3088" s="269"/>
      <c r="Q3088" s="269"/>
      <c r="R3088" s="269"/>
      <c r="S3088" s="269"/>
      <c r="T3088" s="269"/>
      <c r="U3088" s="269"/>
      <c r="V3088" s="269"/>
      <c r="W3088" s="269"/>
      <c r="X3088" s="269"/>
      <c r="Y3088" s="269"/>
      <c r="Z3088" s="269"/>
      <c r="AA3088" s="269"/>
      <c r="AB3088" s="269"/>
      <c r="AC3088" s="269"/>
      <c r="AD3088" s="269"/>
      <c r="AE3088" s="269"/>
      <c r="AF3088" s="269"/>
      <c r="AG3088" s="269"/>
      <c r="AH3088" s="269"/>
      <c r="AI3088" s="269"/>
      <c r="AJ3088" s="269"/>
      <c r="AK3088" s="269"/>
      <c r="AL3088" s="269"/>
      <c r="AM3088" s="269"/>
      <c r="AN3088" s="269"/>
      <c r="AO3088" s="269"/>
      <c r="AP3088" s="269"/>
      <c r="AQ3088" s="269"/>
      <c r="AR3088" s="269"/>
    </row>
    <row r="3089">
      <c r="A3089" s="410"/>
      <c r="B3089" s="410"/>
      <c r="C3089" s="410"/>
      <c r="D3089" s="410"/>
      <c r="E3089" s="410"/>
      <c r="F3089" s="410"/>
      <c r="H3089" s="269"/>
      <c r="I3089" s="269"/>
      <c r="J3089" s="269"/>
      <c r="K3089" s="269"/>
      <c r="L3089" s="269"/>
      <c r="M3089" s="269"/>
      <c r="N3089" s="269"/>
      <c r="O3089" s="269"/>
      <c r="P3089" s="269"/>
      <c r="Q3089" s="269"/>
      <c r="R3089" s="269"/>
      <c r="S3089" s="269"/>
      <c r="T3089" s="269"/>
      <c r="U3089" s="269"/>
      <c r="V3089" s="269"/>
      <c r="W3089" s="269"/>
      <c r="X3089" s="269"/>
      <c r="Y3089" s="269"/>
      <c r="Z3089" s="269"/>
      <c r="AA3089" s="269"/>
      <c r="AB3089" s="269"/>
      <c r="AC3089" s="269"/>
      <c r="AD3089" s="269"/>
      <c r="AE3089" s="269"/>
      <c r="AF3089" s="269"/>
      <c r="AG3089" s="269"/>
      <c r="AH3089" s="269"/>
      <c r="AI3089" s="269"/>
      <c r="AJ3089" s="269"/>
      <c r="AK3089" s="269"/>
      <c r="AL3089" s="269"/>
      <c r="AM3089" s="269"/>
      <c r="AN3089" s="269"/>
      <c r="AO3089" s="269"/>
      <c r="AP3089" s="269"/>
      <c r="AQ3089" s="269"/>
      <c r="AR3089" s="269"/>
    </row>
    <row r="3090">
      <c r="A3090" s="410"/>
      <c r="B3090" s="410"/>
      <c r="C3090" s="410"/>
      <c r="D3090" s="410"/>
      <c r="E3090" s="410"/>
      <c r="F3090" s="410"/>
      <c r="H3090" s="269"/>
      <c r="I3090" s="269"/>
      <c r="J3090" s="269"/>
      <c r="K3090" s="269"/>
      <c r="L3090" s="269"/>
      <c r="M3090" s="269"/>
      <c r="N3090" s="269"/>
      <c r="O3090" s="269"/>
      <c r="P3090" s="269"/>
      <c r="Q3090" s="269"/>
      <c r="R3090" s="269"/>
      <c r="S3090" s="269"/>
      <c r="T3090" s="269"/>
      <c r="U3090" s="269"/>
      <c r="V3090" s="269"/>
      <c r="W3090" s="269"/>
      <c r="X3090" s="269"/>
      <c r="Y3090" s="269"/>
      <c r="Z3090" s="269"/>
      <c r="AA3090" s="269"/>
      <c r="AB3090" s="269"/>
      <c r="AC3090" s="269"/>
      <c r="AD3090" s="269"/>
      <c r="AE3090" s="269"/>
      <c r="AF3090" s="269"/>
      <c r="AG3090" s="269"/>
      <c r="AH3090" s="269"/>
      <c r="AI3090" s="269"/>
      <c r="AJ3090" s="269"/>
      <c r="AK3090" s="269"/>
      <c r="AL3090" s="269"/>
      <c r="AM3090" s="269"/>
      <c r="AN3090" s="269"/>
      <c r="AO3090" s="269"/>
      <c r="AP3090" s="269"/>
      <c r="AQ3090" s="269"/>
      <c r="AR3090" s="269"/>
    </row>
    <row r="3091">
      <c r="A3091" s="410"/>
      <c r="B3091" s="410"/>
      <c r="C3091" s="410"/>
      <c r="D3091" s="410"/>
      <c r="E3091" s="410"/>
      <c r="F3091" s="410"/>
      <c r="H3091" s="269"/>
      <c r="I3091" s="269"/>
      <c r="J3091" s="269"/>
      <c r="K3091" s="269"/>
      <c r="L3091" s="269"/>
      <c r="M3091" s="269"/>
      <c r="N3091" s="269"/>
      <c r="O3091" s="269"/>
      <c r="P3091" s="269"/>
      <c r="Q3091" s="269"/>
      <c r="R3091" s="269"/>
      <c r="S3091" s="269"/>
      <c r="T3091" s="269"/>
      <c r="U3091" s="269"/>
      <c r="V3091" s="269"/>
      <c r="W3091" s="269"/>
      <c r="X3091" s="269"/>
      <c r="Y3091" s="269"/>
      <c r="Z3091" s="269"/>
      <c r="AA3091" s="269"/>
      <c r="AB3091" s="269"/>
      <c r="AC3091" s="269"/>
      <c r="AD3091" s="269"/>
      <c r="AE3091" s="269"/>
      <c r="AF3091" s="269"/>
      <c r="AG3091" s="269"/>
      <c r="AH3091" s="269"/>
      <c r="AI3091" s="269"/>
      <c r="AJ3091" s="269"/>
      <c r="AK3091" s="269"/>
      <c r="AL3091" s="269"/>
      <c r="AM3091" s="269"/>
      <c r="AN3091" s="269"/>
      <c r="AO3091" s="269"/>
      <c r="AP3091" s="269"/>
      <c r="AQ3091" s="269"/>
      <c r="AR3091" s="269"/>
    </row>
    <row r="3092">
      <c r="A3092" s="410"/>
      <c r="B3092" s="410"/>
      <c r="C3092" s="410"/>
      <c r="D3092" s="410"/>
      <c r="E3092" s="410"/>
      <c r="F3092" s="410"/>
      <c r="H3092" s="269"/>
      <c r="I3092" s="269"/>
      <c r="J3092" s="269"/>
      <c r="K3092" s="269"/>
      <c r="L3092" s="269"/>
      <c r="M3092" s="269"/>
      <c r="N3092" s="269"/>
      <c r="O3092" s="269"/>
      <c r="P3092" s="269"/>
      <c r="Q3092" s="269"/>
      <c r="R3092" s="269"/>
      <c r="S3092" s="269"/>
      <c r="T3092" s="269"/>
      <c r="U3092" s="269"/>
      <c r="V3092" s="269"/>
      <c r="W3092" s="269"/>
      <c r="X3092" s="269"/>
      <c r="Y3092" s="269"/>
      <c r="Z3092" s="269"/>
      <c r="AA3092" s="269"/>
      <c r="AB3092" s="269"/>
      <c r="AC3092" s="269"/>
      <c r="AD3092" s="269"/>
      <c r="AE3092" s="269"/>
      <c r="AF3092" s="269"/>
      <c r="AG3092" s="269"/>
      <c r="AH3092" s="269"/>
      <c r="AI3092" s="269"/>
      <c r="AJ3092" s="269"/>
      <c r="AK3092" s="269"/>
      <c r="AL3092" s="269"/>
      <c r="AM3092" s="269"/>
      <c r="AN3092" s="269"/>
      <c r="AO3092" s="269"/>
      <c r="AP3092" s="269"/>
      <c r="AQ3092" s="269"/>
      <c r="AR3092" s="269"/>
    </row>
    <row r="3093">
      <c r="A3093" s="410"/>
      <c r="B3093" s="410"/>
      <c r="C3093" s="410"/>
      <c r="D3093" s="410"/>
      <c r="E3093" s="410"/>
      <c r="F3093" s="410"/>
      <c r="H3093" s="269"/>
      <c r="I3093" s="269"/>
      <c r="J3093" s="269"/>
      <c r="K3093" s="269"/>
      <c r="L3093" s="269"/>
      <c r="M3093" s="269"/>
      <c r="N3093" s="269"/>
      <c r="O3093" s="269"/>
      <c r="P3093" s="269"/>
      <c r="Q3093" s="269"/>
      <c r="R3093" s="269"/>
      <c r="S3093" s="269"/>
      <c r="T3093" s="269"/>
      <c r="U3093" s="269"/>
      <c r="V3093" s="269"/>
      <c r="W3093" s="269"/>
      <c r="X3093" s="269"/>
      <c r="Y3093" s="269"/>
      <c r="Z3093" s="269"/>
      <c r="AA3093" s="269"/>
      <c r="AB3093" s="269"/>
      <c r="AC3093" s="269"/>
      <c r="AD3093" s="269"/>
      <c r="AE3093" s="269"/>
      <c r="AF3093" s="269"/>
      <c r="AG3093" s="269"/>
      <c r="AH3093" s="269"/>
      <c r="AI3093" s="269"/>
      <c r="AJ3093" s="269"/>
      <c r="AK3093" s="269"/>
      <c r="AL3093" s="269"/>
      <c r="AM3093" s="269"/>
      <c r="AN3093" s="269"/>
      <c r="AO3093" s="269"/>
      <c r="AP3093" s="269"/>
      <c r="AQ3093" s="269"/>
      <c r="AR3093" s="269"/>
    </row>
    <row r="3094">
      <c r="A3094" s="410"/>
      <c r="B3094" s="410"/>
      <c r="C3094" s="410"/>
      <c r="D3094" s="410"/>
      <c r="E3094" s="410"/>
      <c r="F3094" s="410"/>
      <c r="H3094" s="269"/>
      <c r="I3094" s="269"/>
      <c r="J3094" s="269"/>
      <c r="K3094" s="269"/>
      <c r="L3094" s="269"/>
      <c r="M3094" s="269"/>
      <c r="N3094" s="269"/>
      <c r="O3094" s="269"/>
      <c r="P3094" s="269"/>
      <c r="Q3094" s="269"/>
      <c r="R3094" s="269"/>
      <c r="S3094" s="269"/>
      <c r="T3094" s="269"/>
      <c r="U3094" s="269"/>
      <c r="V3094" s="269"/>
      <c r="W3094" s="269"/>
      <c r="X3094" s="269"/>
      <c r="Y3094" s="269"/>
      <c r="Z3094" s="269"/>
      <c r="AA3094" s="269"/>
      <c r="AB3094" s="269"/>
      <c r="AC3094" s="269"/>
      <c r="AD3094" s="269"/>
      <c r="AE3094" s="269"/>
      <c r="AF3094" s="269"/>
      <c r="AG3094" s="269"/>
      <c r="AH3094" s="269"/>
      <c r="AI3094" s="269"/>
      <c r="AJ3094" s="269"/>
      <c r="AK3094" s="269"/>
      <c r="AL3094" s="269"/>
      <c r="AM3094" s="269"/>
      <c r="AN3094" s="269"/>
      <c r="AO3094" s="269"/>
      <c r="AP3094" s="269"/>
      <c r="AQ3094" s="269"/>
      <c r="AR3094" s="269"/>
    </row>
    <row r="3095">
      <c r="A3095" s="410"/>
      <c r="B3095" s="410"/>
      <c r="C3095" s="410"/>
      <c r="D3095" s="410"/>
      <c r="E3095" s="410"/>
      <c r="F3095" s="410"/>
      <c r="H3095" s="269"/>
      <c r="I3095" s="269"/>
      <c r="J3095" s="269"/>
      <c r="K3095" s="269"/>
      <c r="L3095" s="269"/>
      <c r="M3095" s="269"/>
      <c r="N3095" s="269"/>
      <c r="O3095" s="269"/>
      <c r="P3095" s="269"/>
      <c r="Q3095" s="269"/>
      <c r="R3095" s="269"/>
      <c r="S3095" s="269"/>
      <c r="T3095" s="269"/>
      <c r="U3095" s="269"/>
      <c r="V3095" s="269"/>
      <c r="W3095" s="269"/>
      <c r="X3095" s="269"/>
      <c r="Y3095" s="269"/>
      <c r="Z3095" s="269"/>
      <c r="AA3095" s="269"/>
      <c r="AB3095" s="269"/>
      <c r="AC3095" s="269"/>
      <c r="AD3095" s="269"/>
      <c r="AE3095" s="269"/>
      <c r="AF3095" s="269"/>
      <c r="AG3095" s="269"/>
      <c r="AH3095" s="269"/>
      <c r="AI3095" s="269"/>
      <c r="AJ3095" s="269"/>
      <c r="AK3095" s="269"/>
      <c r="AL3095" s="269"/>
      <c r="AM3095" s="269"/>
      <c r="AN3095" s="269"/>
      <c r="AO3095" s="269"/>
      <c r="AP3095" s="269"/>
      <c r="AQ3095" s="269"/>
      <c r="AR3095" s="269"/>
    </row>
    <row r="3096">
      <c r="A3096" s="410"/>
      <c r="B3096" s="410"/>
      <c r="C3096" s="410"/>
      <c r="D3096" s="410"/>
      <c r="E3096" s="410"/>
      <c r="F3096" s="410"/>
      <c r="H3096" s="269"/>
      <c r="I3096" s="269"/>
      <c r="J3096" s="269"/>
      <c r="K3096" s="269"/>
      <c r="L3096" s="269"/>
      <c r="M3096" s="269"/>
      <c r="N3096" s="269"/>
      <c r="O3096" s="269"/>
      <c r="P3096" s="269"/>
      <c r="Q3096" s="269"/>
      <c r="R3096" s="269"/>
      <c r="S3096" s="269"/>
      <c r="T3096" s="269"/>
      <c r="U3096" s="269"/>
      <c r="V3096" s="269"/>
      <c r="W3096" s="269"/>
      <c r="X3096" s="269"/>
      <c r="Y3096" s="269"/>
      <c r="Z3096" s="269"/>
      <c r="AA3096" s="269"/>
      <c r="AB3096" s="269"/>
      <c r="AC3096" s="269"/>
      <c r="AD3096" s="269"/>
      <c r="AE3096" s="269"/>
      <c r="AF3096" s="269"/>
      <c r="AG3096" s="269"/>
      <c r="AH3096" s="269"/>
      <c r="AI3096" s="269"/>
      <c r="AJ3096" s="269"/>
      <c r="AK3096" s="269"/>
      <c r="AL3096" s="269"/>
      <c r="AM3096" s="269"/>
      <c r="AN3096" s="269"/>
      <c r="AO3096" s="269"/>
      <c r="AP3096" s="269"/>
      <c r="AQ3096" s="269"/>
      <c r="AR3096" s="269"/>
    </row>
    <row r="3097">
      <c r="A3097" s="410"/>
      <c r="B3097" s="410"/>
      <c r="C3097" s="410"/>
      <c r="D3097" s="410"/>
      <c r="E3097" s="410"/>
      <c r="F3097" s="410"/>
      <c r="H3097" s="269"/>
      <c r="I3097" s="269"/>
      <c r="J3097" s="269"/>
      <c r="K3097" s="269"/>
      <c r="L3097" s="269"/>
      <c r="M3097" s="269"/>
      <c r="N3097" s="269"/>
      <c r="O3097" s="269"/>
      <c r="P3097" s="269"/>
      <c r="Q3097" s="269"/>
      <c r="R3097" s="269"/>
      <c r="S3097" s="269"/>
      <c r="T3097" s="269"/>
      <c r="U3097" s="269"/>
      <c r="V3097" s="269"/>
      <c r="W3097" s="269"/>
      <c r="X3097" s="269"/>
      <c r="Y3097" s="269"/>
      <c r="Z3097" s="269"/>
      <c r="AA3097" s="269"/>
      <c r="AB3097" s="269"/>
      <c r="AC3097" s="269"/>
      <c r="AD3097" s="269"/>
      <c r="AE3097" s="269"/>
      <c r="AF3097" s="269"/>
      <c r="AG3097" s="269"/>
      <c r="AH3097" s="269"/>
      <c r="AI3097" s="269"/>
      <c r="AJ3097" s="269"/>
      <c r="AK3097" s="269"/>
      <c r="AL3097" s="269"/>
      <c r="AM3097" s="269"/>
      <c r="AN3097" s="269"/>
      <c r="AO3097" s="269"/>
      <c r="AP3097" s="269"/>
      <c r="AQ3097" s="269"/>
      <c r="AR3097" s="269"/>
    </row>
    <row r="3098">
      <c r="A3098" s="410"/>
      <c r="B3098" s="410"/>
      <c r="C3098" s="410"/>
      <c r="D3098" s="410"/>
      <c r="E3098" s="410"/>
      <c r="F3098" s="410"/>
      <c r="H3098" s="269"/>
      <c r="I3098" s="269"/>
      <c r="J3098" s="269"/>
      <c r="K3098" s="269"/>
      <c r="L3098" s="269"/>
      <c r="M3098" s="269"/>
      <c r="N3098" s="269"/>
      <c r="O3098" s="269"/>
      <c r="P3098" s="269"/>
      <c r="Q3098" s="269"/>
      <c r="R3098" s="269"/>
      <c r="S3098" s="269"/>
      <c r="T3098" s="269"/>
      <c r="U3098" s="269"/>
      <c r="V3098" s="269"/>
      <c r="W3098" s="269"/>
      <c r="X3098" s="269"/>
      <c r="Y3098" s="269"/>
      <c r="Z3098" s="269"/>
      <c r="AA3098" s="269"/>
      <c r="AB3098" s="269"/>
      <c r="AC3098" s="269"/>
      <c r="AD3098" s="269"/>
      <c r="AE3098" s="269"/>
      <c r="AF3098" s="269"/>
      <c r="AG3098" s="269"/>
      <c r="AH3098" s="269"/>
      <c r="AI3098" s="269"/>
      <c r="AJ3098" s="269"/>
      <c r="AK3098" s="269"/>
      <c r="AL3098" s="269"/>
      <c r="AM3098" s="269"/>
      <c r="AN3098" s="269"/>
      <c r="AO3098" s="269"/>
      <c r="AP3098" s="269"/>
      <c r="AQ3098" s="269"/>
      <c r="AR3098" s="269"/>
    </row>
    <row r="3099">
      <c r="A3099" s="410"/>
      <c r="B3099" s="410"/>
      <c r="C3099" s="410"/>
      <c r="D3099" s="410"/>
      <c r="E3099" s="410"/>
      <c r="F3099" s="410"/>
      <c r="H3099" s="269"/>
      <c r="I3099" s="269"/>
      <c r="J3099" s="269"/>
      <c r="K3099" s="269"/>
      <c r="L3099" s="269"/>
      <c r="M3099" s="269"/>
      <c r="N3099" s="269"/>
      <c r="O3099" s="269"/>
      <c r="P3099" s="269"/>
      <c r="Q3099" s="269"/>
      <c r="R3099" s="269"/>
      <c r="S3099" s="269"/>
      <c r="T3099" s="269"/>
      <c r="U3099" s="269"/>
      <c r="V3099" s="269"/>
      <c r="W3099" s="269"/>
      <c r="X3099" s="269"/>
      <c r="Y3099" s="269"/>
      <c r="Z3099" s="269"/>
      <c r="AA3099" s="269"/>
      <c r="AB3099" s="269"/>
      <c r="AC3099" s="269"/>
      <c r="AD3099" s="269"/>
      <c r="AE3099" s="269"/>
      <c r="AF3099" s="269"/>
      <c r="AG3099" s="269"/>
      <c r="AH3099" s="269"/>
      <c r="AI3099" s="269"/>
      <c r="AJ3099" s="269"/>
      <c r="AK3099" s="269"/>
      <c r="AL3099" s="269"/>
      <c r="AM3099" s="269"/>
      <c r="AN3099" s="269"/>
      <c r="AO3099" s="269"/>
      <c r="AP3099" s="269"/>
      <c r="AQ3099" s="269"/>
      <c r="AR3099" s="269"/>
    </row>
    <row r="3100">
      <c r="A3100" s="410"/>
      <c r="B3100" s="410"/>
      <c r="C3100" s="410"/>
      <c r="D3100" s="410"/>
      <c r="E3100" s="410"/>
      <c r="F3100" s="410"/>
      <c r="H3100" s="269"/>
      <c r="I3100" s="269"/>
      <c r="J3100" s="269"/>
      <c r="K3100" s="269"/>
      <c r="L3100" s="269"/>
      <c r="M3100" s="269"/>
      <c r="N3100" s="269"/>
      <c r="O3100" s="269"/>
      <c r="P3100" s="269"/>
      <c r="Q3100" s="269"/>
      <c r="R3100" s="269"/>
      <c r="S3100" s="269"/>
      <c r="T3100" s="269"/>
      <c r="U3100" s="269"/>
      <c r="V3100" s="269"/>
      <c r="W3100" s="269"/>
      <c r="X3100" s="269"/>
      <c r="Y3100" s="269"/>
      <c r="Z3100" s="269"/>
      <c r="AA3100" s="269"/>
      <c r="AB3100" s="269"/>
      <c r="AC3100" s="269"/>
      <c r="AD3100" s="269"/>
      <c r="AE3100" s="269"/>
      <c r="AF3100" s="269"/>
      <c r="AG3100" s="269"/>
      <c r="AH3100" s="269"/>
      <c r="AI3100" s="269"/>
      <c r="AJ3100" s="269"/>
      <c r="AK3100" s="269"/>
      <c r="AL3100" s="269"/>
      <c r="AM3100" s="269"/>
      <c r="AN3100" s="269"/>
      <c r="AO3100" s="269"/>
      <c r="AP3100" s="269"/>
      <c r="AQ3100" s="269"/>
      <c r="AR3100" s="269"/>
    </row>
    <row r="3101">
      <c r="A3101" s="410"/>
      <c r="B3101" s="410"/>
      <c r="C3101" s="410"/>
      <c r="D3101" s="410"/>
      <c r="E3101" s="410"/>
      <c r="F3101" s="410"/>
      <c r="H3101" s="269"/>
      <c r="I3101" s="269"/>
      <c r="J3101" s="269"/>
      <c r="K3101" s="269"/>
      <c r="L3101" s="269"/>
      <c r="M3101" s="269"/>
      <c r="N3101" s="269"/>
      <c r="O3101" s="269"/>
      <c r="P3101" s="269"/>
      <c r="Q3101" s="269"/>
      <c r="R3101" s="269"/>
      <c r="S3101" s="269"/>
      <c r="T3101" s="269"/>
      <c r="U3101" s="269"/>
      <c r="V3101" s="269"/>
      <c r="W3101" s="269"/>
      <c r="X3101" s="269"/>
      <c r="Y3101" s="269"/>
      <c r="Z3101" s="269"/>
      <c r="AA3101" s="269"/>
      <c r="AB3101" s="269"/>
      <c r="AC3101" s="269"/>
      <c r="AD3101" s="269"/>
      <c r="AE3101" s="269"/>
      <c r="AF3101" s="269"/>
      <c r="AG3101" s="269"/>
      <c r="AH3101" s="269"/>
      <c r="AI3101" s="269"/>
      <c r="AJ3101" s="269"/>
      <c r="AK3101" s="269"/>
      <c r="AL3101" s="269"/>
      <c r="AM3101" s="269"/>
      <c r="AN3101" s="269"/>
      <c r="AO3101" s="269"/>
      <c r="AP3101" s="269"/>
      <c r="AQ3101" s="269"/>
      <c r="AR3101" s="269"/>
    </row>
    <row r="3102">
      <c r="A3102" s="410"/>
      <c r="B3102" s="410"/>
      <c r="C3102" s="410"/>
      <c r="D3102" s="410"/>
      <c r="E3102" s="410"/>
      <c r="F3102" s="410"/>
      <c r="H3102" s="269"/>
      <c r="I3102" s="269"/>
      <c r="J3102" s="269"/>
      <c r="K3102" s="269"/>
      <c r="L3102" s="269"/>
      <c r="M3102" s="269"/>
      <c r="N3102" s="269"/>
      <c r="O3102" s="269"/>
      <c r="P3102" s="269"/>
      <c r="Q3102" s="269"/>
      <c r="R3102" s="269"/>
      <c r="S3102" s="269"/>
      <c r="T3102" s="269"/>
      <c r="U3102" s="269"/>
      <c r="V3102" s="269"/>
      <c r="W3102" s="269"/>
      <c r="X3102" s="269"/>
      <c r="Y3102" s="269"/>
      <c r="Z3102" s="269"/>
      <c r="AA3102" s="269"/>
      <c r="AB3102" s="269"/>
      <c r="AC3102" s="269"/>
      <c r="AD3102" s="269"/>
      <c r="AE3102" s="269"/>
      <c r="AF3102" s="269"/>
      <c r="AG3102" s="269"/>
      <c r="AH3102" s="269"/>
      <c r="AI3102" s="269"/>
      <c r="AJ3102" s="269"/>
      <c r="AK3102" s="269"/>
      <c r="AL3102" s="269"/>
      <c r="AM3102" s="269"/>
      <c r="AN3102" s="269"/>
      <c r="AO3102" s="269"/>
      <c r="AP3102" s="269"/>
      <c r="AQ3102" s="269"/>
      <c r="AR3102" s="269"/>
    </row>
    <row r="3103">
      <c r="A3103" s="410"/>
      <c r="B3103" s="410"/>
      <c r="C3103" s="410"/>
      <c r="D3103" s="410"/>
      <c r="E3103" s="410"/>
      <c r="F3103" s="410"/>
      <c r="H3103" s="269"/>
      <c r="I3103" s="269"/>
      <c r="J3103" s="269"/>
      <c r="K3103" s="269"/>
      <c r="L3103" s="269"/>
      <c r="M3103" s="269"/>
      <c r="N3103" s="269"/>
      <c r="O3103" s="269"/>
      <c r="P3103" s="269"/>
      <c r="Q3103" s="269"/>
      <c r="R3103" s="269"/>
      <c r="S3103" s="269"/>
      <c r="T3103" s="269"/>
      <c r="U3103" s="269"/>
      <c r="V3103" s="269"/>
      <c r="W3103" s="269"/>
      <c r="X3103" s="269"/>
      <c r="Y3103" s="269"/>
      <c r="Z3103" s="269"/>
      <c r="AA3103" s="269"/>
      <c r="AB3103" s="269"/>
      <c r="AC3103" s="269"/>
      <c r="AD3103" s="269"/>
      <c r="AE3103" s="269"/>
      <c r="AF3103" s="269"/>
      <c r="AG3103" s="269"/>
      <c r="AH3103" s="269"/>
      <c r="AI3103" s="269"/>
      <c r="AJ3103" s="269"/>
      <c r="AK3103" s="269"/>
      <c r="AL3103" s="269"/>
      <c r="AM3103" s="269"/>
      <c r="AN3103" s="269"/>
      <c r="AO3103" s="269"/>
      <c r="AP3103" s="269"/>
      <c r="AQ3103" s="269"/>
      <c r="AR3103" s="269"/>
    </row>
    <row r="3104">
      <c r="A3104" s="410"/>
      <c r="B3104" s="410"/>
      <c r="C3104" s="410"/>
      <c r="D3104" s="410"/>
      <c r="E3104" s="410"/>
      <c r="F3104" s="410"/>
      <c r="H3104" s="269"/>
      <c r="I3104" s="269"/>
      <c r="J3104" s="269"/>
      <c r="K3104" s="269"/>
      <c r="L3104" s="269"/>
      <c r="M3104" s="269"/>
      <c r="N3104" s="269"/>
      <c r="O3104" s="269"/>
      <c r="P3104" s="269"/>
      <c r="Q3104" s="269"/>
      <c r="R3104" s="269"/>
      <c r="S3104" s="269"/>
      <c r="T3104" s="269"/>
      <c r="U3104" s="269"/>
      <c r="V3104" s="269"/>
      <c r="W3104" s="269"/>
      <c r="X3104" s="269"/>
      <c r="Y3104" s="269"/>
      <c r="Z3104" s="269"/>
      <c r="AA3104" s="269"/>
      <c r="AB3104" s="269"/>
      <c r="AC3104" s="269"/>
      <c r="AD3104" s="269"/>
      <c r="AE3104" s="269"/>
      <c r="AF3104" s="269"/>
      <c r="AG3104" s="269"/>
      <c r="AH3104" s="269"/>
      <c r="AI3104" s="269"/>
      <c r="AJ3104" s="269"/>
      <c r="AK3104" s="269"/>
      <c r="AL3104" s="269"/>
      <c r="AM3104" s="269"/>
      <c r="AN3104" s="269"/>
      <c r="AO3104" s="269"/>
      <c r="AP3104" s="269"/>
      <c r="AQ3104" s="269"/>
      <c r="AR3104" s="269"/>
    </row>
    <row r="3105">
      <c r="A3105" s="410"/>
      <c r="B3105" s="410"/>
      <c r="C3105" s="410"/>
      <c r="D3105" s="410"/>
      <c r="E3105" s="410"/>
      <c r="F3105" s="410"/>
      <c r="H3105" s="269"/>
      <c r="I3105" s="269"/>
      <c r="J3105" s="269"/>
      <c r="K3105" s="269"/>
      <c r="L3105" s="269"/>
      <c r="M3105" s="269"/>
      <c r="N3105" s="269"/>
      <c r="O3105" s="269"/>
      <c r="P3105" s="269"/>
      <c r="Q3105" s="269"/>
      <c r="R3105" s="269"/>
      <c r="S3105" s="269"/>
      <c r="T3105" s="269"/>
      <c r="U3105" s="269"/>
      <c r="V3105" s="269"/>
      <c r="W3105" s="269"/>
      <c r="X3105" s="269"/>
      <c r="Y3105" s="269"/>
      <c r="Z3105" s="269"/>
      <c r="AA3105" s="269"/>
      <c r="AB3105" s="269"/>
      <c r="AC3105" s="269"/>
      <c r="AD3105" s="269"/>
      <c r="AE3105" s="269"/>
      <c r="AF3105" s="269"/>
      <c r="AG3105" s="269"/>
      <c r="AH3105" s="269"/>
      <c r="AI3105" s="269"/>
      <c r="AJ3105" s="269"/>
      <c r="AK3105" s="269"/>
      <c r="AL3105" s="269"/>
      <c r="AM3105" s="269"/>
      <c r="AN3105" s="269"/>
      <c r="AO3105" s="269"/>
      <c r="AP3105" s="269"/>
      <c r="AQ3105" s="269"/>
      <c r="AR3105" s="269"/>
    </row>
    <row r="3106">
      <c r="A3106" s="410"/>
      <c r="B3106" s="410"/>
      <c r="C3106" s="410"/>
      <c r="D3106" s="410"/>
      <c r="E3106" s="410"/>
      <c r="F3106" s="410"/>
      <c r="H3106" s="269"/>
      <c r="I3106" s="269"/>
      <c r="J3106" s="269"/>
      <c r="K3106" s="269"/>
      <c r="L3106" s="269"/>
      <c r="M3106" s="269"/>
      <c r="N3106" s="269"/>
      <c r="O3106" s="269"/>
      <c r="P3106" s="269"/>
      <c r="Q3106" s="269"/>
      <c r="R3106" s="269"/>
      <c r="S3106" s="269"/>
      <c r="T3106" s="269"/>
      <c r="U3106" s="269"/>
      <c r="V3106" s="269"/>
      <c r="W3106" s="269"/>
      <c r="X3106" s="269"/>
      <c r="Y3106" s="269"/>
      <c r="Z3106" s="269"/>
      <c r="AA3106" s="269"/>
      <c r="AB3106" s="269"/>
      <c r="AC3106" s="269"/>
      <c r="AD3106" s="269"/>
      <c r="AE3106" s="269"/>
      <c r="AF3106" s="269"/>
      <c r="AG3106" s="269"/>
      <c r="AH3106" s="269"/>
      <c r="AI3106" s="269"/>
      <c r="AJ3106" s="269"/>
      <c r="AK3106" s="269"/>
      <c r="AL3106" s="269"/>
      <c r="AM3106" s="269"/>
      <c r="AN3106" s="269"/>
      <c r="AO3106" s="269"/>
      <c r="AP3106" s="269"/>
      <c r="AQ3106" s="269"/>
      <c r="AR3106" s="269"/>
    </row>
    <row r="3107">
      <c r="A3107" s="410"/>
      <c r="B3107" s="410"/>
      <c r="C3107" s="410"/>
      <c r="D3107" s="410"/>
      <c r="E3107" s="410"/>
      <c r="F3107" s="410"/>
      <c r="H3107" s="269"/>
      <c r="I3107" s="269"/>
      <c r="J3107" s="269"/>
      <c r="K3107" s="269"/>
      <c r="L3107" s="269"/>
      <c r="M3107" s="269"/>
      <c r="N3107" s="269"/>
      <c r="O3107" s="269"/>
      <c r="P3107" s="269"/>
      <c r="Q3107" s="269"/>
      <c r="R3107" s="269"/>
      <c r="S3107" s="269"/>
      <c r="T3107" s="269"/>
      <c r="U3107" s="269"/>
      <c r="V3107" s="269"/>
      <c r="W3107" s="269"/>
      <c r="X3107" s="269"/>
      <c r="Y3107" s="269"/>
      <c r="Z3107" s="269"/>
      <c r="AA3107" s="269"/>
      <c r="AB3107" s="269"/>
      <c r="AC3107" s="269"/>
      <c r="AD3107" s="269"/>
      <c r="AE3107" s="269"/>
      <c r="AF3107" s="269"/>
      <c r="AG3107" s="269"/>
      <c r="AH3107" s="269"/>
      <c r="AI3107" s="269"/>
      <c r="AJ3107" s="269"/>
      <c r="AK3107" s="269"/>
      <c r="AL3107" s="269"/>
      <c r="AM3107" s="269"/>
      <c r="AN3107" s="269"/>
      <c r="AO3107" s="269"/>
      <c r="AP3107" s="269"/>
      <c r="AQ3107" s="269"/>
      <c r="AR3107" s="269"/>
    </row>
    <row r="3108">
      <c r="A3108" s="410"/>
      <c r="B3108" s="410"/>
      <c r="C3108" s="410"/>
      <c r="D3108" s="410"/>
      <c r="E3108" s="410"/>
      <c r="F3108" s="410"/>
      <c r="H3108" s="269"/>
      <c r="I3108" s="269"/>
      <c r="J3108" s="269"/>
      <c r="K3108" s="269"/>
      <c r="L3108" s="269"/>
      <c r="M3108" s="269"/>
      <c r="N3108" s="269"/>
      <c r="O3108" s="269"/>
      <c r="P3108" s="269"/>
      <c r="Q3108" s="269"/>
      <c r="R3108" s="269"/>
      <c r="S3108" s="269"/>
      <c r="T3108" s="269"/>
      <c r="U3108" s="269"/>
      <c r="V3108" s="269"/>
      <c r="W3108" s="269"/>
      <c r="X3108" s="269"/>
      <c r="Y3108" s="269"/>
      <c r="Z3108" s="269"/>
      <c r="AA3108" s="269"/>
      <c r="AB3108" s="269"/>
      <c r="AC3108" s="269"/>
      <c r="AD3108" s="269"/>
      <c r="AE3108" s="269"/>
      <c r="AF3108" s="269"/>
      <c r="AG3108" s="269"/>
      <c r="AH3108" s="269"/>
      <c r="AI3108" s="269"/>
      <c r="AJ3108" s="269"/>
      <c r="AK3108" s="269"/>
      <c r="AL3108" s="269"/>
      <c r="AM3108" s="269"/>
      <c r="AN3108" s="269"/>
      <c r="AO3108" s="269"/>
      <c r="AP3108" s="269"/>
      <c r="AQ3108" s="269"/>
      <c r="AR3108" s="269"/>
    </row>
    <row r="3109">
      <c r="A3109" s="410"/>
      <c r="B3109" s="410"/>
      <c r="C3109" s="410"/>
      <c r="D3109" s="410"/>
      <c r="E3109" s="410"/>
      <c r="F3109" s="410"/>
      <c r="H3109" s="269"/>
      <c r="I3109" s="269"/>
      <c r="J3109" s="269"/>
      <c r="K3109" s="269"/>
      <c r="L3109" s="269"/>
      <c r="M3109" s="269"/>
      <c r="N3109" s="269"/>
      <c r="O3109" s="269"/>
      <c r="P3109" s="269"/>
      <c r="Q3109" s="269"/>
      <c r="R3109" s="269"/>
      <c r="S3109" s="269"/>
      <c r="T3109" s="269"/>
      <c r="U3109" s="269"/>
      <c r="V3109" s="269"/>
      <c r="W3109" s="269"/>
      <c r="X3109" s="269"/>
      <c r="Y3109" s="269"/>
      <c r="Z3109" s="269"/>
      <c r="AA3109" s="269"/>
      <c r="AB3109" s="269"/>
      <c r="AC3109" s="269"/>
      <c r="AD3109" s="269"/>
      <c r="AE3109" s="269"/>
      <c r="AF3109" s="269"/>
      <c r="AG3109" s="269"/>
      <c r="AH3109" s="269"/>
      <c r="AI3109" s="269"/>
      <c r="AJ3109" s="269"/>
      <c r="AK3109" s="269"/>
      <c r="AL3109" s="269"/>
      <c r="AM3109" s="269"/>
      <c r="AN3109" s="269"/>
      <c r="AO3109" s="269"/>
      <c r="AP3109" s="269"/>
      <c r="AQ3109" s="269"/>
      <c r="AR3109" s="269"/>
    </row>
    <row r="3110">
      <c r="A3110" s="410"/>
      <c r="B3110" s="410"/>
      <c r="C3110" s="410"/>
      <c r="D3110" s="410"/>
      <c r="E3110" s="410"/>
      <c r="F3110" s="410"/>
      <c r="H3110" s="269"/>
      <c r="I3110" s="269"/>
      <c r="J3110" s="269"/>
      <c r="K3110" s="269"/>
      <c r="L3110" s="269"/>
      <c r="M3110" s="269"/>
      <c r="N3110" s="269"/>
      <c r="O3110" s="269"/>
      <c r="P3110" s="269"/>
      <c r="Q3110" s="269"/>
      <c r="R3110" s="269"/>
      <c r="S3110" s="269"/>
      <c r="T3110" s="269"/>
      <c r="U3110" s="269"/>
      <c r="V3110" s="269"/>
      <c r="W3110" s="269"/>
      <c r="X3110" s="269"/>
      <c r="Y3110" s="269"/>
      <c r="Z3110" s="269"/>
      <c r="AA3110" s="269"/>
      <c r="AB3110" s="269"/>
      <c r="AC3110" s="269"/>
      <c r="AD3110" s="269"/>
      <c r="AE3110" s="269"/>
      <c r="AF3110" s="269"/>
      <c r="AG3110" s="269"/>
      <c r="AH3110" s="269"/>
      <c r="AI3110" s="269"/>
      <c r="AJ3110" s="269"/>
      <c r="AK3110" s="269"/>
      <c r="AL3110" s="269"/>
      <c r="AM3110" s="269"/>
      <c r="AN3110" s="269"/>
      <c r="AO3110" s="269"/>
      <c r="AP3110" s="269"/>
      <c r="AQ3110" s="269"/>
      <c r="AR3110" s="269"/>
    </row>
    <row r="3111">
      <c r="A3111" s="410"/>
      <c r="B3111" s="410"/>
      <c r="C3111" s="410"/>
      <c r="D3111" s="410"/>
      <c r="E3111" s="410"/>
      <c r="F3111" s="410"/>
      <c r="H3111" s="269"/>
      <c r="I3111" s="269"/>
      <c r="J3111" s="269"/>
      <c r="K3111" s="269"/>
      <c r="L3111" s="269"/>
      <c r="M3111" s="269"/>
      <c r="N3111" s="269"/>
      <c r="O3111" s="269"/>
      <c r="P3111" s="269"/>
      <c r="Q3111" s="269"/>
      <c r="R3111" s="269"/>
      <c r="S3111" s="269"/>
      <c r="T3111" s="269"/>
      <c r="U3111" s="269"/>
      <c r="V3111" s="269"/>
      <c r="W3111" s="269"/>
      <c r="X3111" s="269"/>
      <c r="Y3111" s="269"/>
      <c r="Z3111" s="269"/>
      <c r="AA3111" s="269"/>
      <c r="AB3111" s="269"/>
      <c r="AC3111" s="269"/>
      <c r="AD3111" s="269"/>
      <c r="AE3111" s="269"/>
      <c r="AF3111" s="269"/>
      <c r="AG3111" s="269"/>
      <c r="AH3111" s="269"/>
      <c r="AI3111" s="269"/>
      <c r="AJ3111" s="269"/>
      <c r="AK3111" s="269"/>
      <c r="AL3111" s="269"/>
      <c r="AM3111" s="269"/>
      <c r="AN3111" s="269"/>
      <c r="AO3111" s="269"/>
      <c r="AP3111" s="269"/>
      <c r="AQ3111" s="269"/>
      <c r="AR3111" s="269"/>
    </row>
    <row r="3112">
      <c r="A3112" s="410"/>
      <c r="B3112" s="410"/>
      <c r="C3112" s="410"/>
      <c r="D3112" s="410"/>
      <c r="E3112" s="410"/>
      <c r="F3112" s="410"/>
      <c r="H3112" s="269"/>
      <c r="I3112" s="269"/>
      <c r="J3112" s="269"/>
      <c r="K3112" s="269"/>
      <c r="L3112" s="269"/>
      <c r="M3112" s="269"/>
      <c r="N3112" s="269"/>
      <c r="O3112" s="269"/>
      <c r="P3112" s="269"/>
      <c r="Q3112" s="269"/>
      <c r="R3112" s="269"/>
      <c r="S3112" s="269"/>
      <c r="T3112" s="269"/>
      <c r="U3112" s="269"/>
      <c r="V3112" s="269"/>
      <c r="W3112" s="269"/>
      <c r="X3112" s="269"/>
      <c r="Y3112" s="269"/>
      <c r="Z3112" s="269"/>
      <c r="AA3112" s="269"/>
      <c r="AB3112" s="269"/>
      <c r="AC3112" s="269"/>
      <c r="AD3112" s="269"/>
      <c r="AE3112" s="269"/>
      <c r="AF3112" s="269"/>
      <c r="AG3112" s="269"/>
      <c r="AH3112" s="269"/>
      <c r="AI3112" s="269"/>
      <c r="AJ3112" s="269"/>
      <c r="AK3112" s="269"/>
      <c r="AL3112" s="269"/>
      <c r="AM3112" s="269"/>
      <c r="AN3112" s="269"/>
      <c r="AO3112" s="269"/>
      <c r="AP3112" s="269"/>
      <c r="AQ3112" s="269"/>
      <c r="AR3112" s="269"/>
    </row>
    <row r="3113">
      <c r="A3113" s="410"/>
      <c r="B3113" s="410"/>
      <c r="C3113" s="410"/>
      <c r="D3113" s="410"/>
      <c r="E3113" s="410"/>
      <c r="F3113" s="410"/>
      <c r="H3113" s="269"/>
      <c r="I3113" s="269"/>
      <c r="J3113" s="269"/>
      <c r="K3113" s="269"/>
      <c r="L3113" s="269"/>
      <c r="M3113" s="269"/>
      <c r="N3113" s="269"/>
      <c r="O3113" s="269"/>
      <c r="P3113" s="269"/>
      <c r="Q3113" s="269"/>
      <c r="R3113" s="269"/>
      <c r="S3113" s="269"/>
      <c r="T3113" s="269"/>
      <c r="U3113" s="269"/>
      <c r="V3113" s="269"/>
      <c r="W3113" s="269"/>
      <c r="X3113" s="269"/>
      <c r="Y3113" s="269"/>
      <c r="Z3113" s="269"/>
      <c r="AA3113" s="269"/>
      <c r="AB3113" s="269"/>
      <c r="AC3113" s="269"/>
      <c r="AD3113" s="269"/>
      <c r="AE3113" s="269"/>
      <c r="AF3113" s="269"/>
      <c r="AG3113" s="269"/>
      <c r="AH3113" s="269"/>
      <c r="AI3113" s="269"/>
      <c r="AJ3113" s="269"/>
      <c r="AK3113" s="269"/>
      <c r="AL3113" s="269"/>
      <c r="AM3113" s="269"/>
      <c r="AN3113" s="269"/>
      <c r="AO3113" s="269"/>
      <c r="AP3113" s="269"/>
      <c r="AQ3113" s="269"/>
      <c r="AR3113" s="269"/>
    </row>
    <row r="3114">
      <c r="A3114" s="410"/>
      <c r="B3114" s="410"/>
      <c r="C3114" s="410"/>
      <c r="D3114" s="410"/>
      <c r="E3114" s="410"/>
      <c r="F3114" s="410"/>
      <c r="H3114" s="269"/>
      <c r="I3114" s="269"/>
      <c r="J3114" s="269"/>
      <c r="K3114" s="269"/>
      <c r="L3114" s="269"/>
      <c r="M3114" s="269"/>
      <c r="N3114" s="269"/>
      <c r="O3114" s="269"/>
      <c r="P3114" s="269"/>
      <c r="Q3114" s="269"/>
      <c r="R3114" s="269"/>
      <c r="S3114" s="269"/>
      <c r="T3114" s="269"/>
      <c r="U3114" s="269"/>
      <c r="V3114" s="269"/>
      <c r="W3114" s="269"/>
      <c r="X3114" s="269"/>
      <c r="Y3114" s="269"/>
      <c r="Z3114" s="269"/>
      <c r="AA3114" s="269"/>
      <c r="AB3114" s="269"/>
      <c r="AC3114" s="269"/>
      <c r="AD3114" s="269"/>
      <c r="AE3114" s="269"/>
      <c r="AF3114" s="269"/>
      <c r="AG3114" s="269"/>
      <c r="AH3114" s="269"/>
      <c r="AI3114" s="269"/>
      <c r="AJ3114" s="269"/>
      <c r="AK3114" s="269"/>
      <c r="AL3114" s="269"/>
      <c r="AM3114" s="269"/>
      <c r="AN3114" s="269"/>
      <c r="AO3114" s="269"/>
      <c r="AP3114" s="269"/>
      <c r="AQ3114" s="269"/>
      <c r="AR3114" s="269"/>
    </row>
    <row r="3115">
      <c r="A3115" s="410"/>
      <c r="B3115" s="410"/>
      <c r="C3115" s="410"/>
      <c r="D3115" s="410"/>
      <c r="E3115" s="410"/>
      <c r="F3115" s="410"/>
      <c r="H3115" s="269"/>
      <c r="I3115" s="269"/>
      <c r="J3115" s="269"/>
      <c r="K3115" s="269"/>
      <c r="L3115" s="269"/>
      <c r="M3115" s="269"/>
      <c r="N3115" s="269"/>
      <c r="O3115" s="269"/>
      <c r="P3115" s="269"/>
      <c r="Q3115" s="269"/>
      <c r="R3115" s="269"/>
      <c r="S3115" s="269"/>
      <c r="T3115" s="269"/>
      <c r="U3115" s="269"/>
      <c r="V3115" s="269"/>
      <c r="W3115" s="269"/>
      <c r="X3115" s="269"/>
      <c r="Y3115" s="269"/>
      <c r="Z3115" s="269"/>
      <c r="AA3115" s="269"/>
      <c r="AB3115" s="269"/>
      <c r="AC3115" s="269"/>
      <c r="AD3115" s="269"/>
      <c r="AE3115" s="269"/>
      <c r="AF3115" s="269"/>
      <c r="AG3115" s="269"/>
      <c r="AH3115" s="269"/>
      <c r="AI3115" s="269"/>
      <c r="AJ3115" s="269"/>
      <c r="AK3115" s="269"/>
      <c r="AL3115" s="269"/>
      <c r="AM3115" s="269"/>
      <c r="AN3115" s="269"/>
      <c r="AO3115" s="269"/>
      <c r="AP3115" s="269"/>
      <c r="AQ3115" s="269"/>
      <c r="AR3115" s="269"/>
    </row>
    <row r="3116">
      <c r="A3116" s="410"/>
      <c r="B3116" s="410"/>
      <c r="C3116" s="410"/>
      <c r="D3116" s="410"/>
      <c r="E3116" s="410"/>
      <c r="F3116" s="410"/>
      <c r="H3116" s="269"/>
      <c r="I3116" s="269"/>
      <c r="J3116" s="269"/>
      <c r="K3116" s="269"/>
      <c r="L3116" s="269"/>
      <c r="M3116" s="269"/>
      <c r="N3116" s="269"/>
      <c r="O3116" s="269"/>
      <c r="P3116" s="269"/>
      <c r="Q3116" s="269"/>
      <c r="R3116" s="269"/>
      <c r="S3116" s="269"/>
      <c r="T3116" s="269"/>
      <c r="U3116" s="269"/>
      <c r="V3116" s="269"/>
      <c r="W3116" s="269"/>
      <c r="X3116" s="269"/>
      <c r="Y3116" s="269"/>
      <c r="Z3116" s="269"/>
      <c r="AA3116" s="269"/>
      <c r="AB3116" s="269"/>
      <c r="AC3116" s="269"/>
      <c r="AD3116" s="269"/>
      <c r="AE3116" s="269"/>
      <c r="AF3116" s="269"/>
      <c r="AG3116" s="269"/>
      <c r="AH3116" s="269"/>
      <c r="AI3116" s="269"/>
      <c r="AJ3116" s="269"/>
      <c r="AK3116" s="269"/>
      <c r="AL3116" s="269"/>
      <c r="AM3116" s="269"/>
      <c r="AN3116" s="269"/>
      <c r="AO3116" s="269"/>
      <c r="AP3116" s="269"/>
      <c r="AQ3116" s="269"/>
      <c r="AR3116" s="269"/>
    </row>
    <row r="3117">
      <c r="A3117" s="410"/>
      <c r="B3117" s="410"/>
      <c r="C3117" s="410"/>
      <c r="D3117" s="410"/>
      <c r="E3117" s="410"/>
      <c r="F3117" s="410"/>
      <c r="H3117" s="269"/>
      <c r="I3117" s="269"/>
      <c r="J3117" s="269"/>
      <c r="K3117" s="269"/>
      <c r="L3117" s="269"/>
      <c r="M3117" s="269"/>
      <c r="N3117" s="269"/>
      <c r="O3117" s="269"/>
      <c r="P3117" s="269"/>
      <c r="Q3117" s="269"/>
      <c r="R3117" s="269"/>
      <c r="S3117" s="269"/>
      <c r="T3117" s="269"/>
      <c r="U3117" s="269"/>
      <c r="V3117" s="269"/>
      <c r="W3117" s="269"/>
      <c r="X3117" s="269"/>
      <c r="Y3117" s="269"/>
      <c r="Z3117" s="269"/>
      <c r="AA3117" s="269"/>
      <c r="AB3117" s="269"/>
      <c r="AC3117" s="269"/>
      <c r="AD3117" s="269"/>
      <c r="AE3117" s="269"/>
      <c r="AF3117" s="269"/>
      <c r="AG3117" s="269"/>
      <c r="AH3117" s="269"/>
      <c r="AI3117" s="269"/>
      <c r="AJ3117" s="269"/>
      <c r="AK3117" s="269"/>
      <c r="AL3117" s="269"/>
      <c r="AM3117" s="269"/>
      <c r="AN3117" s="269"/>
      <c r="AO3117" s="269"/>
      <c r="AP3117" s="269"/>
      <c r="AQ3117" s="269"/>
      <c r="AR3117" s="269"/>
    </row>
    <row r="3118">
      <c r="A3118" s="410"/>
      <c r="B3118" s="410"/>
      <c r="C3118" s="410"/>
      <c r="D3118" s="410"/>
      <c r="E3118" s="410"/>
      <c r="F3118" s="410"/>
      <c r="H3118" s="269"/>
      <c r="I3118" s="269"/>
      <c r="J3118" s="269"/>
      <c r="K3118" s="269"/>
      <c r="L3118" s="269"/>
      <c r="M3118" s="269"/>
      <c r="N3118" s="269"/>
      <c r="O3118" s="269"/>
      <c r="P3118" s="269"/>
      <c r="Q3118" s="269"/>
      <c r="R3118" s="269"/>
      <c r="S3118" s="269"/>
      <c r="T3118" s="269"/>
      <c r="U3118" s="269"/>
      <c r="V3118" s="269"/>
      <c r="W3118" s="269"/>
      <c r="X3118" s="269"/>
      <c r="Y3118" s="269"/>
      <c r="Z3118" s="269"/>
      <c r="AA3118" s="269"/>
      <c r="AB3118" s="269"/>
      <c r="AC3118" s="269"/>
      <c r="AD3118" s="269"/>
      <c r="AE3118" s="269"/>
      <c r="AF3118" s="269"/>
      <c r="AG3118" s="269"/>
      <c r="AH3118" s="269"/>
      <c r="AI3118" s="269"/>
      <c r="AJ3118" s="269"/>
      <c r="AK3118" s="269"/>
      <c r="AL3118" s="269"/>
      <c r="AM3118" s="269"/>
      <c r="AN3118" s="269"/>
      <c r="AO3118" s="269"/>
      <c r="AP3118" s="269"/>
      <c r="AQ3118" s="269"/>
      <c r="AR3118" s="269"/>
    </row>
    <row r="3119">
      <c r="A3119" s="410"/>
      <c r="B3119" s="410"/>
      <c r="C3119" s="410"/>
      <c r="D3119" s="410"/>
      <c r="E3119" s="410"/>
      <c r="F3119" s="410"/>
      <c r="H3119" s="269"/>
      <c r="I3119" s="269"/>
      <c r="J3119" s="269"/>
      <c r="K3119" s="269"/>
      <c r="L3119" s="269"/>
      <c r="M3119" s="269"/>
      <c r="N3119" s="269"/>
      <c r="O3119" s="269"/>
      <c r="P3119" s="269"/>
      <c r="Q3119" s="269"/>
      <c r="R3119" s="269"/>
      <c r="S3119" s="269"/>
      <c r="T3119" s="269"/>
      <c r="U3119" s="269"/>
      <c r="V3119" s="269"/>
      <c r="W3119" s="269"/>
      <c r="X3119" s="269"/>
      <c r="Y3119" s="269"/>
      <c r="Z3119" s="269"/>
      <c r="AA3119" s="269"/>
      <c r="AB3119" s="269"/>
      <c r="AC3119" s="269"/>
      <c r="AD3119" s="269"/>
      <c r="AE3119" s="269"/>
      <c r="AF3119" s="269"/>
      <c r="AG3119" s="269"/>
      <c r="AH3119" s="269"/>
      <c r="AI3119" s="269"/>
      <c r="AJ3119" s="269"/>
      <c r="AK3119" s="269"/>
      <c r="AL3119" s="269"/>
      <c r="AM3119" s="269"/>
      <c r="AN3119" s="269"/>
      <c r="AO3119" s="269"/>
      <c r="AP3119" s="269"/>
      <c r="AQ3119" s="269"/>
      <c r="AR3119" s="269"/>
    </row>
    <row r="3120">
      <c r="A3120" s="410"/>
      <c r="B3120" s="410"/>
      <c r="C3120" s="410"/>
      <c r="D3120" s="410"/>
      <c r="E3120" s="410"/>
      <c r="F3120" s="410"/>
      <c r="H3120" s="269"/>
      <c r="I3120" s="269"/>
      <c r="J3120" s="269"/>
      <c r="K3120" s="269"/>
      <c r="L3120" s="269"/>
      <c r="M3120" s="269"/>
      <c r="N3120" s="269"/>
      <c r="O3120" s="269"/>
      <c r="P3120" s="269"/>
      <c r="Q3120" s="269"/>
      <c r="R3120" s="269"/>
      <c r="S3120" s="269"/>
      <c r="T3120" s="269"/>
      <c r="U3120" s="269"/>
      <c r="V3120" s="269"/>
      <c r="W3120" s="269"/>
      <c r="X3120" s="269"/>
      <c r="Y3120" s="269"/>
      <c r="Z3120" s="269"/>
      <c r="AA3120" s="269"/>
      <c r="AB3120" s="269"/>
      <c r="AC3120" s="269"/>
      <c r="AD3120" s="269"/>
      <c r="AE3120" s="269"/>
      <c r="AF3120" s="269"/>
      <c r="AG3120" s="269"/>
      <c r="AH3120" s="269"/>
      <c r="AI3120" s="269"/>
      <c r="AJ3120" s="269"/>
      <c r="AK3120" s="269"/>
      <c r="AL3120" s="269"/>
      <c r="AM3120" s="269"/>
      <c r="AN3120" s="269"/>
      <c r="AO3120" s="269"/>
      <c r="AP3120" s="269"/>
      <c r="AQ3120" s="269"/>
      <c r="AR3120" s="269"/>
    </row>
    <row r="3121">
      <c r="A3121" s="410"/>
      <c r="B3121" s="410"/>
      <c r="C3121" s="410"/>
      <c r="D3121" s="410"/>
      <c r="E3121" s="410"/>
      <c r="F3121" s="410"/>
      <c r="H3121" s="269"/>
      <c r="I3121" s="269"/>
      <c r="J3121" s="269"/>
      <c r="K3121" s="269"/>
      <c r="L3121" s="269"/>
      <c r="M3121" s="269"/>
      <c r="N3121" s="269"/>
      <c r="O3121" s="269"/>
      <c r="P3121" s="269"/>
      <c r="Q3121" s="269"/>
      <c r="R3121" s="269"/>
      <c r="S3121" s="269"/>
      <c r="T3121" s="269"/>
      <c r="U3121" s="269"/>
      <c r="V3121" s="269"/>
      <c r="W3121" s="269"/>
      <c r="X3121" s="269"/>
      <c r="Y3121" s="269"/>
      <c r="Z3121" s="269"/>
      <c r="AA3121" s="269"/>
      <c r="AB3121" s="269"/>
      <c r="AC3121" s="269"/>
      <c r="AD3121" s="269"/>
      <c r="AE3121" s="269"/>
      <c r="AF3121" s="269"/>
      <c r="AG3121" s="269"/>
      <c r="AH3121" s="269"/>
      <c r="AI3121" s="269"/>
      <c r="AJ3121" s="269"/>
      <c r="AK3121" s="269"/>
      <c r="AL3121" s="269"/>
      <c r="AM3121" s="269"/>
      <c r="AN3121" s="269"/>
      <c r="AO3121" s="269"/>
      <c r="AP3121" s="269"/>
      <c r="AQ3121" s="269"/>
      <c r="AR3121" s="269"/>
    </row>
    <row r="3122">
      <c r="A3122" s="410"/>
      <c r="B3122" s="410"/>
      <c r="C3122" s="410"/>
      <c r="D3122" s="410"/>
      <c r="E3122" s="410"/>
      <c r="F3122" s="410"/>
      <c r="H3122" s="269"/>
      <c r="I3122" s="269"/>
      <c r="J3122" s="269"/>
      <c r="K3122" s="269"/>
      <c r="L3122" s="269"/>
      <c r="M3122" s="269"/>
      <c r="N3122" s="269"/>
      <c r="O3122" s="269"/>
      <c r="P3122" s="269"/>
      <c r="Q3122" s="269"/>
      <c r="R3122" s="269"/>
      <c r="S3122" s="269"/>
      <c r="T3122" s="269"/>
      <c r="U3122" s="269"/>
      <c r="V3122" s="269"/>
      <c r="W3122" s="269"/>
      <c r="X3122" s="269"/>
      <c r="Y3122" s="269"/>
      <c r="Z3122" s="269"/>
      <c r="AA3122" s="269"/>
      <c r="AB3122" s="269"/>
      <c r="AC3122" s="269"/>
      <c r="AD3122" s="269"/>
      <c r="AE3122" s="269"/>
      <c r="AF3122" s="269"/>
      <c r="AG3122" s="269"/>
      <c r="AH3122" s="269"/>
      <c r="AI3122" s="269"/>
      <c r="AJ3122" s="269"/>
      <c r="AK3122" s="269"/>
      <c r="AL3122" s="269"/>
      <c r="AM3122" s="269"/>
      <c r="AN3122" s="269"/>
      <c r="AO3122" s="269"/>
      <c r="AP3122" s="269"/>
      <c r="AQ3122" s="269"/>
      <c r="AR3122" s="269"/>
    </row>
    <row r="3123">
      <c r="A3123" s="410"/>
      <c r="B3123" s="410"/>
      <c r="C3123" s="410"/>
      <c r="D3123" s="410"/>
      <c r="E3123" s="410"/>
      <c r="F3123" s="410"/>
      <c r="H3123" s="269"/>
      <c r="I3123" s="269"/>
      <c r="J3123" s="269"/>
      <c r="K3123" s="269"/>
      <c r="L3123" s="269"/>
      <c r="M3123" s="269"/>
      <c r="N3123" s="269"/>
      <c r="O3123" s="269"/>
      <c r="P3123" s="269"/>
      <c r="Q3123" s="269"/>
      <c r="R3123" s="269"/>
      <c r="S3123" s="269"/>
      <c r="T3123" s="269"/>
      <c r="U3123" s="269"/>
      <c r="V3123" s="269"/>
      <c r="W3123" s="269"/>
      <c r="X3123" s="269"/>
      <c r="Y3123" s="269"/>
      <c r="Z3123" s="269"/>
      <c r="AA3123" s="269"/>
      <c r="AB3123" s="269"/>
      <c r="AC3123" s="269"/>
      <c r="AD3123" s="269"/>
      <c r="AE3123" s="269"/>
      <c r="AF3123" s="269"/>
      <c r="AG3123" s="269"/>
      <c r="AH3123" s="269"/>
      <c r="AI3123" s="269"/>
      <c r="AJ3123" s="269"/>
      <c r="AK3123" s="269"/>
      <c r="AL3123" s="269"/>
      <c r="AM3123" s="269"/>
      <c r="AN3123" s="269"/>
      <c r="AO3123" s="269"/>
      <c r="AP3123" s="269"/>
      <c r="AQ3123" s="269"/>
      <c r="AR3123" s="269"/>
    </row>
    <row r="3124">
      <c r="A3124" s="410"/>
      <c r="B3124" s="410"/>
      <c r="C3124" s="410"/>
      <c r="D3124" s="410"/>
      <c r="E3124" s="410"/>
      <c r="F3124" s="410"/>
      <c r="H3124" s="269"/>
      <c r="I3124" s="269"/>
      <c r="J3124" s="269"/>
      <c r="K3124" s="269"/>
      <c r="L3124" s="269"/>
      <c r="M3124" s="269"/>
      <c r="N3124" s="269"/>
      <c r="O3124" s="269"/>
      <c r="P3124" s="269"/>
      <c r="Q3124" s="269"/>
      <c r="R3124" s="269"/>
      <c r="S3124" s="269"/>
      <c r="T3124" s="269"/>
      <c r="U3124" s="269"/>
      <c r="V3124" s="269"/>
      <c r="W3124" s="269"/>
      <c r="X3124" s="269"/>
      <c r="Y3124" s="269"/>
      <c r="Z3124" s="269"/>
      <c r="AA3124" s="269"/>
      <c r="AB3124" s="269"/>
      <c r="AC3124" s="269"/>
      <c r="AD3124" s="269"/>
      <c r="AE3124" s="269"/>
      <c r="AF3124" s="269"/>
      <c r="AG3124" s="269"/>
      <c r="AH3124" s="269"/>
      <c r="AI3124" s="269"/>
      <c r="AJ3124" s="269"/>
      <c r="AK3124" s="269"/>
      <c r="AL3124" s="269"/>
      <c r="AM3124" s="269"/>
      <c r="AN3124" s="269"/>
      <c r="AO3124" s="269"/>
      <c r="AP3124" s="269"/>
      <c r="AQ3124" s="269"/>
      <c r="AR3124" s="269"/>
    </row>
    <row r="3125">
      <c r="A3125" s="410"/>
      <c r="B3125" s="410"/>
      <c r="C3125" s="410"/>
      <c r="D3125" s="410"/>
      <c r="E3125" s="410"/>
      <c r="F3125" s="410"/>
      <c r="H3125" s="269"/>
      <c r="I3125" s="269"/>
      <c r="J3125" s="269"/>
      <c r="K3125" s="269"/>
      <c r="L3125" s="269"/>
      <c r="M3125" s="269"/>
      <c r="N3125" s="269"/>
      <c r="O3125" s="269"/>
      <c r="P3125" s="269"/>
      <c r="Q3125" s="269"/>
      <c r="R3125" s="269"/>
      <c r="S3125" s="269"/>
      <c r="T3125" s="269"/>
      <c r="U3125" s="269"/>
      <c r="V3125" s="269"/>
      <c r="W3125" s="269"/>
      <c r="X3125" s="269"/>
      <c r="Y3125" s="269"/>
      <c r="Z3125" s="269"/>
      <c r="AA3125" s="269"/>
      <c r="AB3125" s="269"/>
      <c r="AC3125" s="269"/>
      <c r="AD3125" s="269"/>
      <c r="AE3125" s="269"/>
      <c r="AF3125" s="269"/>
      <c r="AG3125" s="269"/>
      <c r="AH3125" s="269"/>
      <c r="AI3125" s="269"/>
      <c r="AJ3125" s="269"/>
      <c r="AK3125" s="269"/>
      <c r="AL3125" s="269"/>
      <c r="AM3125" s="269"/>
      <c r="AN3125" s="269"/>
      <c r="AO3125" s="269"/>
      <c r="AP3125" s="269"/>
      <c r="AQ3125" s="269"/>
      <c r="AR3125" s="269"/>
    </row>
    <row r="3126">
      <c r="A3126" s="410"/>
      <c r="B3126" s="410"/>
      <c r="C3126" s="410"/>
      <c r="D3126" s="410"/>
      <c r="E3126" s="410"/>
      <c r="F3126" s="410"/>
      <c r="H3126" s="269"/>
      <c r="I3126" s="269"/>
      <c r="J3126" s="269"/>
      <c r="K3126" s="269"/>
      <c r="L3126" s="269"/>
      <c r="M3126" s="269"/>
      <c r="N3126" s="269"/>
      <c r="O3126" s="269"/>
      <c r="P3126" s="269"/>
      <c r="Q3126" s="269"/>
      <c r="R3126" s="269"/>
      <c r="S3126" s="269"/>
      <c r="T3126" s="269"/>
      <c r="U3126" s="269"/>
      <c r="V3126" s="269"/>
      <c r="W3126" s="269"/>
      <c r="X3126" s="269"/>
      <c r="Y3126" s="269"/>
      <c r="Z3126" s="269"/>
      <c r="AA3126" s="269"/>
      <c r="AB3126" s="269"/>
      <c r="AC3126" s="269"/>
      <c r="AD3126" s="269"/>
      <c r="AE3126" s="269"/>
      <c r="AF3126" s="269"/>
      <c r="AG3126" s="269"/>
      <c r="AH3126" s="269"/>
      <c r="AI3126" s="269"/>
      <c r="AJ3126" s="269"/>
      <c r="AK3126" s="269"/>
      <c r="AL3126" s="269"/>
      <c r="AM3126" s="269"/>
      <c r="AN3126" s="269"/>
      <c r="AO3126" s="269"/>
      <c r="AP3126" s="269"/>
      <c r="AQ3126" s="269"/>
      <c r="AR3126" s="269"/>
    </row>
    <row r="3127">
      <c r="A3127" s="410"/>
      <c r="B3127" s="410"/>
      <c r="C3127" s="410"/>
      <c r="D3127" s="410"/>
      <c r="E3127" s="410"/>
      <c r="F3127" s="410"/>
      <c r="H3127" s="269"/>
      <c r="I3127" s="269"/>
      <c r="J3127" s="269"/>
      <c r="K3127" s="269"/>
      <c r="L3127" s="269"/>
      <c r="M3127" s="269"/>
      <c r="N3127" s="269"/>
      <c r="O3127" s="269"/>
      <c r="P3127" s="269"/>
      <c r="Q3127" s="269"/>
      <c r="R3127" s="269"/>
      <c r="S3127" s="269"/>
      <c r="T3127" s="269"/>
      <c r="U3127" s="269"/>
      <c r="V3127" s="269"/>
      <c r="W3127" s="269"/>
      <c r="X3127" s="269"/>
      <c r="Y3127" s="269"/>
      <c r="Z3127" s="269"/>
      <c r="AA3127" s="269"/>
      <c r="AB3127" s="269"/>
      <c r="AC3127" s="269"/>
      <c r="AD3127" s="269"/>
      <c r="AE3127" s="269"/>
      <c r="AF3127" s="269"/>
      <c r="AG3127" s="269"/>
      <c r="AH3127" s="269"/>
      <c r="AI3127" s="269"/>
      <c r="AJ3127" s="269"/>
      <c r="AK3127" s="269"/>
      <c r="AL3127" s="269"/>
      <c r="AM3127" s="269"/>
      <c r="AN3127" s="269"/>
      <c r="AO3127" s="269"/>
      <c r="AP3127" s="269"/>
      <c r="AQ3127" s="269"/>
      <c r="AR3127" s="269"/>
    </row>
    <row r="3128">
      <c r="A3128" s="410"/>
      <c r="B3128" s="410"/>
      <c r="C3128" s="410"/>
      <c r="D3128" s="410"/>
      <c r="E3128" s="410"/>
      <c r="F3128" s="410"/>
      <c r="H3128" s="269"/>
      <c r="I3128" s="269"/>
      <c r="J3128" s="269"/>
      <c r="K3128" s="269"/>
      <c r="L3128" s="269"/>
      <c r="M3128" s="269"/>
      <c r="N3128" s="269"/>
      <c r="O3128" s="269"/>
      <c r="P3128" s="269"/>
      <c r="Q3128" s="269"/>
      <c r="R3128" s="269"/>
      <c r="S3128" s="269"/>
      <c r="T3128" s="269"/>
      <c r="U3128" s="269"/>
      <c r="V3128" s="269"/>
      <c r="W3128" s="269"/>
      <c r="X3128" s="269"/>
      <c r="Y3128" s="269"/>
      <c r="Z3128" s="269"/>
      <c r="AA3128" s="269"/>
      <c r="AB3128" s="269"/>
      <c r="AC3128" s="269"/>
      <c r="AD3128" s="269"/>
      <c r="AE3128" s="269"/>
      <c r="AF3128" s="269"/>
      <c r="AG3128" s="269"/>
      <c r="AH3128" s="269"/>
      <c r="AI3128" s="269"/>
      <c r="AJ3128" s="269"/>
      <c r="AK3128" s="269"/>
      <c r="AL3128" s="269"/>
      <c r="AM3128" s="269"/>
      <c r="AN3128" s="269"/>
      <c r="AO3128" s="269"/>
      <c r="AP3128" s="269"/>
      <c r="AQ3128" s="269"/>
      <c r="AR3128" s="269"/>
    </row>
    <row r="3129">
      <c r="A3129" s="410"/>
      <c r="B3129" s="410"/>
      <c r="C3129" s="410"/>
      <c r="D3129" s="410"/>
      <c r="E3129" s="410"/>
      <c r="F3129" s="410"/>
      <c r="H3129" s="269"/>
      <c r="I3129" s="269"/>
      <c r="J3129" s="269"/>
      <c r="K3129" s="269"/>
      <c r="L3129" s="269"/>
      <c r="M3129" s="269"/>
      <c r="N3129" s="269"/>
      <c r="O3129" s="269"/>
      <c r="P3129" s="269"/>
      <c r="Q3129" s="269"/>
      <c r="R3129" s="269"/>
      <c r="S3129" s="269"/>
      <c r="T3129" s="269"/>
      <c r="U3129" s="269"/>
      <c r="V3129" s="269"/>
      <c r="W3129" s="269"/>
      <c r="X3129" s="269"/>
      <c r="Y3129" s="269"/>
      <c r="Z3129" s="269"/>
      <c r="AA3129" s="269"/>
      <c r="AB3129" s="269"/>
      <c r="AC3129" s="269"/>
      <c r="AD3129" s="269"/>
      <c r="AE3129" s="269"/>
      <c r="AF3129" s="269"/>
      <c r="AG3129" s="269"/>
      <c r="AH3129" s="269"/>
      <c r="AI3129" s="269"/>
      <c r="AJ3129" s="269"/>
      <c r="AK3129" s="269"/>
      <c r="AL3129" s="269"/>
      <c r="AM3129" s="269"/>
      <c r="AN3129" s="269"/>
      <c r="AO3129" s="269"/>
      <c r="AP3129" s="269"/>
      <c r="AQ3129" s="269"/>
      <c r="AR3129" s="269"/>
    </row>
    <row r="3130">
      <c r="A3130" s="410"/>
      <c r="B3130" s="410"/>
      <c r="C3130" s="410"/>
      <c r="D3130" s="410"/>
      <c r="E3130" s="410"/>
      <c r="F3130" s="410"/>
      <c r="H3130" s="269"/>
      <c r="I3130" s="269"/>
      <c r="J3130" s="269"/>
      <c r="K3130" s="269"/>
      <c r="L3130" s="269"/>
      <c r="M3130" s="269"/>
      <c r="N3130" s="269"/>
      <c r="O3130" s="269"/>
      <c r="P3130" s="269"/>
      <c r="Q3130" s="269"/>
      <c r="R3130" s="269"/>
      <c r="S3130" s="269"/>
      <c r="T3130" s="269"/>
      <c r="U3130" s="269"/>
      <c r="V3130" s="269"/>
      <c r="W3130" s="269"/>
      <c r="X3130" s="269"/>
      <c r="Y3130" s="269"/>
      <c r="Z3130" s="269"/>
      <c r="AA3130" s="269"/>
      <c r="AB3130" s="269"/>
      <c r="AC3130" s="269"/>
      <c r="AD3130" s="269"/>
      <c r="AE3130" s="269"/>
      <c r="AF3130" s="269"/>
      <c r="AG3130" s="269"/>
      <c r="AH3130" s="269"/>
      <c r="AI3130" s="269"/>
      <c r="AJ3130" s="269"/>
      <c r="AK3130" s="269"/>
      <c r="AL3130" s="269"/>
      <c r="AM3130" s="269"/>
      <c r="AN3130" s="269"/>
      <c r="AO3130" s="269"/>
      <c r="AP3130" s="269"/>
      <c r="AQ3130" s="269"/>
      <c r="AR3130" s="269"/>
    </row>
    <row r="3131">
      <c r="A3131" s="410"/>
      <c r="B3131" s="410"/>
      <c r="C3131" s="410"/>
      <c r="D3131" s="410"/>
      <c r="E3131" s="410"/>
      <c r="F3131" s="410"/>
      <c r="H3131" s="269"/>
      <c r="I3131" s="269"/>
      <c r="J3131" s="269"/>
      <c r="K3131" s="269"/>
      <c r="L3131" s="269"/>
      <c r="M3131" s="269"/>
      <c r="N3131" s="269"/>
      <c r="O3131" s="269"/>
      <c r="P3131" s="269"/>
      <c r="Q3131" s="269"/>
      <c r="R3131" s="269"/>
      <c r="S3131" s="269"/>
      <c r="T3131" s="269"/>
      <c r="U3131" s="269"/>
      <c r="V3131" s="269"/>
      <c r="W3131" s="269"/>
      <c r="X3131" s="269"/>
      <c r="Y3131" s="269"/>
      <c r="Z3131" s="269"/>
      <c r="AA3131" s="269"/>
      <c r="AB3131" s="269"/>
      <c r="AC3131" s="269"/>
      <c r="AD3131" s="269"/>
      <c r="AE3131" s="269"/>
      <c r="AF3131" s="269"/>
      <c r="AG3131" s="269"/>
      <c r="AH3131" s="269"/>
      <c r="AI3131" s="269"/>
      <c r="AJ3131" s="269"/>
      <c r="AK3131" s="269"/>
      <c r="AL3131" s="269"/>
      <c r="AM3131" s="269"/>
      <c r="AN3131" s="269"/>
      <c r="AO3131" s="269"/>
      <c r="AP3131" s="269"/>
      <c r="AQ3131" s="269"/>
      <c r="AR3131" s="269"/>
    </row>
    <row r="3132">
      <c r="A3132" s="410"/>
      <c r="B3132" s="410"/>
      <c r="C3132" s="410"/>
      <c r="D3132" s="410"/>
      <c r="E3132" s="410"/>
      <c r="F3132" s="410"/>
      <c r="H3132" s="269"/>
      <c r="I3132" s="269"/>
      <c r="J3132" s="269"/>
      <c r="K3132" s="269"/>
      <c r="L3132" s="269"/>
      <c r="M3132" s="269"/>
      <c r="N3132" s="269"/>
      <c r="O3132" s="269"/>
      <c r="P3132" s="269"/>
      <c r="Q3132" s="269"/>
      <c r="R3132" s="269"/>
      <c r="S3132" s="269"/>
      <c r="T3132" s="269"/>
      <c r="U3132" s="269"/>
      <c r="V3132" s="269"/>
      <c r="W3132" s="269"/>
      <c r="X3132" s="269"/>
      <c r="Y3132" s="269"/>
      <c r="Z3132" s="269"/>
      <c r="AA3132" s="269"/>
      <c r="AB3132" s="269"/>
      <c r="AC3132" s="269"/>
      <c r="AD3132" s="269"/>
      <c r="AE3132" s="269"/>
      <c r="AF3132" s="269"/>
      <c r="AG3132" s="269"/>
      <c r="AH3132" s="269"/>
      <c r="AI3132" s="269"/>
      <c r="AJ3132" s="269"/>
      <c r="AK3132" s="269"/>
      <c r="AL3132" s="269"/>
      <c r="AM3132" s="269"/>
      <c r="AN3132" s="269"/>
      <c r="AO3132" s="269"/>
      <c r="AP3132" s="269"/>
      <c r="AQ3132" s="269"/>
      <c r="AR3132" s="269"/>
    </row>
    <row r="3133">
      <c r="A3133" s="410"/>
      <c r="B3133" s="410"/>
      <c r="C3133" s="410"/>
      <c r="D3133" s="410"/>
      <c r="E3133" s="410"/>
      <c r="F3133" s="410"/>
      <c r="H3133" s="269"/>
      <c r="I3133" s="269"/>
      <c r="J3133" s="269"/>
      <c r="K3133" s="269"/>
      <c r="L3133" s="269"/>
      <c r="M3133" s="269"/>
      <c r="N3133" s="269"/>
      <c r="O3133" s="269"/>
      <c r="P3133" s="269"/>
      <c r="Q3133" s="269"/>
      <c r="R3133" s="269"/>
      <c r="S3133" s="269"/>
      <c r="T3133" s="269"/>
      <c r="U3133" s="269"/>
      <c r="V3133" s="269"/>
      <c r="W3133" s="269"/>
      <c r="X3133" s="269"/>
      <c r="Y3133" s="269"/>
      <c r="Z3133" s="269"/>
      <c r="AA3133" s="269"/>
      <c r="AB3133" s="269"/>
      <c r="AC3133" s="269"/>
      <c r="AD3133" s="269"/>
      <c r="AE3133" s="269"/>
      <c r="AF3133" s="269"/>
      <c r="AG3133" s="269"/>
      <c r="AH3133" s="269"/>
      <c r="AI3133" s="269"/>
      <c r="AJ3133" s="269"/>
      <c r="AK3133" s="269"/>
      <c r="AL3133" s="269"/>
      <c r="AM3133" s="269"/>
      <c r="AN3133" s="269"/>
      <c r="AO3133" s="269"/>
      <c r="AP3133" s="269"/>
      <c r="AQ3133" s="269"/>
      <c r="AR3133" s="269"/>
    </row>
    <row r="3134">
      <c r="A3134" s="410"/>
      <c r="B3134" s="410"/>
      <c r="C3134" s="410"/>
      <c r="D3134" s="410"/>
      <c r="E3134" s="410"/>
      <c r="F3134" s="410"/>
      <c r="H3134" s="269"/>
      <c r="I3134" s="269"/>
      <c r="J3134" s="269"/>
      <c r="K3134" s="269"/>
      <c r="L3134" s="269"/>
      <c r="M3134" s="269"/>
      <c r="N3134" s="269"/>
      <c r="O3134" s="269"/>
      <c r="P3134" s="269"/>
      <c r="Q3134" s="269"/>
      <c r="R3134" s="269"/>
      <c r="S3134" s="269"/>
      <c r="T3134" s="269"/>
      <c r="U3134" s="269"/>
      <c r="V3134" s="269"/>
      <c r="W3134" s="269"/>
      <c r="X3134" s="269"/>
      <c r="Y3134" s="269"/>
      <c r="Z3134" s="269"/>
      <c r="AA3134" s="269"/>
      <c r="AB3134" s="269"/>
      <c r="AC3134" s="269"/>
      <c r="AD3134" s="269"/>
      <c r="AE3134" s="269"/>
      <c r="AF3134" s="269"/>
      <c r="AG3134" s="269"/>
      <c r="AH3134" s="269"/>
      <c r="AI3134" s="269"/>
      <c r="AJ3134" s="269"/>
      <c r="AK3134" s="269"/>
      <c r="AL3134" s="269"/>
      <c r="AM3134" s="269"/>
      <c r="AN3134" s="269"/>
      <c r="AO3134" s="269"/>
      <c r="AP3134" s="269"/>
      <c r="AQ3134" s="269"/>
      <c r="AR3134" s="269"/>
    </row>
    <row r="3135">
      <c r="A3135" s="410"/>
      <c r="B3135" s="410"/>
      <c r="C3135" s="410"/>
      <c r="D3135" s="410"/>
      <c r="E3135" s="410"/>
      <c r="F3135" s="410"/>
      <c r="H3135" s="269"/>
      <c r="I3135" s="269"/>
      <c r="J3135" s="269"/>
      <c r="K3135" s="269"/>
      <c r="L3135" s="269"/>
      <c r="M3135" s="269"/>
      <c r="N3135" s="269"/>
      <c r="O3135" s="269"/>
      <c r="P3135" s="269"/>
      <c r="Q3135" s="269"/>
      <c r="R3135" s="269"/>
      <c r="S3135" s="269"/>
      <c r="T3135" s="269"/>
      <c r="U3135" s="269"/>
      <c r="V3135" s="269"/>
      <c r="W3135" s="269"/>
      <c r="X3135" s="269"/>
      <c r="Y3135" s="269"/>
      <c r="Z3135" s="269"/>
      <c r="AA3135" s="269"/>
      <c r="AB3135" s="269"/>
      <c r="AC3135" s="269"/>
      <c r="AD3135" s="269"/>
      <c r="AE3135" s="269"/>
      <c r="AF3135" s="269"/>
      <c r="AG3135" s="269"/>
      <c r="AH3135" s="269"/>
      <c r="AI3135" s="269"/>
      <c r="AJ3135" s="269"/>
      <c r="AK3135" s="269"/>
      <c r="AL3135" s="269"/>
      <c r="AM3135" s="269"/>
      <c r="AN3135" s="269"/>
      <c r="AO3135" s="269"/>
      <c r="AP3135" s="269"/>
      <c r="AQ3135" s="269"/>
      <c r="AR3135" s="269"/>
    </row>
    <row r="3136">
      <c r="A3136" s="410"/>
      <c r="B3136" s="410"/>
      <c r="C3136" s="410"/>
      <c r="D3136" s="410"/>
      <c r="E3136" s="410"/>
      <c r="F3136" s="410"/>
      <c r="H3136" s="269"/>
      <c r="I3136" s="269"/>
      <c r="J3136" s="269"/>
      <c r="K3136" s="269"/>
      <c r="L3136" s="269"/>
      <c r="M3136" s="269"/>
      <c r="N3136" s="269"/>
      <c r="O3136" s="269"/>
      <c r="P3136" s="269"/>
      <c r="Q3136" s="269"/>
      <c r="R3136" s="269"/>
      <c r="S3136" s="269"/>
      <c r="T3136" s="269"/>
      <c r="U3136" s="269"/>
      <c r="V3136" s="269"/>
      <c r="W3136" s="269"/>
      <c r="X3136" s="269"/>
      <c r="Y3136" s="269"/>
      <c r="Z3136" s="269"/>
      <c r="AA3136" s="269"/>
      <c r="AB3136" s="269"/>
      <c r="AC3136" s="269"/>
      <c r="AD3136" s="269"/>
      <c r="AE3136" s="269"/>
      <c r="AF3136" s="269"/>
      <c r="AG3136" s="269"/>
      <c r="AH3136" s="269"/>
      <c r="AI3136" s="269"/>
      <c r="AJ3136" s="269"/>
      <c r="AK3136" s="269"/>
      <c r="AL3136" s="269"/>
      <c r="AM3136" s="269"/>
      <c r="AN3136" s="269"/>
      <c r="AO3136" s="269"/>
      <c r="AP3136" s="269"/>
      <c r="AQ3136" s="269"/>
      <c r="AR3136" s="269"/>
    </row>
    <row r="3137">
      <c r="A3137" s="410"/>
      <c r="B3137" s="410"/>
      <c r="C3137" s="410"/>
      <c r="D3137" s="410"/>
      <c r="E3137" s="410"/>
      <c r="F3137" s="410"/>
      <c r="H3137" s="269"/>
      <c r="I3137" s="269"/>
      <c r="J3137" s="269"/>
      <c r="K3137" s="269"/>
      <c r="L3137" s="269"/>
      <c r="M3137" s="269"/>
      <c r="N3137" s="269"/>
      <c r="O3137" s="269"/>
      <c r="P3137" s="269"/>
      <c r="Q3137" s="269"/>
      <c r="R3137" s="269"/>
      <c r="S3137" s="269"/>
      <c r="T3137" s="269"/>
      <c r="U3137" s="269"/>
      <c r="V3137" s="269"/>
      <c r="W3137" s="269"/>
      <c r="X3137" s="269"/>
      <c r="Y3137" s="269"/>
      <c r="Z3137" s="269"/>
      <c r="AA3137" s="269"/>
      <c r="AB3137" s="269"/>
      <c r="AC3137" s="269"/>
      <c r="AD3137" s="269"/>
      <c r="AE3137" s="269"/>
      <c r="AF3137" s="269"/>
      <c r="AG3137" s="269"/>
      <c r="AH3137" s="269"/>
      <c r="AI3137" s="269"/>
      <c r="AJ3137" s="269"/>
      <c r="AK3137" s="269"/>
      <c r="AL3137" s="269"/>
      <c r="AM3137" s="269"/>
      <c r="AN3137" s="269"/>
      <c r="AO3137" s="269"/>
      <c r="AP3137" s="269"/>
      <c r="AQ3137" s="269"/>
      <c r="AR3137" s="269"/>
    </row>
    <row r="3138">
      <c r="A3138" s="410"/>
      <c r="B3138" s="410"/>
      <c r="C3138" s="410"/>
      <c r="D3138" s="410"/>
      <c r="E3138" s="410"/>
      <c r="F3138" s="410"/>
      <c r="H3138" s="269"/>
      <c r="I3138" s="269"/>
      <c r="J3138" s="269"/>
      <c r="K3138" s="269"/>
      <c r="L3138" s="269"/>
      <c r="M3138" s="269"/>
      <c r="N3138" s="269"/>
      <c r="O3138" s="269"/>
      <c r="P3138" s="269"/>
      <c r="Q3138" s="269"/>
      <c r="R3138" s="269"/>
      <c r="S3138" s="269"/>
      <c r="T3138" s="269"/>
      <c r="U3138" s="269"/>
      <c r="V3138" s="269"/>
      <c r="W3138" s="269"/>
      <c r="X3138" s="269"/>
      <c r="Y3138" s="269"/>
      <c r="Z3138" s="269"/>
      <c r="AA3138" s="269"/>
      <c r="AB3138" s="269"/>
      <c r="AC3138" s="269"/>
      <c r="AD3138" s="269"/>
      <c r="AE3138" s="269"/>
      <c r="AF3138" s="269"/>
      <c r="AG3138" s="269"/>
      <c r="AH3138" s="269"/>
      <c r="AI3138" s="269"/>
      <c r="AJ3138" s="269"/>
      <c r="AK3138" s="269"/>
      <c r="AL3138" s="269"/>
      <c r="AM3138" s="269"/>
      <c r="AN3138" s="269"/>
      <c r="AO3138" s="269"/>
      <c r="AP3138" s="269"/>
      <c r="AQ3138" s="269"/>
      <c r="AR3138" s="269"/>
    </row>
    <row r="3139">
      <c r="A3139" s="410"/>
      <c r="B3139" s="410"/>
      <c r="C3139" s="410"/>
      <c r="D3139" s="410"/>
      <c r="E3139" s="410"/>
      <c r="F3139" s="410"/>
      <c r="H3139" s="269"/>
      <c r="I3139" s="269"/>
      <c r="J3139" s="269"/>
      <c r="K3139" s="269"/>
      <c r="L3139" s="269"/>
      <c r="M3139" s="269"/>
      <c r="N3139" s="269"/>
      <c r="O3139" s="269"/>
      <c r="P3139" s="269"/>
      <c r="Q3139" s="269"/>
      <c r="R3139" s="269"/>
      <c r="S3139" s="269"/>
      <c r="T3139" s="269"/>
      <c r="U3139" s="269"/>
      <c r="V3139" s="269"/>
      <c r="W3139" s="269"/>
      <c r="X3139" s="269"/>
      <c r="Y3139" s="269"/>
      <c r="Z3139" s="269"/>
      <c r="AA3139" s="269"/>
      <c r="AB3139" s="269"/>
      <c r="AC3139" s="269"/>
      <c r="AD3139" s="269"/>
      <c r="AE3139" s="269"/>
      <c r="AF3139" s="269"/>
      <c r="AG3139" s="269"/>
      <c r="AH3139" s="269"/>
      <c r="AI3139" s="269"/>
      <c r="AJ3139" s="269"/>
      <c r="AK3139" s="269"/>
      <c r="AL3139" s="269"/>
      <c r="AM3139" s="269"/>
      <c r="AN3139" s="269"/>
      <c r="AO3139" s="269"/>
      <c r="AP3139" s="269"/>
      <c r="AQ3139" s="269"/>
      <c r="AR3139" s="269"/>
    </row>
    <row r="3140">
      <c r="A3140" s="410"/>
      <c r="B3140" s="410"/>
      <c r="C3140" s="410"/>
      <c r="D3140" s="410"/>
      <c r="E3140" s="410"/>
      <c r="F3140" s="410"/>
      <c r="H3140" s="269"/>
      <c r="I3140" s="269"/>
      <c r="J3140" s="269"/>
      <c r="K3140" s="269"/>
      <c r="L3140" s="269"/>
      <c r="M3140" s="269"/>
      <c r="N3140" s="269"/>
      <c r="O3140" s="269"/>
      <c r="P3140" s="269"/>
      <c r="Q3140" s="269"/>
      <c r="R3140" s="269"/>
      <c r="S3140" s="269"/>
      <c r="T3140" s="269"/>
      <c r="U3140" s="269"/>
      <c r="V3140" s="269"/>
      <c r="W3140" s="269"/>
      <c r="X3140" s="269"/>
      <c r="Y3140" s="269"/>
      <c r="Z3140" s="269"/>
      <c r="AA3140" s="269"/>
      <c r="AB3140" s="269"/>
      <c r="AC3140" s="269"/>
      <c r="AD3140" s="269"/>
      <c r="AE3140" s="269"/>
      <c r="AF3140" s="269"/>
      <c r="AG3140" s="269"/>
      <c r="AH3140" s="269"/>
      <c r="AI3140" s="269"/>
      <c r="AJ3140" s="269"/>
      <c r="AK3140" s="269"/>
      <c r="AL3140" s="269"/>
      <c r="AM3140" s="269"/>
      <c r="AN3140" s="269"/>
      <c r="AO3140" s="269"/>
      <c r="AP3140" s="269"/>
      <c r="AQ3140" s="269"/>
      <c r="AR3140" s="269"/>
    </row>
    <row r="3141">
      <c r="A3141" s="410"/>
      <c r="B3141" s="410"/>
      <c r="C3141" s="410"/>
      <c r="D3141" s="410"/>
      <c r="E3141" s="410"/>
      <c r="F3141" s="410"/>
      <c r="H3141" s="269"/>
      <c r="I3141" s="269"/>
      <c r="J3141" s="269"/>
      <c r="K3141" s="269"/>
      <c r="L3141" s="269"/>
      <c r="M3141" s="269"/>
      <c r="N3141" s="269"/>
      <c r="O3141" s="269"/>
      <c r="P3141" s="269"/>
      <c r="Q3141" s="269"/>
      <c r="R3141" s="269"/>
      <c r="S3141" s="269"/>
      <c r="T3141" s="269"/>
      <c r="U3141" s="269"/>
      <c r="V3141" s="269"/>
      <c r="W3141" s="269"/>
      <c r="X3141" s="269"/>
      <c r="Y3141" s="269"/>
      <c r="Z3141" s="269"/>
      <c r="AA3141" s="269"/>
      <c r="AB3141" s="269"/>
      <c r="AC3141" s="269"/>
      <c r="AD3141" s="269"/>
      <c r="AE3141" s="269"/>
      <c r="AF3141" s="269"/>
      <c r="AG3141" s="269"/>
      <c r="AH3141" s="269"/>
      <c r="AI3141" s="269"/>
      <c r="AJ3141" s="269"/>
      <c r="AK3141" s="269"/>
      <c r="AL3141" s="269"/>
      <c r="AM3141" s="269"/>
      <c r="AN3141" s="269"/>
      <c r="AO3141" s="269"/>
      <c r="AP3141" s="269"/>
      <c r="AQ3141" s="269"/>
      <c r="AR3141" s="269"/>
    </row>
    <row r="3142">
      <c r="A3142" s="410"/>
      <c r="B3142" s="410"/>
      <c r="C3142" s="410"/>
      <c r="D3142" s="410"/>
      <c r="E3142" s="410"/>
      <c r="F3142" s="410"/>
      <c r="H3142" s="269"/>
      <c r="I3142" s="269"/>
      <c r="J3142" s="269"/>
      <c r="K3142" s="269"/>
      <c r="L3142" s="269"/>
      <c r="M3142" s="269"/>
      <c r="N3142" s="269"/>
      <c r="O3142" s="269"/>
      <c r="P3142" s="269"/>
      <c r="Q3142" s="269"/>
      <c r="R3142" s="269"/>
      <c r="S3142" s="269"/>
      <c r="T3142" s="269"/>
      <c r="U3142" s="269"/>
      <c r="V3142" s="269"/>
      <c r="W3142" s="269"/>
      <c r="X3142" s="269"/>
      <c r="Y3142" s="269"/>
      <c r="Z3142" s="269"/>
      <c r="AA3142" s="269"/>
      <c r="AB3142" s="269"/>
      <c r="AC3142" s="269"/>
      <c r="AD3142" s="269"/>
      <c r="AE3142" s="269"/>
      <c r="AF3142" s="269"/>
      <c r="AG3142" s="269"/>
      <c r="AH3142" s="269"/>
      <c r="AI3142" s="269"/>
      <c r="AJ3142" s="269"/>
      <c r="AK3142" s="269"/>
      <c r="AL3142" s="269"/>
      <c r="AM3142" s="269"/>
      <c r="AN3142" s="269"/>
      <c r="AO3142" s="269"/>
      <c r="AP3142" s="269"/>
      <c r="AQ3142" s="269"/>
      <c r="AR3142" s="269"/>
    </row>
    <row r="3143">
      <c r="A3143" s="410"/>
      <c r="B3143" s="410"/>
      <c r="C3143" s="410"/>
      <c r="D3143" s="410"/>
      <c r="E3143" s="410"/>
      <c r="F3143" s="410"/>
      <c r="H3143" s="269"/>
      <c r="I3143" s="269"/>
      <c r="J3143" s="269"/>
      <c r="K3143" s="269"/>
      <c r="L3143" s="269"/>
      <c r="M3143" s="269"/>
      <c r="N3143" s="269"/>
      <c r="O3143" s="269"/>
      <c r="P3143" s="269"/>
      <c r="Q3143" s="269"/>
      <c r="R3143" s="269"/>
      <c r="S3143" s="269"/>
      <c r="T3143" s="269"/>
      <c r="U3143" s="269"/>
      <c r="V3143" s="269"/>
      <c r="W3143" s="269"/>
      <c r="X3143" s="269"/>
      <c r="Y3143" s="269"/>
      <c r="Z3143" s="269"/>
      <c r="AA3143" s="269"/>
      <c r="AB3143" s="269"/>
      <c r="AC3143" s="269"/>
      <c r="AD3143" s="269"/>
      <c r="AE3143" s="269"/>
      <c r="AF3143" s="269"/>
      <c r="AG3143" s="269"/>
      <c r="AH3143" s="269"/>
      <c r="AI3143" s="269"/>
      <c r="AJ3143" s="269"/>
      <c r="AK3143" s="269"/>
      <c r="AL3143" s="269"/>
      <c r="AM3143" s="269"/>
      <c r="AN3143" s="269"/>
      <c r="AO3143" s="269"/>
      <c r="AP3143" s="269"/>
      <c r="AQ3143" s="269"/>
      <c r="AR3143" s="269"/>
    </row>
    <row r="3144">
      <c r="A3144" s="410"/>
      <c r="B3144" s="410"/>
      <c r="C3144" s="410"/>
      <c r="D3144" s="410"/>
      <c r="E3144" s="410"/>
      <c r="F3144" s="410"/>
      <c r="H3144" s="269"/>
      <c r="I3144" s="269"/>
      <c r="J3144" s="269"/>
      <c r="K3144" s="269"/>
      <c r="L3144" s="269"/>
      <c r="M3144" s="269"/>
      <c r="N3144" s="269"/>
      <c r="O3144" s="269"/>
      <c r="P3144" s="269"/>
      <c r="Q3144" s="269"/>
      <c r="R3144" s="269"/>
      <c r="S3144" s="269"/>
      <c r="T3144" s="269"/>
      <c r="U3144" s="269"/>
      <c r="V3144" s="269"/>
      <c r="W3144" s="269"/>
      <c r="X3144" s="269"/>
      <c r="Y3144" s="269"/>
      <c r="Z3144" s="269"/>
      <c r="AA3144" s="269"/>
      <c r="AB3144" s="269"/>
      <c r="AC3144" s="269"/>
      <c r="AD3144" s="269"/>
      <c r="AE3144" s="269"/>
      <c r="AF3144" s="269"/>
      <c r="AG3144" s="269"/>
      <c r="AH3144" s="269"/>
      <c r="AI3144" s="269"/>
      <c r="AJ3144" s="269"/>
      <c r="AK3144" s="269"/>
      <c r="AL3144" s="269"/>
      <c r="AM3144" s="269"/>
      <c r="AN3144" s="269"/>
      <c r="AO3144" s="269"/>
      <c r="AP3144" s="269"/>
      <c r="AQ3144" s="269"/>
      <c r="AR3144" s="269"/>
    </row>
    <row r="3145">
      <c r="A3145" s="410"/>
      <c r="B3145" s="410"/>
      <c r="C3145" s="410"/>
      <c r="D3145" s="410"/>
      <c r="E3145" s="410"/>
      <c r="F3145" s="410"/>
      <c r="H3145" s="269"/>
      <c r="I3145" s="269"/>
      <c r="J3145" s="269"/>
      <c r="K3145" s="269"/>
      <c r="L3145" s="269"/>
      <c r="M3145" s="269"/>
      <c r="N3145" s="269"/>
      <c r="O3145" s="269"/>
      <c r="P3145" s="269"/>
      <c r="Q3145" s="269"/>
      <c r="R3145" s="269"/>
      <c r="S3145" s="269"/>
      <c r="T3145" s="269"/>
      <c r="U3145" s="269"/>
      <c r="V3145" s="269"/>
      <c r="W3145" s="269"/>
      <c r="X3145" s="269"/>
      <c r="Y3145" s="269"/>
      <c r="Z3145" s="269"/>
      <c r="AA3145" s="269"/>
      <c r="AB3145" s="269"/>
      <c r="AC3145" s="269"/>
      <c r="AD3145" s="269"/>
      <c r="AE3145" s="269"/>
      <c r="AF3145" s="269"/>
      <c r="AG3145" s="269"/>
      <c r="AH3145" s="269"/>
      <c r="AI3145" s="269"/>
      <c r="AJ3145" s="269"/>
      <c r="AK3145" s="269"/>
      <c r="AL3145" s="269"/>
      <c r="AM3145" s="269"/>
      <c r="AN3145" s="269"/>
      <c r="AO3145" s="269"/>
      <c r="AP3145" s="269"/>
      <c r="AQ3145" s="269"/>
      <c r="AR3145" s="269"/>
    </row>
    <row r="3146">
      <c r="A3146" s="410"/>
      <c r="B3146" s="410"/>
      <c r="C3146" s="410"/>
      <c r="D3146" s="410"/>
      <c r="E3146" s="410"/>
      <c r="F3146" s="410"/>
      <c r="H3146" s="269"/>
      <c r="I3146" s="269"/>
      <c r="J3146" s="269"/>
      <c r="K3146" s="269"/>
      <c r="L3146" s="269"/>
      <c r="M3146" s="269"/>
      <c r="N3146" s="269"/>
      <c r="O3146" s="269"/>
      <c r="P3146" s="269"/>
      <c r="Q3146" s="269"/>
      <c r="R3146" s="269"/>
      <c r="S3146" s="269"/>
      <c r="T3146" s="269"/>
      <c r="U3146" s="269"/>
      <c r="V3146" s="269"/>
      <c r="W3146" s="269"/>
      <c r="X3146" s="269"/>
      <c r="Y3146" s="269"/>
      <c r="Z3146" s="269"/>
      <c r="AA3146" s="269"/>
      <c r="AB3146" s="269"/>
      <c r="AC3146" s="269"/>
      <c r="AD3146" s="269"/>
      <c r="AE3146" s="269"/>
      <c r="AF3146" s="269"/>
      <c r="AG3146" s="269"/>
      <c r="AH3146" s="269"/>
      <c r="AI3146" s="269"/>
      <c r="AJ3146" s="269"/>
      <c r="AK3146" s="269"/>
      <c r="AL3146" s="269"/>
      <c r="AM3146" s="269"/>
      <c r="AN3146" s="269"/>
      <c r="AO3146" s="269"/>
      <c r="AP3146" s="269"/>
      <c r="AQ3146" s="269"/>
      <c r="AR3146" s="269"/>
    </row>
    <row r="3147">
      <c r="A3147" s="410"/>
      <c r="B3147" s="410"/>
      <c r="C3147" s="410"/>
      <c r="D3147" s="410"/>
      <c r="E3147" s="410"/>
      <c r="F3147" s="410"/>
      <c r="H3147" s="269"/>
      <c r="I3147" s="269"/>
      <c r="J3147" s="269"/>
      <c r="K3147" s="269"/>
      <c r="L3147" s="269"/>
      <c r="M3147" s="269"/>
      <c r="N3147" s="269"/>
      <c r="O3147" s="269"/>
      <c r="P3147" s="269"/>
      <c r="Q3147" s="269"/>
      <c r="R3147" s="269"/>
      <c r="S3147" s="269"/>
      <c r="T3147" s="269"/>
      <c r="U3147" s="269"/>
      <c r="V3147" s="269"/>
      <c r="W3147" s="269"/>
      <c r="X3147" s="269"/>
      <c r="Y3147" s="269"/>
      <c r="Z3147" s="269"/>
      <c r="AA3147" s="269"/>
      <c r="AB3147" s="269"/>
      <c r="AC3147" s="269"/>
      <c r="AD3147" s="269"/>
      <c r="AE3147" s="269"/>
      <c r="AF3147" s="269"/>
      <c r="AG3147" s="269"/>
      <c r="AH3147" s="269"/>
      <c r="AI3147" s="269"/>
      <c r="AJ3147" s="269"/>
      <c r="AK3147" s="269"/>
      <c r="AL3147" s="269"/>
      <c r="AM3147" s="269"/>
      <c r="AN3147" s="269"/>
      <c r="AO3147" s="269"/>
      <c r="AP3147" s="269"/>
      <c r="AQ3147" s="269"/>
      <c r="AR3147" s="269"/>
    </row>
    <row r="3148">
      <c r="A3148" s="410"/>
      <c r="B3148" s="410"/>
      <c r="C3148" s="410"/>
      <c r="D3148" s="410"/>
      <c r="E3148" s="410"/>
      <c r="F3148" s="410"/>
      <c r="H3148" s="269"/>
      <c r="I3148" s="269"/>
      <c r="J3148" s="269"/>
      <c r="K3148" s="269"/>
      <c r="L3148" s="269"/>
      <c r="M3148" s="269"/>
      <c r="N3148" s="269"/>
      <c r="O3148" s="269"/>
      <c r="P3148" s="269"/>
      <c r="Q3148" s="269"/>
      <c r="R3148" s="269"/>
      <c r="S3148" s="269"/>
      <c r="T3148" s="269"/>
      <c r="U3148" s="269"/>
      <c r="V3148" s="269"/>
      <c r="W3148" s="269"/>
      <c r="X3148" s="269"/>
      <c r="Y3148" s="269"/>
      <c r="Z3148" s="269"/>
      <c r="AA3148" s="269"/>
      <c r="AB3148" s="269"/>
      <c r="AC3148" s="269"/>
      <c r="AD3148" s="269"/>
      <c r="AE3148" s="269"/>
      <c r="AF3148" s="269"/>
      <c r="AG3148" s="269"/>
      <c r="AH3148" s="269"/>
      <c r="AI3148" s="269"/>
      <c r="AJ3148" s="269"/>
      <c r="AK3148" s="269"/>
      <c r="AL3148" s="269"/>
      <c r="AM3148" s="269"/>
      <c r="AN3148" s="269"/>
      <c r="AO3148" s="269"/>
      <c r="AP3148" s="269"/>
      <c r="AQ3148" s="269"/>
      <c r="AR3148" s="269"/>
    </row>
    <row r="3149">
      <c r="A3149" s="410"/>
      <c r="B3149" s="410"/>
      <c r="C3149" s="410"/>
      <c r="D3149" s="410"/>
      <c r="E3149" s="410"/>
      <c r="F3149" s="410"/>
      <c r="H3149" s="269"/>
      <c r="I3149" s="269"/>
      <c r="J3149" s="269"/>
      <c r="K3149" s="269"/>
      <c r="L3149" s="269"/>
      <c r="M3149" s="269"/>
      <c r="N3149" s="269"/>
      <c r="O3149" s="269"/>
      <c r="P3149" s="269"/>
      <c r="Q3149" s="269"/>
      <c r="R3149" s="269"/>
      <c r="S3149" s="269"/>
      <c r="T3149" s="269"/>
      <c r="U3149" s="269"/>
      <c r="V3149" s="269"/>
      <c r="W3149" s="269"/>
      <c r="X3149" s="269"/>
      <c r="Y3149" s="269"/>
      <c r="Z3149" s="269"/>
      <c r="AA3149" s="269"/>
      <c r="AB3149" s="269"/>
      <c r="AC3149" s="269"/>
      <c r="AD3149" s="269"/>
      <c r="AE3149" s="269"/>
      <c r="AF3149" s="269"/>
      <c r="AG3149" s="269"/>
      <c r="AH3149" s="269"/>
      <c r="AI3149" s="269"/>
      <c r="AJ3149" s="269"/>
      <c r="AK3149" s="269"/>
      <c r="AL3149" s="269"/>
      <c r="AM3149" s="269"/>
      <c r="AN3149" s="269"/>
      <c r="AO3149" s="269"/>
      <c r="AP3149" s="269"/>
      <c r="AQ3149" s="269"/>
      <c r="AR3149" s="269"/>
    </row>
    <row r="3150">
      <c r="A3150" s="410"/>
      <c r="B3150" s="410"/>
      <c r="C3150" s="410"/>
      <c r="D3150" s="410"/>
      <c r="E3150" s="410"/>
      <c r="F3150" s="410"/>
      <c r="H3150" s="269"/>
      <c r="I3150" s="269"/>
      <c r="J3150" s="269"/>
      <c r="K3150" s="269"/>
      <c r="L3150" s="269"/>
      <c r="M3150" s="269"/>
      <c r="N3150" s="269"/>
      <c r="O3150" s="269"/>
      <c r="P3150" s="269"/>
      <c r="Q3150" s="269"/>
      <c r="R3150" s="269"/>
      <c r="S3150" s="269"/>
      <c r="T3150" s="269"/>
      <c r="U3150" s="269"/>
      <c r="V3150" s="269"/>
      <c r="W3150" s="269"/>
      <c r="X3150" s="269"/>
      <c r="Y3150" s="269"/>
      <c r="Z3150" s="269"/>
      <c r="AA3150" s="269"/>
      <c r="AB3150" s="269"/>
      <c r="AC3150" s="269"/>
      <c r="AD3150" s="269"/>
      <c r="AE3150" s="269"/>
      <c r="AF3150" s="269"/>
      <c r="AG3150" s="269"/>
      <c r="AH3150" s="269"/>
      <c r="AI3150" s="269"/>
      <c r="AJ3150" s="269"/>
      <c r="AK3150" s="269"/>
      <c r="AL3150" s="269"/>
      <c r="AM3150" s="269"/>
      <c r="AN3150" s="269"/>
      <c r="AO3150" s="269"/>
      <c r="AP3150" s="269"/>
      <c r="AQ3150" s="269"/>
      <c r="AR3150" s="269"/>
    </row>
    <row r="3151">
      <c r="A3151" s="410"/>
      <c r="B3151" s="410"/>
      <c r="C3151" s="410"/>
      <c r="D3151" s="410"/>
      <c r="E3151" s="410"/>
      <c r="F3151" s="410"/>
      <c r="H3151" s="269"/>
      <c r="I3151" s="269"/>
      <c r="J3151" s="269"/>
      <c r="K3151" s="269"/>
      <c r="L3151" s="269"/>
      <c r="M3151" s="269"/>
      <c r="N3151" s="269"/>
      <c r="O3151" s="269"/>
      <c r="P3151" s="269"/>
      <c r="Q3151" s="269"/>
      <c r="R3151" s="269"/>
      <c r="S3151" s="269"/>
      <c r="T3151" s="269"/>
      <c r="U3151" s="269"/>
      <c r="V3151" s="269"/>
      <c r="W3151" s="269"/>
      <c r="X3151" s="269"/>
      <c r="Y3151" s="269"/>
      <c r="Z3151" s="269"/>
      <c r="AA3151" s="269"/>
      <c r="AB3151" s="269"/>
      <c r="AC3151" s="269"/>
      <c r="AD3151" s="269"/>
      <c r="AE3151" s="269"/>
      <c r="AF3151" s="269"/>
      <c r="AG3151" s="269"/>
      <c r="AH3151" s="269"/>
      <c r="AI3151" s="269"/>
      <c r="AJ3151" s="269"/>
      <c r="AK3151" s="269"/>
      <c r="AL3151" s="269"/>
      <c r="AM3151" s="269"/>
      <c r="AN3151" s="269"/>
      <c r="AO3151" s="269"/>
      <c r="AP3151" s="269"/>
      <c r="AQ3151" s="269"/>
      <c r="AR3151" s="269"/>
    </row>
    <row r="3152">
      <c r="A3152" s="410"/>
      <c r="B3152" s="410"/>
      <c r="C3152" s="410"/>
      <c r="D3152" s="410"/>
      <c r="E3152" s="410"/>
      <c r="F3152" s="410"/>
      <c r="H3152" s="269"/>
      <c r="I3152" s="269"/>
      <c r="J3152" s="269"/>
      <c r="K3152" s="269"/>
      <c r="L3152" s="269"/>
      <c r="M3152" s="269"/>
      <c r="N3152" s="269"/>
      <c r="O3152" s="269"/>
      <c r="P3152" s="269"/>
      <c r="Q3152" s="269"/>
      <c r="R3152" s="269"/>
      <c r="S3152" s="269"/>
      <c r="T3152" s="269"/>
      <c r="U3152" s="269"/>
      <c r="V3152" s="269"/>
      <c r="W3152" s="269"/>
      <c r="X3152" s="269"/>
      <c r="Y3152" s="269"/>
      <c r="Z3152" s="269"/>
      <c r="AA3152" s="269"/>
      <c r="AB3152" s="269"/>
      <c r="AC3152" s="269"/>
      <c r="AD3152" s="269"/>
      <c r="AE3152" s="269"/>
      <c r="AF3152" s="269"/>
      <c r="AG3152" s="269"/>
      <c r="AH3152" s="269"/>
      <c r="AI3152" s="269"/>
      <c r="AJ3152" s="269"/>
      <c r="AK3152" s="269"/>
      <c r="AL3152" s="269"/>
      <c r="AM3152" s="269"/>
      <c r="AN3152" s="269"/>
      <c r="AO3152" s="269"/>
      <c r="AP3152" s="269"/>
      <c r="AQ3152" s="269"/>
      <c r="AR3152" s="269"/>
    </row>
    <row r="3153">
      <c r="A3153" s="410"/>
      <c r="B3153" s="410"/>
      <c r="C3153" s="410"/>
      <c r="D3153" s="410"/>
      <c r="E3153" s="410"/>
      <c r="F3153" s="410"/>
      <c r="H3153" s="269"/>
      <c r="I3153" s="269"/>
      <c r="J3153" s="269"/>
      <c r="K3153" s="269"/>
      <c r="L3153" s="269"/>
      <c r="M3153" s="269"/>
      <c r="N3153" s="269"/>
      <c r="O3153" s="269"/>
      <c r="P3153" s="269"/>
      <c r="Q3153" s="269"/>
      <c r="R3153" s="269"/>
      <c r="S3153" s="269"/>
      <c r="T3153" s="269"/>
      <c r="U3153" s="269"/>
      <c r="V3153" s="269"/>
      <c r="W3153" s="269"/>
      <c r="X3153" s="269"/>
      <c r="Y3153" s="269"/>
      <c r="Z3153" s="269"/>
      <c r="AA3153" s="269"/>
      <c r="AB3153" s="269"/>
      <c r="AC3153" s="269"/>
      <c r="AD3153" s="269"/>
      <c r="AE3153" s="269"/>
      <c r="AF3153" s="269"/>
      <c r="AG3153" s="269"/>
      <c r="AH3153" s="269"/>
      <c r="AI3153" s="269"/>
      <c r="AJ3153" s="269"/>
      <c r="AK3153" s="269"/>
      <c r="AL3153" s="269"/>
      <c r="AM3153" s="269"/>
      <c r="AN3153" s="269"/>
      <c r="AO3153" s="269"/>
      <c r="AP3153" s="269"/>
      <c r="AQ3153" s="269"/>
      <c r="AR3153" s="269"/>
    </row>
    <row r="3154">
      <c r="A3154" s="410"/>
      <c r="B3154" s="410"/>
      <c r="C3154" s="410"/>
      <c r="D3154" s="410"/>
      <c r="E3154" s="410"/>
      <c r="F3154" s="410"/>
      <c r="H3154" s="269"/>
      <c r="I3154" s="269"/>
      <c r="J3154" s="269"/>
      <c r="K3154" s="269"/>
      <c r="L3154" s="269"/>
      <c r="M3154" s="269"/>
      <c r="N3154" s="269"/>
      <c r="O3154" s="269"/>
      <c r="P3154" s="269"/>
      <c r="Q3154" s="269"/>
      <c r="R3154" s="269"/>
      <c r="S3154" s="269"/>
      <c r="T3154" s="269"/>
      <c r="U3154" s="269"/>
      <c r="V3154" s="269"/>
      <c r="W3154" s="269"/>
      <c r="X3154" s="269"/>
      <c r="Y3154" s="269"/>
      <c r="Z3154" s="269"/>
      <c r="AA3154" s="269"/>
      <c r="AB3154" s="269"/>
      <c r="AC3154" s="269"/>
      <c r="AD3154" s="269"/>
      <c r="AE3154" s="269"/>
      <c r="AF3154" s="269"/>
      <c r="AG3154" s="269"/>
      <c r="AH3154" s="269"/>
      <c r="AI3154" s="269"/>
      <c r="AJ3154" s="269"/>
      <c r="AK3154" s="269"/>
      <c r="AL3154" s="269"/>
      <c r="AM3154" s="269"/>
      <c r="AN3154" s="269"/>
      <c r="AO3154" s="269"/>
      <c r="AP3154" s="269"/>
      <c r="AQ3154" s="269"/>
      <c r="AR3154" s="269"/>
    </row>
    <row r="3155">
      <c r="A3155" s="410"/>
      <c r="B3155" s="410"/>
      <c r="C3155" s="410"/>
      <c r="D3155" s="410"/>
      <c r="E3155" s="410"/>
      <c r="F3155" s="410"/>
      <c r="H3155" s="269"/>
      <c r="I3155" s="269"/>
      <c r="J3155" s="269"/>
      <c r="K3155" s="269"/>
      <c r="L3155" s="269"/>
      <c r="M3155" s="269"/>
      <c r="N3155" s="269"/>
      <c r="O3155" s="269"/>
      <c r="P3155" s="269"/>
      <c r="Q3155" s="269"/>
      <c r="R3155" s="269"/>
      <c r="S3155" s="269"/>
      <c r="T3155" s="269"/>
      <c r="U3155" s="269"/>
      <c r="V3155" s="269"/>
      <c r="W3155" s="269"/>
      <c r="X3155" s="269"/>
      <c r="Y3155" s="269"/>
      <c r="Z3155" s="269"/>
      <c r="AA3155" s="269"/>
      <c r="AB3155" s="269"/>
      <c r="AC3155" s="269"/>
      <c r="AD3155" s="269"/>
      <c r="AE3155" s="269"/>
      <c r="AF3155" s="269"/>
      <c r="AG3155" s="269"/>
      <c r="AH3155" s="269"/>
      <c r="AI3155" s="269"/>
      <c r="AJ3155" s="269"/>
      <c r="AK3155" s="269"/>
      <c r="AL3155" s="269"/>
      <c r="AM3155" s="269"/>
      <c r="AN3155" s="269"/>
      <c r="AO3155" s="269"/>
      <c r="AP3155" s="269"/>
      <c r="AQ3155" s="269"/>
      <c r="AR3155" s="269"/>
    </row>
    <row r="3156">
      <c r="A3156" s="410"/>
      <c r="B3156" s="410"/>
      <c r="C3156" s="410"/>
      <c r="D3156" s="410"/>
      <c r="E3156" s="410"/>
      <c r="F3156" s="410"/>
      <c r="H3156" s="269"/>
      <c r="I3156" s="269"/>
      <c r="J3156" s="269"/>
      <c r="K3156" s="269"/>
      <c r="L3156" s="269"/>
      <c r="M3156" s="269"/>
      <c r="N3156" s="269"/>
      <c r="O3156" s="269"/>
      <c r="P3156" s="269"/>
      <c r="Q3156" s="269"/>
      <c r="R3156" s="269"/>
      <c r="S3156" s="269"/>
      <c r="T3156" s="269"/>
      <c r="U3156" s="269"/>
      <c r="V3156" s="269"/>
      <c r="W3156" s="269"/>
      <c r="X3156" s="269"/>
      <c r="Y3156" s="269"/>
      <c r="Z3156" s="269"/>
      <c r="AA3156" s="269"/>
      <c r="AB3156" s="269"/>
      <c r="AC3156" s="269"/>
      <c r="AD3156" s="269"/>
      <c r="AE3156" s="269"/>
      <c r="AF3156" s="269"/>
      <c r="AG3156" s="269"/>
      <c r="AH3156" s="269"/>
      <c r="AI3156" s="269"/>
      <c r="AJ3156" s="269"/>
      <c r="AK3156" s="269"/>
      <c r="AL3156" s="269"/>
      <c r="AM3156" s="269"/>
      <c r="AN3156" s="269"/>
      <c r="AO3156" s="269"/>
      <c r="AP3156" s="269"/>
      <c r="AQ3156" s="269"/>
      <c r="AR3156" s="269"/>
    </row>
    <row r="3157">
      <c r="A3157" s="410"/>
      <c r="B3157" s="410"/>
      <c r="C3157" s="410"/>
      <c r="D3157" s="410"/>
      <c r="E3157" s="410"/>
      <c r="F3157" s="410"/>
      <c r="H3157" s="269"/>
      <c r="I3157" s="269"/>
      <c r="J3157" s="269"/>
      <c r="K3157" s="269"/>
      <c r="L3157" s="269"/>
      <c r="M3157" s="269"/>
      <c r="N3157" s="269"/>
      <c r="O3157" s="269"/>
      <c r="P3157" s="269"/>
      <c r="Q3157" s="269"/>
      <c r="R3157" s="269"/>
      <c r="S3157" s="269"/>
      <c r="T3157" s="269"/>
      <c r="U3157" s="269"/>
      <c r="V3157" s="269"/>
      <c r="W3157" s="269"/>
      <c r="X3157" s="269"/>
      <c r="Y3157" s="269"/>
      <c r="Z3157" s="269"/>
      <c r="AA3157" s="269"/>
      <c r="AB3157" s="269"/>
      <c r="AC3157" s="269"/>
      <c r="AD3157" s="269"/>
      <c r="AE3157" s="269"/>
      <c r="AF3157" s="269"/>
      <c r="AG3157" s="269"/>
      <c r="AH3157" s="269"/>
      <c r="AI3157" s="269"/>
      <c r="AJ3157" s="269"/>
      <c r="AK3157" s="269"/>
      <c r="AL3157" s="269"/>
      <c r="AM3157" s="269"/>
      <c r="AN3157" s="269"/>
      <c r="AO3157" s="269"/>
      <c r="AP3157" s="269"/>
      <c r="AQ3157" s="269"/>
      <c r="AR3157" s="269"/>
    </row>
    <row r="3158">
      <c r="A3158" s="410"/>
      <c r="B3158" s="410"/>
      <c r="C3158" s="410"/>
      <c r="D3158" s="410"/>
      <c r="E3158" s="410"/>
      <c r="F3158" s="410"/>
      <c r="H3158" s="269"/>
      <c r="I3158" s="269"/>
      <c r="J3158" s="269"/>
      <c r="K3158" s="269"/>
      <c r="L3158" s="269"/>
      <c r="M3158" s="269"/>
      <c r="N3158" s="269"/>
      <c r="O3158" s="269"/>
      <c r="P3158" s="269"/>
      <c r="Q3158" s="269"/>
      <c r="R3158" s="269"/>
      <c r="S3158" s="269"/>
      <c r="T3158" s="269"/>
      <c r="U3158" s="269"/>
      <c r="V3158" s="269"/>
      <c r="W3158" s="269"/>
      <c r="X3158" s="269"/>
      <c r="Y3158" s="269"/>
      <c r="Z3158" s="269"/>
      <c r="AA3158" s="269"/>
      <c r="AB3158" s="269"/>
      <c r="AC3158" s="269"/>
      <c r="AD3158" s="269"/>
      <c r="AE3158" s="269"/>
      <c r="AF3158" s="269"/>
      <c r="AG3158" s="269"/>
      <c r="AH3158" s="269"/>
      <c r="AI3158" s="269"/>
      <c r="AJ3158" s="269"/>
      <c r="AK3158" s="269"/>
      <c r="AL3158" s="269"/>
      <c r="AM3158" s="269"/>
      <c r="AN3158" s="269"/>
      <c r="AO3158" s="269"/>
      <c r="AP3158" s="269"/>
      <c r="AQ3158" s="269"/>
      <c r="AR3158" s="269"/>
    </row>
    <row r="3159">
      <c r="A3159" s="410"/>
      <c r="B3159" s="410"/>
      <c r="C3159" s="410"/>
      <c r="D3159" s="410"/>
      <c r="E3159" s="410"/>
      <c r="F3159" s="410"/>
      <c r="H3159" s="269"/>
      <c r="I3159" s="269"/>
      <c r="J3159" s="269"/>
      <c r="K3159" s="269"/>
      <c r="L3159" s="269"/>
      <c r="M3159" s="269"/>
      <c r="N3159" s="269"/>
      <c r="O3159" s="269"/>
      <c r="P3159" s="269"/>
      <c r="Q3159" s="269"/>
      <c r="R3159" s="269"/>
      <c r="S3159" s="269"/>
      <c r="T3159" s="269"/>
      <c r="U3159" s="269"/>
      <c r="V3159" s="269"/>
      <c r="W3159" s="269"/>
      <c r="X3159" s="269"/>
      <c r="Y3159" s="269"/>
      <c r="Z3159" s="269"/>
      <c r="AA3159" s="269"/>
      <c r="AB3159" s="269"/>
      <c r="AC3159" s="269"/>
      <c r="AD3159" s="269"/>
      <c r="AE3159" s="269"/>
      <c r="AF3159" s="269"/>
      <c r="AG3159" s="269"/>
      <c r="AH3159" s="269"/>
      <c r="AI3159" s="269"/>
      <c r="AJ3159" s="269"/>
      <c r="AK3159" s="269"/>
      <c r="AL3159" s="269"/>
      <c r="AM3159" s="269"/>
      <c r="AN3159" s="269"/>
      <c r="AO3159" s="269"/>
      <c r="AP3159" s="269"/>
      <c r="AQ3159" s="269"/>
      <c r="AR3159" s="269"/>
    </row>
    <row r="3160">
      <c r="A3160" s="410"/>
      <c r="B3160" s="410"/>
      <c r="C3160" s="410"/>
      <c r="D3160" s="410"/>
      <c r="E3160" s="410"/>
      <c r="F3160" s="410"/>
      <c r="H3160" s="269"/>
      <c r="I3160" s="269"/>
      <c r="J3160" s="269"/>
      <c r="K3160" s="269"/>
      <c r="L3160" s="269"/>
      <c r="M3160" s="269"/>
      <c r="N3160" s="269"/>
      <c r="O3160" s="269"/>
      <c r="P3160" s="269"/>
      <c r="Q3160" s="269"/>
      <c r="R3160" s="269"/>
      <c r="S3160" s="269"/>
      <c r="T3160" s="269"/>
      <c r="U3160" s="269"/>
      <c r="V3160" s="269"/>
      <c r="W3160" s="269"/>
      <c r="X3160" s="269"/>
      <c r="Y3160" s="269"/>
      <c r="Z3160" s="269"/>
      <c r="AA3160" s="269"/>
      <c r="AB3160" s="269"/>
      <c r="AC3160" s="269"/>
      <c r="AD3160" s="269"/>
      <c r="AE3160" s="269"/>
      <c r="AF3160" s="269"/>
      <c r="AG3160" s="269"/>
      <c r="AH3160" s="269"/>
      <c r="AI3160" s="269"/>
      <c r="AJ3160" s="269"/>
      <c r="AK3160" s="269"/>
      <c r="AL3160" s="269"/>
      <c r="AM3160" s="269"/>
      <c r="AN3160" s="269"/>
      <c r="AO3160" s="269"/>
      <c r="AP3160" s="269"/>
      <c r="AQ3160" s="269"/>
      <c r="AR3160" s="269"/>
    </row>
    <row r="3161">
      <c r="A3161" s="410"/>
      <c r="B3161" s="410"/>
      <c r="C3161" s="410"/>
      <c r="D3161" s="410"/>
      <c r="E3161" s="410"/>
      <c r="F3161" s="410"/>
      <c r="H3161" s="269"/>
      <c r="I3161" s="269"/>
      <c r="J3161" s="269"/>
      <c r="K3161" s="269"/>
      <c r="L3161" s="269"/>
      <c r="M3161" s="269"/>
      <c r="N3161" s="269"/>
      <c r="O3161" s="269"/>
      <c r="P3161" s="269"/>
      <c r="Q3161" s="269"/>
      <c r="R3161" s="269"/>
      <c r="S3161" s="269"/>
      <c r="T3161" s="269"/>
      <c r="U3161" s="269"/>
      <c r="V3161" s="269"/>
      <c r="W3161" s="269"/>
      <c r="X3161" s="269"/>
      <c r="Y3161" s="269"/>
      <c r="Z3161" s="269"/>
      <c r="AA3161" s="269"/>
      <c r="AB3161" s="269"/>
      <c r="AC3161" s="269"/>
      <c r="AD3161" s="269"/>
      <c r="AE3161" s="269"/>
      <c r="AF3161" s="269"/>
      <c r="AG3161" s="269"/>
      <c r="AH3161" s="269"/>
      <c r="AI3161" s="269"/>
      <c r="AJ3161" s="269"/>
      <c r="AK3161" s="269"/>
      <c r="AL3161" s="269"/>
      <c r="AM3161" s="269"/>
      <c r="AN3161" s="269"/>
      <c r="AO3161" s="269"/>
      <c r="AP3161" s="269"/>
      <c r="AQ3161" s="269"/>
      <c r="AR3161" s="269"/>
    </row>
    <row r="3162">
      <c r="A3162" s="410"/>
      <c r="B3162" s="410"/>
      <c r="C3162" s="410"/>
      <c r="D3162" s="410"/>
      <c r="E3162" s="410"/>
      <c r="F3162" s="410"/>
      <c r="H3162" s="269"/>
      <c r="I3162" s="269"/>
      <c r="J3162" s="269"/>
      <c r="K3162" s="269"/>
      <c r="L3162" s="269"/>
      <c r="M3162" s="269"/>
      <c r="N3162" s="269"/>
      <c r="O3162" s="269"/>
      <c r="P3162" s="269"/>
      <c r="Q3162" s="269"/>
      <c r="R3162" s="269"/>
      <c r="S3162" s="269"/>
      <c r="T3162" s="269"/>
      <c r="U3162" s="269"/>
      <c r="V3162" s="269"/>
      <c r="W3162" s="269"/>
      <c r="X3162" s="269"/>
      <c r="Y3162" s="269"/>
      <c r="Z3162" s="269"/>
      <c r="AA3162" s="269"/>
      <c r="AB3162" s="269"/>
      <c r="AC3162" s="269"/>
      <c r="AD3162" s="269"/>
      <c r="AE3162" s="269"/>
      <c r="AF3162" s="269"/>
      <c r="AG3162" s="269"/>
      <c r="AH3162" s="269"/>
      <c r="AI3162" s="269"/>
      <c r="AJ3162" s="269"/>
      <c r="AK3162" s="269"/>
      <c r="AL3162" s="269"/>
      <c r="AM3162" s="269"/>
      <c r="AN3162" s="269"/>
      <c r="AO3162" s="269"/>
      <c r="AP3162" s="269"/>
      <c r="AQ3162" s="269"/>
      <c r="AR3162" s="269"/>
    </row>
    <row r="3163">
      <c r="A3163" s="410"/>
      <c r="B3163" s="410"/>
      <c r="C3163" s="410"/>
      <c r="D3163" s="410"/>
      <c r="E3163" s="410"/>
      <c r="F3163" s="410"/>
      <c r="H3163" s="269"/>
      <c r="I3163" s="269"/>
      <c r="J3163" s="269"/>
      <c r="K3163" s="269"/>
      <c r="L3163" s="269"/>
      <c r="M3163" s="269"/>
      <c r="N3163" s="269"/>
      <c r="O3163" s="269"/>
      <c r="P3163" s="269"/>
      <c r="Q3163" s="269"/>
      <c r="R3163" s="269"/>
      <c r="S3163" s="269"/>
      <c r="T3163" s="269"/>
      <c r="U3163" s="269"/>
      <c r="V3163" s="269"/>
      <c r="W3163" s="269"/>
      <c r="X3163" s="269"/>
      <c r="Y3163" s="269"/>
      <c r="Z3163" s="269"/>
      <c r="AA3163" s="269"/>
      <c r="AB3163" s="269"/>
      <c r="AC3163" s="269"/>
      <c r="AD3163" s="269"/>
      <c r="AE3163" s="269"/>
      <c r="AF3163" s="269"/>
      <c r="AG3163" s="269"/>
      <c r="AH3163" s="269"/>
      <c r="AI3163" s="269"/>
      <c r="AJ3163" s="269"/>
      <c r="AK3163" s="269"/>
      <c r="AL3163" s="269"/>
      <c r="AM3163" s="269"/>
      <c r="AN3163" s="269"/>
      <c r="AO3163" s="269"/>
      <c r="AP3163" s="269"/>
      <c r="AQ3163" s="269"/>
      <c r="AR3163" s="269"/>
    </row>
    <row r="3164">
      <c r="A3164" s="410"/>
      <c r="B3164" s="410"/>
      <c r="C3164" s="410"/>
      <c r="D3164" s="410"/>
      <c r="E3164" s="410"/>
      <c r="F3164" s="410"/>
      <c r="H3164" s="269"/>
      <c r="I3164" s="269"/>
      <c r="J3164" s="269"/>
      <c r="K3164" s="269"/>
      <c r="L3164" s="269"/>
      <c r="M3164" s="269"/>
      <c r="N3164" s="269"/>
      <c r="O3164" s="269"/>
      <c r="P3164" s="269"/>
      <c r="Q3164" s="269"/>
      <c r="R3164" s="269"/>
      <c r="S3164" s="269"/>
      <c r="T3164" s="269"/>
      <c r="U3164" s="269"/>
      <c r="V3164" s="269"/>
      <c r="W3164" s="269"/>
      <c r="X3164" s="269"/>
      <c r="Y3164" s="269"/>
      <c r="Z3164" s="269"/>
      <c r="AA3164" s="269"/>
      <c r="AB3164" s="269"/>
      <c r="AC3164" s="269"/>
      <c r="AD3164" s="269"/>
      <c r="AE3164" s="269"/>
      <c r="AF3164" s="269"/>
      <c r="AG3164" s="269"/>
      <c r="AH3164" s="269"/>
      <c r="AI3164" s="269"/>
      <c r="AJ3164" s="269"/>
      <c r="AK3164" s="269"/>
      <c r="AL3164" s="269"/>
      <c r="AM3164" s="269"/>
      <c r="AN3164" s="269"/>
      <c r="AO3164" s="269"/>
      <c r="AP3164" s="269"/>
      <c r="AQ3164" s="269"/>
      <c r="AR3164" s="269"/>
    </row>
    <row r="3165">
      <c r="A3165" s="410"/>
      <c r="B3165" s="410"/>
      <c r="C3165" s="410"/>
      <c r="D3165" s="410"/>
      <c r="E3165" s="410"/>
      <c r="F3165" s="410"/>
      <c r="H3165" s="269"/>
      <c r="I3165" s="269"/>
      <c r="J3165" s="269"/>
      <c r="K3165" s="269"/>
      <c r="L3165" s="269"/>
      <c r="M3165" s="269"/>
      <c r="N3165" s="269"/>
      <c r="O3165" s="269"/>
      <c r="P3165" s="269"/>
      <c r="Q3165" s="269"/>
      <c r="R3165" s="269"/>
      <c r="S3165" s="269"/>
      <c r="T3165" s="269"/>
      <c r="U3165" s="269"/>
      <c r="V3165" s="269"/>
      <c r="W3165" s="269"/>
      <c r="X3165" s="269"/>
      <c r="Y3165" s="269"/>
      <c r="Z3165" s="269"/>
      <c r="AA3165" s="269"/>
      <c r="AB3165" s="269"/>
      <c r="AC3165" s="269"/>
      <c r="AD3165" s="269"/>
      <c r="AE3165" s="269"/>
      <c r="AF3165" s="269"/>
      <c r="AG3165" s="269"/>
      <c r="AH3165" s="269"/>
      <c r="AI3165" s="269"/>
      <c r="AJ3165" s="269"/>
      <c r="AK3165" s="269"/>
      <c r="AL3165" s="269"/>
      <c r="AM3165" s="269"/>
      <c r="AN3165" s="269"/>
      <c r="AO3165" s="269"/>
      <c r="AP3165" s="269"/>
      <c r="AQ3165" s="269"/>
      <c r="AR3165" s="269"/>
    </row>
    <row r="3166">
      <c r="A3166" s="410"/>
      <c r="B3166" s="410"/>
      <c r="C3166" s="410"/>
      <c r="D3166" s="410"/>
      <c r="E3166" s="410"/>
      <c r="F3166" s="410"/>
      <c r="H3166" s="269"/>
      <c r="I3166" s="269"/>
      <c r="J3166" s="269"/>
      <c r="K3166" s="269"/>
      <c r="L3166" s="269"/>
      <c r="M3166" s="269"/>
      <c r="N3166" s="269"/>
      <c r="O3166" s="269"/>
      <c r="P3166" s="269"/>
      <c r="Q3166" s="269"/>
      <c r="R3166" s="269"/>
      <c r="S3166" s="269"/>
      <c r="T3166" s="269"/>
      <c r="U3166" s="269"/>
      <c r="V3166" s="269"/>
      <c r="W3166" s="269"/>
      <c r="X3166" s="269"/>
      <c r="Y3166" s="269"/>
      <c r="Z3166" s="269"/>
      <c r="AA3166" s="269"/>
      <c r="AB3166" s="269"/>
      <c r="AC3166" s="269"/>
      <c r="AD3166" s="269"/>
      <c r="AE3166" s="269"/>
      <c r="AF3166" s="269"/>
      <c r="AG3166" s="269"/>
      <c r="AH3166" s="269"/>
      <c r="AI3166" s="269"/>
      <c r="AJ3166" s="269"/>
      <c r="AK3166" s="269"/>
      <c r="AL3166" s="269"/>
      <c r="AM3166" s="269"/>
      <c r="AN3166" s="269"/>
      <c r="AO3166" s="269"/>
      <c r="AP3166" s="269"/>
      <c r="AQ3166" s="269"/>
      <c r="AR3166" s="269"/>
    </row>
    <row r="3167">
      <c r="A3167" s="410"/>
      <c r="B3167" s="410"/>
      <c r="C3167" s="410"/>
      <c r="D3167" s="410"/>
      <c r="E3167" s="410"/>
      <c r="F3167" s="410"/>
      <c r="H3167" s="269"/>
      <c r="I3167" s="269"/>
      <c r="J3167" s="269"/>
      <c r="K3167" s="269"/>
      <c r="L3167" s="269"/>
      <c r="M3167" s="269"/>
      <c r="N3167" s="269"/>
      <c r="O3167" s="269"/>
      <c r="P3167" s="269"/>
      <c r="Q3167" s="269"/>
      <c r="R3167" s="269"/>
      <c r="S3167" s="269"/>
      <c r="T3167" s="269"/>
      <c r="U3167" s="269"/>
      <c r="V3167" s="269"/>
      <c r="W3167" s="269"/>
      <c r="X3167" s="269"/>
      <c r="Y3167" s="269"/>
      <c r="Z3167" s="269"/>
      <c r="AA3167" s="269"/>
      <c r="AB3167" s="269"/>
      <c r="AC3167" s="269"/>
      <c r="AD3167" s="269"/>
      <c r="AE3167" s="269"/>
      <c r="AF3167" s="269"/>
      <c r="AG3167" s="269"/>
      <c r="AH3167" s="269"/>
      <c r="AI3167" s="269"/>
      <c r="AJ3167" s="269"/>
      <c r="AK3167" s="269"/>
      <c r="AL3167" s="269"/>
      <c r="AM3167" s="269"/>
      <c r="AN3167" s="269"/>
      <c r="AO3167" s="269"/>
      <c r="AP3167" s="269"/>
      <c r="AQ3167" s="269"/>
      <c r="AR3167" s="269"/>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6.5"/>
    <col customWidth="1" min="3" max="3" width="9.63"/>
    <col customWidth="1" min="4" max="4" width="28.63"/>
    <col customWidth="1" min="5" max="5" width="54.38"/>
    <col customWidth="1" min="8" max="8" width="26.13"/>
    <col customWidth="1" min="9" max="9" width="18.88"/>
    <col customWidth="1" min="10" max="10" width="17.63"/>
    <col customWidth="1" min="24" max="24" width="21.63"/>
  </cols>
  <sheetData>
    <row r="1" ht="60.0" customHeight="1">
      <c r="A1" s="410" t="str">
        <f>IFERROR(__xludf.DUMMYFUNCTION("IMPORTRANGE(""https://docs.google.com/spreadsheets/d/12WDd8SiHXclnbWAgihi2xr62MfHFVlw3Gao8DOPN-jo/edit?gid=0#gid=0"",""Dep Assign!A:T"")"),"")</f>
        <v/>
      </c>
      <c r="B1" s="410" t="str">
        <f>IFERROR(__xludf.DUMMYFUNCTION("""COMPUTED_VALUE"""),"Dep assign")</f>
        <v>Dep assign</v>
      </c>
      <c r="C1" s="410" t="str">
        <f>IFERROR(__xludf.DUMMYFUNCTION("""COMPUTED_VALUE"""),"Team")</f>
        <v>Team</v>
      </c>
      <c r="D1" s="410" t="str">
        <f>IFERROR(__xludf.DUMMYFUNCTION("""COMPUTED_VALUE"""),"Group assign")</f>
        <v>Group assign</v>
      </c>
      <c r="E1" s="410" t="str">
        <f>IFERROR(__xludf.DUMMYFUNCTION("""COMPUTED_VALUE"""),"Detailed content")</f>
        <v>Detailed content</v>
      </c>
      <c r="F1" s="418" t="str">
        <f>IFERROR(__xludf.DUMMYFUNCTION("""COMPUTED_VALUE"""),"Date Assign (dd/mm/yyyy)")</f>
        <v>Date Assign (dd/mm/yyyy)</v>
      </c>
      <c r="G1" s="418" t="str">
        <f>IFERROR(__xludf.DUMMYFUNCTION("""COMPUTED_VALUE"""),"Target Date complete")</f>
        <v>Target Date complete</v>
      </c>
      <c r="H1" s="410" t="str">
        <f>IFERROR(__xludf.DUMMYFUNCTION("""COMPUTED_VALUE"""),"Team leader Assign Name FOT,FT1,Co Assign")</f>
        <v>Team leader Assign Name FOT,FT1,Co Assign</v>
      </c>
      <c r="I1" s="419" t="str">
        <f>IFERROR(__xludf.DUMMYFUNCTION("""COMPUTED_VALUE"""),"The team leader will update the plan on [Date].")</f>
        <v>The team leader will update the plan on [Date].</v>
      </c>
      <c r="J1" s="418" t="str">
        <f>IFERROR(__xludf.DUMMYFUNCTION("""COMPUTED_VALUE"""),"Team leader update Date complete (dd/mm/yyyy)")</f>
        <v>Team leader update Date complete (dd/mm/yyyy)</v>
      </c>
      <c r="K1" s="410" t="str">
        <f>IFERROR(__xludf.DUMMYFUNCTION("""COMPUTED_VALUE"""),"Remain day")</f>
        <v>Remain day</v>
      </c>
      <c r="L1" s="410" t="str">
        <f>IFERROR(__xludf.DUMMYFUNCTION("""COMPUTED_VALUE"""),"Team leader Note ")</f>
        <v>Team leader Note </v>
      </c>
      <c r="M1" s="410" t="str">
        <f>IFERROR(__xludf.DUMMYFUNCTION("""COMPUTED_VALUE"""),"Dep comfirm and Note")</f>
        <v>Dep comfirm and Note</v>
      </c>
      <c r="N1" s="410" t="str">
        <f>IFERROR(__xludf.DUMMYFUNCTION("""COMPUTED_VALUE"""),"Note ( why Deduction)")</f>
        <v>Note ( why Deduction)</v>
      </c>
      <c r="O1" s="410" t="str">
        <f>IFERROR(__xludf.DUMMYFUNCTION("""COMPUTED_VALUE"""),"Auto Count point")</f>
        <v>Auto Count point</v>
      </c>
      <c r="P1" s="410"/>
      <c r="Q1" s="410"/>
      <c r="R1" s="269"/>
      <c r="S1" s="269" t="str">
        <f>IFERROR(__xludf.DUMMYFUNCTION("""COMPUTED_VALUE"""),"GNOC acount")</f>
        <v>GNOC acount</v>
      </c>
      <c r="T1" s="269" t="str">
        <f>IFERROR(__xludf.DUMMYFUNCTION("""COMPUTED_VALUE"""),"Site Name")</f>
        <v>Site Name</v>
      </c>
      <c r="U1" s="269"/>
      <c r="V1" s="269"/>
      <c r="W1" s="269" t="str">
        <f>IFERROR(__xludf.DUMMYFUNCTION("query(IMPORTRANGE(""https://docs.google.com/spreadsheets/d/12WDd8SiHXclnbWAgihi2xr62MfHFVlw3Gao8DOPN-jo/edit?gid=1515854770#gid=1515854770"",""Input Site!A:O""),""select Col3, Col15 where Col13='MYT_TNI_TEAM01'"")"),"TNI0018")</f>
        <v>TNI0018</v>
      </c>
      <c r="X1" s="269" t="str">
        <f>IFERROR(__xludf.DUMMYFUNCTION("""COMPUTED_VALUE"""),"Team 01")</f>
        <v>Team 01</v>
      </c>
      <c r="Y1" s="269"/>
      <c r="Z1" s="269"/>
      <c r="AA1" s="269"/>
      <c r="AB1" s="269"/>
      <c r="AC1" s="269"/>
      <c r="AD1" s="269"/>
      <c r="AE1" s="269"/>
      <c r="AF1" s="269"/>
      <c r="AG1" s="269"/>
      <c r="AH1" s="269"/>
      <c r="AI1" s="269"/>
    </row>
    <row r="2">
      <c r="A2" s="420"/>
      <c r="B2" s="420"/>
      <c r="C2" s="420" t="str">
        <f>IFERROR(__xludf.DUMMYFUNCTION("""COMPUTED_VALUE"""),"sum")</f>
        <v>sum</v>
      </c>
      <c r="D2" s="421">
        <f>IFERROR(__xludf.DUMMYFUNCTION("""COMPUTED_VALUE"""),46205.0)</f>
        <v>46205</v>
      </c>
      <c r="E2" s="420"/>
      <c r="F2" s="420"/>
      <c r="G2" s="420"/>
      <c r="H2" s="420"/>
      <c r="I2" s="420"/>
      <c r="J2" s="420"/>
      <c r="K2" s="420"/>
      <c r="L2" s="420"/>
      <c r="M2" s="420"/>
      <c r="N2" s="420"/>
      <c r="O2" s="420"/>
      <c r="P2" s="420"/>
      <c r="Q2" s="420"/>
      <c r="R2" s="365"/>
      <c r="S2" s="365"/>
      <c r="T2" s="365"/>
      <c r="U2" s="365"/>
      <c r="V2" s="365"/>
      <c r="W2" s="365" t="str">
        <f>IFERROR(__xludf.DUMMYFUNCTION("""COMPUTED_VALUE"""),"TNI0035")</f>
        <v>TNI0035</v>
      </c>
      <c r="X2" s="365" t="str">
        <f>IFERROR(__xludf.DUMMYFUNCTION("""COMPUTED_VALUE"""),"Team 01")</f>
        <v>Team 01</v>
      </c>
      <c r="Y2" s="365"/>
      <c r="Z2" s="365"/>
      <c r="AA2" s="365"/>
      <c r="AB2" s="365"/>
      <c r="AC2" s="365"/>
      <c r="AD2" s="365"/>
      <c r="AE2" s="365"/>
      <c r="AF2" s="365"/>
      <c r="AG2" s="365"/>
      <c r="AH2" s="365"/>
      <c r="AI2" s="365"/>
    </row>
    <row r="3">
      <c r="A3" s="422">
        <f>IFERROR(__xludf.DUMMYFUNCTION("""COMPUTED_VALUE"""),1.0)</f>
        <v>1</v>
      </c>
      <c r="B3" s="422" t="str">
        <f>IFERROR(__xludf.DUMMYFUNCTION("""COMPUTED_VALUE"""),"Admin")</f>
        <v>Admin</v>
      </c>
      <c r="C3" s="422" t="str">
        <f>IFERROR(__xludf.DUMMYFUNCTION("""COMPUTED_VALUE"""),"Team 01")</f>
        <v>Team 01</v>
      </c>
      <c r="D3" s="422" t="str">
        <f>IFERROR(__xludf.DUMMYFUNCTION("""COMPUTED_VALUE"""),"repair CCTV")</f>
        <v>repair CCTV</v>
      </c>
      <c r="E3" s="423" t="str">
        <f>IFERROR(__xludf.DUMMYFUNCTION("""COMPUTED_VALUE"""),"TNI0006,TNI0250,TNI0013")</f>
        <v>TNI0006,TNI0250,TNI0013</v>
      </c>
      <c r="F3" s="424">
        <f>IFERROR(__xludf.DUMMYFUNCTION("""COMPUTED_VALUE"""),46178.0)</f>
        <v>46178</v>
      </c>
      <c r="G3" s="422"/>
      <c r="H3" s="422"/>
      <c r="I3" s="422"/>
      <c r="J3" s="422"/>
      <c r="K3" s="422"/>
      <c r="L3" s="422"/>
      <c r="M3" s="422"/>
      <c r="N3" s="422"/>
      <c r="O3" s="422">
        <f>IFERROR(__xludf.DUMMYFUNCTION("""COMPUTED_VALUE"""),0.0)</f>
        <v>0</v>
      </c>
      <c r="P3" s="422">
        <f>IFERROR(__xludf.DUMMYFUNCTION("""COMPUTED_VALUE"""),0.0)</f>
        <v>0</v>
      </c>
      <c r="Q3" s="422"/>
      <c r="R3" s="98"/>
      <c r="S3" s="98" t="str">
        <f>IFERROR(__xludf.DUMMYFUNCTION("""COMPUTED_VALUE"""),"Thu Rain Niang")</f>
        <v>Thu Rain Niang</v>
      </c>
      <c r="T3" s="98" t="str">
        <f>IFERROR(__xludf.DUMMYFUNCTION("""COMPUTED_VALUE"""),"TNI0006")</f>
        <v>TNI0006</v>
      </c>
      <c r="W3" s="98" t="str">
        <f>IFERROR(__xludf.DUMMYFUNCTION("""COMPUTED_VALUE"""),"TNI0040")</f>
        <v>TNI0040</v>
      </c>
      <c r="X3" s="98" t="str">
        <f>IFERROR(__xludf.DUMMYFUNCTION("""COMPUTED_VALUE"""),"Team 01")</f>
        <v>Team 01</v>
      </c>
    </row>
    <row r="4">
      <c r="A4" s="422">
        <f>IFERROR(__xludf.DUMMYFUNCTION("""COMPUTED_VALUE"""),2.0)</f>
        <v>2</v>
      </c>
      <c r="B4" s="422" t="str">
        <f>IFERROR(__xludf.DUMMYFUNCTION("""COMPUTED_VALUE"""),"Admin")</f>
        <v>Admin</v>
      </c>
      <c r="C4" s="422" t="str">
        <f>IFERROR(__xludf.DUMMYFUNCTION("""COMPUTED_VALUE"""),"Team 02")</f>
        <v>Team 02</v>
      </c>
      <c r="D4" s="422" t="str">
        <f>IFERROR(__xludf.DUMMYFUNCTION("""COMPUTED_VALUE"""),"repair CCTV")</f>
        <v>repair CCTV</v>
      </c>
      <c r="E4" s="422" t="str">
        <f>IFERROR(__xludf.DUMMYFUNCTION("""COMPUTED_VALUE"""),"Main Team ")</f>
        <v>Main Team </v>
      </c>
      <c r="F4" s="424">
        <f>IFERROR(__xludf.DUMMYFUNCTION("""COMPUTED_VALUE"""),46178.0)</f>
        <v>46178</v>
      </c>
      <c r="G4" s="422"/>
      <c r="H4" s="422" t="str">
        <f>IFERROR(__xludf.DUMMYFUNCTION("""COMPUTED_VALUE"""),"#REF!")</f>
        <v>#REF!</v>
      </c>
      <c r="I4" s="422"/>
      <c r="J4" s="422"/>
      <c r="K4" s="422"/>
      <c r="L4" s="422"/>
      <c r="M4" s="422"/>
      <c r="N4" s="422"/>
      <c r="O4" s="422">
        <f>IFERROR(__xludf.DUMMYFUNCTION("""COMPUTED_VALUE"""),0.0)</f>
        <v>0</v>
      </c>
      <c r="P4" s="422">
        <f>IFERROR(__xludf.DUMMYFUNCTION("""COMPUTED_VALUE"""),0.0)</f>
        <v>0</v>
      </c>
      <c r="Q4" s="422"/>
      <c r="R4" s="98"/>
      <c r="S4" s="98" t="str">
        <f>IFERROR(__xludf.DUMMYFUNCTION("""COMPUTED_VALUE"""),"-")</f>
        <v>-</v>
      </c>
      <c r="T4" s="98" t="str">
        <f>IFERROR(__xludf.DUMMYFUNCTION("""COMPUTED_VALUE"""),"Main Team ")</f>
        <v>Main Team </v>
      </c>
      <c r="W4" s="98" t="str">
        <f>IFERROR(__xludf.DUMMYFUNCTION("""COMPUTED_VALUE"""),"TNI0046")</f>
        <v>TNI0046</v>
      </c>
      <c r="X4" s="98" t="str">
        <f>IFERROR(__xludf.DUMMYFUNCTION("""COMPUTED_VALUE"""),"Team 01")</f>
        <v>Team 01</v>
      </c>
    </row>
    <row r="5">
      <c r="A5" s="422">
        <f>IFERROR(__xludf.DUMMYFUNCTION("""COMPUTED_VALUE"""),3.0)</f>
        <v>3</v>
      </c>
      <c r="B5" s="422" t="str">
        <f>IFERROR(__xludf.DUMMYFUNCTION("""COMPUTED_VALUE"""),"Asset")</f>
        <v>Asset</v>
      </c>
      <c r="C5" s="422" t="str">
        <f>IFERROR(__xludf.DUMMYFUNCTION("""COMPUTED_VALUE"""),"Team 01")</f>
        <v>Team 01</v>
      </c>
      <c r="D5" s="422" t="str">
        <f>IFERROR(__xludf.DUMMYFUNCTION("""COMPUTED_VALUE"""),"Inventory Site")</f>
        <v>Inventory Site</v>
      </c>
      <c r="E5" s="422" t="str">
        <f>IFERROR(__xludf.DUMMYFUNCTION("""COMPUTED_VALUE"""),"Team 1 Plan Site need finish week 48 =&gt; : 42, Cable Plan need finish week 48 =&gt; : 49, MW Plan need finish week 48 =&gt; : 7")</f>
        <v>Team 1 Plan Site need finish week 48 =&gt; : 42, Cable Plan need finish week 48 =&gt; : 49, MW Plan need finish week 48 =&gt; : 7</v>
      </c>
      <c r="F5" s="424">
        <f>IFERROR(__xludf.DUMMYFUNCTION("""COMPUTED_VALUE"""),45985.0)</f>
        <v>45985</v>
      </c>
      <c r="G5" s="424">
        <f>IFERROR(__xludf.DUMMYFUNCTION("""COMPUTED_VALUE"""),45991.0)</f>
        <v>45991</v>
      </c>
      <c r="H5" s="422"/>
      <c r="I5" s="422"/>
      <c r="J5" s="422"/>
      <c r="K5" s="422"/>
      <c r="L5" s="422"/>
      <c r="M5" s="422"/>
      <c r="N5" s="422"/>
      <c r="O5" s="422">
        <f>IFERROR(__xludf.DUMMYFUNCTION("""COMPUTED_VALUE"""),0.0)</f>
        <v>0</v>
      </c>
      <c r="P5" s="422"/>
      <c r="Q5" s="422"/>
      <c r="R5" s="98"/>
      <c r="S5" s="98" t="str">
        <f>IFERROR(__xludf.DUMMYFUNCTION("""COMPUTED_VALUE"""),"-")</f>
        <v>-</v>
      </c>
      <c r="T5" s="98" t="str">
        <f>IFERROR(__xludf.DUMMYFUNCTION("""COMPUTED_VALUE"""),"Team 1 Plan Site need finish week 48 =&gt; : 42, Cable Plan need finish week 48 =&gt; : 49, MW Plan need finish week 48 =&gt; : 7")</f>
        <v>Team 1 Plan Site need finish week 48 =&gt; : 42, Cable Plan need finish week 48 =&gt; : 49, MW Plan need finish week 48 =&gt; : 7</v>
      </c>
      <c r="W5" s="98" t="str">
        <f>IFERROR(__xludf.DUMMYFUNCTION("""COMPUTED_VALUE"""),"TNI0055")</f>
        <v>TNI0055</v>
      </c>
      <c r="X5" s="98" t="str">
        <f>IFERROR(__xludf.DUMMYFUNCTION("""COMPUTED_VALUE"""),"Team 01")</f>
        <v>Team 01</v>
      </c>
    </row>
    <row r="6">
      <c r="A6" s="422">
        <f>IFERROR(__xludf.DUMMYFUNCTION("""COMPUTED_VALUE"""),4.0)</f>
        <v>4</v>
      </c>
      <c r="B6" s="422" t="str">
        <f>IFERROR(__xludf.DUMMYFUNCTION("""COMPUTED_VALUE"""),"Asset")</f>
        <v>Asset</v>
      </c>
      <c r="C6" s="422" t="str">
        <f>IFERROR(__xludf.DUMMYFUNCTION("""COMPUTED_VALUE"""),"Team 01")</f>
        <v>Team 01</v>
      </c>
      <c r="D6" s="422" t="str">
        <f>IFERROR(__xludf.DUMMYFUNCTION("""COMPUTED_VALUE"""),"Inventory Site")</f>
        <v>Inventory Site</v>
      </c>
      <c r="E6" s="422" t="str">
        <f>IFERROR(__xludf.DUMMYFUNCTION("""COMPUTED_VALUE"""),"Support Team 1 must complete the inventory count before the weekly deadline.")</f>
        <v>Support Team 1 must complete the inventory count before the weekly deadline.</v>
      </c>
      <c r="F6" s="424">
        <f>IFERROR(__xludf.DUMMYFUNCTION("""COMPUTED_VALUE"""),46002.0)</f>
        <v>46002</v>
      </c>
      <c r="G6" s="424">
        <f>IFERROR(__xludf.DUMMYFUNCTION("""COMPUTED_VALUE"""),46006.0)</f>
        <v>46006</v>
      </c>
      <c r="H6" s="422"/>
      <c r="I6" s="422"/>
      <c r="J6" s="422"/>
      <c r="K6" s="422"/>
      <c r="L6" s="422"/>
      <c r="M6" s="422"/>
      <c r="N6" s="422"/>
      <c r="O6" s="422">
        <f>IFERROR(__xludf.DUMMYFUNCTION("""COMPUTED_VALUE"""),0.0)</f>
        <v>0</v>
      </c>
      <c r="P6" s="422"/>
      <c r="Q6" s="422"/>
      <c r="R6" s="98"/>
      <c r="S6" s="98" t="str">
        <f>IFERROR(__xludf.DUMMYFUNCTION("""COMPUTED_VALUE"""),"-")</f>
        <v>-</v>
      </c>
      <c r="T6" s="98" t="str">
        <f>IFERROR(__xludf.DUMMYFUNCTION("""COMPUTED_VALUE"""),"Support Team 1 must complete the inventory count before the weekly deadline.")</f>
        <v>Support Team 1 must complete the inventory count before the weekly deadline.</v>
      </c>
      <c r="W6" s="98" t="str">
        <f>IFERROR(__xludf.DUMMYFUNCTION("""COMPUTED_VALUE"""),"TNI0056")</f>
        <v>TNI0056</v>
      </c>
      <c r="X6" s="98" t="str">
        <f>IFERROR(__xludf.DUMMYFUNCTION("""COMPUTED_VALUE"""),"Team 01")</f>
        <v>Team 01</v>
      </c>
    </row>
    <row r="7">
      <c r="A7" s="422">
        <f>IFERROR(__xludf.DUMMYFUNCTION("""COMPUTED_VALUE"""),5.0)</f>
        <v>5</v>
      </c>
      <c r="B7" s="422" t="str">
        <f>IFERROR(__xludf.DUMMYFUNCTION("""COMPUTED_VALUE"""),"Asset")</f>
        <v>Asset</v>
      </c>
      <c r="C7" s="422" t="str">
        <f>IFERROR(__xludf.DUMMYFUNCTION("""COMPUTED_VALUE"""),"Team 01")</f>
        <v>Team 01</v>
      </c>
      <c r="D7" s="422" t="str">
        <f>IFERROR(__xludf.DUMMYFUNCTION("""COMPUTED_VALUE"""),"Inventory Site")</f>
        <v>Inventory Site</v>
      </c>
      <c r="E7" s="422" t="str">
        <f>IFERROR(__xludf.DUMMYFUNCTION("""COMPUTED_VALUE"""),"Team 1 must work together to conduct an inventory of the warehouse.")</f>
        <v>Team 1 must work together to conduct an inventory of the warehouse.</v>
      </c>
      <c r="F7" s="424">
        <f>IFERROR(__xludf.DUMMYFUNCTION("""COMPUTED_VALUE"""),46002.0)</f>
        <v>46002</v>
      </c>
      <c r="G7" s="424">
        <f>IFERROR(__xludf.DUMMYFUNCTION("""COMPUTED_VALUE"""),46006.0)</f>
        <v>46006</v>
      </c>
      <c r="H7" s="422"/>
      <c r="I7" s="422"/>
      <c r="J7" s="422"/>
      <c r="K7" s="422"/>
      <c r="L7" s="422"/>
      <c r="M7" s="422"/>
      <c r="N7" s="422"/>
      <c r="O7" s="422">
        <f>IFERROR(__xludf.DUMMYFUNCTION("""COMPUTED_VALUE"""),0.0)</f>
        <v>0</v>
      </c>
      <c r="P7" s="422"/>
      <c r="Q7" s="422"/>
      <c r="R7" s="98"/>
      <c r="S7" s="98" t="str">
        <f>IFERROR(__xludf.DUMMYFUNCTION("""COMPUTED_VALUE"""),"-")</f>
        <v>-</v>
      </c>
      <c r="T7" s="98" t="str">
        <f>IFERROR(__xludf.DUMMYFUNCTION("""COMPUTED_VALUE"""),"Team 1 must work together to conduct an inventory of the warehouse.")</f>
        <v>Team 1 must work together to conduct an inventory of the warehouse.</v>
      </c>
      <c r="W7" s="98" t="str">
        <f>IFERROR(__xludf.DUMMYFUNCTION("""COMPUTED_VALUE"""),"TNI0062")</f>
        <v>TNI0062</v>
      </c>
      <c r="X7" s="98" t="str">
        <f>IFERROR(__xludf.DUMMYFUNCTION("""COMPUTED_VALUE"""),"Team 01")</f>
        <v>Team 01</v>
      </c>
    </row>
    <row r="8">
      <c r="A8" s="422">
        <f>IFERROR(__xludf.DUMMYFUNCTION("""COMPUTED_VALUE"""),6.0)</f>
        <v>6</v>
      </c>
      <c r="B8" s="422" t="str">
        <f>IFERROR(__xludf.DUMMYFUNCTION("""COMPUTED_VALUE"""),"Asset")</f>
        <v>Asset</v>
      </c>
      <c r="C8" s="422" t="str">
        <f>IFERROR(__xludf.DUMMYFUNCTION("""COMPUTED_VALUE"""),"Team 01")</f>
        <v>Team 01</v>
      </c>
      <c r="D8" s="422" t="str">
        <f>IFERROR(__xludf.DUMMYFUNCTION("""COMPUTED_VALUE"""),"Inventory Team")</f>
        <v>Inventory Team</v>
      </c>
      <c r="E8" s="422" t="str">
        <f>IFERROR(__xludf.DUMMYFUNCTION("""COMPUTED_VALUE"""),"Inventory NOC-ROT-TOOL VCM-MYTEL Team 1")</f>
        <v>Inventory NOC-ROT-TOOL VCM-MYTEL Team 1</v>
      </c>
      <c r="F8" s="424">
        <f>IFERROR(__xludf.DUMMYFUNCTION("""COMPUTED_VALUE"""),45959.0)</f>
        <v>45959</v>
      </c>
      <c r="G8" s="424">
        <f>IFERROR(__xludf.DUMMYFUNCTION("""COMPUTED_VALUE"""),45969.0)</f>
        <v>45969</v>
      </c>
      <c r="H8" s="422"/>
      <c r="I8" s="422"/>
      <c r="J8" s="422"/>
      <c r="K8" s="422"/>
      <c r="L8" s="422"/>
      <c r="M8" s="422"/>
      <c r="N8" s="422"/>
      <c r="O8" s="422">
        <f>IFERROR(__xludf.DUMMYFUNCTION("""COMPUTED_VALUE"""),0.0)</f>
        <v>0</v>
      </c>
      <c r="P8" s="422"/>
      <c r="Q8" s="422"/>
      <c r="R8" s="98"/>
      <c r="S8" s="98" t="str">
        <f>IFERROR(__xludf.DUMMYFUNCTION("""COMPUTED_VALUE"""),"-")</f>
        <v>-</v>
      </c>
      <c r="T8" s="98" t="str">
        <f>IFERROR(__xludf.DUMMYFUNCTION("""COMPUTED_VALUE"""),"Inventory NOC-ROT-TOOL VCM-MYTEL Team 1")</f>
        <v>Inventory NOC-ROT-TOOL VCM-MYTEL Team 1</v>
      </c>
      <c r="W8" s="98" t="str">
        <f>IFERROR(__xludf.DUMMYFUNCTION("""COMPUTED_VALUE"""),"TNI0066")</f>
        <v>TNI0066</v>
      </c>
      <c r="X8" s="98" t="str">
        <f>IFERROR(__xludf.DUMMYFUNCTION("""COMPUTED_VALUE"""),"Team 01")</f>
        <v>Team 01</v>
      </c>
    </row>
    <row r="9">
      <c r="A9" s="422">
        <f>IFERROR(__xludf.DUMMYFUNCTION("""COMPUTED_VALUE"""),7.0)</f>
        <v>7</v>
      </c>
      <c r="B9" s="422" t="str">
        <f>IFERROR(__xludf.DUMMYFUNCTION("""COMPUTED_VALUE"""),"Asset")</f>
        <v>Asset</v>
      </c>
      <c r="C9" s="422" t="str">
        <f>IFERROR(__xludf.DUMMYFUNCTION("""COMPUTED_VALUE"""),"Team 01")</f>
        <v>Team 01</v>
      </c>
      <c r="D9" s="422" t="str">
        <f>IFERROR(__xludf.DUMMYFUNCTION("""COMPUTED_VALUE"""),"Inventory Team")</f>
        <v>Inventory Team</v>
      </c>
      <c r="E9" s="422" t="str">
        <f>IFERROR(__xludf.DUMMYFUNCTION("""COMPUTED_VALUE"""),"Organize the Branch warehouse and Team 1 warehouse according to 5S guidelines.")</f>
        <v>Organize the Branch warehouse and Team 1 warehouse according to 5S guidelines.</v>
      </c>
      <c r="F9" s="424">
        <f>IFERROR(__xludf.DUMMYFUNCTION("""COMPUTED_VALUE"""),46002.0)</f>
        <v>46002</v>
      </c>
      <c r="G9" s="424">
        <f>IFERROR(__xludf.DUMMYFUNCTION("""COMPUTED_VALUE"""),46006.0)</f>
        <v>46006</v>
      </c>
      <c r="H9" s="422"/>
      <c r="I9" s="422"/>
      <c r="J9" s="422"/>
      <c r="K9" s="422"/>
      <c r="L9" s="422"/>
      <c r="M9" s="422"/>
      <c r="N9" s="422"/>
      <c r="O9" s="422">
        <f>IFERROR(__xludf.DUMMYFUNCTION("""COMPUTED_VALUE"""),0.0)</f>
        <v>0</v>
      </c>
      <c r="P9" s="422"/>
      <c r="Q9" s="422"/>
      <c r="R9" s="98"/>
      <c r="S9" s="98" t="str">
        <f>IFERROR(__xludf.DUMMYFUNCTION("""COMPUTED_VALUE"""),"-")</f>
        <v>-</v>
      </c>
      <c r="T9" s="98" t="str">
        <f>IFERROR(__xludf.DUMMYFUNCTION("""COMPUTED_VALUE"""),"Organize the Branch warehouse and Team 1 warehouse according to 5S guidelines.")</f>
        <v>Organize the Branch warehouse and Team 1 warehouse according to 5S guidelines.</v>
      </c>
      <c r="W9" s="98" t="str">
        <f>IFERROR(__xludf.DUMMYFUNCTION("""COMPUTED_VALUE"""),"TNI0073")</f>
        <v>TNI0073</v>
      </c>
      <c r="X9" s="98" t="str">
        <f>IFERROR(__xludf.DUMMYFUNCTION("""COMPUTED_VALUE"""),"Team 01")</f>
        <v>Team 01</v>
      </c>
    </row>
    <row r="10">
      <c r="A10" s="422">
        <f>IFERROR(__xludf.DUMMYFUNCTION("""COMPUTED_VALUE"""),8.0)</f>
        <v>8</v>
      </c>
      <c r="B10" s="422" t="str">
        <f>IFERROR(__xludf.DUMMYFUNCTION("""COMPUTED_VALUE"""),"Asset")</f>
        <v>Asset</v>
      </c>
      <c r="C10" s="422" t="str">
        <f>IFERROR(__xludf.DUMMYFUNCTION("""COMPUTED_VALUE"""),"Team 01")</f>
        <v>Team 01</v>
      </c>
      <c r="D10" s="422" t="str">
        <f>IFERROR(__xludf.DUMMYFUNCTION("""COMPUTED_VALUE"""),"Materials use in station &amp; WO close ")</f>
        <v>Materials use in station &amp; WO close </v>
      </c>
      <c r="E10" s="422" t="str">
        <f>IFERROR(__xludf.DUMMYFUNCTION("""COMPUTED_VALUE"""),"WO_WFM-OTHERS_20260503_123172952")</f>
        <v>WO_WFM-OTHERS_20260503_123172952</v>
      </c>
      <c r="F10" s="424">
        <f>IFERROR(__xludf.DUMMYFUNCTION("""COMPUTED_VALUE"""),46145.0)</f>
        <v>46145</v>
      </c>
      <c r="G10" s="424">
        <f>IFERROR(__xludf.DUMMYFUNCTION("""COMPUTED_VALUE"""),46120.0)</f>
        <v>46120</v>
      </c>
      <c r="H10" s="422"/>
      <c r="I10" s="422"/>
      <c r="J10" s="422"/>
      <c r="K10" s="422"/>
      <c r="L10" s="422"/>
      <c r="M10" s="422"/>
      <c r="N10" s="422"/>
      <c r="O10" s="422">
        <f>IFERROR(__xludf.DUMMYFUNCTION("""COMPUTED_VALUE"""),0.0)</f>
        <v>0</v>
      </c>
      <c r="P10" s="422"/>
      <c r="Q10" s="422"/>
      <c r="R10" s="98"/>
      <c r="S10" s="98" t="str">
        <f>IFERROR(__xludf.DUMMYFUNCTION("""COMPUTED_VALUE"""),"-")</f>
        <v>-</v>
      </c>
      <c r="T10" s="98" t="str">
        <f>IFERROR(__xludf.DUMMYFUNCTION("""COMPUTED_VALUE"""),"WO_WFM-OTHERS_20260503_123172952")</f>
        <v>WO_WFM-OTHERS_20260503_123172952</v>
      </c>
      <c r="W10" s="98" t="str">
        <f>IFERROR(__xludf.DUMMYFUNCTION("""COMPUTED_VALUE"""),"TNI0078")</f>
        <v>TNI0078</v>
      </c>
      <c r="X10" s="98" t="str">
        <f>IFERROR(__xludf.DUMMYFUNCTION("""COMPUTED_VALUE"""),"Team 01")</f>
        <v>Team 01</v>
      </c>
    </row>
    <row r="11">
      <c r="A11" s="422">
        <f>IFERROR(__xludf.DUMMYFUNCTION("""COMPUTED_VALUE"""),9.0)</f>
        <v>9</v>
      </c>
      <c r="B11" s="422" t="str">
        <f>IFERROR(__xludf.DUMMYFUNCTION("""COMPUTED_VALUE"""),"Asset")</f>
        <v>Asset</v>
      </c>
      <c r="C11" s="422" t="str">
        <f>IFERROR(__xludf.DUMMYFUNCTION("""COMPUTED_VALUE"""),"Team 01")</f>
        <v>Team 01</v>
      </c>
      <c r="D11" s="422" t="str">
        <f>IFERROR(__xludf.DUMMYFUNCTION("""COMPUTED_VALUE"""),"Materials use in station &amp; WO close ")</f>
        <v>Materials use in station &amp; WO close </v>
      </c>
      <c r="E11" s="422" t="str">
        <f>IFERROR(__xludf.DUMMYFUNCTION("""COMPUTED_VALUE"""),"WO_WFM-OTHERS_20260503_123172946")</f>
        <v>WO_WFM-OTHERS_20260503_123172946</v>
      </c>
      <c r="F11" s="424">
        <f>IFERROR(__xludf.DUMMYFUNCTION("""COMPUTED_VALUE"""),46145.0)</f>
        <v>46145</v>
      </c>
      <c r="G11" s="424">
        <f>IFERROR(__xludf.DUMMYFUNCTION("""COMPUTED_VALUE"""),46120.0)</f>
        <v>46120</v>
      </c>
      <c r="H11" s="422"/>
      <c r="I11" s="422"/>
      <c r="J11" s="422"/>
      <c r="K11" s="422"/>
      <c r="L11" s="422"/>
      <c r="M11" s="422"/>
      <c r="N11" s="422"/>
      <c r="O11" s="422">
        <f>IFERROR(__xludf.DUMMYFUNCTION("""COMPUTED_VALUE"""),0.0)</f>
        <v>0</v>
      </c>
      <c r="P11" s="422"/>
      <c r="Q11" s="422"/>
      <c r="R11" s="98"/>
      <c r="S11" s="98" t="str">
        <f>IFERROR(__xludf.DUMMYFUNCTION("""COMPUTED_VALUE"""),"-")</f>
        <v>-</v>
      </c>
      <c r="T11" s="98" t="str">
        <f>IFERROR(__xludf.DUMMYFUNCTION("""COMPUTED_VALUE"""),"WO_WFM-OTHERS_20260503_123172946")</f>
        <v>WO_WFM-OTHERS_20260503_123172946</v>
      </c>
      <c r="W11" s="98" t="str">
        <f>IFERROR(__xludf.DUMMYFUNCTION("""COMPUTED_VALUE"""),"TNI0144")</f>
        <v>TNI0144</v>
      </c>
      <c r="X11" s="98" t="str">
        <f>IFERROR(__xludf.DUMMYFUNCTION("""COMPUTED_VALUE"""),"Team 01")</f>
        <v>Team 01</v>
      </c>
    </row>
    <row r="12">
      <c r="A12" s="422">
        <f>IFERROR(__xludf.DUMMYFUNCTION("""COMPUTED_VALUE"""),10.0)</f>
        <v>10</v>
      </c>
      <c r="B12" s="422" t="str">
        <f>IFERROR(__xludf.DUMMYFUNCTION("""COMPUTED_VALUE"""),"Asset")</f>
        <v>Asset</v>
      </c>
      <c r="C12" s="422" t="str">
        <f>IFERROR(__xludf.DUMMYFUNCTION("""COMPUTED_VALUE"""),"Team 01")</f>
        <v>Team 01</v>
      </c>
      <c r="D12" s="422" t="str">
        <f>IFERROR(__xludf.DUMMYFUNCTION("""COMPUTED_VALUE"""),"Materials use in station &amp; WO close ")</f>
        <v>Materials use in station &amp; WO close </v>
      </c>
      <c r="E12" s="422" t="str">
        <f>IFERROR(__xludf.DUMMYFUNCTION("""COMPUTED_VALUE"""),"WO_WFM-OTHERS_20260503_123172938")</f>
        <v>WO_WFM-OTHERS_20260503_123172938</v>
      </c>
      <c r="F12" s="424">
        <f>IFERROR(__xludf.DUMMYFUNCTION("""COMPUTED_VALUE"""),46145.0)</f>
        <v>46145</v>
      </c>
      <c r="G12" s="424">
        <f>IFERROR(__xludf.DUMMYFUNCTION("""COMPUTED_VALUE"""),46120.0)</f>
        <v>46120</v>
      </c>
      <c r="H12" s="422"/>
      <c r="I12" s="422"/>
      <c r="J12" s="422"/>
      <c r="K12" s="422"/>
      <c r="L12" s="422"/>
      <c r="M12" s="422"/>
      <c r="N12" s="422"/>
      <c r="O12" s="422">
        <f>IFERROR(__xludf.DUMMYFUNCTION("""COMPUTED_VALUE"""),0.0)</f>
        <v>0</v>
      </c>
      <c r="P12" s="422"/>
      <c r="Q12" s="422"/>
      <c r="R12" s="98"/>
      <c r="S12" s="98" t="str">
        <f>IFERROR(__xludf.DUMMYFUNCTION("""COMPUTED_VALUE"""),"-")</f>
        <v>-</v>
      </c>
      <c r="T12" s="98" t="str">
        <f>IFERROR(__xludf.DUMMYFUNCTION("""COMPUTED_VALUE"""),"WO_WFM-OTHERS_20260503_123172938")</f>
        <v>WO_WFM-OTHERS_20260503_123172938</v>
      </c>
      <c r="W12" s="98" t="str">
        <f>IFERROR(__xludf.DUMMYFUNCTION("""COMPUTED_VALUE"""),"TNI0201")</f>
        <v>TNI0201</v>
      </c>
      <c r="X12" s="98" t="str">
        <f>IFERROR(__xludf.DUMMYFUNCTION("""COMPUTED_VALUE"""),"Team 01")</f>
        <v>Team 01</v>
      </c>
    </row>
    <row r="13">
      <c r="A13" s="422">
        <f>IFERROR(__xludf.DUMMYFUNCTION("""COMPUTED_VALUE"""),11.0)</f>
        <v>11</v>
      </c>
      <c r="B13" s="422" t="str">
        <f>IFERROR(__xludf.DUMMYFUNCTION("""COMPUTED_VALUE"""),"Asset")</f>
        <v>Asset</v>
      </c>
      <c r="C13" s="422" t="str">
        <f>IFERROR(__xludf.DUMMYFUNCTION("""COMPUTED_VALUE"""),"Team 01")</f>
        <v>Team 01</v>
      </c>
      <c r="D13" s="422" t="str">
        <f>IFERROR(__xludf.DUMMYFUNCTION("""COMPUTED_VALUE"""),"Materials use in station &amp; WO close ")</f>
        <v>Materials use in station &amp; WO close </v>
      </c>
      <c r="E13" s="422" t="str">
        <f>IFERROR(__xludf.DUMMYFUNCTION("""COMPUTED_VALUE"""),"WO_WFM-OTHERS_20260503_123173150")</f>
        <v>WO_WFM-OTHERS_20260503_123173150</v>
      </c>
      <c r="F13" s="424">
        <f>IFERROR(__xludf.DUMMYFUNCTION("""COMPUTED_VALUE"""),46145.0)</f>
        <v>46145</v>
      </c>
      <c r="G13" s="424">
        <f>IFERROR(__xludf.DUMMYFUNCTION("""COMPUTED_VALUE"""),46120.0)</f>
        <v>46120</v>
      </c>
      <c r="H13" s="422"/>
      <c r="I13" s="422"/>
      <c r="J13" s="422"/>
      <c r="K13" s="422"/>
      <c r="L13" s="422"/>
      <c r="M13" s="422"/>
      <c r="N13" s="422"/>
      <c r="O13" s="422">
        <f>IFERROR(__xludf.DUMMYFUNCTION("""COMPUTED_VALUE"""),0.0)</f>
        <v>0</v>
      </c>
      <c r="P13" s="422"/>
      <c r="Q13" s="422"/>
      <c r="R13" s="98"/>
      <c r="S13" s="98" t="str">
        <f>IFERROR(__xludf.DUMMYFUNCTION("""COMPUTED_VALUE"""),"-")</f>
        <v>-</v>
      </c>
      <c r="T13" s="98" t="str">
        <f>IFERROR(__xludf.DUMMYFUNCTION("""COMPUTED_VALUE"""),"WO_WFM-OTHERS_20260503_123173150")</f>
        <v>WO_WFM-OTHERS_20260503_123173150</v>
      </c>
      <c r="W13" s="98" t="str">
        <f>IFERROR(__xludf.DUMMYFUNCTION("""COMPUTED_VALUE"""),"TNI0231")</f>
        <v>TNI0231</v>
      </c>
      <c r="X13" s="98" t="str">
        <f>IFERROR(__xludf.DUMMYFUNCTION("""COMPUTED_VALUE"""),"Team 01")</f>
        <v>Team 01</v>
      </c>
    </row>
    <row r="14">
      <c r="A14" s="422">
        <f>IFERROR(__xludf.DUMMYFUNCTION("""COMPUTED_VALUE"""),12.0)</f>
        <v>12</v>
      </c>
      <c r="B14" s="422" t="str">
        <f>IFERROR(__xludf.DUMMYFUNCTION("""COMPUTED_VALUE"""),"Asset")</f>
        <v>Asset</v>
      </c>
      <c r="C14" s="422" t="str">
        <f>IFERROR(__xludf.DUMMYFUNCTION("""COMPUTED_VALUE"""),"Team 01")</f>
        <v>Team 01</v>
      </c>
      <c r="D14" s="422" t="str">
        <f>IFERROR(__xludf.DUMMYFUNCTION("""COMPUTED_VALUE"""),"Materials use in station &amp; WO close ")</f>
        <v>Materials use in station &amp; WO close </v>
      </c>
      <c r="E14" s="422" t="str">
        <f>IFERROR(__xludf.DUMMYFUNCTION("""COMPUTED_VALUE"""),"WO_WFM-OTHERS_20260503_123173144")</f>
        <v>WO_WFM-OTHERS_20260503_123173144</v>
      </c>
      <c r="F14" s="424">
        <f>IFERROR(__xludf.DUMMYFUNCTION("""COMPUTED_VALUE"""),46145.0)</f>
        <v>46145</v>
      </c>
      <c r="G14" s="424">
        <f>IFERROR(__xludf.DUMMYFUNCTION("""COMPUTED_VALUE"""),46120.0)</f>
        <v>46120</v>
      </c>
      <c r="H14" s="422"/>
      <c r="I14" s="422"/>
      <c r="J14" s="422"/>
      <c r="K14" s="422"/>
      <c r="L14" s="422"/>
      <c r="M14" s="422"/>
      <c r="N14" s="422"/>
      <c r="O14" s="422">
        <f>IFERROR(__xludf.DUMMYFUNCTION("""COMPUTED_VALUE"""),0.0)</f>
        <v>0</v>
      </c>
      <c r="P14" s="422"/>
      <c r="Q14" s="422"/>
      <c r="R14" s="98"/>
      <c r="S14" s="98" t="str">
        <f>IFERROR(__xludf.DUMMYFUNCTION("""COMPUTED_VALUE"""),"-")</f>
        <v>-</v>
      </c>
      <c r="T14" s="98" t="str">
        <f>IFERROR(__xludf.DUMMYFUNCTION("""COMPUTED_VALUE"""),"WO_WFM-OTHERS_20260503_123173144")</f>
        <v>WO_WFM-OTHERS_20260503_123173144</v>
      </c>
      <c r="W14" s="98" t="str">
        <f>IFERROR(__xludf.DUMMYFUNCTION("""COMPUTED_VALUE"""),"TNI0238")</f>
        <v>TNI0238</v>
      </c>
      <c r="X14" s="98" t="str">
        <f>IFERROR(__xludf.DUMMYFUNCTION("""COMPUTED_VALUE"""),"Team 01")</f>
        <v>Team 01</v>
      </c>
    </row>
    <row r="15">
      <c r="A15" s="422">
        <f>IFERROR(__xludf.DUMMYFUNCTION("""COMPUTED_VALUE"""),13.0)</f>
        <v>13</v>
      </c>
      <c r="B15" s="422" t="str">
        <f>IFERROR(__xludf.DUMMYFUNCTION("""COMPUTED_VALUE"""),"Asset")</f>
        <v>Asset</v>
      </c>
      <c r="C15" s="422" t="str">
        <f>IFERROR(__xludf.DUMMYFUNCTION("""COMPUTED_VALUE"""),"Team 01")</f>
        <v>Team 01</v>
      </c>
      <c r="D15" s="422" t="str">
        <f>IFERROR(__xludf.DUMMYFUNCTION("""COMPUTED_VALUE"""),"Materials use in station &amp; WO close ")</f>
        <v>Materials use in station &amp; WO close </v>
      </c>
      <c r="E15" s="422" t="str">
        <f>IFERROR(__xludf.DUMMYFUNCTION("""COMPUTED_VALUE"""),"WO_WFM-OTHERS_20260503_123172914")</f>
        <v>WO_WFM-OTHERS_20260503_123172914</v>
      </c>
      <c r="F15" s="424">
        <f>IFERROR(__xludf.DUMMYFUNCTION("""COMPUTED_VALUE"""),46145.0)</f>
        <v>46145</v>
      </c>
      <c r="G15" s="424">
        <f>IFERROR(__xludf.DUMMYFUNCTION("""COMPUTED_VALUE"""),46120.0)</f>
        <v>46120</v>
      </c>
      <c r="H15" s="422"/>
      <c r="I15" s="422"/>
      <c r="J15" s="422"/>
      <c r="K15" s="422"/>
      <c r="L15" s="422"/>
      <c r="M15" s="422"/>
      <c r="N15" s="422"/>
      <c r="O15" s="422">
        <f>IFERROR(__xludf.DUMMYFUNCTION("""COMPUTED_VALUE"""),0.0)</f>
        <v>0</v>
      </c>
      <c r="P15" s="422"/>
      <c r="Q15" s="422"/>
      <c r="R15" s="98"/>
      <c r="S15" s="98" t="str">
        <f>IFERROR(__xludf.DUMMYFUNCTION("""COMPUTED_VALUE"""),"-")</f>
        <v>-</v>
      </c>
      <c r="T15" s="98" t="str">
        <f>IFERROR(__xludf.DUMMYFUNCTION("""COMPUTED_VALUE"""),"WO_WFM-OTHERS_20260503_123172914")</f>
        <v>WO_WFM-OTHERS_20260503_123172914</v>
      </c>
      <c r="W15" s="98" t="str">
        <f>IFERROR(__xludf.DUMMYFUNCTION("""COMPUTED_VALUE"""),"TNI0250")</f>
        <v>TNI0250</v>
      </c>
      <c r="X15" s="98" t="str">
        <f>IFERROR(__xludf.DUMMYFUNCTION("""COMPUTED_VALUE"""),"Team 01")</f>
        <v>Team 01</v>
      </c>
    </row>
    <row r="16">
      <c r="A16" s="422">
        <f>IFERROR(__xludf.DUMMYFUNCTION("""COMPUTED_VALUE"""),14.0)</f>
        <v>14</v>
      </c>
      <c r="B16" s="422" t="str">
        <f>IFERROR(__xludf.DUMMYFUNCTION("""COMPUTED_VALUE"""),"Asset")</f>
        <v>Asset</v>
      </c>
      <c r="C16" s="422" t="str">
        <f>IFERROR(__xludf.DUMMYFUNCTION("""COMPUTED_VALUE"""),"Team 01")</f>
        <v>Team 01</v>
      </c>
      <c r="D16" s="422" t="str">
        <f>IFERROR(__xludf.DUMMYFUNCTION("""COMPUTED_VALUE"""),"Materials use in station &amp; WO close ")</f>
        <v>Materials use in station &amp; WO close </v>
      </c>
      <c r="E16" s="422" t="str">
        <f>IFERROR(__xludf.DUMMYFUNCTION("""COMPUTED_VALUE"""),"WO_WFM-OTHERS_20260503_123173129")</f>
        <v>WO_WFM-OTHERS_20260503_123173129</v>
      </c>
      <c r="F16" s="424">
        <f>IFERROR(__xludf.DUMMYFUNCTION("""COMPUTED_VALUE"""),46145.0)</f>
        <v>46145</v>
      </c>
      <c r="G16" s="424">
        <f>IFERROR(__xludf.DUMMYFUNCTION("""COMPUTED_VALUE"""),46120.0)</f>
        <v>46120</v>
      </c>
      <c r="H16" s="422"/>
      <c r="I16" s="422"/>
      <c r="J16" s="422"/>
      <c r="K16" s="422"/>
      <c r="L16" s="422"/>
      <c r="M16" s="422"/>
      <c r="N16" s="422"/>
      <c r="O16" s="422">
        <f>IFERROR(__xludf.DUMMYFUNCTION("""COMPUTED_VALUE"""),0.0)</f>
        <v>0</v>
      </c>
      <c r="P16" s="422"/>
      <c r="Q16" s="422"/>
      <c r="R16" s="98"/>
      <c r="S16" s="98" t="str">
        <f>IFERROR(__xludf.DUMMYFUNCTION("""COMPUTED_VALUE"""),"-")</f>
        <v>-</v>
      </c>
      <c r="T16" s="98" t="str">
        <f>IFERROR(__xludf.DUMMYFUNCTION("""COMPUTED_VALUE"""),"WO_WFM-OTHERS_20260503_123173129")</f>
        <v>WO_WFM-OTHERS_20260503_123173129</v>
      </c>
      <c r="W16" s="98" t="str">
        <f>IFERROR(__xludf.DUMMYFUNCTION("""COMPUTED_VALUE"""),"TNI0256")</f>
        <v>TNI0256</v>
      </c>
      <c r="X16" s="98" t="str">
        <f>IFERROR(__xludf.DUMMYFUNCTION("""COMPUTED_VALUE"""),"Team 01")</f>
        <v>Team 01</v>
      </c>
    </row>
    <row r="17">
      <c r="A17" s="422">
        <f>IFERROR(__xludf.DUMMYFUNCTION("""COMPUTED_VALUE"""),15.0)</f>
        <v>15</v>
      </c>
      <c r="B17" s="422" t="str">
        <f>IFERROR(__xludf.DUMMYFUNCTION("""COMPUTED_VALUE"""),"Asset")</f>
        <v>Asset</v>
      </c>
      <c r="C17" s="422" t="str">
        <f>IFERROR(__xludf.DUMMYFUNCTION("""COMPUTED_VALUE"""),"Team 01")</f>
        <v>Team 01</v>
      </c>
      <c r="D17" s="422" t="str">
        <f>IFERROR(__xludf.DUMMYFUNCTION("""COMPUTED_VALUE"""),"Materials use in station &amp; WO close ")</f>
        <v>Materials use in station &amp; WO close </v>
      </c>
      <c r="E17" s="422" t="str">
        <f>IFERROR(__xludf.DUMMYFUNCTION("""COMPUTED_VALUE"""),"WO_WFM-OTHERS_20260503_123173121")</f>
        <v>WO_WFM-OTHERS_20260503_123173121</v>
      </c>
      <c r="F17" s="424">
        <f>IFERROR(__xludf.DUMMYFUNCTION("""COMPUTED_VALUE"""),46145.0)</f>
        <v>46145</v>
      </c>
      <c r="G17" s="424">
        <f>IFERROR(__xludf.DUMMYFUNCTION("""COMPUTED_VALUE"""),46120.0)</f>
        <v>46120</v>
      </c>
      <c r="H17" s="422"/>
      <c r="I17" s="422"/>
      <c r="J17" s="422"/>
      <c r="K17" s="422"/>
      <c r="L17" s="422"/>
      <c r="M17" s="422"/>
      <c r="N17" s="422"/>
      <c r="O17" s="422">
        <f>IFERROR(__xludf.DUMMYFUNCTION("""COMPUTED_VALUE"""),0.0)</f>
        <v>0</v>
      </c>
      <c r="P17" s="422"/>
      <c r="Q17" s="422"/>
      <c r="R17" s="98"/>
      <c r="S17" s="98" t="str">
        <f>IFERROR(__xludf.DUMMYFUNCTION("""COMPUTED_VALUE"""),"-")</f>
        <v>-</v>
      </c>
      <c r="T17" s="98" t="str">
        <f>IFERROR(__xludf.DUMMYFUNCTION("""COMPUTED_VALUE"""),"WO_WFM-OTHERS_20260503_123173121")</f>
        <v>WO_WFM-OTHERS_20260503_123173121</v>
      </c>
      <c r="W17" s="98" t="str">
        <f>IFERROR(__xludf.DUMMYFUNCTION("""COMPUTED_VALUE"""),"TNI0264")</f>
        <v>TNI0264</v>
      </c>
      <c r="X17" s="98" t="str">
        <f>IFERROR(__xludf.DUMMYFUNCTION("""COMPUTED_VALUE"""),"Team 01")</f>
        <v>Team 01</v>
      </c>
    </row>
    <row r="18">
      <c r="A18" s="422">
        <f>IFERROR(__xludf.DUMMYFUNCTION("""COMPUTED_VALUE"""),16.0)</f>
        <v>16</v>
      </c>
      <c r="B18" s="422" t="str">
        <f>IFERROR(__xludf.DUMMYFUNCTION("""COMPUTED_VALUE"""),"Asset")</f>
        <v>Asset</v>
      </c>
      <c r="C18" s="422" t="str">
        <f>IFERROR(__xludf.DUMMYFUNCTION("""COMPUTED_VALUE"""),"Team 01")</f>
        <v>Team 01</v>
      </c>
      <c r="D18" s="422" t="str">
        <f>IFERROR(__xludf.DUMMYFUNCTION("""COMPUTED_VALUE"""),"Materials use in station &amp; WO close ")</f>
        <v>Materials use in station &amp; WO close </v>
      </c>
      <c r="E18" s="422" t="str">
        <f>IFERROR(__xludf.DUMMYFUNCTION("""COMPUTED_VALUE"""),"WO_WFM-OTHERS_20260503_123173082")</f>
        <v>WO_WFM-OTHERS_20260503_123173082</v>
      </c>
      <c r="F18" s="424">
        <f>IFERROR(__xludf.DUMMYFUNCTION("""COMPUTED_VALUE"""),46145.0)</f>
        <v>46145</v>
      </c>
      <c r="G18" s="424">
        <f>IFERROR(__xludf.DUMMYFUNCTION("""COMPUTED_VALUE"""),46120.0)</f>
        <v>46120</v>
      </c>
      <c r="H18" s="422"/>
      <c r="I18" s="422"/>
      <c r="J18" s="422"/>
      <c r="K18" s="422"/>
      <c r="L18" s="422"/>
      <c r="M18" s="422"/>
      <c r="N18" s="422"/>
      <c r="O18" s="422">
        <f>IFERROR(__xludf.DUMMYFUNCTION("""COMPUTED_VALUE"""),0.0)</f>
        <v>0</v>
      </c>
      <c r="P18" s="422"/>
      <c r="Q18" s="422"/>
      <c r="R18" s="98"/>
      <c r="S18" s="98" t="str">
        <f>IFERROR(__xludf.DUMMYFUNCTION("""COMPUTED_VALUE"""),"-")</f>
        <v>-</v>
      </c>
      <c r="T18" s="98" t="str">
        <f>IFERROR(__xludf.DUMMYFUNCTION("""COMPUTED_VALUE"""),"WO_WFM-OTHERS_20260503_123173082")</f>
        <v>WO_WFM-OTHERS_20260503_123173082</v>
      </c>
      <c r="W18" s="98" t="str">
        <f>IFERROR(__xludf.DUMMYFUNCTION("""COMPUTED_VALUE"""),"TNI0265")</f>
        <v>TNI0265</v>
      </c>
      <c r="X18" s="98" t="str">
        <f>IFERROR(__xludf.DUMMYFUNCTION("""COMPUTED_VALUE"""),"Team 01")</f>
        <v>Team 01</v>
      </c>
    </row>
    <row r="19">
      <c r="A19" s="422">
        <f>IFERROR(__xludf.DUMMYFUNCTION("""COMPUTED_VALUE"""),17.0)</f>
        <v>17</v>
      </c>
      <c r="B19" s="422" t="str">
        <f>IFERROR(__xludf.DUMMYFUNCTION("""COMPUTED_VALUE"""),"Asset")</f>
        <v>Asset</v>
      </c>
      <c r="C19" s="422" t="str">
        <f>IFERROR(__xludf.DUMMYFUNCTION("""COMPUTED_VALUE"""),"Team 01")</f>
        <v>Team 01</v>
      </c>
      <c r="D19" s="422" t="str">
        <f>IFERROR(__xludf.DUMMYFUNCTION("""COMPUTED_VALUE"""),"Materials use in station &amp; WO close ")</f>
        <v>Materials use in station &amp; WO close </v>
      </c>
      <c r="E19" s="422" t="str">
        <f>IFERROR(__xludf.DUMMYFUNCTION("""COMPUTED_VALUE"""),"WO_WFM-OTHERS_20260503_123173077")</f>
        <v>WO_WFM-OTHERS_20260503_123173077</v>
      </c>
      <c r="F19" s="424">
        <f>IFERROR(__xludf.DUMMYFUNCTION("""COMPUTED_VALUE"""),46145.0)</f>
        <v>46145</v>
      </c>
      <c r="G19" s="424">
        <f>IFERROR(__xludf.DUMMYFUNCTION("""COMPUTED_VALUE"""),46120.0)</f>
        <v>46120</v>
      </c>
      <c r="H19" s="422"/>
      <c r="I19" s="422"/>
      <c r="J19" s="422"/>
      <c r="K19" s="422"/>
      <c r="L19" s="422"/>
      <c r="M19" s="422"/>
      <c r="N19" s="422"/>
      <c r="O19" s="422">
        <f>IFERROR(__xludf.DUMMYFUNCTION("""COMPUTED_VALUE"""),0.0)</f>
        <v>0</v>
      </c>
      <c r="P19" s="422"/>
      <c r="Q19" s="422"/>
      <c r="R19" s="98"/>
      <c r="S19" s="98" t="str">
        <f>IFERROR(__xludf.DUMMYFUNCTION("""COMPUTED_VALUE"""),"-")</f>
        <v>-</v>
      </c>
      <c r="T19" s="98" t="str">
        <f>IFERROR(__xludf.DUMMYFUNCTION("""COMPUTED_VALUE"""),"WO_WFM-OTHERS_20260503_123173077")</f>
        <v>WO_WFM-OTHERS_20260503_123173077</v>
      </c>
      <c r="W19" s="98" t="str">
        <f>IFERROR(__xludf.DUMMYFUNCTION("""COMPUTED_VALUE"""),"TNI0272")</f>
        <v>TNI0272</v>
      </c>
      <c r="X19" s="98" t="str">
        <f>IFERROR(__xludf.DUMMYFUNCTION("""COMPUTED_VALUE"""),"Team 01")</f>
        <v>Team 01</v>
      </c>
    </row>
    <row r="20">
      <c r="A20" s="422">
        <f>IFERROR(__xludf.DUMMYFUNCTION("""COMPUTED_VALUE"""),18.0)</f>
        <v>18</v>
      </c>
      <c r="B20" s="422" t="str">
        <f>IFERROR(__xludf.DUMMYFUNCTION("""COMPUTED_VALUE"""),"Asset")</f>
        <v>Asset</v>
      </c>
      <c r="C20" s="422" t="str">
        <f>IFERROR(__xludf.DUMMYFUNCTION("""COMPUTED_VALUE"""),"Team 01")</f>
        <v>Team 01</v>
      </c>
      <c r="D20" s="422" t="str">
        <f>IFERROR(__xludf.DUMMYFUNCTION("""COMPUTED_VALUE"""),"Materials use in station &amp; WO close ")</f>
        <v>Materials use in station &amp; WO close </v>
      </c>
      <c r="E20" s="422" t="str">
        <f>IFERROR(__xludf.DUMMYFUNCTION("""COMPUTED_VALUE"""),"WO_WFM-OTHERS_20260503_123172873")</f>
        <v>WO_WFM-OTHERS_20260503_123172873</v>
      </c>
      <c r="F20" s="424">
        <f>IFERROR(__xludf.DUMMYFUNCTION("""COMPUTED_VALUE"""),46145.0)</f>
        <v>46145</v>
      </c>
      <c r="G20" s="424">
        <f>IFERROR(__xludf.DUMMYFUNCTION("""COMPUTED_VALUE"""),46120.0)</f>
        <v>46120</v>
      </c>
      <c r="H20" s="422"/>
      <c r="I20" s="422"/>
      <c r="J20" s="422"/>
      <c r="K20" s="422"/>
      <c r="L20" s="422"/>
      <c r="M20" s="422"/>
      <c r="N20" s="422"/>
      <c r="O20" s="422">
        <f>IFERROR(__xludf.DUMMYFUNCTION("""COMPUTED_VALUE"""),0.0)</f>
        <v>0</v>
      </c>
      <c r="P20" s="422"/>
      <c r="Q20" s="422"/>
      <c r="R20" s="98"/>
      <c r="S20" s="98" t="str">
        <f>IFERROR(__xludf.DUMMYFUNCTION("""COMPUTED_VALUE"""),"-")</f>
        <v>-</v>
      </c>
      <c r="T20" s="98" t="str">
        <f>IFERROR(__xludf.DUMMYFUNCTION("""COMPUTED_VALUE"""),"WO_WFM-OTHERS_20260503_123172873")</f>
        <v>WO_WFM-OTHERS_20260503_123172873</v>
      </c>
      <c r="W20" s="98" t="str">
        <f>IFERROR(__xludf.DUMMYFUNCTION("""COMPUTED_VALUE"""),"TNI0275")</f>
        <v>TNI0275</v>
      </c>
      <c r="X20" s="98" t="str">
        <f>IFERROR(__xludf.DUMMYFUNCTION("""COMPUTED_VALUE"""),"Team 01")</f>
        <v>Team 01</v>
      </c>
    </row>
    <row r="21">
      <c r="A21" s="422">
        <f>IFERROR(__xludf.DUMMYFUNCTION("""COMPUTED_VALUE"""),19.0)</f>
        <v>19</v>
      </c>
      <c r="B21" s="422" t="str">
        <f>IFERROR(__xludf.DUMMYFUNCTION("""COMPUTED_VALUE"""),"Asset")</f>
        <v>Asset</v>
      </c>
      <c r="C21" s="422" t="str">
        <f>IFERROR(__xludf.DUMMYFUNCTION("""COMPUTED_VALUE"""),"Team 01")</f>
        <v>Team 01</v>
      </c>
      <c r="D21" s="422" t="str">
        <f>IFERROR(__xludf.DUMMYFUNCTION("""COMPUTED_VALUE"""),"Materials use in station &amp; WO close ")</f>
        <v>Materials use in station &amp; WO close </v>
      </c>
      <c r="E21" s="422" t="str">
        <f>IFERROR(__xludf.DUMMYFUNCTION("""COMPUTED_VALUE"""),"WO_WFM-OTHERS_20260503_123172864")</f>
        <v>WO_WFM-OTHERS_20260503_123172864</v>
      </c>
      <c r="F21" s="424">
        <f>IFERROR(__xludf.DUMMYFUNCTION("""COMPUTED_VALUE"""),46145.0)</f>
        <v>46145</v>
      </c>
      <c r="G21" s="424">
        <f>IFERROR(__xludf.DUMMYFUNCTION("""COMPUTED_VALUE"""),46120.0)</f>
        <v>46120</v>
      </c>
      <c r="H21" s="422"/>
      <c r="I21" s="422"/>
      <c r="J21" s="422"/>
      <c r="K21" s="422"/>
      <c r="L21" s="422"/>
      <c r="M21" s="422"/>
      <c r="N21" s="422"/>
      <c r="O21" s="422">
        <f>IFERROR(__xludf.DUMMYFUNCTION("""COMPUTED_VALUE"""),0.0)</f>
        <v>0</v>
      </c>
      <c r="P21" s="422"/>
      <c r="Q21" s="422"/>
      <c r="R21" s="98"/>
      <c r="S21" s="98" t="str">
        <f>IFERROR(__xludf.DUMMYFUNCTION("""COMPUTED_VALUE"""),"-")</f>
        <v>-</v>
      </c>
      <c r="T21" s="98" t="str">
        <f>IFERROR(__xludf.DUMMYFUNCTION("""COMPUTED_VALUE"""),"WO_WFM-OTHERS_20260503_123172864")</f>
        <v>WO_WFM-OTHERS_20260503_123172864</v>
      </c>
      <c r="W21" s="98" t="str">
        <f>IFERROR(__xludf.DUMMYFUNCTION("""COMPUTED_VALUE"""),"TNI0278")</f>
        <v>TNI0278</v>
      </c>
      <c r="X21" s="98" t="str">
        <f>IFERROR(__xludf.DUMMYFUNCTION("""COMPUTED_VALUE"""),"Team 01")</f>
        <v>Team 01</v>
      </c>
    </row>
    <row r="22">
      <c r="A22" s="422">
        <f>IFERROR(__xludf.DUMMYFUNCTION("""COMPUTED_VALUE"""),20.0)</f>
        <v>20</v>
      </c>
      <c r="B22" s="422" t="str">
        <f>IFERROR(__xludf.DUMMYFUNCTION("""COMPUTED_VALUE"""),"Asset")</f>
        <v>Asset</v>
      </c>
      <c r="C22" s="422" t="str">
        <f>IFERROR(__xludf.DUMMYFUNCTION("""COMPUTED_VALUE"""),"Team 01")</f>
        <v>Team 01</v>
      </c>
      <c r="D22" s="422" t="str">
        <f>IFERROR(__xludf.DUMMYFUNCTION("""COMPUTED_VALUE"""),"Materials use in station &amp; WO close ")</f>
        <v>Materials use in station &amp; WO close </v>
      </c>
      <c r="E22" s="422" t="str">
        <f>IFERROR(__xludf.DUMMYFUNCTION("""COMPUTED_VALUE"""),"WO_WFM-OTHERS_20260503_123172860")</f>
        <v>WO_WFM-OTHERS_20260503_123172860</v>
      </c>
      <c r="F22" s="424">
        <f>IFERROR(__xludf.DUMMYFUNCTION("""COMPUTED_VALUE"""),46145.0)</f>
        <v>46145</v>
      </c>
      <c r="G22" s="424">
        <f>IFERROR(__xludf.DUMMYFUNCTION("""COMPUTED_VALUE"""),46120.0)</f>
        <v>46120</v>
      </c>
      <c r="H22" s="422"/>
      <c r="I22" s="422"/>
      <c r="J22" s="422"/>
      <c r="K22" s="422"/>
      <c r="L22" s="422"/>
      <c r="M22" s="422"/>
      <c r="N22" s="422"/>
      <c r="O22" s="422">
        <f>IFERROR(__xludf.DUMMYFUNCTION("""COMPUTED_VALUE"""),0.0)</f>
        <v>0</v>
      </c>
      <c r="P22" s="422"/>
      <c r="Q22" s="422"/>
      <c r="R22" s="98"/>
      <c r="S22" s="98" t="str">
        <f>IFERROR(__xludf.DUMMYFUNCTION("""COMPUTED_VALUE"""),"-")</f>
        <v>-</v>
      </c>
      <c r="T22" s="98" t="str">
        <f>IFERROR(__xludf.DUMMYFUNCTION("""COMPUTED_VALUE"""),"WO_WFM-OTHERS_20260503_123172860")</f>
        <v>WO_WFM-OTHERS_20260503_123172860</v>
      </c>
      <c r="W22" s="98" t="str">
        <f>IFERROR(__xludf.DUMMYFUNCTION("""COMPUTED_VALUE"""),"TNI0018_01")</f>
        <v>TNI0018_01</v>
      </c>
      <c r="X22" s="98" t="str">
        <f>IFERROR(__xludf.DUMMYFUNCTION("""COMPUTED_VALUE"""),"Team 01")</f>
        <v>Team 01</v>
      </c>
    </row>
    <row r="23">
      <c r="A23" s="422">
        <f>IFERROR(__xludf.DUMMYFUNCTION("""COMPUTED_VALUE"""),21.0)</f>
        <v>21</v>
      </c>
      <c r="B23" s="422" t="str">
        <f>IFERROR(__xludf.DUMMYFUNCTION("""COMPUTED_VALUE"""),"Asset")</f>
        <v>Asset</v>
      </c>
      <c r="C23" s="422" t="str">
        <f>IFERROR(__xludf.DUMMYFUNCTION("""COMPUTED_VALUE"""),"Team 01")</f>
        <v>Team 01</v>
      </c>
      <c r="D23" s="422" t="str">
        <f>IFERROR(__xludf.DUMMYFUNCTION("""COMPUTED_VALUE"""),"Materials use in station &amp; WO close ")</f>
        <v>Materials use in station &amp; WO close </v>
      </c>
      <c r="E23" s="422" t="str">
        <f>IFERROR(__xludf.DUMMYFUNCTION("""COMPUTED_VALUE"""),"WO_WFM-OTHERS_20260503_123173051")</f>
        <v>WO_WFM-OTHERS_20260503_123173051</v>
      </c>
      <c r="F23" s="424">
        <f>IFERROR(__xludf.DUMMYFUNCTION("""COMPUTED_VALUE"""),46145.0)</f>
        <v>46145</v>
      </c>
      <c r="G23" s="424">
        <f>IFERROR(__xludf.DUMMYFUNCTION("""COMPUTED_VALUE"""),46120.0)</f>
        <v>46120</v>
      </c>
      <c r="H23" s="422"/>
      <c r="I23" s="422"/>
      <c r="J23" s="422"/>
      <c r="K23" s="422"/>
      <c r="L23" s="422"/>
      <c r="M23" s="422"/>
      <c r="N23" s="422"/>
      <c r="O23" s="422">
        <f>IFERROR(__xludf.DUMMYFUNCTION("""COMPUTED_VALUE"""),0.0)</f>
        <v>0</v>
      </c>
      <c r="P23" s="422"/>
      <c r="Q23" s="422"/>
      <c r="R23" s="98"/>
      <c r="S23" s="98" t="str">
        <f>IFERROR(__xludf.DUMMYFUNCTION("""COMPUTED_VALUE"""),"-")</f>
        <v>-</v>
      </c>
      <c r="T23" s="98" t="str">
        <f>IFERROR(__xludf.DUMMYFUNCTION("""COMPUTED_VALUE"""),"WO_WFM-OTHERS_20260503_123173051")</f>
        <v>WO_WFM-OTHERS_20260503_123173051</v>
      </c>
      <c r="W23" s="98" t="str">
        <f>IFERROR(__xludf.DUMMYFUNCTION("""COMPUTED_VALUE"""),"TNI0050")</f>
        <v>TNI0050</v>
      </c>
      <c r="X23" s="98" t="str">
        <f>IFERROR(__xludf.DUMMYFUNCTION("""COMPUTED_VALUE"""),"Team 01")</f>
        <v>Team 01</v>
      </c>
    </row>
    <row r="24">
      <c r="A24" s="422">
        <f>IFERROR(__xludf.DUMMYFUNCTION("""COMPUTED_VALUE"""),22.0)</f>
        <v>22</v>
      </c>
      <c r="B24" s="422" t="str">
        <f>IFERROR(__xludf.DUMMYFUNCTION("""COMPUTED_VALUE"""),"Asset")</f>
        <v>Asset</v>
      </c>
      <c r="C24" s="422" t="str">
        <f>IFERROR(__xludf.DUMMYFUNCTION("""COMPUTED_VALUE"""),"Team 01")</f>
        <v>Team 01</v>
      </c>
      <c r="D24" s="422" t="str">
        <f>IFERROR(__xludf.DUMMYFUNCTION("""COMPUTED_VALUE"""),"Materials use in station &amp; WO close ")</f>
        <v>Materials use in station &amp; WO close </v>
      </c>
      <c r="E24" s="422" t="str">
        <f>IFERROR(__xludf.DUMMYFUNCTION("""COMPUTED_VALUE"""),"WO_WFM-OTHERS_20260503_123172841")</f>
        <v>WO_WFM-OTHERS_20260503_123172841</v>
      </c>
      <c r="F24" s="424">
        <f>IFERROR(__xludf.DUMMYFUNCTION("""COMPUTED_VALUE"""),46145.0)</f>
        <v>46145</v>
      </c>
      <c r="G24" s="424">
        <f>IFERROR(__xludf.DUMMYFUNCTION("""COMPUTED_VALUE"""),46120.0)</f>
        <v>46120</v>
      </c>
      <c r="H24" s="422"/>
      <c r="I24" s="422"/>
      <c r="J24" s="422"/>
      <c r="K24" s="422"/>
      <c r="L24" s="422"/>
      <c r="M24" s="422"/>
      <c r="N24" s="422"/>
      <c r="O24" s="422">
        <f>IFERROR(__xludf.DUMMYFUNCTION("""COMPUTED_VALUE"""),0.0)</f>
        <v>0</v>
      </c>
      <c r="P24" s="422"/>
      <c r="Q24" s="422"/>
      <c r="R24" s="98"/>
      <c r="S24" s="98" t="str">
        <f>IFERROR(__xludf.DUMMYFUNCTION("""COMPUTED_VALUE"""),"-")</f>
        <v>-</v>
      </c>
      <c r="T24" s="98" t="str">
        <f>IFERROR(__xludf.DUMMYFUNCTION("""COMPUTED_VALUE"""),"WO_WFM-OTHERS_20260503_123172841")</f>
        <v>WO_WFM-OTHERS_20260503_123172841</v>
      </c>
      <c r="W24" s="98" t="str">
        <f>IFERROR(__xludf.DUMMYFUNCTION("""COMPUTED_VALUE"""),"TNI0053")</f>
        <v>TNI0053</v>
      </c>
      <c r="X24" s="98" t="str">
        <f>IFERROR(__xludf.DUMMYFUNCTION("""COMPUTED_VALUE"""),"Team 01")</f>
        <v>Team 01</v>
      </c>
    </row>
    <row r="25">
      <c r="A25" s="422">
        <f>IFERROR(__xludf.DUMMYFUNCTION("""COMPUTED_VALUE"""),23.0)</f>
        <v>23</v>
      </c>
      <c r="B25" s="422" t="str">
        <f>IFERROR(__xludf.DUMMYFUNCTION("""COMPUTED_VALUE"""),"Asset")</f>
        <v>Asset</v>
      </c>
      <c r="C25" s="422" t="str">
        <f>IFERROR(__xludf.DUMMYFUNCTION("""COMPUTED_VALUE"""),"Team 01")</f>
        <v>Team 01</v>
      </c>
      <c r="D25" s="422" t="str">
        <f>IFERROR(__xludf.DUMMYFUNCTION("""COMPUTED_VALUE"""),"Materials use in station &amp; WO close ")</f>
        <v>Materials use in station &amp; WO close </v>
      </c>
      <c r="E25" s="422" t="str">
        <f>IFERROR(__xludf.DUMMYFUNCTION("""COMPUTED_VALUE"""),"WO_WFM-OTHERS_20260503_123173044")</f>
        <v>WO_WFM-OTHERS_20260503_123173044</v>
      </c>
      <c r="F25" s="424">
        <f>IFERROR(__xludf.DUMMYFUNCTION("""COMPUTED_VALUE"""),46145.0)</f>
        <v>46145</v>
      </c>
      <c r="G25" s="424">
        <f>IFERROR(__xludf.DUMMYFUNCTION("""COMPUTED_VALUE"""),46120.0)</f>
        <v>46120</v>
      </c>
      <c r="H25" s="422"/>
      <c r="I25" s="422"/>
      <c r="J25" s="422"/>
      <c r="K25" s="422"/>
      <c r="L25" s="422"/>
      <c r="M25" s="422"/>
      <c r="N25" s="422"/>
      <c r="O25" s="422">
        <f>IFERROR(__xludf.DUMMYFUNCTION("""COMPUTED_VALUE"""),0.0)</f>
        <v>0</v>
      </c>
      <c r="P25" s="422"/>
      <c r="Q25" s="422"/>
      <c r="R25" s="98"/>
      <c r="S25" s="98" t="str">
        <f>IFERROR(__xludf.DUMMYFUNCTION("""COMPUTED_VALUE"""),"-")</f>
        <v>-</v>
      </c>
      <c r="T25" s="98" t="str">
        <f>IFERROR(__xludf.DUMMYFUNCTION("""COMPUTED_VALUE"""),"WO_WFM-OTHERS_20260503_123173044")</f>
        <v>WO_WFM-OTHERS_20260503_123173044</v>
      </c>
      <c r="W25" s="98" t="str">
        <f>IFERROR(__xludf.DUMMYFUNCTION("""COMPUTED_VALUE"""),"TNI0058")</f>
        <v>TNI0058</v>
      </c>
      <c r="X25" s="98" t="str">
        <f>IFERROR(__xludf.DUMMYFUNCTION("""COMPUTED_VALUE"""),"Team 01")</f>
        <v>Team 01</v>
      </c>
    </row>
    <row r="26">
      <c r="A26" s="422">
        <f>IFERROR(__xludf.DUMMYFUNCTION("""COMPUTED_VALUE"""),24.0)</f>
        <v>24</v>
      </c>
      <c r="B26" s="422" t="str">
        <f>IFERROR(__xludf.DUMMYFUNCTION("""COMPUTED_VALUE"""),"Asset")</f>
        <v>Asset</v>
      </c>
      <c r="C26" s="422" t="str">
        <f>IFERROR(__xludf.DUMMYFUNCTION("""COMPUTED_VALUE"""),"Team 01")</f>
        <v>Team 01</v>
      </c>
      <c r="D26" s="422" t="str">
        <f>IFERROR(__xludf.DUMMYFUNCTION("""COMPUTED_VALUE"""),"Materials use in station &amp; WO close ")</f>
        <v>Materials use in station &amp; WO close </v>
      </c>
      <c r="E26" s="422" t="str">
        <f>IFERROR(__xludf.DUMMYFUNCTION("""COMPUTED_VALUE"""),"WO_WFM-OTHERS_20260503_123173036")</f>
        <v>WO_WFM-OTHERS_20260503_123173036</v>
      </c>
      <c r="F26" s="424">
        <f>IFERROR(__xludf.DUMMYFUNCTION("""COMPUTED_VALUE"""),46145.0)</f>
        <v>46145</v>
      </c>
      <c r="G26" s="424">
        <f>IFERROR(__xludf.DUMMYFUNCTION("""COMPUTED_VALUE"""),46120.0)</f>
        <v>46120</v>
      </c>
      <c r="H26" s="422"/>
      <c r="I26" s="422"/>
      <c r="J26" s="422"/>
      <c r="K26" s="422"/>
      <c r="L26" s="422"/>
      <c r="M26" s="422"/>
      <c r="N26" s="422"/>
      <c r="O26" s="422">
        <f>IFERROR(__xludf.DUMMYFUNCTION("""COMPUTED_VALUE"""),0.0)</f>
        <v>0</v>
      </c>
      <c r="P26" s="422"/>
      <c r="Q26" s="422"/>
      <c r="R26" s="98"/>
      <c r="S26" s="98" t="str">
        <f>IFERROR(__xludf.DUMMYFUNCTION("""COMPUTED_VALUE"""),"-")</f>
        <v>-</v>
      </c>
      <c r="T26" s="98" t="str">
        <f>IFERROR(__xludf.DUMMYFUNCTION("""COMPUTED_VALUE"""),"WO_WFM-OTHERS_20260503_123173036")</f>
        <v>WO_WFM-OTHERS_20260503_123173036</v>
      </c>
      <c r="W26" s="98" t="str">
        <f>IFERROR(__xludf.DUMMYFUNCTION("""COMPUTED_VALUE"""),"TNI0059")</f>
        <v>TNI0059</v>
      </c>
      <c r="X26" s="98" t="str">
        <f>IFERROR(__xludf.DUMMYFUNCTION("""COMPUTED_VALUE"""),"Team 01")</f>
        <v>Team 01</v>
      </c>
    </row>
    <row r="27">
      <c r="A27" s="422">
        <f>IFERROR(__xludf.DUMMYFUNCTION("""COMPUTED_VALUE"""),25.0)</f>
        <v>25</v>
      </c>
      <c r="B27" s="422" t="str">
        <f>IFERROR(__xludf.DUMMYFUNCTION("""COMPUTED_VALUE"""),"Asset")</f>
        <v>Asset</v>
      </c>
      <c r="C27" s="422" t="str">
        <f>IFERROR(__xludf.DUMMYFUNCTION("""COMPUTED_VALUE"""),"Team 01")</f>
        <v>Team 01</v>
      </c>
      <c r="D27" s="422" t="str">
        <f>IFERROR(__xludf.DUMMYFUNCTION("""COMPUTED_VALUE"""),"Materials use in station &amp; WO close ")</f>
        <v>Materials use in station &amp; WO close </v>
      </c>
      <c r="E27" s="422" t="str">
        <f>IFERROR(__xludf.DUMMYFUNCTION("""COMPUTED_VALUE"""),"WO_WFM-OTHERS_20260503_123172505")</f>
        <v>WO_WFM-OTHERS_20260503_123172505</v>
      </c>
      <c r="F27" s="424">
        <f>IFERROR(__xludf.DUMMYFUNCTION("""COMPUTED_VALUE"""),46145.0)</f>
        <v>46145</v>
      </c>
      <c r="G27" s="424">
        <f>IFERROR(__xludf.DUMMYFUNCTION("""COMPUTED_VALUE"""),46120.0)</f>
        <v>46120</v>
      </c>
      <c r="H27" s="422"/>
      <c r="I27" s="422"/>
      <c r="J27" s="422"/>
      <c r="K27" s="422"/>
      <c r="L27" s="422"/>
      <c r="M27" s="422"/>
      <c r="N27" s="422"/>
      <c r="O27" s="422">
        <f>IFERROR(__xludf.DUMMYFUNCTION("""COMPUTED_VALUE"""),0.0)</f>
        <v>0</v>
      </c>
      <c r="P27" s="422"/>
      <c r="Q27" s="422"/>
      <c r="R27" s="98"/>
      <c r="S27" s="98" t="str">
        <f>IFERROR(__xludf.DUMMYFUNCTION("""COMPUTED_VALUE"""),"-")</f>
        <v>-</v>
      </c>
      <c r="T27" s="98" t="str">
        <f>IFERROR(__xludf.DUMMYFUNCTION("""COMPUTED_VALUE"""),"WO_WFM-OTHERS_20260503_123172505")</f>
        <v>WO_WFM-OTHERS_20260503_123172505</v>
      </c>
      <c r="W27" s="98" t="str">
        <f>IFERROR(__xludf.DUMMYFUNCTION("""COMPUTED_VALUE"""),"TNI0060")</f>
        <v>TNI0060</v>
      </c>
      <c r="X27" s="98" t="str">
        <f>IFERROR(__xludf.DUMMYFUNCTION("""COMPUTED_VALUE"""),"Team 01")</f>
        <v>Team 01</v>
      </c>
    </row>
    <row r="28">
      <c r="A28" s="422">
        <f>IFERROR(__xludf.DUMMYFUNCTION("""COMPUTED_VALUE"""),26.0)</f>
        <v>26</v>
      </c>
      <c r="B28" s="422" t="str">
        <f>IFERROR(__xludf.DUMMYFUNCTION("""COMPUTED_VALUE"""),"Asset")</f>
        <v>Asset</v>
      </c>
      <c r="C28" s="422" t="str">
        <f>IFERROR(__xludf.DUMMYFUNCTION("""COMPUTED_VALUE"""),"Team 01")</f>
        <v>Team 01</v>
      </c>
      <c r="D28" s="422" t="str">
        <f>IFERROR(__xludf.DUMMYFUNCTION("""COMPUTED_VALUE"""),"Materials use in station &amp; WO close ")</f>
        <v>Materials use in station &amp; WO close </v>
      </c>
      <c r="E28" s="422" t="str">
        <f>IFERROR(__xludf.DUMMYFUNCTION("""COMPUTED_VALUE"""),"WO_WFM-OTHERS_20260503_123172491")</f>
        <v>WO_WFM-OTHERS_20260503_123172491</v>
      </c>
      <c r="F28" s="424">
        <f>IFERROR(__xludf.DUMMYFUNCTION("""COMPUTED_VALUE"""),46145.0)</f>
        <v>46145</v>
      </c>
      <c r="G28" s="424">
        <f>IFERROR(__xludf.DUMMYFUNCTION("""COMPUTED_VALUE"""),46120.0)</f>
        <v>46120</v>
      </c>
      <c r="H28" s="422"/>
      <c r="I28" s="422"/>
      <c r="J28" s="422"/>
      <c r="K28" s="422"/>
      <c r="L28" s="422"/>
      <c r="M28" s="422"/>
      <c r="N28" s="422"/>
      <c r="O28" s="422">
        <f>IFERROR(__xludf.DUMMYFUNCTION("""COMPUTED_VALUE"""),0.0)</f>
        <v>0</v>
      </c>
      <c r="P28" s="422"/>
      <c r="Q28" s="422"/>
      <c r="R28" s="98"/>
      <c r="S28" s="98" t="str">
        <f>IFERROR(__xludf.DUMMYFUNCTION("""COMPUTED_VALUE"""),"-")</f>
        <v>-</v>
      </c>
      <c r="T28" s="98" t="str">
        <f>IFERROR(__xludf.DUMMYFUNCTION("""COMPUTED_VALUE"""),"WO_WFM-OTHERS_20260503_123172491")</f>
        <v>WO_WFM-OTHERS_20260503_123172491</v>
      </c>
      <c r="W28" s="98" t="str">
        <f>IFERROR(__xludf.DUMMYFUNCTION("""COMPUTED_VALUE"""),"TNI0065")</f>
        <v>TNI0065</v>
      </c>
      <c r="X28" s="98" t="str">
        <f>IFERROR(__xludf.DUMMYFUNCTION("""COMPUTED_VALUE"""),"Team 01")</f>
        <v>Team 01</v>
      </c>
    </row>
    <row r="29">
      <c r="A29" s="422">
        <f>IFERROR(__xludf.DUMMYFUNCTION("""COMPUTED_VALUE"""),27.0)</f>
        <v>27</v>
      </c>
      <c r="B29" s="422" t="str">
        <f>IFERROR(__xludf.DUMMYFUNCTION("""COMPUTED_VALUE"""),"Asset")</f>
        <v>Asset</v>
      </c>
      <c r="C29" s="422" t="str">
        <f>IFERROR(__xludf.DUMMYFUNCTION("""COMPUTED_VALUE"""),"Team 01")</f>
        <v>Team 01</v>
      </c>
      <c r="D29" s="422" t="str">
        <f>IFERROR(__xludf.DUMMYFUNCTION("""COMPUTED_VALUE"""),"Materials use in station &amp; WO close ")</f>
        <v>Materials use in station &amp; WO close </v>
      </c>
      <c r="E29" s="422" t="str">
        <f>IFERROR(__xludf.DUMMYFUNCTION("""COMPUTED_VALUE"""),"WO_WFM-OTHERS_20260503_123172482")</f>
        <v>WO_WFM-OTHERS_20260503_123172482</v>
      </c>
      <c r="F29" s="424">
        <f>IFERROR(__xludf.DUMMYFUNCTION("""COMPUTED_VALUE"""),46145.0)</f>
        <v>46145</v>
      </c>
      <c r="G29" s="424">
        <f>IFERROR(__xludf.DUMMYFUNCTION("""COMPUTED_VALUE"""),46120.0)</f>
        <v>46120</v>
      </c>
      <c r="H29" s="422"/>
      <c r="I29" s="422"/>
      <c r="J29" s="422"/>
      <c r="K29" s="422"/>
      <c r="L29" s="422"/>
      <c r="M29" s="422"/>
      <c r="N29" s="422"/>
      <c r="O29" s="422">
        <f>IFERROR(__xludf.DUMMYFUNCTION("""COMPUTED_VALUE"""),0.0)</f>
        <v>0</v>
      </c>
      <c r="P29" s="422"/>
      <c r="Q29" s="422"/>
      <c r="R29" s="98"/>
      <c r="S29" s="98" t="str">
        <f>IFERROR(__xludf.DUMMYFUNCTION("""COMPUTED_VALUE"""),"-")</f>
        <v>-</v>
      </c>
      <c r="T29" s="98" t="str">
        <f>IFERROR(__xludf.DUMMYFUNCTION("""COMPUTED_VALUE"""),"WO_WFM-OTHERS_20260503_123172482")</f>
        <v>WO_WFM-OTHERS_20260503_123172482</v>
      </c>
      <c r="W29" s="98" t="str">
        <f>IFERROR(__xludf.DUMMYFUNCTION("""COMPUTED_VALUE"""),"TNI0067")</f>
        <v>TNI0067</v>
      </c>
      <c r="X29" s="98" t="str">
        <f>IFERROR(__xludf.DUMMYFUNCTION("""COMPUTED_VALUE"""),"Team 01")</f>
        <v>Team 01</v>
      </c>
    </row>
    <row r="30">
      <c r="A30" s="422">
        <f>IFERROR(__xludf.DUMMYFUNCTION("""COMPUTED_VALUE"""),28.0)</f>
        <v>28</v>
      </c>
      <c r="B30" s="422" t="str">
        <f>IFERROR(__xludf.DUMMYFUNCTION("""COMPUTED_VALUE"""),"Asset")</f>
        <v>Asset</v>
      </c>
      <c r="C30" s="422" t="str">
        <f>IFERROR(__xludf.DUMMYFUNCTION("""COMPUTED_VALUE"""),"Team 01")</f>
        <v>Team 01</v>
      </c>
      <c r="D30" s="422" t="str">
        <f>IFERROR(__xludf.DUMMYFUNCTION("""COMPUTED_VALUE"""),"Recall to Mytel ")</f>
        <v>Recall to Mytel </v>
      </c>
      <c r="E30" s="422" t="str">
        <f>IFERROR(__xludf.DUMMYFUNCTION("""COMPUTED_VALUE"""),"Team 1 Recall materials to mytel 10/2025")</f>
        <v>Team 1 Recall materials to mytel 10/2025</v>
      </c>
      <c r="F30" s="424">
        <f>IFERROR(__xludf.DUMMYFUNCTION("""COMPUTED_VALUE"""),45960.0)</f>
        <v>45960</v>
      </c>
      <c r="G30" s="424">
        <f>IFERROR(__xludf.DUMMYFUNCTION("""COMPUTED_VALUE"""),45969.0)</f>
        <v>45969</v>
      </c>
      <c r="H30" s="422"/>
      <c r="I30" s="422"/>
      <c r="J30" s="422"/>
      <c r="K30" s="422"/>
      <c r="L30" s="422"/>
      <c r="M30" s="422"/>
      <c r="N30" s="422"/>
      <c r="O30" s="422">
        <f>IFERROR(__xludf.DUMMYFUNCTION("""COMPUTED_VALUE"""),0.0)</f>
        <v>0</v>
      </c>
      <c r="P30" s="422"/>
      <c r="Q30" s="422"/>
      <c r="R30" s="98"/>
      <c r="S30" s="98" t="str">
        <f>IFERROR(__xludf.DUMMYFUNCTION("""COMPUTED_VALUE"""),"-")</f>
        <v>-</v>
      </c>
      <c r="T30" s="98" t="str">
        <f>IFERROR(__xludf.DUMMYFUNCTION("""COMPUTED_VALUE"""),"Team 1 Recall materials to mytel 10/2025")</f>
        <v>Team 1 Recall materials to mytel 10/2025</v>
      </c>
      <c r="W30" s="98" t="str">
        <f>IFERROR(__xludf.DUMMYFUNCTION("""COMPUTED_VALUE"""),"TNI0068")</f>
        <v>TNI0068</v>
      </c>
      <c r="X30" s="98" t="str">
        <f>IFERROR(__xludf.DUMMYFUNCTION("""COMPUTED_VALUE"""),"Team 01")</f>
        <v>Team 01</v>
      </c>
    </row>
    <row r="31">
      <c r="A31" s="422">
        <f>IFERROR(__xludf.DUMMYFUNCTION("""COMPUTED_VALUE"""),29.0)</f>
        <v>29</v>
      </c>
      <c r="B31" s="422" t="str">
        <f>IFERROR(__xludf.DUMMYFUNCTION("""COMPUTED_VALUE"""),"Asset")</f>
        <v>Asset</v>
      </c>
      <c r="C31" s="422" t="str">
        <f>IFERROR(__xludf.DUMMYFUNCTION("""COMPUTED_VALUE"""),"Team 01")</f>
        <v>Team 01</v>
      </c>
      <c r="D31" s="422" t="str">
        <f>IFERROR(__xludf.DUMMYFUNCTION("""COMPUTED_VALUE"""),"Request export")</f>
        <v>Request export</v>
      </c>
      <c r="E31" s="422" t="str">
        <f>IFERROR(__xludf.DUMMYFUNCTION("""COMPUTED_VALUE"""),"The export and return of goods must be carried out after Team 1 completes the inventory count.")</f>
        <v>The export and return of goods must be carried out after Team 1 completes the inventory count.</v>
      </c>
      <c r="F31" s="424">
        <f>IFERROR(__xludf.DUMMYFUNCTION("""COMPUTED_VALUE"""),46002.0)</f>
        <v>46002</v>
      </c>
      <c r="G31" s="424">
        <f>IFERROR(__xludf.DUMMYFUNCTION("""COMPUTED_VALUE"""),46006.0)</f>
        <v>46006</v>
      </c>
      <c r="H31" s="422"/>
      <c r="I31" s="422"/>
      <c r="J31" s="422"/>
      <c r="K31" s="422"/>
      <c r="L31" s="422"/>
      <c r="M31" s="422"/>
      <c r="N31" s="422"/>
      <c r="O31" s="422">
        <f>IFERROR(__xludf.DUMMYFUNCTION("""COMPUTED_VALUE"""),0.0)</f>
        <v>0</v>
      </c>
      <c r="P31" s="422"/>
      <c r="Q31" s="422"/>
      <c r="R31" s="98"/>
      <c r="S31" s="98" t="str">
        <f>IFERROR(__xludf.DUMMYFUNCTION("""COMPUTED_VALUE"""),"-")</f>
        <v>-</v>
      </c>
      <c r="T31" s="98" t="str">
        <f>IFERROR(__xludf.DUMMYFUNCTION("""COMPUTED_VALUE"""),"The export and return of goods must be carried out after Team 1 completes the inventory count.")</f>
        <v>The export and return of goods must be carried out after Team 1 completes the inventory count.</v>
      </c>
      <c r="W31" s="98" t="str">
        <f>IFERROR(__xludf.DUMMYFUNCTION("""COMPUTED_VALUE"""),"TNI0070")</f>
        <v>TNI0070</v>
      </c>
      <c r="X31" s="98" t="str">
        <f>IFERROR(__xludf.DUMMYFUNCTION("""COMPUTED_VALUE"""),"Team 01")</f>
        <v>Team 01</v>
      </c>
    </row>
    <row r="32">
      <c r="A32" s="422">
        <f>IFERROR(__xludf.DUMMYFUNCTION("""COMPUTED_VALUE"""),30.0)</f>
        <v>30</v>
      </c>
      <c r="B32" s="422" t="str">
        <f>IFERROR(__xludf.DUMMYFUNCTION("""COMPUTED_VALUE"""),"Asset")</f>
        <v>Asset</v>
      </c>
      <c r="C32" s="422" t="str">
        <f>IFERROR(__xludf.DUMMYFUNCTION("""COMPUTED_VALUE"""),"Team 01")</f>
        <v>Team 01</v>
      </c>
      <c r="D32" s="422" t="str">
        <f>IFERROR(__xludf.DUMMYFUNCTION("""COMPUTED_VALUE"""),"Return to send Branch Office")</f>
        <v>Return to send Branch Office</v>
      </c>
      <c r="E32" s="422" t="str">
        <f>IFERROR(__xludf.DUMMYFUNCTION("""COMPUTED_VALUE"""),"TNI0006 Recall PU : 1 Pcs Serial: 219561075234")</f>
        <v>TNI0006 Recall PU : 1 Pcs Serial: 219561075234</v>
      </c>
      <c r="F32" s="424">
        <f>IFERROR(__xludf.DUMMYFUNCTION("""COMPUTED_VALUE"""),46035.0)</f>
        <v>46035</v>
      </c>
      <c r="G32" s="424">
        <f>IFERROR(__xludf.DUMMYFUNCTION("""COMPUTED_VALUE"""),46042.0)</f>
        <v>46042</v>
      </c>
      <c r="H32" s="422" t="str">
        <f>IFERROR(__xludf.DUMMYFUNCTION("""COMPUTED_VALUE"""),"#REF!")</f>
        <v>#REF!</v>
      </c>
      <c r="I32" s="425">
        <f>IFERROR(__xludf.DUMMYFUNCTION("""COMPUTED_VALUE"""),46034.0)</f>
        <v>46034</v>
      </c>
      <c r="J32" s="424">
        <f>IFERROR(__xludf.DUMMYFUNCTION("""COMPUTED_VALUE"""),46042.0)</f>
        <v>46042</v>
      </c>
      <c r="K32" s="422"/>
      <c r="L32" s="422"/>
      <c r="M32" s="422"/>
      <c r="N32" s="422"/>
      <c r="O32" s="422">
        <f>IFERROR(__xludf.DUMMYFUNCTION("""COMPUTED_VALUE"""),0.0)</f>
        <v>0</v>
      </c>
      <c r="P32" s="422"/>
      <c r="Q32" s="422"/>
      <c r="R32" s="98"/>
      <c r="S32" s="98" t="str">
        <f>IFERROR(__xludf.DUMMYFUNCTION("""COMPUTED_VALUE"""),"Thu Rain Niang")</f>
        <v>Thu Rain Niang</v>
      </c>
      <c r="T32" s="98" t="str">
        <f>IFERROR(__xludf.DUMMYFUNCTION("""COMPUTED_VALUE"""),"TNI0006")</f>
        <v>TNI0006</v>
      </c>
      <c r="W32" s="98" t="str">
        <f>IFERROR(__xludf.DUMMYFUNCTION("""COMPUTED_VALUE"""),"TNI0072")</f>
        <v>TNI0072</v>
      </c>
      <c r="X32" s="98" t="str">
        <f>IFERROR(__xludf.DUMMYFUNCTION("""COMPUTED_VALUE"""),"Team 01")</f>
        <v>Team 01</v>
      </c>
    </row>
    <row r="33">
      <c r="A33" s="422">
        <f>IFERROR(__xludf.DUMMYFUNCTION("""COMPUTED_VALUE"""),31.0)</f>
        <v>31</v>
      </c>
      <c r="B33" s="422" t="str">
        <f>IFERROR(__xludf.DUMMYFUNCTION("""COMPUTED_VALUE"""),"Asset")</f>
        <v>Asset</v>
      </c>
      <c r="C33" s="422" t="str">
        <f>IFERROR(__xludf.DUMMYFUNCTION("""COMPUTED_VALUE"""),"Team 01")</f>
        <v>Team 01</v>
      </c>
      <c r="D33" s="422" t="str">
        <f>IFERROR(__xludf.DUMMYFUNCTION("""COMPUTED_VALUE"""),"Return to send Branch Office")</f>
        <v>Return to send Branch Office</v>
      </c>
      <c r="E33" s="422" t="str">
        <f>IFERROR(__xludf.DUMMYFUNCTION("""COMPUTED_VALUE"""),"TNI0038 Recall PU : 2 Pcs Serial: 219559879320, 219559880552")</f>
        <v>TNI0038 Recall PU : 2 Pcs Serial: 219559879320, 219559880552</v>
      </c>
      <c r="F33" s="424">
        <f>IFERROR(__xludf.DUMMYFUNCTION("""COMPUTED_VALUE"""),46035.0)</f>
        <v>46035</v>
      </c>
      <c r="G33" s="424">
        <f>IFERROR(__xludf.DUMMYFUNCTION("""COMPUTED_VALUE"""),46042.0)</f>
        <v>46042</v>
      </c>
      <c r="H33" s="422" t="str">
        <f>IFERROR(__xludf.DUMMYFUNCTION("""COMPUTED_VALUE"""),"#REF!")</f>
        <v>#REF!</v>
      </c>
      <c r="I33" s="425">
        <f>IFERROR(__xludf.DUMMYFUNCTION("""COMPUTED_VALUE"""),46034.0)</f>
        <v>46034</v>
      </c>
      <c r="J33" s="424">
        <f>IFERROR(__xludf.DUMMYFUNCTION("""COMPUTED_VALUE"""),46042.0)</f>
        <v>46042</v>
      </c>
      <c r="K33" s="422"/>
      <c r="L33" s="422"/>
      <c r="M33" s="422"/>
      <c r="N33" s="422"/>
      <c r="O33" s="422">
        <f>IFERROR(__xludf.DUMMYFUNCTION("""COMPUTED_VALUE"""),0.0)</f>
        <v>0</v>
      </c>
      <c r="P33" s="422"/>
      <c r="Q33" s="422"/>
      <c r="R33" s="98"/>
      <c r="S33" s="98" t="str">
        <f>IFERROR(__xludf.DUMMYFUNCTION("""COMPUTED_VALUE"""),"myt_bonemyat.naing1")</f>
        <v>myt_bonemyat.naing1</v>
      </c>
      <c r="T33" s="98" t="str">
        <f>IFERROR(__xludf.DUMMYFUNCTION("""COMPUTED_VALUE"""),"TNI0038")</f>
        <v>TNI0038</v>
      </c>
      <c r="W33" s="98" t="str">
        <f>IFERROR(__xludf.DUMMYFUNCTION("""COMPUTED_VALUE"""),"TNI0170")</f>
        <v>TNI0170</v>
      </c>
      <c r="X33" s="98" t="str">
        <f>IFERROR(__xludf.DUMMYFUNCTION("""COMPUTED_VALUE"""),"Team 01")</f>
        <v>Team 01</v>
      </c>
    </row>
    <row r="34">
      <c r="A34" s="422">
        <f>IFERROR(__xludf.DUMMYFUNCTION("""COMPUTED_VALUE"""),32.0)</f>
        <v>32</v>
      </c>
      <c r="B34" s="422" t="str">
        <f>IFERROR(__xludf.DUMMYFUNCTION("""COMPUTED_VALUE"""),"Asset")</f>
        <v>Asset</v>
      </c>
      <c r="C34" s="422" t="str">
        <f>IFERROR(__xludf.DUMMYFUNCTION("""COMPUTED_VALUE"""),"Team 01")</f>
        <v>Team 01</v>
      </c>
      <c r="D34" s="422" t="str">
        <f>IFERROR(__xludf.DUMMYFUNCTION("""COMPUTED_VALUE"""),"Return to send Branch Office")</f>
        <v>Return to send Branch Office</v>
      </c>
      <c r="E34" s="422" t="str">
        <f>IFERROR(__xludf.DUMMYFUNCTION("""COMPUTED_VALUE"""),"TNI0049 Recall PU : 2 Pcs Serial: 219559879246, 219559879252")</f>
        <v>TNI0049 Recall PU : 2 Pcs Serial: 219559879246, 219559879252</v>
      </c>
      <c r="F34" s="424">
        <f>IFERROR(__xludf.DUMMYFUNCTION("""COMPUTED_VALUE"""),46035.0)</f>
        <v>46035</v>
      </c>
      <c r="G34" s="424">
        <f>IFERROR(__xludf.DUMMYFUNCTION("""COMPUTED_VALUE"""),46042.0)</f>
        <v>46042</v>
      </c>
      <c r="H34" s="422" t="str">
        <f>IFERROR(__xludf.DUMMYFUNCTION("""COMPUTED_VALUE"""),"#REF!")</f>
        <v>#REF!</v>
      </c>
      <c r="I34" s="425">
        <f>IFERROR(__xludf.DUMMYFUNCTION("""COMPUTED_VALUE"""),46034.0)</f>
        <v>46034</v>
      </c>
      <c r="J34" s="424">
        <f>IFERROR(__xludf.DUMMYFUNCTION("""COMPUTED_VALUE"""),46042.0)</f>
        <v>46042</v>
      </c>
      <c r="K34" s="422"/>
      <c r="L34" s="422"/>
      <c r="M34" s="422"/>
      <c r="N34" s="422"/>
      <c r="O34" s="422">
        <f>IFERROR(__xludf.DUMMYFUNCTION("""COMPUTED_VALUE"""),0.0)</f>
        <v>0</v>
      </c>
      <c r="P34" s="422"/>
      <c r="Q34" s="422"/>
      <c r="R34" s="98"/>
      <c r="S34" s="98" t="str">
        <f>IFERROR(__xludf.DUMMYFUNCTION("""COMPUTED_VALUE"""),"myt_myothant.htoo")</f>
        <v>myt_myothant.htoo</v>
      </c>
      <c r="T34" s="98" t="str">
        <f>IFERROR(__xludf.DUMMYFUNCTION("""COMPUTED_VALUE"""),"TNI0049")</f>
        <v>TNI0049</v>
      </c>
      <c r="W34" s="98" t="str">
        <f>IFERROR(__xludf.DUMMYFUNCTION("""COMPUTED_VALUE"""),"TNI0207")</f>
        <v>TNI0207</v>
      </c>
      <c r="X34" s="98" t="str">
        <f>IFERROR(__xludf.DUMMYFUNCTION("""COMPUTED_VALUE"""),"Team 01")</f>
        <v>Team 01</v>
      </c>
    </row>
    <row r="35">
      <c r="A35" s="422">
        <f>IFERROR(__xludf.DUMMYFUNCTION("""COMPUTED_VALUE"""),33.0)</f>
        <v>33</v>
      </c>
      <c r="B35" s="422" t="str">
        <f>IFERROR(__xludf.DUMMYFUNCTION("""COMPUTED_VALUE"""),"Asset")</f>
        <v>Asset</v>
      </c>
      <c r="C35" s="422" t="str">
        <f>IFERROR(__xludf.DUMMYFUNCTION("""COMPUTED_VALUE"""),"Team 01")</f>
        <v>Team 01</v>
      </c>
      <c r="D35" s="422" t="str">
        <f>IFERROR(__xludf.DUMMYFUNCTION("""COMPUTED_VALUE"""),"Return to send Branch Office")</f>
        <v>Return to send Branch Office</v>
      </c>
      <c r="E35" s="422" t="str">
        <f>IFERROR(__xludf.DUMMYFUNCTION("""COMPUTED_VALUE"""),"TNI0065 Recall PU : 1 Pcs Serial: 219561075488")</f>
        <v>TNI0065 Recall PU : 1 Pcs Serial: 219561075488</v>
      </c>
      <c r="F35" s="424">
        <f>IFERROR(__xludf.DUMMYFUNCTION("""COMPUTED_VALUE"""),46035.0)</f>
        <v>46035</v>
      </c>
      <c r="G35" s="424">
        <f>IFERROR(__xludf.DUMMYFUNCTION("""COMPUTED_VALUE"""),46042.0)</f>
        <v>46042</v>
      </c>
      <c r="H35" s="422" t="str">
        <f>IFERROR(__xludf.DUMMYFUNCTION("""COMPUTED_VALUE"""),"#REF!")</f>
        <v>#REF!</v>
      </c>
      <c r="I35" s="425">
        <f>IFERROR(__xludf.DUMMYFUNCTION("""COMPUTED_VALUE"""),46034.0)</f>
        <v>46034</v>
      </c>
      <c r="J35" s="424">
        <f>IFERROR(__xludf.DUMMYFUNCTION("""COMPUTED_VALUE"""),46042.0)</f>
        <v>46042</v>
      </c>
      <c r="K35" s="422"/>
      <c r="L35" s="422"/>
      <c r="M35" s="422"/>
      <c r="N35" s="422"/>
      <c r="O35" s="422">
        <f>IFERROR(__xludf.DUMMYFUNCTION("""COMPUTED_VALUE"""),0.0)</f>
        <v>0</v>
      </c>
      <c r="P35" s="422"/>
      <c r="Q35" s="422"/>
      <c r="R35" s="98"/>
      <c r="S35" s="98" t="str">
        <f>IFERROR(__xludf.DUMMYFUNCTION("""COMPUTED_VALUE"""),"myt_bhonehtet.aung")</f>
        <v>myt_bhonehtet.aung</v>
      </c>
      <c r="T35" s="98" t="str">
        <f>IFERROR(__xludf.DUMMYFUNCTION("""COMPUTED_VALUE"""),"TNI0065")</f>
        <v>TNI0065</v>
      </c>
      <c r="W35" s="98" t="str">
        <f>IFERROR(__xludf.DUMMYFUNCTION("""COMPUTED_VALUE"""),"TNI0214")</f>
        <v>TNI0214</v>
      </c>
      <c r="X35" s="98" t="str">
        <f>IFERROR(__xludf.DUMMYFUNCTION("""COMPUTED_VALUE"""),"Team 01")</f>
        <v>Team 01</v>
      </c>
    </row>
    <row r="36">
      <c r="A36" s="422">
        <f>IFERROR(__xludf.DUMMYFUNCTION("""COMPUTED_VALUE"""),34.0)</f>
        <v>34</v>
      </c>
      <c r="B36" s="422" t="str">
        <f>IFERROR(__xludf.DUMMYFUNCTION("""COMPUTED_VALUE"""),"Asset")</f>
        <v>Asset</v>
      </c>
      <c r="C36" s="422" t="str">
        <f>IFERROR(__xludf.DUMMYFUNCTION("""COMPUTED_VALUE"""),"Team 01")</f>
        <v>Team 01</v>
      </c>
      <c r="D36" s="422" t="str">
        <f>IFERROR(__xludf.DUMMYFUNCTION("""COMPUTED_VALUE"""),"Return to send Branch Office")</f>
        <v>Return to send Branch Office</v>
      </c>
      <c r="E36" s="422" t="str">
        <f>IFERROR(__xludf.DUMMYFUNCTION("""COMPUTED_VALUE"""),"TNI0067 Recall PU : 1 Pcs Serial: 219561075482")</f>
        <v>TNI0067 Recall PU : 1 Pcs Serial: 219561075482</v>
      </c>
      <c r="F36" s="424">
        <f>IFERROR(__xludf.DUMMYFUNCTION("""COMPUTED_VALUE"""),46035.0)</f>
        <v>46035</v>
      </c>
      <c r="G36" s="424">
        <f>IFERROR(__xludf.DUMMYFUNCTION("""COMPUTED_VALUE"""),46042.0)</f>
        <v>46042</v>
      </c>
      <c r="H36" s="422" t="str">
        <f>IFERROR(__xludf.DUMMYFUNCTION("""COMPUTED_VALUE"""),"#REF!")</f>
        <v>#REF!</v>
      </c>
      <c r="I36" s="425">
        <f>IFERROR(__xludf.DUMMYFUNCTION("""COMPUTED_VALUE"""),46034.0)</f>
        <v>46034</v>
      </c>
      <c r="J36" s="424">
        <f>IFERROR(__xludf.DUMMYFUNCTION("""COMPUTED_VALUE"""),46042.0)</f>
        <v>46042</v>
      </c>
      <c r="K36" s="422"/>
      <c r="L36" s="422"/>
      <c r="M36" s="422" t="str">
        <f>IFERROR(__xludf.DUMMYFUNCTION("""COMPUTED_VALUE"""),"Dep Confirm completion")</f>
        <v>Dep Confirm completion</v>
      </c>
      <c r="N36" s="422"/>
      <c r="O36" s="422">
        <f>IFERROR(__xludf.DUMMYFUNCTION("""COMPUTED_VALUE"""),1.0)</f>
        <v>1</v>
      </c>
      <c r="P36" s="422"/>
      <c r="Q36" s="422"/>
      <c r="R36" s="98"/>
      <c r="S36" s="98" t="str">
        <f>IFERROR(__xludf.DUMMYFUNCTION("""COMPUTED_VALUE"""),"myt_bhonehtet.aung")</f>
        <v>myt_bhonehtet.aung</v>
      </c>
      <c r="T36" s="98" t="str">
        <f>IFERROR(__xludf.DUMMYFUNCTION("""COMPUTED_VALUE"""),"TNI0067")</f>
        <v>TNI0067</v>
      </c>
      <c r="W36" s="98" t="str">
        <f>IFERROR(__xludf.DUMMYFUNCTION("""COMPUTED_VALUE"""),"TNI0245")</f>
        <v>TNI0245</v>
      </c>
      <c r="X36" s="98" t="str">
        <f>IFERROR(__xludf.DUMMYFUNCTION("""COMPUTED_VALUE"""),"Team 01")</f>
        <v>Team 01</v>
      </c>
    </row>
    <row r="37">
      <c r="A37" s="422">
        <f>IFERROR(__xludf.DUMMYFUNCTION("""COMPUTED_VALUE"""),35.0)</f>
        <v>35</v>
      </c>
      <c r="B37" s="422" t="str">
        <f>IFERROR(__xludf.DUMMYFUNCTION("""COMPUTED_VALUE"""),"Asset")</f>
        <v>Asset</v>
      </c>
      <c r="C37" s="422" t="str">
        <f>IFERROR(__xludf.DUMMYFUNCTION("""COMPUTED_VALUE"""),"Team 01")</f>
        <v>Team 01</v>
      </c>
      <c r="D37" s="422" t="str">
        <f>IFERROR(__xludf.DUMMYFUNCTION("""COMPUTED_VALUE"""),"Return to send Branch Office")</f>
        <v>Return to send Branch Office</v>
      </c>
      <c r="E37" s="422" t="str">
        <f>IFERROR(__xludf.DUMMYFUNCTION("""COMPUTED_VALUE"""),"TNI0068 Recall PU : 1 Pcs Serial: 219561075478")</f>
        <v>TNI0068 Recall PU : 1 Pcs Serial: 219561075478</v>
      </c>
      <c r="F37" s="424">
        <f>IFERROR(__xludf.DUMMYFUNCTION("""COMPUTED_VALUE"""),46035.0)</f>
        <v>46035</v>
      </c>
      <c r="G37" s="424">
        <f>IFERROR(__xludf.DUMMYFUNCTION("""COMPUTED_VALUE"""),46042.0)</f>
        <v>46042</v>
      </c>
      <c r="H37" s="422"/>
      <c r="I37" s="422"/>
      <c r="J37" s="422"/>
      <c r="K37" s="422"/>
      <c r="L37" s="422"/>
      <c r="M37" s="422"/>
      <c r="N37" s="422"/>
      <c r="O37" s="422">
        <f>IFERROR(__xludf.DUMMYFUNCTION("""COMPUTED_VALUE"""),0.0)</f>
        <v>0</v>
      </c>
      <c r="P37" s="422"/>
      <c r="Q37" s="422"/>
      <c r="R37" s="98"/>
      <c r="S37" s="98" t="str">
        <f>IFERROR(__xludf.DUMMYFUNCTION("""COMPUTED_VALUE"""),"myt_bhonehtet.aung")</f>
        <v>myt_bhonehtet.aung</v>
      </c>
      <c r="T37" s="98" t="str">
        <f>IFERROR(__xludf.DUMMYFUNCTION("""COMPUTED_VALUE"""),"TNI0068")</f>
        <v>TNI0068</v>
      </c>
      <c r="W37" s="98" t="str">
        <f>IFERROR(__xludf.DUMMYFUNCTION("""COMPUTED_VALUE"""),"TNI0251")</f>
        <v>TNI0251</v>
      </c>
      <c r="X37" s="98" t="str">
        <f>IFERROR(__xludf.DUMMYFUNCTION("""COMPUTED_VALUE"""),"Team 01")</f>
        <v>Team 01</v>
      </c>
    </row>
    <row r="38">
      <c r="A38" s="422">
        <f>IFERROR(__xludf.DUMMYFUNCTION("""COMPUTED_VALUE"""),36.0)</f>
        <v>36</v>
      </c>
      <c r="B38" s="422" t="str">
        <f>IFERROR(__xludf.DUMMYFUNCTION("""COMPUTED_VALUE"""),"Asset")</f>
        <v>Asset</v>
      </c>
      <c r="C38" s="422" t="str">
        <f>IFERROR(__xludf.DUMMYFUNCTION("""COMPUTED_VALUE"""),"Team 01")</f>
        <v>Team 01</v>
      </c>
      <c r="D38" s="422" t="str">
        <f>IFERROR(__xludf.DUMMYFUNCTION("""COMPUTED_VALUE"""),"Return to send Branch Office")</f>
        <v>Return to send Branch Office</v>
      </c>
      <c r="E38" s="422" t="str">
        <f>IFERROR(__xludf.DUMMYFUNCTION("""COMPUTED_VALUE"""),"TNI0070 Recall PU : 1 Pcs Serial: 219561075430")</f>
        <v>TNI0070 Recall PU : 1 Pcs Serial: 219561075430</v>
      </c>
      <c r="F38" s="424">
        <f>IFERROR(__xludf.DUMMYFUNCTION("""COMPUTED_VALUE"""),46035.0)</f>
        <v>46035</v>
      </c>
      <c r="G38" s="424">
        <f>IFERROR(__xludf.DUMMYFUNCTION("""COMPUTED_VALUE"""),46042.0)</f>
        <v>46042</v>
      </c>
      <c r="H38" s="422"/>
      <c r="I38" s="422"/>
      <c r="J38" s="422"/>
      <c r="K38" s="422"/>
      <c r="L38" s="422"/>
      <c r="M38" s="422"/>
      <c r="N38" s="422"/>
      <c r="O38" s="422">
        <f>IFERROR(__xludf.DUMMYFUNCTION("""COMPUTED_VALUE"""),0.0)</f>
        <v>0</v>
      </c>
      <c r="P38" s="422"/>
      <c r="Q38" s="422"/>
      <c r="R38" s="98"/>
      <c r="S38" s="98" t="str">
        <f>IFERROR(__xludf.DUMMYFUNCTION("""COMPUTED_VALUE"""),"myt_bhonehtet.aung")</f>
        <v>myt_bhonehtet.aung</v>
      </c>
      <c r="T38" s="98" t="str">
        <f>IFERROR(__xludf.DUMMYFUNCTION("""COMPUTED_VALUE"""),"TNI0070")</f>
        <v>TNI0070</v>
      </c>
      <c r="W38" s="98" t="str">
        <f>IFERROR(__xludf.DUMMYFUNCTION("""COMPUTED_VALUE"""),"TNI0253")</f>
        <v>TNI0253</v>
      </c>
      <c r="X38" s="98" t="str">
        <f>IFERROR(__xludf.DUMMYFUNCTION("""COMPUTED_VALUE"""),"Team 01")</f>
        <v>Team 01</v>
      </c>
    </row>
    <row r="39">
      <c r="A39" s="422">
        <f>IFERROR(__xludf.DUMMYFUNCTION("""COMPUTED_VALUE"""),37.0)</f>
        <v>37</v>
      </c>
      <c r="B39" s="422" t="str">
        <f>IFERROR(__xludf.DUMMYFUNCTION("""COMPUTED_VALUE"""),"Asset")</f>
        <v>Asset</v>
      </c>
      <c r="C39" s="422" t="str">
        <f>IFERROR(__xludf.DUMMYFUNCTION("""COMPUTED_VALUE"""),"Team 01")</f>
        <v>Team 01</v>
      </c>
      <c r="D39" s="422" t="str">
        <f>IFERROR(__xludf.DUMMYFUNCTION("""COMPUTED_VALUE"""),"Return to send Branch Office")</f>
        <v>Return to send Branch Office</v>
      </c>
      <c r="E39" s="422" t="str">
        <f>IFERROR(__xludf.DUMMYFUNCTION("""COMPUTED_VALUE"""),"TNI0129 Recall PU : 1 Pcs Serial: 219559879245")</f>
        <v>TNI0129 Recall PU : 1 Pcs Serial: 219559879245</v>
      </c>
      <c r="F39" s="424">
        <f>IFERROR(__xludf.DUMMYFUNCTION("""COMPUTED_VALUE"""),46035.0)</f>
        <v>46035</v>
      </c>
      <c r="G39" s="424">
        <f>IFERROR(__xludf.DUMMYFUNCTION("""COMPUTED_VALUE"""),46042.0)</f>
        <v>46042</v>
      </c>
      <c r="H39" s="422"/>
      <c r="I39" s="422"/>
      <c r="J39" s="422"/>
      <c r="K39" s="422"/>
      <c r="L39" s="422"/>
      <c r="M39" s="422"/>
      <c r="N39" s="422"/>
      <c r="O39" s="422">
        <f>IFERROR(__xludf.DUMMYFUNCTION("""COMPUTED_VALUE"""),0.0)</f>
        <v>0</v>
      </c>
      <c r="P39" s="422"/>
      <c r="Q39" s="422"/>
      <c r="R39" s="98"/>
      <c r="S39" s="98" t="str">
        <f>IFERROR(__xludf.DUMMYFUNCTION("""COMPUTED_VALUE"""),"Thu Rain Niang")</f>
        <v>Thu Rain Niang</v>
      </c>
      <c r="T39" s="98" t="str">
        <f>IFERROR(__xludf.DUMMYFUNCTION("""COMPUTED_VALUE"""),"TNI0129")</f>
        <v>TNI0129</v>
      </c>
      <c r="W39" s="98" t="str">
        <f>IFERROR(__xludf.DUMMYFUNCTION("""COMPUTED_VALUE"""),"TNI0271")</f>
        <v>TNI0271</v>
      </c>
      <c r="X39" s="98" t="str">
        <f>IFERROR(__xludf.DUMMYFUNCTION("""COMPUTED_VALUE"""),"Team 01")</f>
        <v>Team 01</v>
      </c>
    </row>
    <row r="40">
      <c r="A40" s="422">
        <f>IFERROR(__xludf.DUMMYFUNCTION("""COMPUTED_VALUE"""),38.0)</f>
        <v>38</v>
      </c>
      <c r="B40" s="422" t="str">
        <f>IFERROR(__xludf.DUMMYFUNCTION("""COMPUTED_VALUE"""),"Asset")</f>
        <v>Asset</v>
      </c>
      <c r="C40" s="422" t="str">
        <f>IFERROR(__xludf.DUMMYFUNCTION("""COMPUTED_VALUE"""),"Team 01")</f>
        <v>Team 01</v>
      </c>
      <c r="D40" s="422" t="str">
        <f>IFERROR(__xludf.DUMMYFUNCTION("""COMPUTED_VALUE"""),"Return to send Branch Office")</f>
        <v>Return to send Branch Office</v>
      </c>
      <c r="E40" s="422" t="str">
        <f>IFERROR(__xludf.DUMMYFUNCTION("""COMPUTED_VALUE"""),"TNI0201 Recall PU : 2 Pcs Serial: 219561075424, 219561075425")</f>
        <v>TNI0201 Recall PU : 2 Pcs Serial: 219561075424, 219561075425</v>
      </c>
      <c r="F40" s="424">
        <f>IFERROR(__xludf.DUMMYFUNCTION("""COMPUTED_VALUE"""),46035.0)</f>
        <v>46035</v>
      </c>
      <c r="G40" s="424">
        <f>IFERROR(__xludf.DUMMYFUNCTION("""COMPUTED_VALUE"""),46042.0)</f>
        <v>46042</v>
      </c>
      <c r="H40" s="422"/>
      <c r="I40" s="422"/>
      <c r="J40" s="422"/>
      <c r="K40" s="422"/>
      <c r="L40" s="422"/>
      <c r="M40" s="422"/>
      <c r="N40" s="422"/>
      <c r="O40" s="422">
        <f>IFERROR(__xludf.DUMMYFUNCTION("""COMPUTED_VALUE"""),0.0)</f>
        <v>0</v>
      </c>
      <c r="P40" s="422"/>
      <c r="Q40" s="422"/>
      <c r="R40" s="98"/>
      <c r="S40" s="98" t="str">
        <f>IFERROR(__xludf.DUMMYFUNCTION("""COMPUTED_VALUE"""),"myt_aunglwin.phyo")</f>
        <v>myt_aunglwin.phyo</v>
      </c>
      <c r="T40" s="98" t="str">
        <f>IFERROR(__xludf.DUMMYFUNCTION("""COMPUTED_VALUE"""),"TNI0201")</f>
        <v>TNI0201</v>
      </c>
      <c r="W40" s="98" t="str">
        <f>IFERROR(__xludf.DUMMYFUNCTION("""COMPUTED_VALUE"""),"TNI0273")</f>
        <v>TNI0273</v>
      </c>
      <c r="X40" s="98" t="str">
        <f>IFERROR(__xludf.DUMMYFUNCTION("""COMPUTED_VALUE"""),"Team 01")</f>
        <v>Team 01</v>
      </c>
    </row>
    <row r="41">
      <c r="A41" s="422">
        <f>IFERROR(__xludf.DUMMYFUNCTION("""COMPUTED_VALUE"""),39.0)</f>
        <v>39</v>
      </c>
      <c r="B41" s="422" t="str">
        <f>IFERROR(__xludf.DUMMYFUNCTION("""COMPUTED_VALUE"""),"Asset")</f>
        <v>Asset</v>
      </c>
      <c r="C41" s="422" t="str">
        <f>IFERROR(__xludf.DUMMYFUNCTION("""COMPUTED_VALUE"""),"Team 01")</f>
        <v>Team 01</v>
      </c>
      <c r="D41" s="422" t="str">
        <f>IFERROR(__xludf.DUMMYFUNCTION("""COMPUTED_VALUE"""),"Return to send Branch Office")</f>
        <v>Return to send Branch Office</v>
      </c>
      <c r="E41" s="422" t="str">
        <f>IFERROR(__xludf.DUMMYFUNCTION("""COMPUTED_VALUE"""),"TNI0206 Recall PU : 1 Pcs Serial: 219561075452")</f>
        <v>TNI0206 Recall PU : 1 Pcs Serial: 219561075452</v>
      </c>
      <c r="F41" s="424">
        <f>IFERROR(__xludf.DUMMYFUNCTION("""COMPUTED_VALUE"""),46035.0)</f>
        <v>46035</v>
      </c>
      <c r="G41" s="424">
        <f>IFERROR(__xludf.DUMMYFUNCTION("""COMPUTED_VALUE"""),46042.0)</f>
        <v>46042</v>
      </c>
      <c r="H41" s="422"/>
      <c r="I41" s="422"/>
      <c r="J41" s="422"/>
      <c r="K41" s="422"/>
      <c r="L41" s="422"/>
      <c r="M41" s="422"/>
      <c r="N41" s="422"/>
      <c r="O41" s="422">
        <f>IFERROR(__xludf.DUMMYFUNCTION("""COMPUTED_VALUE"""),0.0)</f>
        <v>0</v>
      </c>
      <c r="P41" s="422"/>
      <c r="Q41" s="422"/>
      <c r="R41" s="98"/>
      <c r="S41" s="98" t="str">
        <f>IFERROR(__xludf.DUMMYFUNCTION("""COMPUTED_VALUE"""),"Thu Rain Niang")</f>
        <v>Thu Rain Niang</v>
      </c>
      <c r="T41" s="98" t="str">
        <f>IFERROR(__xludf.DUMMYFUNCTION("""COMPUTED_VALUE"""),"TNI0206")</f>
        <v>TNI0206</v>
      </c>
      <c r="W41" s="98" t="str">
        <f>IFERROR(__xludf.DUMMYFUNCTION("""COMPUTED_VALUE"""),"TNI0312")</f>
        <v>TNI0312</v>
      </c>
      <c r="X41" s="98" t="str">
        <f>IFERROR(__xludf.DUMMYFUNCTION("""COMPUTED_VALUE"""),"Team 01")</f>
        <v>Team 01</v>
      </c>
    </row>
    <row r="42">
      <c r="A42" s="422">
        <f>IFERROR(__xludf.DUMMYFUNCTION("""COMPUTED_VALUE"""),40.0)</f>
        <v>40</v>
      </c>
      <c r="B42" s="422" t="str">
        <f>IFERROR(__xludf.DUMMYFUNCTION("""COMPUTED_VALUE"""),"Asset")</f>
        <v>Asset</v>
      </c>
      <c r="C42" s="422" t="str">
        <f>IFERROR(__xludf.DUMMYFUNCTION("""COMPUTED_VALUE"""),"Team 01")</f>
        <v>Team 01</v>
      </c>
      <c r="D42" s="422" t="str">
        <f>IFERROR(__xludf.DUMMYFUNCTION("""COMPUTED_VALUE"""),"Return to send Branch Office")</f>
        <v>Return to send Branch Office</v>
      </c>
      <c r="E42" s="422" t="str">
        <f>IFERROR(__xludf.DUMMYFUNCTION("""COMPUTED_VALUE"""),"TNI0250 Recall PU : 4 Pcs Serial: 219559879289, 219559879283, 219559879285, 219559879290")</f>
        <v>TNI0250 Recall PU : 4 Pcs Serial: 219559879289, 219559879283, 219559879285, 219559879290</v>
      </c>
      <c r="F42" s="424">
        <f>IFERROR(__xludf.DUMMYFUNCTION("""COMPUTED_VALUE"""),46035.0)</f>
        <v>46035</v>
      </c>
      <c r="G42" s="424">
        <f>IFERROR(__xludf.DUMMYFUNCTION("""COMPUTED_VALUE"""),46042.0)</f>
        <v>46042</v>
      </c>
      <c r="H42" s="422"/>
      <c r="I42" s="422"/>
      <c r="J42" s="422"/>
      <c r="K42" s="422"/>
      <c r="L42" s="422"/>
      <c r="M42" s="422"/>
      <c r="N42" s="422"/>
      <c r="O42" s="422">
        <f>IFERROR(__xludf.DUMMYFUNCTION("""COMPUTED_VALUE"""),0.0)</f>
        <v>0</v>
      </c>
      <c r="P42" s="422"/>
      <c r="Q42" s="422"/>
      <c r="R42" s="98"/>
      <c r="S42" s="98" t="str">
        <f>IFERROR(__xludf.DUMMYFUNCTION("""COMPUTED_VALUE"""),"myt_aunglwin.phyo")</f>
        <v>myt_aunglwin.phyo</v>
      </c>
      <c r="T42" s="98" t="str">
        <f>IFERROR(__xludf.DUMMYFUNCTION("""COMPUTED_VALUE"""),"TNI0250")</f>
        <v>TNI0250</v>
      </c>
      <c r="W42" s="98" t="str">
        <f>IFERROR(__xludf.DUMMYFUNCTION("""COMPUTED_VALUE"""),"TNI0013")</f>
        <v>TNI0013</v>
      </c>
      <c r="X42" s="98" t="str">
        <f>IFERROR(__xludf.DUMMYFUNCTION("""COMPUTED_VALUE"""),"Team 01")</f>
        <v>Team 01</v>
      </c>
    </row>
    <row r="43">
      <c r="A43" s="422">
        <f>IFERROR(__xludf.DUMMYFUNCTION("""COMPUTED_VALUE"""),41.0)</f>
        <v>41</v>
      </c>
      <c r="B43" s="422" t="str">
        <f>IFERROR(__xludf.DUMMYFUNCTION("""COMPUTED_VALUE"""),"Asset")</f>
        <v>Asset</v>
      </c>
      <c r="C43" s="422" t="str">
        <f>IFERROR(__xludf.DUMMYFUNCTION("""COMPUTED_VALUE"""),"Team 01")</f>
        <v>Team 01</v>
      </c>
      <c r="D43" s="422" t="str">
        <f>IFERROR(__xludf.DUMMYFUNCTION("""COMPUTED_VALUE"""),"Return to send Branch Office")</f>
        <v>Return to send Branch Office</v>
      </c>
      <c r="E43" s="422" t="str">
        <f>IFERROR(__xludf.DUMMYFUNCTION("""COMPUTED_VALUE"""),"TNI0272 Recall PU : 1 Pcs Serial: 219561075435")</f>
        <v>TNI0272 Recall PU : 1 Pcs Serial: 219561075435</v>
      </c>
      <c r="F43" s="424">
        <f>IFERROR(__xludf.DUMMYFUNCTION("""COMPUTED_VALUE"""),46035.0)</f>
        <v>46035</v>
      </c>
      <c r="G43" s="424">
        <f>IFERROR(__xludf.DUMMYFUNCTION("""COMPUTED_VALUE"""),46042.0)</f>
        <v>46042</v>
      </c>
      <c r="H43" s="422"/>
      <c r="I43" s="422"/>
      <c r="J43" s="422"/>
      <c r="K43" s="422"/>
      <c r="L43" s="422"/>
      <c r="M43" s="422"/>
      <c r="N43" s="422"/>
      <c r="O43" s="422">
        <f>IFERROR(__xludf.DUMMYFUNCTION("""COMPUTED_VALUE"""),0.0)</f>
        <v>0</v>
      </c>
      <c r="P43" s="422"/>
      <c r="Q43" s="422"/>
      <c r="R43" s="98"/>
      <c r="S43" s="98" t="str">
        <f>IFERROR(__xludf.DUMMYFUNCTION("""COMPUTED_VALUE"""),"myt_aunglwin.phyo")</f>
        <v>myt_aunglwin.phyo</v>
      </c>
      <c r="T43" s="98" t="str">
        <f>IFERROR(__xludf.DUMMYFUNCTION("""COMPUTED_VALUE"""),"TNI0272")</f>
        <v>TNI0272</v>
      </c>
      <c r="W43" s="98" t="str">
        <f>IFERROR(__xludf.DUMMYFUNCTION("""COMPUTED_VALUE"""),"TNI0031")</f>
        <v>TNI0031</v>
      </c>
      <c r="X43" s="98" t="str">
        <f>IFERROR(__xludf.DUMMYFUNCTION("""COMPUTED_VALUE"""),"Team 01")</f>
        <v>Team 01</v>
      </c>
    </row>
    <row r="44">
      <c r="A44" s="422">
        <f>IFERROR(__xludf.DUMMYFUNCTION("""COMPUTED_VALUE"""),42.0)</f>
        <v>42</v>
      </c>
      <c r="B44" s="422" t="str">
        <f>IFERROR(__xludf.DUMMYFUNCTION("""COMPUTED_VALUE"""),"Asset")</f>
        <v>Asset</v>
      </c>
      <c r="C44" s="422" t="str">
        <f>IFERROR(__xludf.DUMMYFUNCTION("""COMPUTED_VALUE"""),"Team 01")</f>
        <v>Team 01</v>
      </c>
      <c r="D44" s="422" t="str">
        <f>IFERROR(__xludf.DUMMYFUNCTION("""COMPUTED_VALUE"""),"Return to send Branch Office")</f>
        <v>Return to send Branch Office</v>
      </c>
      <c r="E44" s="422" t="str">
        <f>IFERROR(__xludf.DUMMYFUNCTION("""COMPUTED_VALUE"""),"TNI0312 Recall PU : 2 Pcs Serial: 219561075246, 219561075250")</f>
        <v>TNI0312 Recall PU : 2 Pcs Serial: 219561075246, 219561075250</v>
      </c>
      <c r="F44" s="424">
        <f>IFERROR(__xludf.DUMMYFUNCTION("""COMPUTED_VALUE"""),46035.0)</f>
        <v>46035</v>
      </c>
      <c r="G44" s="424">
        <f>IFERROR(__xludf.DUMMYFUNCTION("""COMPUTED_VALUE"""),46042.0)</f>
        <v>46042</v>
      </c>
      <c r="H44" s="422"/>
      <c r="I44" s="422"/>
      <c r="J44" s="422"/>
      <c r="K44" s="422"/>
      <c r="L44" s="422"/>
      <c r="M44" s="422"/>
      <c r="N44" s="422"/>
      <c r="O44" s="422">
        <f>IFERROR(__xludf.DUMMYFUNCTION("""COMPUTED_VALUE"""),0.0)</f>
        <v>0</v>
      </c>
      <c r="P44" s="422"/>
      <c r="Q44" s="422"/>
      <c r="R44" s="98"/>
      <c r="S44" s="98" t="str">
        <f>IFERROR(__xludf.DUMMYFUNCTION("""COMPUTED_VALUE"""),"myt_bhonehtet.aung")</f>
        <v>myt_bhonehtet.aung</v>
      </c>
      <c r="T44" s="98" t="str">
        <f>IFERROR(__xludf.DUMMYFUNCTION("""COMPUTED_VALUE"""),"TNI0312")</f>
        <v>TNI0312</v>
      </c>
      <c r="W44" s="98" t="str">
        <f>IFERROR(__xludf.DUMMYFUNCTION("""COMPUTED_VALUE"""),"TNI0038")</f>
        <v>TNI0038</v>
      </c>
      <c r="X44" s="98" t="str">
        <f>IFERROR(__xludf.DUMMYFUNCTION("""COMPUTED_VALUE"""),"Team 01")</f>
        <v>Team 01</v>
      </c>
    </row>
    <row r="45">
      <c r="A45" s="422">
        <f>IFERROR(__xludf.DUMMYFUNCTION("""COMPUTED_VALUE"""),43.0)</f>
        <v>43</v>
      </c>
      <c r="B45" s="422" t="str">
        <f>IFERROR(__xludf.DUMMYFUNCTION("""COMPUTED_VALUE"""),"Asset")</f>
        <v>Asset</v>
      </c>
      <c r="C45" s="422" t="str">
        <f>IFERROR(__xludf.DUMMYFUNCTION("""COMPUTED_VALUE"""),"Team 02")</f>
        <v>Team 02</v>
      </c>
      <c r="D45" s="422" t="str">
        <f>IFERROR(__xludf.DUMMYFUNCTION("""COMPUTED_VALUE"""),"Inventory Site")</f>
        <v>Inventory Site</v>
      </c>
      <c r="E45" s="422" t="str">
        <f>IFERROR(__xludf.DUMMYFUNCTION("""COMPUTED_VALUE"""),"Team 2 Plan Site need finish week 48 =&gt; : 49,Cable Plan need finish week 48 =&gt; : 49,MW Plan need finish week 48 =&gt; : 28")</f>
        <v>Team 2 Plan Site need finish week 48 =&gt; : 49,Cable Plan need finish week 48 =&gt; : 49,MW Plan need finish week 48 =&gt; : 28</v>
      </c>
      <c r="F45" s="424">
        <f>IFERROR(__xludf.DUMMYFUNCTION("""COMPUTED_VALUE"""),45985.0)</f>
        <v>45985</v>
      </c>
      <c r="G45" s="424">
        <f>IFERROR(__xludf.DUMMYFUNCTION("""COMPUTED_VALUE"""),45991.0)</f>
        <v>45991</v>
      </c>
      <c r="H45" s="422"/>
      <c r="I45" s="422"/>
      <c r="J45" s="422"/>
      <c r="K45" s="422"/>
      <c r="L45" s="422"/>
      <c r="M45" s="422"/>
      <c r="N45" s="422"/>
      <c r="O45" s="422">
        <f>IFERROR(__xludf.DUMMYFUNCTION("""COMPUTED_VALUE"""),0.0)</f>
        <v>0</v>
      </c>
      <c r="P45" s="422"/>
      <c r="Q45" s="422"/>
      <c r="R45" s="98"/>
      <c r="S45" s="98" t="str">
        <f>IFERROR(__xludf.DUMMYFUNCTION("""COMPUTED_VALUE"""),"-")</f>
        <v>-</v>
      </c>
      <c r="T45" s="98" t="str">
        <f>IFERROR(__xludf.DUMMYFUNCTION("""COMPUTED_VALUE"""),"Team 2 Plan Site need finish week 48 =&gt; : 49,Cable Plan need finish week 48 =&gt; : 49,MW Plan need finish week 48 =&gt; : 28")</f>
        <v>Team 2 Plan Site need finish week 48 =&gt; : 49,Cable Plan need finish week 48 =&gt; : 49,MW Plan need finish week 48 =&gt; : 28</v>
      </c>
      <c r="W45" s="98" t="str">
        <f>IFERROR(__xludf.DUMMYFUNCTION("""COMPUTED_VALUE"""),"TNI0041")</f>
        <v>TNI0041</v>
      </c>
      <c r="X45" s="98" t="str">
        <f>IFERROR(__xludf.DUMMYFUNCTION("""COMPUTED_VALUE"""),"Team 01")</f>
        <v>Team 01</v>
      </c>
    </row>
    <row r="46">
      <c r="A46" s="422">
        <f>IFERROR(__xludf.DUMMYFUNCTION("""COMPUTED_VALUE"""),44.0)</f>
        <v>44</v>
      </c>
      <c r="B46" s="422" t="str">
        <f>IFERROR(__xludf.DUMMYFUNCTION("""COMPUTED_VALUE"""),"Asset")</f>
        <v>Asset</v>
      </c>
      <c r="C46" s="422" t="str">
        <f>IFERROR(__xludf.DUMMYFUNCTION("""COMPUTED_VALUE"""),"Team 02")</f>
        <v>Team 02</v>
      </c>
      <c r="D46" s="422" t="str">
        <f>IFERROR(__xludf.DUMMYFUNCTION("""COMPUTED_VALUE"""),"Inventory Site")</f>
        <v>Inventory Site</v>
      </c>
      <c r="E46" s="422" t="str">
        <f>IFERROR(__xludf.DUMMYFUNCTION("""COMPUTED_VALUE"""),"Team 2 plan need inentory week 51= Site: 49&amp;=&amp; Cable: 84&amp;=&amp; MW: 49")</f>
        <v>Team 2 plan need inentory week 51= Site: 49&amp;=&amp; Cable: 84&amp;=&amp; MW: 49</v>
      </c>
      <c r="F46" s="424">
        <f>IFERROR(__xludf.DUMMYFUNCTION("""COMPUTED_VALUE"""),46006.0)</f>
        <v>46006</v>
      </c>
      <c r="G46" s="424">
        <f>IFERROR(__xludf.DUMMYFUNCTION("""COMPUTED_VALUE"""),46016.0)</f>
        <v>46016</v>
      </c>
      <c r="H46" s="422" t="str">
        <f>IFERROR(__xludf.DUMMYFUNCTION("""COMPUTED_VALUE"""),"#REF!")</f>
        <v>#REF!</v>
      </c>
      <c r="I46" s="422"/>
      <c r="J46" s="422"/>
      <c r="K46" s="422"/>
      <c r="L46" s="422"/>
      <c r="M46" s="422"/>
      <c r="N46" s="422"/>
      <c r="O46" s="422">
        <f>IFERROR(__xludf.DUMMYFUNCTION("""COMPUTED_VALUE"""),0.0)</f>
        <v>0</v>
      </c>
      <c r="P46" s="422"/>
      <c r="Q46" s="422"/>
      <c r="R46" s="98"/>
      <c r="S46" s="98" t="str">
        <f>IFERROR(__xludf.DUMMYFUNCTION("""COMPUTED_VALUE"""),"-")</f>
        <v>-</v>
      </c>
      <c r="T46" s="98" t="str">
        <f>IFERROR(__xludf.DUMMYFUNCTION("""COMPUTED_VALUE"""),"Team 2 plan need inentory week 51= Site: 49&amp;=&amp; Cable: 84&amp;=&amp; MW: 49")</f>
        <v>Team 2 plan need inentory week 51= Site: 49&amp;=&amp; Cable: 84&amp;=&amp; MW: 49</v>
      </c>
      <c r="W46" s="98" t="str">
        <f>IFERROR(__xludf.DUMMYFUNCTION("""COMPUTED_VALUE"""),"TNI0051")</f>
        <v>TNI0051</v>
      </c>
      <c r="X46" s="98" t="str">
        <f>IFERROR(__xludf.DUMMYFUNCTION("""COMPUTED_VALUE"""),"Team 01")</f>
        <v>Team 01</v>
      </c>
    </row>
    <row r="47">
      <c r="A47" s="422">
        <f>IFERROR(__xludf.DUMMYFUNCTION("""COMPUTED_VALUE"""),45.0)</f>
        <v>45</v>
      </c>
      <c r="B47" s="422" t="str">
        <f>IFERROR(__xludf.DUMMYFUNCTION("""COMPUTED_VALUE"""),"Asset")</f>
        <v>Asset</v>
      </c>
      <c r="C47" s="422" t="str">
        <f>IFERROR(__xludf.DUMMYFUNCTION("""COMPUTED_VALUE"""),"Team 02")</f>
        <v>Team 02</v>
      </c>
      <c r="D47" s="422" t="str">
        <f>IFERROR(__xludf.DUMMYFUNCTION("""COMPUTED_VALUE"""),"Inventory Site")</f>
        <v>Inventory Site</v>
      </c>
      <c r="E47" s="422" t="str">
        <f>IFERROR(__xludf.DUMMYFUNCTION("""COMPUTED_VALUE"""),"Team 2's supervisor must complete the inventory count before the weekly deadline.")</f>
        <v>Team 2's supervisor must complete the inventory count before the weekly deadline.</v>
      </c>
      <c r="F47" s="424">
        <f>IFERROR(__xludf.DUMMYFUNCTION("""COMPUTED_VALUE"""),46002.0)</f>
        <v>46002</v>
      </c>
      <c r="G47" s="424">
        <f>IFERROR(__xludf.DUMMYFUNCTION("""COMPUTED_VALUE"""),46006.0)</f>
        <v>46006</v>
      </c>
      <c r="H47" s="422"/>
      <c r="I47" s="422"/>
      <c r="J47" s="422"/>
      <c r="K47" s="422"/>
      <c r="L47" s="422"/>
      <c r="M47" s="422"/>
      <c r="N47" s="422"/>
      <c r="O47" s="422">
        <f>IFERROR(__xludf.DUMMYFUNCTION("""COMPUTED_VALUE"""),0.0)</f>
        <v>0</v>
      </c>
      <c r="P47" s="422"/>
      <c r="Q47" s="422"/>
      <c r="R47" s="98"/>
      <c r="S47" s="98" t="str">
        <f>IFERROR(__xludf.DUMMYFUNCTION("""COMPUTED_VALUE"""),"-")</f>
        <v>-</v>
      </c>
      <c r="T47" s="98" t="str">
        <f>IFERROR(__xludf.DUMMYFUNCTION("""COMPUTED_VALUE"""),"Team 2's supervisor must complete the inventory count before the weekly deadline.")</f>
        <v>Team 2's supervisor must complete the inventory count before the weekly deadline.</v>
      </c>
      <c r="W47" s="98" t="str">
        <f>IFERROR(__xludf.DUMMYFUNCTION("""COMPUTED_VALUE"""),"TNI0052")</f>
        <v>TNI0052</v>
      </c>
      <c r="X47" s="98" t="str">
        <f>IFERROR(__xludf.DUMMYFUNCTION("""COMPUTED_VALUE"""),"Team 01")</f>
        <v>Team 01</v>
      </c>
    </row>
    <row r="48">
      <c r="A48" s="422">
        <f>IFERROR(__xludf.DUMMYFUNCTION("""COMPUTED_VALUE"""),46.0)</f>
        <v>46</v>
      </c>
      <c r="B48" s="422" t="str">
        <f>IFERROR(__xludf.DUMMYFUNCTION("""COMPUTED_VALUE"""),"Asset")</f>
        <v>Asset</v>
      </c>
      <c r="C48" s="422" t="str">
        <f>IFERROR(__xludf.DUMMYFUNCTION("""COMPUTED_VALUE"""),"Team 02")</f>
        <v>Team 02</v>
      </c>
      <c r="D48" s="422" t="str">
        <f>IFERROR(__xludf.DUMMYFUNCTION("""COMPUTED_VALUE"""),"Inventory Site")</f>
        <v>Inventory Site</v>
      </c>
      <c r="E48" s="422" t="str">
        <f>IFERROR(__xludf.DUMMYFUNCTION("""COMPUTED_VALUE"""),"Team 2 plan need inentory week 51= Site: 49&amp;=&amp; Cable: 84&amp;=&amp; MW: 49")</f>
        <v>Team 2 plan need inentory week 51= Site: 49&amp;=&amp; Cable: 84&amp;=&amp; MW: 49</v>
      </c>
      <c r="F48" s="424">
        <f>IFERROR(__xludf.DUMMYFUNCTION("""COMPUTED_VALUE"""),46006.0)</f>
        <v>46006</v>
      </c>
      <c r="G48" s="424">
        <f>IFERROR(__xludf.DUMMYFUNCTION("""COMPUTED_VALUE"""),46016.0)</f>
        <v>46016</v>
      </c>
      <c r="H48" s="422" t="str">
        <f>IFERROR(__xludf.DUMMYFUNCTION("""COMPUTED_VALUE"""),"#REF!")</f>
        <v>#REF!</v>
      </c>
      <c r="I48" s="422"/>
      <c r="J48" s="422"/>
      <c r="K48" s="422"/>
      <c r="L48" s="422"/>
      <c r="M48" s="422"/>
      <c r="N48" s="422"/>
      <c r="O48" s="422">
        <f>IFERROR(__xludf.DUMMYFUNCTION("""COMPUTED_VALUE"""),0.0)</f>
        <v>0</v>
      </c>
      <c r="P48" s="422"/>
      <c r="Q48" s="422"/>
      <c r="R48" s="98"/>
      <c r="S48" s="98" t="str">
        <f>IFERROR(__xludf.DUMMYFUNCTION("""COMPUTED_VALUE"""),"-")</f>
        <v>-</v>
      </c>
      <c r="T48" s="98" t="str">
        <f>IFERROR(__xludf.DUMMYFUNCTION("""COMPUTED_VALUE"""),"Team 2 plan need inentory week 51= Site: 49&amp;=&amp; Cable: 84&amp;=&amp; MW: 49")</f>
        <v>Team 2 plan need inentory week 51= Site: 49&amp;=&amp; Cable: 84&amp;=&amp; MW: 49</v>
      </c>
      <c r="W48" s="98" t="str">
        <f>IFERROR(__xludf.DUMMYFUNCTION("""COMPUTED_VALUE"""),"TNI0061")</f>
        <v>TNI0061</v>
      </c>
      <c r="X48" s="98" t="str">
        <f>IFERROR(__xludf.DUMMYFUNCTION("""COMPUTED_VALUE"""),"Team 01")</f>
        <v>Team 01</v>
      </c>
    </row>
    <row r="49">
      <c r="A49" s="422">
        <f>IFERROR(__xludf.DUMMYFUNCTION("""COMPUTED_VALUE"""),47.0)</f>
        <v>47</v>
      </c>
      <c r="B49" s="422" t="str">
        <f>IFERROR(__xludf.DUMMYFUNCTION("""COMPUTED_VALUE"""),"Asset")</f>
        <v>Asset</v>
      </c>
      <c r="C49" s="422" t="str">
        <f>IFERROR(__xludf.DUMMYFUNCTION("""COMPUTED_VALUE"""),"Team 02")</f>
        <v>Team 02</v>
      </c>
      <c r="D49" s="422" t="str">
        <f>IFERROR(__xludf.DUMMYFUNCTION("""COMPUTED_VALUE"""),"Inventory Team")</f>
        <v>Inventory Team</v>
      </c>
      <c r="E49" s="422" t="str">
        <f>IFERROR(__xludf.DUMMYFUNCTION("""COMPUTED_VALUE"""),"Inventory NOC-ROT-TOOL VCM-MYTEL Team 2")</f>
        <v>Inventory NOC-ROT-TOOL VCM-MYTEL Team 2</v>
      </c>
      <c r="F49" s="424">
        <f>IFERROR(__xludf.DUMMYFUNCTION("""COMPUTED_VALUE"""),45959.0)</f>
        <v>45959</v>
      </c>
      <c r="G49" s="424">
        <f>IFERROR(__xludf.DUMMYFUNCTION("""COMPUTED_VALUE"""),45969.0)</f>
        <v>45969</v>
      </c>
      <c r="H49" s="422"/>
      <c r="I49" s="422"/>
      <c r="J49" s="422"/>
      <c r="K49" s="422"/>
      <c r="L49" s="422"/>
      <c r="M49" s="422"/>
      <c r="N49" s="422"/>
      <c r="O49" s="422">
        <f>IFERROR(__xludf.DUMMYFUNCTION("""COMPUTED_VALUE"""),0.0)</f>
        <v>0</v>
      </c>
      <c r="P49" s="422"/>
      <c r="Q49" s="422"/>
      <c r="R49" s="98"/>
      <c r="S49" s="98" t="str">
        <f>IFERROR(__xludf.DUMMYFUNCTION("""COMPUTED_VALUE"""),"-")</f>
        <v>-</v>
      </c>
      <c r="T49" s="98" t="str">
        <f>IFERROR(__xludf.DUMMYFUNCTION("""COMPUTED_VALUE"""),"Inventory NOC-ROT-TOOL VCM-MYTEL Team 2")</f>
        <v>Inventory NOC-ROT-TOOL VCM-MYTEL Team 2</v>
      </c>
      <c r="W49" s="98" t="str">
        <f>IFERROR(__xludf.DUMMYFUNCTION("""COMPUTED_VALUE"""),"TNI0069")</f>
        <v>TNI0069</v>
      </c>
      <c r="X49" s="98" t="str">
        <f>IFERROR(__xludf.DUMMYFUNCTION("""COMPUTED_VALUE"""),"Team 01")</f>
        <v>Team 01</v>
      </c>
    </row>
    <row r="50">
      <c r="A50" s="422">
        <f>IFERROR(__xludf.DUMMYFUNCTION("""COMPUTED_VALUE"""),48.0)</f>
        <v>48</v>
      </c>
      <c r="B50" s="422" t="str">
        <f>IFERROR(__xludf.DUMMYFUNCTION("""COMPUTED_VALUE"""),"Asset")</f>
        <v>Asset</v>
      </c>
      <c r="C50" s="422" t="str">
        <f>IFERROR(__xludf.DUMMYFUNCTION("""COMPUTED_VALUE"""),"Team 02")</f>
        <v>Team 02</v>
      </c>
      <c r="D50" s="422" t="str">
        <f>IFERROR(__xludf.DUMMYFUNCTION("""COMPUTED_VALUE"""),"Inventory Team")</f>
        <v>Inventory Team</v>
      </c>
      <c r="E50" s="422" t="str">
        <f>IFERROR(__xludf.DUMMYFUNCTION("""COMPUTED_VALUE"""),"Team 2 must work together to conduct an inventory of the warehouse.")</f>
        <v>Team 2 must work together to conduct an inventory of the warehouse.</v>
      </c>
      <c r="F50" s="424">
        <f>IFERROR(__xludf.DUMMYFUNCTION("""COMPUTED_VALUE"""),46002.0)</f>
        <v>46002</v>
      </c>
      <c r="G50" s="424">
        <f>IFERROR(__xludf.DUMMYFUNCTION("""COMPUTED_VALUE"""),46006.0)</f>
        <v>46006</v>
      </c>
      <c r="H50" s="422"/>
      <c r="I50" s="422"/>
      <c r="J50" s="422"/>
      <c r="K50" s="422"/>
      <c r="L50" s="422"/>
      <c r="M50" s="422"/>
      <c r="N50" s="422"/>
      <c r="O50" s="422">
        <f>IFERROR(__xludf.DUMMYFUNCTION("""COMPUTED_VALUE"""),0.0)</f>
        <v>0</v>
      </c>
      <c r="P50" s="422"/>
      <c r="Q50" s="422"/>
      <c r="R50" s="98"/>
      <c r="S50" s="98" t="str">
        <f>IFERROR(__xludf.DUMMYFUNCTION("""COMPUTED_VALUE"""),"-")</f>
        <v>-</v>
      </c>
      <c r="T50" s="98" t="str">
        <f>IFERROR(__xludf.DUMMYFUNCTION("""COMPUTED_VALUE"""),"Team 2 must work together to conduct an inventory of the warehouse.")</f>
        <v>Team 2 must work together to conduct an inventory of the warehouse.</v>
      </c>
      <c r="W50" s="98" t="str">
        <f>IFERROR(__xludf.DUMMYFUNCTION("""COMPUTED_VALUE"""),"TNI0071")</f>
        <v>TNI0071</v>
      </c>
      <c r="X50" s="98" t="str">
        <f>IFERROR(__xludf.DUMMYFUNCTION("""COMPUTED_VALUE"""),"Team 01")</f>
        <v>Team 01</v>
      </c>
    </row>
    <row r="51">
      <c r="A51" s="422">
        <f>IFERROR(__xludf.DUMMYFUNCTION("""COMPUTED_VALUE"""),49.0)</f>
        <v>49</v>
      </c>
      <c r="B51" s="422" t="str">
        <f>IFERROR(__xludf.DUMMYFUNCTION("""COMPUTED_VALUE"""),"Asset")</f>
        <v>Asset</v>
      </c>
      <c r="C51" s="422" t="str">
        <f>IFERROR(__xludf.DUMMYFUNCTION("""COMPUTED_VALUE"""),"Team 02")</f>
        <v>Team 02</v>
      </c>
      <c r="D51" s="422" t="str">
        <f>IFERROR(__xludf.DUMMYFUNCTION("""COMPUTED_VALUE"""),"Recall to Mytel ")</f>
        <v>Recall to Mytel </v>
      </c>
      <c r="E51" s="422" t="str">
        <f>IFERROR(__xludf.DUMMYFUNCTION("""COMPUTED_VALUE"""),"Team 2 Recall materials to mytel 10/2025")</f>
        <v>Team 2 Recall materials to mytel 10/2025</v>
      </c>
      <c r="F51" s="424">
        <f>IFERROR(__xludf.DUMMYFUNCTION("""COMPUTED_VALUE"""),45960.0)</f>
        <v>45960</v>
      </c>
      <c r="G51" s="424">
        <f>IFERROR(__xludf.DUMMYFUNCTION("""COMPUTED_VALUE"""),45969.0)</f>
        <v>45969</v>
      </c>
      <c r="H51" s="422"/>
      <c r="I51" s="422"/>
      <c r="J51" s="422"/>
      <c r="K51" s="422"/>
      <c r="L51" s="422"/>
      <c r="M51" s="422"/>
      <c r="N51" s="422"/>
      <c r="O51" s="422">
        <f>IFERROR(__xludf.DUMMYFUNCTION("""COMPUTED_VALUE"""),0.0)</f>
        <v>0</v>
      </c>
      <c r="P51" s="422"/>
      <c r="Q51" s="422"/>
      <c r="R51" s="98"/>
      <c r="S51" s="98" t="str">
        <f>IFERROR(__xludf.DUMMYFUNCTION("""COMPUTED_VALUE"""),"-")</f>
        <v>-</v>
      </c>
      <c r="T51" s="98" t="str">
        <f>IFERROR(__xludf.DUMMYFUNCTION("""COMPUTED_VALUE"""),"Team 2 Recall materials to mytel 10/2025")</f>
        <v>Team 2 Recall materials to mytel 10/2025</v>
      </c>
      <c r="W51" s="98" t="str">
        <f>IFERROR(__xludf.DUMMYFUNCTION("""COMPUTED_VALUE"""),"TNI0095")</f>
        <v>TNI0095</v>
      </c>
      <c r="X51" s="98" t="str">
        <f>IFERROR(__xludf.DUMMYFUNCTION("""COMPUTED_VALUE"""),"Team 01")</f>
        <v>Team 01</v>
      </c>
    </row>
    <row r="52">
      <c r="A52" s="422">
        <f>IFERROR(__xludf.DUMMYFUNCTION("""COMPUTED_VALUE"""),50.0)</f>
        <v>50</v>
      </c>
      <c r="B52" s="422" t="str">
        <f>IFERROR(__xludf.DUMMYFUNCTION("""COMPUTED_VALUE"""),"Asset")</f>
        <v>Asset</v>
      </c>
      <c r="C52" s="422" t="str">
        <f>IFERROR(__xludf.DUMMYFUNCTION("""COMPUTED_VALUE"""),"Team 02")</f>
        <v>Team 02</v>
      </c>
      <c r="D52" s="422" t="str">
        <f>IFERROR(__xludf.DUMMYFUNCTION("""COMPUTED_VALUE"""),"Request export")</f>
        <v>Request export</v>
      </c>
      <c r="E52" s="422" t="str">
        <f>IFERROR(__xludf.DUMMYFUNCTION("""COMPUTED_VALUE"""),"TNI0166 export RRU to Site ")</f>
        <v>TNI0166 export RRU to Site </v>
      </c>
      <c r="F52" s="424">
        <f>IFERROR(__xludf.DUMMYFUNCTION("""COMPUTED_VALUE"""),45973.0)</f>
        <v>45973</v>
      </c>
      <c r="G52" s="424">
        <f>IFERROR(__xludf.DUMMYFUNCTION("""COMPUTED_VALUE"""),45976.0)</f>
        <v>45976</v>
      </c>
      <c r="H52" s="422"/>
      <c r="I52" s="422"/>
      <c r="J52" s="422"/>
      <c r="K52" s="422"/>
      <c r="L52" s="422"/>
      <c r="M52" s="422"/>
      <c r="N52" s="422"/>
      <c r="O52" s="422">
        <f>IFERROR(__xludf.DUMMYFUNCTION("""COMPUTED_VALUE"""),0.0)</f>
        <v>0</v>
      </c>
      <c r="P52" s="422"/>
      <c r="Q52" s="422"/>
      <c r="R52" s="98"/>
      <c r="S52" s="98" t="str">
        <f>IFERROR(__xludf.DUMMYFUNCTION("""COMPUTED_VALUE"""),"myt_minpaing.oo")</f>
        <v>myt_minpaing.oo</v>
      </c>
      <c r="T52" s="98" t="str">
        <f>IFERROR(__xludf.DUMMYFUNCTION("""COMPUTED_VALUE"""),"TNI0166")</f>
        <v>TNI0166</v>
      </c>
      <c r="W52" s="98" t="str">
        <f>IFERROR(__xludf.DUMMYFUNCTION("""COMPUTED_VALUE"""),"TNI0194")</f>
        <v>TNI0194</v>
      </c>
      <c r="X52" s="98" t="str">
        <f>IFERROR(__xludf.DUMMYFUNCTION("""COMPUTED_VALUE"""),"Team 01")</f>
        <v>Team 01</v>
      </c>
    </row>
    <row r="53">
      <c r="A53" s="422">
        <f>IFERROR(__xludf.DUMMYFUNCTION("""COMPUTED_VALUE"""),51.0)</f>
        <v>51</v>
      </c>
      <c r="B53" s="422" t="str">
        <f>IFERROR(__xludf.DUMMYFUNCTION("""COMPUTED_VALUE"""),"Asset")</f>
        <v>Asset</v>
      </c>
      <c r="C53" s="422" t="str">
        <f>IFERROR(__xludf.DUMMYFUNCTION("""COMPUTED_VALUE"""),"Team 02")</f>
        <v>Team 02</v>
      </c>
      <c r="D53" s="422" t="str">
        <f>IFERROR(__xludf.DUMMYFUNCTION("""COMPUTED_VALUE"""),"Request export")</f>
        <v>Request export</v>
      </c>
      <c r="E53" s="422" t="str">
        <f>IFERROR(__xludf.DUMMYFUNCTION("""COMPUTED_VALUE"""),"The export and return of goods must be carried out after Team 2 completes the inventory count.")</f>
        <v>The export and return of goods must be carried out after Team 2 completes the inventory count.</v>
      </c>
      <c r="F53" s="424">
        <f>IFERROR(__xludf.DUMMYFUNCTION("""COMPUTED_VALUE"""),46002.0)</f>
        <v>46002</v>
      </c>
      <c r="G53" s="424">
        <f>IFERROR(__xludf.DUMMYFUNCTION("""COMPUTED_VALUE"""),46006.0)</f>
        <v>46006</v>
      </c>
      <c r="H53" s="422"/>
      <c r="I53" s="422"/>
      <c r="J53" s="422"/>
      <c r="K53" s="422"/>
      <c r="L53" s="422"/>
      <c r="M53" s="422"/>
      <c r="N53" s="422"/>
      <c r="O53" s="422">
        <f>IFERROR(__xludf.DUMMYFUNCTION("""COMPUTED_VALUE"""),0.0)</f>
        <v>0</v>
      </c>
      <c r="P53" s="422"/>
      <c r="Q53" s="422"/>
      <c r="R53" s="98"/>
      <c r="S53" s="98" t="str">
        <f>IFERROR(__xludf.DUMMYFUNCTION("""COMPUTED_VALUE"""),"-")</f>
        <v>-</v>
      </c>
      <c r="T53" s="98" t="str">
        <f>IFERROR(__xludf.DUMMYFUNCTION("""COMPUTED_VALUE"""),"The export and return of goods must be carried out after Team 2 completes the inventory count.")</f>
        <v>The export and return of goods must be carried out after Team 2 completes the inventory count.</v>
      </c>
      <c r="W53" s="98" t="str">
        <f>IFERROR(__xludf.DUMMYFUNCTION("""COMPUTED_VALUE"""),"TNI0211")</f>
        <v>TNI0211</v>
      </c>
      <c r="X53" s="98" t="str">
        <f>IFERROR(__xludf.DUMMYFUNCTION("""COMPUTED_VALUE"""),"Team 01")</f>
        <v>Team 01</v>
      </c>
    </row>
    <row r="54">
      <c r="A54" s="422">
        <f>IFERROR(__xludf.DUMMYFUNCTION("""COMPUTED_VALUE"""),52.0)</f>
        <v>52</v>
      </c>
      <c r="B54" s="422" t="str">
        <f>IFERROR(__xludf.DUMMYFUNCTION("""COMPUTED_VALUE"""),"Asset")</f>
        <v>Asset</v>
      </c>
      <c r="C54" s="422" t="str">
        <f>IFERROR(__xludf.DUMMYFUNCTION("""COMPUTED_VALUE"""),"Team 02")</f>
        <v>Team 02</v>
      </c>
      <c r="D54" s="422" t="str">
        <f>IFERROR(__xludf.DUMMYFUNCTION("""COMPUTED_VALUE"""),"Return to send Branch Office")</f>
        <v>Return to send Branch Office</v>
      </c>
      <c r="E54" s="422" t="str">
        <f>IFERROR(__xludf.DUMMYFUNCTION("""COMPUTED_VALUE"""),"TNI0001 Recall PU : 2 Pcs Serial: 219561075423, 219561075422")</f>
        <v>TNI0001 Recall PU : 2 Pcs Serial: 219561075423, 219561075422</v>
      </c>
      <c r="F54" s="424">
        <f>IFERROR(__xludf.DUMMYFUNCTION("""COMPUTED_VALUE"""),46035.0)</f>
        <v>46035</v>
      </c>
      <c r="G54" s="424">
        <f>IFERROR(__xludf.DUMMYFUNCTION("""COMPUTED_VALUE"""),46042.0)</f>
        <v>46042</v>
      </c>
      <c r="H54" s="422"/>
      <c r="I54" s="422"/>
      <c r="J54" s="422"/>
      <c r="K54" s="422"/>
      <c r="L54" s="422"/>
      <c r="M54" s="422"/>
      <c r="N54" s="422"/>
      <c r="O54" s="422">
        <f>IFERROR(__xludf.DUMMYFUNCTION("""COMPUTED_VALUE"""),0.0)</f>
        <v>0</v>
      </c>
      <c r="P54" s="422"/>
      <c r="Q54" s="422"/>
      <c r="R54" s="98"/>
      <c r="S54" s="98" t="str">
        <f>IFERROR(__xludf.DUMMYFUNCTION("""COMPUTED_VALUE"""),"myt_maung.maung11")</f>
        <v>myt_maung.maung11</v>
      </c>
      <c r="T54" s="98" t="str">
        <f>IFERROR(__xludf.DUMMYFUNCTION("""COMPUTED_VALUE"""),"TNI0001")</f>
        <v>TNI0001</v>
      </c>
      <c r="W54" s="98" t="str">
        <f>IFERROR(__xludf.DUMMYFUNCTION("""COMPUTED_VALUE"""),"TNI0305")</f>
        <v>TNI0305</v>
      </c>
      <c r="X54" s="98" t="str">
        <f>IFERROR(__xludf.DUMMYFUNCTION("""COMPUTED_VALUE"""),"Team 01")</f>
        <v>Team 01</v>
      </c>
    </row>
    <row r="55">
      <c r="A55" s="422">
        <f>IFERROR(__xludf.DUMMYFUNCTION("""COMPUTED_VALUE"""),53.0)</f>
        <v>53</v>
      </c>
      <c r="B55" s="422" t="str">
        <f>IFERROR(__xludf.DUMMYFUNCTION("""COMPUTED_VALUE"""),"Asset")</f>
        <v>Asset</v>
      </c>
      <c r="C55" s="422" t="str">
        <f>IFERROR(__xludf.DUMMYFUNCTION("""COMPUTED_VALUE"""),"Team 02")</f>
        <v>Team 02</v>
      </c>
      <c r="D55" s="422" t="str">
        <f>IFERROR(__xludf.DUMMYFUNCTION("""COMPUTED_VALUE"""),"Return to send Branch Office")</f>
        <v>Return to send Branch Office</v>
      </c>
      <c r="E55" s="422" t="str">
        <f>IFERROR(__xludf.DUMMYFUNCTION("""COMPUTED_VALUE"""),"TNI0003 Recall PU : 4 Pcs Serial: 219561075417, 219561075419, 219561075421, 219561075415")</f>
        <v>TNI0003 Recall PU : 4 Pcs Serial: 219561075417, 219561075419, 219561075421, 219561075415</v>
      </c>
      <c r="F55" s="424">
        <f>IFERROR(__xludf.DUMMYFUNCTION("""COMPUTED_VALUE"""),46035.0)</f>
        <v>46035</v>
      </c>
      <c r="G55" s="424">
        <f>IFERROR(__xludf.DUMMYFUNCTION("""COMPUTED_VALUE"""),46042.0)</f>
        <v>46042</v>
      </c>
      <c r="H55" s="422"/>
      <c r="I55" s="422"/>
      <c r="J55" s="422"/>
      <c r="K55" s="422"/>
      <c r="L55" s="422"/>
      <c r="M55" s="422"/>
      <c r="N55" s="422"/>
      <c r="O55" s="422">
        <f>IFERROR(__xludf.DUMMYFUNCTION("""COMPUTED_VALUE"""),0.0)</f>
        <v>0</v>
      </c>
      <c r="P55" s="422"/>
      <c r="Q55" s="422"/>
      <c r="R55" s="98"/>
      <c r="S55" s="98" t="str">
        <f>IFERROR(__xludf.DUMMYFUNCTION("""COMPUTED_VALUE"""),"myt_wanna.oo2")</f>
        <v>myt_wanna.oo2</v>
      </c>
      <c r="T55" s="98" t="str">
        <f>IFERROR(__xludf.DUMMYFUNCTION("""COMPUTED_VALUE"""),"TNI0003")</f>
        <v>TNI0003</v>
      </c>
      <c r="W55" s="98" t="str">
        <f>IFERROR(__xludf.DUMMYFUNCTION("""COMPUTED_VALUE"""),"TNI0306")</f>
        <v>TNI0306</v>
      </c>
      <c r="X55" s="98" t="str">
        <f>IFERROR(__xludf.DUMMYFUNCTION("""COMPUTED_VALUE"""),"Team 01")</f>
        <v>Team 01</v>
      </c>
    </row>
    <row r="56">
      <c r="A56" s="422">
        <f>IFERROR(__xludf.DUMMYFUNCTION("""COMPUTED_VALUE"""),54.0)</f>
        <v>54</v>
      </c>
      <c r="B56" s="422" t="str">
        <f>IFERROR(__xludf.DUMMYFUNCTION("""COMPUTED_VALUE"""),"Asset")</f>
        <v>Asset</v>
      </c>
      <c r="C56" s="422" t="str">
        <f>IFERROR(__xludf.DUMMYFUNCTION("""COMPUTED_VALUE"""),"Team 02")</f>
        <v>Team 02</v>
      </c>
      <c r="D56" s="422" t="str">
        <f>IFERROR(__xludf.DUMMYFUNCTION("""COMPUTED_VALUE"""),"Return to send Branch Office")</f>
        <v>Return to send Branch Office</v>
      </c>
      <c r="E56" s="422" t="str">
        <f>IFERROR(__xludf.DUMMYFUNCTION("""COMPUTED_VALUE"""),"TNI0005 Recall PU : 1 Pcs Serial: 219559880508")</f>
        <v>TNI0005 Recall PU : 1 Pcs Serial: 219559880508</v>
      </c>
      <c r="F56" s="424">
        <f>IFERROR(__xludf.DUMMYFUNCTION("""COMPUTED_VALUE"""),46035.0)</f>
        <v>46035</v>
      </c>
      <c r="G56" s="424">
        <f>IFERROR(__xludf.DUMMYFUNCTION("""COMPUTED_VALUE"""),46042.0)</f>
        <v>46042</v>
      </c>
      <c r="H56" s="422"/>
      <c r="I56" s="422"/>
      <c r="J56" s="422"/>
      <c r="K56" s="422"/>
      <c r="L56" s="422"/>
      <c r="M56" s="422"/>
      <c r="N56" s="422"/>
      <c r="O56" s="422">
        <f>IFERROR(__xludf.DUMMYFUNCTION("""COMPUTED_VALUE"""),0.0)</f>
        <v>0</v>
      </c>
      <c r="P56" s="422"/>
      <c r="Q56" s="422"/>
      <c r="R56" s="98"/>
      <c r="S56" s="98" t="str">
        <f>IFERROR(__xludf.DUMMYFUNCTION("""COMPUTED_VALUE"""),"myt_minpaing.oo")</f>
        <v>myt_minpaing.oo</v>
      </c>
      <c r="T56" s="98" t="str">
        <f>IFERROR(__xludf.DUMMYFUNCTION("""COMPUTED_VALUE"""),"TNI0005")</f>
        <v>TNI0005</v>
      </c>
      <c r="W56" s="98" t="str">
        <f>IFERROR(__xludf.DUMMYFUNCTION("""COMPUTED_VALUE"""),"TNI0316")</f>
        <v>TNI0316</v>
      </c>
      <c r="X56" s="98" t="str">
        <f>IFERROR(__xludf.DUMMYFUNCTION("""COMPUTED_VALUE"""),"Team 01")</f>
        <v>Team 01</v>
      </c>
    </row>
    <row r="57">
      <c r="A57" s="422">
        <f>IFERROR(__xludf.DUMMYFUNCTION("""COMPUTED_VALUE"""),55.0)</f>
        <v>55</v>
      </c>
      <c r="B57" s="422" t="str">
        <f>IFERROR(__xludf.DUMMYFUNCTION("""COMPUTED_VALUE"""),"Asset")</f>
        <v>Asset</v>
      </c>
      <c r="C57" s="422" t="str">
        <f>IFERROR(__xludf.DUMMYFUNCTION("""COMPUTED_VALUE"""),"Team 02")</f>
        <v>Team 02</v>
      </c>
      <c r="D57" s="422" t="str">
        <f>IFERROR(__xludf.DUMMYFUNCTION("""COMPUTED_VALUE"""),"Return to send Branch Office")</f>
        <v>Return to send Branch Office</v>
      </c>
      <c r="E57" s="422" t="str">
        <f>IFERROR(__xludf.DUMMYFUNCTION("""COMPUTED_VALUE"""),"TNI0007 Recall PU : 1 Pcs Serial: 219561075269")</f>
        <v>TNI0007 Recall PU : 1 Pcs Serial: 219561075269</v>
      </c>
      <c r="F57" s="424">
        <f>IFERROR(__xludf.DUMMYFUNCTION("""COMPUTED_VALUE"""),46035.0)</f>
        <v>46035</v>
      </c>
      <c r="G57" s="424">
        <f>IFERROR(__xludf.DUMMYFUNCTION("""COMPUTED_VALUE"""),46042.0)</f>
        <v>46042</v>
      </c>
      <c r="H57" s="422"/>
      <c r="I57" s="422"/>
      <c r="J57" s="422"/>
      <c r="K57" s="422"/>
      <c r="L57" s="422"/>
      <c r="M57" s="422"/>
      <c r="N57" s="422"/>
      <c r="O57" s="422">
        <f>IFERROR(__xludf.DUMMYFUNCTION("""COMPUTED_VALUE"""),0.0)</f>
        <v>0</v>
      </c>
      <c r="P57" s="422"/>
      <c r="Q57" s="422"/>
      <c r="R57" s="98"/>
      <c r="S57" s="98" t="str">
        <f>IFERROR(__xludf.DUMMYFUNCTION("""COMPUTED_VALUE"""),"myt_minpaing.oo")</f>
        <v>myt_minpaing.oo</v>
      </c>
      <c r="T57" s="98" t="str">
        <f>IFERROR(__xludf.DUMMYFUNCTION("""COMPUTED_VALUE"""),"TNI0007")</f>
        <v>TNI0007</v>
      </c>
      <c r="W57" s="98" t="str">
        <f>IFERROR(__xludf.DUMMYFUNCTION("""COMPUTED_VALUE"""),"TNI0328")</f>
        <v>TNI0328</v>
      </c>
      <c r="X57" s="98" t="str">
        <f>IFERROR(__xludf.DUMMYFUNCTION("""COMPUTED_VALUE"""),"Team 01")</f>
        <v>Team 01</v>
      </c>
    </row>
    <row r="58">
      <c r="A58" s="422">
        <f>IFERROR(__xludf.DUMMYFUNCTION("""COMPUTED_VALUE"""),56.0)</f>
        <v>56</v>
      </c>
      <c r="B58" s="422" t="str">
        <f>IFERROR(__xludf.DUMMYFUNCTION("""COMPUTED_VALUE"""),"Asset")</f>
        <v>Asset</v>
      </c>
      <c r="C58" s="422" t="str">
        <f>IFERROR(__xludf.DUMMYFUNCTION("""COMPUTED_VALUE"""),"Team 02")</f>
        <v>Team 02</v>
      </c>
      <c r="D58" s="422" t="str">
        <f>IFERROR(__xludf.DUMMYFUNCTION("""COMPUTED_VALUE"""),"Return to send Branch Office")</f>
        <v>Return to send Branch Office</v>
      </c>
      <c r="E58" s="422" t="str">
        <f>IFERROR(__xludf.DUMMYFUNCTION("""COMPUTED_VALUE"""),"TNI0270 Recall PU : 1 Pcs Serial: 219561075454")</f>
        <v>TNI0270 Recall PU : 1 Pcs Serial: 219561075454</v>
      </c>
      <c r="F58" s="424">
        <f>IFERROR(__xludf.DUMMYFUNCTION("""COMPUTED_VALUE"""),46035.0)</f>
        <v>46035</v>
      </c>
      <c r="G58" s="424">
        <f>IFERROR(__xludf.DUMMYFUNCTION("""COMPUTED_VALUE"""),46042.0)</f>
        <v>46042</v>
      </c>
      <c r="H58" s="422"/>
      <c r="I58" s="422"/>
      <c r="J58" s="422"/>
      <c r="K58" s="422"/>
      <c r="L58" s="422"/>
      <c r="M58" s="422"/>
      <c r="N58" s="422"/>
      <c r="O58" s="422">
        <f>IFERROR(__xludf.DUMMYFUNCTION("""COMPUTED_VALUE"""),0.0)</f>
        <v>0</v>
      </c>
      <c r="P58" s="422"/>
      <c r="Q58" s="422"/>
      <c r="R58" s="98"/>
      <c r="S58" s="98" t="str">
        <f>IFERROR(__xludf.DUMMYFUNCTION("""COMPUTED_VALUE"""),"myt_maung.maung11")</f>
        <v>myt_maung.maung11</v>
      </c>
      <c r="T58" s="98" t="str">
        <f>IFERROR(__xludf.DUMMYFUNCTION("""COMPUTED_VALUE"""),"TNI0270")</f>
        <v>TNI0270</v>
      </c>
      <c r="W58" s="98" t="str">
        <f>IFERROR(__xludf.DUMMYFUNCTION("""COMPUTED_VALUE"""),"TNI0329")</f>
        <v>TNI0329</v>
      </c>
      <c r="X58" s="98" t="str">
        <f>IFERROR(__xludf.DUMMYFUNCTION("""COMPUTED_VALUE"""),"Team 01")</f>
        <v>Team 01</v>
      </c>
    </row>
    <row r="59">
      <c r="A59" s="422">
        <f>IFERROR(__xludf.DUMMYFUNCTION("""COMPUTED_VALUE"""),57.0)</f>
        <v>57</v>
      </c>
      <c r="B59" s="422" t="str">
        <f>IFERROR(__xludf.DUMMYFUNCTION("""COMPUTED_VALUE"""),"Asset")</f>
        <v>Asset</v>
      </c>
      <c r="C59" s="422" t="str">
        <f>IFERROR(__xludf.DUMMYFUNCTION("""COMPUTED_VALUE"""),"Team 03")</f>
        <v>Team 03</v>
      </c>
      <c r="D59" s="422" t="str">
        <f>IFERROR(__xludf.DUMMYFUNCTION("""COMPUTED_VALUE"""),"Inventory Site")</f>
        <v>Inventory Site</v>
      </c>
      <c r="E59" s="422" t="str">
        <f>IFERROR(__xludf.DUMMYFUNCTION("""COMPUTED_VALUE"""),"Team 3 Plan Site need finish week 48 =&gt; : 14,Cable Plan need finish week 48 =&gt; : 21,MW Plan need finish week 48 =&gt; : 0")</f>
        <v>Team 3 Plan Site need finish week 48 =&gt; : 14,Cable Plan need finish week 48 =&gt; : 21,MW Plan need finish week 48 =&gt; : 0</v>
      </c>
      <c r="F59" s="424">
        <f>IFERROR(__xludf.DUMMYFUNCTION("""COMPUTED_VALUE"""),45985.0)</f>
        <v>45985</v>
      </c>
      <c r="G59" s="424">
        <f>IFERROR(__xludf.DUMMYFUNCTION("""COMPUTED_VALUE"""),45991.0)</f>
        <v>45991</v>
      </c>
      <c r="H59" s="422" t="str">
        <f>IFERROR(__xludf.DUMMYFUNCTION("""COMPUTED_VALUE"""),"VCM276675-Pyae Phyo Zaw")</f>
        <v>VCM276675-Pyae Phyo Zaw</v>
      </c>
      <c r="I59" s="425">
        <f>IFERROR(__xludf.DUMMYFUNCTION("""COMPUTED_VALUE"""),45991.0)</f>
        <v>45991</v>
      </c>
      <c r="J59" s="422"/>
      <c r="K59" s="422"/>
      <c r="L59" s="422"/>
      <c r="M59" s="422"/>
      <c r="N59" s="422"/>
      <c r="O59" s="422">
        <f>IFERROR(__xludf.DUMMYFUNCTION("""COMPUTED_VALUE"""),0.0)</f>
        <v>0</v>
      </c>
      <c r="P59" s="422"/>
      <c r="Q59" s="422"/>
      <c r="R59" s="98"/>
      <c r="S59" s="98" t="str">
        <f>IFERROR(__xludf.DUMMYFUNCTION("""COMPUTED_VALUE"""),"-")</f>
        <v>-</v>
      </c>
      <c r="T59" s="98" t="str">
        <f>IFERROR(__xludf.DUMMYFUNCTION("""COMPUTED_VALUE"""),"Team 3 Plan Site need finish week 48 =&gt; : 14,Cable Plan need finish week 48 =&gt; : 21,MW Plan need finish week 48 =&gt; : 0")</f>
        <v>Team 3 Plan Site need finish week 48 =&gt; : 14,Cable Plan need finish week 48 =&gt; : 21,MW Plan need finish week 48 =&gt; : 0</v>
      </c>
      <c r="W59" s="98" t="str">
        <f>IFERROR(__xludf.DUMMYFUNCTION("""COMPUTED_VALUE"""),"TNI0333")</f>
        <v>TNI0333</v>
      </c>
      <c r="X59" s="98" t="str">
        <f>IFERROR(__xludf.DUMMYFUNCTION("""COMPUTED_VALUE"""),"Team 01")</f>
        <v>Team 01</v>
      </c>
    </row>
    <row r="60">
      <c r="A60" s="422">
        <f>IFERROR(__xludf.DUMMYFUNCTION("""COMPUTED_VALUE"""),58.0)</f>
        <v>58</v>
      </c>
      <c r="B60" s="422" t="str">
        <f>IFERROR(__xludf.DUMMYFUNCTION("""COMPUTED_VALUE"""),"Asset")</f>
        <v>Asset</v>
      </c>
      <c r="C60" s="422" t="str">
        <f>IFERROR(__xludf.DUMMYFUNCTION("""COMPUTED_VALUE"""),"Team 03")</f>
        <v>Team 03</v>
      </c>
      <c r="D60" s="422" t="str">
        <f>IFERROR(__xludf.DUMMYFUNCTION("""COMPUTED_VALUE"""),"Inventory Site")</f>
        <v>Inventory Site</v>
      </c>
      <c r="E60" s="422" t="str">
        <f>IFERROR(__xludf.DUMMYFUNCTION("""COMPUTED_VALUE"""),"Team 3 plan need inentory week 48= Site: 14&amp;=&amp; Cable: 21&amp;=&amp; MW: 7")</f>
        <v>Team 3 plan need inentory week 48= Site: 14&amp;=&amp; Cable: 21&amp;=&amp; MW: 7</v>
      </c>
      <c r="F60" s="424">
        <f>IFERROR(__xludf.DUMMYFUNCTION("""COMPUTED_VALUE"""),45988.0)</f>
        <v>45988</v>
      </c>
      <c r="G60" s="424">
        <f>IFERROR(__xludf.DUMMYFUNCTION("""COMPUTED_VALUE"""),45996.0)</f>
        <v>45996</v>
      </c>
      <c r="H60" s="422" t="str">
        <f>IFERROR(__xludf.DUMMYFUNCTION("""COMPUTED_VALUE"""),"VCM276675-Pyae Phyo Zaw, VCM816540-Myint Ko Ko Aung, VCM289635-Si Thu Htun, VCM852892-Tin Naing Lin")</f>
        <v>VCM276675-Pyae Phyo Zaw, VCM816540-Myint Ko Ko Aung, VCM289635-Si Thu Htun, VCM852892-Tin Naing Lin</v>
      </c>
      <c r="I60" s="425">
        <f>IFERROR(__xludf.DUMMYFUNCTION("""COMPUTED_VALUE"""),46022.0)</f>
        <v>46022</v>
      </c>
      <c r="J60" s="424">
        <f>IFERROR(__xludf.DUMMYFUNCTION("""COMPUTED_VALUE"""),46022.0)</f>
        <v>46022</v>
      </c>
      <c r="K60" s="422"/>
      <c r="L60" s="422"/>
      <c r="M60" s="422"/>
      <c r="N60" s="422"/>
      <c r="O60" s="422">
        <f>IFERROR(__xludf.DUMMYFUNCTION("""COMPUTED_VALUE"""),0.0)</f>
        <v>0</v>
      </c>
      <c r="P60" s="422"/>
      <c r="Q60" s="422"/>
      <c r="R60" s="98"/>
      <c r="S60" s="98" t="str">
        <f>IFERROR(__xludf.DUMMYFUNCTION("""COMPUTED_VALUE"""),"-")</f>
        <v>-</v>
      </c>
      <c r="T60" s="98" t="str">
        <f>IFERROR(__xludf.DUMMYFUNCTION("""COMPUTED_VALUE"""),"Team 3 plan need inentory week 48= Site: 14&amp;=&amp; Cable: 21&amp;=&amp; MW: 7")</f>
        <v>Team 3 plan need inentory week 48= Site: 14&amp;=&amp; Cable: 21&amp;=&amp; MW: 7</v>
      </c>
      <c r="W60" s="98" t="str">
        <f>IFERROR(__xludf.DUMMYFUNCTION("""COMPUTED_VALUE"""),"TNI0334")</f>
        <v>TNI0334</v>
      </c>
      <c r="X60" s="98" t="str">
        <f>IFERROR(__xludf.DUMMYFUNCTION("""COMPUTED_VALUE"""),"Team 01")</f>
        <v>Team 01</v>
      </c>
    </row>
    <row r="61">
      <c r="A61" s="422">
        <f>IFERROR(__xludf.DUMMYFUNCTION("""COMPUTED_VALUE"""),59.0)</f>
        <v>59</v>
      </c>
      <c r="B61" s="422" t="str">
        <f>IFERROR(__xludf.DUMMYFUNCTION("""COMPUTED_VALUE"""),"Asset")</f>
        <v>Asset</v>
      </c>
      <c r="C61" s="422" t="str">
        <f>IFERROR(__xludf.DUMMYFUNCTION("""COMPUTED_VALUE"""),"Team 03")</f>
        <v>Team 03</v>
      </c>
      <c r="D61" s="422" t="str">
        <f>IFERROR(__xludf.DUMMYFUNCTION("""COMPUTED_VALUE"""),"Inventory Team")</f>
        <v>Inventory Team</v>
      </c>
      <c r="E61" s="422" t="str">
        <f>IFERROR(__xludf.DUMMYFUNCTION("""COMPUTED_VALUE"""),"Inventory NOC-ROT-TOOL VCM-MYTEL Team 3")</f>
        <v>Inventory NOC-ROT-TOOL VCM-MYTEL Team 3</v>
      </c>
      <c r="F61" s="424">
        <f>IFERROR(__xludf.DUMMYFUNCTION("""COMPUTED_VALUE"""),45959.0)</f>
        <v>45959</v>
      </c>
      <c r="G61" s="424">
        <f>IFERROR(__xludf.DUMMYFUNCTION("""COMPUTED_VALUE"""),45969.0)</f>
        <v>45969</v>
      </c>
      <c r="H61" s="422" t="str">
        <f>IFERROR(__xludf.DUMMYFUNCTION("""COMPUTED_VALUE"""),"VCM276675-Pyae Phyo Zaw")</f>
        <v>VCM276675-Pyae Phyo Zaw</v>
      </c>
      <c r="I61" s="425">
        <f>IFERROR(__xludf.DUMMYFUNCTION("""COMPUTED_VALUE"""),45975.0)</f>
        <v>45975</v>
      </c>
      <c r="J61" s="424">
        <f>IFERROR(__xludf.DUMMYFUNCTION("""COMPUTED_VALUE"""),45991.0)</f>
        <v>45991</v>
      </c>
      <c r="K61" s="422"/>
      <c r="L61" s="422"/>
      <c r="M61" s="422"/>
      <c r="N61" s="422"/>
      <c r="O61" s="422">
        <f>IFERROR(__xludf.DUMMYFUNCTION("""COMPUTED_VALUE"""),0.0)</f>
        <v>0</v>
      </c>
      <c r="P61" s="422"/>
      <c r="Q61" s="422"/>
      <c r="R61" s="98"/>
      <c r="S61" s="98" t="str">
        <f>IFERROR(__xludf.DUMMYFUNCTION("""COMPUTED_VALUE"""),"-")</f>
        <v>-</v>
      </c>
      <c r="T61" s="98" t="str">
        <f>IFERROR(__xludf.DUMMYFUNCTION("""COMPUTED_VALUE"""),"Inventory NOC-ROT-TOOL VCM-MYTEL Team 3")</f>
        <v>Inventory NOC-ROT-TOOL VCM-MYTEL Team 3</v>
      </c>
      <c r="W61" s="98" t="str">
        <f>IFERROR(__xludf.DUMMYFUNCTION("""COMPUTED_VALUE"""),"TNI0335")</f>
        <v>TNI0335</v>
      </c>
      <c r="X61" s="98" t="str">
        <f>IFERROR(__xludf.DUMMYFUNCTION("""COMPUTED_VALUE"""),"Team 01")</f>
        <v>Team 01</v>
      </c>
    </row>
    <row r="62">
      <c r="A62" s="422">
        <f>IFERROR(__xludf.DUMMYFUNCTION("""COMPUTED_VALUE"""),60.0)</f>
        <v>60</v>
      </c>
      <c r="B62" s="422" t="str">
        <f>IFERROR(__xludf.DUMMYFUNCTION("""COMPUTED_VALUE"""),"Asset")</f>
        <v>Asset</v>
      </c>
      <c r="C62" s="422" t="str">
        <f>IFERROR(__xludf.DUMMYFUNCTION("""COMPUTED_VALUE"""),"Team 03")</f>
        <v>Team 03</v>
      </c>
      <c r="D62" s="422" t="str">
        <f>IFERROR(__xludf.DUMMYFUNCTION("""COMPUTED_VALUE"""),"Materials use in station &amp; WO close ")</f>
        <v>Materials use in station &amp; WO close </v>
      </c>
      <c r="E62" s="422" t="str">
        <f>IFERROR(__xludf.DUMMYFUNCTION("""COMPUTED_VALUE"""),"WO_WFM-OTHERS_20260503_123175308")</f>
        <v>WO_WFM-OTHERS_20260503_123175308</v>
      </c>
      <c r="F62" s="424">
        <f>IFERROR(__xludf.DUMMYFUNCTION("""COMPUTED_VALUE"""),46115.0)</f>
        <v>46115</v>
      </c>
      <c r="G62" s="424">
        <f>IFERROR(__xludf.DUMMYFUNCTION("""COMPUTED_VALUE"""),46120.0)</f>
        <v>46120</v>
      </c>
      <c r="H62" s="422" t="str">
        <f>IFERROR(__xludf.DUMMYFUNCTION("""COMPUTED_VALUE"""),"VCM276675-Pyae Phyo Zaw")</f>
        <v>VCM276675-Pyae Phyo Zaw</v>
      </c>
      <c r="I62" s="422"/>
      <c r="J62" s="422"/>
      <c r="K62" s="422"/>
      <c r="L62" s="422"/>
      <c r="M62" s="422"/>
      <c r="N62" s="422"/>
      <c r="O62" s="422">
        <f>IFERROR(__xludf.DUMMYFUNCTION("""COMPUTED_VALUE"""),0.0)</f>
        <v>0</v>
      </c>
      <c r="P62" s="422"/>
      <c r="Q62" s="422"/>
      <c r="R62" s="98"/>
      <c r="S62" s="98" t="str">
        <f>IFERROR(__xludf.DUMMYFUNCTION("""COMPUTED_VALUE"""),"-")</f>
        <v>-</v>
      </c>
      <c r="T62" s="98" t="str">
        <f>IFERROR(__xludf.DUMMYFUNCTION("""COMPUTED_VALUE"""),"WO_WFM-OTHERS_20260503_123175308")</f>
        <v>WO_WFM-OTHERS_20260503_123175308</v>
      </c>
      <c r="W62" s="98" t="str">
        <f>IFERROR(__xludf.DUMMYFUNCTION("""COMPUTED_VALUE"""),"TNI0356")</f>
        <v>TNI0356</v>
      </c>
      <c r="X62" s="98" t="str">
        <f>IFERROR(__xludf.DUMMYFUNCTION("""COMPUTED_VALUE"""),"Team 01")</f>
        <v>Team 01</v>
      </c>
    </row>
    <row r="63">
      <c r="A63" s="422">
        <f>IFERROR(__xludf.DUMMYFUNCTION("""COMPUTED_VALUE"""),61.0)</f>
        <v>61</v>
      </c>
      <c r="B63" s="422" t="str">
        <f>IFERROR(__xludf.DUMMYFUNCTION("""COMPUTED_VALUE"""),"Asset")</f>
        <v>Asset</v>
      </c>
      <c r="C63" s="422" t="str">
        <f>IFERROR(__xludf.DUMMYFUNCTION("""COMPUTED_VALUE"""),"Team 03")</f>
        <v>Team 03</v>
      </c>
      <c r="D63" s="422" t="str">
        <f>IFERROR(__xludf.DUMMYFUNCTION("""COMPUTED_VALUE"""),"Recall from site broken materials ")</f>
        <v>Recall from site broken materials </v>
      </c>
      <c r="E63" s="422" t="str">
        <f>IFERROR(__xludf.DUMMYFUNCTION("""COMPUTED_VALUE"""),"Broken PU at TNI0105 Need to recall from site in system &amp; physically ")</f>
        <v>Broken PU at TNI0105 Need to recall from site in system &amp; physically </v>
      </c>
      <c r="F63" s="424">
        <f>IFERROR(__xludf.DUMMYFUNCTION("""COMPUTED_VALUE"""),46133.0)</f>
        <v>46133</v>
      </c>
      <c r="G63" s="424">
        <f>IFERROR(__xludf.DUMMYFUNCTION("""COMPUTED_VALUE"""),46140.0)</f>
        <v>46140</v>
      </c>
      <c r="H63" s="422" t="str">
        <f>IFERROR(__xludf.DUMMYFUNCTION("""COMPUTED_VALUE"""),"VCM276675-Pyae Phyo Zaw")</f>
        <v>VCM276675-Pyae Phyo Zaw</v>
      </c>
      <c r="I63" s="422"/>
      <c r="J63" s="422"/>
      <c r="K63" s="422"/>
      <c r="L63" s="422"/>
      <c r="M63" s="422"/>
      <c r="N63" s="422"/>
      <c r="O63" s="422">
        <f>IFERROR(__xludf.DUMMYFUNCTION("""COMPUTED_VALUE"""),0.0)</f>
        <v>0</v>
      </c>
      <c r="P63" s="422"/>
      <c r="Q63" s="422"/>
      <c r="R63" s="98"/>
      <c r="S63" s="98" t="str">
        <f>IFERROR(__xludf.DUMMYFUNCTION("""COMPUTED_VALUE"""),"myt_tinnaing.lin11")</f>
        <v>myt_tinnaing.lin11</v>
      </c>
      <c r="T63" s="98" t="str">
        <f>IFERROR(__xludf.DUMMYFUNCTION("""COMPUTED_VALUE"""),"TNI0105")</f>
        <v>TNI0105</v>
      </c>
      <c r="W63" s="98" t="str">
        <f>IFERROR(__xludf.DUMMYFUNCTION("""COMPUTED_VALUE"""),"TNI0360")</f>
        <v>TNI0360</v>
      </c>
      <c r="X63" s="98" t="str">
        <f>IFERROR(__xludf.DUMMYFUNCTION("""COMPUTED_VALUE"""),"Team 01")</f>
        <v>Team 01</v>
      </c>
    </row>
    <row r="64">
      <c r="A64" s="422">
        <f>IFERROR(__xludf.DUMMYFUNCTION("""COMPUTED_VALUE"""),62.0)</f>
        <v>62</v>
      </c>
      <c r="B64" s="422" t="str">
        <f>IFERROR(__xludf.DUMMYFUNCTION("""COMPUTED_VALUE"""),"Asset")</f>
        <v>Asset</v>
      </c>
      <c r="C64" s="422" t="str">
        <f>IFERROR(__xludf.DUMMYFUNCTION("""COMPUTED_VALUE"""),"Team 03")</f>
        <v>Team 03</v>
      </c>
      <c r="D64" s="422" t="str">
        <f>IFERROR(__xludf.DUMMYFUNCTION("""COMPUTED_VALUE"""),"Recall to Mytel ")</f>
        <v>Recall to Mytel </v>
      </c>
      <c r="E64" s="422" t="str">
        <f>IFERROR(__xludf.DUMMYFUNCTION("""COMPUTED_VALUE"""),"Team 3 Recall materials to mytel 10/2025")</f>
        <v>Team 3 Recall materials to mytel 10/2025</v>
      </c>
      <c r="F64" s="424">
        <f>IFERROR(__xludf.DUMMYFUNCTION("""COMPUTED_VALUE"""),45960.0)</f>
        <v>45960</v>
      </c>
      <c r="G64" s="424">
        <f>IFERROR(__xludf.DUMMYFUNCTION("""COMPUTED_VALUE"""),45969.0)</f>
        <v>45969</v>
      </c>
      <c r="H64" s="422" t="str">
        <f>IFERROR(__xludf.DUMMYFUNCTION("""COMPUTED_VALUE"""),"VCM276675-Pyae Phyo Zaw")</f>
        <v>VCM276675-Pyae Phyo Zaw</v>
      </c>
      <c r="I64" s="425">
        <f>IFERROR(__xludf.DUMMYFUNCTION("""COMPUTED_VALUE"""),45975.0)</f>
        <v>45975</v>
      </c>
      <c r="J64" s="422"/>
      <c r="K64" s="422"/>
      <c r="L64" s="422"/>
      <c r="M64" s="422"/>
      <c r="N64" s="422"/>
      <c r="O64" s="422">
        <f>IFERROR(__xludf.DUMMYFUNCTION("""COMPUTED_VALUE"""),0.0)</f>
        <v>0</v>
      </c>
      <c r="P64" s="422"/>
      <c r="Q64" s="422"/>
      <c r="R64" s="98"/>
      <c r="S64" s="98" t="str">
        <f>IFERROR(__xludf.DUMMYFUNCTION("""COMPUTED_VALUE"""),"-")</f>
        <v>-</v>
      </c>
      <c r="T64" s="98" t="str">
        <f>IFERROR(__xludf.DUMMYFUNCTION("""COMPUTED_VALUE"""),"Team 3 Recall materials to mytel 10/2025")</f>
        <v>Team 3 Recall materials to mytel 10/2025</v>
      </c>
      <c r="W64" s="98" t="str">
        <f>IFERROR(__xludf.DUMMYFUNCTION("""COMPUTED_VALUE"""),"TNI0361")</f>
        <v>TNI0361</v>
      </c>
      <c r="X64" s="98" t="str">
        <f>IFERROR(__xludf.DUMMYFUNCTION("""COMPUTED_VALUE"""),"Team 01")</f>
        <v>Team 01</v>
      </c>
    </row>
    <row r="65">
      <c r="A65" s="422">
        <f>IFERROR(__xludf.DUMMYFUNCTION("""COMPUTED_VALUE"""),63.0)</f>
        <v>63</v>
      </c>
      <c r="B65" s="422" t="str">
        <f>IFERROR(__xludf.DUMMYFUNCTION("""COMPUTED_VALUE"""),"Asset")</f>
        <v>Asset</v>
      </c>
      <c r="C65" s="422" t="str">
        <f>IFERROR(__xludf.DUMMYFUNCTION("""COMPUTED_VALUE"""),"Team 03")</f>
        <v>Team 03</v>
      </c>
      <c r="D65" s="422" t="str">
        <f>IFERROR(__xludf.DUMMYFUNCTION("""COMPUTED_VALUE"""),"Return to send Branch Office")</f>
        <v>Return to send Branch Office</v>
      </c>
      <c r="E65" s="422" t="str">
        <f>IFERROR(__xludf.DUMMYFUNCTION("""COMPUTED_VALUE"""),"TNI0004 Recall PU : 2 Pcs Serial: 219561075447, 219561075451")</f>
        <v>TNI0004 Recall PU : 2 Pcs Serial: 219561075447, 219561075451</v>
      </c>
      <c r="F65" s="424">
        <f>IFERROR(__xludf.DUMMYFUNCTION("""COMPUTED_VALUE"""),46035.0)</f>
        <v>46035</v>
      </c>
      <c r="G65" s="424">
        <f>IFERROR(__xludf.DUMMYFUNCTION("""COMPUTED_VALUE"""),46042.0)</f>
        <v>46042</v>
      </c>
      <c r="H65" s="422" t="str">
        <f>IFERROR(__xludf.DUMMYFUNCTION("""COMPUTED_VALUE"""),"VCM816540-Myint Ko Ko Aung")</f>
        <v>VCM816540-Myint Ko Ko Aung</v>
      </c>
      <c r="I65" s="425">
        <f>IFERROR(__xludf.DUMMYFUNCTION("""COMPUTED_VALUE"""),46036.0)</f>
        <v>46036</v>
      </c>
      <c r="J65" s="422"/>
      <c r="K65" s="422"/>
      <c r="L65" s="422"/>
      <c r="M65" s="422"/>
      <c r="N65" s="422"/>
      <c r="O65" s="422">
        <f>IFERROR(__xludf.DUMMYFUNCTION("""COMPUTED_VALUE"""),0.0)</f>
        <v>0</v>
      </c>
      <c r="P65" s="422"/>
      <c r="Q65" s="422"/>
      <c r="R65" s="98"/>
      <c r="S65" s="98" t="str">
        <f>IFERROR(__xludf.DUMMYFUNCTION("""COMPUTED_VALUE"""),"myt_myintkoko.aung")</f>
        <v>myt_myintkoko.aung</v>
      </c>
      <c r="T65" s="98" t="str">
        <f>IFERROR(__xludf.DUMMYFUNCTION("""COMPUTED_VALUE"""),"TNI0004")</f>
        <v>TNI0004</v>
      </c>
      <c r="W65" s="98" t="str">
        <f>IFERROR(__xludf.DUMMYFUNCTION("""COMPUTED_VALUE"""),"TNI0424")</f>
        <v>TNI0424</v>
      </c>
      <c r="X65" s="98" t="str">
        <f>IFERROR(__xludf.DUMMYFUNCTION("""COMPUTED_VALUE"""),"Team 01")</f>
        <v>Team 01</v>
      </c>
    </row>
    <row r="66">
      <c r="A66" s="422">
        <f>IFERROR(__xludf.DUMMYFUNCTION("""COMPUTED_VALUE"""),64.0)</f>
        <v>64</v>
      </c>
      <c r="B66" s="422" t="str">
        <f>IFERROR(__xludf.DUMMYFUNCTION("""COMPUTED_VALUE"""),"Asset")</f>
        <v>Asset</v>
      </c>
      <c r="C66" s="422" t="str">
        <f>IFERROR(__xludf.DUMMYFUNCTION("""COMPUTED_VALUE"""),"Team 03")</f>
        <v>Team 03</v>
      </c>
      <c r="D66" s="422" t="str">
        <f>IFERROR(__xludf.DUMMYFUNCTION("""COMPUTED_VALUE"""),"Return to send Branch Office")</f>
        <v>Return to send Branch Office</v>
      </c>
      <c r="E66" s="422" t="str">
        <f>IFERROR(__xludf.DUMMYFUNCTION("""COMPUTED_VALUE"""),"TNI0008 Recall PU : 1 Pcs Serial: 219561075253")</f>
        <v>TNI0008 Recall PU : 1 Pcs Serial: 219561075253</v>
      </c>
      <c r="F66" s="424">
        <f>IFERROR(__xludf.DUMMYFUNCTION("""COMPUTED_VALUE"""),46035.0)</f>
        <v>46035</v>
      </c>
      <c r="G66" s="424">
        <f>IFERROR(__xludf.DUMMYFUNCTION("""COMPUTED_VALUE"""),46042.0)</f>
        <v>46042</v>
      </c>
      <c r="H66" s="422" t="str">
        <f>IFERROR(__xludf.DUMMYFUNCTION("""COMPUTED_VALUE"""),"VCM289635-Si Thu Htun")</f>
        <v>VCM289635-Si Thu Htun</v>
      </c>
      <c r="I66" s="425">
        <f>IFERROR(__xludf.DUMMYFUNCTION("""COMPUTED_VALUE"""),46036.0)</f>
        <v>46036</v>
      </c>
      <c r="J66" s="422"/>
      <c r="K66" s="422"/>
      <c r="L66" s="422"/>
      <c r="M66" s="422"/>
      <c r="N66" s="422"/>
      <c r="O66" s="422">
        <f>IFERROR(__xludf.DUMMYFUNCTION("""COMPUTED_VALUE"""),0.0)</f>
        <v>0</v>
      </c>
      <c r="P66" s="422"/>
      <c r="Q66" s="422"/>
      <c r="R66" s="98"/>
      <c r="S66" s="98" t="str">
        <f>IFERROR(__xludf.DUMMYFUNCTION("""COMPUTED_VALUE"""),"myt_tinnaing.lin11")</f>
        <v>myt_tinnaing.lin11</v>
      </c>
      <c r="T66" s="98" t="str">
        <f>IFERROR(__xludf.DUMMYFUNCTION("""COMPUTED_VALUE"""),"TNI0008")</f>
        <v>TNI0008</v>
      </c>
      <c r="W66" s="98" t="str">
        <f>IFERROR(__xludf.DUMMYFUNCTION("""COMPUTED_VALUE"""),"TNI0426")</f>
        <v>TNI0426</v>
      </c>
      <c r="X66" s="98" t="str">
        <f>IFERROR(__xludf.DUMMYFUNCTION("""COMPUTED_VALUE"""),"Team 01")</f>
        <v>Team 01</v>
      </c>
    </row>
    <row r="67">
      <c r="A67" s="422">
        <f>IFERROR(__xludf.DUMMYFUNCTION("""COMPUTED_VALUE"""),65.0)</f>
        <v>65</v>
      </c>
      <c r="B67" s="422" t="str">
        <f>IFERROR(__xludf.DUMMYFUNCTION("""COMPUTED_VALUE"""),"Asset")</f>
        <v>Asset</v>
      </c>
      <c r="C67" s="422" t="str">
        <f>IFERROR(__xludf.DUMMYFUNCTION("""COMPUTED_VALUE"""),"Team 03")</f>
        <v>Team 03</v>
      </c>
      <c r="D67" s="422" t="str">
        <f>IFERROR(__xludf.DUMMYFUNCTION("""COMPUTED_VALUE"""),"Return to send Branch Office")</f>
        <v>Return to send Branch Office</v>
      </c>
      <c r="E67" s="422" t="str">
        <f>IFERROR(__xludf.DUMMYFUNCTION("""COMPUTED_VALUE"""),"TNI0015 Recall PU : 1 Pcs Serial: 219559879293")</f>
        <v>TNI0015 Recall PU : 1 Pcs Serial: 219559879293</v>
      </c>
      <c r="F67" s="424">
        <f>IFERROR(__xludf.DUMMYFUNCTION("""COMPUTED_VALUE"""),46035.0)</f>
        <v>46035</v>
      </c>
      <c r="G67" s="424">
        <f>IFERROR(__xludf.DUMMYFUNCTION("""COMPUTED_VALUE"""),46042.0)</f>
        <v>46042</v>
      </c>
      <c r="H67" s="422"/>
      <c r="I67" s="422"/>
      <c r="J67" s="422"/>
      <c r="K67" s="422"/>
      <c r="L67" s="422"/>
      <c r="M67" s="422"/>
      <c r="N67" s="422"/>
      <c r="O67" s="422">
        <f>IFERROR(__xludf.DUMMYFUNCTION("""COMPUTED_VALUE"""),0.0)</f>
        <v>0</v>
      </c>
      <c r="P67" s="422"/>
      <c r="Q67" s="422"/>
      <c r="R67" s="98"/>
      <c r="S67" s="98" t="str">
        <f>IFERROR(__xludf.DUMMYFUNCTION("""COMPUTED_VALUE"""),"myt_tinmaung.win")</f>
        <v>myt_tinmaung.win</v>
      </c>
      <c r="T67" s="98" t="str">
        <f>IFERROR(__xludf.DUMMYFUNCTION("""COMPUTED_VALUE"""),"TNI0015")</f>
        <v>TNI0015</v>
      </c>
      <c r="W67" s="98" t="str">
        <f>IFERROR(__xludf.DUMMYFUNCTION("""COMPUTED_VALUE"""),"TNI0187")</f>
        <v>TNI0187</v>
      </c>
      <c r="X67" s="98" t="str">
        <f>IFERROR(__xludf.DUMMYFUNCTION("""COMPUTED_VALUE"""),"Team 01")</f>
        <v>Team 01</v>
      </c>
    </row>
    <row r="68">
      <c r="A68" s="422">
        <f>IFERROR(__xludf.DUMMYFUNCTION("""COMPUTED_VALUE"""),66.0)</f>
        <v>66</v>
      </c>
      <c r="B68" s="422" t="str">
        <f>IFERROR(__xludf.DUMMYFUNCTION("""COMPUTED_VALUE"""),"Asset")</f>
        <v>Asset</v>
      </c>
      <c r="C68" s="422" t="str">
        <f>IFERROR(__xludf.DUMMYFUNCTION("""COMPUTED_VALUE"""),"Team 03")</f>
        <v>Team 03</v>
      </c>
      <c r="D68" s="422" t="str">
        <f>IFERROR(__xludf.DUMMYFUNCTION("""COMPUTED_VALUE"""),"Return to send Branch Office")</f>
        <v>Return to send Branch Office</v>
      </c>
      <c r="E68" s="422" t="str">
        <f>IFERROR(__xludf.DUMMYFUNCTION("""COMPUTED_VALUE"""),"TNI0118 Recall PU : 1 Pcs Serial: 219561075245")</f>
        <v>TNI0118 Recall PU : 1 Pcs Serial: 219561075245</v>
      </c>
      <c r="F68" s="424">
        <f>IFERROR(__xludf.DUMMYFUNCTION("""COMPUTED_VALUE"""),46035.0)</f>
        <v>46035</v>
      </c>
      <c r="G68" s="424">
        <f>IFERROR(__xludf.DUMMYFUNCTION("""COMPUTED_VALUE"""),46042.0)</f>
        <v>46042</v>
      </c>
      <c r="H68" s="422" t="str">
        <f>IFERROR(__xludf.DUMMYFUNCTION("""COMPUTED_VALUE"""),"VCM289635-Si Thu Htun")</f>
        <v>VCM289635-Si Thu Htun</v>
      </c>
      <c r="I68" s="422"/>
      <c r="J68" s="422"/>
      <c r="K68" s="422"/>
      <c r="L68" s="422"/>
      <c r="M68" s="422"/>
      <c r="N68" s="422"/>
      <c r="O68" s="422">
        <f>IFERROR(__xludf.DUMMYFUNCTION("""COMPUTED_VALUE"""),0.0)</f>
        <v>0</v>
      </c>
      <c r="P68" s="422"/>
      <c r="Q68" s="422"/>
      <c r="R68" s="98"/>
      <c r="S68" s="98" t="str">
        <f>IFERROR(__xludf.DUMMYFUNCTION("""COMPUTED_VALUE"""),"myt_tinnaing.lin11")</f>
        <v>myt_tinnaing.lin11</v>
      </c>
      <c r="T68" s="98" t="str">
        <f>IFERROR(__xludf.DUMMYFUNCTION("""COMPUTED_VALUE"""),"TNI0118")</f>
        <v>TNI0118</v>
      </c>
      <c r="W68" s="98" t="str">
        <f>IFERROR(__xludf.DUMMYFUNCTION("""COMPUTED_VALUE"""),"TNI0197")</f>
        <v>TNI0197</v>
      </c>
      <c r="X68" s="98" t="str">
        <f>IFERROR(__xludf.DUMMYFUNCTION("""COMPUTED_VALUE"""),"Team 01")</f>
        <v>Team 01</v>
      </c>
    </row>
    <row r="69">
      <c r="A69" s="422">
        <f>IFERROR(__xludf.DUMMYFUNCTION("""COMPUTED_VALUE"""),67.0)</f>
        <v>67</v>
      </c>
      <c r="B69" s="422" t="str">
        <f>IFERROR(__xludf.DUMMYFUNCTION("""COMPUTED_VALUE"""),"Asset")</f>
        <v>Asset</v>
      </c>
      <c r="C69" s="422" t="str">
        <f>IFERROR(__xludf.DUMMYFUNCTION("""COMPUTED_VALUE"""),"Team 03")</f>
        <v>Team 03</v>
      </c>
      <c r="D69" s="422" t="str">
        <f>IFERROR(__xludf.DUMMYFUNCTION("""COMPUTED_VALUE"""),"Return to send Branch Office")</f>
        <v>Return to send Branch Office</v>
      </c>
      <c r="E69" s="422" t="str">
        <f>IFERROR(__xludf.DUMMYFUNCTION("""COMPUTED_VALUE"""),"Broken PU from TNI0105 return send to Branch office. ")</f>
        <v>Broken PU from TNI0105 return send to Branch office. </v>
      </c>
      <c r="F69" s="424">
        <f>IFERROR(__xludf.DUMMYFUNCTION("""COMPUTED_VALUE"""),46133.0)</f>
        <v>46133</v>
      </c>
      <c r="G69" s="424">
        <f>IFERROR(__xludf.DUMMYFUNCTION("""COMPUTED_VALUE"""),46140.0)</f>
        <v>46140</v>
      </c>
      <c r="H69" s="422" t="str">
        <f>IFERROR(__xludf.DUMMYFUNCTION("""COMPUTED_VALUE"""),"VCM276675-Pyae Phyo Zaw")</f>
        <v>VCM276675-Pyae Phyo Zaw</v>
      </c>
      <c r="I69" s="422"/>
      <c r="J69" s="422"/>
      <c r="K69" s="422"/>
      <c r="L69" s="422"/>
      <c r="M69" s="422"/>
      <c r="N69" s="422"/>
      <c r="O69" s="422">
        <f>IFERROR(__xludf.DUMMYFUNCTION("""COMPUTED_VALUE"""),0.0)</f>
        <v>0</v>
      </c>
      <c r="P69" s="422"/>
      <c r="Q69" s="422"/>
      <c r="R69" s="98"/>
      <c r="S69" s="98" t="str">
        <f>IFERROR(__xludf.DUMMYFUNCTION("""COMPUTED_VALUE"""),"myt_tinnaing.lin11")</f>
        <v>myt_tinnaing.lin11</v>
      </c>
      <c r="T69" s="98" t="str">
        <f>IFERROR(__xludf.DUMMYFUNCTION("""COMPUTED_VALUE"""),"TNI0105")</f>
        <v>TNI0105</v>
      </c>
      <c r="W69" s="98" t="str">
        <f>IFERROR(__xludf.DUMMYFUNCTION("""COMPUTED_VALUE"""),"TNI0210")</f>
        <v>TNI0210</v>
      </c>
      <c r="X69" s="98" t="str">
        <f>IFERROR(__xludf.DUMMYFUNCTION("""COMPUTED_VALUE"""),"Team 01")</f>
        <v>Team 01</v>
      </c>
    </row>
    <row r="70">
      <c r="A70" s="422">
        <f>IFERROR(__xludf.DUMMYFUNCTION("""COMPUTED_VALUE"""),68.0)</f>
        <v>68</v>
      </c>
      <c r="B70" s="422" t="str">
        <f>IFERROR(__xludf.DUMMYFUNCTION("""COMPUTED_VALUE"""),"Asset")</f>
        <v>Asset</v>
      </c>
      <c r="C70" s="422" t="str">
        <f>IFERROR(__xludf.DUMMYFUNCTION("""COMPUTED_VALUE"""),"Team 03")</f>
        <v>Team 03</v>
      </c>
      <c r="D70" s="422" t="str">
        <f>IFERROR(__xludf.DUMMYFUNCTION("""COMPUTED_VALUE"""),"Take photo Serial and asset")</f>
        <v>Take photo Serial and asset</v>
      </c>
      <c r="E70" s="422" t="str">
        <f>IFERROR(__xludf.DUMMYFUNCTION("""COMPUTED_VALUE"""),"Broken PU at TNI0105 Need to recall from site physically and take photo Sn numbers &amp; share to me ")</f>
        <v>Broken PU at TNI0105 Need to recall from site physically and take photo Sn numbers &amp; share to me </v>
      </c>
      <c r="F70" s="424">
        <f>IFERROR(__xludf.DUMMYFUNCTION("""COMPUTED_VALUE"""),46133.0)</f>
        <v>46133</v>
      </c>
      <c r="G70" s="424">
        <f>IFERROR(__xludf.DUMMYFUNCTION("""COMPUTED_VALUE"""),46140.0)</f>
        <v>46140</v>
      </c>
      <c r="H70" s="422" t="str">
        <f>IFERROR(__xludf.DUMMYFUNCTION("""COMPUTED_VALUE"""),"VCM276675-Pyae Phyo Zaw")</f>
        <v>VCM276675-Pyae Phyo Zaw</v>
      </c>
      <c r="I70" s="422"/>
      <c r="J70" s="422"/>
      <c r="K70" s="422"/>
      <c r="L70" s="422"/>
      <c r="M70" s="422"/>
      <c r="N70" s="422"/>
      <c r="O70" s="422">
        <f>IFERROR(__xludf.DUMMYFUNCTION("""COMPUTED_VALUE"""),0.0)</f>
        <v>0</v>
      </c>
      <c r="P70" s="422"/>
      <c r="Q70" s="422"/>
      <c r="R70" s="98"/>
      <c r="S70" s="98" t="str">
        <f>IFERROR(__xludf.DUMMYFUNCTION("""COMPUTED_VALUE"""),"myt_tinnaing.lin11")</f>
        <v>myt_tinnaing.lin11</v>
      </c>
      <c r="T70" s="98" t="str">
        <f>IFERROR(__xludf.DUMMYFUNCTION("""COMPUTED_VALUE"""),"TNI0105")</f>
        <v>TNI0105</v>
      </c>
      <c r="W70" s="98" t="str">
        <f>IFERROR(__xludf.DUMMYFUNCTION("""COMPUTED_VALUE"""),"TNI0219")</f>
        <v>TNI0219</v>
      </c>
      <c r="X70" s="98" t="str">
        <f>IFERROR(__xludf.DUMMYFUNCTION("""COMPUTED_VALUE"""),"Team 01")</f>
        <v>Team 01</v>
      </c>
    </row>
    <row r="71">
      <c r="A71" s="422">
        <f>IFERROR(__xludf.DUMMYFUNCTION("""COMPUTED_VALUE"""),69.0)</f>
        <v>69</v>
      </c>
      <c r="B71" s="422" t="str">
        <f>IFERROR(__xludf.DUMMYFUNCTION("""COMPUTED_VALUE"""),"Asset")</f>
        <v>Asset</v>
      </c>
      <c r="C71" s="422" t="str">
        <f>IFERROR(__xludf.DUMMYFUNCTION("""COMPUTED_VALUE"""),"Team 03")</f>
        <v>Team 03</v>
      </c>
      <c r="D71" s="422" t="str">
        <f>IFERROR(__xludf.DUMMYFUNCTION("""COMPUTED_VALUE"""),"Take photo Serial,asset &amp;: received feedback ")</f>
        <v>Take photo Serial,asset &amp;: received feedback </v>
      </c>
      <c r="E71" s="422" t="str">
        <f>IFERROR(__xludf.DUMMYFUNCTION("""COMPUTED_VALUE"""),"Export new pu_2pcs from VCM BRANCH OFFICE, when u received ")</f>
        <v>Export new pu_2pcs from VCM BRANCH OFFICE, when u received </v>
      </c>
      <c r="F71" s="424">
        <f>IFERROR(__xludf.DUMMYFUNCTION("""COMPUTED_VALUE"""),46133.0)</f>
        <v>46133</v>
      </c>
      <c r="G71" s="424">
        <f>IFERROR(__xludf.DUMMYFUNCTION("""COMPUTED_VALUE"""),46140.0)</f>
        <v>46140</v>
      </c>
      <c r="H71" s="422" t="str">
        <f>IFERROR(__xludf.DUMMYFUNCTION("""COMPUTED_VALUE"""),"VCM276675-Pyae Phyo Zaw")</f>
        <v>VCM276675-Pyae Phyo Zaw</v>
      </c>
      <c r="I71" s="422"/>
      <c r="J71" s="422"/>
      <c r="K71" s="422"/>
      <c r="L71" s="422"/>
      <c r="M71" s="422"/>
      <c r="N71" s="422"/>
      <c r="O71" s="422">
        <f>IFERROR(__xludf.DUMMYFUNCTION("""COMPUTED_VALUE"""),0.0)</f>
        <v>0</v>
      </c>
      <c r="P71" s="422"/>
      <c r="Q71" s="422"/>
      <c r="R71" s="98"/>
      <c r="S71" s="98" t="str">
        <f>IFERROR(__xludf.DUMMYFUNCTION("""COMPUTED_VALUE"""),"-")</f>
        <v>-</v>
      </c>
      <c r="T71" s="98" t="str">
        <f>IFERROR(__xludf.DUMMYFUNCTION("""COMPUTED_VALUE"""),"Export new pu_2pcs from VCM BRANCH OFFICE, when u received ")</f>
        <v>Export new pu_2pcs from VCM BRANCH OFFICE, when u received </v>
      </c>
      <c r="W71" s="98" t="str">
        <f>IFERROR(__xludf.DUMMYFUNCTION("""COMPUTED_VALUE"""),"TNI0288")</f>
        <v>TNI0288</v>
      </c>
      <c r="X71" s="98" t="str">
        <f>IFERROR(__xludf.DUMMYFUNCTION("""COMPUTED_VALUE"""),"Team 01")</f>
        <v>Team 01</v>
      </c>
    </row>
    <row r="72">
      <c r="A72" s="422">
        <f>IFERROR(__xludf.DUMMYFUNCTION("""COMPUTED_VALUE"""),70.0)</f>
        <v>70</v>
      </c>
      <c r="B72" s="422" t="str">
        <f>IFERROR(__xludf.DUMMYFUNCTION("""COMPUTED_VALUE"""),"Asset")</f>
        <v>Asset</v>
      </c>
      <c r="C72" s="422" t="str">
        <f>IFERROR(__xludf.DUMMYFUNCTION("""COMPUTED_VALUE"""),"Team 04")</f>
        <v>Team 04</v>
      </c>
      <c r="D72" s="422" t="str">
        <f>IFERROR(__xludf.DUMMYFUNCTION("""COMPUTED_VALUE"""),"Inventory Site")</f>
        <v>Inventory Site</v>
      </c>
      <c r="E72" s="422" t="str">
        <f>IFERROR(__xludf.DUMMYFUNCTION("""COMPUTED_VALUE"""),"Team 4 Plan Site need finish week 48 =&gt; : 14,Cable Plan need finish week 48 =&gt; : 21,MW Plan need finish week 48 =&gt; : 0")</f>
        <v>Team 4 Plan Site need finish week 48 =&gt; : 14,Cable Plan need finish week 48 =&gt; : 21,MW Plan need finish week 48 =&gt; : 0</v>
      </c>
      <c r="F72" s="424">
        <f>IFERROR(__xludf.DUMMYFUNCTION("""COMPUTED_VALUE"""),45985.0)</f>
        <v>45985</v>
      </c>
      <c r="G72" s="424">
        <f>IFERROR(__xludf.DUMMYFUNCTION("""COMPUTED_VALUE"""),45991.0)</f>
        <v>45991</v>
      </c>
      <c r="H72" s="422" t="str">
        <f>IFERROR(__xludf.DUMMYFUNCTION("""COMPUTED_VALUE"""),"VCM277678-Naing Myo Htun, VCM818134-Tin Maung Win")</f>
        <v>VCM277678-Naing Myo Htun, VCM818134-Tin Maung Win</v>
      </c>
      <c r="I72" s="425">
        <f>IFERROR(__xludf.DUMMYFUNCTION("""COMPUTED_VALUE"""),45981.0)</f>
        <v>45981</v>
      </c>
      <c r="J72" s="424">
        <f>IFERROR(__xludf.DUMMYFUNCTION("""COMPUTED_VALUE"""),45992.0)</f>
        <v>45992</v>
      </c>
      <c r="K72" s="422"/>
      <c r="L72" s="422"/>
      <c r="M72" s="422"/>
      <c r="N72" s="422"/>
      <c r="O72" s="422">
        <f>IFERROR(__xludf.DUMMYFUNCTION("""COMPUTED_VALUE"""),0.0)</f>
        <v>0</v>
      </c>
      <c r="P72" s="422"/>
      <c r="Q72" s="422"/>
      <c r="R72" s="98"/>
      <c r="S72" s="98" t="str">
        <f>IFERROR(__xludf.DUMMYFUNCTION("""COMPUTED_VALUE"""),"-")</f>
        <v>-</v>
      </c>
      <c r="T72" s="98" t="str">
        <f>IFERROR(__xludf.DUMMYFUNCTION("""COMPUTED_VALUE"""),"Team 4 Plan Site need finish week 48 =&gt; : 14,Cable Plan need finish week 48 =&gt; : 21,MW Plan need finish week 48 =&gt; : 0")</f>
        <v>Team 4 Plan Site need finish week 48 =&gt; : 14,Cable Plan need finish week 48 =&gt; : 21,MW Plan need finish week 48 =&gt; : 0</v>
      </c>
      <c r="W72" s="98" t="str">
        <f>IFERROR(__xludf.DUMMYFUNCTION("""COMPUTED_VALUE"""),"TNI0309")</f>
        <v>TNI0309</v>
      </c>
      <c r="X72" s="98" t="str">
        <f>IFERROR(__xludf.DUMMYFUNCTION("""COMPUTED_VALUE"""),"Team 01")</f>
        <v>Team 01</v>
      </c>
    </row>
    <row r="73">
      <c r="A73" s="422">
        <f>IFERROR(__xludf.DUMMYFUNCTION("""COMPUTED_VALUE"""),71.0)</f>
        <v>71</v>
      </c>
      <c r="B73" s="422" t="str">
        <f>IFERROR(__xludf.DUMMYFUNCTION("""COMPUTED_VALUE"""),"Asset")</f>
        <v>Asset</v>
      </c>
      <c r="C73" s="422" t="str">
        <f>IFERROR(__xludf.DUMMYFUNCTION("""COMPUTED_VALUE"""),"Team 04")</f>
        <v>Team 04</v>
      </c>
      <c r="D73" s="422" t="str">
        <f>IFERROR(__xludf.DUMMYFUNCTION("""COMPUTED_VALUE"""),"Inventory Site")</f>
        <v>Inventory Site</v>
      </c>
      <c r="E73" s="422" t="str">
        <f>IFERROR(__xludf.DUMMYFUNCTION("""COMPUTED_VALUE"""),"Team 4 plan need inentory week 48= Site: 14&amp;=&amp; Cable: 28&amp;=&amp; MW: 7")</f>
        <v>Team 4 plan need inentory week 48= Site: 14&amp;=&amp; Cable: 28&amp;=&amp; MW: 7</v>
      </c>
      <c r="F73" s="424">
        <f>IFERROR(__xludf.DUMMYFUNCTION("""COMPUTED_VALUE"""),45988.0)</f>
        <v>45988</v>
      </c>
      <c r="G73" s="424">
        <f>IFERROR(__xludf.DUMMYFUNCTION("""COMPUTED_VALUE"""),45996.0)</f>
        <v>45996</v>
      </c>
      <c r="H73" s="422" t="str">
        <f>IFERROR(__xludf.DUMMYFUNCTION("""COMPUTED_VALUE"""),"VCM277678-Naing Myo Htun, VCM818134-Tin Maung Win")</f>
        <v>VCM277678-Naing Myo Htun, VCM818134-Tin Maung Win</v>
      </c>
      <c r="I73" s="425">
        <f>IFERROR(__xludf.DUMMYFUNCTION("""COMPUTED_VALUE"""),46011.0)</f>
        <v>46011</v>
      </c>
      <c r="J73" s="424">
        <f>IFERROR(__xludf.DUMMYFUNCTION("""COMPUTED_VALUE"""),45992.0)</f>
        <v>45992</v>
      </c>
      <c r="K73" s="422"/>
      <c r="L73" s="422"/>
      <c r="M73" s="422"/>
      <c r="N73" s="422"/>
      <c r="O73" s="422">
        <f>IFERROR(__xludf.DUMMYFUNCTION("""COMPUTED_VALUE"""),0.0)</f>
        <v>0</v>
      </c>
      <c r="P73" s="422"/>
      <c r="Q73" s="422"/>
      <c r="R73" s="98"/>
      <c r="S73" s="98" t="str">
        <f>IFERROR(__xludf.DUMMYFUNCTION("""COMPUTED_VALUE"""),"-")</f>
        <v>-</v>
      </c>
      <c r="T73" s="98" t="str">
        <f>IFERROR(__xludf.DUMMYFUNCTION("""COMPUTED_VALUE"""),"Team 4 plan need inentory week 48= Site: 14&amp;=&amp; Cable: 28&amp;=&amp; MW: 7")</f>
        <v>Team 4 plan need inentory week 48= Site: 14&amp;=&amp; Cable: 28&amp;=&amp; MW: 7</v>
      </c>
      <c r="W73" s="98" t="str">
        <f>IFERROR(__xludf.DUMMYFUNCTION("""COMPUTED_VALUE"""),"TNI0314")</f>
        <v>TNI0314</v>
      </c>
      <c r="X73" s="98" t="str">
        <f>IFERROR(__xludf.DUMMYFUNCTION("""COMPUTED_VALUE"""),"Team 01")</f>
        <v>Team 01</v>
      </c>
    </row>
    <row r="74">
      <c r="A74" s="422">
        <f>IFERROR(__xludf.DUMMYFUNCTION("""COMPUTED_VALUE"""),72.0)</f>
        <v>72</v>
      </c>
      <c r="B74" s="422" t="str">
        <f>IFERROR(__xludf.DUMMYFUNCTION("""COMPUTED_VALUE"""),"Asset")</f>
        <v>Asset</v>
      </c>
      <c r="C74" s="422" t="str">
        <f>IFERROR(__xludf.DUMMYFUNCTION("""COMPUTED_VALUE"""),"Team 04")</f>
        <v>Team 04</v>
      </c>
      <c r="D74" s="422" t="str">
        <f>IFERROR(__xludf.DUMMYFUNCTION("""COMPUTED_VALUE"""),"Inventory Team")</f>
        <v>Inventory Team</v>
      </c>
      <c r="E74" s="422" t="str">
        <f>IFERROR(__xludf.DUMMYFUNCTION("""COMPUTED_VALUE"""),"Inventory NOC-ROT-TOOL VCM-MYTEL Team 4")</f>
        <v>Inventory NOC-ROT-TOOL VCM-MYTEL Team 4</v>
      </c>
      <c r="F74" s="424">
        <f>IFERROR(__xludf.DUMMYFUNCTION("""COMPUTED_VALUE"""),45959.0)</f>
        <v>45959</v>
      </c>
      <c r="G74" s="424">
        <f>IFERROR(__xludf.DUMMYFUNCTION("""COMPUTED_VALUE"""),45969.0)</f>
        <v>45969</v>
      </c>
      <c r="H74" s="422" t="str">
        <f>IFERROR(__xludf.DUMMYFUNCTION("""COMPUTED_VALUE"""),"VCM277678-Naing Myo Htun")</f>
        <v>VCM277678-Naing Myo Htun</v>
      </c>
      <c r="I74" s="425">
        <f>IFERROR(__xludf.DUMMYFUNCTION("""COMPUTED_VALUE"""),45999.0)</f>
        <v>45999</v>
      </c>
      <c r="J74" s="424">
        <f>IFERROR(__xludf.DUMMYFUNCTION("""COMPUTED_VALUE"""),45999.0)</f>
        <v>45999</v>
      </c>
      <c r="K74" s="422"/>
      <c r="L74" s="422"/>
      <c r="M74" s="422" t="str">
        <f>IFERROR(__xludf.DUMMYFUNCTION("""COMPUTED_VALUE"""),"Dep Confirm completion")</f>
        <v>Dep Confirm completion</v>
      </c>
      <c r="N74" s="422"/>
      <c r="O74" s="422">
        <f>IFERROR(__xludf.DUMMYFUNCTION("""COMPUTED_VALUE"""),1.0)</f>
        <v>1</v>
      </c>
      <c r="P74" s="422"/>
      <c r="Q74" s="422"/>
      <c r="R74" s="98"/>
      <c r="S74" s="98" t="str">
        <f>IFERROR(__xludf.DUMMYFUNCTION("""COMPUTED_VALUE"""),"-")</f>
        <v>-</v>
      </c>
      <c r="T74" s="98" t="str">
        <f>IFERROR(__xludf.DUMMYFUNCTION("""COMPUTED_VALUE"""),"Inventory NOC-ROT-TOOL VCM-MYTEL Team 4")</f>
        <v>Inventory NOC-ROT-TOOL VCM-MYTEL Team 4</v>
      </c>
      <c r="W74" s="98" t="str">
        <f>IFERROR(__xludf.DUMMYFUNCTION("""COMPUTED_VALUE"""),"TNI0319")</f>
        <v>TNI0319</v>
      </c>
      <c r="X74" s="98" t="str">
        <f>IFERROR(__xludf.DUMMYFUNCTION("""COMPUTED_VALUE"""),"Team 01")</f>
        <v>Team 01</v>
      </c>
    </row>
    <row r="75">
      <c r="A75" s="422">
        <f>IFERROR(__xludf.DUMMYFUNCTION("""COMPUTED_VALUE"""),73.0)</f>
        <v>73</v>
      </c>
      <c r="B75" s="422" t="str">
        <f>IFERROR(__xludf.DUMMYFUNCTION("""COMPUTED_VALUE"""),"Asset")</f>
        <v>Asset</v>
      </c>
      <c r="C75" s="422" t="str">
        <f>IFERROR(__xludf.DUMMYFUNCTION("""COMPUTED_VALUE"""),"Team 04")</f>
        <v>Team 04</v>
      </c>
      <c r="D75" s="422" t="str">
        <f>IFERROR(__xludf.DUMMYFUNCTION("""COMPUTED_VALUE"""),"Materials use in station &amp; WO close ")</f>
        <v>Materials use in station &amp; WO close </v>
      </c>
      <c r="E75" s="422" t="str">
        <f>IFERROR(__xludf.DUMMYFUNCTION("""COMPUTED_VALUE"""),"WO_WFM-OTHERS_20260503_123175461")</f>
        <v>WO_WFM-OTHERS_20260503_123175461</v>
      </c>
      <c r="F75" s="424">
        <f>IFERROR(__xludf.DUMMYFUNCTION("""COMPUTED_VALUE"""),46115.0)</f>
        <v>46115</v>
      </c>
      <c r="G75" s="424">
        <f>IFERROR(__xludf.DUMMYFUNCTION("""COMPUTED_VALUE"""),46120.0)</f>
        <v>46120</v>
      </c>
      <c r="H75" s="422"/>
      <c r="I75" s="422"/>
      <c r="J75" s="422"/>
      <c r="K75" s="422"/>
      <c r="L75" s="422"/>
      <c r="M75" s="422"/>
      <c r="N75" s="422"/>
      <c r="O75" s="422">
        <f>IFERROR(__xludf.DUMMYFUNCTION("""COMPUTED_VALUE"""),0.0)</f>
        <v>0</v>
      </c>
      <c r="P75" s="422"/>
      <c r="Q75" s="422"/>
      <c r="R75" s="98"/>
      <c r="S75" s="98" t="str">
        <f>IFERROR(__xludf.DUMMYFUNCTION("""COMPUTED_VALUE"""),"-")</f>
        <v>-</v>
      </c>
      <c r="T75" s="98" t="str">
        <f>IFERROR(__xludf.DUMMYFUNCTION("""COMPUTED_VALUE"""),"WO_WFM-OTHERS_20260503_123175461")</f>
        <v>WO_WFM-OTHERS_20260503_123175461</v>
      </c>
      <c r="W75" s="98" t="str">
        <f>IFERROR(__xludf.DUMMYFUNCTION("""COMPUTED_VALUE"""),"TNI0321")</f>
        <v>TNI0321</v>
      </c>
      <c r="X75" s="98" t="str">
        <f>IFERROR(__xludf.DUMMYFUNCTION("""COMPUTED_VALUE"""),"Team 01")</f>
        <v>Team 01</v>
      </c>
    </row>
    <row r="76">
      <c r="A76" s="422">
        <f>IFERROR(__xludf.DUMMYFUNCTION("""COMPUTED_VALUE"""),74.0)</f>
        <v>74</v>
      </c>
      <c r="B76" s="422" t="str">
        <f>IFERROR(__xludf.DUMMYFUNCTION("""COMPUTED_VALUE"""),"Asset")</f>
        <v>Asset</v>
      </c>
      <c r="C76" s="422" t="str">
        <f>IFERROR(__xludf.DUMMYFUNCTION("""COMPUTED_VALUE"""),"Team 04")</f>
        <v>Team 04</v>
      </c>
      <c r="D76" s="422" t="str">
        <f>IFERROR(__xludf.DUMMYFUNCTION("""COMPUTED_VALUE"""),"Materials use in station &amp; WO close ")</f>
        <v>Materials use in station &amp; WO close </v>
      </c>
      <c r="E76" s="422" t="str">
        <f>IFERROR(__xludf.DUMMYFUNCTION("""COMPUTED_VALUE"""),"WO_WFM-OTHERS_20260503_123175301")</f>
        <v>WO_WFM-OTHERS_20260503_123175301</v>
      </c>
      <c r="F76" s="424">
        <f>IFERROR(__xludf.DUMMYFUNCTION("""COMPUTED_VALUE"""),46145.0)</f>
        <v>46145</v>
      </c>
      <c r="G76" s="424">
        <f>IFERROR(__xludf.DUMMYFUNCTION("""COMPUTED_VALUE"""),46120.0)</f>
        <v>46120</v>
      </c>
      <c r="H76" s="422"/>
      <c r="I76" s="422"/>
      <c r="J76" s="422"/>
      <c r="K76" s="422"/>
      <c r="L76" s="422"/>
      <c r="M76" s="422"/>
      <c r="N76" s="422"/>
      <c r="O76" s="422">
        <f>IFERROR(__xludf.DUMMYFUNCTION("""COMPUTED_VALUE"""),0.0)</f>
        <v>0</v>
      </c>
      <c r="P76" s="422"/>
      <c r="Q76" s="422"/>
      <c r="R76" s="98"/>
      <c r="S76" s="98" t="str">
        <f>IFERROR(__xludf.DUMMYFUNCTION("""COMPUTED_VALUE"""),"-")</f>
        <v>-</v>
      </c>
      <c r="T76" s="98" t="str">
        <f>IFERROR(__xludf.DUMMYFUNCTION("""COMPUTED_VALUE"""),"WO_WFM-OTHERS_20260503_123175301")</f>
        <v>WO_WFM-OTHERS_20260503_123175301</v>
      </c>
      <c r="W76" s="98" t="str">
        <f>IFERROR(__xludf.DUMMYFUNCTION("""COMPUTED_VALUE"""),"TNI0322")</f>
        <v>TNI0322</v>
      </c>
      <c r="X76" s="98" t="str">
        <f>IFERROR(__xludf.DUMMYFUNCTION("""COMPUTED_VALUE"""),"Team 01")</f>
        <v>Team 01</v>
      </c>
    </row>
    <row r="77">
      <c r="A77" s="422">
        <f>IFERROR(__xludf.DUMMYFUNCTION("""COMPUTED_VALUE"""),75.0)</f>
        <v>75</v>
      </c>
      <c r="B77" s="422" t="str">
        <f>IFERROR(__xludf.DUMMYFUNCTION("""COMPUTED_VALUE"""),"Asset")</f>
        <v>Asset</v>
      </c>
      <c r="C77" s="422" t="str">
        <f>IFERROR(__xludf.DUMMYFUNCTION("""COMPUTED_VALUE"""),"Team 04")</f>
        <v>Team 04</v>
      </c>
      <c r="D77" s="422" t="str">
        <f>IFERROR(__xludf.DUMMYFUNCTION("""COMPUTED_VALUE"""),"Materials use in station &amp; WO close ")</f>
        <v>Materials use in station &amp; WO close </v>
      </c>
      <c r="E77" s="422" t="str">
        <f>IFERROR(__xludf.DUMMYFUNCTION("""COMPUTED_VALUE"""),"WO_WFM-OTHERS_20260503_123175450")</f>
        <v>WO_WFM-OTHERS_20260503_123175450</v>
      </c>
      <c r="F77" s="424">
        <f>IFERROR(__xludf.DUMMYFUNCTION("""COMPUTED_VALUE"""),46145.0)</f>
        <v>46145</v>
      </c>
      <c r="G77" s="424">
        <f>IFERROR(__xludf.DUMMYFUNCTION("""COMPUTED_VALUE"""),46120.0)</f>
        <v>46120</v>
      </c>
      <c r="H77" s="422"/>
      <c r="I77" s="422"/>
      <c r="J77" s="422"/>
      <c r="K77" s="422"/>
      <c r="L77" s="422"/>
      <c r="M77" s="422"/>
      <c r="N77" s="422"/>
      <c r="O77" s="422">
        <f>IFERROR(__xludf.DUMMYFUNCTION("""COMPUTED_VALUE"""),0.0)</f>
        <v>0</v>
      </c>
      <c r="P77" s="422"/>
      <c r="Q77" s="422"/>
      <c r="R77" s="98"/>
      <c r="S77" s="98" t="str">
        <f>IFERROR(__xludf.DUMMYFUNCTION("""COMPUTED_VALUE"""),"-")</f>
        <v>-</v>
      </c>
      <c r="T77" s="98" t="str">
        <f>IFERROR(__xludf.DUMMYFUNCTION("""COMPUTED_VALUE"""),"WO_WFM-OTHERS_20260503_123175450")</f>
        <v>WO_WFM-OTHERS_20260503_123175450</v>
      </c>
      <c r="W77" s="98" t="str">
        <f>IFERROR(__xludf.DUMMYFUNCTION("""COMPUTED_VALUE"""),"TNI0335_01")</f>
        <v>TNI0335_01</v>
      </c>
      <c r="X77" s="98" t="str">
        <f>IFERROR(__xludf.DUMMYFUNCTION("""COMPUTED_VALUE"""),"Team 01")</f>
        <v>Team 01</v>
      </c>
    </row>
    <row r="78">
      <c r="A78" s="422">
        <f>IFERROR(__xludf.DUMMYFUNCTION("""COMPUTED_VALUE"""),76.0)</f>
        <v>76</v>
      </c>
      <c r="B78" s="422" t="str">
        <f>IFERROR(__xludf.DUMMYFUNCTION("""COMPUTED_VALUE"""),"Asset")</f>
        <v>Asset</v>
      </c>
      <c r="C78" s="422" t="str">
        <f>IFERROR(__xludf.DUMMYFUNCTION("""COMPUTED_VALUE"""),"Team 04")</f>
        <v>Team 04</v>
      </c>
      <c r="D78" s="422" t="str">
        <f>IFERROR(__xludf.DUMMYFUNCTION("""COMPUTED_VALUE"""),"Materials use in station &amp; WO close ")</f>
        <v>Materials use in station &amp; WO close </v>
      </c>
      <c r="E78" s="422" t="str">
        <f>IFERROR(__xludf.DUMMYFUNCTION("""COMPUTED_VALUE"""),"WO_WFM-OTHERS_20260503_123175443")</f>
        <v>WO_WFM-OTHERS_20260503_123175443</v>
      </c>
      <c r="F78" s="424">
        <f>IFERROR(__xludf.DUMMYFUNCTION("""COMPUTED_VALUE"""),46145.0)</f>
        <v>46145</v>
      </c>
      <c r="G78" s="424">
        <f>IFERROR(__xludf.DUMMYFUNCTION("""COMPUTED_VALUE"""),46120.0)</f>
        <v>46120</v>
      </c>
      <c r="H78" s="422"/>
      <c r="I78" s="422"/>
      <c r="J78" s="422"/>
      <c r="K78" s="422"/>
      <c r="L78" s="422"/>
      <c r="M78" s="422"/>
      <c r="N78" s="422"/>
      <c r="O78" s="422">
        <f>IFERROR(__xludf.DUMMYFUNCTION("""COMPUTED_VALUE"""),0.0)</f>
        <v>0</v>
      </c>
      <c r="P78" s="422"/>
      <c r="Q78" s="422"/>
      <c r="R78" s="98"/>
      <c r="S78" s="98" t="str">
        <f>IFERROR(__xludf.DUMMYFUNCTION("""COMPUTED_VALUE"""),"-")</f>
        <v>-</v>
      </c>
      <c r="T78" s="98" t="str">
        <f>IFERROR(__xludf.DUMMYFUNCTION("""COMPUTED_VALUE"""),"WO_WFM-OTHERS_20260503_123175443")</f>
        <v>WO_WFM-OTHERS_20260503_123175443</v>
      </c>
      <c r="W78" s="98" t="str">
        <f>IFERROR(__xludf.DUMMYFUNCTION("""COMPUTED_VALUE"""),"TNI0351")</f>
        <v>TNI0351</v>
      </c>
      <c r="X78" s="98" t="str">
        <f>IFERROR(__xludf.DUMMYFUNCTION("""COMPUTED_VALUE"""),"Team 01")</f>
        <v>Team 01</v>
      </c>
    </row>
    <row r="79">
      <c r="A79" s="422">
        <f>IFERROR(__xludf.DUMMYFUNCTION("""COMPUTED_VALUE"""),77.0)</f>
        <v>77</v>
      </c>
      <c r="B79" s="422" t="str">
        <f>IFERROR(__xludf.DUMMYFUNCTION("""COMPUTED_VALUE"""),"Asset")</f>
        <v>Asset</v>
      </c>
      <c r="C79" s="422" t="str">
        <f>IFERROR(__xludf.DUMMYFUNCTION("""COMPUTED_VALUE"""),"Team 04")</f>
        <v>Team 04</v>
      </c>
      <c r="D79" s="422" t="str">
        <f>IFERROR(__xludf.DUMMYFUNCTION("""COMPUTED_VALUE"""),"Materials use in station &amp; WO close ")</f>
        <v>Materials use in station &amp; WO close </v>
      </c>
      <c r="E79" s="422" t="str">
        <f>IFERROR(__xludf.DUMMYFUNCTION("""COMPUTED_VALUE"""),"WO_WFM-OTHERS_20260503_123175431")</f>
        <v>WO_WFM-OTHERS_20260503_123175431</v>
      </c>
      <c r="F79" s="424">
        <f>IFERROR(__xludf.DUMMYFUNCTION("""COMPUTED_VALUE"""),46145.0)</f>
        <v>46145</v>
      </c>
      <c r="G79" s="424">
        <f>IFERROR(__xludf.DUMMYFUNCTION("""COMPUTED_VALUE"""),46120.0)</f>
        <v>46120</v>
      </c>
      <c r="H79" s="422"/>
      <c r="I79" s="422"/>
      <c r="J79" s="422"/>
      <c r="K79" s="422"/>
      <c r="L79" s="422"/>
      <c r="M79" s="422"/>
      <c r="N79" s="422"/>
      <c r="O79" s="422">
        <f>IFERROR(__xludf.DUMMYFUNCTION("""COMPUTED_VALUE"""),0.0)</f>
        <v>0</v>
      </c>
      <c r="P79" s="422"/>
      <c r="Q79" s="422"/>
      <c r="R79" s="98"/>
      <c r="S79" s="98" t="str">
        <f>IFERROR(__xludf.DUMMYFUNCTION("""COMPUTED_VALUE"""),"-")</f>
        <v>-</v>
      </c>
      <c r="T79" s="98" t="str">
        <f>IFERROR(__xludf.DUMMYFUNCTION("""COMPUTED_VALUE"""),"WO_WFM-OTHERS_20260503_123175431")</f>
        <v>WO_WFM-OTHERS_20260503_123175431</v>
      </c>
      <c r="W79" s="98" t="str">
        <f>IFERROR(__xludf.DUMMYFUNCTION("""COMPUTED_VALUE"""),"TNI0394")</f>
        <v>TNI0394</v>
      </c>
      <c r="X79" s="98" t="str">
        <f>IFERROR(__xludf.DUMMYFUNCTION("""COMPUTED_VALUE"""),"Team 01")</f>
        <v>Team 01</v>
      </c>
    </row>
    <row r="80">
      <c r="A80" s="422">
        <f>IFERROR(__xludf.DUMMYFUNCTION("""COMPUTED_VALUE"""),78.0)</f>
        <v>78</v>
      </c>
      <c r="B80" s="422" t="str">
        <f>IFERROR(__xludf.DUMMYFUNCTION("""COMPUTED_VALUE"""),"Asset")</f>
        <v>Asset</v>
      </c>
      <c r="C80" s="422" t="str">
        <f>IFERROR(__xludf.DUMMYFUNCTION("""COMPUTED_VALUE"""),"Team 04")</f>
        <v>Team 04</v>
      </c>
      <c r="D80" s="422" t="str">
        <f>IFERROR(__xludf.DUMMYFUNCTION("""COMPUTED_VALUE"""),"Materials use in station &amp; WO close ")</f>
        <v>Materials use in station &amp; WO close </v>
      </c>
      <c r="E80" s="422" t="str">
        <f>IFERROR(__xludf.DUMMYFUNCTION("""COMPUTED_VALUE"""),"WO_WFM-OTHERS_20260503_123175276")</f>
        <v>WO_WFM-OTHERS_20260503_123175276</v>
      </c>
      <c r="F80" s="424">
        <f>IFERROR(__xludf.DUMMYFUNCTION("""COMPUTED_VALUE"""),46145.0)</f>
        <v>46145</v>
      </c>
      <c r="G80" s="424">
        <f>IFERROR(__xludf.DUMMYFUNCTION("""COMPUTED_VALUE"""),46120.0)</f>
        <v>46120</v>
      </c>
      <c r="H80" s="422"/>
      <c r="I80" s="422"/>
      <c r="J80" s="422"/>
      <c r="K80" s="422"/>
      <c r="L80" s="422"/>
      <c r="M80" s="422"/>
      <c r="N80" s="422"/>
      <c r="O80" s="422">
        <f>IFERROR(__xludf.DUMMYFUNCTION("""COMPUTED_VALUE"""),0.0)</f>
        <v>0</v>
      </c>
      <c r="P80" s="422"/>
      <c r="Q80" s="422"/>
      <c r="R80" s="98"/>
      <c r="S80" s="98" t="str">
        <f>IFERROR(__xludf.DUMMYFUNCTION("""COMPUTED_VALUE"""),"-")</f>
        <v>-</v>
      </c>
      <c r="T80" s="98" t="str">
        <f>IFERROR(__xludf.DUMMYFUNCTION("""COMPUTED_VALUE"""),"WO_WFM-OTHERS_20260503_123175276")</f>
        <v>WO_WFM-OTHERS_20260503_123175276</v>
      </c>
      <c r="W80" s="98" t="str">
        <f>IFERROR(__xludf.DUMMYFUNCTION("""COMPUTED_VALUE"""),"TNI0006")</f>
        <v>TNI0006</v>
      </c>
      <c r="X80" s="98" t="str">
        <f>IFERROR(__xludf.DUMMYFUNCTION("""COMPUTED_VALUE"""),"Team 01")</f>
        <v>Team 01</v>
      </c>
    </row>
    <row r="81">
      <c r="A81" s="422">
        <f>IFERROR(__xludf.DUMMYFUNCTION("""COMPUTED_VALUE"""),79.0)</f>
        <v>79</v>
      </c>
      <c r="B81" s="422" t="str">
        <f>IFERROR(__xludf.DUMMYFUNCTION("""COMPUTED_VALUE"""),"Asset")</f>
        <v>Asset</v>
      </c>
      <c r="C81" s="422" t="str">
        <f>IFERROR(__xludf.DUMMYFUNCTION("""COMPUTED_VALUE"""),"Team 04")</f>
        <v>Team 04</v>
      </c>
      <c r="D81" s="422" t="str">
        <f>IFERROR(__xludf.DUMMYFUNCTION("""COMPUTED_VALUE"""),"Materials use in station &amp; WO close ")</f>
        <v>Materials use in station &amp; WO close </v>
      </c>
      <c r="E81" s="422" t="str">
        <f>IFERROR(__xludf.DUMMYFUNCTION("""COMPUTED_VALUE"""),"WO_WFM-OTHERS_20260503_123173528")</f>
        <v>WO_WFM-OTHERS_20260503_123173528</v>
      </c>
      <c r="F81" s="424">
        <f>IFERROR(__xludf.DUMMYFUNCTION("""COMPUTED_VALUE"""),46145.0)</f>
        <v>46145</v>
      </c>
      <c r="G81" s="424">
        <f>IFERROR(__xludf.DUMMYFUNCTION("""COMPUTED_VALUE"""),46120.0)</f>
        <v>46120</v>
      </c>
      <c r="H81" s="422"/>
      <c r="I81" s="422"/>
      <c r="J81" s="422"/>
      <c r="K81" s="422"/>
      <c r="L81" s="422"/>
      <c r="M81" s="422"/>
      <c r="N81" s="422"/>
      <c r="O81" s="422">
        <f>IFERROR(__xludf.DUMMYFUNCTION("""COMPUTED_VALUE"""),0.0)</f>
        <v>0</v>
      </c>
      <c r="P81" s="422"/>
      <c r="Q81" s="422"/>
      <c r="R81" s="98"/>
      <c r="S81" s="98" t="str">
        <f>IFERROR(__xludf.DUMMYFUNCTION("""COMPUTED_VALUE"""),"-")</f>
        <v>-</v>
      </c>
      <c r="T81" s="98" t="str">
        <f>IFERROR(__xludf.DUMMYFUNCTION("""COMPUTED_VALUE"""),"WO_WFM-OTHERS_20260503_123173528")</f>
        <v>WO_WFM-OTHERS_20260503_123173528</v>
      </c>
      <c r="W81" s="98" t="str">
        <f>IFERROR(__xludf.DUMMYFUNCTION("""COMPUTED_VALUE"""),"TNI0043")</f>
        <v>TNI0043</v>
      </c>
      <c r="X81" s="98" t="str">
        <f>IFERROR(__xludf.DUMMYFUNCTION("""COMPUTED_VALUE"""),"Team 01")</f>
        <v>Team 01</v>
      </c>
    </row>
    <row r="82">
      <c r="A82" s="422">
        <f>IFERROR(__xludf.DUMMYFUNCTION("""COMPUTED_VALUE"""),80.0)</f>
        <v>80</v>
      </c>
      <c r="B82" s="422" t="str">
        <f>IFERROR(__xludf.DUMMYFUNCTION("""COMPUTED_VALUE"""),"Asset")</f>
        <v>Asset</v>
      </c>
      <c r="C82" s="422" t="str">
        <f>IFERROR(__xludf.DUMMYFUNCTION("""COMPUTED_VALUE"""),"Team 04")</f>
        <v>Team 04</v>
      </c>
      <c r="D82" s="422" t="str">
        <f>IFERROR(__xludf.DUMMYFUNCTION("""COMPUTED_VALUE"""),"Materials use in station &amp; WO close ")</f>
        <v>Materials use in station &amp; WO close </v>
      </c>
      <c r="E82" s="422" t="str">
        <f>IFERROR(__xludf.DUMMYFUNCTION("""COMPUTED_VALUE"""),"WO_WFM-OTHERS_20260503_123173517")</f>
        <v>WO_WFM-OTHERS_20260503_123173517</v>
      </c>
      <c r="F82" s="424">
        <f>IFERROR(__xludf.DUMMYFUNCTION("""COMPUTED_VALUE"""),46145.0)</f>
        <v>46145</v>
      </c>
      <c r="G82" s="424">
        <f>IFERROR(__xludf.DUMMYFUNCTION("""COMPUTED_VALUE"""),46120.0)</f>
        <v>46120</v>
      </c>
      <c r="H82" s="422"/>
      <c r="I82" s="422"/>
      <c r="J82" s="422"/>
      <c r="K82" s="422"/>
      <c r="L82" s="422"/>
      <c r="M82" s="422"/>
      <c r="N82" s="422"/>
      <c r="O82" s="422">
        <f>IFERROR(__xludf.DUMMYFUNCTION("""COMPUTED_VALUE"""),0.0)</f>
        <v>0</v>
      </c>
      <c r="P82" s="422"/>
      <c r="Q82" s="422"/>
      <c r="R82" s="98"/>
      <c r="S82" s="98" t="str">
        <f>IFERROR(__xludf.DUMMYFUNCTION("""COMPUTED_VALUE"""),"-")</f>
        <v>-</v>
      </c>
      <c r="T82" s="98" t="str">
        <f>IFERROR(__xludf.DUMMYFUNCTION("""COMPUTED_VALUE"""),"WO_WFM-OTHERS_20260503_123173517")</f>
        <v>WO_WFM-OTHERS_20260503_123173517</v>
      </c>
      <c r="W82" s="98" t="str">
        <f>IFERROR(__xludf.DUMMYFUNCTION("""COMPUTED_VALUE"""),"TNI0129")</f>
        <v>TNI0129</v>
      </c>
      <c r="X82" s="98" t="str">
        <f>IFERROR(__xludf.DUMMYFUNCTION("""COMPUTED_VALUE"""),"Team 01")</f>
        <v>Team 01</v>
      </c>
    </row>
    <row r="83">
      <c r="A83" s="422">
        <f>IFERROR(__xludf.DUMMYFUNCTION("""COMPUTED_VALUE"""),81.0)</f>
        <v>81</v>
      </c>
      <c r="B83" s="422" t="str">
        <f>IFERROR(__xludf.DUMMYFUNCTION("""COMPUTED_VALUE"""),"Asset")</f>
        <v>Asset</v>
      </c>
      <c r="C83" s="422" t="str">
        <f>IFERROR(__xludf.DUMMYFUNCTION("""COMPUTED_VALUE"""),"Team 04")</f>
        <v>Team 04</v>
      </c>
      <c r="D83" s="422" t="str">
        <f>IFERROR(__xludf.DUMMYFUNCTION("""COMPUTED_VALUE"""),"Materials use in station &amp; WO close ")</f>
        <v>Materials use in station &amp; WO close </v>
      </c>
      <c r="E83" s="422" t="str">
        <f>IFERROR(__xludf.DUMMYFUNCTION("""COMPUTED_VALUE"""),"WO_WFM-OTHERS_20260503_123173305")</f>
        <v>WO_WFM-OTHERS_20260503_123173305</v>
      </c>
      <c r="F83" s="424">
        <f>IFERROR(__xludf.DUMMYFUNCTION("""COMPUTED_VALUE"""),46145.0)</f>
        <v>46145</v>
      </c>
      <c r="G83" s="424">
        <f>IFERROR(__xludf.DUMMYFUNCTION("""COMPUTED_VALUE"""),46120.0)</f>
        <v>46120</v>
      </c>
      <c r="H83" s="422"/>
      <c r="I83" s="422"/>
      <c r="J83" s="422"/>
      <c r="K83" s="422"/>
      <c r="L83" s="422"/>
      <c r="M83" s="422"/>
      <c r="N83" s="422"/>
      <c r="O83" s="422">
        <f>IFERROR(__xludf.DUMMYFUNCTION("""COMPUTED_VALUE"""),0.0)</f>
        <v>0</v>
      </c>
      <c r="P83" s="422"/>
      <c r="Q83" s="422"/>
      <c r="R83" s="98"/>
      <c r="S83" s="98" t="str">
        <f>IFERROR(__xludf.DUMMYFUNCTION("""COMPUTED_VALUE"""),"-")</f>
        <v>-</v>
      </c>
      <c r="T83" s="98" t="str">
        <f>IFERROR(__xludf.DUMMYFUNCTION("""COMPUTED_VALUE"""),"WO_WFM-OTHERS_20260503_123173305")</f>
        <v>WO_WFM-OTHERS_20260503_123173305</v>
      </c>
      <c r="W83" s="98" t="str">
        <f>IFERROR(__xludf.DUMMYFUNCTION("""COMPUTED_VALUE"""),"TNI0148")</f>
        <v>TNI0148</v>
      </c>
      <c r="X83" s="98" t="str">
        <f>IFERROR(__xludf.DUMMYFUNCTION("""COMPUTED_VALUE"""),"Team 01")</f>
        <v>Team 01</v>
      </c>
    </row>
    <row r="84">
      <c r="A84" s="422">
        <f>IFERROR(__xludf.DUMMYFUNCTION("""COMPUTED_VALUE"""),82.0)</f>
        <v>82</v>
      </c>
      <c r="B84" s="422" t="str">
        <f>IFERROR(__xludf.DUMMYFUNCTION("""COMPUTED_VALUE"""),"Asset")</f>
        <v>Asset</v>
      </c>
      <c r="C84" s="422" t="str">
        <f>IFERROR(__xludf.DUMMYFUNCTION("""COMPUTED_VALUE"""),"Team 04")</f>
        <v>Team 04</v>
      </c>
      <c r="D84" s="422" t="str">
        <f>IFERROR(__xludf.DUMMYFUNCTION("""COMPUTED_VALUE"""),"Materials use in station &amp; WO close ")</f>
        <v>Materials use in station &amp; WO close </v>
      </c>
      <c r="E84" s="422" t="str">
        <f>IFERROR(__xludf.DUMMYFUNCTION("""COMPUTED_VALUE"""),"WO_WFM-OTHERS_20260503_123173295")</f>
        <v>WO_WFM-OTHERS_20260503_123173295</v>
      </c>
      <c r="F84" s="424">
        <f>IFERROR(__xludf.DUMMYFUNCTION("""COMPUTED_VALUE"""),46145.0)</f>
        <v>46145</v>
      </c>
      <c r="G84" s="424">
        <f>IFERROR(__xludf.DUMMYFUNCTION("""COMPUTED_VALUE"""),46120.0)</f>
        <v>46120</v>
      </c>
      <c r="H84" s="422"/>
      <c r="I84" s="422"/>
      <c r="J84" s="422"/>
      <c r="K84" s="422"/>
      <c r="L84" s="422"/>
      <c r="M84" s="422"/>
      <c r="N84" s="422"/>
      <c r="O84" s="422">
        <f>IFERROR(__xludf.DUMMYFUNCTION("""COMPUTED_VALUE"""),0.0)</f>
        <v>0</v>
      </c>
      <c r="P84" s="422"/>
      <c r="Q84" s="422"/>
      <c r="R84" s="98"/>
      <c r="S84" s="98" t="str">
        <f>IFERROR(__xludf.DUMMYFUNCTION("""COMPUTED_VALUE"""),"-")</f>
        <v>-</v>
      </c>
      <c r="T84" s="98" t="str">
        <f>IFERROR(__xludf.DUMMYFUNCTION("""COMPUTED_VALUE"""),"WO_WFM-OTHERS_20260503_123173295")</f>
        <v>WO_WFM-OTHERS_20260503_123173295</v>
      </c>
      <c r="W84" s="98" t="str">
        <f>IFERROR(__xludf.DUMMYFUNCTION("""COMPUTED_VALUE"""),"TNI0148_01")</f>
        <v>TNI0148_01</v>
      </c>
      <c r="X84" s="98" t="str">
        <f>IFERROR(__xludf.DUMMYFUNCTION("""COMPUTED_VALUE"""),"Team 01")</f>
        <v>Team 01</v>
      </c>
    </row>
    <row r="85">
      <c r="A85" s="422">
        <f>IFERROR(__xludf.DUMMYFUNCTION("""COMPUTED_VALUE"""),83.0)</f>
        <v>83</v>
      </c>
      <c r="B85" s="422" t="str">
        <f>IFERROR(__xludf.DUMMYFUNCTION("""COMPUTED_VALUE"""),"Asset")</f>
        <v>Asset</v>
      </c>
      <c r="C85" s="422" t="str">
        <f>IFERROR(__xludf.DUMMYFUNCTION("""COMPUTED_VALUE"""),"Team 04")</f>
        <v>Team 04</v>
      </c>
      <c r="D85" s="422" t="str">
        <f>IFERROR(__xludf.DUMMYFUNCTION("""COMPUTED_VALUE"""),"Materials use in station &amp; WO close ")</f>
        <v>Materials use in station &amp; WO close </v>
      </c>
      <c r="E85" s="422" t="str">
        <f>IFERROR(__xludf.DUMMYFUNCTION("""COMPUTED_VALUE"""),"WO_WFM-OTHERS_20260503_123173488")</f>
        <v>WO_WFM-OTHERS_20260503_123173488</v>
      </c>
      <c r="F85" s="424">
        <f>IFERROR(__xludf.DUMMYFUNCTION("""COMPUTED_VALUE"""),46145.0)</f>
        <v>46145</v>
      </c>
      <c r="G85" s="424">
        <f>IFERROR(__xludf.DUMMYFUNCTION("""COMPUTED_VALUE"""),46120.0)</f>
        <v>46120</v>
      </c>
      <c r="H85" s="422" t="str">
        <f>IFERROR(__xludf.DUMMYFUNCTION("""COMPUTED_VALUE"""),"#REF!")</f>
        <v>#REF!</v>
      </c>
      <c r="I85" s="422"/>
      <c r="J85" s="422"/>
      <c r="K85" s="422"/>
      <c r="L85" s="422"/>
      <c r="M85" s="422"/>
      <c r="N85" s="422"/>
      <c r="O85" s="422">
        <f>IFERROR(__xludf.DUMMYFUNCTION("""COMPUTED_VALUE"""),0.0)</f>
        <v>0</v>
      </c>
      <c r="P85" s="422"/>
      <c r="Q85" s="422"/>
      <c r="R85" s="98"/>
      <c r="S85" s="98" t="str">
        <f>IFERROR(__xludf.DUMMYFUNCTION("""COMPUTED_VALUE"""),"-")</f>
        <v>-</v>
      </c>
      <c r="T85" s="98" t="str">
        <f>IFERROR(__xludf.DUMMYFUNCTION("""COMPUTED_VALUE"""),"WO_WFM-OTHERS_20260503_123173488")</f>
        <v>WO_WFM-OTHERS_20260503_123173488</v>
      </c>
      <c r="W85" s="98" t="str">
        <f>IFERROR(__xludf.DUMMYFUNCTION("""COMPUTED_VALUE"""),"TNI0149")</f>
        <v>TNI0149</v>
      </c>
      <c r="X85" s="98" t="str">
        <f>IFERROR(__xludf.DUMMYFUNCTION("""COMPUTED_VALUE"""),"Team 01")</f>
        <v>Team 01</v>
      </c>
    </row>
    <row r="86">
      <c r="A86" s="422">
        <f>IFERROR(__xludf.DUMMYFUNCTION("""COMPUTED_VALUE"""),84.0)</f>
        <v>84</v>
      </c>
      <c r="B86" s="422" t="str">
        <f>IFERROR(__xludf.DUMMYFUNCTION("""COMPUTED_VALUE"""),"Asset")</f>
        <v>Asset</v>
      </c>
      <c r="C86" s="422" t="str">
        <f>IFERROR(__xludf.DUMMYFUNCTION("""COMPUTED_VALUE"""),"Team 04")</f>
        <v>Team 04</v>
      </c>
      <c r="D86" s="422" t="str">
        <f>IFERROR(__xludf.DUMMYFUNCTION("""COMPUTED_VALUE"""),"Materials use in station &amp; WO close ")</f>
        <v>Materials use in station &amp; WO close </v>
      </c>
      <c r="E86" s="422" t="str">
        <f>IFERROR(__xludf.DUMMYFUNCTION("""COMPUTED_VALUE"""),"WO_WFM-OTHERS_20260503_123173488")</f>
        <v>WO_WFM-OTHERS_20260503_123173488</v>
      </c>
      <c r="F86" s="424">
        <f>IFERROR(__xludf.DUMMYFUNCTION("""COMPUTED_VALUE"""),46145.0)</f>
        <v>46145</v>
      </c>
      <c r="G86" s="424">
        <f>IFERROR(__xludf.DUMMYFUNCTION("""COMPUTED_VALUE"""),46120.0)</f>
        <v>46120</v>
      </c>
      <c r="H86" s="422" t="str">
        <f>IFERROR(__xludf.DUMMYFUNCTION("""COMPUTED_VALUE"""),"#REF!")</f>
        <v>#REF!</v>
      </c>
      <c r="I86" s="422"/>
      <c r="J86" s="422"/>
      <c r="K86" s="422"/>
      <c r="L86" s="422"/>
      <c r="M86" s="422"/>
      <c r="N86" s="422"/>
      <c r="O86" s="422">
        <f>IFERROR(__xludf.DUMMYFUNCTION("""COMPUTED_VALUE"""),0.0)</f>
        <v>0</v>
      </c>
      <c r="P86" s="422"/>
      <c r="Q86" s="422"/>
      <c r="R86" s="98"/>
      <c r="S86" s="98" t="str">
        <f>IFERROR(__xludf.DUMMYFUNCTION("""COMPUTED_VALUE"""),"-")</f>
        <v>-</v>
      </c>
      <c r="T86" s="98" t="str">
        <f>IFERROR(__xludf.DUMMYFUNCTION("""COMPUTED_VALUE"""),"WO_WFM-OTHERS_20260503_123173488")</f>
        <v>WO_WFM-OTHERS_20260503_123173488</v>
      </c>
      <c r="W86" s="98" t="str">
        <f>IFERROR(__xludf.DUMMYFUNCTION("""COMPUTED_VALUE"""),"TNI0150")</f>
        <v>TNI0150</v>
      </c>
      <c r="X86" s="98" t="str">
        <f>IFERROR(__xludf.DUMMYFUNCTION("""COMPUTED_VALUE"""),"Team 01")</f>
        <v>Team 01</v>
      </c>
    </row>
    <row r="87">
      <c r="A87" s="422">
        <f>IFERROR(__xludf.DUMMYFUNCTION("""COMPUTED_VALUE"""),85.0)</f>
        <v>85</v>
      </c>
      <c r="B87" s="422" t="str">
        <f>IFERROR(__xludf.DUMMYFUNCTION("""COMPUTED_VALUE"""),"Asset")</f>
        <v>Asset</v>
      </c>
      <c r="C87" s="422" t="str">
        <f>IFERROR(__xludf.DUMMYFUNCTION("""COMPUTED_VALUE"""),"Team 04")</f>
        <v>Team 04</v>
      </c>
      <c r="D87" s="422" t="str">
        <f>IFERROR(__xludf.DUMMYFUNCTION("""COMPUTED_VALUE"""),"Recall to Mytel ")</f>
        <v>Recall to Mytel </v>
      </c>
      <c r="E87" s="422" t="str">
        <f>IFERROR(__xludf.DUMMYFUNCTION("""COMPUTED_VALUE"""),"Team 4 Recall materials to mytel 10/2025")</f>
        <v>Team 4 Recall materials to mytel 10/2025</v>
      </c>
      <c r="F87" s="424">
        <f>IFERROR(__xludf.DUMMYFUNCTION("""COMPUTED_VALUE"""),45960.0)</f>
        <v>45960</v>
      </c>
      <c r="G87" s="424">
        <f>IFERROR(__xludf.DUMMYFUNCTION("""COMPUTED_VALUE"""),45969.0)</f>
        <v>45969</v>
      </c>
      <c r="H87" s="422" t="str">
        <f>IFERROR(__xludf.DUMMYFUNCTION("""COMPUTED_VALUE"""),"VCM277678-Naing Myo Htun")</f>
        <v>VCM277678-Naing Myo Htun</v>
      </c>
      <c r="I87" s="425">
        <f>IFERROR(__xludf.DUMMYFUNCTION("""COMPUTED_VALUE"""),45999.0)</f>
        <v>45999</v>
      </c>
      <c r="J87" s="424">
        <f>IFERROR(__xludf.DUMMYFUNCTION("""COMPUTED_VALUE"""),45993.0)</f>
        <v>45993</v>
      </c>
      <c r="K87" s="422"/>
      <c r="L87" s="422"/>
      <c r="M87" s="422" t="str">
        <f>IFERROR(__xludf.DUMMYFUNCTION("""COMPUTED_VALUE"""),"Dep Confirm completion")</f>
        <v>Dep Confirm completion</v>
      </c>
      <c r="N87" s="422"/>
      <c r="O87" s="422">
        <f>IFERROR(__xludf.DUMMYFUNCTION("""COMPUTED_VALUE"""),1.0)</f>
        <v>1</v>
      </c>
      <c r="P87" s="422"/>
      <c r="Q87" s="422"/>
      <c r="R87" s="98"/>
      <c r="S87" s="98" t="str">
        <f>IFERROR(__xludf.DUMMYFUNCTION("""COMPUTED_VALUE"""),"-")</f>
        <v>-</v>
      </c>
      <c r="T87" s="98" t="str">
        <f>IFERROR(__xludf.DUMMYFUNCTION("""COMPUTED_VALUE"""),"Team 4 Recall materials to mytel 10/2025")</f>
        <v>Team 4 Recall materials to mytel 10/2025</v>
      </c>
      <c r="W87" s="98" t="str">
        <f>IFERROR(__xludf.DUMMYFUNCTION("""COMPUTED_VALUE"""),"TNI0153")</f>
        <v>TNI0153</v>
      </c>
      <c r="X87" s="98" t="str">
        <f>IFERROR(__xludf.DUMMYFUNCTION("""COMPUTED_VALUE"""),"Team 01")</f>
        <v>Team 01</v>
      </c>
    </row>
    <row r="88">
      <c r="A88" s="422">
        <f>IFERROR(__xludf.DUMMYFUNCTION("""COMPUTED_VALUE"""),86.0)</f>
        <v>86</v>
      </c>
      <c r="B88" s="422" t="str">
        <f>IFERROR(__xludf.DUMMYFUNCTION("""COMPUTED_VALUE"""),"Asset")</f>
        <v>Asset</v>
      </c>
      <c r="C88" s="422" t="str">
        <f>IFERROR(__xludf.DUMMYFUNCTION("""COMPUTED_VALUE"""),"Team 04")</f>
        <v>Team 04</v>
      </c>
      <c r="D88" s="422" t="str">
        <f>IFERROR(__xludf.DUMMYFUNCTION("""COMPUTED_VALUE"""),"Request export")</f>
        <v>Request export</v>
      </c>
      <c r="E88" s="422" t="str">
        <f>IFERROR(__xludf.DUMMYFUNCTION("""COMPUTED_VALUE"""),"TNI0012-Thailand")</f>
        <v>TNI0012-Thailand</v>
      </c>
      <c r="F88" s="424">
        <f>IFERROR(__xludf.DUMMYFUNCTION("""COMPUTED_VALUE"""),45973.0)</f>
        <v>45973</v>
      </c>
      <c r="G88" s="424">
        <f>IFERROR(__xludf.DUMMYFUNCTION("""COMPUTED_VALUE"""),45976.0)</f>
        <v>45976</v>
      </c>
      <c r="H88" s="422" t="str">
        <f>IFERROR(__xludf.DUMMYFUNCTION("""COMPUTED_VALUE"""),"VCM277678-Naing Myo Htun")</f>
        <v>VCM277678-Naing Myo Htun</v>
      </c>
      <c r="I88" s="425">
        <f>IFERROR(__xludf.DUMMYFUNCTION("""COMPUTED_VALUE"""),46006.0)</f>
        <v>46006</v>
      </c>
      <c r="J88" s="424">
        <f>IFERROR(__xludf.DUMMYFUNCTION("""COMPUTED_VALUE"""),45990.0)</f>
        <v>45990</v>
      </c>
      <c r="K88" s="422"/>
      <c r="L88" s="422"/>
      <c r="M88" s="422" t="str">
        <f>IFERROR(__xludf.DUMMYFUNCTION("""COMPUTED_VALUE"""),"Dep Confirm completion")</f>
        <v>Dep Confirm completion</v>
      </c>
      <c r="N88" s="422"/>
      <c r="O88" s="422">
        <f>IFERROR(__xludf.DUMMYFUNCTION("""COMPUTED_VALUE"""),1.0)</f>
        <v>1</v>
      </c>
      <c r="P88" s="422"/>
      <c r="Q88" s="422"/>
      <c r="R88" s="98"/>
      <c r="S88" s="98" t="str">
        <f>IFERROR(__xludf.DUMMYFUNCTION("""COMPUTED_VALUE"""),"myt_khantchaw.nyo")</f>
        <v>myt_khantchaw.nyo</v>
      </c>
      <c r="T88" s="98" t="str">
        <f>IFERROR(__xludf.DUMMYFUNCTION("""COMPUTED_VALUE"""),"TNI0012")</f>
        <v>TNI0012</v>
      </c>
      <c r="W88" s="98" t="str">
        <f>IFERROR(__xludf.DUMMYFUNCTION("""COMPUTED_VALUE"""),"TNI0153_01")</f>
        <v>TNI0153_01</v>
      </c>
      <c r="X88" s="98" t="str">
        <f>IFERROR(__xludf.DUMMYFUNCTION("""COMPUTED_VALUE"""),"Team 01")</f>
        <v>Team 01</v>
      </c>
    </row>
    <row r="89">
      <c r="A89" s="422">
        <f>IFERROR(__xludf.DUMMYFUNCTION("""COMPUTED_VALUE"""),87.0)</f>
        <v>87</v>
      </c>
      <c r="B89" s="422" t="str">
        <f>IFERROR(__xludf.DUMMYFUNCTION("""COMPUTED_VALUE"""),"Asset")</f>
        <v>Asset</v>
      </c>
      <c r="C89" s="422" t="str">
        <f>IFERROR(__xludf.DUMMYFUNCTION("""COMPUTED_VALUE"""),"Team 04")</f>
        <v>Team 04</v>
      </c>
      <c r="D89" s="422" t="str">
        <f>IFERROR(__xludf.DUMMYFUNCTION("""COMPUTED_VALUE"""),"Request export")</f>
        <v>Request export</v>
      </c>
      <c r="E89" s="422" t="str">
        <f>IFERROR(__xludf.DUMMYFUNCTION("""COMPUTED_VALUE"""),"F8 24 Closure _20pcs to VCM BBranch office in system ")</f>
        <v>F8 24 Closure _20pcs to VCM BBranch office in system </v>
      </c>
      <c r="F89" s="424">
        <f>IFERROR(__xludf.DUMMYFUNCTION("""COMPUTED_VALUE"""),46046.0)</f>
        <v>46046</v>
      </c>
      <c r="G89" s="424">
        <f>IFERROR(__xludf.DUMMYFUNCTION("""COMPUTED_VALUE"""),46047.0)</f>
        <v>46047</v>
      </c>
      <c r="H89" s="422"/>
      <c r="I89" s="422"/>
      <c r="J89" s="422"/>
      <c r="K89" s="422"/>
      <c r="L89" s="422"/>
      <c r="M89" s="422"/>
      <c r="N89" s="422"/>
      <c r="O89" s="422">
        <f>IFERROR(__xludf.DUMMYFUNCTION("""COMPUTED_VALUE"""),0.0)</f>
        <v>0</v>
      </c>
      <c r="P89" s="422"/>
      <c r="Q89" s="422"/>
      <c r="R89" s="98"/>
      <c r="S89" s="98" t="str">
        <f>IFERROR(__xludf.DUMMYFUNCTION("""COMPUTED_VALUE"""),"-")</f>
        <v>-</v>
      </c>
      <c r="T89" s="98" t="str">
        <f>IFERROR(__xludf.DUMMYFUNCTION("""COMPUTED_VALUE"""),"F8 24 Closure _20pcs to VCM BBranch office in system ")</f>
        <v>F8 24 Closure _20pcs to VCM BBranch office in system </v>
      </c>
      <c r="W89" s="98" t="str">
        <f>IFERROR(__xludf.DUMMYFUNCTION("""COMPUTED_VALUE"""),"TNI0153_02")</f>
        <v>TNI0153_02</v>
      </c>
      <c r="X89" s="98" t="str">
        <f>IFERROR(__xludf.DUMMYFUNCTION("""COMPUTED_VALUE"""),"Team 01")</f>
        <v>Team 01</v>
      </c>
    </row>
    <row r="90">
      <c r="A90" s="422">
        <f>IFERROR(__xludf.DUMMYFUNCTION("""COMPUTED_VALUE"""),88.0)</f>
        <v>88</v>
      </c>
      <c r="B90" s="422" t="str">
        <f>IFERROR(__xludf.DUMMYFUNCTION("""COMPUTED_VALUE"""),"Asset")</f>
        <v>Asset</v>
      </c>
      <c r="C90" s="422" t="str">
        <f>IFERROR(__xludf.DUMMYFUNCTION("""COMPUTED_VALUE"""),"Team 04")</f>
        <v>Team 04</v>
      </c>
      <c r="D90" s="422" t="str">
        <f>IFERROR(__xludf.DUMMYFUNCTION("""COMPUTED_VALUE"""),"Return to send Branch Office")</f>
        <v>Return to send Branch Office</v>
      </c>
      <c r="E90" s="422" t="str">
        <f>IFERROR(__xludf.DUMMYFUNCTION("""COMPUTED_VALUE"""),"TNI0392 Recall PU : 2 Pcs Serial: 219561075438, 219561075444")</f>
        <v>TNI0392 Recall PU : 2 Pcs Serial: 219561075438, 219561075444</v>
      </c>
      <c r="F90" s="424">
        <f>IFERROR(__xludf.DUMMYFUNCTION("""COMPUTED_VALUE"""),46035.0)</f>
        <v>46035</v>
      </c>
      <c r="G90" s="424">
        <f>IFERROR(__xludf.DUMMYFUNCTION("""COMPUTED_VALUE"""),46042.0)</f>
        <v>46042</v>
      </c>
      <c r="H90" s="422" t="str">
        <f>IFERROR(__xludf.DUMMYFUNCTION("""COMPUTED_VALUE"""),"VCM277678-Naing Myo Htun")</f>
        <v>VCM277678-Naing Myo Htun</v>
      </c>
      <c r="I90" s="425">
        <f>IFERROR(__xludf.DUMMYFUNCTION("""COMPUTED_VALUE"""),46042.0)</f>
        <v>46042</v>
      </c>
      <c r="J90" s="424">
        <f>IFERROR(__xludf.DUMMYFUNCTION("""COMPUTED_VALUE"""),46054.0)</f>
        <v>46054</v>
      </c>
      <c r="K90" s="422"/>
      <c r="L90" s="422"/>
      <c r="M90" s="422"/>
      <c r="N90" s="422"/>
      <c r="O90" s="422">
        <f>IFERROR(__xludf.DUMMYFUNCTION("""COMPUTED_VALUE"""),0.0)</f>
        <v>0</v>
      </c>
      <c r="P90" s="422"/>
      <c r="Q90" s="422"/>
      <c r="R90" s="98"/>
      <c r="S90" s="98" t="str">
        <f>IFERROR(__xludf.DUMMYFUNCTION("""COMPUTED_VALUE"""),"myt_tinmaung.win")</f>
        <v>myt_tinmaung.win</v>
      </c>
      <c r="T90" s="98" t="str">
        <f>IFERROR(__xludf.DUMMYFUNCTION("""COMPUTED_VALUE"""),"TNI0392")</f>
        <v>TNI0392</v>
      </c>
      <c r="W90" s="98" t="str">
        <f>IFERROR(__xludf.DUMMYFUNCTION("""COMPUTED_VALUE"""),"TNI0185")</f>
        <v>TNI0185</v>
      </c>
      <c r="X90" s="98" t="str">
        <f>IFERROR(__xludf.DUMMYFUNCTION("""COMPUTED_VALUE"""),"Team 01")</f>
        <v>Team 01</v>
      </c>
    </row>
    <row r="91">
      <c r="A91" s="422">
        <f>IFERROR(__xludf.DUMMYFUNCTION("""COMPUTED_VALUE"""),89.0)</f>
        <v>89</v>
      </c>
      <c r="B91" s="422" t="str">
        <f>IFERROR(__xludf.DUMMYFUNCTION("""COMPUTED_VALUE"""),"Asset")</f>
        <v>Asset</v>
      </c>
      <c r="C91" s="422" t="str">
        <f>IFERROR(__xludf.DUMMYFUNCTION("""COMPUTED_VALUE"""),"Team 04")</f>
        <v>Team 04</v>
      </c>
      <c r="D91" s="422" t="str">
        <f>IFERROR(__xludf.DUMMYFUNCTION("""COMPUTED_VALUE"""),"Return to send Branch Office")</f>
        <v>Return to send Branch Office</v>
      </c>
      <c r="E91" s="422" t="str">
        <f>IFERROR(__xludf.DUMMYFUNCTION("""COMPUTED_VALUE""")," 2V Battery - 48 pcs in TNI_ROT_04 ")</f>
        <v> 2V Battery - 48 pcs in TNI_ROT_04 </v>
      </c>
      <c r="F91" s="424">
        <f>IFERROR(__xludf.DUMMYFUNCTION("""COMPUTED_VALUE"""),46035.0)</f>
        <v>46035</v>
      </c>
      <c r="G91" s="424">
        <f>IFERROR(__xludf.DUMMYFUNCTION("""COMPUTED_VALUE"""),46040.0)</f>
        <v>46040</v>
      </c>
      <c r="H91" s="422" t="str">
        <f>IFERROR(__xludf.DUMMYFUNCTION("""COMPUTED_VALUE"""),"VCM277678-Naing Myo Htun")</f>
        <v>VCM277678-Naing Myo Htun</v>
      </c>
      <c r="I91" s="425">
        <f>IFERROR(__xludf.DUMMYFUNCTION("""COMPUTED_VALUE"""),46040.0)</f>
        <v>46040</v>
      </c>
      <c r="J91" s="422"/>
      <c r="K91" s="422"/>
      <c r="L91" s="422"/>
      <c r="M91" s="422"/>
      <c r="N91" s="422"/>
      <c r="O91" s="422">
        <f>IFERROR(__xludf.DUMMYFUNCTION("""COMPUTED_VALUE"""),0.0)</f>
        <v>0</v>
      </c>
      <c r="P91" s="422"/>
      <c r="Q91" s="422"/>
      <c r="R91" s="98"/>
      <c r="S91" s="98" t="str">
        <f>IFERROR(__xludf.DUMMYFUNCTION("""COMPUTED_VALUE"""),"-")</f>
        <v>-</v>
      </c>
      <c r="T91" s="98" t="str">
        <f>IFERROR(__xludf.DUMMYFUNCTION("""COMPUTED_VALUE"""),"TNI_ROT")</f>
        <v>TNI_ROT</v>
      </c>
      <c r="W91" s="98" t="str">
        <f>IFERROR(__xludf.DUMMYFUNCTION("""COMPUTED_VALUE"""),"TNI0188")</f>
        <v>TNI0188</v>
      </c>
      <c r="X91" s="98" t="str">
        <f>IFERROR(__xludf.DUMMYFUNCTION("""COMPUTED_VALUE"""),"Team 01")</f>
        <v>Team 01</v>
      </c>
    </row>
    <row r="92">
      <c r="A92" s="422">
        <f>IFERROR(__xludf.DUMMYFUNCTION("""COMPUTED_VALUE"""),90.0)</f>
        <v>90</v>
      </c>
      <c r="B92" s="422" t="str">
        <f>IFERROR(__xludf.DUMMYFUNCTION("""COMPUTED_VALUE"""),"Asset")</f>
        <v>Asset</v>
      </c>
      <c r="C92" s="422" t="str">
        <f>IFERROR(__xludf.DUMMYFUNCTION("""COMPUTED_VALUE"""),"Team 05")</f>
        <v>Team 05</v>
      </c>
      <c r="D92" s="422" t="str">
        <f>IFERROR(__xludf.DUMMYFUNCTION("""COMPUTED_VALUE"""),"Inventory Site")</f>
        <v>Inventory Site</v>
      </c>
      <c r="E92" s="422" t="str">
        <f>IFERROR(__xludf.DUMMYFUNCTION("""COMPUTED_VALUE"""),"Need to check Yearly Inventory")</f>
        <v>Need to check Yearly Inventory</v>
      </c>
      <c r="F92" s="422"/>
      <c r="G92" s="422"/>
      <c r="H92" s="422" t="str">
        <f>IFERROR(__xludf.DUMMYFUNCTION("""COMPUTED_VALUE"""),"VCM290207-Min Paing Oo")</f>
        <v>VCM290207-Min Paing Oo</v>
      </c>
      <c r="I92" s="425">
        <f>IFERROR(__xludf.DUMMYFUNCTION("""COMPUTED_VALUE"""),46045.0)</f>
        <v>46045</v>
      </c>
      <c r="J92" s="422"/>
      <c r="K92" s="422"/>
      <c r="L92" s="422"/>
      <c r="M92" s="422"/>
      <c r="N92" s="422"/>
      <c r="O92" s="422">
        <f>IFERROR(__xludf.DUMMYFUNCTION("""COMPUTED_VALUE"""),0.0)</f>
        <v>0</v>
      </c>
      <c r="P92" s="422"/>
      <c r="Q92" s="422"/>
      <c r="R92" s="98"/>
      <c r="S92" s="98" t="str">
        <f>IFERROR(__xludf.DUMMYFUNCTION("""COMPUTED_VALUE"""),"-")</f>
        <v>-</v>
      </c>
      <c r="T92" s="98" t="str">
        <f>IFERROR(__xludf.DUMMYFUNCTION("""COMPUTED_VALUE"""),"Need to check Yearly Inventory")</f>
        <v>Need to check Yearly Inventory</v>
      </c>
      <c r="W92" s="98" t="str">
        <f>IFERROR(__xludf.DUMMYFUNCTION("""COMPUTED_VALUE"""),"TNI0189")</f>
        <v>TNI0189</v>
      </c>
      <c r="X92" s="98" t="str">
        <f>IFERROR(__xludf.DUMMYFUNCTION("""COMPUTED_VALUE"""),"Team 01")</f>
        <v>Team 01</v>
      </c>
    </row>
    <row r="93">
      <c r="A93" s="422">
        <f>IFERROR(__xludf.DUMMYFUNCTION("""COMPUTED_VALUE"""),91.0)</f>
        <v>91</v>
      </c>
      <c r="B93" s="422" t="str">
        <f>IFERROR(__xludf.DUMMYFUNCTION("""COMPUTED_VALUE"""),"Asset")</f>
        <v>Asset</v>
      </c>
      <c r="C93" s="422" t="str">
        <f>IFERROR(__xludf.DUMMYFUNCTION("""COMPUTED_VALUE"""),"Team 05")</f>
        <v>Team 05</v>
      </c>
      <c r="D93" s="422" t="str">
        <f>IFERROR(__xludf.DUMMYFUNCTION("""COMPUTED_VALUE"""),"Inventory Site")</f>
        <v>Inventory Site</v>
      </c>
      <c r="E93" s="422" t="str">
        <f>IFERROR(__xludf.DUMMYFUNCTION("""COMPUTED_VALUE"""),"Team 5 Plan Site need finish week 48 =&gt; : 14,Cable Plan need finish week 48 =&gt; : 7,MW Plan need finish week 48 =&gt; : 7")</f>
        <v>Team 5 Plan Site need finish week 48 =&gt; : 14,Cable Plan need finish week 48 =&gt; : 7,MW Plan need finish week 48 =&gt; : 7</v>
      </c>
      <c r="F93" s="424">
        <f>IFERROR(__xludf.DUMMYFUNCTION("""COMPUTED_VALUE"""),45985.0)</f>
        <v>45985</v>
      </c>
      <c r="G93" s="424">
        <f>IFERROR(__xludf.DUMMYFUNCTION("""COMPUTED_VALUE"""),45991.0)</f>
        <v>45991</v>
      </c>
      <c r="H93" s="422" t="str">
        <f>IFERROR(__xludf.DUMMYFUNCTION("""COMPUTED_VALUE"""),"VCM811568-Aung Kyaw Latt")</f>
        <v>VCM811568-Aung Kyaw Latt</v>
      </c>
      <c r="I93" s="425">
        <f>IFERROR(__xludf.DUMMYFUNCTION("""COMPUTED_VALUE"""),46046.0)</f>
        <v>46046</v>
      </c>
      <c r="J93" s="422"/>
      <c r="K93" s="422"/>
      <c r="L93" s="422"/>
      <c r="M93" s="422"/>
      <c r="N93" s="422"/>
      <c r="O93" s="422">
        <f>IFERROR(__xludf.DUMMYFUNCTION("""COMPUTED_VALUE"""),0.0)</f>
        <v>0</v>
      </c>
      <c r="P93" s="422"/>
      <c r="Q93" s="422"/>
      <c r="R93" s="98"/>
      <c r="S93" s="98" t="str">
        <f>IFERROR(__xludf.DUMMYFUNCTION("""COMPUTED_VALUE"""),"-")</f>
        <v>-</v>
      </c>
      <c r="T93" s="98" t="str">
        <f>IFERROR(__xludf.DUMMYFUNCTION("""COMPUTED_VALUE"""),"Team 5 Plan Site need finish week 48 =&gt; : 14,Cable Plan need finish week 48 =&gt; : 7,MW Plan need finish week 48 =&gt; : 7")</f>
        <v>Team 5 Plan Site need finish week 48 =&gt; : 14,Cable Plan need finish week 48 =&gt; : 7,MW Plan need finish week 48 =&gt; : 7</v>
      </c>
      <c r="W93" s="98" t="str">
        <f>IFERROR(__xludf.DUMMYFUNCTION("""COMPUTED_VALUE"""),"TNI0206")</f>
        <v>TNI0206</v>
      </c>
      <c r="X93" s="98" t="str">
        <f>IFERROR(__xludf.DUMMYFUNCTION("""COMPUTED_VALUE"""),"Team 01")</f>
        <v>Team 01</v>
      </c>
    </row>
    <row r="94">
      <c r="A94" s="422">
        <f>IFERROR(__xludf.DUMMYFUNCTION("""COMPUTED_VALUE"""),92.0)</f>
        <v>92</v>
      </c>
      <c r="B94" s="422" t="str">
        <f>IFERROR(__xludf.DUMMYFUNCTION("""COMPUTED_VALUE"""),"Asset")</f>
        <v>Asset</v>
      </c>
      <c r="C94" s="422" t="str">
        <f>IFERROR(__xludf.DUMMYFUNCTION("""COMPUTED_VALUE"""),"Team 05")</f>
        <v>Team 05</v>
      </c>
      <c r="D94" s="422" t="str">
        <f>IFERROR(__xludf.DUMMYFUNCTION("""COMPUTED_VALUE"""),"Inventory Site")</f>
        <v>Inventory Site</v>
      </c>
      <c r="E94" s="422" t="str">
        <f>IFERROR(__xludf.DUMMYFUNCTION("""COMPUTED_VALUE"""),"Team 5 plan need inentory week 48= Site: 14&amp;=&amp; Cable: 14&amp;=&amp; MW: 7")</f>
        <v>Team 5 plan need inentory week 48= Site: 14&amp;=&amp; Cable: 14&amp;=&amp; MW: 7</v>
      </c>
      <c r="F94" s="424">
        <f>IFERROR(__xludf.DUMMYFUNCTION("""COMPUTED_VALUE"""),45988.0)</f>
        <v>45988</v>
      </c>
      <c r="G94" s="424">
        <f>IFERROR(__xludf.DUMMYFUNCTION("""COMPUTED_VALUE"""),45996.0)</f>
        <v>45996</v>
      </c>
      <c r="H94" s="422" t="str">
        <f>IFERROR(__xludf.DUMMYFUNCTION("""COMPUTED_VALUE"""),"VCM811568-Aung Kyaw Latt")</f>
        <v>VCM811568-Aung Kyaw Latt</v>
      </c>
      <c r="I94" s="425">
        <f>IFERROR(__xludf.DUMMYFUNCTION("""COMPUTED_VALUE"""),46045.0)</f>
        <v>46045</v>
      </c>
      <c r="J94" s="422"/>
      <c r="K94" s="422"/>
      <c r="L94" s="422"/>
      <c r="M94" s="422"/>
      <c r="N94" s="422"/>
      <c r="O94" s="422">
        <f>IFERROR(__xludf.DUMMYFUNCTION("""COMPUTED_VALUE"""),0.0)</f>
        <v>0</v>
      </c>
      <c r="P94" s="422"/>
      <c r="Q94" s="422"/>
      <c r="R94" s="98"/>
      <c r="S94" s="98" t="str">
        <f>IFERROR(__xludf.DUMMYFUNCTION("""COMPUTED_VALUE"""),"-")</f>
        <v>-</v>
      </c>
      <c r="T94" s="98" t="str">
        <f>IFERROR(__xludf.DUMMYFUNCTION("""COMPUTED_VALUE"""),"Team 5 plan need inentory week 48= Site: 14&amp;=&amp; Cable: 14&amp;=&amp; MW: 7")</f>
        <v>Team 5 plan need inentory week 48= Site: 14&amp;=&amp; Cable: 14&amp;=&amp; MW: 7</v>
      </c>
      <c r="W94" s="98" t="str">
        <f>IFERROR(__xludf.DUMMYFUNCTION("""COMPUTED_VALUE"""),"TNI0213")</f>
        <v>TNI0213</v>
      </c>
      <c r="X94" s="98" t="str">
        <f>IFERROR(__xludf.DUMMYFUNCTION("""COMPUTED_VALUE"""),"Team 01")</f>
        <v>Team 01</v>
      </c>
    </row>
    <row r="95">
      <c r="A95" s="422">
        <f>IFERROR(__xludf.DUMMYFUNCTION("""COMPUTED_VALUE"""),93.0)</f>
        <v>93</v>
      </c>
      <c r="B95" s="422" t="str">
        <f>IFERROR(__xludf.DUMMYFUNCTION("""COMPUTED_VALUE"""),"Asset")</f>
        <v>Asset</v>
      </c>
      <c r="C95" s="422" t="str">
        <f>IFERROR(__xludf.DUMMYFUNCTION("""COMPUTED_VALUE"""),"Team 05")</f>
        <v>Team 05</v>
      </c>
      <c r="D95" s="422" t="str">
        <f>IFERROR(__xludf.DUMMYFUNCTION("""COMPUTED_VALUE"""),"Inventory Site")</f>
        <v>Inventory Site</v>
      </c>
      <c r="E95" s="422" t="str">
        <f>IFERROR(__xludf.DUMMYFUNCTION("""COMPUTED_VALUE"""),"Team 5 plan need inentory week 51= Site: 21&amp;=&amp; Cable: 21&amp;=&amp; MW: 7")</f>
        <v>Team 5 plan need inentory week 51= Site: 21&amp;=&amp; Cable: 21&amp;=&amp; MW: 7</v>
      </c>
      <c r="F95" s="424">
        <f>IFERROR(__xludf.DUMMYFUNCTION("""COMPUTED_VALUE"""),46006.0)</f>
        <v>46006</v>
      </c>
      <c r="G95" s="424">
        <f>IFERROR(__xludf.DUMMYFUNCTION("""COMPUTED_VALUE"""),46016.0)</f>
        <v>46016</v>
      </c>
      <c r="H95" s="422" t="str">
        <f>IFERROR(__xludf.DUMMYFUNCTION("""COMPUTED_VALUE"""),"VCM811568-Aung Kyaw Latt")</f>
        <v>VCM811568-Aung Kyaw Latt</v>
      </c>
      <c r="I95" s="425">
        <f>IFERROR(__xludf.DUMMYFUNCTION("""COMPUTED_VALUE"""),46045.0)</f>
        <v>46045</v>
      </c>
      <c r="J95" s="422"/>
      <c r="K95" s="422"/>
      <c r="L95" s="422"/>
      <c r="M95" s="422"/>
      <c r="N95" s="422"/>
      <c r="O95" s="422">
        <f>IFERROR(__xludf.DUMMYFUNCTION("""COMPUTED_VALUE"""),0.0)</f>
        <v>0</v>
      </c>
      <c r="P95" s="422"/>
      <c r="Q95" s="422"/>
      <c r="R95" s="98"/>
      <c r="S95" s="98" t="str">
        <f>IFERROR(__xludf.DUMMYFUNCTION("""COMPUTED_VALUE"""),"-")</f>
        <v>-</v>
      </c>
      <c r="T95" s="98" t="str">
        <f>IFERROR(__xludf.DUMMYFUNCTION("""COMPUTED_VALUE"""),"Team 5 plan need inentory week 51= Site: 21&amp;=&amp; Cable: 21&amp;=&amp; MW: 7")</f>
        <v>Team 5 plan need inentory week 51= Site: 21&amp;=&amp; Cable: 21&amp;=&amp; MW: 7</v>
      </c>
      <c r="W95" s="98" t="str">
        <f>IFERROR(__xludf.DUMMYFUNCTION("""COMPUTED_VALUE"""),"TNI0220")</f>
        <v>TNI0220</v>
      </c>
      <c r="X95" s="98" t="str">
        <f>IFERROR(__xludf.DUMMYFUNCTION("""COMPUTED_VALUE"""),"Team 01")</f>
        <v>Team 01</v>
      </c>
    </row>
    <row r="96">
      <c r="A96" s="422">
        <f>IFERROR(__xludf.DUMMYFUNCTION("""COMPUTED_VALUE"""),94.0)</f>
        <v>94</v>
      </c>
      <c r="B96" s="422" t="str">
        <f>IFERROR(__xludf.DUMMYFUNCTION("""COMPUTED_VALUE"""),"Asset")</f>
        <v>Asset</v>
      </c>
      <c r="C96" s="422" t="str">
        <f>IFERROR(__xludf.DUMMYFUNCTION("""COMPUTED_VALUE"""),"Team 05")</f>
        <v>Team 05</v>
      </c>
      <c r="D96" s="422" t="str">
        <f>IFERROR(__xludf.DUMMYFUNCTION("""COMPUTED_VALUE"""),"Inventory Team")</f>
        <v>Inventory Team</v>
      </c>
      <c r="E96" s="422" t="str">
        <f>IFERROR(__xludf.DUMMYFUNCTION("""COMPUTED_VALUE"""),"Inventory NOC-ROT-TOOL VCM-MYTEL Team 5")</f>
        <v>Inventory NOC-ROT-TOOL VCM-MYTEL Team 5</v>
      </c>
      <c r="F96" s="424">
        <f>IFERROR(__xludf.DUMMYFUNCTION("""COMPUTED_VALUE"""),45959.0)</f>
        <v>45959</v>
      </c>
      <c r="G96" s="424">
        <f>IFERROR(__xludf.DUMMYFUNCTION("""COMPUTED_VALUE"""),45969.0)</f>
        <v>45969</v>
      </c>
      <c r="H96" s="422" t="str">
        <f>IFERROR(__xludf.DUMMYFUNCTION("""COMPUTED_VALUE"""),"VCM811568-Aung Kyaw Latt, VCM290207-Min Paing Oo")</f>
        <v>VCM811568-Aung Kyaw Latt, VCM290207-Min Paing Oo</v>
      </c>
      <c r="I96" s="425">
        <f>IFERROR(__xludf.DUMMYFUNCTION("""COMPUTED_VALUE"""),46041.0)</f>
        <v>46041</v>
      </c>
      <c r="J96" s="422"/>
      <c r="K96" s="422"/>
      <c r="L96" s="422"/>
      <c r="M96" s="422"/>
      <c r="N96" s="422"/>
      <c r="O96" s="422">
        <f>IFERROR(__xludf.DUMMYFUNCTION("""COMPUTED_VALUE"""),0.0)</f>
        <v>0</v>
      </c>
      <c r="P96" s="422"/>
      <c r="Q96" s="422"/>
      <c r="R96" s="98"/>
      <c r="S96" s="98" t="str">
        <f>IFERROR(__xludf.DUMMYFUNCTION("""COMPUTED_VALUE"""),"-")</f>
        <v>-</v>
      </c>
      <c r="T96" s="98" t="str">
        <f>IFERROR(__xludf.DUMMYFUNCTION("""COMPUTED_VALUE"""),"Inventory NOC-ROT-TOOL VCM-MYTEL Team 5")</f>
        <v>Inventory NOC-ROT-TOOL VCM-MYTEL Team 5</v>
      </c>
      <c r="W96" s="98" t="str">
        <f>IFERROR(__xludf.DUMMYFUNCTION("""COMPUTED_VALUE"""),"TNI0283")</f>
        <v>TNI0283</v>
      </c>
      <c r="X96" s="98" t="str">
        <f>IFERROR(__xludf.DUMMYFUNCTION("""COMPUTED_VALUE"""),"Team 01")</f>
        <v>Team 01</v>
      </c>
    </row>
    <row r="97">
      <c r="A97" s="422">
        <f>IFERROR(__xludf.DUMMYFUNCTION("""COMPUTED_VALUE"""),95.0)</f>
        <v>95</v>
      </c>
      <c r="B97" s="422" t="str">
        <f>IFERROR(__xludf.DUMMYFUNCTION("""COMPUTED_VALUE"""),"Asset")</f>
        <v>Asset</v>
      </c>
      <c r="C97" s="422" t="str">
        <f>IFERROR(__xludf.DUMMYFUNCTION("""COMPUTED_VALUE"""),"Team 05")</f>
        <v>Team 05</v>
      </c>
      <c r="D97" s="422" t="str">
        <f>IFERROR(__xludf.DUMMYFUNCTION("""COMPUTED_VALUE"""),"Recall to Mytel ")</f>
        <v>Recall to Mytel </v>
      </c>
      <c r="E97" s="422" t="str">
        <f>IFERROR(__xludf.DUMMYFUNCTION("""COMPUTED_VALUE"""),"Team 5 Recall materials to mytel 10/2025")</f>
        <v>Team 5 Recall materials to mytel 10/2025</v>
      </c>
      <c r="F97" s="424">
        <f>IFERROR(__xludf.DUMMYFUNCTION("""COMPUTED_VALUE"""),45960.0)</f>
        <v>45960</v>
      </c>
      <c r="G97" s="424">
        <f>IFERROR(__xludf.DUMMYFUNCTION("""COMPUTED_VALUE"""),45969.0)</f>
        <v>45969</v>
      </c>
      <c r="H97" s="422" t="str">
        <f>IFERROR(__xludf.DUMMYFUNCTION("""COMPUTED_VALUE"""),"VCM290207-Min Paing Oo")</f>
        <v>VCM290207-Min Paing Oo</v>
      </c>
      <c r="I97" s="425">
        <f>IFERROR(__xludf.DUMMYFUNCTION("""COMPUTED_VALUE"""),46043.0)</f>
        <v>46043</v>
      </c>
      <c r="J97" s="422"/>
      <c r="K97" s="422"/>
      <c r="L97" s="422"/>
      <c r="M97" s="422"/>
      <c r="N97" s="422"/>
      <c r="O97" s="422">
        <f>IFERROR(__xludf.DUMMYFUNCTION("""COMPUTED_VALUE"""),0.0)</f>
        <v>0</v>
      </c>
      <c r="P97" s="422"/>
      <c r="Q97" s="422"/>
      <c r="R97" s="98"/>
      <c r="S97" s="98" t="str">
        <f>IFERROR(__xludf.DUMMYFUNCTION("""COMPUTED_VALUE"""),"-")</f>
        <v>-</v>
      </c>
      <c r="T97" s="98" t="str">
        <f>IFERROR(__xludf.DUMMYFUNCTION("""COMPUTED_VALUE"""),"Team 5 Recall materials to mytel 10/2025")</f>
        <v>Team 5 Recall materials to mytel 10/2025</v>
      </c>
      <c r="W97" s="98" t="str">
        <f>IFERROR(__xludf.DUMMYFUNCTION("""COMPUTED_VALUE"""),"TNI0284")</f>
        <v>TNI0284</v>
      </c>
      <c r="X97" s="98" t="str">
        <f>IFERROR(__xludf.DUMMYFUNCTION("""COMPUTED_VALUE"""),"Team 01")</f>
        <v>Team 01</v>
      </c>
    </row>
    <row r="98">
      <c r="A98" s="422">
        <f>IFERROR(__xludf.DUMMYFUNCTION("""COMPUTED_VALUE"""),96.0)</f>
        <v>96</v>
      </c>
      <c r="B98" s="422" t="str">
        <f>IFERROR(__xludf.DUMMYFUNCTION("""COMPUTED_VALUE"""),"CM")</f>
        <v>CM</v>
      </c>
      <c r="C98" s="422" t="str">
        <f>IFERROR(__xludf.DUMMYFUNCTION("""COMPUTED_VALUE"""),"Team 01")</f>
        <v>Team 01</v>
      </c>
      <c r="D98" s="422" t="str">
        <f>IFERROR(__xludf.DUMMYFUNCTION("""COMPUTED_VALUE"""),"Request Export material")</f>
        <v>Request Export material</v>
      </c>
      <c r="E98" s="422" t="str">
        <f>IFERROR(__xludf.DUMMYFUNCTION("""COMPUTED_VALUE"""),"TNI0049-TNI0050 G7 1pcs closure 2 pcs , cable 280m, Tension 4pcs")</f>
        <v>TNI0049-TNI0050 G7 1pcs closure 2 pcs , cable 280m, Tension 4pcs</v>
      </c>
      <c r="F98" s="424">
        <f>IFERROR(__xludf.DUMMYFUNCTION("""COMPUTED_VALUE"""),45973.0)</f>
        <v>45973</v>
      </c>
      <c r="G98" s="424">
        <f>IFERROR(__xludf.DUMMYFUNCTION("""COMPUTED_VALUE"""),45976.0)</f>
        <v>45976</v>
      </c>
      <c r="H98" s="422"/>
      <c r="I98" s="422"/>
      <c r="J98" s="422"/>
      <c r="K98" s="422"/>
      <c r="L98" s="422"/>
      <c r="M98" s="422"/>
      <c r="N98" s="422"/>
      <c r="O98" s="422">
        <f>IFERROR(__xludf.DUMMYFUNCTION("""COMPUTED_VALUE"""),0.0)</f>
        <v>0</v>
      </c>
      <c r="P98" s="422"/>
      <c r="Q98" s="422"/>
      <c r="R98" s="98"/>
      <c r="S98" s="98" t="str">
        <f>IFERROR(__xludf.DUMMYFUNCTION("""COMPUTED_VALUE"""),"myt_myothant.htoo")</f>
        <v>myt_myothant.htoo</v>
      </c>
      <c r="T98" s="98" t="str">
        <f>IFERROR(__xludf.DUMMYFUNCTION("""COMPUTED_VALUE"""),"TNI0049")</f>
        <v>TNI0049</v>
      </c>
      <c r="W98" s="98" t="str">
        <f>IFERROR(__xludf.DUMMYFUNCTION("""COMPUTED_VALUE"""),"TNI0326")</f>
        <v>TNI0326</v>
      </c>
      <c r="X98" s="98" t="str">
        <f>IFERROR(__xludf.DUMMYFUNCTION("""COMPUTED_VALUE"""),"Team 01")</f>
        <v>Team 01</v>
      </c>
    </row>
    <row r="99">
      <c r="A99" s="422">
        <f>IFERROR(__xludf.DUMMYFUNCTION("""COMPUTED_VALUE"""),97.0)</f>
        <v>97</v>
      </c>
      <c r="B99" s="422" t="str">
        <f>IFERROR(__xludf.DUMMYFUNCTION("""COMPUTED_VALUE"""),"CM")</f>
        <v>CM</v>
      </c>
      <c r="C99" s="422" t="str">
        <f>IFERROR(__xludf.DUMMYFUNCTION("""COMPUTED_VALUE"""),"Team 01")</f>
        <v>Team 01</v>
      </c>
      <c r="D99" s="422" t="str">
        <f>IFERROR(__xludf.DUMMYFUNCTION("""COMPUTED_VALUE"""),"Request Export material")</f>
        <v>Request Export material</v>
      </c>
      <c r="E99" s="422" t="str">
        <f>IFERROR(__xludf.DUMMYFUNCTION("""COMPUTED_VALUE"""),"TNI0038-TNI0051&gt;&gt;24F8 Cable 280M,closure 2pcs, Tension 2pcs")</f>
        <v>TNI0038-TNI0051&gt;&gt;24F8 Cable 280M,closure 2pcs, Tension 2pcs</v>
      </c>
      <c r="F99" s="424">
        <f>IFERROR(__xludf.DUMMYFUNCTION("""COMPUTED_VALUE"""),45974.0)</f>
        <v>45974</v>
      </c>
      <c r="G99" s="424">
        <f>IFERROR(__xludf.DUMMYFUNCTION("""COMPUTED_VALUE"""),45977.0)</f>
        <v>45977</v>
      </c>
      <c r="H99" s="422"/>
      <c r="I99" s="422"/>
      <c r="J99" s="422"/>
      <c r="K99" s="422"/>
      <c r="L99" s="422"/>
      <c r="M99" s="422"/>
      <c r="N99" s="422"/>
      <c r="O99" s="422">
        <f>IFERROR(__xludf.DUMMYFUNCTION("""COMPUTED_VALUE"""),0.0)</f>
        <v>0</v>
      </c>
      <c r="P99" s="422"/>
      <c r="Q99" s="422"/>
      <c r="R99" s="98"/>
      <c r="S99" s="98" t="str">
        <f>IFERROR(__xludf.DUMMYFUNCTION("""COMPUTED_VALUE"""),"myt_bonemyat.naing1")</f>
        <v>myt_bonemyat.naing1</v>
      </c>
      <c r="T99" s="98" t="str">
        <f>IFERROR(__xludf.DUMMYFUNCTION("""COMPUTED_VALUE"""),"TNI0038")</f>
        <v>TNI0038</v>
      </c>
      <c r="W99" s="98" t="str">
        <f>IFERROR(__xludf.DUMMYFUNCTION("""COMPUTED_VALUE"""),"TNI0330")</f>
        <v>TNI0330</v>
      </c>
      <c r="X99" s="98" t="str">
        <f>IFERROR(__xludf.DUMMYFUNCTION("""COMPUTED_VALUE"""),"Team 01")</f>
        <v>Team 01</v>
      </c>
    </row>
    <row r="100">
      <c r="A100" s="422">
        <f>IFERROR(__xludf.DUMMYFUNCTION("""COMPUTED_VALUE"""),98.0)</f>
        <v>98</v>
      </c>
      <c r="B100" s="422" t="str">
        <f>IFERROR(__xludf.DUMMYFUNCTION("""COMPUTED_VALUE"""),"CM")</f>
        <v>CM</v>
      </c>
      <c r="C100" s="422" t="str">
        <f>IFERROR(__xludf.DUMMYFUNCTION("""COMPUTED_VALUE"""),"Team 01")</f>
        <v>Team 01</v>
      </c>
      <c r="D100" s="422" t="str">
        <f>IFERROR(__xludf.DUMMYFUNCTION("""COMPUTED_VALUE"""),"Request Export material")</f>
        <v>Request Export material</v>
      </c>
      <c r="E100" s="422" t="str">
        <f>IFERROR(__xludf.DUMMYFUNCTION("""COMPUTED_VALUE"""),"TNI0049-TNI0050&gt;&gt;G71pcs closure 2 pcs , cable 280m, Tension 4pcs")</f>
        <v>TNI0049-TNI0050&gt;&gt;G71pcs closure 2 pcs , cable 280m, Tension 4pcs</v>
      </c>
      <c r="F100" s="424">
        <f>IFERROR(__xludf.DUMMYFUNCTION("""COMPUTED_VALUE"""),45974.0)</f>
        <v>45974</v>
      </c>
      <c r="G100" s="424">
        <f>IFERROR(__xludf.DUMMYFUNCTION("""COMPUTED_VALUE"""),45977.0)</f>
        <v>45977</v>
      </c>
      <c r="H100" s="422"/>
      <c r="I100" s="422"/>
      <c r="J100" s="422"/>
      <c r="K100" s="422"/>
      <c r="L100" s="422"/>
      <c r="M100" s="422"/>
      <c r="N100" s="422"/>
      <c r="O100" s="422">
        <f>IFERROR(__xludf.DUMMYFUNCTION("""COMPUTED_VALUE"""),0.0)</f>
        <v>0</v>
      </c>
      <c r="P100" s="422"/>
      <c r="Q100" s="422"/>
      <c r="R100" s="98"/>
      <c r="S100" s="98" t="str">
        <f>IFERROR(__xludf.DUMMYFUNCTION("""COMPUTED_VALUE"""),"myt_myothant.htoo")</f>
        <v>myt_myothant.htoo</v>
      </c>
      <c r="T100" s="98" t="str">
        <f>IFERROR(__xludf.DUMMYFUNCTION("""COMPUTED_VALUE"""),"TNI0049")</f>
        <v>TNI0049</v>
      </c>
      <c r="W100" s="98" t="str">
        <f>IFERROR(__xludf.DUMMYFUNCTION("""COMPUTED_VALUE"""),"TNI0331")</f>
        <v>TNI0331</v>
      </c>
      <c r="X100" s="98" t="str">
        <f>IFERROR(__xludf.DUMMYFUNCTION("""COMPUTED_VALUE"""),"Team 01")</f>
        <v>Team 01</v>
      </c>
    </row>
    <row r="101">
      <c r="A101" s="422">
        <f>IFERROR(__xludf.DUMMYFUNCTION("""COMPUTED_VALUE"""),99.0)</f>
        <v>99</v>
      </c>
      <c r="B101" s="422" t="str">
        <f>IFERROR(__xludf.DUMMYFUNCTION("""COMPUTED_VALUE"""),"CM")</f>
        <v>CM</v>
      </c>
      <c r="C101" s="422" t="str">
        <f>IFERROR(__xludf.DUMMYFUNCTION("""COMPUTED_VALUE"""),"Team 01")</f>
        <v>Team 01</v>
      </c>
      <c r="D101" s="422" t="str">
        <f>IFERROR(__xludf.DUMMYFUNCTION("""COMPUTED_VALUE"""),"Request Export material")</f>
        <v>Request Export material</v>
      </c>
      <c r="E101" s="422" t="str">
        <f>IFERROR(__xludf.DUMMYFUNCTION("""COMPUTED_VALUE"""),"TNI0213-TNIM059&gt;&gt;F8 24Fo - 250m,F8 accessory - 4pcs and closure - 2pcs")</f>
        <v>TNI0213-TNIM059&gt;&gt;F8 24Fo - 250m,F8 accessory - 4pcs and closure - 2pcs</v>
      </c>
      <c r="F101" s="424">
        <f>IFERROR(__xludf.DUMMYFUNCTION("""COMPUTED_VALUE"""),46013.0)</f>
        <v>46013</v>
      </c>
      <c r="G101" s="424">
        <f>IFERROR(__xludf.DUMMYFUNCTION("""COMPUTED_VALUE"""),46016.0)</f>
        <v>46016</v>
      </c>
      <c r="H101" s="422"/>
      <c r="I101" s="422"/>
      <c r="J101" s="422"/>
      <c r="K101" s="422"/>
      <c r="L101" s="422"/>
      <c r="M101" s="422"/>
      <c r="N101" s="422"/>
      <c r="O101" s="422">
        <f>IFERROR(__xludf.DUMMYFUNCTION("""COMPUTED_VALUE"""),0.0)</f>
        <v>0</v>
      </c>
      <c r="P101" s="422"/>
      <c r="Q101" s="422"/>
      <c r="R101" s="98"/>
      <c r="S101" s="98" t="str">
        <f>IFERROR(__xludf.DUMMYFUNCTION("""COMPUTED_VALUE"""),"Thu Rain Niang")</f>
        <v>Thu Rain Niang</v>
      </c>
      <c r="T101" s="98" t="str">
        <f>IFERROR(__xludf.DUMMYFUNCTION("""COMPUTED_VALUE"""),"TNI0213")</f>
        <v>TNI0213</v>
      </c>
      <c r="W101" s="98" t="str">
        <f>IFERROR(__xludf.DUMMYFUNCTION("""COMPUTED_VALUE"""),"TNI0390")</f>
        <v>TNI0390</v>
      </c>
      <c r="X101" s="98" t="str">
        <f>IFERROR(__xludf.DUMMYFUNCTION("""COMPUTED_VALUE"""),"Team 01")</f>
        <v>Team 01</v>
      </c>
    </row>
    <row r="102">
      <c r="A102" s="422">
        <f>IFERROR(__xludf.DUMMYFUNCTION("""COMPUTED_VALUE"""),100.0)</f>
        <v>100</v>
      </c>
      <c r="B102" s="422" t="str">
        <f>IFERROR(__xludf.DUMMYFUNCTION("""COMPUTED_VALUE"""),"CM")</f>
        <v>CM</v>
      </c>
      <c r="C102" s="422" t="str">
        <f>IFERROR(__xludf.DUMMYFUNCTION("""COMPUTED_VALUE"""),"Team 01")</f>
        <v>Team 01</v>
      </c>
      <c r="D102" s="422" t="str">
        <f>IFERROR(__xludf.DUMMYFUNCTION("""COMPUTED_VALUE"""),"Request Export material")</f>
        <v>Request Export material</v>
      </c>
      <c r="E102" s="422" t="str">
        <f>IFERROR(__xludf.DUMMYFUNCTION("""COMPUTED_VALUE"""),"TNI0146-JB(TNI0147-TNI0170)&gt;&gt;closure 2 pcs ")</f>
        <v>TNI0146-JB(TNI0147-TNI0170)&gt;&gt;closure 2 pcs </v>
      </c>
      <c r="F102" s="424">
        <f>IFERROR(__xludf.DUMMYFUNCTION("""COMPUTED_VALUE"""),46035.0)</f>
        <v>46035</v>
      </c>
      <c r="G102" s="424">
        <f>IFERROR(__xludf.DUMMYFUNCTION("""COMPUTED_VALUE"""),46038.0)</f>
        <v>46038</v>
      </c>
      <c r="H102" s="422"/>
      <c r="I102" s="422"/>
      <c r="J102" s="422"/>
      <c r="K102" s="422"/>
      <c r="L102" s="422"/>
      <c r="M102" s="422"/>
      <c r="N102" s="422"/>
      <c r="O102" s="422">
        <f>IFERROR(__xludf.DUMMYFUNCTION("""COMPUTED_VALUE"""),0.0)</f>
        <v>0</v>
      </c>
      <c r="P102" s="422"/>
      <c r="Q102" s="422"/>
      <c r="R102" s="98"/>
      <c r="S102" s="98" t="str">
        <f>IFERROR(__xludf.DUMMYFUNCTION("""COMPUTED_VALUE"""),"myt_myothant.htoo")</f>
        <v>myt_myothant.htoo</v>
      </c>
      <c r="T102" s="98" t="str">
        <f>IFERROR(__xludf.DUMMYFUNCTION("""COMPUTED_VALUE"""),"TNI0146")</f>
        <v>TNI0146</v>
      </c>
      <c r="W102" s="98" t="str">
        <f>IFERROR(__xludf.DUMMYFUNCTION("""COMPUTED_VALUE"""),"TNI0430")</f>
        <v>TNI0430</v>
      </c>
      <c r="X102" s="98" t="str">
        <f>IFERROR(__xludf.DUMMYFUNCTION("""COMPUTED_VALUE"""),"Team 01")</f>
        <v>Team 01</v>
      </c>
    </row>
    <row r="103">
      <c r="A103" s="422">
        <f>IFERROR(__xludf.DUMMYFUNCTION("""COMPUTED_VALUE"""),101.0)</f>
        <v>101</v>
      </c>
      <c r="B103" s="422" t="str">
        <f>IFERROR(__xludf.DUMMYFUNCTION("""COMPUTED_VALUE"""),"CM")</f>
        <v>CM</v>
      </c>
      <c r="C103" s="422" t="str">
        <f>IFERROR(__xludf.DUMMYFUNCTION("""COMPUTED_VALUE"""),"Team 01")</f>
        <v>Team 01</v>
      </c>
      <c r="D103" s="422" t="str">
        <f>IFERROR(__xludf.DUMMYFUNCTION("""COMPUTED_VALUE"""),"Request Export material")</f>
        <v>Request Export material</v>
      </c>
      <c r="E103" s="422" t="str">
        <f>IFERROR(__xludf.DUMMYFUNCTION("""COMPUTED_VALUE"""),"TNI0038-TNI0051&gt;&gt; cable 500M and JB 2pcs")</f>
        <v>TNI0038-TNI0051&gt;&gt; cable 500M and JB 2pcs</v>
      </c>
      <c r="F103" s="424">
        <f>IFERROR(__xludf.DUMMYFUNCTION("""COMPUTED_VALUE"""),46058.0)</f>
        <v>46058</v>
      </c>
      <c r="G103" s="424">
        <f>IFERROR(__xludf.DUMMYFUNCTION("""COMPUTED_VALUE"""),46061.0)</f>
        <v>46061</v>
      </c>
      <c r="H103" s="422"/>
      <c r="I103" s="422"/>
      <c r="J103" s="422"/>
      <c r="K103" s="422"/>
      <c r="L103" s="422"/>
      <c r="M103" s="422"/>
      <c r="N103" s="422"/>
      <c r="O103" s="422">
        <f>IFERROR(__xludf.DUMMYFUNCTION("""COMPUTED_VALUE"""),0.0)</f>
        <v>0</v>
      </c>
      <c r="P103" s="422"/>
      <c r="Q103" s="422"/>
      <c r="R103" s="98"/>
      <c r="S103" s="98" t="str">
        <f>IFERROR(__xludf.DUMMYFUNCTION("""COMPUTED_VALUE"""),"myt_bonemyat.naing1")</f>
        <v>myt_bonemyat.naing1</v>
      </c>
      <c r="T103" s="98" t="str">
        <f>IFERROR(__xludf.DUMMYFUNCTION("""COMPUTED_VALUE"""),"TNI0038")</f>
        <v>TNI0038</v>
      </c>
      <c r="W103" s="98" t="str">
        <f>IFERROR(__xludf.DUMMYFUNCTION("""COMPUTED_VALUE"""),"TNI0498")</f>
        <v>TNI0498</v>
      </c>
      <c r="X103" s="98" t="str">
        <f>IFERROR(__xludf.DUMMYFUNCTION("""COMPUTED_VALUE"""),"Team 01")</f>
        <v>Team 01</v>
      </c>
    </row>
    <row r="104">
      <c r="A104" s="422">
        <f>IFERROR(__xludf.DUMMYFUNCTION("""COMPUTED_VALUE"""),102.0)</f>
        <v>102</v>
      </c>
      <c r="B104" s="422" t="str">
        <f>IFERROR(__xludf.DUMMYFUNCTION("""COMPUTED_VALUE"""),"CM")</f>
        <v>CM</v>
      </c>
      <c r="C104" s="422" t="str">
        <f>IFERROR(__xludf.DUMMYFUNCTION("""COMPUTED_VALUE"""),"Team 01")</f>
        <v>Team 01</v>
      </c>
      <c r="D104" s="422" t="str">
        <f>IFERROR(__xludf.DUMMYFUNCTION("""COMPUTED_VALUE"""),"Request Export material")</f>
        <v>Request Export material</v>
      </c>
      <c r="E104" s="422" t="str">
        <f>IFERROR(__xludf.DUMMYFUNCTION("""COMPUTED_VALUE"""),"TNI0333-TNI0031&gt;&gt; 48 cable 50 M,JB2pcs")</f>
        <v>TNI0333-TNI0031&gt;&gt; 48 cable 50 M,JB2pcs</v>
      </c>
      <c r="F104" s="424">
        <f>IFERROR(__xludf.DUMMYFUNCTION("""COMPUTED_VALUE"""),46058.0)</f>
        <v>46058</v>
      </c>
      <c r="G104" s="424">
        <f>IFERROR(__xludf.DUMMYFUNCTION("""COMPUTED_VALUE"""),46061.0)</f>
        <v>46061</v>
      </c>
      <c r="H104" s="422"/>
      <c r="I104" s="422"/>
      <c r="J104" s="422"/>
      <c r="K104" s="422"/>
      <c r="L104" s="422"/>
      <c r="M104" s="422"/>
      <c r="N104" s="422"/>
      <c r="O104" s="422">
        <f>IFERROR(__xludf.DUMMYFUNCTION("""COMPUTED_VALUE"""),0.0)</f>
        <v>0</v>
      </c>
      <c r="P104" s="422"/>
      <c r="Q104" s="422"/>
      <c r="R104" s="98"/>
      <c r="S104" s="98" t="str">
        <f>IFERROR(__xludf.DUMMYFUNCTION("""COMPUTED_VALUE"""),"myt_bonemyat.naing1")</f>
        <v>myt_bonemyat.naing1</v>
      </c>
      <c r="T104" s="98" t="str">
        <f>IFERROR(__xludf.DUMMYFUNCTION("""COMPUTED_VALUE"""),"TNI0333")</f>
        <v>TNI0333</v>
      </c>
      <c r="W104" s="98" t="str">
        <f>IFERROR(__xludf.DUMMYFUNCTION("""COMPUTED_VALUE"""),"TNI0019")</f>
        <v>TNI0019</v>
      </c>
      <c r="X104" s="98" t="str">
        <f>IFERROR(__xludf.DUMMYFUNCTION("""COMPUTED_VALUE"""),"Team 01")</f>
        <v>Team 01</v>
      </c>
    </row>
    <row r="105">
      <c r="A105" s="422">
        <f>IFERROR(__xludf.DUMMYFUNCTION("""COMPUTED_VALUE"""),103.0)</f>
        <v>103</v>
      </c>
      <c r="B105" s="422" t="str">
        <f>IFERROR(__xludf.DUMMYFUNCTION("""COMPUTED_VALUE"""),"CM")</f>
        <v>CM</v>
      </c>
      <c r="C105" s="422" t="str">
        <f>IFERROR(__xludf.DUMMYFUNCTION("""COMPUTED_VALUE"""),"Team 01")</f>
        <v>Team 01</v>
      </c>
      <c r="D105" s="422" t="str">
        <f>IFERROR(__xludf.DUMMYFUNCTION("""COMPUTED_VALUE"""),"Request Export material")</f>
        <v>Request Export material</v>
      </c>
      <c r="E105" s="422" t="str">
        <f>IFERROR(__xludf.DUMMYFUNCTION("""COMPUTED_VALUE"""),"TNI0314-JB(TNI0147-TNI0148)&gt;&gt;Closure 2 pcs")</f>
        <v>TNI0314-JB(TNI0147-TNI0148)&gt;&gt;Closure 2 pcs</v>
      </c>
      <c r="F105" s="424">
        <f>IFERROR(__xludf.DUMMYFUNCTION("""COMPUTED_VALUE"""),46058.0)</f>
        <v>46058</v>
      </c>
      <c r="G105" s="424">
        <f>IFERROR(__xludf.DUMMYFUNCTION("""COMPUTED_VALUE"""),46061.0)</f>
        <v>46061</v>
      </c>
      <c r="H105" s="422"/>
      <c r="I105" s="422"/>
      <c r="J105" s="422"/>
      <c r="K105" s="422"/>
      <c r="L105" s="422"/>
      <c r="M105" s="422"/>
      <c r="N105" s="422"/>
      <c r="O105" s="422">
        <f>IFERROR(__xludf.DUMMYFUNCTION("""COMPUTED_VALUE"""),0.0)</f>
        <v>0</v>
      </c>
      <c r="P105" s="422"/>
      <c r="Q105" s="422"/>
      <c r="R105" s="98"/>
      <c r="S105" s="98" t="str">
        <f>IFERROR(__xludf.DUMMYFUNCTION("""COMPUTED_VALUE"""),"myt_tharhtoo.aung11")</f>
        <v>myt_tharhtoo.aung11</v>
      </c>
      <c r="T105" s="98" t="str">
        <f>IFERROR(__xludf.DUMMYFUNCTION("""COMPUTED_VALUE"""),"TNI0314")</f>
        <v>TNI0314</v>
      </c>
      <c r="W105" s="98" t="str">
        <f>IFERROR(__xludf.DUMMYFUNCTION("""COMPUTED_VALUE"""),"TNI0049")</f>
        <v>TNI0049</v>
      </c>
      <c r="X105" s="98" t="str">
        <f>IFERROR(__xludf.DUMMYFUNCTION("""COMPUTED_VALUE"""),"Team 01")</f>
        <v>Team 01</v>
      </c>
    </row>
    <row r="106">
      <c r="A106" s="422">
        <f>IFERROR(__xludf.DUMMYFUNCTION("""COMPUTED_VALUE"""),104.0)</f>
        <v>104</v>
      </c>
      <c r="B106" s="422" t="str">
        <f>IFERROR(__xludf.DUMMYFUNCTION("""COMPUTED_VALUE"""),"CM")</f>
        <v>CM</v>
      </c>
      <c r="C106" s="422" t="str">
        <f>IFERROR(__xludf.DUMMYFUNCTION("""COMPUTED_VALUE"""),"Team 01")</f>
        <v>Team 01</v>
      </c>
      <c r="D106" s="422" t="str">
        <f>IFERROR(__xludf.DUMMYFUNCTION("""COMPUTED_VALUE"""),"Request Export material")</f>
        <v>Request Export material</v>
      </c>
      <c r="E106" s="422" t="str">
        <f>IFERROR(__xludf.DUMMYFUNCTION("""COMPUTED_VALUE"""),"TNI0331-JB(MON0002-TNI0006)&gt;&gt;Closure 2 pcs")</f>
        <v>TNI0331-JB(MON0002-TNI0006)&gt;&gt;Closure 2 pcs</v>
      </c>
      <c r="F106" s="424">
        <f>IFERROR(__xludf.DUMMYFUNCTION("""COMPUTED_VALUE"""),46058.0)</f>
        <v>46058</v>
      </c>
      <c r="G106" s="424">
        <f>IFERROR(__xludf.DUMMYFUNCTION("""COMPUTED_VALUE"""),46061.0)</f>
        <v>46061</v>
      </c>
      <c r="H106" s="422"/>
      <c r="I106" s="422"/>
      <c r="J106" s="422"/>
      <c r="K106" s="422"/>
      <c r="L106" s="422"/>
      <c r="M106" s="422"/>
      <c r="N106" s="422"/>
      <c r="O106" s="422">
        <f>IFERROR(__xludf.DUMMYFUNCTION("""COMPUTED_VALUE"""),0.0)</f>
        <v>0</v>
      </c>
      <c r="P106" s="422"/>
      <c r="Q106" s="422"/>
      <c r="R106" s="98"/>
      <c r="S106" s="98" t="str">
        <f>IFERROR(__xludf.DUMMYFUNCTION("""COMPUTED_VALUE"""),"Thu Rain Niang")</f>
        <v>Thu Rain Niang</v>
      </c>
      <c r="T106" s="98" t="str">
        <f>IFERROR(__xludf.DUMMYFUNCTION("""COMPUTED_VALUE"""),"TNI0331")</f>
        <v>TNI0331</v>
      </c>
      <c r="W106" s="98" t="str">
        <f>IFERROR(__xludf.DUMMYFUNCTION("""COMPUTED_VALUE"""),"TNI0054")</f>
        <v>TNI0054</v>
      </c>
      <c r="X106" s="98" t="str">
        <f>IFERROR(__xludf.DUMMYFUNCTION("""COMPUTED_VALUE"""),"Team 01")</f>
        <v>Team 01</v>
      </c>
    </row>
    <row r="107">
      <c r="A107" s="422">
        <f>IFERROR(__xludf.DUMMYFUNCTION("""COMPUTED_VALUE"""),105.0)</f>
        <v>105</v>
      </c>
      <c r="B107" s="422" t="str">
        <f>IFERROR(__xludf.DUMMYFUNCTION("""COMPUTED_VALUE"""),"CM")</f>
        <v>CM</v>
      </c>
      <c r="C107" s="422" t="str">
        <f>IFERROR(__xludf.DUMMYFUNCTION("""COMPUTED_VALUE"""),"Team 01")</f>
        <v>Team 01</v>
      </c>
      <c r="D107" s="422" t="str">
        <f>IFERROR(__xludf.DUMMYFUNCTION("""COMPUTED_VALUE"""),"Request Export material")</f>
        <v>Request Export material</v>
      </c>
      <c r="E107" s="422" t="str">
        <f>IFERROR(__xludf.DUMMYFUNCTION("""COMPUTED_VALUE"""),"TNI0206-TNI0220&gt;&gt;Closure 2 pcs")</f>
        <v>TNI0206-TNI0220&gt;&gt;Closure 2 pcs</v>
      </c>
      <c r="F107" s="424">
        <f>IFERROR(__xludf.DUMMYFUNCTION("""COMPUTED_VALUE"""),46058.0)</f>
        <v>46058</v>
      </c>
      <c r="G107" s="424">
        <f>IFERROR(__xludf.DUMMYFUNCTION("""COMPUTED_VALUE"""),46061.0)</f>
        <v>46061</v>
      </c>
      <c r="H107" s="422"/>
      <c r="I107" s="422"/>
      <c r="J107" s="422"/>
      <c r="K107" s="422"/>
      <c r="L107" s="422"/>
      <c r="M107" s="422"/>
      <c r="N107" s="422"/>
      <c r="O107" s="422">
        <f>IFERROR(__xludf.DUMMYFUNCTION("""COMPUTED_VALUE"""),0.0)</f>
        <v>0</v>
      </c>
      <c r="P107" s="422"/>
      <c r="Q107" s="422"/>
      <c r="R107" s="98"/>
      <c r="S107" s="98" t="str">
        <f>IFERROR(__xludf.DUMMYFUNCTION("""COMPUTED_VALUE"""),"Thu Rain Niang")</f>
        <v>Thu Rain Niang</v>
      </c>
      <c r="T107" s="98" t="str">
        <f>IFERROR(__xludf.DUMMYFUNCTION("""COMPUTED_VALUE"""),"TNI0206")</f>
        <v>TNI0206</v>
      </c>
      <c r="W107" s="98" t="str">
        <f>IFERROR(__xludf.DUMMYFUNCTION("""COMPUTED_VALUE"""),"TNI0089")</f>
        <v>TNI0089</v>
      </c>
      <c r="X107" s="98" t="str">
        <f>IFERROR(__xludf.DUMMYFUNCTION("""COMPUTED_VALUE"""),"Team 01")</f>
        <v>Team 01</v>
      </c>
    </row>
    <row r="108">
      <c r="A108" s="422">
        <f>IFERROR(__xludf.DUMMYFUNCTION("""COMPUTED_VALUE"""),106.0)</f>
        <v>106</v>
      </c>
      <c r="B108" s="422" t="str">
        <f>IFERROR(__xludf.DUMMYFUNCTION("""COMPUTED_VALUE"""),"CM")</f>
        <v>CM</v>
      </c>
      <c r="C108" s="422" t="str">
        <f>IFERROR(__xludf.DUMMYFUNCTION("""COMPUTED_VALUE"""),"Team 01")</f>
        <v>Team 01</v>
      </c>
      <c r="D108" s="422" t="str">
        <f>IFERROR(__xludf.DUMMYFUNCTION("""COMPUTED_VALUE"""),"Request Export material")</f>
        <v>Request Export material</v>
      </c>
      <c r="E108" s="422" t="str">
        <f>IFERROR(__xludf.DUMMYFUNCTION("""COMPUTED_VALUE"""),"TNI0273-TNIM063&gt;&gt;48F8 Cable 150M,closure 2pcs, Tension 2pcs")</f>
        <v>TNI0273-TNIM063&gt;&gt;48F8 Cable 150M,closure 2pcs, Tension 2pcs</v>
      </c>
      <c r="F108" s="424">
        <f>IFERROR(__xludf.DUMMYFUNCTION("""COMPUTED_VALUE"""),46071.0)</f>
        <v>46071</v>
      </c>
      <c r="G108" s="424">
        <f>IFERROR(__xludf.DUMMYFUNCTION("""COMPUTED_VALUE"""),46074.0)</f>
        <v>46074</v>
      </c>
      <c r="H108" s="422"/>
      <c r="I108" s="422"/>
      <c r="J108" s="422"/>
      <c r="K108" s="422"/>
      <c r="L108" s="422"/>
      <c r="M108" s="422"/>
      <c r="N108" s="422"/>
      <c r="O108" s="422">
        <f>IFERROR(__xludf.DUMMYFUNCTION("""COMPUTED_VALUE"""),0.0)</f>
        <v>0</v>
      </c>
      <c r="P108" s="422"/>
      <c r="Q108" s="422"/>
      <c r="R108" s="98"/>
      <c r="S108" s="98" t="str">
        <f>IFERROR(__xludf.DUMMYFUNCTION("""COMPUTED_VALUE"""),"myt_bhonehtet.aung")</f>
        <v>myt_bhonehtet.aung</v>
      </c>
      <c r="T108" s="98" t="str">
        <f>IFERROR(__xludf.DUMMYFUNCTION("""COMPUTED_VALUE"""),"TNI0273")</f>
        <v>TNI0273</v>
      </c>
      <c r="W108" s="98" t="str">
        <f>IFERROR(__xludf.DUMMYFUNCTION("""COMPUTED_VALUE"""),"TNI0115")</f>
        <v>TNI0115</v>
      </c>
      <c r="X108" s="98" t="str">
        <f>IFERROR(__xludf.DUMMYFUNCTION("""COMPUTED_VALUE"""),"Team 01")</f>
        <v>Team 01</v>
      </c>
    </row>
    <row r="109">
      <c r="A109" s="422">
        <f>IFERROR(__xludf.DUMMYFUNCTION("""COMPUTED_VALUE"""),107.0)</f>
        <v>107</v>
      </c>
      <c r="B109" s="422" t="str">
        <f>IFERROR(__xludf.DUMMYFUNCTION("""COMPUTED_VALUE"""),"CM")</f>
        <v>CM</v>
      </c>
      <c r="C109" s="422" t="str">
        <f>IFERROR(__xludf.DUMMYFUNCTION("""COMPUTED_VALUE"""),"Team 01")</f>
        <v>Team 01</v>
      </c>
      <c r="D109" s="422" t="str">
        <f>IFERROR(__xludf.DUMMYFUNCTION("""COMPUTED_VALUE"""),"Request Export material")</f>
        <v>Request Export material</v>
      </c>
      <c r="E109" s="422" t="str">
        <f>IFERROR(__xludf.DUMMYFUNCTION("""COMPUTED_VALUE"""),"TNI0041-TNI0035&gt;&gt;24 FO 50M and JB 2pcs")</f>
        <v>TNI0041-TNI0035&gt;&gt;24 FO 50M and JB 2pcs</v>
      </c>
      <c r="F109" s="424">
        <f>IFERROR(__xludf.DUMMYFUNCTION("""COMPUTED_VALUE"""),46071.0)</f>
        <v>46071</v>
      </c>
      <c r="G109" s="424">
        <f>IFERROR(__xludf.DUMMYFUNCTION("""COMPUTED_VALUE"""),46074.0)</f>
        <v>46074</v>
      </c>
      <c r="H109" s="422"/>
      <c r="I109" s="422"/>
      <c r="J109" s="422"/>
      <c r="K109" s="422"/>
      <c r="L109" s="422"/>
      <c r="M109" s="422"/>
      <c r="N109" s="422"/>
      <c r="O109" s="422">
        <f>IFERROR(__xludf.DUMMYFUNCTION("""COMPUTED_VALUE"""),0.0)</f>
        <v>0</v>
      </c>
      <c r="P109" s="422"/>
      <c r="Q109" s="422"/>
      <c r="R109" s="98"/>
      <c r="S109" s="98" t="str">
        <f>IFERROR(__xludf.DUMMYFUNCTION("""COMPUTED_VALUE"""),"myt_bonemyat.naing1")</f>
        <v>myt_bonemyat.naing1</v>
      </c>
      <c r="T109" s="98" t="str">
        <f>IFERROR(__xludf.DUMMYFUNCTION("""COMPUTED_VALUE"""),"TNI0041")</f>
        <v>TNI0041</v>
      </c>
      <c r="W109" s="98" t="str">
        <f>IFERROR(__xludf.DUMMYFUNCTION("""COMPUTED_VALUE"""),"TNI0146")</f>
        <v>TNI0146</v>
      </c>
      <c r="X109" s="98" t="str">
        <f>IFERROR(__xludf.DUMMYFUNCTION("""COMPUTED_VALUE"""),"Team 01")</f>
        <v>Team 01</v>
      </c>
    </row>
    <row r="110">
      <c r="A110" s="422">
        <f>IFERROR(__xludf.DUMMYFUNCTION("""COMPUTED_VALUE"""),108.0)</f>
        <v>108</v>
      </c>
      <c r="B110" s="422" t="str">
        <f>IFERROR(__xludf.DUMMYFUNCTION("""COMPUTED_VALUE"""),"CM")</f>
        <v>CM</v>
      </c>
      <c r="C110" s="422" t="str">
        <f>IFERROR(__xludf.DUMMYFUNCTION("""COMPUTED_VALUE"""),"Team 01")</f>
        <v>Team 01</v>
      </c>
      <c r="D110" s="422" t="str">
        <f>IFERROR(__xludf.DUMMYFUNCTION("""COMPUTED_VALUE"""),"Request Export material")</f>
        <v>Request Export material</v>
      </c>
      <c r="E110" s="422" t="str">
        <f>IFERROR(__xludf.DUMMYFUNCTION("""COMPUTED_VALUE"""),"TNI0206-TNI0220&gt;&gt;24F8 100meter,closure 2pcs, Tension 2pcs")</f>
        <v>TNI0206-TNI0220&gt;&gt;24F8 100meter,closure 2pcs, Tension 2pcs</v>
      </c>
      <c r="F110" s="424">
        <f>IFERROR(__xludf.DUMMYFUNCTION("""COMPUTED_VALUE"""),46071.0)</f>
        <v>46071</v>
      </c>
      <c r="G110" s="424">
        <f>IFERROR(__xludf.DUMMYFUNCTION("""COMPUTED_VALUE"""),46074.0)</f>
        <v>46074</v>
      </c>
      <c r="H110" s="422"/>
      <c r="I110" s="422"/>
      <c r="J110" s="422"/>
      <c r="K110" s="422"/>
      <c r="L110" s="422"/>
      <c r="M110" s="422"/>
      <c r="N110" s="422"/>
      <c r="O110" s="422">
        <f>IFERROR(__xludf.DUMMYFUNCTION("""COMPUTED_VALUE"""),0.0)</f>
        <v>0</v>
      </c>
      <c r="P110" s="422"/>
      <c r="Q110" s="422"/>
      <c r="R110" s="98"/>
      <c r="S110" s="98" t="str">
        <f>IFERROR(__xludf.DUMMYFUNCTION("""COMPUTED_VALUE"""),"Thu Rain Niang")</f>
        <v>Thu Rain Niang</v>
      </c>
      <c r="T110" s="98" t="str">
        <f>IFERROR(__xludf.DUMMYFUNCTION("""COMPUTED_VALUE"""),"TNI0206")</f>
        <v>TNI0206</v>
      </c>
      <c r="W110" s="98" t="str">
        <f>IFERROR(__xludf.DUMMYFUNCTION("""COMPUTED_VALUE"""),"TNI0147")</f>
        <v>TNI0147</v>
      </c>
      <c r="X110" s="98" t="str">
        <f>IFERROR(__xludf.DUMMYFUNCTION("""COMPUTED_VALUE"""),"Team 01")</f>
        <v>Team 01</v>
      </c>
    </row>
    <row r="111">
      <c r="A111" s="422">
        <f>IFERROR(__xludf.DUMMYFUNCTION("""COMPUTED_VALUE"""),109.0)</f>
        <v>109</v>
      </c>
      <c r="B111" s="422" t="str">
        <f>IFERROR(__xludf.DUMMYFUNCTION("""COMPUTED_VALUE"""),"CM")</f>
        <v>CM</v>
      </c>
      <c r="C111" s="422" t="str">
        <f>IFERROR(__xludf.DUMMYFUNCTION("""COMPUTED_VALUE"""),"Team 01")</f>
        <v>Team 01</v>
      </c>
      <c r="D111" s="422" t="str">
        <f>IFERROR(__xludf.DUMMYFUNCTION("""COMPUTED_VALUE"""),"Request Export material")</f>
        <v>Request Export material</v>
      </c>
      <c r="E111" s="422" t="str">
        <f>IFERROR(__xludf.DUMMYFUNCTION("""COMPUTED_VALUE"""),"TNI0188-JB(MON0002-TNI0006)&gt;&gt; Closure 2 pcs, 48 FO 200m")</f>
        <v>TNI0188-JB(MON0002-TNI0006)&gt;&gt; Closure 2 pcs, 48 FO 200m</v>
      </c>
      <c r="F111" s="424">
        <f>IFERROR(__xludf.DUMMYFUNCTION("""COMPUTED_VALUE"""),46101.0)</f>
        <v>46101</v>
      </c>
      <c r="G111" s="424">
        <f>IFERROR(__xludf.DUMMYFUNCTION("""COMPUTED_VALUE"""),46104.0)</f>
        <v>46104</v>
      </c>
      <c r="H111" s="422"/>
      <c r="I111" s="422"/>
      <c r="J111" s="422"/>
      <c r="K111" s="422"/>
      <c r="L111" s="422"/>
      <c r="M111" s="422"/>
      <c r="N111" s="422"/>
      <c r="O111" s="422">
        <f>IFERROR(__xludf.DUMMYFUNCTION("""COMPUTED_VALUE"""),0.0)</f>
        <v>0</v>
      </c>
      <c r="P111" s="422"/>
      <c r="Q111" s="422"/>
      <c r="R111" s="98"/>
      <c r="S111" s="98" t="str">
        <f>IFERROR(__xludf.DUMMYFUNCTION("""COMPUTED_VALUE"""),"Thu Rain Niang")</f>
        <v>Thu Rain Niang</v>
      </c>
      <c r="T111" s="98" t="str">
        <f>IFERROR(__xludf.DUMMYFUNCTION("""COMPUTED_VALUE"""),"TNI0188")</f>
        <v>TNI0188</v>
      </c>
      <c r="W111" s="98" t="str">
        <f>IFERROR(__xludf.DUMMYFUNCTION("""COMPUTED_VALUE"""),"TNI0198")</f>
        <v>TNI0198</v>
      </c>
      <c r="X111" s="98" t="str">
        <f>IFERROR(__xludf.DUMMYFUNCTION("""COMPUTED_VALUE"""),"Team 01")</f>
        <v>Team 01</v>
      </c>
    </row>
    <row r="112">
      <c r="A112" s="422">
        <f>IFERROR(__xludf.DUMMYFUNCTION("""COMPUTED_VALUE"""),110.0)</f>
        <v>110</v>
      </c>
      <c r="B112" s="422" t="str">
        <f>IFERROR(__xludf.DUMMYFUNCTION("""COMPUTED_VALUE"""),"CM")</f>
        <v>CM</v>
      </c>
      <c r="C112" s="422" t="str">
        <f>IFERROR(__xludf.DUMMYFUNCTION("""COMPUTED_VALUE"""),"Team 01")</f>
        <v>Team 01</v>
      </c>
      <c r="D112" s="422" t="str">
        <f>IFERROR(__xludf.DUMMYFUNCTION("""COMPUTED_VALUE"""),"Request Export material")</f>
        <v>Request Export material</v>
      </c>
      <c r="E112" s="422" t="str">
        <f>IFERROR(__xludf.DUMMYFUNCTION("""COMPUTED_VALUE"""),"TNI0213-TNI0206&gt;&gt; closure 1 pcs")</f>
        <v>TNI0213-TNI0206&gt;&gt; closure 1 pcs</v>
      </c>
      <c r="F112" s="424">
        <f>IFERROR(__xludf.DUMMYFUNCTION("""COMPUTED_VALUE"""),46101.0)</f>
        <v>46101</v>
      </c>
      <c r="G112" s="424">
        <f>IFERROR(__xludf.DUMMYFUNCTION("""COMPUTED_VALUE"""),46104.0)</f>
        <v>46104</v>
      </c>
      <c r="H112" s="422"/>
      <c r="I112" s="422"/>
      <c r="J112" s="422"/>
      <c r="K112" s="422"/>
      <c r="L112" s="422"/>
      <c r="M112" s="422"/>
      <c r="N112" s="422"/>
      <c r="O112" s="422">
        <f>IFERROR(__xludf.DUMMYFUNCTION("""COMPUTED_VALUE"""),0.0)</f>
        <v>0</v>
      </c>
      <c r="P112" s="422"/>
      <c r="Q112" s="422"/>
      <c r="R112" s="98"/>
      <c r="S112" s="98" t="str">
        <f>IFERROR(__xludf.DUMMYFUNCTION("""COMPUTED_VALUE"""),"Thu Rain Niang")</f>
        <v>Thu Rain Niang</v>
      </c>
      <c r="T112" s="98" t="str">
        <f>IFERROR(__xludf.DUMMYFUNCTION("""COMPUTED_VALUE"""),"TNI0213")</f>
        <v>TNI0213</v>
      </c>
      <c r="W112" s="98" t="str">
        <f>IFERROR(__xludf.DUMMYFUNCTION("""COMPUTED_VALUE"""),"TNI0208")</f>
        <v>TNI0208</v>
      </c>
      <c r="X112" s="98" t="str">
        <f>IFERROR(__xludf.DUMMYFUNCTION("""COMPUTED_VALUE"""),"Team 01")</f>
        <v>Team 01</v>
      </c>
    </row>
    <row r="113">
      <c r="A113" s="422">
        <f>IFERROR(__xludf.DUMMYFUNCTION("""COMPUTED_VALUE"""),111.0)</f>
        <v>111</v>
      </c>
      <c r="B113" s="422" t="str">
        <f>IFERROR(__xludf.DUMMYFUNCTION("""COMPUTED_VALUE"""),"CM")</f>
        <v>CM</v>
      </c>
      <c r="C113" s="422" t="str">
        <f>IFERROR(__xludf.DUMMYFUNCTION("""COMPUTED_VALUE"""),"Team 01")</f>
        <v>Team 01</v>
      </c>
      <c r="D113" s="422" t="str">
        <f>IFERROR(__xludf.DUMMYFUNCTION("""COMPUTED_VALUE"""),"Request Export material")</f>
        <v>Request Export material</v>
      </c>
      <c r="E113" s="422" t="str">
        <f>IFERROR(__xludf.DUMMYFUNCTION("""COMPUTED_VALUE"""),"TNI0312-JB(TNI0006-TNI0013)&gt;&gt; F8 cable 150meter, closure 2pcs")</f>
        <v>TNI0312-JB(TNI0006-TNI0013)&gt;&gt; F8 cable 150meter, closure 2pcs</v>
      </c>
      <c r="F113" s="424">
        <f>IFERROR(__xludf.DUMMYFUNCTION("""COMPUTED_VALUE"""),46101.0)</f>
        <v>46101</v>
      </c>
      <c r="G113" s="424">
        <f>IFERROR(__xludf.DUMMYFUNCTION("""COMPUTED_VALUE"""),46104.0)</f>
        <v>46104</v>
      </c>
      <c r="H113" s="422"/>
      <c r="I113" s="422"/>
      <c r="J113" s="422"/>
      <c r="K113" s="422"/>
      <c r="L113" s="422"/>
      <c r="M113" s="422"/>
      <c r="N113" s="422"/>
      <c r="O113" s="422">
        <f>IFERROR(__xludf.DUMMYFUNCTION("""COMPUTED_VALUE"""),0.0)</f>
        <v>0</v>
      </c>
      <c r="P113" s="422"/>
      <c r="Q113" s="422"/>
      <c r="R113" s="98"/>
      <c r="S113" s="98" t="str">
        <f>IFERROR(__xludf.DUMMYFUNCTION("""COMPUTED_VALUE"""),"myt_bhonehtet.aung")</f>
        <v>myt_bhonehtet.aung</v>
      </c>
      <c r="T113" s="98" t="str">
        <f>IFERROR(__xludf.DUMMYFUNCTION("""COMPUTED_VALUE"""),"TNI0312")</f>
        <v>TNI0312</v>
      </c>
      <c r="W113" s="98" t="str">
        <f>IFERROR(__xludf.DUMMYFUNCTION("""COMPUTED_VALUE"""),"TNI0216")</f>
        <v>TNI0216</v>
      </c>
      <c r="X113" s="98" t="str">
        <f>IFERROR(__xludf.DUMMYFUNCTION("""COMPUTED_VALUE"""),"Team 01")</f>
        <v>Team 01</v>
      </c>
    </row>
    <row r="114">
      <c r="A114" s="422">
        <f>IFERROR(__xludf.DUMMYFUNCTION("""COMPUTED_VALUE"""),112.0)</f>
        <v>112</v>
      </c>
      <c r="B114" s="422" t="str">
        <f>IFERROR(__xludf.DUMMYFUNCTION("""COMPUTED_VALUE"""),"CM")</f>
        <v>CM</v>
      </c>
      <c r="C114" s="422" t="str">
        <f>IFERROR(__xludf.DUMMYFUNCTION("""COMPUTED_VALUE"""),"Team 01")</f>
        <v>Team 01</v>
      </c>
      <c r="D114" s="422" t="str">
        <f>IFERROR(__xludf.DUMMYFUNCTION("""COMPUTED_VALUE"""),"Request Export material")</f>
        <v>Request Export material</v>
      </c>
      <c r="E114" s="422" t="str">
        <f>IFERROR(__xludf.DUMMYFUNCTION("""COMPUTED_VALUE"""),"TNI0306-JB(TNI0052-TNI0329)&gt;&gt; 24 FO 100M,JB 2pcs")</f>
        <v>TNI0306-JB(TNI0052-TNI0329)&gt;&gt; 24 FO 100M,JB 2pcs</v>
      </c>
      <c r="F114" s="424">
        <f>IFERROR(__xludf.DUMMYFUNCTION("""COMPUTED_VALUE"""),46101.0)</f>
        <v>46101</v>
      </c>
      <c r="G114" s="424">
        <f>IFERROR(__xludf.DUMMYFUNCTION("""COMPUTED_VALUE"""),46104.0)</f>
        <v>46104</v>
      </c>
      <c r="H114" s="422"/>
      <c r="I114" s="422"/>
      <c r="J114" s="422"/>
      <c r="K114" s="422"/>
      <c r="L114" s="422"/>
      <c r="M114" s="422"/>
      <c r="N114" s="422"/>
      <c r="O114" s="422">
        <f>IFERROR(__xludf.DUMMYFUNCTION("""COMPUTED_VALUE"""),0.0)</f>
        <v>0</v>
      </c>
      <c r="P114" s="422"/>
      <c r="Q114" s="422"/>
      <c r="R114" s="98"/>
      <c r="S114" s="98" t="str">
        <f>IFERROR(__xludf.DUMMYFUNCTION("""COMPUTED_VALUE"""),"myt_bonemyat.naing1")</f>
        <v>myt_bonemyat.naing1</v>
      </c>
      <c r="T114" s="98" t="str">
        <f>IFERROR(__xludf.DUMMYFUNCTION("""COMPUTED_VALUE"""),"TNI0306")</f>
        <v>TNI0306</v>
      </c>
      <c r="W114" s="98" t="str">
        <f>IFERROR(__xludf.DUMMYFUNCTION("""COMPUTED_VALUE"""),"TNI0247")</f>
        <v>TNI0247</v>
      </c>
      <c r="X114" s="98" t="str">
        <f>IFERROR(__xludf.DUMMYFUNCTION("""COMPUTED_VALUE"""),"Team 01")</f>
        <v>Team 01</v>
      </c>
    </row>
    <row r="115">
      <c r="A115" s="422">
        <f>IFERROR(__xludf.DUMMYFUNCTION("""COMPUTED_VALUE"""),113.0)</f>
        <v>113</v>
      </c>
      <c r="B115" s="422" t="str">
        <f>IFERROR(__xludf.DUMMYFUNCTION("""COMPUTED_VALUE"""),"CM")</f>
        <v>CM</v>
      </c>
      <c r="C115" s="422" t="str">
        <f>IFERROR(__xludf.DUMMYFUNCTION("""COMPUTED_VALUE"""),"Team 01")</f>
        <v>Team 01</v>
      </c>
      <c r="D115" s="422" t="str">
        <f>IFERROR(__xludf.DUMMYFUNCTION("""COMPUTED_VALUE"""),"Request Export material")</f>
        <v>Request Export material</v>
      </c>
      <c r="E115" s="422" t="str">
        <f>IFERROR(__xludf.DUMMYFUNCTION("""COMPUTED_VALUE"""),"TNI0306-JB(TNI0052-TNI0329)&gt;&gt; 24 FO 100M,JB 2pcs")</f>
        <v>TNI0306-JB(TNI0052-TNI0329)&gt;&gt; 24 FO 100M,JB 2pcs</v>
      </c>
      <c r="F115" s="424">
        <f>IFERROR(__xludf.DUMMYFUNCTION("""COMPUTED_VALUE"""),46101.0)</f>
        <v>46101</v>
      </c>
      <c r="G115" s="424">
        <f>IFERROR(__xludf.DUMMYFUNCTION("""COMPUTED_VALUE"""),46104.0)</f>
        <v>46104</v>
      </c>
      <c r="H115" s="422"/>
      <c r="I115" s="422"/>
      <c r="J115" s="422"/>
      <c r="K115" s="422"/>
      <c r="L115" s="422"/>
      <c r="M115" s="422"/>
      <c r="N115" s="422"/>
      <c r="O115" s="422">
        <f>IFERROR(__xludf.DUMMYFUNCTION("""COMPUTED_VALUE"""),0.0)</f>
        <v>0</v>
      </c>
      <c r="P115" s="422"/>
      <c r="Q115" s="422"/>
      <c r="R115" s="98"/>
      <c r="S115" s="98" t="str">
        <f>IFERROR(__xludf.DUMMYFUNCTION("""COMPUTED_VALUE"""),"myt_bonemyat.naing1")</f>
        <v>myt_bonemyat.naing1</v>
      </c>
      <c r="T115" s="98" t="str">
        <f>IFERROR(__xludf.DUMMYFUNCTION("""COMPUTED_VALUE"""),"TNI0306")</f>
        <v>TNI0306</v>
      </c>
      <c r="W115" s="98" t="str">
        <f>IFERROR(__xludf.DUMMYFUNCTION("""COMPUTED_VALUE"""),"TNI0257")</f>
        <v>TNI0257</v>
      </c>
      <c r="X115" s="98" t="str">
        <f>IFERROR(__xludf.DUMMYFUNCTION("""COMPUTED_VALUE"""),"Team 01")</f>
        <v>Team 01</v>
      </c>
    </row>
    <row r="116">
      <c r="A116" s="422">
        <f>IFERROR(__xludf.DUMMYFUNCTION("""COMPUTED_VALUE"""),114.0)</f>
        <v>114</v>
      </c>
      <c r="B116" s="422" t="str">
        <f>IFERROR(__xludf.DUMMYFUNCTION("""COMPUTED_VALUE"""),"CM")</f>
        <v>CM</v>
      </c>
      <c r="C116" s="422" t="str">
        <f>IFERROR(__xludf.DUMMYFUNCTION("""COMPUTED_VALUE"""),"Team 01")</f>
        <v>Team 01</v>
      </c>
      <c r="D116" s="422" t="str">
        <f>IFERROR(__xludf.DUMMYFUNCTION("""COMPUTED_VALUE"""),"Request Export material")</f>
        <v>Request Export material</v>
      </c>
      <c r="E116" s="422" t="str">
        <f>IFERROR(__xludf.DUMMYFUNCTION("""COMPUTED_VALUE"""),"TNI0206-TNI0213&gt;&gt; closure 2pcs,24F8 cable 250meter")</f>
        <v>TNI0206-TNI0213&gt;&gt; closure 2pcs,24F8 cable 250meter</v>
      </c>
      <c r="F116" s="424">
        <f>IFERROR(__xludf.DUMMYFUNCTION("""COMPUTED_VALUE"""),46101.0)</f>
        <v>46101</v>
      </c>
      <c r="G116" s="424">
        <f>IFERROR(__xludf.DUMMYFUNCTION("""COMPUTED_VALUE"""),46104.0)</f>
        <v>46104</v>
      </c>
      <c r="H116" s="422"/>
      <c r="I116" s="422"/>
      <c r="J116" s="422"/>
      <c r="K116" s="422"/>
      <c r="L116" s="422"/>
      <c r="M116" s="422"/>
      <c r="N116" s="422"/>
      <c r="O116" s="422">
        <f>IFERROR(__xludf.DUMMYFUNCTION("""COMPUTED_VALUE"""),0.0)</f>
        <v>0</v>
      </c>
      <c r="P116" s="422"/>
      <c r="Q116" s="422"/>
      <c r="R116" s="98"/>
      <c r="S116" s="98" t="str">
        <f>IFERROR(__xludf.DUMMYFUNCTION("""COMPUTED_VALUE"""),"Thu Rain Niang")</f>
        <v>Thu Rain Niang</v>
      </c>
      <c r="T116" s="98" t="str">
        <f>IFERROR(__xludf.DUMMYFUNCTION("""COMPUTED_VALUE"""),"TNI0206")</f>
        <v>TNI0206</v>
      </c>
      <c r="W116" s="98" t="str">
        <f>IFERROR(__xludf.DUMMYFUNCTION("""COMPUTED_VALUE"""),"TNI0264_01")</f>
        <v>TNI0264_01</v>
      </c>
      <c r="X116" s="98" t="str">
        <f>IFERROR(__xludf.DUMMYFUNCTION("""COMPUTED_VALUE"""),"Team 01")</f>
        <v>Team 01</v>
      </c>
    </row>
    <row r="117">
      <c r="A117" s="422">
        <f>IFERROR(__xludf.DUMMYFUNCTION("""COMPUTED_VALUE"""),115.0)</f>
        <v>115</v>
      </c>
      <c r="B117" s="422" t="str">
        <f>IFERROR(__xludf.DUMMYFUNCTION("""COMPUTED_VALUE"""),"CM")</f>
        <v>CM</v>
      </c>
      <c r="C117" s="422" t="str">
        <f>IFERROR(__xludf.DUMMYFUNCTION("""COMPUTED_VALUE"""),"Team 01")</f>
        <v>Team 01</v>
      </c>
      <c r="D117" s="422" t="str">
        <f>IFERROR(__xludf.DUMMYFUNCTION("""COMPUTED_VALUE"""),"Request Export material")</f>
        <v>Request Export material</v>
      </c>
      <c r="E117" s="422" t="str">
        <f>IFERROR(__xludf.DUMMYFUNCTION("""COMPUTED_VALUE"""),"TNI0206-TNI0213&gt;&gt; F8 cable 1100meter, closure 2pcs, tension 3pcs")</f>
        <v>TNI0206-TNI0213&gt;&gt; F8 cable 1100meter, closure 2pcs, tension 3pcs</v>
      </c>
      <c r="F117" s="424">
        <f>IFERROR(__xludf.DUMMYFUNCTION("""COMPUTED_VALUE"""),46101.0)</f>
        <v>46101</v>
      </c>
      <c r="G117" s="424">
        <f>IFERROR(__xludf.DUMMYFUNCTION("""COMPUTED_VALUE"""),46104.0)</f>
        <v>46104</v>
      </c>
      <c r="H117" s="422"/>
      <c r="I117" s="422"/>
      <c r="J117" s="422"/>
      <c r="K117" s="422"/>
      <c r="L117" s="422"/>
      <c r="M117" s="422"/>
      <c r="N117" s="422"/>
      <c r="O117" s="422">
        <f>IFERROR(__xludf.DUMMYFUNCTION("""COMPUTED_VALUE"""),0.0)</f>
        <v>0</v>
      </c>
      <c r="P117" s="422"/>
      <c r="Q117" s="422"/>
      <c r="R117" s="98"/>
      <c r="S117" s="98" t="str">
        <f>IFERROR(__xludf.DUMMYFUNCTION("""COMPUTED_VALUE"""),"Thu Rain Niang")</f>
        <v>Thu Rain Niang</v>
      </c>
      <c r="T117" s="98" t="str">
        <f>IFERROR(__xludf.DUMMYFUNCTION("""COMPUTED_VALUE"""),"TNI0206")</f>
        <v>TNI0206</v>
      </c>
      <c r="W117" s="98" t="str">
        <f>IFERROR(__xludf.DUMMYFUNCTION("""COMPUTED_VALUE"""),"TNI0366")</f>
        <v>TNI0366</v>
      </c>
      <c r="X117" s="98" t="str">
        <f>IFERROR(__xludf.DUMMYFUNCTION("""COMPUTED_VALUE"""),"Team 01")</f>
        <v>Team 01</v>
      </c>
    </row>
    <row r="118">
      <c r="A118" s="422">
        <f>IFERROR(__xludf.DUMMYFUNCTION("""COMPUTED_VALUE"""),116.0)</f>
        <v>116</v>
      </c>
      <c r="B118" s="422" t="str">
        <f>IFERROR(__xludf.DUMMYFUNCTION("""COMPUTED_VALUE"""),"CM")</f>
        <v>CM</v>
      </c>
      <c r="C118" s="422" t="str">
        <f>IFERROR(__xludf.DUMMYFUNCTION("""COMPUTED_VALUE"""),"Team 01")</f>
        <v>Team 01</v>
      </c>
      <c r="D118" s="422" t="str">
        <f>IFERROR(__xludf.DUMMYFUNCTION("""COMPUTED_VALUE"""),"Request Export material")</f>
        <v>Request Export material</v>
      </c>
      <c r="E118" s="422" t="str">
        <f>IFERROR(__xludf.DUMMYFUNCTION("""COMPUTED_VALUE"""),"TNI0306-JB(TNI0052-TNI0329)&gt;&gt;48 Fo 200M, JB4 pcs")</f>
        <v>TNI0306-JB(TNI0052-TNI0329)&gt;&gt;48 Fo 200M, JB4 pcs</v>
      </c>
      <c r="F118" s="424">
        <f>IFERROR(__xludf.DUMMYFUNCTION("""COMPUTED_VALUE"""),46134.0)</f>
        <v>46134</v>
      </c>
      <c r="G118" s="424">
        <f>IFERROR(__xludf.DUMMYFUNCTION("""COMPUTED_VALUE"""),46137.0)</f>
        <v>46137</v>
      </c>
      <c r="H118" s="422"/>
      <c r="I118" s="422"/>
      <c r="J118" s="422"/>
      <c r="K118" s="422"/>
      <c r="L118" s="422"/>
      <c r="M118" s="422"/>
      <c r="N118" s="422"/>
      <c r="O118" s="422">
        <f>IFERROR(__xludf.DUMMYFUNCTION("""COMPUTED_VALUE"""),0.0)</f>
        <v>0</v>
      </c>
      <c r="P118" s="422"/>
      <c r="Q118" s="422"/>
      <c r="R118" s="98"/>
      <c r="S118" s="98" t="str">
        <f>IFERROR(__xludf.DUMMYFUNCTION("""COMPUTED_VALUE"""),"myt_bonemyat.naing1")</f>
        <v>myt_bonemyat.naing1</v>
      </c>
      <c r="T118" s="98" t="str">
        <f>IFERROR(__xludf.DUMMYFUNCTION("""COMPUTED_VALUE"""),"TNI0306")</f>
        <v>TNI0306</v>
      </c>
      <c r="W118" s="98" t="str">
        <f>IFERROR(__xludf.DUMMYFUNCTION("""COMPUTED_VALUE"""),"TNI0511")</f>
        <v>TNI0511</v>
      </c>
      <c r="X118" s="98" t="str">
        <f>IFERROR(__xludf.DUMMYFUNCTION("""COMPUTED_VALUE"""),"Team 01")</f>
        <v>Team 01</v>
      </c>
    </row>
    <row r="119">
      <c r="A119" s="422">
        <f>IFERROR(__xludf.DUMMYFUNCTION("""COMPUTED_VALUE"""),117.0)</f>
        <v>117</v>
      </c>
      <c r="B119" s="422" t="str">
        <f>IFERROR(__xludf.DUMMYFUNCTION("""COMPUTED_VALUE"""),"CM")</f>
        <v>CM</v>
      </c>
      <c r="C119" s="422" t="str">
        <f>IFERROR(__xludf.DUMMYFUNCTION("""COMPUTED_VALUE"""),"Team 01")</f>
        <v>Team 01</v>
      </c>
      <c r="D119" s="422" t="str">
        <f>IFERROR(__xludf.DUMMYFUNCTION("""COMPUTED_VALUE"""),"Request Export material")</f>
        <v>Request Export material</v>
      </c>
      <c r="E119" s="422" t="str">
        <f>IFERROR(__xludf.DUMMYFUNCTION("""COMPUTED_VALUE"""),"TNI0095-TNI0335&gt;&gt;48 FO 150M and JP 4pcs")</f>
        <v>TNI0095-TNI0335&gt;&gt;48 FO 150M and JP 4pcs</v>
      </c>
      <c r="F119" s="424">
        <f>IFERROR(__xludf.DUMMYFUNCTION("""COMPUTED_VALUE"""),46134.0)</f>
        <v>46134</v>
      </c>
      <c r="G119" s="424">
        <f>IFERROR(__xludf.DUMMYFUNCTION("""COMPUTED_VALUE"""),46137.0)</f>
        <v>46137</v>
      </c>
      <c r="H119" s="422"/>
      <c r="I119" s="422"/>
      <c r="J119" s="422"/>
      <c r="K119" s="422"/>
      <c r="L119" s="422"/>
      <c r="M119" s="422"/>
      <c r="N119" s="422"/>
      <c r="O119" s="422">
        <f>IFERROR(__xludf.DUMMYFUNCTION("""COMPUTED_VALUE"""),0.0)</f>
        <v>0</v>
      </c>
      <c r="P119" s="422"/>
      <c r="Q119" s="422"/>
      <c r="R119" s="98"/>
      <c r="S119" s="98" t="str">
        <f>IFERROR(__xludf.DUMMYFUNCTION("""COMPUTED_VALUE"""),"myt_bonemyat.naing1")</f>
        <v>myt_bonemyat.naing1</v>
      </c>
      <c r="T119" s="98" t="str">
        <f>IFERROR(__xludf.DUMMYFUNCTION("""COMPUTED_VALUE"""),"TNI0095")</f>
        <v>TNI0095</v>
      </c>
    </row>
    <row r="120">
      <c r="A120" s="422">
        <f>IFERROR(__xludf.DUMMYFUNCTION("""COMPUTED_VALUE"""),118.0)</f>
        <v>118</v>
      </c>
      <c r="B120" s="422" t="str">
        <f>IFERROR(__xludf.DUMMYFUNCTION("""COMPUTED_VALUE"""),"CM")</f>
        <v>CM</v>
      </c>
      <c r="C120" s="422" t="str">
        <f>IFERROR(__xludf.DUMMYFUNCTION("""COMPUTED_VALUE"""),"Team 01")</f>
        <v>Team 01</v>
      </c>
      <c r="D120" s="422" t="str">
        <f>IFERROR(__xludf.DUMMYFUNCTION("""COMPUTED_VALUE"""),"Request Export material")</f>
        <v>Request Export material</v>
      </c>
      <c r="E120" s="422" t="str">
        <f>IFERROR(__xludf.DUMMYFUNCTION("""COMPUTED_VALUE"""),"TNI0188-JB(MON0002-TNI0006)&gt;&gt;Closure 1 pcs")</f>
        <v>TNI0188-JB(MON0002-TNI0006)&gt;&gt;Closure 1 pcs</v>
      </c>
      <c r="F120" s="424">
        <f>IFERROR(__xludf.DUMMYFUNCTION("""COMPUTED_VALUE"""),46134.0)</f>
        <v>46134</v>
      </c>
      <c r="G120" s="424">
        <f>IFERROR(__xludf.DUMMYFUNCTION("""COMPUTED_VALUE"""),46137.0)</f>
        <v>46137</v>
      </c>
      <c r="H120" s="422"/>
      <c r="I120" s="422"/>
      <c r="J120" s="422"/>
      <c r="K120" s="422"/>
      <c r="L120" s="422"/>
      <c r="M120" s="422"/>
      <c r="N120" s="422"/>
      <c r="O120" s="422">
        <f>IFERROR(__xludf.DUMMYFUNCTION("""COMPUTED_VALUE"""),0.0)</f>
        <v>0</v>
      </c>
      <c r="P120" s="422"/>
      <c r="Q120" s="422"/>
      <c r="R120" s="98"/>
      <c r="S120" s="98" t="str">
        <f>IFERROR(__xludf.DUMMYFUNCTION("""COMPUTED_VALUE"""),"Thu Rain Niang")</f>
        <v>Thu Rain Niang</v>
      </c>
      <c r="T120" s="98" t="str">
        <f>IFERROR(__xludf.DUMMYFUNCTION("""COMPUTED_VALUE"""),"TNI0188")</f>
        <v>TNI0188</v>
      </c>
    </row>
    <row r="121">
      <c r="A121" s="422">
        <f>IFERROR(__xludf.DUMMYFUNCTION("""COMPUTED_VALUE"""),119.0)</f>
        <v>119</v>
      </c>
      <c r="B121" s="422" t="str">
        <f>IFERROR(__xludf.DUMMYFUNCTION("""COMPUTED_VALUE"""),"CM")</f>
        <v>CM</v>
      </c>
      <c r="C121" s="422" t="str">
        <f>IFERROR(__xludf.DUMMYFUNCTION("""COMPUTED_VALUE"""),"Team 01")</f>
        <v>Team 01</v>
      </c>
      <c r="D121" s="422" t="str">
        <f>IFERROR(__xludf.DUMMYFUNCTION("""COMPUTED_VALUE"""),"Request Export material")</f>
        <v>Request Export material</v>
      </c>
      <c r="E121" s="422" t="str">
        <f>IFERROR(__xludf.DUMMYFUNCTION("""COMPUTED_VALUE"""),"TNI0306-JB(TNI0052-TNI0329)&gt;&gt;48 Fo 200M JB4 pcs")</f>
        <v>TNI0306-JB(TNI0052-TNI0329)&gt;&gt;48 Fo 200M JB4 pcs</v>
      </c>
      <c r="F121" s="424">
        <f>IFERROR(__xludf.DUMMYFUNCTION("""COMPUTED_VALUE"""),46134.0)</f>
        <v>46134</v>
      </c>
      <c r="G121" s="424">
        <f>IFERROR(__xludf.DUMMYFUNCTION("""COMPUTED_VALUE"""),46137.0)</f>
        <v>46137</v>
      </c>
      <c r="H121" s="422"/>
      <c r="I121" s="422"/>
      <c r="J121" s="422"/>
      <c r="K121" s="422"/>
      <c r="L121" s="422"/>
      <c r="M121" s="422"/>
      <c r="N121" s="422"/>
      <c r="O121" s="422">
        <f>IFERROR(__xludf.DUMMYFUNCTION("""COMPUTED_VALUE"""),0.0)</f>
        <v>0</v>
      </c>
      <c r="P121" s="422"/>
      <c r="Q121" s="422"/>
      <c r="R121" s="98"/>
      <c r="S121" s="98" t="str">
        <f>IFERROR(__xludf.DUMMYFUNCTION("""COMPUTED_VALUE"""),"myt_bonemyat.naing1")</f>
        <v>myt_bonemyat.naing1</v>
      </c>
      <c r="T121" s="98" t="str">
        <f>IFERROR(__xludf.DUMMYFUNCTION("""COMPUTED_VALUE"""),"TNI0306")</f>
        <v>TNI0306</v>
      </c>
    </row>
    <row r="122">
      <c r="A122" s="422">
        <f>IFERROR(__xludf.DUMMYFUNCTION("""COMPUTED_VALUE"""),120.0)</f>
        <v>120</v>
      </c>
      <c r="B122" s="422" t="str">
        <f>IFERROR(__xludf.DUMMYFUNCTION("""COMPUTED_VALUE"""),"CM")</f>
        <v>CM</v>
      </c>
      <c r="C122" s="422" t="str">
        <f>IFERROR(__xludf.DUMMYFUNCTION("""COMPUTED_VALUE"""),"Team 01")</f>
        <v>Team 01</v>
      </c>
      <c r="D122" s="422" t="str">
        <f>IFERROR(__xludf.DUMMYFUNCTION("""COMPUTED_VALUE"""),"Request Export material")</f>
        <v>Request Export material</v>
      </c>
      <c r="E122" s="422" t="str">
        <f>IFERROR(__xludf.DUMMYFUNCTION("""COMPUTED_VALUE"""),"TNI0331-JB(MON0002-TNI0006)&gt;&gt;F8cable-150meter,closure 2pcs, tension 2pcs")</f>
        <v>TNI0331-JB(MON0002-TNI0006)&gt;&gt;F8cable-150meter,closure 2pcs, tension 2pcs</v>
      </c>
      <c r="F122" s="424">
        <f>IFERROR(__xludf.DUMMYFUNCTION("""COMPUTED_VALUE"""),46134.0)</f>
        <v>46134</v>
      </c>
      <c r="G122" s="424">
        <f>IFERROR(__xludf.DUMMYFUNCTION("""COMPUTED_VALUE"""),46137.0)</f>
        <v>46137</v>
      </c>
      <c r="H122" s="422"/>
      <c r="I122" s="422"/>
      <c r="J122" s="422"/>
      <c r="K122" s="422"/>
      <c r="L122" s="422"/>
      <c r="M122" s="422"/>
      <c r="N122" s="422"/>
      <c r="O122" s="422">
        <f>IFERROR(__xludf.DUMMYFUNCTION("""COMPUTED_VALUE"""),0.0)</f>
        <v>0</v>
      </c>
      <c r="P122" s="422"/>
      <c r="Q122" s="422"/>
      <c r="R122" s="98"/>
      <c r="S122" s="98" t="str">
        <f>IFERROR(__xludf.DUMMYFUNCTION("""COMPUTED_VALUE"""),"Thu Rain Niang")</f>
        <v>Thu Rain Niang</v>
      </c>
      <c r="T122" s="98" t="str">
        <f>IFERROR(__xludf.DUMMYFUNCTION("""COMPUTED_VALUE"""),"TNI0331")</f>
        <v>TNI0331</v>
      </c>
    </row>
    <row r="123">
      <c r="A123" s="422">
        <f>IFERROR(__xludf.DUMMYFUNCTION("""COMPUTED_VALUE"""),121.0)</f>
        <v>121</v>
      </c>
      <c r="B123" s="422" t="str">
        <f>IFERROR(__xludf.DUMMYFUNCTION("""COMPUTED_VALUE"""),"CM")</f>
        <v>CM</v>
      </c>
      <c r="C123" s="422" t="str">
        <f>IFERROR(__xludf.DUMMYFUNCTION("""COMPUTED_VALUE"""),"Team 01")</f>
        <v>Team 01</v>
      </c>
      <c r="D123" s="422" t="str">
        <f>IFERROR(__xludf.DUMMYFUNCTION("""COMPUTED_VALUE"""),"Request Export material")</f>
        <v>Request Export material</v>
      </c>
      <c r="E123" s="422" t="str">
        <f>IFERROR(__xludf.DUMMYFUNCTION("""COMPUTED_VALUE"""),"TNI0006-TNI0213&gt;&gt;closure 1pcs")</f>
        <v>TNI0006-TNI0213&gt;&gt;closure 1pcs</v>
      </c>
      <c r="F123" s="424">
        <f>IFERROR(__xludf.DUMMYFUNCTION("""COMPUTED_VALUE"""),46134.0)</f>
        <v>46134</v>
      </c>
      <c r="G123" s="424">
        <f>IFERROR(__xludf.DUMMYFUNCTION("""COMPUTED_VALUE"""),46137.0)</f>
        <v>46137</v>
      </c>
      <c r="H123" s="422"/>
      <c r="I123" s="422"/>
      <c r="J123" s="422"/>
      <c r="K123" s="422"/>
      <c r="L123" s="422"/>
      <c r="M123" s="422"/>
      <c r="N123" s="422"/>
      <c r="O123" s="422">
        <f>IFERROR(__xludf.DUMMYFUNCTION("""COMPUTED_VALUE"""),0.0)</f>
        <v>0</v>
      </c>
      <c r="P123" s="422"/>
      <c r="Q123" s="422"/>
      <c r="R123" s="98"/>
      <c r="S123" s="98" t="str">
        <f>IFERROR(__xludf.DUMMYFUNCTION("""COMPUTED_VALUE"""),"Thu Rain Niang")</f>
        <v>Thu Rain Niang</v>
      </c>
      <c r="T123" s="98" t="str">
        <f>IFERROR(__xludf.DUMMYFUNCTION("""COMPUTED_VALUE"""),"TNI0006")</f>
        <v>TNI0006</v>
      </c>
    </row>
    <row r="124">
      <c r="A124" s="422">
        <f>IFERROR(__xludf.DUMMYFUNCTION("""COMPUTED_VALUE"""),122.0)</f>
        <v>122</v>
      </c>
      <c r="B124" s="422" t="str">
        <f>IFERROR(__xludf.DUMMYFUNCTION("""COMPUTED_VALUE"""),"CM")</f>
        <v>CM</v>
      </c>
      <c r="C124" s="422" t="str">
        <f>IFERROR(__xludf.DUMMYFUNCTION("""COMPUTED_VALUE"""),"Team 01")</f>
        <v>Team 01</v>
      </c>
      <c r="D124" s="422" t="str">
        <f>IFERROR(__xludf.DUMMYFUNCTION("""COMPUTED_VALUE"""),"Request Export material")</f>
        <v>Request Export material</v>
      </c>
      <c r="E124" s="422" t="str">
        <f>IFERROR(__xludf.DUMMYFUNCTION("""COMPUTED_VALUE"""),"TNI0006-JB(MON0002-TNI0006)&gt;&gt;F8 cable 700meter, closure 2pcs, tension 1pcs")</f>
        <v>TNI0006-JB(MON0002-TNI0006)&gt;&gt;F8 cable 700meter, closure 2pcs, tension 1pcs</v>
      </c>
      <c r="F124" s="424">
        <f>IFERROR(__xludf.DUMMYFUNCTION("""COMPUTED_VALUE"""),46134.0)</f>
        <v>46134</v>
      </c>
      <c r="G124" s="424">
        <f>IFERROR(__xludf.DUMMYFUNCTION("""COMPUTED_VALUE"""),46137.0)</f>
        <v>46137</v>
      </c>
      <c r="H124" s="422"/>
      <c r="I124" s="422"/>
      <c r="J124" s="422"/>
      <c r="K124" s="422"/>
      <c r="L124" s="422"/>
      <c r="M124" s="422"/>
      <c r="N124" s="422"/>
      <c r="O124" s="422">
        <f>IFERROR(__xludf.DUMMYFUNCTION("""COMPUTED_VALUE"""),0.0)</f>
        <v>0</v>
      </c>
      <c r="P124" s="422"/>
      <c r="Q124" s="422"/>
      <c r="R124" s="98"/>
      <c r="S124" s="98" t="str">
        <f>IFERROR(__xludf.DUMMYFUNCTION("""COMPUTED_VALUE"""),"Thu Rain Niang")</f>
        <v>Thu Rain Niang</v>
      </c>
      <c r="T124" s="98" t="str">
        <f>IFERROR(__xludf.DUMMYFUNCTION("""COMPUTED_VALUE"""),"TNI0006")</f>
        <v>TNI0006</v>
      </c>
    </row>
    <row r="125">
      <c r="A125" s="422">
        <f>IFERROR(__xludf.DUMMYFUNCTION("""COMPUTED_VALUE"""),123.0)</f>
        <v>123</v>
      </c>
      <c r="B125" s="422" t="str">
        <f>IFERROR(__xludf.DUMMYFUNCTION("""COMPUTED_VALUE"""),"CM")</f>
        <v>CM</v>
      </c>
      <c r="C125" s="422" t="str">
        <f>IFERROR(__xludf.DUMMYFUNCTION("""COMPUTED_VALUE"""),"Team 01")</f>
        <v>Team 01</v>
      </c>
      <c r="D125" s="422" t="str">
        <f>IFERROR(__xludf.DUMMYFUNCTION("""COMPUTED_VALUE"""),"Request Export material")</f>
        <v>Request Export material</v>
      </c>
      <c r="E125" s="422" t="str">
        <f>IFERROR(__xludf.DUMMYFUNCTION("""COMPUTED_VALUE"""),"TNI0031-TNI0333&gt;&gt;F8cable 500 meter,closure 2pcs, tension 1pcs")</f>
        <v>TNI0031-TNI0333&gt;&gt;F8cable 500 meter,closure 2pcs, tension 1pcs</v>
      </c>
      <c r="F125" s="424">
        <f>IFERROR(__xludf.DUMMYFUNCTION("""COMPUTED_VALUE"""),46134.0)</f>
        <v>46134</v>
      </c>
      <c r="G125" s="424">
        <f>IFERROR(__xludf.DUMMYFUNCTION("""COMPUTED_VALUE"""),46137.0)</f>
        <v>46137</v>
      </c>
      <c r="H125" s="422"/>
      <c r="I125" s="422"/>
      <c r="J125" s="422"/>
      <c r="K125" s="422"/>
      <c r="L125" s="422"/>
      <c r="M125" s="422"/>
      <c r="N125" s="422"/>
      <c r="O125" s="422">
        <f>IFERROR(__xludf.DUMMYFUNCTION("""COMPUTED_VALUE"""),0.0)</f>
        <v>0</v>
      </c>
      <c r="P125" s="422"/>
      <c r="Q125" s="422"/>
      <c r="R125" s="98"/>
      <c r="S125" s="98" t="str">
        <f>IFERROR(__xludf.DUMMYFUNCTION("""COMPUTED_VALUE"""),"myt_bonemyat.naing1")</f>
        <v>myt_bonemyat.naing1</v>
      </c>
      <c r="T125" s="98" t="str">
        <f>IFERROR(__xludf.DUMMYFUNCTION("""COMPUTED_VALUE"""),"TNI0031")</f>
        <v>TNI0031</v>
      </c>
    </row>
    <row r="126">
      <c r="A126" s="422">
        <f>IFERROR(__xludf.DUMMYFUNCTION("""COMPUTED_VALUE"""),124.0)</f>
        <v>124</v>
      </c>
      <c r="B126" s="422" t="str">
        <f>IFERROR(__xludf.DUMMYFUNCTION("""COMPUTED_VALUE"""),"CM")</f>
        <v>CM</v>
      </c>
      <c r="C126" s="422" t="str">
        <f>IFERROR(__xludf.DUMMYFUNCTION("""COMPUTED_VALUE"""),"Team 02")</f>
        <v>Team 02</v>
      </c>
      <c r="D126" s="422" t="str">
        <f>IFERROR(__xludf.DUMMYFUNCTION("""COMPUTED_VALUE"""),"Request Export material")</f>
        <v>Request Export material</v>
      </c>
      <c r="E126" s="422" t="str">
        <f>IFERROR(__xludf.DUMMYFUNCTION("""COMPUTED_VALUE"""),"TNI0280-TNI0352&gt;&gt;F8 cable 200m,closure 2pcs")</f>
        <v>TNI0280-TNI0352&gt;&gt;F8 cable 200m,closure 2pcs</v>
      </c>
      <c r="F126" s="424">
        <f>IFERROR(__xludf.DUMMYFUNCTION("""COMPUTED_VALUE"""),45974.0)</f>
        <v>45974</v>
      </c>
      <c r="G126" s="424">
        <f>IFERROR(__xludf.DUMMYFUNCTION("""COMPUTED_VALUE"""),45977.0)</f>
        <v>45977</v>
      </c>
      <c r="H126" s="422"/>
      <c r="I126" s="422"/>
      <c r="J126" s="422"/>
      <c r="K126" s="422"/>
      <c r="L126" s="422"/>
      <c r="M126" s="422"/>
      <c r="N126" s="422"/>
      <c r="O126" s="422">
        <f>IFERROR(__xludf.DUMMYFUNCTION("""COMPUTED_VALUE"""),0.0)</f>
        <v>0</v>
      </c>
      <c r="P126" s="422"/>
      <c r="Q126" s="422"/>
      <c r="R126" s="98"/>
      <c r="S126" s="98" t="str">
        <f>IFERROR(__xludf.DUMMYFUNCTION("""COMPUTED_VALUE"""),"myt_maung.maung11")</f>
        <v>myt_maung.maung11</v>
      </c>
      <c r="T126" s="98" t="str">
        <f>IFERROR(__xludf.DUMMYFUNCTION("""COMPUTED_VALUE"""),"TNI0280")</f>
        <v>TNI0280</v>
      </c>
    </row>
    <row r="127">
      <c r="A127" s="422">
        <f>IFERROR(__xludf.DUMMYFUNCTION("""COMPUTED_VALUE"""),125.0)</f>
        <v>125</v>
      </c>
      <c r="B127" s="422" t="str">
        <f>IFERROR(__xludf.DUMMYFUNCTION("""COMPUTED_VALUE"""),"CM")</f>
        <v>CM</v>
      </c>
      <c r="C127" s="422" t="str">
        <f>IFERROR(__xludf.DUMMYFUNCTION("""COMPUTED_VALUE"""),"Team 02")</f>
        <v>Team 02</v>
      </c>
      <c r="D127" s="422" t="str">
        <f>IFERROR(__xludf.DUMMYFUNCTION("""COMPUTED_VALUE"""),"Request Export material")</f>
        <v>Request Export material</v>
      </c>
      <c r="E127" s="422" t="str">
        <f>IFERROR(__xludf.DUMMYFUNCTION("""COMPUTED_VALUE"""),"TNI0007-TNI0003&gt;&gt;F8 cable 200m,closure 2pcs")</f>
        <v>TNI0007-TNI0003&gt;&gt;F8 cable 200m,closure 2pcs</v>
      </c>
      <c r="F127" s="424">
        <f>IFERROR(__xludf.DUMMYFUNCTION("""COMPUTED_VALUE"""),45983.0)</f>
        <v>45983</v>
      </c>
      <c r="G127" s="424">
        <f>IFERROR(__xludf.DUMMYFUNCTION("""COMPUTED_VALUE"""),45986.0)</f>
        <v>45986</v>
      </c>
      <c r="H127" s="422"/>
      <c r="I127" s="422"/>
      <c r="J127" s="422"/>
      <c r="K127" s="422"/>
      <c r="L127" s="422"/>
      <c r="M127" s="422"/>
      <c r="N127" s="422"/>
      <c r="O127" s="422">
        <f>IFERROR(__xludf.DUMMYFUNCTION("""COMPUTED_VALUE"""),0.0)</f>
        <v>0</v>
      </c>
      <c r="P127" s="422"/>
      <c r="Q127" s="422"/>
      <c r="R127" s="98"/>
      <c r="S127" s="98" t="str">
        <f>IFERROR(__xludf.DUMMYFUNCTION("""COMPUTED_VALUE"""),"myt_minpaing.oo")</f>
        <v>myt_minpaing.oo</v>
      </c>
      <c r="T127" s="98" t="str">
        <f>IFERROR(__xludf.DUMMYFUNCTION("""COMPUTED_VALUE"""),"TNI0007")</f>
        <v>TNI0007</v>
      </c>
    </row>
    <row r="128">
      <c r="A128" s="422">
        <f>IFERROR(__xludf.DUMMYFUNCTION("""COMPUTED_VALUE"""),126.0)</f>
        <v>126</v>
      </c>
      <c r="B128" s="422" t="str">
        <f>IFERROR(__xludf.DUMMYFUNCTION("""COMPUTED_VALUE"""),"CM")</f>
        <v>CM</v>
      </c>
      <c r="C128" s="422" t="str">
        <f>IFERROR(__xludf.DUMMYFUNCTION("""COMPUTED_VALUE"""),"Team 02")</f>
        <v>Team 02</v>
      </c>
      <c r="D128" s="422" t="str">
        <f>IFERROR(__xludf.DUMMYFUNCTION("""COMPUTED_VALUE"""),"Request Export material")</f>
        <v>Request Export material</v>
      </c>
      <c r="E128" s="422" t="str">
        <f>IFERROR(__xludf.DUMMYFUNCTION("""COMPUTED_VALUE"""),"TNI0159-TNIM044&gt;&gt;24FX cable - 250 meters, Closure - 2 pcs")</f>
        <v>TNI0159-TNIM044&gt;&gt;24FX cable - 250 meters, Closure - 2 pcs</v>
      </c>
      <c r="F128" s="424">
        <f>IFERROR(__xludf.DUMMYFUNCTION("""COMPUTED_VALUE"""),45974.0)</f>
        <v>45974</v>
      </c>
      <c r="G128" s="424">
        <f>IFERROR(__xludf.DUMMYFUNCTION("""COMPUTED_VALUE"""),45977.0)</f>
        <v>45977</v>
      </c>
      <c r="H128" s="422"/>
      <c r="I128" s="422"/>
      <c r="J128" s="422"/>
      <c r="K128" s="422"/>
      <c r="L128" s="422"/>
      <c r="M128" s="422"/>
      <c r="N128" s="422"/>
      <c r="O128" s="422">
        <f>IFERROR(__xludf.DUMMYFUNCTION("""COMPUTED_VALUE"""),0.0)</f>
        <v>0</v>
      </c>
      <c r="P128" s="422"/>
      <c r="Q128" s="422"/>
      <c r="R128" s="98"/>
      <c r="S128" s="98" t="str">
        <f>IFERROR(__xludf.DUMMYFUNCTION("""COMPUTED_VALUE"""),"myt_minpaing.oo")</f>
        <v>myt_minpaing.oo</v>
      </c>
      <c r="T128" s="98" t="str">
        <f>IFERROR(__xludf.DUMMYFUNCTION("""COMPUTED_VALUE"""),"TNI0159")</f>
        <v>TNI0159</v>
      </c>
    </row>
    <row r="129">
      <c r="A129" s="422">
        <f>IFERROR(__xludf.DUMMYFUNCTION("""COMPUTED_VALUE"""),127.0)</f>
        <v>127</v>
      </c>
      <c r="B129" s="422" t="str">
        <f>IFERROR(__xludf.DUMMYFUNCTION("""COMPUTED_VALUE"""),"CM")</f>
        <v>CM</v>
      </c>
      <c r="C129" s="422" t="str">
        <f>IFERROR(__xludf.DUMMYFUNCTION("""COMPUTED_VALUE"""),"Team 02")</f>
        <v>Team 02</v>
      </c>
      <c r="D129" s="422" t="str">
        <f>IFERROR(__xludf.DUMMYFUNCTION("""COMPUTED_VALUE"""),"Request Export material")</f>
        <v>Request Export material</v>
      </c>
      <c r="E129" s="422" t="str">
        <f>IFERROR(__xludf.DUMMYFUNCTION("""COMPUTED_VALUE"""),"TNI0005-TNIM007&gt;&gt; Closure 2 pcs, 24 FO 200m")</f>
        <v>TNI0005-TNIM007&gt;&gt; Closure 2 pcs, 24 FO 200m</v>
      </c>
      <c r="F129" s="424">
        <f>IFERROR(__xludf.DUMMYFUNCTION("""COMPUTED_VALUE"""),45989.0)</f>
        <v>45989</v>
      </c>
      <c r="G129" s="424">
        <f>IFERROR(__xludf.DUMMYFUNCTION("""COMPUTED_VALUE"""),45992.0)</f>
        <v>45992</v>
      </c>
      <c r="H129" s="422"/>
      <c r="I129" s="422"/>
      <c r="J129" s="422"/>
      <c r="K129" s="422"/>
      <c r="L129" s="422"/>
      <c r="M129" s="422"/>
      <c r="N129" s="422"/>
      <c r="O129" s="422">
        <f>IFERROR(__xludf.DUMMYFUNCTION("""COMPUTED_VALUE"""),0.0)</f>
        <v>0</v>
      </c>
      <c r="P129" s="422"/>
      <c r="Q129" s="422"/>
      <c r="R129" s="98"/>
      <c r="S129" s="98" t="str">
        <f>IFERROR(__xludf.DUMMYFUNCTION("""COMPUTED_VALUE"""),"myt_minpaing.oo")</f>
        <v>myt_minpaing.oo</v>
      </c>
      <c r="T129" s="98" t="str">
        <f>IFERROR(__xludf.DUMMYFUNCTION("""COMPUTED_VALUE"""),"TNI0005")</f>
        <v>TNI0005</v>
      </c>
    </row>
    <row r="130">
      <c r="A130" s="422">
        <f>IFERROR(__xludf.DUMMYFUNCTION("""COMPUTED_VALUE"""),128.0)</f>
        <v>128</v>
      </c>
      <c r="B130" s="422" t="str">
        <f>IFERROR(__xludf.DUMMYFUNCTION("""COMPUTED_VALUE"""),"CM")</f>
        <v>CM</v>
      </c>
      <c r="C130" s="422" t="str">
        <f>IFERROR(__xludf.DUMMYFUNCTION("""COMPUTED_VALUE"""),"Team 02")</f>
        <v>Team 02</v>
      </c>
      <c r="D130" s="422" t="str">
        <f>IFERROR(__xludf.DUMMYFUNCTION("""COMPUTED_VALUE"""),"Request Export material")</f>
        <v>Request Export material</v>
      </c>
      <c r="E130" s="422" t="str">
        <f>IFERROR(__xludf.DUMMYFUNCTION("""COMPUTED_VALUE"""),"TNI0290-TNIM075&gt;&gt; 24 F8 cable 120 m, closure 2pcs")</f>
        <v>TNI0290-TNIM075&gt;&gt; 24 F8 cable 120 m, closure 2pcs</v>
      </c>
      <c r="F130" s="424">
        <f>IFERROR(__xludf.DUMMYFUNCTION("""COMPUTED_VALUE"""),45989.0)</f>
        <v>45989</v>
      </c>
      <c r="G130" s="424">
        <f>IFERROR(__xludf.DUMMYFUNCTION("""COMPUTED_VALUE"""),45992.0)</f>
        <v>45992</v>
      </c>
      <c r="H130" s="422"/>
      <c r="I130" s="422"/>
      <c r="J130" s="422"/>
      <c r="K130" s="422"/>
      <c r="L130" s="422"/>
      <c r="M130" s="422"/>
      <c r="N130" s="422"/>
      <c r="O130" s="422">
        <f>IFERROR(__xludf.DUMMYFUNCTION("""COMPUTED_VALUE"""),0.0)</f>
        <v>0</v>
      </c>
      <c r="P130" s="422"/>
      <c r="Q130" s="422"/>
      <c r="R130" s="98"/>
      <c r="S130" s="98" t="str">
        <f>IFERROR(__xludf.DUMMYFUNCTION("""COMPUTED_VALUE"""),"myt_minpaing.oo")</f>
        <v>myt_minpaing.oo</v>
      </c>
      <c r="T130" s="98" t="str">
        <f>IFERROR(__xludf.DUMMYFUNCTION("""COMPUTED_VALUE"""),"TNI0290")</f>
        <v>TNI0290</v>
      </c>
    </row>
    <row r="131">
      <c r="A131" s="422">
        <f>IFERROR(__xludf.DUMMYFUNCTION("""COMPUTED_VALUE"""),129.0)</f>
        <v>129</v>
      </c>
      <c r="B131" s="422" t="str">
        <f>IFERROR(__xludf.DUMMYFUNCTION("""COMPUTED_VALUE"""),"CM")</f>
        <v>CM</v>
      </c>
      <c r="C131" s="422" t="str">
        <f>IFERROR(__xludf.DUMMYFUNCTION("""COMPUTED_VALUE"""),"Team 02")</f>
        <v>Team 02</v>
      </c>
      <c r="D131" s="422" t="str">
        <f>IFERROR(__xludf.DUMMYFUNCTION("""COMPUTED_VALUE"""),"Request Export material")</f>
        <v>Request Export material</v>
      </c>
      <c r="E131" s="422" t="str">
        <f>IFERROR(__xludf.DUMMYFUNCTION("""COMPUTED_VALUE"""),"TNI0290-TNIM075&gt;&gt; closure - 2 pcs, 24FX cable - 200 M")</f>
        <v>TNI0290-TNIM075&gt;&gt; closure - 2 pcs, 24FX cable - 200 M</v>
      </c>
      <c r="F131" s="424">
        <f>IFERROR(__xludf.DUMMYFUNCTION("""COMPUTED_VALUE"""),46013.0)</f>
        <v>46013</v>
      </c>
      <c r="G131" s="424">
        <f>IFERROR(__xludf.DUMMYFUNCTION("""COMPUTED_VALUE"""),46016.0)</f>
        <v>46016</v>
      </c>
      <c r="H131" s="422"/>
      <c r="I131" s="422"/>
      <c r="J131" s="422"/>
      <c r="K131" s="422"/>
      <c r="L131" s="422"/>
      <c r="M131" s="422"/>
      <c r="N131" s="422"/>
      <c r="O131" s="422">
        <f>IFERROR(__xludf.DUMMYFUNCTION("""COMPUTED_VALUE"""),0.0)</f>
        <v>0</v>
      </c>
      <c r="P131" s="422"/>
      <c r="Q131" s="422"/>
      <c r="R131" s="98"/>
      <c r="S131" s="98" t="str">
        <f>IFERROR(__xludf.DUMMYFUNCTION("""COMPUTED_VALUE"""),"myt_minpaing.oo")</f>
        <v>myt_minpaing.oo</v>
      </c>
      <c r="T131" s="98" t="str">
        <f>IFERROR(__xludf.DUMMYFUNCTION("""COMPUTED_VALUE"""),"TNI0290")</f>
        <v>TNI0290</v>
      </c>
    </row>
    <row r="132">
      <c r="A132" s="422">
        <f>IFERROR(__xludf.DUMMYFUNCTION("""COMPUTED_VALUE"""),130.0)</f>
        <v>130</v>
      </c>
      <c r="B132" s="422" t="str">
        <f>IFERROR(__xludf.DUMMYFUNCTION("""COMPUTED_VALUE"""),"CM")</f>
        <v>CM</v>
      </c>
      <c r="C132" s="422" t="str">
        <f>IFERROR(__xludf.DUMMYFUNCTION("""COMPUTED_VALUE"""),"Team 02")</f>
        <v>Team 02</v>
      </c>
      <c r="D132" s="422" t="str">
        <f>IFERROR(__xludf.DUMMYFUNCTION("""COMPUTED_VALUE"""),"Request Export material")</f>
        <v>Request Export material</v>
      </c>
      <c r="E132" s="422" t="str">
        <f>IFERROR(__xludf.DUMMYFUNCTION("""COMPUTED_VALUE"""),"TNI0291-TNIM076&gt;&gt;closure 2 pcs ,24F8 cable- 150 m")</f>
        <v>TNI0291-TNIM076&gt;&gt;closure 2 pcs ,24F8 cable- 150 m</v>
      </c>
      <c r="F132" s="424">
        <f>IFERROR(__xludf.DUMMYFUNCTION("""COMPUTED_VALUE"""),46035.0)</f>
        <v>46035</v>
      </c>
      <c r="G132" s="424">
        <f>IFERROR(__xludf.DUMMYFUNCTION("""COMPUTED_VALUE"""),46038.0)</f>
        <v>46038</v>
      </c>
      <c r="H132" s="422"/>
      <c r="I132" s="422"/>
      <c r="J132" s="422"/>
      <c r="K132" s="422"/>
      <c r="L132" s="422"/>
      <c r="M132" s="422"/>
      <c r="N132" s="422"/>
      <c r="O132" s="422">
        <f>IFERROR(__xludf.DUMMYFUNCTION("""COMPUTED_VALUE"""),0.0)</f>
        <v>0</v>
      </c>
      <c r="P132" s="422"/>
      <c r="Q132" s="422"/>
      <c r="R132" s="98"/>
      <c r="S132" s="98" t="str">
        <f>IFERROR(__xludf.DUMMYFUNCTION("""COMPUTED_VALUE"""),"myt_minpaing.oo")</f>
        <v>myt_minpaing.oo</v>
      </c>
      <c r="T132" s="98" t="str">
        <f>IFERROR(__xludf.DUMMYFUNCTION("""COMPUTED_VALUE"""),"TNI0291")</f>
        <v>TNI0291</v>
      </c>
    </row>
    <row r="133">
      <c r="A133" s="422">
        <f>IFERROR(__xludf.DUMMYFUNCTION("""COMPUTED_VALUE"""),131.0)</f>
        <v>131</v>
      </c>
      <c r="B133" s="422" t="str">
        <f>IFERROR(__xludf.DUMMYFUNCTION("""COMPUTED_VALUE"""),"CM")</f>
        <v>CM</v>
      </c>
      <c r="C133" s="422" t="str">
        <f>IFERROR(__xludf.DUMMYFUNCTION("""COMPUTED_VALUE"""),"Team 02")</f>
        <v>Team 02</v>
      </c>
      <c r="D133" s="422" t="str">
        <f>IFERROR(__xludf.DUMMYFUNCTION("""COMPUTED_VALUE"""),"Request Export material")</f>
        <v>Request Export material</v>
      </c>
      <c r="E133" s="422" t="str">
        <f>IFERROR(__xludf.DUMMYFUNCTION("""COMPUTED_VALUE"""),"TNI0290-TNIM075&gt;&gt;24FX cable - 150 M, closure - 2 pcs")</f>
        <v>TNI0290-TNIM075&gt;&gt;24FX cable - 150 M, closure - 2 pcs</v>
      </c>
      <c r="F133" s="424">
        <f>IFERROR(__xludf.DUMMYFUNCTION("""COMPUTED_VALUE"""),46039.0)</f>
        <v>46039</v>
      </c>
      <c r="G133" s="424">
        <f>IFERROR(__xludf.DUMMYFUNCTION("""COMPUTED_VALUE"""),46042.0)</f>
        <v>46042</v>
      </c>
      <c r="H133" s="422"/>
      <c r="I133" s="422"/>
      <c r="J133" s="422"/>
      <c r="K133" s="422"/>
      <c r="L133" s="422"/>
      <c r="M133" s="422"/>
      <c r="N133" s="422"/>
      <c r="O133" s="422">
        <f>IFERROR(__xludf.DUMMYFUNCTION("""COMPUTED_VALUE"""),0.0)</f>
        <v>0</v>
      </c>
      <c r="P133" s="422"/>
      <c r="Q133" s="422"/>
      <c r="R133" s="98"/>
      <c r="S133" s="98" t="str">
        <f>IFERROR(__xludf.DUMMYFUNCTION("""COMPUTED_VALUE"""),"myt_minpaing.oo")</f>
        <v>myt_minpaing.oo</v>
      </c>
      <c r="T133" s="98" t="str">
        <f>IFERROR(__xludf.DUMMYFUNCTION("""COMPUTED_VALUE"""),"TNI0290")</f>
        <v>TNI0290</v>
      </c>
    </row>
    <row r="134">
      <c r="A134" s="422">
        <f>IFERROR(__xludf.DUMMYFUNCTION("""COMPUTED_VALUE"""),132.0)</f>
        <v>132</v>
      </c>
      <c r="B134" s="422" t="str">
        <f>IFERROR(__xludf.DUMMYFUNCTION("""COMPUTED_VALUE"""),"CM")</f>
        <v>CM</v>
      </c>
      <c r="C134" s="422" t="str">
        <f>IFERROR(__xludf.DUMMYFUNCTION("""COMPUTED_VALUE"""),"Team 02")</f>
        <v>Team 02</v>
      </c>
      <c r="D134" s="422" t="str">
        <f>IFERROR(__xludf.DUMMYFUNCTION("""COMPUTED_VALUE"""),"Request Export material")</f>
        <v>Request Export material</v>
      </c>
      <c r="E134" s="422" t="str">
        <f>IFERROR(__xludf.DUMMYFUNCTION("""COMPUTED_VALUE"""),"TNI0007-TNIM012&gt;&gt;24 FH cable 1.5km , 2closure")</f>
        <v>TNI0007-TNIM012&gt;&gt;24 FH cable 1.5km , 2closure</v>
      </c>
      <c r="F134" s="424">
        <f>IFERROR(__xludf.DUMMYFUNCTION("""COMPUTED_VALUE"""),46058.0)</f>
        <v>46058</v>
      </c>
      <c r="G134" s="424">
        <f>IFERROR(__xludf.DUMMYFUNCTION("""COMPUTED_VALUE"""),46061.0)</f>
        <v>46061</v>
      </c>
      <c r="H134" s="422"/>
      <c r="I134" s="422"/>
      <c r="J134" s="422"/>
      <c r="K134" s="422"/>
      <c r="L134" s="422"/>
      <c r="M134" s="422"/>
      <c r="N134" s="422"/>
      <c r="O134" s="422">
        <f>IFERROR(__xludf.DUMMYFUNCTION("""COMPUTED_VALUE"""),0.0)</f>
        <v>0</v>
      </c>
      <c r="P134" s="422"/>
      <c r="Q134" s="422"/>
      <c r="R134" s="98"/>
      <c r="S134" s="98" t="str">
        <f>IFERROR(__xludf.DUMMYFUNCTION("""COMPUTED_VALUE"""),"myt_minpaing.oo")</f>
        <v>myt_minpaing.oo</v>
      </c>
      <c r="T134" s="98" t="str">
        <f>IFERROR(__xludf.DUMMYFUNCTION("""COMPUTED_VALUE"""),"TNI0007")</f>
        <v>TNI0007</v>
      </c>
    </row>
    <row r="135">
      <c r="A135" s="422">
        <f>IFERROR(__xludf.DUMMYFUNCTION("""COMPUTED_VALUE"""),133.0)</f>
        <v>133</v>
      </c>
      <c r="B135" s="422" t="str">
        <f>IFERROR(__xludf.DUMMYFUNCTION("""COMPUTED_VALUE"""),"CM")</f>
        <v>CM</v>
      </c>
      <c r="C135" s="422" t="str">
        <f>IFERROR(__xludf.DUMMYFUNCTION("""COMPUTED_VALUE"""),"Team 02")</f>
        <v>Team 02</v>
      </c>
      <c r="D135" s="422" t="str">
        <f>IFERROR(__xludf.DUMMYFUNCTION("""COMPUTED_VALUE"""),"Request Export material")</f>
        <v>Request Export material</v>
      </c>
      <c r="E135" s="422" t="str">
        <f>IFERROR(__xludf.DUMMYFUNCTION("""COMPUTED_VALUE"""),"TNI0237-TNI0260&gt;&gt; F8 cable 700m,closure 2 pcs")</f>
        <v>TNI0237-TNI0260&gt;&gt; F8 cable 700m,closure 2 pcs</v>
      </c>
      <c r="F135" s="424">
        <f>IFERROR(__xludf.DUMMYFUNCTION("""COMPUTED_VALUE"""),46101.0)</f>
        <v>46101</v>
      </c>
      <c r="G135" s="424">
        <f>IFERROR(__xludf.DUMMYFUNCTION("""COMPUTED_VALUE"""),46104.0)</f>
        <v>46104</v>
      </c>
      <c r="H135" s="422"/>
      <c r="I135" s="422"/>
      <c r="J135" s="422"/>
      <c r="K135" s="422"/>
      <c r="L135" s="422"/>
      <c r="M135" s="422"/>
      <c r="N135" s="422"/>
      <c r="O135" s="422">
        <f>IFERROR(__xludf.DUMMYFUNCTION("""COMPUTED_VALUE"""),0.0)</f>
        <v>0</v>
      </c>
      <c r="P135" s="422"/>
      <c r="Q135" s="422"/>
      <c r="R135" s="98"/>
      <c r="S135" s="98" t="str">
        <f>IFERROR(__xludf.DUMMYFUNCTION("""COMPUTED_VALUE"""),"myt_ye.lin22")</f>
        <v>myt_ye.lin22</v>
      </c>
      <c r="T135" s="98" t="str">
        <f>IFERROR(__xludf.DUMMYFUNCTION("""COMPUTED_VALUE"""),"TNI0237")</f>
        <v>TNI0237</v>
      </c>
    </row>
    <row r="136">
      <c r="A136" s="422">
        <f>IFERROR(__xludf.DUMMYFUNCTION("""COMPUTED_VALUE"""),134.0)</f>
        <v>134</v>
      </c>
      <c r="B136" s="422" t="str">
        <f>IFERROR(__xludf.DUMMYFUNCTION("""COMPUTED_VALUE"""),"CM")</f>
        <v>CM</v>
      </c>
      <c r="C136" s="422" t="str">
        <f>IFERROR(__xludf.DUMMYFUNCTION("""COMPUTED_VALUE"""),"Team 02")</f>
        <v>Team 02</v>
      </c>
      <c r="D136" s="422" t="str">
        <f>IFERROR(__xludf.DUMMYFUNCTION("""COMPUTED_VALUE"""),"Request Export material")</f>
        <v>Request Export material</v>
      </c>
      <c r="E136" s="422" t="str">
        <f>IFERROR(__xludf.DUMMYFUNCTION("""COMPUTED_VALUE"""),"TNI0122-JB(TNI0005-TNI0007)&gt;&gt; 24 FH cable 1.5km , 2closure")</f>
        <v>TNI0122-JB(TNI0005-TNI0007)&gt;&gt; 24 FH cable 1.5km , 2closure</v>
      </c>
      <c r="F136" s="424">
        <f>IFERROR(__xludf.DUMMYFUNCTION("""COMPUTED_VALUE"""),46101.0)</f>
        <v>46101</v>
      </c>
      <c r="G136" s="424">
        <f>IFERROR(__xludf.DUMMYFUNCTION("""COMPUTED_VALUE"""),46104.0)</f>
        <v>46104</v>
      </c>
      <c r="H136" s="422"/>
      <c r="I136" s="422"/>
      <c r="J136" s="422"/>
      <c r="K136" s="422"/>
      <c r="L136" s="422"/>
      <c r="M136" s="422"/>
      <c r="N136" s="422"/>
      <c r="O136" s="422">
        <f>IFERROR(__xludf.DUMMYFUNCTION("""COMPUTED_VALUE"""),0.0)</f>
        <v>0</v>
      </c>
      <c r="P136" s="422"/>
      <c r="Q136" s="422"/>
      <c r="R136" s="98"/>
      <c r="S136" s="98" t="str">
        <f>IFERROR(__xludf.DUMMYFUNCTION("""COMPUTED_VALUE"""),"myt_minpaing.oo")</f>
        <v>myt_minpaing.oo</v>
      </c>
      <c r="T136" s="98" t="str">
        <f>IFERROR(__xludf.DUMMYFUNCTION("""COMPUTED_VALUE"""),"TNI0122")</f>
        <v>TNI0122</v>
      </c>
    </row>
    <row r="137">
      <c r="A137" s="422">
        <f>IFERROR(__xludf.DUMMYFUNCTION("""COMPUTED_VALUE"""),135.0)</f>
        <v>135</v>
      </c>
      <c r="B137" s="422" t="str">
        <f>IFERROR(__xludf.DUMMYFUNCTION("""COMPUTED_VALUE"""),"CM")</f>
        <v>CM</v>
      </c>
      <c r="C137" s="422" t="str">
        <f>IFERROR(__xludf.DUMMYFUNCTION("""COMPUTED_VALUE"""),"Team 02")</f>
        <v>Team 02</v>
      </c>
      <c r="D137" s="422" t="str">
        <f>IFERROR(__xludf.DUMMYFUNCTION("""COMPUTED_VALUE"""),"Request Export material")</f>
        <v>Request Export material</v>
      </c>
      <c r="E137" s="422" t="str">
        <f>IFERROR(__xludf.DUMMYFUNCTION("""COMPUTED_VALUE"""),"TNI0164-TNIM045&gt;&gt;Closure : 2 pcs, 24FX cable - 250 M")</f>
        <v>TNI0164-TNIM045&gt;&gt;Closure : 2 pcs, 24FX cable - 250 M</v>
      </c>
      <c r="F137" s="424">
        <f>IFERROR(__xludf.DUMMYFUNCTION("""COMPUTED_VALUE"""),46134.0)</f>
        <v>46134</v>
      </c>
      <c r="G137" s="424">
        <f>IFERROR(__xludf.DUMMYFUNCTION("""COMPUTED_VALUE"""),46137.0)</f>
        <v>46137</v>
      </c>
      <c r="H137" s="422"/>
      <c r="I137" s="422"/>
      <c r="J137" s="422"/>
      <c r="K137" s="422"/>
      <c r="L137" s="422"/>
      <c r="M137" s="422"/>
      <c r="N137" s="422"/>
      <c r="O137" s="422">
        <f>IFERROR(__xludf.DUMMYFUNCTION("""COMPUTED_VALUE"""),0.0)</f>
        <v>0</v>
      </c>
      <c r="P137" s="422"/>
      <c r="Q137" s="422"/>
      <c r="R137" s="98"/>
      <c r="S137" s="98" t="str">
        <f>IFERROR(__xludf.DUMMYFUNCTION("""COMPUTED_VALUE"""),"myt_minpaing.oo")</f>
        <v>myt_minpaing.oo</v>
      </c>
      <c r="T137" s="98" t="str">
        <f>IFERROR(__xludf.DUMMYFUNCTION("""COMPUTED_VALUE"""),"TNI0164")</f>
        <v>TNI0164</v>
      </c>
    </row>
    <row r="138">
      <c r="A138" s="422">
        <f>IFERROR(__xludf.DUMMYFUNCTION("""COMPUTED_VALUE"""),136.0)</f>
        <v>136</v>
      </c>
      <c r="B138" s="422" t="str">
        <f>IFERROR(__xludf.DUMMYFUNCTION("""COMPUTED_VALUE"""),"CM")</f>
        <v>CM</v>
      </c>
      <c r="C138" s="422" t="str">
        <f>IFERROR(__xludf.DUMMYFUNCTION("""COMPUTED_VALUE"""),"Team 02")</f>
        <v>Team 02</v>
      </c>
      <c r="D138" s="422" t="str">
        <f>IFERROR(__xludf.DUMMYFUNCTION("""COMPUTED_VALUE"""),"Request Export material")</f>
        <v>Request Export material</v>
      </c>
      <c r="E138" s="422" t="str">
        <f>IFERROR(__xludf.DUMMYFUNCTION("""COMPUTED_VALUE"""),"TNI0007-TNIM012&gt;&gt;Closure : 2 pcs, 24FX cable - 250 M")</f>
        <v>TNI0007-TNIM012&gt;&gt;Closure : 2 pcs, 24FX cable - 250 M</v>
      </c>
      <c r="F138" s="424">
        <f>IFERROR(__xludf.DUMMYFUNCTION("""COMPUTED_VALUE"""),46134.0)</f>
        <v>46134</v>
      </c>
      <c r="G138" s="424">
        <f>IFERROR(__xludf.DUMMYFUNCTION("""COMPUTED_VALUE"""),46137.0)</f>
        <v>46137</v>
      </c>
      <c r="H138" s="422"/>
      <c r="I138" s="422"/>
      <c r="J138" s="422"/>
      <c r="K138" s="422"/>
      <c r="L138" s="422"/>
      <c r="M138" s="422"/>
      <c r="N138" s="422"/>
      <c r="O138" s="422">
        <f>IFERROR(__xludf.DUMMYFUNCTION("""COMPUTED_VALUE"""),0.0)</f>
        <v>0</v>
      </c>
      <c r="P138" s="422"/>
      <c r="Q138" s="422"/>
      <c r="R138" s="98"/>
      <c r="S138" s="98" t="str">
        <f>IFERROR(__xludf.DUMMYFUNCTION("""COMPUTED_VALUE"""),"myt_minpaing.oo")</f>
        <v>myt_minpaing.oo</v>
      </c>
      <c r="T138" s="98" t="str">
        <f>IFERROR(__xludf.DUMMYFUNCTION("""COMPUTED_VALUE"""),"TNI0007")</f>
        <v>TNI0007</v>
      </c>
    </row>
    <row r="139">
      <c r="A139" s="422">
        <f>IFERROR(__xludf.DUMMYFUNCTION("""COMPUTED_VALUE"""),137.0)</f>
        <v>137</v>
      </c>
      <c r="B139" s="422" t="str">
        <f>IFERROR(__xludf.DUMMYFUNCTION("""COMPUTED_VALUE"""),"CM")</f>
        <v>CM</v>
      </c>
      <c r="C139" s="422" t="str">
        <f>IFERROR(__xludf.DUMMYFUNCTION("""COMPUTED_VALUE"""),"Team 02")</f>
        <v>Team 02</v>
      </c>
      <c r="D139" s="422" t="str">
        <f>IFERROR(__xludf.DUMMYFUNCTION("""COMPUTED_VALUE"""),"Request Export material")</f>
        <v>Request Export material</v>
      </c>
      <c r="E139" s="422" t="str">
        <f>IFERROR(__xludf.DUMMYFUNCTION("""COMPUTED_VALUE"""),"TNI0003-TNI0007&gt;&gt;closure 2pcs and F8 cable 200,G72pcs .")</f>
        <v>TNI0003-TNI0007&gt;&gt;closure 2pcs and F8 cable 200,G72pcs .</v>
      </c>
      <c r="F139" s="424">
        <f>IFERROR(__xludf.DUMMYFUNCTION("""COMPUTED_VALUE"""),46134.0)</f>
        <v>46134</v>
      </c>
      <c r="G139" s="424">
        <f>IFERROR(__xludf.DUMMYFUNCTION("""COMPUTED_VALUE"""),46137.0)</f>
        <v>46137</v>
      </c>
      <c r="H139" s="422"/>
      <c r="I139" s="422"/>
      <c r="J139" s="422"/>
      <c r="K139" s="422"/>
      <c r="L139" s="422"/>
      <c r="M139" s="422"/>
      <c r="N139" s="422"/>
      <c r="O139" s="422">
        <f>IFERROR(__xludf.DUMMYFUNCTION("""COMPUTED_VALUE"""),0.0)</f>
        <v>0</v>
      </c>
      <c r="P139" s="422"/>
      <c r="Q139" s="422"/>
      <c r="R139" s="98"/>
      <c r="S139" s="98" t="str">
        <f>IFERROR(__xludf.DUMMYFUNCTION("""COMPUTED_VALUE"""),"myt_wanna.oo2")</f>
        <v>myt_wanna.oo2</v>
      </c>
      <c r="T139" s="98" t="str">
        <f>IFERROR(__xludf.DUMMYFUNCTION("""COMPUTED_VALUE"""),"TNI0003")</f>
        <v>TNI0003</v>
      </c>
    </row>
    <row r="140">
      <c r="A140" s="422">
        <f>IFERROR(__xludf.DUMMYFUNCTION("""COMPUTED_VALUE"""),138.0)</f>
        <v>138</v>
      </c>
      <c r="B140" s="422" t="str">
        <f>IFERROR(__xludf.DUMMYFUNCTION("""COMPUTED_VALUE"""),"CM")</f>
        <v>CM</v>
      </c>
      <c r="C140" s="422" t="str">
        <f>IFERROR(__xludf.DUMMYFUNCTION("""COMPUTED_VALUE"""),"Team 03")</f>
        <v>Team 03</v>
      </c>
      <c r="D140" s="422" t="str">
        <f>IFERROR(__xludf.DUMMYFUNCTION("""COMPUTED_VALUE"""),"Request Export material")</f>
        <v>Request Export material</v>
      </c>
      <c r="E140" s="422" t="str">
        <f>IFERROR(__xludf.DUMMYFUNCTION("""COMPUTED_VALUE"""),"TNI0212-TNIM058&gt;&gt;1.25G , 40km module")</f>
        <v>TNI0212-TNIM058&gt;&gt;1.25G , 40km module</v>
      </c>
      <c r="F140" s="424">
        <f>IFERROR(__xludf.DUMMYFUNCTION("""COMPUTED_VALUE"""),45974.0)</f>
        <v>45974</v>
      </c>
      <c r="G140" s="424">
        <f>IFERROR(__xludf.DUMMYFUNCTION("""COMPUTED_VALUE"""),45977.0)</f>
        <v>45977</v>
      </c>
      <c r="H140" s="422" t="str">
        <f>IFERROR(__xludf.DUMMYFUNCTION("""COMPUTED_VALUE"""),"VCM276675-Pyae Phyo Zaw")</f>
        <v>VCM276675-Pyae Phyo Zaw</v>
      </c>
      <c r="I140" s="422"/>
      <c r="J140" s="422"/>
      <c r="K140" s="422"/>
      <c r="L140" s="422"/>
      <c r="M140" s="422"/>
      <c r="N140" s="422"/>
      <c r="O140" s="422">
        <f>IFERROR(__xludf.DUMMYFUNCTION("""COMPUTED_VALUE"""),0.0)</f>
        <v>0</v>
      </c>
      <c r="P140" s="422"/>
      <c r="Q140" s="422"/>
      <c r="R140" s="98"/>
      <c r="S140" s="98" t="str">
        <f>IFERROR(__xludf.DUMMYFUNCTION("""COMPUTED_VALUE"""),"myt_myintkoko.aung")</f>
        <v>myt_myintkoko.aung</v>
      </c>
      <c r="T140" s="98" t="str">
        <f>IFERROR(__xludf.DUMMYFUNCTION("""COMPUTED_VALUE"""),"TNI0212")</f>
        <v>TNI0212</v>
      </c>
    </row>
    <row r="141">
      <c r="A141" s="422">
        <f>IFERROR(__xludf.DUMMYFUNCTION("""COMPUTED_VALUE"""),139.0)</f>
        <v>139</v>
      </c>
      <c r="B141" s="422" t="str">
        <f>IFERROR(__xludf.DUMMYFUNCTION("""COMPUTED_VALUE"""),"CM")</f>
        <v>CM</v>
      </c>
      <c r="C141" s="422" t="str">
        <f>IFERROR(__xludf.DUMMYFUNCTION("""COMPUTED_VALUE"""),"Team 03")</f>
        <v>Team 03</v>
      </c>
      <c r="D141" s="422" t="str">
        <f>IFERROR(__xludf.DUMMYFUNCTION("""COMPUTED_VALUE"""),"Request Export material")</f>
        <v>Request Export material</v>
      </c>
      <c r="E141" s="422" t="str">
        <f>IFERROR(__xludf.DUMMYFUNCTION("""COMPUTED_VALUE"""),"TNI0292-TNIM077&gt;&gt;closure 1 pcs")</f>
        <v>TNI0292-TNIM077&gt;&gt;closure 1 pcs</v>
      </c>
      <c r="F141" s="424">
        <f>IFERROR(__xludf.DUMMYFUNCTION("""COMPUTED_VALUE"""),45974.0)</f>
        <v>45974</v>
      </c>
      <c r="G141" s="424">
        <f>IFERROR(__xludf.DUMMYFUNCTION("""COMPUTED_VALUE"""),45977.0)</f>
        <v>45977</v>
      </c>
      <c r="H141" s="422" t="str">
        <f>IFERROR(__xludf.DUMMYFUNCTION("""COMPUTED_VALUE"""),"VCM276675-Pyae Phyo Zaw")</f>
        <v>VCM276675-Pyae Phyo Zaw</v>
      </c>
      <c r="I141" s="425">
        <f>IFERROR(__xludf.DUMMYFUNCTION("""COMPUTED_VALUE"""),46053.0)</f>
        <v>46053</v>
      </c>
      <c r="J141" s="424">
        <f>IFERROR(__xludf.DUMMYFUNCTION("""COMPUTED_VALUE"""),46053.0)</f>
        <v>46053</v>
      </c>
      <c r="K141" s="422"/>
      <c r="L141" s="422"/>
      <c r="M141" s="422"/>
      <c r="N141" s="422"/>
      <c r="O141" s="422">
        <f>IFERROR(__xludf.DUMMYFUNCTION("""COMPUTED_VALUE"""),0.0)</f>
        <v>0</v>
      </c>
      <c r="P141" s="422"/>
      <c r="Q141" s="422"/>
      <c r="R141" s="98"/>
      <c r="S141" s="98" t="str">
        <f>IFERROR(__xludf.DUMMYFUNCTION("""COMPUTED_VALUE"""),"-")</f>
        <v>-</v>
      </c>
      <c r="T141" s="98" t="str">
        <f>IFERROR(__xludf.DUMMYFUNCTION("""COMPUTED_VALUE"""),"TNI0292")</f>
        <v>TNI0292</v>
      </c>
    </row>
    <row r="142">
      <c r="A142" s="422">
        <f>IFERROR(__xludf.DUMMYFUNCTION("""COMPUTED_VALUE"""),140.0)</f>
        <v>140</v>
      </c>
      <c r="B142" s="422" t="str">
        <f>IFERROR(__xludf.DUMMYFUNCTION("""COMPUTED_VALUE"""),"CM")</f>
        <v>CM</v>
      </c>
      <c r="C142" s="422" t="str">
        <f>IFERROR(__xludf.DUMMYFUNCTION("""COMPUTED_VALUE"""),"Team 03")</f>
        <v>Team 03</v>
      </c>
      <c r="D142" s="422" t="str">
        <f>IFERROR(__xludf.DUMMYFUNCTION("""COMPUTED_VALUE"""),"Request Export material")</f>
        <v>Request Export material</v>
      </c>
      <c r="E142" s="422" t="str">
        <f>IFERROR(__xludf.DUMMYFUNCTION("""COMPUTED_VALUE"""),"TNI0212-TNIM058&gt;&gt;closure 1 pcs")</f>
        <v>TNI0212-TNIM058&gt;&gt;closure 1 pcs</v>
      </c>
      <c r="F142" s="424">
        <f>IFERROR(__xludf.DUMMYFUNCTION("""COMPUTED_VALUE"""),45978.0)</f>
        <v>45978</v>
      </c>
      <c r="G142" s="424">
        <f>IFERROR(__xludf.DUMMYFUNCTION("""COMPUTED_VALUE"""),45981.0)</f>
        <v>45981</v>
      </c>
      <c r="H142" s="422" t="str">
        <f>IFERROR(__xludf.DUMMYFUNCTION("""COMPUTED_VALUE"""),"VCM276675-Pyae Phyo Zaw")</f>
        <v>VCM276675-Pyae Phyo Zaw</v>
      </c>
      <c r="I142" s="425">
        <f>IFERROR(__xludf.DUMMYFUNCTION("""COMPUTED_VALUE"""),46053.0)</f>
        <v>46053</v>
      </c>
      <c r="J142" s="424">
        <f>IFERROR(__xludf.DUMMYFUNCTION("""COMPUTED_VALUE"""),46053.0)</f>
        <v>46053</v>
      </c>
      <c r="K142" s="422"/>
      <c r="L142" s="422"/>
      <c r="M142" s="422"/>
      <c r="N142" s="422"/>
      <c r="O142" s="422">
        <f>IFERROR(__xludf.DUMMYFUNCTION("""COMPUTED_VALUE"""),0.0)</f>
        <v>0</v>
      </c>
      <c r="P142" s="422"/>
      <c r="Q142" s="422"/>
      <c r="R142" s="98"/>
      <c r="S142" s="98" t="str">
        <f>IFERROR(__xludf.DUMMYFUNCTION("""COMPUTED_VALUE"""),"myt_myintkoko.aung")</f>
        <v>myt_myintkoko.aung</v>
      </c>
      <c r="T142" s="98" t="str">
        <f>IFERROR(__xludf.DUMMYFUNCTION("""COMPUTED_VALUE"""),"TNI0212")</f>
        <v>TNI0212</v>
      </c>
    </row>
    <row r="143">
      <c r="A143" s="422">
        <f>IFERROR(__xludf.DUMMYFUNCTION("""COMPUTED_VALUE"""),141.0)</f>
        <v>141</v>
      </c>
      <c r="B143" s="422" t="str">
        <f>IFERROR(__xludf.DUMMYFUNCTION("""COMPUTED_VALUE"""),"CM")</f>
        <v>CM</v>
      </c>
      <c r="C143" s="422" t="str">
        <f>IFERROR(__xludf.DUMMYFUNCTION("""COMPUTED_VALUE"""),"Team 03")</f>
        <v>Team 03</v>
      </c>
      <c r="D143" s="422" t="str">
        <f>IFERROR(__xludf.DUMMYFUNCTION("""COMPUTED_VALUE"""),"Request Export material")</f>
        <v>Request Export material</v>
      </c>
      <c r="E143" s="422" t="str">
        <f>IFERROR(__xludf.DUMMYFUNCTION("""COMPUTED_VALUE"""),"TNI0008-TNI0004&gt;&gt;Closure 1 pcs, LC-SC cable 10 meters 4 pcs ")</f>
        <v>TNI0008-TNI0004&gt;&gt;Closure 1 pcs, LC-SC cable 10 meters 4 pcs </v>
      </c>
      <c r="F143" s="424">
        <f>IFERROR(__xludf.DUMMYFUNCTION("""COMPUTED_VALUE"""),46001.0)</f>
        <v>46001</v>
      </c>
      <c r="G143" s="424">
        <f>IFERROR(__xludf.DUMMYFUNCTION("""COMPUTED_VALUE"""),46004.0)</f>
        <v>46004</v>
      </c>
      <c r="H143" s="422" t="str">
        <f>IFERROR(__xludf.DUMMYFUNCTION("""COMPUTED_VALUE"""),"VCM276675-Pyae Phyo Zaw")</f>
        <v>VCM276675-Pyae Phyo Zaw</v>
      </c>
      <c r="I143" s="425">
        <f>IFERROR(__xludf.DUMMYFUNCTION("""COMPUTED_VALUE"""),46053.0)</f>
        <v>46053</v>
      </c>
      <c r="J143" s="424">
        <f>IFERROR(__xludf.DUMMYFUNCTION("""COMPUTED_VALUE"""),46053.0)</f>
        <v>46053</v>
      </c>
      <c r="K143" s="422"/>
      <c r="L143" s="422"/>
      <c r="M143" s="422"/>
      <c r="N143" s="422"/>
      <c r="O143" s="422">
        <f>IFERROR(__xludf.DUMMYFUNCTION("""COMPUTED_VALUE"""),0.0)</f>
        <v>0</v>
      </c>
      <c r="P143" s="422"/>
      <c r="Q143" s="422"/>
      <c r="R143" s="98"/>
      <c r="S143" s="98" t="str">
        <f>IFERROR(__xludf.DUMMYFUNCTION("""COMPUTED_VALUE"""),"myt_tinnaing.lin11")</f>
        <v>myt_tinnaing.lin11</v>
      </c>
      <c r="T143" s="98" t="str">
        <f>IFERROR(__xludf.DUMMYFUNCTION("""COMPUTED_VALUE"""),"TNI0008")</f>
        <v>TNI0008</v>
      </c>
    </row>
    <row r="144">
      <c r="A144" s="422">
        <f>IFERROR(__xludf.DUMMYFUNCTION("""COMPUTED_VALUE"""),142.0)</f>
        <v>142</v>
      </c>
      <c r="B144" s="422" t="str">
        <f>IFERROR(__xludf.DUMMYFUNCTION("""COMPUTED_VALUE"""),"CM")</f>
        <v>CM</v>
      </c>
      <c r="C144" s="422" t="str">
        <f>IFERROR(__xludf.DUMMYFUNCTION("""COMPUTED_VALUE"""),"Team 03")</f>
        <v>Team 03</v>
      </c>
      <c r="D144" s="422" t="str">
        <f>IFERROR(__xludf.DUMMYFUNCTION("""COMPUTED_VALUE"""),"Request Export material")</f>
        <v>Request Export material</v>
      </c>
      <c r="E144" s="422" t="str">
        <f>IFERROR(__xludf.DUMMYFUNCTION("""COMPUTED_VALUE"""),"TNI0507-JB(TNI0004-TNI0008)&gt;&gt;f8 cable 120m, closure 1pcs")</f>
        <v>TNI0507-JB(TNI0004-TNI0008)&gt;&gt;f8 cable 120m, closure 1pcs</v>
      </c>
      <c r="F144" s="424">
        <f>IFERROR(__xludf.DUMMYFUNCTION("""COMPUTED_VALUE"""),46001.0)</f>
        <v>46001</v>
      </c>
      <c r="G144" s="424">
        <f>IFERROR(__xludf.DUMMYFUNCTION("""COMPUTED_VALUE"""),46004.0)</f>
        <v>46004</v>
      </c>
      <c r="H144" s="422" t="str">
        <f>IFERROR(__xludf.DUMMYFUNCTION("""COMPUTED_VALUE"""),"VCM276675-Pyae Phyo Zaw")</f>
        <v>VCM276675-Pyae Phyo Zaw</v>
      </c>
      <c r="I144" s="425">
        <f>IFERROR(__xludf.DUMMYFUNCTION("""COMPUTED_VALUE"""),46053.0)</f>
        <v>46053</v>
      </c>
      <c r="J144" s="424">
        <f>IFERROR(__xludf.DUMMYFUNCTION("""COMPUTED_VALUE"""),46053.0)</f>
        <v>46053</v>
      </c>
      <c r="K144" s="422"/>
      <c r="L144" s="422"/>
      <c r="M144" s="422"/>
      <c r="N144" s="422"/>
      <c r="O144" s="422">
        <f>IFERROR(__xludf.DUMMYFUNCTION("""COMPUTED_VALUE"""),0.0)</f>
        <v>0</v>
      </c>
      <c r="P144" s="422"/>
      <c r="Q144" s="422"/>
      <c r="R144" s="98"/>
      <c r="S144" s="98" t="str">
        <f>IFERROR(__xludf.DUMMYFUNCTION("""COMPUTED_VALUE"""),"Khant Si Thu")</f>
        <v>Khant Si Thu</v>
      </c>
      <c r="T144" s="98" t="str">
        <f>IFERROR(__xludf.DUMMYFUNCTION("""COMPUTED_VALUE"""),"TNI0507")</f>
        <v>TNI0507</v>
      </c>
    </row>
    <row r="145">
      <c r="A145" s="422">
        <f>IFERROR(__xludf.DUMMYFUNCTION("""COMPUTED_VALUE"""),143.0)</f>
        <v>143</v>
      </c>
      <c r="B145" s="422" t="str">
        <f>IFERROR(__xludf.DUMMYFUNCTION("""COMPUTED_VALUE"""),"CM")</f>
        <v>CM</v>
      </c>
      <c r="C145" s="422" t="str">
        <f>IFERROR(__xludf.DUMMYFUNCTION("""COMPUTED_VALUE"""),"Team 03")</f>
        <v>Team 03</v>
      </c>
      <c r="D145" s="422" t="str">
        <f>IFERROR(__xludf.DUMMYFUNCTION("""COMPUTED_VALUE"""),"Request Export material")</f>
        <v>Request Export material</v>
      </c>
      <c r="E145" s="422" t="str">
        <f>IFERROR(__xludf.DUMMYFUNCTION("""COMPUTED_VALUE"""),"TNI0212-TNIM058&gt;&gt;closure 1 pcs , Tension 4 pcs")</f>
        <v>TNI0212-TNIM058&gt;&gt;closure 1 pcs , Tension 4 pcs</v>
      </c>
      <c r="F145" s="424">
        <f>IFERROR(__xludf.DUMMYFUNCTION("""COMPUTED_VALUE"""),46001.0)</f>
        <v>46001</v>
      </c>
      <c r="G145" s="424">
        <f>IFERROR(__xludf.DUMMYFUNCTION("""COMPUTED_VALUE"""),46004.0)</f>
        <v>46004</v>
      </c>
      <c r="H145" s="422" t="str">
        <f>IFERROR(__xludf.DUMMYFUNCTION("""COMPUTED_VALUE"""),"VCM276675-Pyae Phyo Zaw")</f>
        <v>VCM276675-Pyae Phyo Zaw</v>
      </c>
      <c r="I145" s="425">
        <f>IFERROR(__xludf.DUMMYFUNCTION("""COMPUTED_VALUE"""),46053.0)</f>
        <v>46053</v>
      </c>
      <c r="J145" s="422"/>
      <c r="K145" s="422"/>
      <c r="L145" s="422"/>
      <c r="M145" s="422"/>
      <c r="N145" s="422"/>
      <c r="O145" s="422">
        <f>IFERROR(__xludf.DUMMYFUNCTION("""COMPUTED_VALUE"""),0.0)</f>
        <v>0</v>
      </c>
      <c r="P145" s="422"/>
      <c r="Q145" s="422"/>
      <c r="R145" s="98"/>
      <c r="S145" s="98" t="str">
        <f>IFERROR(__xludf.DUMMYFUNCTION("""COMPUTED_VALUE"""),"myt_myintkoko.aung")</f>
        <v>myt_myintkoko.aung</v>
      </c>
      <c r="T145" s="98" t="str">
        <f>IFERROR(__xludf.DUMMYFUNCTION("""COMPUTED_VALUE"""),"TNI0212")</f>
        <v>TNI0212</v>
      </c>
    </row>
    <row r="146">
      <c r="A146" s="422">
        <f>IFERROR(__xludf.DUMMYFUNCTION("""COMPUTED_VALUE"""),144.0)</f>
        <v>144</v>
      </c>
      <c r="B146" s="422" t="str">
        <f>IFERROR(__xludf.DUMMYFUNCTION("""COMPUTED_VALUE"""),"CM")</f>
        <v>CM</v>
      </c>
      <c r="C146" s="422" t="str">
        <f>IFERROR(__xludf.DUMMYFUNCTION("""COMPUTED_VALUE"""),"Team 03")</f>
        <v>Team 03</v>
      </c>
      <c r="D146" s="422" t="str">
        <f>IFERROR(__xludf.DUMMYFUNCTION("""COMPUTED_VALUE"""),"Request Export material")</f>
        <v>Request Export material</v>
      </c>
      <c r="E146" s="422" t="str">
        <f>IFERROR(__xludf.DUMMYFUNCTION("""COMPUTED_VALUE"""),"TNI0004-TNI0008&gt;&gt;Closure 1 pcs")</f>
        <v>TNI0004-TNI0008&gt;&gt;Closure 1 pcs</v>
      </c>
      <c r="F146" s="424">
        <f>IFERROR(__xludf.DUMMYFUNCTION("""COMPUTED_VALUE"""),46058.0)</f>
        <v>46058</v>
      </c>
      <c r="G146" s="424">
        <f>IFERROR(__xludf.DUMMYFUNCTION("""COMPUTED_VALUE"""),46061.0)</f>
        <v>46061</v>
      </c>
      <c r="H146" s="422" t="str">
        <f>IFERROR(__xludf.DUMMYFUNCTION("""COMPUTED_VALUE"""),"VCM276675-Pyae Phyo Zaw")</f>
        <v>VCM276675-Pyae Phyo Zaw</v>
      </c>
      <c r="I146" s="425">
        <f>IFERROR(__xludf.DUMMYFUNCTION("""COMPUTED_VALUE"""),46053.0)</f>
        <v>46053</v>
      </c>
      <c r="J146" s="424">
        <f>IFERROR(__xludf.DUMMYFUNCTION("""COMPUTED_VALUE"""),46053.0)</f>
        <v>46053</v>
      </c>
      <c r="K146" s="422"/>
      <c r="L146" s="422"/>
      <c r="M146" s="422"/>
      <c r="N146" s="422"/>
      <c r="O146" s="422">
        <f>IFERROR(__xludf.DUMMYFUNCTION("""COMPUTED_VALUE"""),0.0)</f>
        <v>0</v>
      </c>
      <c r="P146" s="422"/>
      <c r="Q146" s="422"/>
      <c r="R146" s="98"/>
      <c r="S146" s="98" t="str">
        <f>IFERROR(__xludf.DUMMYFUNCTION("""COMPUTED_VALUE"""),"myt_myintkoko.aung")</f>
        <v>myt_myintkoko.aung</v>
      </c>
      <c r="T146" s="98" t="str">
        <f>IFERROR(__xludf.DUMMYFUNCTION("""COMPUTED_VALUE"""),"TNI0004")</f>
        <v>TNI0004</v>
      </c>
    </row>
    <row r="147">
      <c r="A147" s="422">
        <f>IFERROR(__xludf.DUMMYFUNCTION("""COMPUTED_VALUE"""),145.0)</f>
        <v>145</v>
      </c>
      <c r="B147" s="422" t="str">
        <f>IFERROR(__xludf.DUMMYFUNCTION("""COMPUTED_VALUE"""),"CM")</f>
        <v>CM</v>
      </c>
      <c r="C147" s="422" t="str">
        <f>IFERROR(__xludf.DUMMYFUNCTION("""COMPUTED_VALUE"""),"Team 03")</f>
        <v>Team 03</v>
      </c>
      <c r="D147" s="422" t="str">
        <f>IFERROR(__xludf.DUMMYFUNCTION("""COMPUTED_VALUE"""),"Request Export material")</f>
        <v>Request Export material</v>
      </c>
      <c r="E147" s="422" t="str">
        <f>IFERROR(__xludf.DUMMYFUNCTION("""COMPUTED_VALUE"""),"TNI0507-JB(TNI0004-TNI0008)&gt;&gt;Closure 2pcs F8 cable 120m")</f>
        <v>TNI0507-JB(TNI0004-TNI0008)&gt;&gt;Closure 2pcs F8 cable 120m</v>
      </c>
      <c r="F147" s="424">
        <f>IFERROR(__xludf.DUMMYFUNCTION("""COMPUTED_VALUE"""),46058.0)</f>
        <v>46058</v>
      </c>
      <c r="G147" s="424">
        <f>IFERROR(__xludf.DUMMYFUNCTION("""COMPUTED_VALUE"""),46061.0)</f>
        <v>46061</v>
      </c>
      <c r="H147" s="422" t="str">
        <f>IFERROR(__xludf.DUMMYFUNCTION("""COMPUTED_VALUE"""),"VCM276675-Pyae Phyo Zaw")</f>
        <v>VCM276675-Pyae Phyo Zaw</v>
      </c>
      <c r="I147" s="425">
        <f>IFERROR(__xludf.DUMMYFUNCTION("""COMPUTED_VALUE"""),46053.0)</f>
        <v>46053</v>
      </c>
      <c r="J147" s="424">
        <f>IFERROR(__xludf.DUMMYFUNCTION("""COMPUTED_VALUE"""),46053.0)</f>
        <v>46053</v>
      </c>
      <c r="K147" s="422"/>
      <c r="L147" s="422"/>
      <c r="M147" s="422"/>
      <c r="N147" s="422"/>
      <c r="O147" s="422">
        <f>IFERROR(__xludf.DUMMYFUNCTION("""COMPUTED_VALUE"""),0.0)</f>
        <v>0</v>
      </c>
      <c r="P147" s="422"/>
      <c r="Q147" s="422"/>
      <c r="R147" s="98"/>
      <c r="S147" s="98" t="str">
        <f>IFERROR(__xludf.DUMMYFUNCTION("""COMPUTED_VALUE"""),"Khant Si Thu")</f>
        <v>Khant Si Thu</v>
      </c>
      <c r="T147" s="98" t="str">
        <f>IFERROR(__xludf.DUMMYFUNCTION("""COMPUTED_VALUE"""),"TNI0507")</f>
        <v>TNI0507</v>
      </c>
    </row>
    <row r="148">
      <c r="A148" s="422">
        <f>IFERROR(__xludf.DUMMYFUNCTION("""COMPUTED_VALUE"""),146.0)</f>
        <v>146</v>
      </c>
      <c r="B148" s="422" t="str">
        <f>IFERROR(__xludf.DUMMYFUNCTION("""COMPUTED_VALUE"""),"CM")</f>
        <v>CM</v>
      </c>
      <c r="C148" s="422" t="str">
        <f>IFERROR(__xludf.DUMMYFUNCTION("""COMPUTED_VALUE"""),"Team 03")</f>
        <v>Team 03</v>
      </c>
      <c r="D148" s="422" t="str">
        <f>IFERROR(__xludf.DUMMYFUNCTION("""COMPUTED_VALUE"""),"Request Export material")</f>
        <v>Request Export material</v>
      </c>
      <c r="E148" s="422" t="str">
        <f>IFERROR(__xludf.DUMMYFUNCTION("""COMPUTED_VALUE"""),"TNI0212-TNIM058&gt;&gt; closure 1 pcs")</f>
        <v>TNI0212-TNIM058&gt;&gt; closure 1 pcs</v>
      </c>
      <c r="F148" s="424">
        <f>IFERROR(__xludf.DUMMYFUNCTION("""COMPUTED_VALUE"""),46101.0)</f>
        <v>46101</v>
      </c>
      <c r="G148" s="424">
        <f>IFERROR(__xludf.DUMMYFUNCTION("""COMPUTED_VALUE"""),46104.0)</f>
        <v>46104</v>
      </c>
      <c r="H148" s="422" t="str">
        <f>IFERROR(__xludf.DUMMYFUNCTION("""COMPUTED_VALUE"""),"VCM276675-Pyae Phyo Zaw")</f>
        <v>VCM276675-Pyae Phyo Zaw</v>
      </c>
      <c r="I148" s="422"/>
      <c r="J148" s="424">
        <f>IFERROR(__xludf.DUMMYFUNCTION("""COMPUTED_VALUE"""),0.0)</f>
        <v>0</v>
      </c>
      <c r="K148" s="422"/>
      <c r="L148" s="422"/>
      <c r="M148" s="422"/>
      <c r="N148" s="422"/>
      <c r="O148" s="422">
        <f>IFERROR(__xludf.DUMMYFUNCTION("""COMPUTED_VALUE"""),0.0)</f>
        <v>0</v>
      </c>
      <c r="P148" s="422"/>
      <c r="Q148" s="422"/>
      <c r="R148" s="98"/>
      <c r="S148" s="98" t="str">
        <f>IFERROR(__xludf.DUMMYFUNCTION("""COMPUTED_VALUE"""),"myt_myintkoko.aung")</f>
        <v>myt_myintkoko.aung</v>
      </c>
      <c r="T148" s="98" t="str">
        <f>IFERROR(__xludf.DUMMYFUNCTION("""COMPUTED_VALUE"""),"TNI0212")</f>
        <v>TNI0212</v>
      </c>
    </row>
    <row r="149">
      <c r="A149" s="422">
        <f>IFERROR(__xludf.DUMMYFUNCTION("""COMPUTED_VALUE"""),147.0)</f>
        <v>147</v>
      </c>
      <c r="B149" s="422" t="str">
        <f>IFERROR(__xludf.DUMMYFUNCTION("""COMPUTED_VALUE"""),"CM")</f>
        <v>CM</v>
      </c>
      <c r="C149" s="422" t="str">
        <f>IFERROR(__xludf.DUMMYFUNCTION("""COMPUTED_VALUE"""),"Team 03")</f>
        <v>Team 03</v>
      </c>
      <c r="D149" s="422" t="str">
        <f>IFERROR(__xludf.DUMMYFUNCTION("""COMPUTED_VALUE"""),"Request Export material")</f>
        <v>Request Export material</v>
      </c>
      <c r="E149" s="422" t="str">
        <f>IFERROR(__xludf.DUMMYFUNCTION("""COMPUTED_VALUE"""),"TNI0004-TNI0008&gt;&gt; closure 1 pcs")</f>
        <v>TNI0004-TNI0008&gt;&gt; closure 1 pcs</v>
      </c>
      <c r="F149" s="424">
        <f>IFERROR(__xludf.DUMMYFUNCTION("""COMPUTED_VALUE"""),46101.0)</f>
        <v>46101</v>
      </c>
      <c r="G149" s="424">
        <f>IFERROR(__xludf.DUMMYFUNCTION("""COMPUTED_VALUE"""),46104.0)</f>
        <v>46104</v>
      </c>
      <c r="H149" s="422" t="str">
        <f>IFERROR(__xludf.DUMMYFUNCTION("""COMPUTED_VALUE"""),"VCM276675-Pyae Phyo Zaw")</f>
        <v>VCM276675-Pyae Phyo Zaw</v>
      </c>
      <c r="I149" s="422"/>
      <c r="J149" s="422"/>
      <c r="K149" s="422"/>
      <c r="L149" s="422"/>
      <c r="M149" s="422"/>
      <c r="N149" s="422"/>
      <c r="O149" s="422">
        <f>IFERROR(__xludf.DUMMYFUNCTION("""COMPUTED_VALUE"""),0.0)</f>
        <v>0</v>
      </c>
      <c r="P149" s="422"/>
      <c r="Q149" s="422"/>
      <c r="R149" s="98"/>
      <c r="S149" s="98" t="str">
        <f>IFERROR(__xludf.DUMMYFUNCTION("""COMPUTED_VALUE"""),"myt_myintkoko.aung")</f>
        <v>myt_myintkoko.aung</v>
      </c>
      <c r="T149" s="98" t="str">
        <f>IFERROR(__xludf.DUMMYFUNCTION("""COMPUTED_VALUE"""),"TNI0004")</f>
        <v>TNI0004</v>
      </c>
    </row>
    <row r="150">
      <c r="A150" s="422">
        <f>IFERROR(__xludf.DUMMYFUNCTION("""COMPUTED_VALUE"""),148.0)</f>
        <v>148</v>
      </c>
      <c r="B150" s="422" t="str">
        <f>IFERROR(__xludf.DUMMYFUNCTION("""COMPUTED_VALUE"""),"CM")</f>
        <v>CM</v>
      </c>
      <c r="C150" s="422" t="str">
        <f>IFERROR(__xludf.DUMMYFUNCTION("""COMPUTED_VALUE"""),"Team 03")</f>
        <v>Team 03</v>
      </c>
      <c r="D150" s="422" t="str">
        <f>IFERROR(__xludf.DUMMYFUNCTION("""COMPUTED_VALUE"""),"Request Export material")</f>
        <v>Request Export material</v>
      </c>
      <c r="E150" s="422" t="str">
        <f>IFERROR(__xludf.DUMMYFUNCTION("""COMPUTED_VALUE"""),"TNI0009-TNI0015&gt;&gt;Cable f8, 150m -Closure 2pcs tension- 2pcs")</f>
        <v>TNI0009-TNI0015&gt;&gt;Cable f8, 150m -Closure 2pcs tension- 2pcs</v>
      </c>
      <c r="F150" s="424">
        <f>IFERROR(__xludf.DUMMYFUNCTION("""COMPUTED_VALUE"""),46134.0)</f>
        <v>46134</v>
      </c>
      <c r="G150" s="424">
        <f>IFERROR(__xludf.DUMMYFUNCTION("""COMPUTED_VALUE"""),46137.0)</f>
        <v>46137</v>
      </c>
      <c r="H150" s="422" t="str">
        <f>IFERROR(__xludf.DUMMYFUNCTION("""COMPUTED_VALUE"""),"VCM276675-Pyae Phyo Zaw")</f>
        <v>VCM276675-Pyae Phyo Zaw</v>
      </c>
      <c r="I150" s="422"/>
      <c r="J150" s="422"/>
      <c r="K150" s="422"/>
      <c r="L150" s="422"/>
      <c r="M150" s="422"/>
      <c r="N150" s="422"/>
      <c r="O150" s="422">
        <f>IFERROR(__xludf.DUMMYFUNCTION("""COMPUTED_VALUE"""),0.0)</f>
        <v>0</v>
      </c>
      <c r="P150" s="422"/>
      <c r="Q150" s="422"/>
      <c r="R150" s="98"/>
      <c r="S150" s="98" t="str">
        <f>IFERROR(__xludf.DUMMYFUNCTION("""COMPUTED_VALUE"""),"myt_sithu.htun")</f>
        <v>myt_sithu.htun</v>
      </c>
      <c r="T150" s="98" t="str">
        <f>IFERROR(__xludf.DUMMYFUNCTION("""COMPUTED_VALUE"""),"TNI0009")</f>
        <v>TNI0009</v>
      </c>
    </row>
    <row r="151">
      <c r="A151" s="422">
        <f>IFERROR(__xludf.DUMMYFUNCTION("""COMPUTED_VALUE"""),149.0)</f>
        <v>149</v>
      </c>
      <c r="B151" s="422" t="str">
        <f>IFERROR(__xludf.DUMMYFUNCTION("""COMPUTED_VALUE"""),"CM")</f>
        <v>CM</v>
      </c>
      <c r="C151" s="422" t="str">
        <f>IFERROR(__xludf.DUMMYFUNCTION("""COMPUTED_VALUE"""),"Team 03")</f>
        <v>Team 03</v>
      </c>
      <c r="D151" s="422" t="str">
        <f>IFERROR(__xludf.DUMMYFUNCTION("""COMPUTED_VALUE"""),"Request Export material")</f>
        <v>Request Export material</v>
      </c>
      <c r="E151" s="422" t="str">
        <f>IFERROR(__xludf.DUMMYFUNCTION("""COMPUTED_VALUE"""),"TNI0507-JB(TNI0004-TNI0008)&gt;&gt;Cable F8, 150m, closure 2pcs")</f>
        <v>TNI0507-JB(TNI0004-TNI0008)&gt;&gt;Cable F8, 150m, closure 2pcs</v>
      </c>
      <c r="F151" s="424">
        <f>IFERROR(__xludf.DUMMYFUNCTION("""COMPUTED_VALUE"""),46134.0)</f>
        <v>46134</v>
      </c>
      <c r="G151" s="424">
        <f>IFERROR(__xludf.DUMMYFUNCTION("""COMPUTED_VALUE"""),46137.0)</f>
        <v>46137</v>
      </c>
      <c r="H151" s="422" t="str">
        <f>IFERROR(__xludf.DUMMYFUNCTION("""COMPUTED_VALUE"""),"VCM276675-Pyae Phyo Zaw")</f>
        <v>VCM276675-Pyae Phyo Zaw</v>
      </c>
      <c r="I151" s="422"/>
      <c r="J151" s="422"/>
      <c r="K151" s="422"/>
      <c r="L151" s="422"/>
      <c r="M151" s="422"/>
      <c r="N151" s="422"/>
      <c r="O151" s="422">
        <f>IFERROR(__xludf.DUMMYFUNCTION("""COMPUTED_VALUE"""),0.0)</f>
        <v>0</v>
      </c>
      <c r="P151" s="422"/>
      <c r="Q151" s="422"/>
      <c r="R151" s="98"/>
      <c r="S151" s="98" t="str">
        <f>IFERROR(__xludf.DUMMYFUNCTION("""COMPUTED_VALUE"""),"Khant Si Thu")</f>
        <v>Khant Si Thu</v>
      </c>
      <c r="T151" s="98" t="str">
        <f>IFERROR(__xludf.DUMMYFUNCTION("""COMPUTED_VALUE"""),"TNI0507")</f>
        <v>TNI0507</v>
      </c>
    </row>
    <row r="152">
      <c r="A152" s="422">
        <f>IFERROR(__xludf.DUMMYFUNCTION("""COMPUTED_VALUE"""),150.0)</f>
        <v>150</v>
      </c>
      <c r="B152" s="422" t="str">
        <f>IFERROR(__xludf.DUMMYFUNCTION("""COMPUTED_VALUE"""),"CM")</f>
        <v>CM</v>
      </c>
      <c r="C152" s="422" t="str">
        <f>IFERROR(__xludf.DUMMYFUNCTION("""COMPUTED_VALUE"""),"Team 03")</f>
        <v>Team 03</v>
      </c>
      <c r="D152" s="422" t="str">
        <f>IFERROR(__xludf.DUMMYFUNCTION("""COMPUTED_VALUE"""),"Request Export material")</f>
        <v>Request Export material</v>
      </c>
      <c r="E152" s="422" t="str">
        <f>IFERROR(__xludf.DUMMYFUNCTION("""COMPUTED_VALUE"""),"TNI0009-TNI0008&gt;&gt;F8 cable 120m, Closure 2pcs")</f>
        <v>TNI0009-TNI0008&gt;&gt;F8 cable 120m, Closure 2pcs</v>
      </c>
      <c r="F152" s="424">
        <f>IFERROR(__xludf.DUMMYFUNCTION("""COMPUTED_VALUE"""),46134.0)</f>
        <v>46134</v>
      </c>
      <c r="G152" s="424">
        <f>IFERROR(__xludf.DUMMYFUNCTION("""COMPUTED_VALUE"""),46137.0)</f>
        <v>46137</v>
      </c>
      <c r="H152" s="422" t="str">
        <f>IFERROR(__xludf.DUMMYFUNCTION("""COMPUTED_VALUE"""),"VCM276675-Pyae Phyo Zaw")</f>
        <v>VCM276675-Pyae Phyo Zaw</v>
      </c>
      <c r="I152" s="422"/>
      <c r="J152" s="422"/>
      <c r="K152" s="422"/>
      <c r="L152" s="422"/>
      <c r="M152" s="422"/>
      <c r="N152" s="422"/>
      <c r="O152" s="422">
        <f>IFERROR(__xludf.DUMMYFUNCTION("""COMPUTED_VALUE"""),0.0)</f>
        <v>0</v>
      </c>
      <c r="P152" s="422"/>
      <c r="Q152" s="422"/>
      <c r="R152" s="98"/>
      <c r="S152" s="98" t="str">
        <f>IFERROR(__xludf.DUMMYFUNCTION("""COMPUTED_VALUE"""),"myt_sithu.htun")</f>
        <v>myt_sithu.htun</v>
      </c>
      <c r="T152" s="98" t="str">
        <f>IFERROR(__xludf.DUMMYFUNCTION("""COMPUTED_VALUE"""),"TNI0009")</f>
        <v>TNI0009</v>
      </c>
    </row>
    <row r="153">
      <c r="A153" s="422">
        <f>IFERROR(__xludf.DUMMYFUNCTION("""COMPUTED_VALUE"""),151.0)</f>
        <v>151</v>
      </c>
      <c r="B153" s="422" t="str">
        <f>IFERROR(__xludf.DUMMYFUNCTION("""COMPUTED_VALUE"""),"CM")</f>
        <v>CM</v>
      </c>
      <c r="C153" s="422" t="str">
        <f>IFERROR(__xludf.DUMMYFUNCTION("""COMPUTED_VALUE"""),"Team 03")</f>
        <v>Team 03</v>
      </c>
      <c r="D153" s="422" t="str">
        <f>IFERROR(__xludf.DUMMYFUNCTION("""COMPUTED_VALUE"""),"Request Export material")</f>
        <v>Request Export material</v>
      </c>
      <c r="E153" s="422" t="str">
        <f>IFERROR(__xludf.DUMMYFUNCTION("""COMPUTED_VALUE"""),"TNI0004-TNIM05&gt;&gt;closure 1 pcs")</f>
        <v>TNI0004-TNIM05&gt;&gt;closure 1 pcs</v>
      </c>
      <c r="F153" s="424">
        <f>IFERROR(__xludf.DUMMYFUNCTION("""COMPUTED_VALUE"""),46134.0)</f>
        <v>46134</v>
      </c>
      <c r="G153" s="424">
        <f>IFERROR(__xludf.DUMMYFUNCTION("""COMPUTED_VALUE"""),46137.0)</f>
        <v>46137</v>
      </c>
      <c r="H153" s="422" t="str">
        <f>IFERROR(__xludf.DUMMYFUNCTION("""COMPUTED_VALUE"""),"VCM276675-Pyae Phyo Zaw")</f>
        <v>VCM276675-Pyae Phyo Zaw</v>
      </c>
      <c r="I153" s="422"/>
      <c r="J153" s="422"/>
      <c r="K153" s="422"/>
      <c r="L153" s="422"/>
      <c r="M153" s="422"/>
      <c r="N153" s="422"/>
      <c r="O153" s="422">
        <f>IFERROR(__xludf.DUMMYFUNCTION("""COMPUTED_VALUE"""),0.0)</f>
        <v>0</v>
      </c>
      <c r="P153" s="422"/>
      <c r="Q153" s="422"/>
      <c r="R153" s="98"/>
      <c r="S153" s="98" t="str">
        <f>IFERROR(__xludf.DUMMYFUNCTION("""COMPUTED_VALUE"""),"myt_myintkoko.aung")</f>
        <v>myt_myintkoko.aung</v>
      </c>
      <c r="T153" s="98" t="str">
        <f>IFERROR(__xludf.DUMMYFUNCTION("""COMPUTED_VALUE"""),"TNI0004")</f>
        <v>TNI0004</v>
      </c>
    </row>
    <row r="154">
      <c r="A154" s="422">
        <f>IFERROR(__xludf.DUMMYFUNCTION("""COMPUTED_VALUE"""),152.0)</f>
        <v>152</v>
      </c>
      <c r="B154" s="422" t="str">
        <f>IFERROR(__xludf.DUMMYFUNCTION("""COMPUTED_VALUE"""),"CM")</f>
        <v>CM</v>
      </c>
      <c r="C154" s="422" t="str">
        <f>IFERROR(__xludf.DUMMYFUNCTION("""COMPUTED_VALUE"""),"Team 04")</f>
        <v>Team 04</v>
      </c>
      <c r="D154" s="422" t="str">
        <f>IFERROR(__xludf.DUMMYFUNCTION("""COMPUTED_VALUE"""),"Request Export material")</f>
        <v>Request Export material</v>
      </c>
      <c r="E154" s="422" t="str">
        <f>IFERROR(__xludf.DUMMYFUNCTION("""COMPUTED_VALUE"""),"TNI0229-TNI0372&gt;&gt;24F8 Cable 300M,closure 2pcs, Tension 2pcs")</f>
        <v>TNI0229-TNI0372&gt;&gt;24F8 Cable 300M,closure 2pcs, Tension 2pcs</v>
      </c>
      <c r="F154" s="424">
        <f>IFERROR(__xludf.DUMMYFUNCTION("""COMPUTED_VALUE"""),46071.0)</f>
        <v>46071</v>
      </c>
      <c r="G154" s="424">
        <f>IFERROR(__xludf.DUMMYFUNCTION("""COMPUTED_VALUE"""),46074.0)</f>
        <v>46074</v>
      </c>
      <c r="H154" s="422" t="str">
        <f>IFERROR(__xludf.DUMMYFUNCTION("""COMPUTED_VALUE"""),"VCM818134-Tin Maung Win, VCM859332-Kyaw Nyein Thu")</f>
        <v>VCM818134-Tin Maung Win, VCM859332-Kyaw Nyein Thu</v>
      </c>
      <c r="I154" s="425">
        <f>IFERROR(__xludf.DUMMYFUNCTION("""COMPUTED_VALUE"""),46071.0)</f>
        <v>46071</v>
      </c>
      <c r="J154" s="424">
        <f>IFERROR(__xludf.DUMMYFUNCTION("""COMPUTED_VALUE"""),46070.0)</f>
        <v>46070</v>
      </c>
      <c r="K154" s="422"/>
      <c r="L154" s="422"/>
      <c r="M154" s="422"/>
      <c r="N154" s="422"/>
      <c r="O154" s="422">
        <f>IFERROR(__xludf.DUMMYFUNCTION("""COMPUTED_VALUE"""),0.0)</f>
        <v>0</v>
      </c>
      <c r="P154" s="422"/>
      <c r="Q154" s="422"/>
      <c r="R154" s="98"/>
      <c r="S154" s="98" t="str">
        <f>IFERROR(__xludf.DUMMYFUNCTION("""COMPUTED_VALUE"""),"myt_khantchaw.nyo")</f>
        <v>myt_khantchaw.nyo</v>
      </c>
      <c r="T154" s="98" t="str">
        <f>IFERROR(__xludf.DUMMYFUNCTION("""COMPUTED_VALUE"""),"TNI0229")</f>
        <v>TNI0229</v>
      </c>
    </row>
    <row r="155">
      <c r="A155" s="422">
        <f>IFERROR(__xludf.DUMMYFUNCTION("""COMPUTED_VALUE"""),153.0)</f>
        <v>153</v>
      </c>
      <c r="B155" s="422" t="str">
        <f>IFERROR(__xludf.DUMMYFUNCTION("""COMPUTED_VALUE"""),"CM")</f>
        <v>CM</v>
      </c>
      <c r="C155" s="422" t="str">
        <f>IFERROR(__xludf.DUMMYFUNCTION("""COMPUTED_VALUE"""),"Team 04")</f>
        <v>Team 04</v>
      </c>
      <c r="D155" s="422" t="str">
        <f>IFERROR(__xludf.DUMMYFUNCTION("""COMPUTED_VALUE"""),"Request Export material")</f>
        <v>Request Export material</v>
      </c>
      <c r="E155" s="422" t="str">
        <f>IFERROR(__xludf.DUMMYFUNCTION("""COMPUTED_VALUE"""),"TNI0015-TNI0012&gt;&gt; Closure 1pcs, Cable 300m")</f>
        <v>TNI0015-TNI0012&gt;&gt; Closure 1pcs, Cable 300m</v>
      </c>
      <c r="F155" s="424">
        <f>IFERROR(__xludf.DUMMYFUNCTION("""COMPUTED_VALUE"""),46101.0)</f>
        <v>46101</v>
      </c>
      <c r="G155" s="424">
        <f>IFERROR(__xludf.DUMMYFUNCTION("""COMPUTED_VALUE"""),46104.0)</f>
        <v>46104</v>
      </c>
      <c r="H155" s="422" t="str">
        <f>IFERROR(__xludf.DUMMYFUNCTION("""COMPUTED_VALUE"""),"VCM859716-Khant Chaw Nyo, VCM818134-Tin Maung Win")</f>
        <v>VCM859716-Khant Chaw Nyo, VCM818134-Tin Maung Win</v>
      </c>
      <c r="I155" s="422"/>
      <c r="J155" s="422"/>
      <c r="K155" s="422"/>
      <c r="L155" s="422"/>
      <c r="M155" s="422"/>
      <c r="N155" s="422"/>
      <c r="O155" s="422">
        <f>IFERROR(__xludf.DUMMYFUNCTION("""COMPUTED_VALUE"""),0.0)</f>
        <v>0</v>
      </c>
      <c r="P155" s="422"/>
      <c r="Q155" s="422"/>
      <c r="R155" s="98"/>
      <c r="S155" s="98" t="str">
        <f>IFERROR(__xludf.DUMMYFUNCTION("""COMPUTED_VALUE"""),"myt_tinmaung.win")</f>
        <v>myt_tinmaung.win</v>
      </c>
      <c r="T155" s="98" t="str">
        <f>IFERROR(__xludf.DUMMYFUNCTION("""COMPUTED_VALUE"""),"TNI0015")</f>
        <v>TNI0015</v>
      </c>
    </row>
    <row r="156">
      <c r="A156" s="422">
        <f>IFERROR(__xludf.DUMMYFUNCTION("""COMPUTED_VALUE"""),154.0)</f>
        <v>154</v>
      </c>
      <c r="B156" s="422" t="str">
        <f>IFERROR(__xludf.DUMMYFUNCTION("""COMPUTED_VALUE"""),"CM")</f>
        <v>CM</v>
      </c>
      <c r="C156" s="422" t="str">
        <f>IFERROR(__xludf.DUMMYFUNCTION("""COMPUTED_VALUE"""),"Team 04")</f>
        <v>Team 04</v>
      </c>
      <c r="D156" s="422" t="str">
        <f>IFERROR(__xludf.DUMMYFUNCTION("""COMPUTED_VALUE"""),"Request Export material")</f>
        <v>Request Export material</v>
      </c>
      <c r="E156" s="422" t="str">
        <f>IFERROR(__xludf.DUMMYFUNCTION("""COMPUTED_VALUE"""),"TNI0012-TNI0015&gt;&gt; Closure 2, 48f8 Cable 300 M, G7 2")</f>
        <v>TNI0012-TNI0015&gt;&gt; Closure 2, 48f8 Cable 300 M, G7 2</v>
      </c>
      <c r="F156" s="424">
        <f>IFERROR(__xludf.DUMMYFUNCTION("""COMPUTED_VALUE"""),46101.0)</f>
        <v>46101</v>
      </c>
      <c r="G156" s="424">
        <f>IFERROR(__xludf.DUMMYFUNCTION("""COMPUTED_VALUE"""),46104.0)</f>
        <v>46104</v>
      </c>
      <c r="H156" s="422" t="str">
        <f>IFERROR(__xludf.DUMMYFUNCTION("""COMPUTED_VALUE"""),"VCM818134-Tin Maung Win")</f>
        <v>VCM818134-Tin Maung Win</v>
      </c>
      <c r="I156" s="422"/>
      <c r="J156" s="422"/>
      <c r="K156" s="422"/>
      <c r="L156" s="422"/>
      <c r="M156" s="422"/>
      <c r="N156" s="422"/>
      <c r="O156" s="422">
        <f>IFERROR(__xludf.DUMMYFUNCTION("""COMPUTED_VALUE"""),0.0)</f>
        <v>0</v>
      </c>
      <c r="P156" s="422"/>
      <c r="Q156" s="422"/>
      <c r="R156" s="98"/>
      <c r="S156" s="98" t="str">
        <f>IFERROR(__xludf.DUMMYFUNCTION("""COMPUTED_VALUE"""),"myt_khantchaw.nyo")</f>
        <v>myt_khantchaw.nyo</v>
      </c>
      <c r="T156" s="98" t="str">
        <f>IFERROR(__xludf.DUMMYFUNCTION("""COMPUTED_VALUE"""),"TNI0012")</f>
        <v>TNI0012</v>
      </c>
    </row>
    <row r="157">
      <c r="A157" s="422">
        <f>IFERROR(__xludf.DUMMYFUNCTION("""COMPUTED_VALUE"""),155.0)</f>
        <v>155</v>
      </c>
      <c r="B157" s="422" t="str">
        <f>IFERROR(__xludf.DUMMYFUNCTION("""COMPUTED_VALUE"""),"CM")</f>
        <v>CM</v>
      </c>
      <c r="C157" s="422" t="str">
        <f>IFERROR(__xludf.DUMMYFUNCTION("""COMPUTED_VALUE"""),"Team 04")</f>
        <v>Team 04</v>
      </c>
      <c r="D157" s="422" t="str">
        <f>IFERROR(__xludf.DUMMYFUNCTION("""COMPUTED_VALUE"""),"Request Export material")</f>
        <v>Request Export material</v>
      </c>
      <c r="E157" s="422" t="str">
        <f>IFERROR(__xludf.DUMMYFUNCTION("""COMPUTED_VALUE"""),"TNI0057-TNI0080&gt;&gt; Closure 1")</f>
        <v>TNI0057-TNI0080&gt;&gt; Closure 1</v>
      </c>
      <c r="F157" s="424">
        <f>IFERROR(__xludf.DUMMYFUNCTION("""COMPUTED_VALUE"""),46101.0)</f>
        <v>46101</v>
      </c>
      <c r="G157" s="424">
        <f>IFERROR(__xludf.DUMMYFUNCTION("""COMPUTED_VALUE"""),46104.0)</f>
        <v>46104</v>
      </c>
      <c r="H157" s="422" t="str">
        <f>IFERROR(__xludf.DUMMYFUNCTION("""COMPUTED_VALUE"""),"VCM818134-Tin Maung Win, VCM859716-Khant Chaw Nyo")</f>
        <v>VCM818134-Tin Maung Win, VCM859716-Khant Chaw Nyo</v>
      </c>
      <c r="I157" s="422"/>
      <c r="J157" s="422"/>
      <c r="K157" s="422"/>
      <c r="L157" s="422"/>
      <c r="M157" s="422"/>
      <c r="N157" s="422"/>
      <c r="O157" s="422">
        <f>IFERROR(__xludf.DUMMYFUNCTION("""COMPUTED_VALUE"""),0.0)</f>
        <v>0</v>
      </c>
      <c r="P157" s="422"/>
      <c r="Q157" s="422"/>
      <c r="R157" s="98"/>
      <c r="S157" s="98" t="str">
        <f>IFERROR(__xludf.DUMMYFUNCTION("""COMPUTED_VALUE"""),"myt_aungkyaw.latt")</f>
        <v>myt_aungkyaw.latt</v>
      </c>
      <c r="T157" s="98" t="str">
        <f>IFERROR(__xludf.DUMMYFUNCTION("""COMPUTED_VALUE"""),"TNI0057")</f>
        <v>TNI0057</v>
      </c>
    </row>
    <row r="158">
      <c r="A158" s="422">
        <f>IFERROR(__xludf.DUMMYFUNCTION("""COMPUTED_VALUE"""),156.0)</f>
        <v>156</v>
      </c>
      <c r="B158" s="422" t="str">
        <f>IFERROR(__xludf.DUMMYFUNCTION("""COMPUTED_VALUE"""),"CM")</f>
        <v>CM</v>
      </c>
      <c r="C158" s="422" t="str">
        <f>IFERROR(__xludf.DUMMYFUNCTION("""COMPUTED_VALUE"""),"Team 04")</f>
        <v>Team 04</v>
      </c>
      <c r="D158" s="422" t="str">
        <f>IFERROR(__xludf.DUMMYFUNCTION("""COMPUTED_VALUE"""),"Request Export material")</f>
        <v>Request Export material</v>
      </c>
      <c r="E158" s="422" t="str">
        <f>IFERROR(__xludf.DUMMYFUNCTION("""COMPUTED_VALUE"""),"TNI0311-JB(TNI0009-TNI0015)&gt;&gt; f8 cable 250m ,closure 2pcs")</f>
        <v>TNI0311-JB(TNI0009-TNI0015)&gt;&gt; f8 cable 250m ,closure 2pcs</v>
      </c>
      <c r="F158" s="424">
        <f>IFERROR(__xludf.DUMMYFUNCTION("""COMPUTED_VALUE"""),46101.0)</f>
        <v>46101</v>
      </c>
      <c r="G158" s="424">
        <f>IFERROR(__xludf.DUMMYFUNCTION("""COMPUTED_VALUE"""),46104.0)</f>
        <v>46104</v>
      </c>
      <c r="H158" s="422" t="str">
        <f>IFERROR(__xludf.DUMMYFUNCTION("""COMPUTED_VALUE"""),"VCM818134-Tin Maung Win, VCM859716-Khant Chaw Nyo")</f>
        <v>VCM818134-Tin Maung Win, VCM859716-Khant Chaw Nyo</v>
      </c>
      <c r="I158" s="422"/>
      <c r="J158" s="422"/>
      <c r="K158" s="422"/>
      <c r="L158" s="422"/>
      <c r="M158" s="422"/>
      <c r="N158" s="422"/>
      <c r="O158" s="422">
        <f>IFERROR(__xludf.DUMMYFUNCTION("""COMPUTED_VALUE"""),0.0)</f>
        <v>0</v>
      </c>
      <c r="P158" s="422"/>
      <c r="Q158" s="422"/>
      <c r="R158" s="98"/>
      <c r="S158" s="98" t="str">
        <f>IFERROR(__xludf.DUMMYFUNCTION("""COMPUTED_VALUE"""),"myt_sithu.htun")</f>
        <v>myt_sithu.htun</v>
      </c>
      <c r="T158" s="98" t="str">
        <f>IFERROR(__xludf.DUMMYFUNCTION("""COMPUTED_VALUE"""),"TNI0311")</f>
        <v>TNI0311</v>
      </c>
    </row>
    <row r="159">
      <c r="A159" s="422">
        <f>IFERROR(__xludf.DUMMYFUNCTION("""COMPUTED_VALUE"""),157.0)</f>
        <v>157</v>
      </c>
      <c r="B159" s="422" t="str">
        <f>IFERROR(__xludf.DUMMYFUNCTION("""COMPUTED_VALUE"""),"Construction Projects")</f>
        <v>Construction Projects</v>
      </c>
      <c r="C159" s="422" t="str">
        <f>IFERROR(__xludf.DUMMYFUNCTION("""COMPUTED_VALUE"""),"Team 03")</f>
        <v>Team 03</v>
      </c>
      <c r="D159" s="422" t="str">
        <f>IFERROR(__xludf.DUMMYFUNCTION("""COMPUTED_VALUE"""),"Solar mytel")</f>
        <v>Solar mytel</v>
      </c>
      <c r="E159" s="422" t="str">
        <f>IFERROR(__xludf.DUMMYFUNCTION("""COMPUTED_VALUE"""),"TTNI0345_01")</f>
        <v>TTNI0345_01</v>
      </c>
      <c r="F159" s="424">
        <f>IFERROR(__xludf.DUMMYFUNCTION("""COMPUTED_VALUE"""),45984.0)</f>
        <v>45984</v>
      </c>
      <c r="G159" s="424">
        <f>IFERROR(__xludf.DUMMYFUNCTION("""COMPUTED_VALUE"""),45991.0)</f>
        <v>45991</v>
      </c>
      <c r="H159" s="422" t="str">
        <f>IFERROR(__xludf.DUMMYFUNCTION("""COMPUTED_VALUE"""),"VCM289635-Si Thu Htun")</f>
        <v>VCM289635-Si Thu Htun</v>
      </c>
      <c r="I159" s="425">
        <f>IFERROR(__xludf.DUMMYFUNCTION("""COMPUTED_VALUE"""),45985.0)</f>
        <v>45985</v>
      </c>
      <c r="J159" s="424">
        <f>IFERROR(__xludf.DUMMYFUNCTION("""COMPUTED_VALUE"""),45954.0)</f>
        <v>45954</v>
      </c>
      <c r="K159" s="422"/>
      <c r="L159" s="422"/>
      <c r="M159" s="422"/>
      <c r="N159" s="422"/>
      <c r="O159" s="422"/>
      <c r="P159" s="422"/>
      <c r="Q159" s="422"/>
      <c r="R159" s="98"/>
      <c r="S159" s="98" t="str">
        <f>IFERROR(__xludf.DUMMYFUNCTION("""COMPUTED_VALUE"""),"myt_sithu.htun")</f>
        <v>myt_sithu.htun</v>
      </c>
      <c r="T159" s="98" t="str">
        <f>IFERROR(__xludf.DUMMYFUNCTION("""COMPUTED_VALUE"""),"TNI0345")</f>
        <v>TNI0345</v>
      </c>
    </row>
    <row r="160">
      <c r="A160" s="422">
        <f>IFERROR(__xludf.DUMMYFUNCTION("""COMPUTED_VALUE"""),158.0)</f>
        <v>158</v>
      </c>
      <c r="B160" s="422" t="str">
        <f>IFERROR(__xludf.DUMMYFUNCTION("""COMPUTED_VALUE"""),"Construction Projects")</f>
        <v>Construction Projects</v>
      </c>
      <c r="C160" s="422" t="str">
        <f>IFERROR(__xludf.DUMMYFUNCTION("""COMPUTED_VALUE"""),"Team 04")</f>
        <v>Team 04</v>
      </c>
      <c r="D160" s="422" t="str">
        <f>IFERROR(__xludf.DUMMYFUNCTION("""COMPUTED_VALUE"""),"New Route")</f>
        <v>New Route</v>
      </c>
      <c r="E160" s="422" t="str">
        <f>IFERROR(__xludf.DUMMYFUNCTION("""COMPUTED_VALUE"""),"TTNI0243 Gpon extendsion")</f>
        <v>TTNI0243 Gpon extendsion</v>
      </c>
      <c r="F160" s="424">
        <f>IFERROR(__xludf.DUMMYFUNCTION("""COMPUTED_VALUE"""),45958.0)</f>
        <v>45958</v>
      </c>
      <c r="G160" s="424">
        <f>IFERROR(__xludf.DUMMYFUNCTION("""COMPUTED_VALUE"""),45985.0)</f>
        <v>45985</v>
      </c>
      <c r="H160" s="422" t="str">
        <f>IFERROR(__xludf.DUMMYFUNCTION("""COMPUTED_VALUE"""),"VCM277678-Naing Myo Htun, VCM818134-Tin Maung Win")</f>
        <v>VCM277678-Naing Myo Htun, VCM818134-Tin Maung Win</v>
      </c>
      <c r="I160" s="425">
        <f>IFERROR(__xludf.DUMMYFUNCTION("""COMPUTED_VALUE"""),45985.0)</f>
        <v>45985</v>
      </c>
      <c r="J160" s="424">
        <f>IFERROR(__xludf.DUMMYFUNCTION("""COMPUTED_VALUE"""),45994.0)</f>
        <v>45994</v>
      </c>
      <c r="K160" s="422"/>
      <c r="L160" s="422"/>
      <c r="M160" s="422"/>
      <c r="N160" s="422"/>
      <c r="O160" s="422"/>
      <c r="P160" s="422"/>
      <c r="Q160" s="422"/>
      <c r="R160" s="98"/>
      <c r="S160" s="98" t="str">
        <f>IFERROR(__xludf.DUMMYFUNCTION("""COMPUTED_VALUE"""),"myt_tinmaung.win")</f>
        <v>myt_tinmaung.win</v>
      </c>
      <c r="T160" s="98" t="str">
        <f>IFERROR(__xludf.DUMMYFUNCTION("""COMPUTED_VALUE"""),"TNI0243")</f>
        <v>TNI0243</v>
      </c>
    </row>
    <row r="161">
      <c r="A161" s="422">
        <f>IFERROR(__xludf.DUMMYFUNCTION("""COMPUTED_VALUE"""),159.0)</f>
        <v>159</v>
      </c>
      <c r="B161" s="422" t="str">
        <f>IFERROR(__xludf.DUMMYFUNCTION("""COMPUTED_VALUE"""),"Finance")</f>
        <v>Finance</v>
      </c>
      <c r="C161" s="422" t="str">
        <f>IFERROR(__xludf.DUMMYFUNCTION("""COMPUTED_VALUE"""),"Office ")</f>
        <v>Office </v>
      </c>
      <c r="D161" s="422" t="str">
        <f>IFERROR(__xludf.DUMMYFUNCTION("""COMPUTED_VALUE"""),"Car fuel payment")</f>
        <v>Car fuel payment</v>
      </c>
      <c r="E161" s="422" t="str">
        <f>IFERROR(__xludf.DUMMYFUNCTION("""COMPUTED_VALUE""")," Car Fuel Payment for Feb 2025")</f>
        <v> Car Fuel Payment for Feb 2025</v>
      </c>
      <c r="F161" s="424">
        <f>IFERROR(__xludf.DUMMYFUNCTION("""COMPUTED_VALUE"""),46054.0)</f>
        <v>46054</v>
      </c>
      <c r="G161" s="424">
        <f>IFERROR(__xludf.DUMMYFUNCTION("""COMPUTED_VALUE"""),46058.0)</f>
        <v>46058</v>
      </c>
      <c r="H161" s="422" t="str">
        <f>IFERROR(__xludf.DUMMYFUNCTION("""COMPUTED_VALUE"""),"#REF!")</f>
        <v>#REF!</v>
      </c>
      <c r="I161" s="422"/>
      <c r="J161" s="422"/>
      <c r="K161" s="422"/>
      <c r="L161" s="422"/>
      <c r="M161" s="422"/>
      <c r="N161" s="422"/>
      <c r="O161" s="422">
        <f>IFERROR(__xludf.DUMMYFUNCTION("""COMPUTED_VALUE"""),0.0)</f>
        <v>0</v>
      </c>
      <c r="P161" s="422"/>
      <c r="Q161" s="422"/>
      <c r="R161" s="98"/>
      <c r="S161" s="98" t="str">
        <f>IFERROR(__xludf.DUMMYFUNCTION("""COMPUTED_VALUE"""),"-")</f>
        <v>-</v>
      </c>
      <c r="T161" s="98" t="str">
        <f>IFERROR(__xludf.DUMMYFUNCTION("""COMPUTED_VALUE""")," Car Fuel Payment for Feb 2025")</f>
        <v> Car Fuel Payment for Feb 2025</v>
      </c>
    </row>
    <row r="162">
      <c r="A162" s="422">
        <f>IFERROR(__xludf.DUMMYFUNCTION("""COMPUTED_VALUE"""),160.0)</f>
        <v>160</v>
      </c>
      <c r="B162" s="422" t="str">
        <f>IFERROR(__xludf.DUMMYFUNCTION("""COMPUTED_VALUE"""),"Finance")</f>
        <v>Finance</v>
      </c>
      <c r="C162" s="422" t="str">
        <f>IFERROR(__xludf.DUMMYFUNCTION("""COMPUTED_VALUE"""),"Office ")</f>
        <v>Office </v>
      </c>
      <c r="D162" s="422" t="str">
        <f>IFERROR(__xludf.DUMMYFUNCTION("""COMPUTED_VALUE"""),"EPC Office photo update")</f>
        <v>EPC Office photo update</v>
      </c>
      <c r="E162" s="422" t="str">
        <f>IFERROR(__xludf.DUMMYFUNCTION("""COMPUTED_VALUE""")," Office meter box photo update ")</f>
        <v> Office meter box photo update </v>
      </c>
      <c r="F162" s="424">
        <f>IFERROR(__xludf.DUMMYFUNCTION("""COMPUTED_VALUE"""),46045.0)</f>
        <v>46045</v>
      </c>
      <c r="G162" s="424">
        <f>IFERROR(__xludf.DUMMYFUNCTION("""COMPUTED_VALUE"""),46052.0)</f>
        <v>46052</v>
      </c>
      <c r="H162" s="422" t="str">
        <f>IFERROR(__xludf.DUMMYFUNCTION("""COMPUTED_VALUE"""),"#REF!")</f>
        <v>#REF!</v>
      </c>
      <c r="I162" s="422"/>
      <c r="J162" s="422"/>
      <c r="K162" s="422"/>
      <c r="L162" s="422"/>
      <c r="M162" s="422"/>
      <c r="N162" s="422"/>
      <c r="O162" s="422">
        <f>IFERROR(__xludf.DUMMYFUNCTION("""COMPUTED_VALUE"""),0.0)</f>
        <v>0</v>
      </c>
      <c r="P162" s="422"/>
      <c r="Q162" s="422"/>
      <c r="R162" s="98"/>
      <c r="S162" s="98" t="str">
        <f>IFERROR(__xludf.DUMMYFUNCTION("""COMPUTED_VALUE"""),"-")</f>
        <v>-</v>
      </c>
      <c r="T162" s="98" t="str">
        <f>IFERROR(__xludf.DUMMYFUNCTION("""COMPUTED_VALUE""")," Office meter box photo update ")</f>
        <v> Office meter box photo update </v>
      </c>
    </row>
    <row r="163">
      <c r="A163" s="422">
        <f>IFERROR(__xludf.DUMMYFUNCTION("""COMPUTED_VALUE"""),161.0)</f>
        <v>161</v>
      </c>
      <c r="B163" s="422" t="str">
        <f>IFERROR(__xludf.DUMMYFUNCTION("""COMPUTED_VALUE"""),"Finance")</f>
        <v>Finance</v>
      </c>
      <c r="C163" s="422" t="str">
        <f>IFERROR(__xludf.DUMMYFUNCTION("""COMPUTED_VALUE"""),"Team 01")</f>
        <v>Team 01</v>
      </c>
      <c r="D163" s="422" t="str">
        <f>IFERROR(__xludf.DUMMYFUNCTION("""COMPUTED_VALUE"""),"Car fuel payment")</f>
        <v>Car fuel payment</v>
      </c>
      <c r="E163" s="422" t="str">
        <f>IFERROR(__xludf.DUMMYFUNCTION("""COMPUTED_VALUE""")," Car Fuel Payment for Feb 2025")</f>
        <v> Car Fuel Payment for Feb 2025</v>
      </c>
      <c r="F163" s="424">
        <f>IFERROR(__xludf.DUMMYFUNCTION("""COMPUTED_VALUE"""),46054.0)</f>
        <v>46054</v>
      </c>
      <c r="G163" s="424">
        <f>IFERROR(__xludf.DUMMYFUNCTION("""COMPUTED_VALUE"""),46058.0)</f>
        <v>46058</v>
      </c>
      <c r="H163" s="422" t="str">
        <f>IFERROR(__xludf.DUMMYFUNCTION("""COMPUTED_VALUE"""),"#REF!")</f>
        <v>#REF!</v>
      </c>
      <c r="I163" s="422"/>
      <c r="J163" s="422"/>
      <c r="K163" s="422"/>
      <c r="L163" s="422"/>
      <c r="M163" s="422" t="str">
        <f>IFERROR(__xludf.DUMMYFUNCTION("""COMPUTED_VALUE"""),"Dep Confirm completion")</f>
        <v>Dep Confirm completion</v>
      </c>
      <c r="N163" s="422"/>
      <c r="O163" s="422">
        <f>IFERROR(__xludf.DUMMYFUNCTION("""COMPUTED_VALUE"""),0.0)</f>
        <v>0</v>
      </c>
      <c r="P163" s="422"/>
      <c r="Q163" s="422"/>
      <c r="R163" s="98"/>
      <c r="S163" s="98" t="str">
        <f>IFERROR(__xludf.DUMMYFUNCTION("""COMPUTED_VALUE"""),"-")</f>
        <v>-</v>
      </c>
      <c r="T163" s="98" t="str">
        <f>IFERROR(__xludf.DUMMYFUNCTION("""COMPUTED_VALUE""")," Car Fuel Payment for Feb 2025")</f>
        <v> Car Fuel Payment for Feb 2025</v>
      </c>
    </row>
    <row r="164">
      <c r="A164" s="422">
        <f>IFERROR(__xludf.DUMMYFUNCTION("""COMPUTED_VALUE"""),162.0)</f>
        <v>162</v>
      </c>
      <c r="B164" s="422" t="str">
        <f>IFERROR(__xludf.DUMMYFUNCTION("""COMPUTED_VALUE"""),"Finance")</f>
        <v>Finance</v>
      </c>
      <c r="C164" s="422" t="str">
        <f>IFERROR(__xludf.DUMMYFUNCTION("""COMPUTED_VALUE"""),"Team 01")</f>
        <v>Team 01</v>
      </c>
      <c r="D164" s="422" t="str">
        <f>IFERROR(__xludf.DUMMYFUNCTION("""COMPUTED_VALUE"""),"EPC Advance")</f>
        <v>EPC Advance</v>
      </c>
      <c r="E164" s="422" t="str">
        <f>IFERROR(__xludf.DUMMYFUNCTION("""COMPUTED_VALUE"""),"Team 01 advance for EPC ")</f>
        <v>Team 01 advance for EPC </v>
      </c>
      <c r="F164" s="424">
        <f>IFERROR(__xludf.DUMMYFUNCTION("""COMPUTED_VALUE"""),46041.0)</f>
        <v>46041</v>
      </c>
      <c r="G164" s="424">
        <f>IFERROR(__xludf.DUMMYFUNCTION("""COMPUTED_VALUE"""),46045.0)</f>
        <v>46045</v>
      </c>
      <c r="H164" s="422" t="str">
        <f>IFERROR(__xludf.DUMMYFUNCTION("""COMPUTED_VALUE"""),"#REF!")</f>
        <v>#REF!</v>
      </c>
      <c r="I164" s="422"/>
      <c r="J164" s="424">
        <f>IFERROR(__xludf.DUMMYFUNCTION("""COMPUTED_VALUE"""),45985.0)</f>
        <v>45985</v>
      </c>
      <c r="K164" s="422"/>
      <c r="L164" s="422"/>
      <c r="M164" s="422" t="str">
        <f>IFERROR(__xludf.DUMMYFUNCTION("""COMPUTED_VALUE"""),"Dep Confirm completion")</f>
        <v>Dep Confirm completion</v>
      </c>
      <c r="N164" s="422"/>
      <c r="O164" s="422">
        <f>IFERROR(__xludf.DUMMYFUNCTION("""COMPUTED_VALUE"""),4.0)</f>
        <v>4</v>
      </c>
      <c r="P164" s="422"/>
      <c r="Q164" s="422"/>
      <c r="R164" s="98"/>
      <c r="S164" s="98" t="str">
        <f>IFERROR(__xludf.DUMMYFUNCTION("""COMPUTED_VALUE"""),"-")</f>
        <v>-</v>
      </c>
      <c r="T164" s="98" t="str">
        <f>IFERROR(__xludf.DUMMYFUNCTION("""COMPUTED_VALUE"""),"Team 01 advance for EPC ")</f>
        <v>Team 01 advance for EPC </v>
      </c>
    </row>
    <row r="165">
      <c r="A165" s="422">
        <f>IFERROR(__xludf.DUMMYFUNCTION("""COMPUTED_VALUE"""),163.0)</f>
        <v>163</v>
      </c>
      <c r="B165" s="422" t="str">
        <f>IFERROR(__xludf.DUMMYFUNCTION("""COMPUTED_VALUE"""),"Finance")</f>
        <v>Finance</v>
      </c>
      <c r="C165" s="422" t="str">
        <f>IFERROR(__xludf.DUMMYFUNCTION("""COMPUTED_VALUE"""),"Team 01")</f>
        <v>Team 01</v>
      </c>
      <c r="D165" s="422" t="str">
        <f>IFERROR(__xludf.DUMMYFUNCTION("""COMPUTED_VALUE"""),"EPC clear")</f>
        <v>EPC clear</v>
      </c>
      <c r="E165" s="422" t="str">
        <f>IFERROR(__xludf.DUMMYFUNCTION("""COMPUTED_VALUE""")," Clear for Jan")</f>
        <v> Clear for Jan</v>
      </c>
      <c r="F165" s="424">
        <f>IFERROR(__xludf.DUMMYFUNCTION("""COMPUTED_VALUE"""),46058.0)</f>
        <v>46058</v>
      </c>
      <c r="G165" s="424">
        <f>IFERROR(__xludf.DUMMYFUNCTION("""COMPUTED_VALUE"""),46063.0)</f>
        <v>46063</v>
      </c>
      <c r="H165" s="422" t="str">
        <f>IFERROR(__xludf.DUMMYFUNCTION("""COMPUTED_VALUE"""),"#REF!")</f>
        <v>#REF!</v>
      </c>
      <c r="I165" s="422"/>
      <c r="J165" s="422"/>
      <c r="K165" s="422"/>
      <c r="L165" s="422"/>
      <c r="M165" s="422"/>
      <c r="N165" s="422"/>
      <c r="O165" s="422">
        <f>IFERROR(__xludf.DUMMYFUNCTION("""COMPUTED_VALUE"""),0.0)</f>
        <v>0</v>
      </c>
      <c r="P165" s="422"/>
      <c r="Q165" s="422"/>
      <c r="R165" s="98"/>
      <c r="S165" s="98" t="str">
        <f>IFERROR(__xludf.DUMMYFUNCTION("""COMPUTED_VALUE"""),"-")</f>
        <v>-</v>
      </c>
      <c r="T165" s="98" t="str">
        <f>IFERROR(__xludf.DUMMYFUNCTION("""COMPUTED_VALUE""")," Clear for Jan")</f>
        <v> Clear for Jan</v>
      </c>
    </row>
    <row r="166">
      <c r="A166" s="422">
        <f>IFERROR(__xludf.DUMMYFUNCTION("""COMPUTED_VALUE"""),164.0)</f>
        <v>164</v>
      </c>
      <c r="B166" s="422" t="str">
        <f>IFERROR(__xludf.DUMMYFUNCTION("""COMPUTED_VALUE"""),"Finance")</f>
        <v>Finance</v>
      </c>
      <c r="C166" s="422" t="str">
        <f>IFERROR(__xludf.DUMMYFUNCTION("""COMPUTED_VALUE"""),"Team 01")</f>
        <v>Team 01</v>
      </c>
      <c r="D166" s="422" t="str">
        <f>IFERROR(__xludf.DUMMYFUNCTION("""COMPUTED_VALUE"""),"EPC Office photo update")</f>
        <v>EPC Office photo update</v>
      </c>
      <c r="E166" s="422" t="str">
        <f>IFERROR(__xludf.DUMMYFUNCTION("""COMPUTED_VALUE"""),"Team 1 Office meter box photo update ")</f>
        <v>Team 1 Office meter box photo update </v>
      </c>
      <c r="F166" s="424">
        <f>IFERROR(__xludf.DUMMYFUNCTION("""COMPUTED_VALUE"""),46045.0)</f>
        <v>46045</v>
      </c>
      <c r="G166" s="424">
        <f>IFERROR(__xludf.DUMMYFUNCTION("""COMPUTED_VALUE"""),46052.0)</f>
        <v>46052</v>
      </c>
      <c r="H166" s="422"/>
      <c r="I166" s="422"/>
      <c r="J166" s="422"/>
      <c r="K166" s="422"/>
      <c r="L166" s="422"/>
      <c r="M166" s="422"/>
      <c r="N166" s="422"/>
      <c r="O166" s="422">
        <f>IFERROR(__xludf.DUMMYFUNCTION("""COMPUTED_VALUE"""),0.0)</f>
        <v>0</v>
      </c>
      <c r="P166" s="422"/>
      <c r="Q166" s="422"/>
      <c r="R166" s="98"/>
      <c r="S166" s="98" t="str">
        <f>IFERROR(__xludf.DUMMYFUNCTION("""COMPUTED_VALUE"""),"-")</f>
        <v>-</v>
      </c>
      <c r="T166" s="98" t="str">
        <f>IFERROR(__xludf.DUMMYFUNCTION("""COMPUTED_VALUE"""),"Team 1 Office meter box photo update ")</f>
        <v>Team 1 Office meter box photo update </v>
      </c>
    </row>
    <row r="167">
      <c r="A167" s="422">
        <f>IFERROR(__xludf.DUMMYFUNCTION("""COMPUTED_VALUE"""),165.0)</f>
        <v>165</v>
      </c>
      <c r="B167" s="422" t="str">
        <f>IFERROR(__xludf.DUMMYFUNCTION("""COMPUTED_VALUE"""),"Finance")</f>
        <v>Finance</v>
      </c>
      <c r="C167" s="422" t="str">
        <f>IFERROR(__xludf.DUMMYFUNCTION("""COMPUTED_VALUE"""),"Team 01")</f>
        <v>Team 01</v>
      </c>
      <c r="D167" s="422" t="str">
        <f>IFERROR(__xludf.DUMMYFUNCTION("""COMPUTED_VALUE"""),"MDG fuel invoice")</f>
        <v>MDG fuel invoice</v>
      </c>
      <c r="E167" s="422" t="str">
        <f>IFERROR(__xludf.DUMMYFUNCTION("""COMPUTED_VALUE"""),"Team 01 Send MDG fuel invoice for Nov")</f>
        <v>Team 01 Send MDG fuel invoice for Nov</v>
      </c>
      <c r="F167" s="422"/>
      <c r="G167" s="422"/>
      <c r="H167" s="422"/>
      <c r="I167" s="422"/>
      <c r="J167" s="422"/>
      <c r="K167" s="422"/>
      <c r="L167" s="422"/>
      <c r="M167" s="422" t="str">
        <f>IFERROR(__xludf.DUMMYFUNCTION("""COMPUTED_VALUE"""),"Dep Confirm completion")</f>
        <v>Dep Confirm completion</v>
      </c>
      <c r="N167" s="422"/>
      <c r="O167" s="422">
        <f>IFERROR(__xludf.DUMMYFUNCTION("""COMPUTED_VALUE"""),0.0)</f>
        <v>0</v>
      </c>
      <c r="P167" s="422"/>
      <c r="Q167" s="422"/>
      <c r="R167" s="98"/>
      <c r="S167" s="98" t="str">
        <f>IFERROR(__xludf.DUMMYFUNCTION("""COMPUTED_VALUE"""),"-")</f>
        <v>-</v>
      </c>
      <c r="T167" s="98" t="str">
        <f>IFERROR(__xludf.DUMMYFUNCTION("""COMPUTED_VALUE"""),"Team 01 Send MDG fuel invoice for Nov")</f>
        <v>Team 01 Send MDG fuel invoice for Nov</v>
      </c>
    </row>
    <row r="168">
      <c r="A168" s="422">
        <f>IFERROR(__xludf.DUMMYFUNCTION("""COMPUTED_VALUE"""),166.0)</f>
        <v>166</v>
      </c>
      <c r="B168" s="422" t="str">
        <f>IFERROR(__xludf.DUMMYFUNCTION("""COMPUTED_VALUE"""),"Finance")</f>
        <v>Finance</v>
      </c>
      <c r="C168" s="422" t="str">
        <f>IFERROR(__xludf.DUMMYFUNCTION("""COMPUTED_VALUE"""),"Team 01")</f>
        <v>Team 01</v>
      </c>
      <c r="D168" s="422" t="str">
        <f>IFERROR(__xludf.DUMMYFUNCTION("""COMPUTED_VALUE"""),"Send Date Expense Doc ")</f>
        <v>Send Date Expense Doc </v>
      </c>
      <c r="E168" s="422" t="str">
        <f>IFERROR(__xludf.DUMMYFUNCTION("""COMPUTED_VALUE"""),"Expense Doc and File")</f>
        <v>Expense Doc and File</v>
      </c>
      <c r="F168" s="424">
        <f>IFERROR(__xludf.DUMMYFUNCTION("""COMPUTED_VALUE"""),46054.0)</f>
        <v>46054</v>
      </c>
      <c r="G168" s="424">
        <f>IFERROR(__xludf.DUMMYFUNCTION("""COMPUTED_VALUE"""),46060.0)</f>
        <v>46060</v>
      </c>
      <c r="H168" s="422" t="str">
        <f>IFERROR(__xludf.DUMMYFUNCTION("""COMPUTED_VALUE"""),"#REF!")</f>
        <v>#REF!</v>
      </c>
      <c r="I168" s="422"/>
      <c r="J168" s="422"/>
      <c r="K168" s="422"/>
      <c r="L168" s="422"/>
      <c r="M168" s="422"/>
      <c r="N168" s="422" t="str">
        <f>IFERROR(__xludf.DUMMYFUNCTION("""COMPUTED_VALUE"""),"Over deadline and not completet doc")</f>
        <v>Over deadline and not completet doc</v>
      </c>
      <c r="O168" s="422">
        <f>IFERROR(__xludf.DUMMYFUNCTION("""COMPUTED_VALUE"""),0.0)</f>
        <v>0</v>
      </c>
      <c r="P168" s="422"/>
      <c r="Q168" s="422"/>
      <c r="R168" s="98"/>
      <c r="S168" s="98" t="str">
        <f>IFERROR(__xludf.DUMMYFUNCTION("""COMPUTED_VALUE"""),"-")</f>
        <v>-</v>
      </c>
      <c r="T168" s="98" t="str">
        <f>IFERROR(__xludf.DUMMYFUNCTION("""COMPUTED_VALUE"""),"Expense Doc and File")</f>
        <v>Expense Doc and File</v>
      </c>
    </row>
    <row r="169">
      <c r="A169" s="422">
        <f>IFERROR(__xludf.DUMMYFUNCTION("""COMPUTED_VALUE"""),167.0)</f>
        <v>167</v>
      </c>
      <c r="B169" s="422" t="str">
        <f>IFERROR(__xludf.DUMMYFUNCTION("""COMPUTED_VALUE"""),"Finance")</f>
        <v>Finance</v>
      </c>
      <c r="C169" s="422" t="str">
        <f>IFERROR(__xludf.DUMMYFUNCTION("""COMPUTED_VALUE"""),"Team 02")</f>
        <v>Team 02</v>
      </c>
      <c r="D169" s="422" t="str">
        <f>IFERROR(__xludf.DUMMYFUNCTION("""COMPUTED_VALUE"""),"Car fuel payment")</f>
        <v>Car fuel payment</v>
      </c>
      <c r="E169" s="422" t="str">
        <f>IFERROR(__xludf.DUMMYFUNCTION("""COMPUTED_VALUE""")," Car Fuel Payment for Feb 2025")</f>
        <v> Car Fuel Payment for Feb 2025</v>
      </c>
      <c r="F169" s="424">
        <f>IFERROR(__xludf.DUMMYFUNCTION("""COMPUTED_VALUE"""),46054.0)</f>
        <v>46054</v>
      </c>
      <c r="G169" s="424">
        <f>IFERROR(__xludf.DUMMYFUNCTION("""COMPUTED_VALUE"""),46058.0)</f>
        <v>46058</v>
      </c>
      <c r="H169" s="422" t="str">
        <f>IFERROR(__xludf.DUMMYFUNCTION("""COMPUTED_VALUE"""),"#REF!")</f>
        <v>#REF!</v>
      </c>
      <c r="I169" s="422"/>
      <c r="J169" s="422"/>
      <c r="K169" s="422"/>
      <c r="L169" s="422"/>
      <c r="M169" s="422"/>
      <c r="N169" s="422"/>
      <c r="O169" s="422">
        <f>IFERROR(__xludf.DUMMYFUNCTION("""COMPUTED_VALUE"""),0.0)</f>
        <v>0</v>
      </c>
      <c r="P169" s="422"/>
      <c r="Q169" s="422"/>
      <c r="R169" s="98"/>
      <c r="S169" s="98" t="str">
        <f>IFERROR(__xludf.DUMMYFUNCTION("""COMPUTED_VALUE"""),"-")</f>
        <v>-</v>
      </c>
      <c r="T169" s="98" t="str">
        <f>IFERROR(__xludf.DUMMYFUNCTION("""COMPUTED_VALUE""")," Car Fuel Payment for Feb 2025")</f>
        <v> Car Fuel Payment for Feb 2025</v>
      </c>
    </row>
    <row r="170">
      <c r="A170" s="422">
        <f>IFERROR(__xludf.DUMMYFUNCTION("""COMPUTED_VALUE"""),168.0)</f>
        <v>168</v>
      </c>
      <c r="B170" s="422" t="str">
        <f>IFERROR(__xludf.DUMMYFUNCTION("""COMPUTED_VALUE"""),"Finance")</f>
        <v>Finance</v>
      </c>
      <c r="C170" s="422" t="str">
        <f>IFERROR(__xludf.DUMMYFUNCTION("""COMPUTED_VALUE"""),"Team 02")</f>
        <v>Team 02</v>
      </c>
      <c r="D170" s="422" t="str">
        <f>IFERROR(__xludf.DUMMYFUNCTION("""COMPUTED_VALUE"""),"EPC Advance")</f>
        <v>EPC Advance</v>
      </c>
      <c r="E170" s="422" t="str">
        <f>IFERROR(__xludf.DUMMYFUNCTION("""COMPUTED_VALUE"""),"Team 02 &amp; Team 05 advance for EPC ")</f>
        <v>Team 02 &amp; Team 05 advance for EPC </v>
      </c>
      <c r="F170" s="424">
        <f>IFERROR(__xludf.DUMMYFUNCTION("""COMPUTED_VALUE"""),46041.0)</f>
        <v>46041</v>
      </c>
      <c r="G170" s="424">
        <f>IFERROR(__xludf.DUMMYFUNCTION("""COMPUTED_VALUE"""),46045.0)</f>
        <v>46045</v>
      </c>
      <c r="H170" s="422" t="str">
        <f>IFERROR(__xludf.DUMMYFUNCTION("""COMPUTED_VALUE"""),"#REF!")</f>
        <v>#REF!</v>
      </c>
      <c r="I170" s="422"/>
      <c r="J170" s="424">
        <f>IFERROR(__xludf.DUMMYFUNCTION("""COMPUTED_VALUE"""),45986.0)</f>
        <v>45986</v>
      </c>
      <c r="K170" s="422"/>
      <c r="L170" s="422"/>
      <c r="M170" s="422" t="str">
        <f>IFERROR(__xludf.DUMMYFUNCTION("""COMPUTED_VALUE"""),"Dep Confirm completion")</f>
        <v>Dep Confirm completion</v>
      </c>
      <c r="N170" s="422"/>
      <c r="O170" s="422">
        <f>IFERROR(__xludf.DUMMYFUNCTION("""COMPUTED_VALUE"""),4.0)</f>
        <v>4</v>
      </c>
      <c r="P170" s="422"/>
      <c r="Q170" s="422"/>
      <c r="R170" s="98"/>
      <c r="S170" s="98" t="str">
        <f>IFERROR(__xludf.DUMMYFUNCTION("""COMPUTED_VALUE"""),"-")</f>
        <v>-</v>
      </c>
      <c r="T170" s="98" t="str">
        <f>IFERROR(__xludf.DUMMYFUNCTION("""COMPUTED_VALUE"""),"Team 02 &amp; Team 05 advance for EPC ")</f>
        <v>Team 02 &amp; Team 05 advance for EPC </v>
      </c>
    </row>
    <row r="171">
      <c r="A171" s="422">
        <f>IFERROR(__xludf.DUMMYFUNCTION("""COMPUTED_VALUE"""),169.0)</f>
        <v>169</v>
      </c>
      <c r="B171" s="422" t="str">
        <f>IFERROR(__xludf.DUMMYFUNCTION("""COMPUTED_VALUE"""),"Finance")</f>
        <v>Finance</v>
      </c>
      <c r="C171" s="422" t="str">
        <f>IFERROR(__xludf.DUMMYFUNCTION("""COMPUTED_VALUE"""),"Team 02")</f>
        <v>Team 02</v>
      </c>
      <c r="D171" s="422" t="str">
        <f>IFERROR(__xludf.DUMMYFUNCTION("""COMPUTED_VALUE"""),"EPC clear")</f>
        <v>EPC clear</v>
      </c>
      <c r="E171" s="422" t="str">
        <f>IFERROR(__xludf.DUMMYFUNCTION("""COMPUTED_VALUE""")," Clear for Jan")</f>
        <v> Clear for Jan</v>
      </c>
      <c r="F171" s="424">
        <f>IFERROR(__xludf.DUMMYFUNCTION("""COMPUTED_VALUE"""),46058.0)</f>
        <v>46058</v>
      </c>
      <c r="G171" s="424">
        <f>IFERROR(__xludf.DUMMYFUNCTION("""COMPUTED_VALUE"""),46063.0)</f>
        <v>46063</v>
      </c>
      <c r="H171" s="422" t="str">
        <f>IFERROR(__xludf.DUMMYFUNCTION("""COMPUTED_VALUE"""),"#REF!")</f>
        <v>#REF!</v>
      </c>
      <c r="I171" s="422"/>
      <c r="J171" s="422"/>
      <c r="K171" s="422"/>
      <c r="L171" s="422"/>
      <c r="M171" s="422"/>
      <c r="N171" s="422" t="str">
        <f>IFERROR(__xludf.DUMMYFUNCTION("""COMPUTED_VALUE"""),"Over deadline")</f>
        <v>Over deadline</v>
      </c>
      <c r="O171" s="422">
        <f>IFERROR(__xludf.DUMMYFUNCTION("""COMPUTED_VALUE"""),0.0)</f>
        <v>0</v>
      </c>
      <c r="P171" s="422"/>
      <c r="Q171" s="422"/>
      <c r="R171" s="98"/>
      <c r="S171" s="98" t="str">
        <f>IFERROR(__xludf.DUMMYFUNCTION("""COMPUTED_VALUE"""),"-")</f>
        <v>-</v>
      </c>
      <c r="T171" s="98" t="str">
        <f>IFERROR(__xludf.DUMMYFUNCTION("""COMPUTED_VALUE""")," Clear for Jan")</f>
        <v> Clear for Jan</v>
      </c>
    </row>
    <row r="172">
      <c r="A172" s="422">
        <f>IFERROR(__xludf.DUMMYFUNCTION("""COMPUTED_VALUE"""),170.0)</f>
        <v>170</v>
      </c>
      <c r="B172" s="422" t="str">
        <f>IFERROR(__xludf.DUMMYFUNCTION("""COMPUTED_VALUE"""),"Finance")</f>
        <v>Finance</v>
      </c>
      <c r="C172" s="422" t="str">
        <f>IFERROR(__xludf.DUMMYFUNCTION("""COMPUTED_VALUE"""),"Team 02")</f>
        <v>Team 02</v>
      </c>
      <c r="D172" s="422" t="str">
        <f>IFERROR(__xludf.DUMMYFUNCTION("""COMPUTED_VALUE"""),"EPC Office photo update")</f>
        <v>EPC Office photo update</v>
      </c>
      <c r="E172" s="422" t="str">
        <f>IFERROR(__xludf.DUMMYFUNCTION("""COMPUTED_VALUE""")," Office meter box photo update ")</f>
        <v> Office meter box photo update </v>
      </c>
      <c r="F172" s="424">
        <f>IFERROR(__xludf.DUMMYFUNCTION("""COMPUTED_VALUE"""),46045.0)</f>
        <v>46045</v>
      </c>
      <c r="G172" s="424">
        <f>IFERROR(__xludf.DUMMYFUNCTION("""COMPUTED_VALUE"""),46052.0)</f>
        <v>46052</v>
      </c>
      <c r="H172" s="422" t="str">
        <f>IFERROR(__xludf.DUMMYFUNCTION("""COMPUTED_VALUE"""),"#REF!")</f>
        <v>#REF!</v>
      </c>
      <c r="I172" s="422"/>
      <c r="J172" s="422"/>
      <c r="K172" s="422"/>
      <c r="L172" s="422"/>
      <c r="M172" s="422"/>
      <c r="N172" s="422"/>
      <c r="O172" s="422">
        <f>IFERROR(__xludf.DUMMYFUNCTION("""COMPUTED_VALUE"""),0.0)</f>
        <v>0</v>
      </c>
      <c r="P172" s="422"/>
      <c r="Q172" s="422"/>
      <c r="R172" s="98"/>
      <c r="S172" s="98" t="str">
        <f>IFERROR(__xludf.DUMMYFUNCTION("""COMPUTED_VALUE"""),"-")</f>
        <v>-</v>
      </c>
      <c r="T172" s="98" t="str">
        <f>IFERROR(__xludf.DUMMYFUNCTION("""COMPUTED_VALUE""")," Office meter box photo update ")</f>
        <v> Office meter box photo update </v>
      </c>
    </row>
    <row r="173">
      <c r="A173" s="422">
        <f>IFERROR(__xludf.DUMMYFUNCTION("""COMPUTED_VALUE"""),171.0)</f>
        <v>171</v>
      </c>
      <c r="B173" s="422" t="str">
        <f>IFERROR(__xludf.DUMMYFUNCTION("""COMPUTED_VALUE"""),"Finance")</f>
        <v>Finance</v>
      </c>
      <c r="C173" s="422" t="str">
        <f>IFERROR(__xludf.DUMMYFUNCTION("""COMPUTED_VALUE"""),"Team 02")</f>
        <v>Team 02</v>
      </c>
      <c r="D173" s="422" t="str">
        <f>IFERROR(__xludf.DUMMYFUNCTION("""COMPUTED_VALUE"""),"MDG fuel invoice")</f>
        <v>MDG fuel invoice</v>
      </c>
      <c r="E173" s="422" t="str">
        <f>IFERROR(__xludf.DUMMYFUNCTION("""COMPUTED_VALUE"""),"Team 02 Send MDG fuel invoice for Oct")</f>
        <v>Team 02 Send MDG fuel invoice for Oct</v>
      </c>
      <c r="F173" s="422"/>
      <c r="G173" s="422"/>
      <c r="H173" s="422"/>
      <c r="I173" s="422"/>
      <c r="J173" s="422"/>
      <c r="K173" s="422"/>
      <c r="L173" s="422"/>
      <c r="M173" s="422" t="str">
        <f>IFERROR(__xludf.DUMMYFUNCTION("""COMPUTED_VALUE"""),"Dep Confirm completion")</f>
        <v>Dep Confirm completion</v>
      </c>
      <c r="N173" s="422"/>
      <c r="O173" s="422">
        <f>IFERROR(__xludf.DUMMYFUNCTION("""COMPUTED_VALUE"""),0.0)</f>
        <v>0</v>
      </c>
      <c r="P173" s="422"/>
      <c r="Q173" s="422"/>
      <c r="R173" s="98"/>
      <c r="S173" s="98" t="str">
        <f>IFERROR(__xludf.DUMMYFUNCTION("""COMPUTED_VALUE"""),"-")</f>
        <v>-</v>
      </c>
      <c r="T173" s="98" t="str">
        <f>IFERROR(__xludf.DUMMYFUNCTION("""COMPUTED_VALUE"""),"Team 02 Send MDG fuel invoice for Oct")</f>
        <v>Team 02 Send MDG fuel invoice for Oct</v>
      </c>
    </row>
    <row r="174">
      <c r="A174" s="422">
        <f>IFERROR(__xludf.DUMMYFUNCTION("""COMPUTED_VALUE"""),172.0)</f>
        <v>172</v>
      </c>
      <c r="B174" s="422" t="str">
        <f>IFERROR(__xludf.DUMMYFUNCTION("""COMPUTED_VALUE"""),"Finance")</f>
        <v>Finance</v>
      </c>
      <c r="C174" s="422" t="str">
        <f>IFERROR(__xludf.DUMMYFUNCTION("""COMPUTED_VALUE"""),"Team 02")</f>
        <v>Team 02</v>
      </c>
      <c r="D174" s="422" t="str">
        <f>IFERROR(__xludf.DUMMYFUNCTION("""COMPUTED_VALUE"""),"Send Date Expense Doc ")</f>
        <v>Send Date Expense Doc </v>
      </c>
      <c r="E174" s="422" t="str">
        <f>IFERROR(__xludf.DUMMYFUNCTION("""COMPUTED_VALUE"""),"Expense Doc and File")</f>
        <v>Expense Doc and File</v>
      </c>
      <c r="F174" s="424">
        <f>IFERROR(__xludf.DUMMYFUNCTION("""COMPUTED_VALUE"""),46054.0)</f>
        <v>46054</v>
      </c>
      <c r="G174" s="424">
        <f>IFERROR(__xludf.DUMMYFUNCTION("""COMPUTED_VALUE"""),46060.0)</f>
        <v>46060</v>
      </c>
      <c r="H174" s="422" t="str">
        <f>IFERROR(__xludf.DUMMYFUNCTION("""COMPUTED_VALUE"""),"#REF!")</f>
        <v>#REF!</v>
      </c>
      <c r="I174" s="422"/>
      <c r="J174" s="422"/>
      <c r="K174" s="422"/>
      <c r="L174" s="422"/>
      <c r="M174" s="422"/>
      <c r="N174" s="422" t="str">
        <f>IFERROR(__xludf.DUMMYFUNCTION("""COMPUTED_VALUE"""),"Over deadline and not completet doc")</f>
        <v>Over deadline and not completet doc</v>
      </c>
      <c r="O174" s="422">
        <f>IFERROR(__xludf.DUMMYFUNCTION("""COMPUTED_VALUE"""),0.0)</f>
        <v>0</v>
      </c>
      <c r="P174" s="422"/>
      <c r="Q174" s="422"/>
      <c r="R174" s="98"/>
      <c r="S174" s="98" t="str">
        <f>IFERROR(__xludf.DUMMYFUNCTION("""COMPUTED_VALUE"""),"-")</f>
        <v>-</v>
      </c>
      <c r="T174" s="98" t="str">
        <f>IFERROR(__xludf.DUMMYFUNCTION("""COMPUTED_VALUE"""),"Expense Doc and File")</f>
        <v>Expense Doc and File</v>
      </c>
    </row>
    <row r="175">
      <c r="A175" s="422">
        <f>IFERROR(__xludf.DUMMYFUNCTION("""COMPUTED_VALUE"""),173.0)</f>
        <v>173</v>
      </c>
      <c r="B175" s="422" t="str">
        <f>IFERROR(__xludf.DUMMYFUNCTION("""COMPUTED_VALUE"""),"Finance")</f>
        <v>Finance</v>
      </c>
      <c r="C175" s="422" t="str">
        <f>IFERROR(__xludf.DUMMYFUNCTION("""COMPUTED_VALUE"""),"Team 03")</f>
        <v>Team 03</v>
      </c>
      <c r="D175" s="422" t="str">
        <f>IFERROR(__xludf.DUMMYFUNCTION("""COMPUTED_VALUE"""),"Car fuel payment")</f>
        <v>Car fuel payment</v>
      </c>
      <c r="E175" s="422" t="str">
        <f>IFERROR(__xludf.DUMMYFUNCTION("""COMPUTED_VALUE""")," Car Fuel Payment for Feb 2025")</f>
        <v> Car Fuel Payment for Feb 2025</v>
      </c>
      <c r="F175" s="424">
        <f>IFERROR(__xludf.DUMMYFUNCTION("""COMPUTED_VALUE"""),46054.0)</f>
        <v>46054</v>
      </c>
      <c r="G175" s="424">
        <f>IFERROR(__xludf.DUMMYFUNCTION("""COMPUTED_VALUE"""),46058.0)</f>
        <v>46058</v>
      </c>
      <c r="H175" s="422" t="str">
        <f>IFERROR(__xludf.DUMMYFUNCTION("""COMPUTED_VALUE"""),"#REF!")</f>
        <v>#REF!</v>
      </c>
      <c r="I175" s="422"/>
      <c r="J175" s="422"/>
      <c r="K175" s="422"/>
      <c r="L175" s="422"/>
      <c r="M175" s="422"/>
      <c r="N175" s="422"/>
      <c r="O175" s="422">
        <f>IFERROR(__xludf.DUMMYFUNCTION("""COMPUTED_VALUE"""),0.0)</f>
        <v>0</v>
      </c>
      <c r="P175" s="422"/>
      <c r="Q175" s="422"/>
      <c r="R175" s="98"/>
      <c r="S175" s="98" t="str">
        <f>IFERROR(__xludf.DUMMYFUNCTION("""COMPUTED_VALUE"""),"-")</f>
        <v>-</v>
      </c>
      <c r="T175" s="98" t="str">
        <f>IFERROR(__xludf.DUMMYFUNCTION("""COMPUTED_VALUE""")," Car Fuel Payment for Feb 2025")</f>
        <v> Car Fuel Payment for Feb 2025</v>
      </c>
    </row>
    <row r="176">
      <c r="A176" s="422">
        <f>IFERROR(__xludf.DUMMYFUNCTION("""COMPUTED_VALUE"""),174.0)</f>
        <v>174</v>
      </c>
      <c r="B176" s="422" t="str">
        <f>IFERROR(__xludf.DUMMYFUNCTION("""COMPUTED_VALUE"""),"Finance")</f>
        <v>Finance</v>
      </c>
      <c r="C176" s="422" t="str">
        <f>IFERROR(__xludf.DUMMYFUNCTION("""COMPUTED_VALUE"""),"Team 03")</f>
        <v>Team 03</v>
      </c>
      <c r="D176" s="422" t="str">
        <f>IFERROR(__xludf.DUMMYFUNCTION("""COMPUTED_VALUE"""),"EPC Advance")</f>
        <v>EPC Advance</v>
      </c>
      <c r="E176" s="422" t="str">
        <f>IFERROR(__xludf.DUMMYFUNCTION("""COMPUTED_VALUE"""),"Team 03 advance for EPC ")</f>
        <v>Team 03 advance for EPC </v>
      </c>
      <c r="F176" s="424">
        <f>IFERROR(__xludf.DUMMYFUNCTION("""COMPUTED_VALUE"""),46041.0)</f>
        <v>46041</v>
      </c>
      <c r="G176" s="424">
        <f>IFERROR(__xludf.DUMMYFUNCTION("""COMPUTED_VALUE"""),46045.0)</f>
        <v>46045</v>
      </c>
      <c r="H176" s="422" t="str">
        <f>IFERROR(__xludf.DUMMYFUNCTION("""COMPUTED_VALUE"""),"#REF!")</f>
        <v>#REF!</v>
      </c>
      <c r="I176" s="422"/>
      <c r="J176" s="424">
        <f>IFERROR(__xludf.DUMMYFUNCTION("""COMPUTED_VALUE"""),45982.0)</f>
        <v>45982</v>
      </c>
      <c r="K176" s="422"/>
      <c r="L176" s="422"/>
      <c r="M176" s="422" t="str">
        <f>IFERROR(__xludf.DUMMYFUNCTION("""COMPUTED_VALUE"""),"Dep Confirm completion")</f>
        <v>Dep Confirm completion</v>
      </c>
      <c r="N176" s="422"/>
      <c r="O176" s="422">
        <f>IFERROR(__xludf.DUMMYFUNCTION("""COMPUTED_VALUE"""),4.0)</f>
        <v>4</v>
      </c>
      <c r="P176" s="422"/>
      <c r="Q176" s="422"/>
      <c r="R176" s="98"/>
      <c r="S176" s="98" t="str">
        <f>IFERROR(__xludf.DUMMYFUNCTION("""COMPUTED_VALUE"""),"-")</f>
        <v>-</v>
      </c>
      <c r="T176" s="98" t="str">
        <f>IFERROR(__xludf.DUMMYFUNCTION("""COMPUTED_VALUE"""),"Team 03 advance for EPC ")</f>
        <v>Team 03 advance for EPC </v>
      </c>
    </row>
    <row r="177">
      <c r="A177" s="422">
        <f>IFERROR(__xludf.DUMMYFUNCTION("""COMPUTED_VALUE"""),175.0)</f>
        <v>175</v>
      </c>
      <c r="B177" s="422" t="str">
        <f>IFERROR(__xludf.DUMMYFUNCTION("""COMPUTED_VALUE"""),"Finance")</f>
        <v>Finance</v>
      </c>
      <c r="C177" s="422" t="str">
        <f>IFERROR(__xludf.DUMMYFUNCTION("""COMPUTED_VALUE"""),"Team 03")</f>
        <v>Team 03</v>
      </c>
      <c r="D177" s="422" t="str">
        <f>IFERROR(__xludf.DUMMYFUNCTION("""COMPUTED_VALUE"""),"EPC clear")</f>
        <v>EPC clear</v>
      </c>
      <c r="E177" s="422" t="str">
        <f>IFERROR(__xludf.DUMMYFUNCTION("""COMPUTED_VALUE""")," Clear for Jan")</f>
        <v> Clear for Jan</v>
      </c>
      <c r="F177" s="424">
        <f>IFERROR(__xludf.DUMMYFUNCTION("""COMPUTED_VALUE"""),46058.0)</f>
        <v>46058</v>
      </c>
      <c r="G177" s="424">
        <f>IFERROR(__xludf.DUMMYFUNCTION("""COMPUTED_VALUE"""),46063.0)</f>
        <v>46063</v>
      </c>
      <c r="H177" s="422" t="str">
        <f>IFERROR(__xludf.DUMMYFUNCTION("""COMPUTED_VALUE"""),"#REF!")</f>
        <v>#REF!</v>
      </c>
      <c r="I177" s="422"/>
      <c r="J177" s="422"/>
      <c r="K177" s="422"/>
      <c r="L177" s="422"/>
      <c r="M177" s="422"/>
      <c r="N177" s="422"/>
      <c r="O177" s="422">
        <f>IFERROR(__xludf.DUMMYFUNCTION("""COMPUTED_VALUE"""),0.0)</f>
        <v>0</v>
      </c>
      <c r="P177" s="422"/>
      <c r="Q177" s="422"/>
      <c r="R177" s="98"/>
      <c r="S177" s="98" t="str">
        <f>IFERROR(__xludf.DUMMYFUNCTION("""COMPUTED_VALUE"""),"-")</f>
        <v>-</v>
      </c>
      <c r="T177" s="98" t="str">
        <f>IFERROR(__xludf.DUMMYFUNCTION("""COMPUTED_VALUE""")," Clear for Jan")</f>
        <v> Clear for Jan</v>
      </c>
    </row>
    <row r="178">
      <c r="A178" s="422">
        <f>IFERROR(__xludf.DUMMYFUNCTION("""COMPUTED_VALUE"""),176.0)</f>
        <v>176</v>
      </c>
      <c r="B178" s="422" t="str">
        <f>IFERROR(__xludf.DUMMYFUNCTION("""COMPUTED_VALUE"""),"Finance")</f>
        <v>Finance</v>
      </c>
      <c r="C178" s="422" t="str">
        <f>IFERROR(__xludf.DUMMYFUNCTION("""COMPUTED_VALUE"""),"Team 03")</f>
        <v>Team 03</v>
      </c>
      <c r="D178" s="422" t="str">
        <f>IFERROR(__xludf.DUMMYFUNCTION("""COMPUTED_VALUE"""),"EPC Office photo update")</f>
        <v>EPC Office photo update</v>
      </c>
      <c r="E178" s="422" t="str">
        <f>IFERROR(__xludf.DUMMYFUNCTION("""COMPUTED_VALUE""")," Office meter box photo update ")</f>
        <v> Office meter box photo update </v>
      </c>
      <c r="F178" s="424">
        <f>IFERROR(__xludf.DUMMYFUNCTION("""COMPUTED_VALUE"""),46045.0)</f>
        <v>46045</v>
      </c>
      <c r="G178" s="424">
        <f>IFERROR(__xludf.DUMMYFUNCTION("""COMPUTED_VALUE"""),46052.0)</f>
        <v>46052</v>
      </c>
      <c r="H178" s="422" t="str">
        <f>IFERROR(__xludf.DUMMYFUNCTION("""COMPUTED_VALUE"""),"#REF!")</f>
        <v>#REF!</v>
      </c>
      <c r="I178" s="422"/>
      <c r="J178" s="422"/>
      <c r="K178" s="422"/>
      <c r="L178" s="422"/>
      <c r="M178" s="422"/>
      <c r="N178" s="422"/>
      <c r="O178" s="422">
        <f>IFERROR(__xludf.DUMMYFUNCTION("""COMPUTED_VALUE"""),0.0)</f>
        <v>0</v>
      </c>
      <c r="P178" s="422"/>
      <c r="Q178" s="422"/>
      <c r="R178" s="98"/>
      <c r="S178" s="98" t="str">
        <f>IFERROR(__xludf.DUMMYFUNCTION("""COMPUTED_VALUE"""),"-")</f>
        <v>-</v>
      </c>
      <c r="T178" s="98" t="str">
        <f>IFERROR(__xludf.DUMMYFUNCTION("""COMPUTED_VALUE""")," Office meter box photo update ")</f>
        <v> Office meter box photo update </v>
      </c>
    </row>
    <row r="179">
      <c r="A179" s="422">
        <f>IFERROR(__xludf.DUMMYFUNCTION("""COMPUTED_VALUE"""),177.0)</f>
        <v>177</v>
      </c>
      <c r="B179" s="422" t="str">
        <f>IFERROR(__xludf.DUMMYFUNCTION("""COMPUTED_VALUE"""),"Finance")</f>
        <v>Finance</v>
      </c>
      <c r="C179" s="422" t="str">
        <f>IFERROR(__xludf.DUMMYFUNCTION("""COMPUTED_VALUE"""),"Team 03")</f>
        <v>Team 03</v>
      </c>
      <c r="D179" s="422" t="str">
        <f>IFERROR(__xludf.DUMMYFUNCTION("""COMPUTED_VALUE"""),"MDG fuel invoice")</f>
        <v>MDG fuel invoice</v>
      </c>
      <c r="E179" s="422" t="str">
        <f>IFERROR(__xludf.DUMMYFUNCTION("""COMPUTED_VALUE"""),"Team 03 Send MDG fuel invoice for Oct")</f>
        <v>Team 03 Send MDG fuel invoice for Oct</v>
      </c>
      <c r="F179" s="422"/>
      <c r="G179" s="422"/>
      <c r="H179" s="422" t="str">
        <f>IFERROR(__xludf.DUMMYFUNCTION("""COMPUTED_VALUE"""),"VCM276675-Pyae Phyo Zaw")</f>
        <v>VCM276675-Pyae Phyo Zaw</v>
      </c>
      <c r="I179" s="425">
        <f>IFERROR(__xludf.DUMMYFUNCTION("""COMPUTED_VALUE"""),45999.0)</f>
        <v>45999</v>
      </c>
      <c r="J179" s="424">
        <f>IFERROR(__xludf.DUMMYFUNCTION("""COMPUTED_VALUE"""),45999.0)</f>
        <v>45999</v>
      </c>
      <c r="K179" s="422"/>
      <c r="L179" s="422"/>
      <c r="M179" s="422" t="str">
        <f>IFERROR(__xludf.DUMMYFUNCTION("""COMPUTED_VALUE"""),"Dep Confirm completion")</f>
        <v>Dep Confirm completion</v>
      </c>
      <c r="N179" s="422"/>
      <c r="O179" s="422">
        <f>IFERROR(__xludf.DUMMYFUNCTION("""COMPUTED_VALUE"""),0.0)</f>
        <v>0</v>
      </c>
      <c r="P179" s="422"/>
      <c r="Q179" s="422"/>
      <c r="R179" s="98"/>
      <c r="S179" s="98" t="str">
        <f>IFERROR(__xludf.DUMMYFUNCTION("""COMPUTED_VALUE"""),"-")</f>
        <v>-</v>
      </c>
      <c r="T179" s="98" t="str">
        <f>IFERROR(__xludf.DUMMYFUNCTION("""COMPUTED_VALUE"""),"Team 03 Send MDG fuel invoice for Oct")</f>
        <v>Team 03 Send MDG fuel invoice for Oct</v>
      </c>
    </row>
    <row r="180">
      <c r="A180" s="422">
        <f>IFERROR(__xludf.DUMMYFUNCTION("""COMPUTED_VALUE"""),178.0)</f>
        <v>178</v>
      </c>
      <c r="B180" s="422" t="str">
        <f>IFERROR(__xludf.DUMMYFUNCTION("""COMPUTED_VALUE"""),"Finance")</f>
        <v>Finance</v>
      </c>
      <c r="C180" s="422" t="str">
        <f>IFERROR(__xludf.DUMMYFUNCTION("""COMPUTED_VALUE"""),"Team 03")</f>
        <v>Team 03</v>
      </c>
      <c r="D180" s="422" t="str">
        <f>IFERROR(__xludf.DUMMYFUNCTION("""COMPUTED_VALUE"""),"Send Date Expense Doc ")</f>
        <v>Send Date Expense Doc </v>
      </c>
      <c r="E180" s="422" t="str">
        <f>IFERROR(__xludf.DUMMYFUNCTION("""COMPUTED_VALUE"""),"Expense Doc and File")</f>
        <v>Expense Doc and File</v>
      </c>
      <c r="F180" s="424">
        <f>IFERROR(__xludf.DUMMYFUNCTION("""COMPUTED_VALUE"""),46054.0)</f>
        <v>46054</v>
      </c>
      <c r="G180" s="424">
        <f>IFERROR(__xludf.DUMMYFUNCTION("""COMPUTED_VALUE"""),46060.0)</f>
        <v>46060</v>
      </c>
      <c r="H180" s="422" t="str">
        <f>IFERROR(__xludf.DUMMYFUNCTION("""COMPUTED_VALUE"""),"#REF!")</f>
        <v>#REF!</v>
      </c>
      <c r="I180" s="422"/>
      <c r="J180" s="422"/>
      <c r="K180" s="422"/>
      <c r="L180" s="422"/>
      <c r="M180" s="422"/>
      <c r="N180" s="422" t="str">
        <f>IFERROR(__xludf.DUMMYFUNCTION("""COMPUTED_VALUE"""),"Over deadline ")</f>
        <v>Over deadline </v>
      </c>
      <c r="O180" s="422">
        <f>IFERROR(__xludf.DUMMYFUNCTION("""COMPUTED_VALUE"""),0.0)</f>
        <v>0</v>
      </c>
      <c r="P180" s="422"/>
      <c r="Q180" s="422"/>
      <c r="R180" s="98"/>
      <c r="S180" s="98" t="str">
        <f>IFERROR(__xludf.DUMMYFUNCTION("""COMPUTED_VALUE"""),"-")</f>
        <v>-</v>
      </c>
      <c r="T180" s="98" t="str">
        <f>IFERROR(__xludf.DUMMYFUNCTION("""COMPUTED_VALUE"""),"Expense Doc and File")</f>
        <v>Expense Doc and File</v>
      </c>
    </row>
    <row r="181">
      <c r="A181" s="422">
        <f>IFERROR(__xludf.DUMMYFUNCTION("""COMPUTED_VALUE"""),179.0)</f>
        <v>179</v>
      </c>
      <c r="B181" s="422" t="str">
        <f>IFERROR(__xludf.DUMMYFUNCTION("""COMPUTED_VALUE"""),"Finance")</f>
        <v>Finance</v>
      </c>
      <c r="C181" s="422" t="str">
        <f>IFERROR(__xludf.DUMMYFUNCTION("""COMPUTED_VALUE"""),"Team 04")</f>
        <v>Team 04</v>
      </c>
      <c r="D181" s="422" t="str">
        <f>IFERROR(__xludf.DUMMYFUNCTION("""COMPUTED_VALUE"""),"Car fuel payment")</f>
        <v>Car fuel payment</v>
      </c>
      <c r="E181" s="422" t="str">
        <f>IFERROR(__xludf.DUMMYFUNCTION("""COMPUTED_VALUE""")," Car Fuel Payment for Feb 2025")</f>
        <v> Car Fuel Payment for Feb 2025</v>
      </c>
      <c r="F181" s="424">
        <f>IFERROR(__xludf.DUMMYFUNCTION("""COMPUTED_VALUE"""),46054.0)</f>
        <v>46054</v>
      </c>
      <c r="G181" s="424">
        <f>IFERROR(__xludf.DUMMYFUNCTION("""COMPUTED_VALUE"""),46058.0)</f>
        <v>46058</v>
      </c>
      <c r="H181" s="422" t="str">
        <f>IFERROR(__xludf.DUMMYFUNCTION("""COMPUTED_VALUE"""),"#REF!")</f>
        <v>#REF!</v>
      </c>
      <c r="I181" s="422"/>
      <c r="J181" s="422"/>
      <c r="K181" s="422"/>
      <c r="L181" s="422"/>
      <c r="M181" s="422"/>
      <c r="N181" s="422"/>
      <c r="O181" s="422">
        <f>IFERROR(__xludf.DUMMYFUNCTION("""COMPUTED_VALUE"""),0.0)</f>
        <v>0</v>
      </c>
      <c r="P181" s="422"/>
      <c r="Q181" s="422"/>
      <c r="R181" s="98"/>
      <c r="S181" s="98" t="str">
        <f>IFERROR(__xludf.DUMMYFUNCTION("""COMPUTED_VALUE"""),"-")</f>
        <v>-</v>
      </c>
      <c r="T181" s="98" t="str">
        <f>IFERROR(__xludf.DUMMYFUNCTION("""COMPUTED_VALUE""")," Car Fuel Payment for Feb 2025")</f>
        <v> Car Fuel Payment for Feb 2025</v>
      </c>
    </row>
    <row r="182">
      <c r="A182" s="422">
        <f>IFERROR(__xludf.DUMMYFUNCTION("""COMPUTED_VALUE"""),180.0)</f>
        <v>180</v>
      </c>
      <c r="B182" s="422" t="str">
        <f>IFERROR(__xludf.DUMMYFUNCTION("""COMPUTED_VALUE"""),"Finance")</f>
        <v>Finance</v>
      </c>
      <c r="C182" s="422" t="str">
        <f>IFERROR(__xludf.DUMMYFUNCTION("""COMPUTED_VALUE"""),"Team 04")</f>
        <v>Team 04</v>
      </c>
      <c r="D182" s="422" t="str">
        <f>IFERROR(__xludf.DUMMYFUNCTION("""COMPUTED_VALUE"""),"EPC Advance")</f>
        <v>EPC Advance</v>
      </c>
      <c r="E182" s="422" t="str">
        <f>IFERROR(__xludf.DUMMYFUNCTION("""COMPUTED_VALUE"""),"Team 04 advance for EPC ")</f>
        <v>Team 04 advance for EPC </v>
      </c>
      <c r="F182" s="424">
        <f>IFERROR(__xludf.DUMMYFUNCTION("""COMPUTED_VALUE"""),46041.0)</f>
        <v>46041</v>
      </c>
      <c r="G182" s="424">
        <f>IFERROR(__xludf.DUMMYFUNCTION("""COMPUTED_VALUE"""),46045.0)</f>
        <v>46045</v>
      </c>
      <c r="H182" s="422" t="str">
        <f>IFERROR(__xludf.DUMMYFUNCTION("""COMPUTED_VALUE"""),"#REF!")</f>
        <v>#REF!</v>
      </c>
      <c r="I182" s="422"/>
      <c r="J182" s="424">
        <f>IFERROR(__xludf.DUMMYFUNCTION("""COMPUTED_VALUE"""),45983.0)</f>
        <v>45983</v>
      </c>
      <c r="K182" s="422"/>
      <c r="L182" s="422"/>
      <c r="M182" s="422"/>
      <c r="N182" s="422"/>
      <c r="O182" s="422">
        <f>IFERROR(__xludf.DUMMYFUNCTION("""COMPUTED_VALUE"""),0.0)</f>
        <v>0</v>
      </c>
      <c r="P182" s="422"/>
      <c r="Q182" s="422"/>
      <c r="R182" s="98"/>
      <c r="S182" s="98" t="str">
        <f>IFERROR(__xludf.DUMMYFUNCTION("""COMPUTED_VALUE"""),"-")</f>
        <v>-</v>
      </c>
      <c r="T182" s="98" t="str">
        <f>IFERROR(__xludf.DUMMYFUNCTION("""COMPUTED_VALUE"""),"Team 04 advance for EPC ")</f>
        <v>Team 04 advance for EPC </v>
      </c>
    </row>
    <row r="183">
      <c r="A183" s="422">
        <f>IFERROR(__xludf.DUMMYFUNCTION("""COMPUTED_VALUE"""),181.0)</f>
        <v>181</v>
      </c>
      <c r="B183" s="422" t="str">
        <f>IFERROR(__xludf.DUMMYFUNCTION("""COMPUTED_VALUE"""),"Finance")</f>
        <v>Finance</v>
      </c>
      <c r="C183" s="422" t="str">
        <f>IFERROR(__xludf.DUMMYFUNCTION("""COMPUTED_VALUE"""),"Team 04")</f>
        <v>Team 04</v>
      </c>
      <c r="D183" s="422" t="str">
        <f>IFERROR(__xludf.DUMMYFUNCTION("""COMPUTED_VALUE"""),"EPC clear")</f>
        <v>EPC clear</v>
      </c>
      <c r="E183" s="422" t="str">
        <f>IFERROR(__xludf.DUMMYFUNCTION("""COMPUTED_VALUE""")," Clear for Jan")</f>
        <v> Clear for Jan</v>
      </c>
      <c r="F183" s="424">
        <f>IFERROR(__xludf.DUMMYFUNCTION("""COMPUTED_VALUE"""),46058.0)</f>
        <v>46058</v>
      </c>
      <c r="G183" s="424">
        <f>IFERROR(__xludf.DUMMYFUNCTION("""COMPUTED_VALUE"""),46063.0)</f>
        <v>46063</v>
      </c>
      <c r="H183" s="422" t="str">
        <f>IFERROR(__xludf.DUMMYFUNCTION("""COMPUTED_VALUE"""),"#REF!")</f>
        <v>#REF!</v>
      </c>
      <c r="I183" s="422"/>
      <c r="J183" s="422"/>
      <c r="K183" s="422"/>
      <c r="L183" s="422"/>
      <c r="M183" s="422"/>
      <c r="N183" s="422" t="str">
        <f>IFERROR(__xludf.DUMMYFUNCTION("""COMPUTED_VALUE"""),"Over deadline")</f>
        <v>Over deadline</v>
      </c>
      <c r="O183" s="422">
        <f>IFERROR(__xludf.DUMMYFUNCTION("""COMPUTED_VALUE"""),0.0)</f>
        <v>0</v>
      </c>
      <c r="P183" s="422"/>
      <c r="Q183" s="422"/>
      <c r="R183" s="98"/>
      <c r="S183" s="98" t="str">
        <f>IFERROR(__xludf.DUMMYFUNCTION("""COMPUTED_VALUE"""),"-")</f>
        <v>-</v>
      </c>
      <c r="T183" s="98" t="str">
        <f>IFERROR(__xludf.DUMMYFUNCTION("""COMPUTED_VALUE""")," Clear for Jan")</f>
        <v> Clear for Jan</v>
      </c>
    </row>
    <row r="184">
      <c r="A184" s="422">
        <f>IFERROR(__xludf.DUMMYFUNCTION("""COMPUTED_VALUE"""),182.0)</f>
        <v>182</v>
      </c>
      <c r="B184" s="422" t="str">
        <f>IFERROR(__xludf.DUMMYFUNCTION("""COMPUTED_VALUE"""),"Finance")</f>
        <v>Finance</v>
      </c>
      <c r="C184" s="422" t="str">
        <f>IFERROR(__xludf.DUMMYFUNCTION("""COMPUTED_VALUE"""),"Team 04")</f>
        <v>Team 04</v>
      </c>
      <c r="D184" s="422" t="str">
        <f>IFERROR(__xludf.DUMMYFUNCTION("""COMPUTED_VALUE"""),"EPC Office photo update")</f>
        <v>EPC Office photo update</v>
      </c>
      <c r="E184" s="422" t="str">
        <f>IFERROR(__xludf.DUMMYFUNCTION("""COMPUTED_VALUE"""),"Team 4 Office meter box photo update ")</f>
        <v>Team 4 Office meter box photo update </v>
      </c>
      <c r="F184" s="424">
        <f>IFERROR(__xludf.DUMMYFUNCTION("""COMPUTED_VALUE"""),46045.0)</f>
        <v>46045</v>
      </c>
      <c r="G184" s="424">
        <f>IFERROR(__xludf.DUMMYFUNCTION("""COMPUTED_VALUE"""),46052.0)</f>
        <v>46052</v>
      </c>
      <c r="H184" s="422" t="str">
        <f>IFERROR(__xludf.DUMMYFUNCTION("""COMPUTED_VALUE"""),"VCM277678-Naing Myo Htun")</f>
        <v>VCM277678-Naing Myo Htun</v>
      </c>
      <c r="I184" s="425">
        <f>IFERROR(__xludf.DUMMYFUNCTION("""COMPUTED_VALUE"""),46052.0)</f>
        <v>46052</v>
      </c>
      <c r="J184" s="424">
        <f>IFERROR(__xludf.DUMMYFUNCTION("""COMPUTED_VALUE"""),46052.0)</f>
        <v>46052</v>
      </c>
      <c r="K184" s="422"/>
      <c r="L184" s="422"/>
      <c r="M184" s="422"/>
      <c r="N184" s="422"/>
      <c r="O184" s="422">
        <f>IFERROR(__xludf.DUMMYFUNCTION("""COMPUTED_VALUE"""),0.0)</f>
        <v>0</v>
      </c>
      <c r="P184" s="422"/>
      <c r="Q184" s="422"/>
      <c r="R184" s="98"/>
      <c r="S184" s="98" t="str">
        <f>IFERROR(__xludf.DUMMYFUNCTION("""COMPUTED_VALUE"""),"-")</f>
        <v>-</v>
      </c>
      <c r="T184" s="98" t="str">
        <f>IFERROR(__xludf.DUMMYFUNCTION("""COMPUTED_VALUE"""),"Team 4 Office meter box photo update ")</f>
        <v>Team 4 Office meter box photo update </v>
      </c>
    </row>
    <row r="185">
      <c r="A185" s="422">
        <f>IFERROR(__xludf.DUMMYFUNCTION("""COMPUTED_VALUE"""),183.0)</f>
        <v>183</v>
      </c>
      <c r="B185" s="422" t="str">
        <f>IFERROR(__xludf.DUMMYFUNCTION("""COMPUTED_VALUE"""),"Finance")</f>
        <v>Finance</v>
      </c>
      <c r="C185" s="422" t="str">
        <f>IFERROR(__xludf.DUMMYFUNCTION("""COMPUTED_VALUE"""),"Team 04")</f>
        <v>Team 04</v>
      </c>
      <c r="D185" s="422" t="str">
        <f>IFERROR(__xludf.DUMMYFUNCTION("""COMPUTED_VALUE"""),"Send Date Expense Doc ")</f>
        <v>Send Date Expense Doc </v>
      </c>
      <c r="E185" s="422" t="str">
        <f>IFERROR(__xludf.DUMMYFUNCTION("""COMPUTED_VALUE"""),"Expense Doc and File")</f>
        <v>Expense Doc and File</v>
      </c>
      <c r="F185" s="424">
        <f>IFERROR(__xludf.DUMMYFUNCTION("""COMPUTED_VALUE"""),46054.0)</f>
        <v>46054</v>
      </c>
      <c r="G185" s="424">
        <f>IFERROR(__xludf.DUMMYFUNCTION("""COMPUTED_VALUE"""),46060.0)</f>
        <v>46060</v>
      </c>
      <c r="H185" s="422" t="str">
        <f>IFERROR(__xludf.DUMMYFUNCTION("""COMPUTED_VALUE"""),"#REF!")</f>
        <v>#REF!</v>
      </c>
      <c r="I185" s="422"/>
      <c r="J185" s="422"/>
      <c r="K185" s="422"/>
      <c r="L185" s="422"/>
      <c r="M185" s="422"/>
      <c r="N185" s="422" t="str">
        <f>IFERROR(__xludf.DUMMYFUNCTION("""COMPUTED_VALUE"""),"Over deadline and not completet doc")</f>
        <v>Over deadline and not completet doc</v>
      </c>
      <c r="O185" s="422">
        <f>IFERROR(__xludf.DUMMYFUNCTION("""COMPUTED_VALUE"""),0.0)</f>
        <v>0</v>
      </c>
      <c r="P185" s="422"/>
      <c r="Q185" s="422"/>
      <c r="R185" s="98"/>
      <c r="S185" s="98" t="str">
        <f>IFERROR(__xludf.DUMMYFUNCTION("""COMPUTED_VALUE"""),"-")</f>
        <v>-</v>
      </c>
      <c r="T185" s="98" t="str">
        <f>IFERROR(__xludf.DUMMYFUNCTION("""COMPUTED_VALUE"""),"Expense Doc and File")</f>
        <v>Expense Doc and File</v>
      </c>
    </row>
    <row r="186">
      <c r="A186" s="422">
        <f>IFERROR(__xludf.DUMMYFUNCTION("""COMPUTED_VALUE"""),184.0)</f>
        <v>184</v>
      </c>
      <c r="B186" s="422" t="str">
        <f>IFERROR(__xludf.DUMMYFUNCTION("""COMPUTED_VALUE"""),"Finance")</f>
        <v>Finance</v>
      </c>
      <c r="C186" s="422" t="str">
        <f>IFERROR(__xludf.DUMMYFUNCTION("""COMPUTED_VALUE"""),"Team 05")</f>
        <v>Team 05</v>
      </c>
      <c r="D186" s="422" t="str">
        <f>IFERROR(__xludf.DUMMYFUNCTION("""COMPUTED_VALUE"""),"Car fuel payment")</f>
        <v>Car fuel payment</v>
      </c>
      <c r="E186" s="422" t="str">
        <f>IFERROR(__xludf.DUMMYFUNCTION("""COMPUTED_VALUE""")," Car Fuel Payment for Feb 2025")</f>
        <v> Car Fuel Payment for Feb 2025</v>
      </c>
      <c r="F186" s="424">
        <f>IFERROR(__xludf.DUMMYFUNCTION("""COMPUTED_VALUE"""),46054.0)</f>
        <v>46054</v>
      </c>
      <c r="G186" s="424">
        <f>IFERROR(__xludf.DUMMYFUNCTION("""COMPUTED_VALUE"""),46058.0)</f>
        <v>46058</v>
      </c>
      <c r="H186" s="422" t="str">
        <f>IFERROR(__xludf.DUMMYFUNCTION("""COMPUTED_VALUE"""),"#REF!")</f>
        <v>#REF!</v>
      </c>
      <c r="I186" s="422"/>
      <c r="J186" s="422"/>
      <c r="K186" s="422"/>
      <c r="L186" s="422"/>
      <c r="M186" s="422"/>
      <c r="N186" s="422"/>
      <c r="O186" s="422">
        <f>IFERROR(__xludf.DUMMYFUNCTION("""COMPUTED_VALUE"""),0.0)</f>
        <v>0</v>
      </c>
      <c r="P186" s="422"/>
      <c r="Q186" s="422"/>
      <c r="R186" s="98"/>
      <c r="S186" s="98" t="str">
        <f>IFERROR(__xludf.DUMMYFUNCTION("""COMPUTED_VALUE"""),"-")</f>
        <v>-</v>
      </c>
      <c r="T186" s="98" t="str">
        <f>IFERROR(__xludf.DUMMYFUNCTION("""COMPUTED_VALUE""")," Car Fuel Payment for Feb 2025")</f>
        <v> Car Fuel Payment for Feb 2025</v>
      </c>
    </row>
    <row r="187">
      <c r="A187" s="422">
        <f>IFERROR(__xludf.DUMMYFUNCTION("""COMPUTED_VALUE"""),185.0)</f>
        <v>185</v>
      </c>
      <c r="B187" s="422" t="str">
        <f>IFERROR(__xludf.DUMMYFUNCTION("""COMPUTED_VALUE"""),"Finance")</f>
        <v>Finance</v>
      </c>
      <c r="C187" s="422" t="str">
        <f>IFERROR(__xludf.DUMMYFUNCTION("""COMPUTED_VALUE"""),"Team 05")</f>
        <v>Team 05</v>
      </c>
      <c r="D187" s="422" t="str">
        <f>IFERROR(__xludf.DUMMYFUNCTION("""COMPUTED_VALUE"""),"EPC Office photo update")</f>
        <v>EPC Office photo update</v>
      </c>
      <c r="E187" s="422" t="str">
        <f>IFERROR(__xludf.DUMMYFUNCTION("""COMPUTED_VALUE"""),"Team 5 Office meter box photo update ")</f>
        <v>Team 5 Office meter box photo update </v>
      </c>
      <c r="F187" s="424">
        <f>IFERROR(__xludf.DUMMYFUNCTION("""COMPUTED_VALUE"""),46045.0)</f>
        <v>46045</v>
      </c>
      <c r="G187" s="424">
        <f>IFERROR(__xludf.DUMMYFUNCTION("""COMPUTED_VALUE"""),46052.0)</f>
        <v>46052</v>
      </c>
      <c r="H187" s="422"/>
      <c r="I187" s="422"/>
      <c r="J187" s="422"/>
      <c r="K187" s="422"/>
      <c r="L187" s="422"/>
      <c r="M187" s="422"/>
      <c r="N187" s="422"/>
      <c r="O187" s="422">
        <f>IFERROR(__xludf.DUMMYFUNCTION("""COMPUTED_VALUE"""),0.0)</f>
        <v>0</v>
      </c>
      <c r="P187" s="422"/>
      <c r="Q187" s="422"/>
      <c r="R187" s="98"/>
      <c r="S187" s="98" t="str">
        <f>IFERROR(__xludf.DUMMYFUNCTION("""COMPUTED_VALUE"""),"-")</f>
        <v>-</v>
      </c>
      <c r="T187" s="98" t="str">
        <f>IFERROR(__xludf.DUMMYFUNCTION("""COMPUTED_VALUE"""),"Team 5 Office meter box photo update ")</f>
        <v>Team 5 Office meter box photo update </v>
      </c>
    </row>
    <row r="188">
      <c r="A188" s="422">
        <f>IFERROR(__xludf.DUMMYFUNCTION("""COMPUTED_VALUE"""),186.0)</f>
        <v>186</v>
      </c>
      <c r="B188" s="422" t="str">
        <f>IFERROR(__xludf.DUMMYFUNCTION("""COMPUTED_VALUE"""),"Finance")</f>
        <v>Finance</v>
      </c>
      <c r="C188" s="422" t="str">
        <f>IFERROR(__xludf.DUMMYFUNCTION("""COMPUTED_VALUE"""),"Team 05")</f>
        <v>Team 05</v>
      </c>
      <c r="D188" s="422" t="str">
        <f>IFERROR(__xludf.DUMMYFUNCTION("""COMPUTED_VALUE"""),"MDG fuel invoice")</f>
        <v>MDG fuel invoice</v>
      </c>
      <c r="E188" s="422" t="str">
        <f>IFERROR(__xludf.DUMMYFUNCTION("""COMPUTED_VALUE"""),"Team 05 Send MDG fuel invoice for Oct")</f>
        <v>Team 05 Send MDG fuel invoice for Oct</v>
      </c>
      <c r="F188" s="422"/>
      <c r="G188" s="422"/>
      <c r="H188" s="422" t="str">
        <f>IFERROR(__xludf.DUMMYFUNCTION("""COMPUTED_VALUE"""),"VCM290207-Min Paing Oo")</f>
        <v>VCM290207-Min Paing Oo</v>
      </c>
      <c r="I188" s="425">
        <f>IFERROR(__xludf.DUMMYFUNCTION("""COMPUTED_VALUE"""),46039.0)</f>
        <v>46039</v>
      </c>
      <c r="J188" s="422"/>
      <c r="K188" s="422"/>
      <c r="L188" s="422"/>
      <c r="M188" s="422" t="str">
        <f>IFERROR(__xludf.DUMMYFUNCTION("""COMPUTED_VALUE"""),"Dep Confirm completion")</f>
        <v>Dep Confirm completion</v>
      </c>
      <c r="N188" s="422"/>
      <c r="O188" s="422">
        <f>IFERROR(__xludf.DUMMYFUNCTION("""COMPUTED_VALUE"""),0.0)</f>
        <v>0</v>
      </c>
      <c r="P188" s="422"/>
      <c r="Q188" s="422"/>
      <c r="R188" s="98"/>
      <c r="S188" s="98" t="str">
        <f>IFERROR(__xludf.DUMMYFUNCTION("""COMPUTED_VALUE"""),"-")</f>
        <v>-</v>
      </c>
      <c r="T188" s="98" t="str">
        <f>IFERROR(__xludf.DUMMYFUNCTION("""COMPUTED_VALUE"""),"Team 05 Send MDG fuel invoice for Oct")</f>
        <v>Team 05 Send MDG fuel invoice for Oct</v>
      </c>
    </row>
    <row r="189">
      <c r="A189" s="422">
        <f>IFERROR(__xludf.DUMMYFUNCTION("""COMPUTED_VALUE"""),187.0)</f>
        <v>187</v>
      </c>
      <c r="B189" s="422" t="str">
        <f>IFERROR(__xludf.DUMMYFUNCTION("""COMPUTED_VALUE"""),"Finance")</f>
        <v>Finance</v>
      </c>
      <c r="C189" s="422" t="str">
        <f>IFERROR(__xludf.DUMMYFUNCTION("""COMPUTED_VALUE"""),"Team 05")</f>
        <v>Team 05</v>
      </c>
      <c r="D189" s="422" t="str">
        <f>IFERROR(__xludf.DUMMYFUNCTION("""COMPUTED_VALUE"""),"Send Date Expense Doc ")</f>
        <v>Send Date Expense Doc </v>
      </c>
      <c r="E189" s="422" t="str">
        <f>IFERROR(__xludf.DUMMYFUNCTION("""COMPUTED_VALUE"""),"Expense Doc and File")</f>
        <v>Expense Doc and File</v>
      </c>
      <c r="F189" s="424">
        <f>IFERROR(__xludf.DUMMYFUNCTION("""COMPUTED_VALUE"""),46054.0)</f>
        <v>46054</v>
      </c>
      <c r="G189" s="424">
        <f>IFERROR(__xludf.DUMMYFUNCTION("""COMPUTED_VALUE"""),46060.0)</f>
        <v>46060</v>
      </c>
      <c r="H189" s="422" t="str">
        <f>IFERROR(__xludf.DUMMYFUNCTION("""COMPUTED_VALUE"""),"#REF!")</f>
        <v>#REF!</v>
      </c>
      <c r="I189" s="422"/>
      <c r="J189" s="422"/>
      <c r="K189" s="422"/>
      <c r="L189" s="422"/>
      <c r="M189" s="422"/>
      <c r="N189" s="422" t="str">
        <f>IFERROR(__xludf.DUMMYFUNCTION("""COMPUTED_VALUE"""),"Don't send Doc and don't inform any reason ")</f>
        <v>Don't send Doc and don't inform any reason </v>
      </c>
      <c r="O189" s="422">
        <f>IFERROR(__xludf.DUMMYFUNCTION("""COMPUTED_VALUE"""),0.0)</f>
        <v>0</v>
      </c>
      <c r="P189" s="422"/>
      <c r="Q189" s="422"/>
      <c r="R189" s="98"/>
      <c r="S189" s="98" t="str">
        <f>IFERROR(__xludf.DUMMYFUNCTION("""COMPUTED_VALUE"""),"-")</f>
        <v>-</v>
      </c>
      <c r="T189" s="98" t="str">
        <f>IFERROR(__xludf.DUMMYFUNCTION("""COMPUTED_VALUE"""),"Expense Doc and File")</f>
        <v>Expense Doc and File</v>
      </c>
    </row>
    <row r="190">
      <c r="A190" s="422">
        <f>IFERROR(__xludf.DUMMYFUNCTION("""COMPUTED_VALUE"""),188.0)</f>
        <v>188</v>
      </c>
      <c r="B190" s="422" t="str">
        <f>IFERROR(__xludf.DUMMYFUNCTION("""COMPUTED_VALUE"""),"M&amp;E")</f>
        <v>M&amp;E</v>
      </c>
      <c r="C190" s="422" t="str">
        <f>IFERROR(__xludf.DUMMYFUNCTION("""COMPUTED_VALUE"""),"Team 01")</f>
        <v>Team 01</v>
      </c>
      <c r="D190" s="422" t="str">
        <f>IFERROR(__xludf.DUMMYFUNCTION("""COMPUTED_VALUE"""),"Check DG run long time")</f>
        <v>Check DG run long time</v>
      </c>
      <c r="E190" s="422" t="str">
        <f>IFERROR(__xludf.DUMMYFUNCTION("""COMPUTED_VALUE"""),"TNI0211 Need to check DG non stop running")</f>
        <v>TNI0211 Need to check DG non stop running</v>
      </c>
      <c r="F190" s="424">
        <f>IFERROR(__xludf.DUMMYFUNCTION("""COMPUTED_VALUE"""),46133.0)</f>
        <v>46133</v>
      </c>
      <c r="G190" s="424">
        <f>IFERROR(__xludf.DUMMYFUNCTION("""COMPUTED_VALUE"""),46138.0)</f>
        <v>46138</v>
      </c>
      <c r="H190" s="422"/>
      <c r="I190" s="422"/>
      <c r="J190" s="422"/>
      <c r="K190" s="422"/>
      <c r="L190" s="422"/>
      <c r="M190" s="422"/>
      <c r="N190" s="422"/>
      <c r="O190" s="422"/>
      <c r="P190" s="422">
        <f>IFERROR(__xludf.DUMMYFUNCTION("""COMPUTED_VALUE"""),0.0)</f>
        <v>0</v>
      </c>
      <c r="Q190" s="422"/>
      <c r="R190" s="98"/>
      <c r="S190" s="98" t="str">
        <f>IFERROR(__xludf.DUMMYFUNCTION("""COMPUTED_VALUE"""),"myt_bonemyat.naing1")</f>
        <v>myt_bonemyat.naing1</v>
      </c>
      <c r="T190" s="98" t="str">
        <f>IFERROR(__xludf.DUMMYFUNCTION("""COMPUTED_VALUE"""),"TNI0211")</f>
        <v>TNI0211</v>
      </c>
    </row>
    <row r="191">
      <c r="A191" s="422">
        <f>IFERROR(__xludf.DUMMYFUNCTION("""COMPUTED_VALUE"""),189.0)</f>
        <v>189</v>
      </c>
      <c r="B191" s="422" t="str">
        <f>IFERROR(__xludf.DUMMYFUNCTION("""COMPUTED_VALUE"""),"M&amp;E")</f>
        <v>M&amp;E</v>
      </c>
      <c r="C191" s="422" t="str">
        <f>IFERROR(__xludf.DUMMYFUNCTION("""COMPUTED_VALUE"""),"Team 01")</f>
        <v>Team 01</v>
      </c>
      <c r="D191" s="422" t="str">
        <f>IFERROR(__xludf.DUMMYFUNCTION("""COMPUTED_VALUE"""),"Check DG run long time")</f>
        <v>Check DG run long time</v>
      </c>
      <c r="E191" s="422" t="str">
        <f>IFERROR(__xludf.DUMMYFUNCTION("""COMPUTED_VALUE"""),"TNI0031 Need to check DG non stop running")</f>
        <v>TNI0031 Need to check DG non stop running</v>
      </c>
      <c r="F191" s="424">
        <f>IFERROR(__xludf.DUMMYFUNCTION("""COMPUTED_VALUE"""),46133.0)</f>
        <v>46133</v>
      </c>
      <c r="G191" s="424">
        <f>IFERROR(__xludf.DUMMYFUNCTION("""COMPUTED_VALUE"""),46138.0)</f>
        <v>46138</v>
      </c>
      <c r="H191" s="422"/>
      <c r="I191" s="422"/>
      <c r="J191" s="422"/>
      <c r="K191" s="422"/>
      <c r="L191" s="422"/>
      <c r="M191" s="422"/>
      <c r="N191" s="422"/>
      <c r="O191" s="422"/>
      <c r="P191" s="422">
        <f>IFERROR(__xludf.DUMMYFUNCTION("""COMPUTED_VALUE"""),0.0)</f>
        <v>0</v>
      </c>
      <c r="Q191" s="422"/>
      <c r="R191" s="98"/>
      <c r="S191" s="98" t="str">
        <f>IFERROR(__xludf.DUMMYFUNCTION("""COMPUTED_VALUE"""),"myt_bonemyat.naing1")</f>
        <v>myt_bonemyat.naing1</v>
      </c>
      <c r="T191" s="98" t="str">
        <f>IFERROR(__xludf.DUMMYFUNCTION("""COMPUTED_VALUE"""),"TNI0031")</f>
        <v>TNI0031</v>
      </c>
    </row>
    <row r="192">
      <c r="A192" s="422">
        <f>IFERROR(__xludf.DUMMYFUNCTION("""COMPUTED_VALUE"""),190.0)</f>
        <v>190</v>
      </c>
      <c r="B192" s="422" t="str">
        <f>IFERROR(__xludf.DUMMYFUNCTION("""COMPUTED_VALUE"""),"M&amp;E")</f>
        <v>M&amp;E</v>
      </c>
      <c r="C192" s="422" t="str">
        <f>IFERROR(__xludf.DUMMYFUNCTION("""COMPUTED_VALUE"""),"Team 01")</f>
        <v>Team 01</v>
      </c>
      <c r="D192" s="422" t="str">
        <f>IFERROR(__xludf.DUMMYFUNCTION("""COMPUTED_VALUE"""),"Check DG run long time")</f>
        <v>Check DG run long time</v>
      </c>
      <c r="E192" s="422" t="str">
        <f>IFERROR(__xludf.DUMMYFUNCTION("""COMPUTED_VALUE"""),"TNI0328 Need to check DG non stop running")</f>
        <v>TNI0328 Need to check DG non stop running</v>
      </c>
      <c r="F192" s="424">
        <f>IFERROR(__xludf.DUMMYFUNCTION("""COMPUTED_VALUE"""),46133.0)</f>
        <v>46133</v>
      </c>
      <c r="G192" s="424">
        <f>IFERROR(__xludf.DUMMYFUNCTION("""COMPUTED_VALUE"""),46138.0)</f>
        <v>46138</v>
      </c>
      <c r="H192" s="422"/>
      <c r="I192" s="422"/>
      <c r="J192" s="422"/>
      <c r="K192" s="422"/>
      <c r="L192" s="422"/>
      <c r="M192" s="422"/>
      <c r="N192" s="422"/>
      <c r="O192" s="422"/>
      <c r="P192" s="422">
        <f>IFERROR(__xludf.DUMMYFUNCTION("""COMPUTED_VALUE"""),0.0)</f>
        <v>0</v>
      </c>
      <c r="Q192" s="422"/>
      <c r="R192" s="98"/>
      <c r="S192" s="98" t="str">
        <f>IFERROR(__xludf.DUMMYFUNCTION("""COMPUTED_VALUE"""),"myt_bonemyat.naing1")</f>
        <v>myt_bonemyat.naing1</v>
      </c>
      <c r="T192" s="98" t="str">
        <f>IFERROR(__xludf.DUMMYFUNCTION("""COMPUTED_VALUE"""),"TNI0328")</f>
        <v>TNI0328</v>
      </c>
    </row>
    <row r="193">
      <c r="A193" s="422">
        <f>IFERROR(__xludf.DUMMYFUNCTION("""COMPUTED_VALUE"""),191.0)</f>
        <v>191</v>
      </c>
      <c r="B193" s="422" t="str">
        <f>IFERROR(__xludf.DUMMYFUNCTION("""COMPUTED_VALUE"""),"M&amp;E")</f>
        <v>M&amp;E</v>
      </c>
      <c r="C193" s="422" t="str">
        <f>IFERROR(__xludf.DUMMYFUNCTION("""COMPUTED_VALUE"""),"Team 01")</f>
        <v>Team 01</v>
      </c>
      <c r="D193" s="422" t="str">
        <f>IFERROR(__xludf.DUMMYFUNCTION("""COMPUTED_VALUE"""),"Check DG run long time")</f>
        <v>Check DG run long time</v>
      </c>
      <c r="E193" s="422" t="str">
        <f>IFERROR(__xludf.DUMMYFUNCTION("""COMPUTED_VALUE"""),"TNI0185  Need to check DG cannot set auto mode")</f>
        <v>TNI0185  Need to check DG cannot set auto mode</v>
      </c>
      <c r="F193" s="424">
        <f>IFERROR(__xludf.DUMMYFUNCTION("""COMPUTED_VALUE"""),46133.0)</f>
        <v>46133</v>
      </c>
      <c r="G193" s="424">
        <f>IFERROR(__xludf.DUMMYFUNCTION("""COMPUTED_VALUE"""),46138.0)</f>
        <v>46138</v>
      </c>
      <c r="H193" s="422"/>
      <c r="I193" s="422"/>
      <c r="J193" s="422"/>
      <c r="K193" s="422"/>
      <c r="L193" s="422"/>
      <c r="M193" s="422"/>
      <c r="N193" s="422"/>
      <c r="O193" s="422"/>
      <c r="P193" s="422">
        <f>IFERROR(__xludf.DUMMYFUNCTION("""COMPUTED_VALUE"""),0.0)</f>
        <v>0</v>
      </c>
      <c r="Q193" s="422"/>
      <c r="R193" s="98"/>
      <c r="S193" s="98" t="str">
        <f>IFERROR(__xludf.DUMMYFUNCTION("""COMPUTED_VALUE"""),"Thu Rain Niang")</f>
        <v>Thu Rain Niang</v>
      </c>
      <c r="T193" s="98" t="str">
        <f>IFERROR(__xludf.DUMMYFUNCTION("""COMPUTED_VALUE"""),"TNI0185")</f>
        <v>TNI0185</v>
      </c>
    </row>
    <row r="194">
      <c r="A194" s="422">
        <f>IFERROR(__xludf.DUMMYFUNCTION("""COMPUTED_VALUE"""),192.0)</f>
        <v>192</v>
      </c>
      <c r="B194" s="422" t="str">
        <f>IFERROR(__xludf.DUMMYFUNCTION("""COMPUTED_VALUE"""),"M&amp;E")</f>
        <v>M&amp;E</v>
      </c>
      <c r="C194" s="422" t="str">
        <f>IFERROR(__xludf.DUMMYFUNCTION("""COMPUTED_VALUE"""),"Team 01")</f>
        <v>Team 01</v>
      </c>
      <c r="D194" s="422" t="str">
        <f>IFERROR(__xludf.DUMMYFUNCTION("""COMPUTED_VALUE"""),"DG Starter Battery")</f>
        <v>DG Starter Battery</v>
      </c>
      <c r="E194" s="422" t="str">
        <f>IFERROR(__xludf.DUMMYFUNCTION("""COMPUTED_VALUE"""),"TNI0038 Need to confirm DG starter battery changing finish sites with M&amp;E")</f>
        <v>TNI0038 Need to confirm DG starter battery changing finish sites with M&amp;E</v>
      </c>
      <c r="F194" s="424">
        <f>IFERROR(__xludf.DUMMYFUNCTION("""COMPUTED_VALUE"""),45992.0)</f>
        <v>45992</v>
      </c>
      <c r="G194" s="424">
        <f>IFERROR(__xludf.DUMMYFUNCTION("""COMPUTED_VALUE"""),46011.0)</f>
        <v>46011</v>
      </c>
      <c r="H194" s="422" t="str">
        <f>IFERROR(__xludf.DUMMYFUNCTION("""COMPUTED_VALUE"""),"VCM825430-Aung Thin Myat")</f>
        <v>VCM825430-Aung Thin Myat</v>
      </c>
      <c r="I194" s="425">
        <f>IFERROR(__xludf.DUMMYFUNCTION("""COMPUTED_VALUE"""),46075.0)</f>
        <v>46075</v>
      </c>
      <c r="J194" s="422"/>
      <c r="K194" s="422"/>
      <c r="L194" s="422"/>
      <c r="M194" s="422"/>
      <c r="N194" s="422"/>
      <c r="O194" s="422">
        <f>IFERROR(__xludf.DUMMYFUNCTION("""COMPUTED_VALUE"""),0.0)</f>
        <v>0</v>
      </c>
      <c r="P194" s="422">
        <f>IFERROR(__xludf.DUMMYFUNCTION("""COMPUTED_VALUE"""),0.0)</f>
        <v>0</v>
      </c>
      <c r="Q194" s="422"/>
      <c r="R194" s="98"/>
      <c r="S194" s="98" t="str">
        <f>IFERROR(__xludf.DUMMYFUNCTION("""COMPUTED_VALUE"""),"myt_bonemyat.naing1")</f>
        <v>myt_bonemyat.naing1</v>
      </c>
      <c r="T194" s="98" t="str">
        <f>IFERROR(__xludf.DUMMYFUNCTION("""COMPUTED_VALUE"""),"TNI0038")</f>
        <v>TNI0038</v>
      </c>
    </row>
    <row r="195">
      <c r="A195" s="422">
        <f>IFERROR(__xludf.DUMMYFUNCTION("""COMPUTED_VALUE"""),193.0)</f>
        <v>193</v>
      </c>
      <c r="B195" s="422" t="str">
        <f>IFERROR(__xludf.DUMMYFUNCTION("""COMPUTED_VALUE"""),"M&amp;E")</f>
        <v>M&amp;E</v>
      </c>
      <c r="C195" s="422" t="str">
        <f>IFERROR(__xludf.DUMMYFUNCTION("""COMPUTED_VALUE"""),"Team 01")</f>
        <v>Team 01</v>
      </c>
      <c r="D195" s="422" t="str">
        <f>IFERROR(__xludf.DUMMYFUNCTION("""COMPUTED_VALUE"""),"DG Starter Battery")</f>
        <v>DG Starter Battery</v>
      </c>
      <c r="E195" s="422" t="str">
        <f>IFERROR(__xludf.DUMMYFUNCTION("""COMPUTED_VALUE"""),"TNI0051 Need to confirm DG starter battery changing finish sites with M&amp;E ")</f>
        <v>TNI0051 Need to confirm DG starter battery changing finish sites with M&amp;E </v>
      </c>
      <c r="F195" s="424">
        <f>IFERROR(__xludf.DUMMYFUNCTION("""COMPUTED_VALUE"""),45992.0)</f>
        <v>45992</v>
      </c>
      <c r="G195" s="424">
        <f>IFERROR(__xludf.DUMMYFUNCTION("""COMPUTED_VALUE"""),46011.0)</f>
        <v>46011</v>
      </c>
      <c r="H195" s="422" t="str">
        <f>IFERROR(__xludf.DUMMYFUNCTION("""COMPUTED_VALUE"""),"VCM825430-Aung Thin Myat")</f>
        <v>VCM825430-Aung Thin Myat</v>
      </c>
      <c r="I195" s="425">
        <f>IFERROR(__xludf.DUMMYFUNCTION("""COMPUTED_VALUE"""),46198.0)</f>
        <v>46198</v>
      </c>
      <c r="J195" s="424">
        <f>IFERROR(__xludf.DUMMYFUNCTION("""COMPUTED_VALUE"""),46198.0)</f>
        <v>46198</v>
      </c>
      <c r="K195" s="422"/>
      <c r="L195" s="422"/>
      <c r="M195" s="422" t="str">
        <f>IFERROR(__xludf.DUMMYFUNCTION("""COMPUTED_VALUE"""),"Dep Confirm completion")</f>
        <v>Dep Confirm completion</v>
      </c>
      <c r="N195" s="422"/>
      <c r="O195" s="422">
        <f>IFERROR(__xludf.DUMMYFUNCTION("""COMPUTED_VALUE"""),1.0)</f>
        <v>1</v>
      </c>
      <c r="P195" s="422">
        <f>IFERROR(__xludf.DUMMYFUNCTION("""COMPUTED_VALUE"""),0.0)</f>
        <v>0</v>
      </c>
      <c r="Q195" s="422"/>
      <c r="R195" s="98"/>
      <c r="S195" s="98" t="str">
        <f>IFERROR(__xludf.DUMMYFUNCTION("""COMPUTED_VALUE"""),"myt_bonemyat.naing1")</f>
        <v>myt_bonemyat.naing1</v>
      </c>
      <c r="T195" s="98" t="str">
        <f>IFERROR(__xludf.DUMMYFUNCTION("""COMPUTED_VALUE"""),"TNI0051")</f>
        <v>TNI0051</v>
      </c>
    </row>
    <row r="196">
      <c r="A196" s="422">
        <f>IFERROR(__xludf.DUMMYFUNCTION("""COMPUTED_VALUE"""),194.0)</f>
        <v>194</v>
      </c>
      <c r="B196" s="422" t="str">
        <f>IFERROR(__xludf.DUMMYFUNCTION("""COMPUTED_VALUE"""),"M&amp;E")</f>
        <v>M&amp;E</v>
      </c>
      <c r="C196" s="422" t="str">
        <f>IFERROR(__xludf.DUMMYFUNCTION("""COMPUTED_VALUE"""),"Team 01")</f>
        <v>Team 01</v>
      </c>
      <c r="D196" s="422" t="str">
        <f>IFERROR(__xludf.DUMMYFUNCTION("""COMPUTED_VALUE"""),"DG Starter Battery")</f>
        <v>DG Starter Battery</v>
      </c>
      <c r="E196" s="422" t="str">
        <f>IFERROR(__xludf.DUMMYFUNCTION("""COMPUTED_VALUE"""),"TNI0052 Need to confirm DG starter battery changing finish sites with M&amp;E ")</f>
        <v>TNI0052 Need to confirm DG starter battery changing finish sites with M&amp;E </v>
      </c>
      <c r="F196" s="424">
        <f>IFERROR(__xludf.DUMMYFUNCTION("""COMPUTED_VALUE"""),45992.0)</f>
        <v>45992</v>
      </c>
      <c r="G196" s="424">
        <f>IFERROR(__xludf.DUMMYFUNCTION("""COMPUTED_VALUE"""),46011.0)</f>
        <v>46011</v>
      </c>
      <c r="H196" s="422"/>
      <c r="I196" s="422"/>
      <c r="J196" s="422"/>
      <c r="K196" s="422"/>
      <c r="L196" s="422"/>
      <c r="M196" s="422"/>
      <c r="N196" s="422"/>
      <c r="O196" s="422">
        <f>IFERROR(__xludf.DUMMYFUNCTION("""COMPUTED_VALUE"""),0.0)</f>
        <v>0</v>
      </c>
      <c r="P196" s="422">
        <f>IFERROR(__xludf.DUMMYFUNCTION("""COMPUTED_VALUE"""),0.0)</f>
        <v>0</v>
      </c>
      <c r="Q196" s="422"/>
      <c r="R196" s="98"/>
      <c r="S196" s="98" t="str">
        <f>IFERROR(__xludf.DUMMYFUNCTION("""COMPUTED_VALUE"""),"myt_bonemyat.naing1")</f>
        <v>myt_bonemyat.naing1</v>
      </c>
      <c r="T196" s="98" t="str">
        <f>IFERROR(__xludf.DUMMYFUNCTION("""COMPUTED_VALUE"""),"TNI0052")</f>
        <v>TNI0052</v>
      </c>
    </row>
    <row r="197">
      <c r="A197" s="422">
        <f>IFERROR(__xludf.DUMMYFUNCTION("""COMPUTED_VALUE"""),195.0)</f>
        <v>195</v>
      </c>
      <c r="B197" s="422" t="str">
        <f>IFERROR(__xludf.DUMMYFUNCTION("""COMPUTED_VALUE"""),"M&amp;E")</f>
        <v>M&amp;E</v>
      </c>
      <c r="C197" s="422" t="str">
        <f>IFERROR(__xludf.DUMMYFUNCTION("""COMPUTED_VALUE"""),"Team 01")</f>
        <v>Team 01</v>
      </c>
      <c r="D197" s="422" t="str">
        <f>IFERROR(__xludf.DUMMYFUNCTION("""COMPUTED_VALUE"""),"DG Starter Battery")</f>
        <v>DG Starter Battery</v>
      </c>
      <c r="E197" s="422" t="str">
        <f>IFERROR(__xludf.DUMMYFUNCTION("""COMPUTED_VALUE"""),"TNI0305 Need to confirm DG starter battery changing finish sites with M&amp;E")</f>
        <v>TNI0305 Need to confirm DG starter battery changing finish sites with M&amp;E</v>
      </c>
      <c r="F197" s="424">
        <f>IFERROR(__xludf.DUMMYFUNCTION("""COMPUTED_VALUE"""),45992.0)</f>
        <v>45992</v>
      </c>
      <c r="G197" s="424">
        <f>IFERROR(__xludf.DUMMYFUNCTION("""COMPUTED_VALUE"""),46011.0)</f>
        <v>46011</v>
      </c>
      <c r="H197" s="422"/>
      <c r="I197" s="422"/>
      <c r="J197" s="422"/>
      <c r="K197" s="422"/>
      <c r="L197" s="422"/>
      <c r="M197" s="422"/>
      <c r="N197" s="422"/>
      <c r="O197" s="422">
        <f>IFERROR(__xludf.DUMMYFUNCTION("""COMPUTED_VALUE"""),0.0)</f>
        <v>0</v>
      </c>
      <c r="P197" s="422">
        <f>IFERROR(__xludf.DUMMYFUNCTION("""COMPUTED_VALUE"""),0.0)</f>
        <v>0</v>
      </c>
      <c r="Q197" s="422"/>
      <c r="R197" s="98"/>
      <c r="S197" s="98" t="str">
        <f>IFERROR(__xludf.DUMMYFUNCTION("""COMPUTED_VALUE"""),"myt_bonemyat.naing1")</f>
        <v>myt_bonemyat.naing1</v>
      </c>
      <c r="T197" s="98" t="str">
        <f>IFERROR(__xludf.DUMMYFUNCTION("""COMPUTED_VALUE"""),"TNI0305")</f>
        <v>TNI0305</v>
      </c>
    </row>
    <row r="198">
      <c r="A198" s="422">
        <f>IFERROR(__xludf.DUMMYFUNCTION("""COMPUTED_VALUE"""),196.0)</f>
        <v>196</v>
      </c>
      <c r="B198" s="422" t="str">
        <f>IFERROR(__xludf.DUMMYFUNCTION("""COMPUTED_VALUE"""),"M&amp;E")</f>
        <v>M&amp;E</v>
      </c>
      <c r="C198" s="422" t="str">
        <f>IFERROR(__xludf.DUMMYFUNCTION("""COMPUTED_VALUE"""),"Team 01")</f>
        <v>Team 01</v>
      </c>
      <c r="D198" s="422" t="str">
        <f>IFERROR(__xludf.DUMMYFUNCTION("""COMPUTED_VALUE"""),"DG Starter Battery")</f>
        <v>DG Starter Battery</v>
      </c>
      <c r="E198" s="422" t="str">
        <f>IFERROR(__xludf.DUMMYFUNCTION("""COMPUTED_VALUE"""),"TNI0333 Need to confirm DG starter battery changing finish sites with M&amp;E ")</f>
        <v>TNI0333 Need to confirm DG starter battery changing finish sites with M&amp;E </v>
      </c>
      <c r="F198" s="424">
        <f>IFERROR(__xludf.DUMMYFUNCTION("""COMPUTED_VALUE"""),45992.0)</f>
        <v>45992</v>
      </c>
      <c r="G198" s="424">
        <f>IFERROR(__xludf.DUMMYFUNCTION("""COMPUTED_VALUE"""),46011.0)</f>
        <v>46011</v>
      </c>
      <c r="H198" s="422"/>
      <c r="I198" s="422"/>
      <c r="J198" s="422"/>
      <c r="K198" s="422"/>
      <c r="L198" s="422"/>
      <c r="M198" s="422"/>
      <c r="N198" s="422"/>
      <c r="O198" s="422">
        <f>IFERROR(__xludf.DUMMYFUNCTION("""COMPUTED_VALUE"""),0.0)</f>
        <v>0</v>
      </c>
      <c r="P198" s="422">
        <f>IFERROR(__xludf.DUMMYFUNCTION("""COMPUTED_VALUE"""),0.0)</f>
        <v>0</v>
      </c>
      <c r="Q198" s="422"/>
      <c r="R198" s="98"/>
      <c r="S198" s="98" t="str">
        <f>IFERROR(__xludf.DUMMYFUNCTION("""COMPUTED_VALUE"""),"myt_bonemyat.naing1")</f>
        <v>myt_bonemyat.naing1</v>
      </c>
      <c r="T198" s="98" t="str">
        <f>IFERROR(__xludf.DUMMYFUNCTION("""COMPUTED_VALUE"""),"TNI0333")</f>
        <v>TNI0333</v>
      </c>
    </row>
    <row r="199">
      <c r="A199" s="422">
        <f>IFERROR(__xludf.DUMMYFUNCTION("""COMPUTED_VALUE"""),197.0)</f>
        <v>197</v>
      </c>
      <c r="B199" s="422" t="str">
        <f>IFERROR(__xludf.DUMMYFUNCTION("""COMPUTED_VALUE"""),"M&amp;E")</f>
        <v>M&amp;E</v>
      </c>
      <c r="C199" s="422" t="str">
        <f>IFERROR(__xludf.DUMMYFUNCTION("""COMPUTED_VALUE"""),"Team 01")</f>
        <v>Team 01</v>
      </c>
      <c r="D199" s="422" t="str">
        <f>IFERROR(__xludf.DUMMYFUNCTION("""COMPUTED_VALUE"""),"Diode Kid Installation")</f>
        <v>Diode Kid Installation</v>
      </c>
      <c r="E199" s="422" t="str">
        <f>IFERROR(__xludf.DUMMYFUNCTION("""COMPUTED_VALUE"""),"TNI0054")</f>
        <v>TNI0054</v>
      </c>
      <c r="F199" s="424">
        <f>IFERROR(__xludf.DUMMYFUNCTION("""COMPUTED_VALUE"""),46154.0)</f>
        <v>46154</v>
      </c>
      <c r="G199" s="424">
        <f>IFERROR(__xludf.DUMMYFUNCTION("""COMPUTED_VALUE"""),46173.0)</f>
        <v>46173</v>
      </c>
      <c r="H199" s="422"/>
      <c r="I199" s="422"/>
      <c r="J199" s="422"/>
      <c r="K199" s="422"/>
      <c r="L199" s="422"/>
      <c r="M199" s="422"/>
      <c r="N199" s="422"/>
      <c r="O199" s="422"/>
      <c r="P199" s="422"/>
      <c r="Q199" s="422"/>
      <c r="R199" s="98"/>
      <c r="S199" s="98" t="str">
        <f>IFERROR(__xludf.DUMMYFUNCTION("""COMPUTED_VALUE"""),"myt_myothant.htoo")</f>
        <v>myt_myothant.htoo</v>
      </c>
      <c r="T199" s="98" t="str">
        <f>IFERROR(__xludf.DUMMYFUNCTION("""COMPUTED_VALUE"""),"TNI0054")</f>
        <v>TNI0054</v>
      </c>
    </row>
    <row r="200">
      <c r="A200" s="422">
        <f>IFERROR(__xludf.DUMMYFUNCTION("""COMPUTED_VALUE"""),198.0)</f>
        <v>198</v>
      </c>
      <c r="B200" s="422" t="str">
        <f>IFERROR(__xludf.DUMMYFUNCTION("""COMPUTED_VALUE"""),"M&amp;E")</f>
        <v>M&amp;E</v>
      </c>
      <c r="C200" s="422" t="str">
        <f>IFERROR(__xludf.DUMMYFUNCTION("""COMPUTED_VALUE"""),"Team 01")</f>
        <v>Team 01</v>
      </c>
      <c r="D200" s="422" t="str">
        <f>IFERROR(__xludf.DUMMYFUNCTION("""COMPUTED_VALUE"""),"Diode Kid Installation")</f>
        <v>Diode Kid Installation</v>
      </c>
      <c r="E200" s="422" t="str">
        <f>IFERROR(__xludf.DUMMYFUNCTION("""COMPUTED_VALUE"""),"TNI0213 ")</f>
        <v>TNI0213 </v>
      </c>
      <c r="F200" s="424">
        <f>IFERROR(__xludf.DUMMYFUNCTION("""COMPUTED_VALUE"""),46154.0)</f>
        <v>46154</v>
      </c>
      <c r="G200" s="424">
        <f>IFERROR(__xludf.DUMMYFUNCTION("""COMPUTED_VALUE"""),46173.0)</f>
        <v>46173</v>
      </c>
      <c r="H200" s="422"/>
      <c r="I200" s="422"/>
      <c r="J200" s="422"/>
      <c r="K200" s="422"/>
      <c r="L200" s="422"/>
      <c r="M200" s="422"/>
      <c r="N200" s="422"/>
      <c r="O200" s="422"/>
      <c r="P200" s="422"/>
      <c r="Q200" s="422"/>
      <c r="R200" s="98"/>
      <c r="S200" s="98" t="str">
        <f>IFERROR(__xludf.DUMMYFUNCTION("""COMPUTED_VALUE"""),"Thu Rain Niang")</f>
        <v>Thu Rain Niang</v>
      </c>
      <c r="T200" s="98" t="str">
        <f>IFERROR(__xludf.DUMMYFUNCTION("""COMPUTED_VALUE"""),"TNI0213")</f>
        <v>TNI0213</v>
      </c>
    </row>
    <row r="201">
      <c r="A201" s="422">
        <f>IFERROR(__xludf.DUMMYFUNCTION("""COMPUTED_VALUE"""),199.0)</f>
        <v>199</v>
      </c>
      <c r="B201" s="422" t="str">
        <f>IFERROR(__xludf.DUMMYFUNCTION("""COMPUTED_VALUE"""),"M&amp;E")</f>
        <v>M&amp;E</v>
      </c>
      <c r="C201" s="422" t="str">
        <f>IFERROR(__xludf.DUMMYFUNCTION("""COMPUTED_VALUE"""),"Team 01")</f>
        <v>Team 01</v>
      </c>
      <c r="D201" s="422" t="str">
        <f>IFERROR(__xludf.DUMMYFUNCTION("""COMPUTED_VALUE"""),"Fixing Fuel Level Monitoring")</f>
        <v>Fixing Fuel Level Monitoring</v>
      </c>
      <c r="E201" s="422" t="str">
        <f>IFERROR(__xludf.DUMMYFUNCTION("""COMPUTED_VALUE"""),"TNI0201 Need to fix fuel level cannot monitoring at NMS.")</f>
        <v>TNI0201 Need to fix fuel level cannot monitoring at NMS.</v>
      </c>
      <c r="F201" s="424">
        <f>IFERROR(__xludf.DUMMYFUNCTION("""COMPUTED_VALUE"""),46036.0)</f>
        <v>46036</v>
      </c>
      <c r="G201" s="424">
        <f>IFERROR(__xludf.DUMMYFUNCTION("""COMPUTED_VALUE"""),46042.0)</f>
        <v>46042</v>
      </c>
      <c r="H201" s="422"/>
      <c r="I201" s="422"/>
      <c r="J201" s="422"/>
      <c r="K201" s="422"/>
      <c r="L201" s="422"/>
      <c r="M201" s="422"/>
      <c r="N201" s="422"/>
      <c r="O201" s="422"/>
      <c r="P201" s="422">
        <f>IFERROR(__xludf.DUMMYFUNCTION("""COMPUTED_VALUE"""),0.0)</f>
        <v>0</v>
      </c>
      <c r="Q201" s="422"/>
      <c r="R201" s="98"/>
      <c r="S201" s="98" t="str">
        <f>IFERROR(__xludf.DUMMYFUNCTION("""COMPUTED_VALUE"""),"myt_aunglwin.phyo")</f>
        <v>myt_aunglwin.phyo</v>
      </c>
      <c r="T201" s="98" t="str">
        <f>IFERROR(__xludf.DUMMYFUNCTION("""COMPUTED_VALUE"""),"TNI0201")</f>
        <v>TNI0201</v>
      </c>
    </row>
    <row r="202">
      <c r="A202" s="422">
        <f>IFERROR(__xludf.DUMMYFUNCTION("""COMPUTED_VALUE"""),200.0)</f>
        <v>200</v>
      </c>
      <c r="B202" s="422" t="str">
        <f>IFERROR(__xludf.DUMMYFUNCTION("""COMPUTED_VALUE"""),"M&amp;E")</f>
        <v>M&amp;E</v>
      </c>
      <c r="C202" s="422" t="str">
        <f>IFERROR(__xludf.DUMMYFUNCTION("""COMPUTED_VALUE"""),"Team 01")</f>
        <v>Team 01</v>
      </c>
      <c r="D202" s="422" t="str">
        <f>IFERROR(__xludf.DUMMYFUNCTION("""COMPUTED_VALUE"""),"Fixing Fuel Level Monitoring")</f>
        <v>Fixing Fuel Level Monitoring</v>
      </c>
      <c r="E202" s="422" t="str">
        <f>IFERROR(__xludf.DUMMYFUNCTION("""COMPUTED_VALUE"""),"TNI0206 Need to fix fuel level cannot monitoring at NMS.")</f>
        <v>TNI0206 Need to fix fuel level cannot monitoring at NMS.</v>
      </c>
      <c r="F202" s="424">
        <f>IFERROR(__xludf.DUMMYFUNCTION("""COMPUTED_VALUE"""),46036.0)</f>
        <v>46036</v>
      </c>
      <c r="G202" s="424">
        <f>IFERROR(__xludf.DUMMYFUNCTION("""COMPUTED_VALUE"""),46042.0)</f>
        <v>46042</v>
      </c>
      <c r="H202" s="422"/>
      <c r="I202" s="422"/>
      <c r="J202" s="422"/>
      <c r="K202" s="422"/>
      <c r="L202" s="422"/>
      <c r="M202" s="422"/>
      <c r="N202" s="422"/>
      <c r="O202" s="422"/>
      <c r="P202" s="422">
        <f>IFERROR(__xludf.DUMMYFUNCTION("""COMPUTED_VALUE"""),0.0)</f>
        <v>0</v>
      </c>
      <c r="Q202" s="422"/>
      <c r="R202" s="98"/>
      <c r="S202" s="98" t="str">
        <f>IFERROR(__xludf.DUMMYFUNCTION("""COMPUTED_VALUE"""),"Thu Rain Niang")</f>
        <v>Thu Rain Niang</v>
      </c>
      <c r="T202" s="98" t="str">
        <f>IFERROR(__xludf.DUMMYFUNCTION("""COMPUTED_VALUE"""),"TNI0206")</f>
        <v>TNI0206</v>
      </c>
    </row>
    <row r="203">
      <c r="A203" s="422">
        <f>IFERROR(__xludf.DUMMYFUNCTION("""COMPUTED_VALUE"""),201.0)</f>
        <v>201</v>
      </c>
      <c r="B203" s="422" t="str">
        <f>IFERROR(__xludf.DUMMYFUNCTION("""COMPUTED_VALUE"""),"M&amp;E")</f>
        <v>M&amp;E</v>
      </c>
      <c r="C203" s="422" t="str">
        <f>IFERROR(__xludf.DUMMYFUNCTION("""COMPUTED_VALUE"""),"Team 01")</f>
        <v>Team 01</v>
      </c>
      <c r="D203" s="422" t="str">
        <f>IFERROR(__xludf.DUMMYFUNCTION("""COMPUTED_VALUE"""),"Fixing Fuel Level Monitoring")</f>
        <v>Fixing Fuel Level Monitoring</v>
      </c>
      <c r="E203" s="422" t="str">
        <f>IFERROR(__xludf.DUMMYFUNCTION("""COMPUTED_VALUE"""),"TNI0250 Need to fix fuel level cannot monitoring at NMS.")</f>
        <v>TNI0250 Need to fix fuel level cannot monitoring at NMS.</v>
      </c>
      <c r="F203" s="424">
        <f>IFERROR(__xludf.DUMMYFUNCTION("""COMPUTED_VALUE"""),46036.0)</f>
        <v>46036</v>
      </c>
      <c r="G203" s="424">
        <f>IFERROR(__xludf.DUMMYFUNCTION("""COMPUTED_VALUE"""),46042.0)</f>
        <v>46042</v>
      </c>
      <c r="H203" s="422"/>
      <c r="I203" s="422"/>
      <c r="J203" s="422"/>
      <c r="K203" s="422"/>
      <c r="L203" s="422"/>
      <c r="M203" s="422"/>
      <c r="N203" s="422"/>
      <c r="O203" s="422"/>
      <c r="P203" s="422">
        <f>IFERROR(__xludf.DUMMYFUNCTION("""COMPUTED_VALUE"""),0.0)</f>
        <v>0</v>
      </c>
      <c r="Q203" s="422"/>
      <c r="R203" s="98"/>
      <c r="S203" s="98" t="str">
        <f>IFERROR(__xludf.DUMMYFUNCTION("""COMPUTED_VALUE"""),"myt_aunglwin.phyo")</f>
        <v>myt_aunglwin.phyo</v>
      </c>
      <c r="T203" s="98" t="str">
        <f>IFERROR(__xludf.DUMMYFUNCTION("""COMPUTED_VALUE"""),"TNI0250")</f>
        <v>TNI0250</v>
      </c>
    </row>
    <row r="204">
      <c r="A204" s="422">
        <f>IFERROR(__xludf.DUMMYFUNCTION("""COMPUTED_VALUE"""),202.0)</f>
        <v>202</v>
      </c>
      <c r="B204" s="422" t="str">
        <f>IFERROR(__xludf.DUMMYFUNCTION("""COMPUTED_VALUE"""),"M&amp;E")</f>
        <v>M&amp;E</v>
      </c>
      <c r="C204" s="422" t="str">
        <f>IFERROR(__xludf.DUMMYFUNCTION("""COMPUTED_VALUE"""),"Team 01")</f>
        <v>Team 01</v>
      </c>
      <c r="D204" s="422" t="str">
        <f>IFERROR(__xludf.DUMMYFUNCTION("""COMPUTED_VALUE"""),"Fixing Fuel Level Monitoring")</f>
        <v>Fixing Fuel Level Monitoring</v>
      </c>
      <c r="E204" s="422" t="str">
        <f>IFERROR(__xludf.DUMMYFUNCTION("""COMPUTED_VALUE"""),"TNI0006 Need to fix fuel level cannot monitoring at NMS.")</f>
        <v>TNI0006 Need to fix fuel level cannot monitoring at NMS.</v>
      </c>
      <c r="F204" s="424">
        <f>IFERROR(__xludf.DUMMYFUNCTION("""COMPUTED_VALUE"""),46036.0)</f>
        <v>46036</v>
      </c>
      <c r="G204" s="424">
        <f>IFERROR(__xludf.DUMMYFUNCTION("""COMPUTED_VALUE"""),46042.0)</f>
        <v>46042</v>
      </c>
      <c r="H204" s="422"/>
      <c r="I204" s="422"/>
      <c r="J204" s="422"/>
      <c r="K204" s="422"/>
      <c r="L204" s="422"/>
      <c r="M204" s="422"/>
      <c r="N204" s="422"/>
      <c r="O204" s="422"/>
      <c r="P204" s="422">
        <f>IFERROR(__xludf.DUMMYFUNCTION("""COMPUTED_VALUE"""),0.0)</f>
        <v>0</v>
      </c>
      <c r="Q204" s="422"/>
      <c r="R204" s="98"/>
      <c r="S204" s="98" t="str">
        <f>IFERROR(__xludf.DUMMYFUNCTION("""COMPUTED_VALUE"""),"Thu Rain Niang")</f>
        <v>Thu Rain Niang</v>
      </c>
      <c r="T204" s="98" t="str">
        <f>IFERROR(__xludf.DUMMYFUNCTION("""COMPUTED_VALUE"""),"TNI0006")</f>
        <v>TNI0006</v>
      </c>
    </row>
    <row r="205">
      <c r="A205" s="422">
        <f>IFERROR(__xludf.DUMMYFUNCTION("""COMPUTED_VALUE"""),203.0)</f>
        <v>203</v>
      </c>
      <c r="B205" s="422" t="str">
        <f>IFERROR(__xludf.DUMMYFUNCTION("""COMPUTED_VALUE"""),"M&amp;E")</f>
        <v>M&amp;E</v>
      </c>
      <c r="C205" s="422" t="str">
        <f>IFERROR(__xludf.DUMMYFUNCTION("""COMPUTED_VALUE"""),"Team 01")</f>
        <v>Team 01</v>
      </c>
      <c r="D205" s="422" t="str">
        <f>IFERROR(__xludf.DUMMYFUNCTION("""COMPUTED_VALUE"""),"Fixing Fuel Level Monitoring")</f>
        <v>Fixing Fuel Level Monitoring</v>
      </c>
      <c r="E205" s="422" t="str">
        <f>IFERROR(__xludf.DUMMYFUNCTION("""COMPUTED_VALUE"""),"TNI0018 Need to fix fuel level cannot monitoring at NMS.")</f>
        <v>TNI0018 Need to fix fuel level cannot monitoring at NMS.</v>
      </c>
      <c r="F205" s="424">
        <f>IFERROR(__xludf.DUMMYFUNCTION("""COMPUTED_VALUE"""),46036.0)</f>
        <v>46036</v>
      </c>
      <c r="G205" s="424">
        <f>IFERROR(__xludf.DUMMYFUNCTION("""COMPUTED_VALUE"""),46042.0)</f>
        <v>46042</v>
      </c>
      <c r="H205" s="422"/>
      <c r="I205" s="422"/>
      <c r="J205" s="422"/>
      <c r="K205" s="422"/>
      <c r="L205" s="422"/>
      <c r="M205" s="422"/>
      <c r="N205" s="422"/>
      <c r="O205" s="422"/>
      <c r="P205" s="422">
        <f>IFERROR(__xludf.DUMMYFUNCTION("""COMPUTED_VALUE"""),0.0)</f>
        <v>0</v>
      </c>
      <c r="Q205" s="422"/>
      <c r="R205" s="98"/>
      <c r="S205" s="98" t="str">
        <f>IFERROR(__xludf.DUMMYFUNCTION("""COMPUTED_VALUE"""),"myt_aunglwin.phyo")</f>
        <v>myt_aunglwin.phyo</v>
      </c>
      <c r="T205" s="98" t="str">
        <f>IFERROR(__xludf.DUMMYFUNCTION("""COMPUTED_VALUE"""),"TNI0018")</f>
        <v>TNI0018</v>
      </c>
    </row>
    <row r="206">
      <c r="A206" s="422">
        <f>IFERROR(__xludf.DUMMYFUNCTION("""COMPUTED_VALUE"""),204.0)</f>
        <v>204</v>
      </c>
      <c r="B206" s="422" t="str">
        <f>IFERROR(__xludf.DUMMYFUNCTION("""COMPUTED_VALUE"""),"M&amp;E")</f>
        <v>M&amp;E</v>
      </c>
      <c r="C206" s="422" t="str">
        <f>IFERROR(__xludf.DUMMYFUNCTION("""COMPUTED_VALUE"""),"Team 01")</f>
        <v>Team 01</v>
      </c>
      <c r="D206" s="422" t="str">
        <f>IFERROR(__xludf.DUMMYFUNCTION("""COMPUTED_VALUE"""),"Fixing Fuel Level Monitoring")</f>
        <v>Fixing Fuel Level Monitoring</v>
      </c>
      <c r="E206" s="422" t="str">
        <f>IFERROR(__xludf.DUMMYFUNCTION("""COMPUTED_VALUE"""),"TNI0019 Need to fix fuel level cannot monitoring at NMS.")</f>
        <v>TNI0019 Need to fix fuel level cannot monitoring at NMS.</v>
      </c>
      <c r="F206" s="424">
        <f>IFERROR(__xludf.DUMMYFUNCTION("""COMPUTED_VALUE"""),46036.0)</f>
        <v>46036</v>
      </c>
      <c r="G206" s="424">
        <f>IFERROR(__xludf.DUMMYFUNCTION("""COMPUTED_VALUE"""),46042.0)</f>
        <v>46042</v>
      </c>
      <c r="H206" s="422"/>
      <c r="I206" s="422"/>
      <c r="J206" s="422"/>
      <c r="K206" s="422"/>
      <c r="L206" s="422"/>
      <c r="M206" s="422"/>
      <c r="N206" s="422"/>
      <c r="O206" s="422"/>
      <c r="P206" s="422">
        <f>IFERROR(__xludf.DUMMYFUNCTION("""COMPUTED_VALUE"""),0.0)</f>
        <v>0</v>
      </c>
      <c r="Q206" s="422"/>
      <c r="R206" s="98"/>
      <c r="S206" s="98" t="str">
        <f>IFERROR(__xludf.DUMMYFUNCTION("""COMPUTED_VALUE"""),"myt_myothant.htoo")</f>
        <v>myt_myothant.htoo</v>
      </c>
      <c r="T206" s="98" t="str">
        <f>IFERROR(__xludf.DUMMYFUNCTION("""COMPUTED_VALUE"""),"TNI0019")</f>
        <v>TNI0019</v>
      </c>
    </row>
    <row r="207">
      <c r="A207" s="422">
        <f>IFERROR(__xludf.DUMMYFUNCTION("""COMPUTED_VALUE"""),205.0)</f>
        <v>205</v>
      </c>
      <c r="B207" s="422" t="str">
        <f>IFERROR(__xludf.DUMMYFUNCTION("""COMPUTED_VALUE"""),"M&amp;E")</f>
        <v>M&amp;E</v>
      </c>
      <c r="C207" s="422" t="str">
        <f>IFERROR(__xludf.DUMMYFUNCTION("""COMPUTED_VALUE"""),"Team 01")</f>
        <v>Team 01</v>
      </c>
      <c r="D207" s="422" t="str">
        <f>IFERROR(__xludf.DUMMYFUNCTION("""COMPUTED_VALUE"""),"Fixing Fuel Level Monitoring")</f>
        <v>Fixing Fuel Level Monitoring</v>
      </c>
      <c r="E207" s="422" t="str">
        <f>IFERROR(__xludf.DUMMYFUNCTION("""COMPUTED_VALUE"""),"TNI0040 Need to fix fuel level cannot monitoring at NMS.")</f>
        <v>TNI0040 Need to fix fuel level cannot monitoring at NMS.</v>
      </c>
      <c r="F207" s="424">
        <f>IFERROR(__xludf.DUMMYFUNCTION("""COMPUTED_VALUE"""),46036.0)</f>
        <v>46036</v>
      </c>
      <c r="G207" s="424">
        <f>IFERROR(__xludf.DUMMYFUNCTION("""COMPUTED_VALUE"""),46042.0)</f>
        <v>46042</v>
      </c>
      <c r="H207" s="422"/>
      <c r="I207" s="422"/>
      <c r="J207" s="422"/>
      <c r="K207" s="422"/>
      <c r="L207" s="422"/>
      <c r="M207" s="422"/>
      <c r="N207" s="422"/>
      <c r="O207" s="422"/>
      <c r="P207" s="422">
        <f>IFERROR(__xludf.DUMMYFUNCTION("""COMPUTED_VALUE"""),0.0)</f>
        <v>0</v>
      </c>
      <c r="Q207" s="422"/>
      <c r="R207" s="98"/>
      <c r="S207" s="98" t="str">
        <f>IFERROR(__xludf.DUMMYFUNCTION("""COMPUTED_VALUE"""),"myt_aunglwin.phyo")</f>
        <v>myt_aunglwin.phyo</v>
      </c>
      <c r="T207" s="98" t="str">
        <f>IFERROR(__xludf.DUMMYFUNCTION("""COMPUTED_VALUE"""),"TNI0040")</f>
        <v>TNI0040</v>
      </c>
    </row>
    <row r="208">
      <c r="A208" s="422">
        <f>IFERROR(__xludf.DUMMYFUNCTION("""COMPUTED_VALUE"""),206.0)</f>
        <v>206</v>
      </c>
      <c r="B208" s="422" t="str">
        <f>IFERROR(__xludf.DUMMYFUNCTION("""COMPUTED_VALUE"""),"M&amp;E")</f>
        <v>M&amp;E</v>
      </c>
      <c r="C208" s="422" t="str">
        <f>IFERROR(__xludf.DUMMYFUNCTION("""COMPUTED_VALUE"""),"Team 01")</f>
        <v>Team 01</v>
      </c>
      <c r="D208" s="422" t="str">
        <f>IFERROR(__xludf.DUMMYFUNCTION("""COMPUTED_VALUE"""),"Fixing Fuel Level Monitoring")</f>
        <v>Fixing Fuel Level Monitoring</v>
      </c>
      <c r="E208" s="422" t="str">
        <f>IFERROR(__xludf.DUMMYFUNCTION("""COMPUTED_VALUE"""),"TNI0053 Need to fix fuel level cannot monitoring at NMS.")</f>
        <v>TNI0053 Need to fix fuel level cannot monitoring at NMS.</v>
      </c>
      <c r="F208" s="424">
        <f>IFERROR(__xludf.DUMMYFUNCTION("""COMPUTED_VALUE"""),46036.0)</f>
        <v>46036</v>
      </c>
      <c r="G208" s="424">
        <f>IFERROR(__xludf.DUMMYFUNCTION("""COMPUTED_VALUE"""),46042.0)</f>
        <v>46042</v>
      </c>
      <c r="H208" s="422"/>
      <c r="I208" s="422"/>
      <c r="J208" s="422"/>
      <c r="K208" s="422"/>
      <c r="L208" s="422"/>
      <c r="M208" s="422"/>
      <c r="N208" s="422"/>
      <c r="O208" s="422"/>
      <c r="P208" s="422">
        <f>IFERROR(__xludf.DUMMYFUNCTION("""COMPUTED_VALUE"""),0.0)</f>
        <v>0</v>
      </c>
      <c r="Q208" s="422"/>
      <c r="R208" s="98"/>
      <c r="S208" s="98" t="str">
        <f>IFERROR(__xludf.DUMMYFUNCTION("""COMPUTED_VALUE"""),"myt_bhonehtet.aung")</f>
        <v>myt_bhonehtet.aung</v>
      </c>
      <c r="T208" s="98" t="str">
        <f>IFERROR(__xludf.DUMMYFUNCTION("""COMPUTED_VALUE"""),"TNI0053")</f>
        <v>TNI0053</v>
      </c>
    </row>
    <row r="209">
      <c r="A209" s="422">
        <f>IFERROR(__xludf.DUMMYFUNCTION("""COMPUTED_VALUE"""),207.0)</f>
        <v>207</v>
      </c>
      <c r="B209" s="422" t="str">
        <f>IFERROR(__xludf.DUMMYFUNCTION("""COMPUTED_VALUE"""),"M&amp;E")</f>
        <v>M&amp;E</v>
      </c>
      <c r="C209" s="422" t="str">
        <f>IFERROR(__xludf.DUMMYFUNCTION("""COMPUTED_VALUE"""),"Team 01")</f>
        <v>Team 01</v>
      </c>
      <c r="D209" s="422" t="str">
        <f>IFERROR(__xludf.DUMMYFUNCTION("""COMPUTED_VALUE"""),"Fixing Fuel Level Monitoring")</f>
        <v>Fixing Fuel Level Monitoring</v>
      </c>
      <c r="E209" s="422" t="str">
        <f>IFERROR(__xludf.DUMMYFUNCTION("""COMPUTED_VALUE"""),"TNI0060 Need to fix fuel level cannot monitoring at NMS.")</f>
        <v>TNI0060 Need to fix fuel level cannot monitoring at NMS.</v>
      </c>
      <c r="F209" s="424">
        <f>IFERROR(__xludf.DUMMYFUNCTION("""COMPUTED_VALUE"""),46036.0)</f>
        <v>46036</v>
      </c>
      <c r="G209" s="424">
        <f>IFERROR(__xludf.DUMMYFUNCTION("""COMPUTED_VALUE"""),46042.0)</f>
        <v>46042</v>
      </c>
      <c r="H209" s="422"/>
      <c r="I209" s="422"/>
      <c r="J209" s="422"/>
      <c r="K209" s="422"/>
      <c r="L209" s="422"/>
      <c r="M209" s="422"/>
      <c r="N209" s="422"/>
      <c r="O209" s="422"/>
      <c r="P209" s="422">
        <f>IFERROR(__xludf.DUMMYFUNCTION("""COMPUTED_VALUE"""),0.0)</f>
        <v>0</v>
      </c>
      <c r="Q209" s="422"/>
      <c r="R209" s="98"/>
      <c r="S209" s="98" t="str">
        <f>IFERROR(__xludf.DUMMYFUNCTION("""COMPUTED_VALUE"""),"myt_bhonehtet.aung")</f>
        <v>myt_bhonehtet.aung</v>
      </c>
      <c r="T209" s="98" t="str">
        <f>IFERROR(__xludf.DUMMYFUNCTION("""COMPUTED_VALUE"""),"TNI0060")</f>
        <v>TNI0060</v>
      </c>
    </row>
    <row r="210">
      <c r="A210" s="422">
        <f>IFERROR(__xludf.DUMMYFUNCTION("""COMPUTED_VALUE"""),208.0)</f>
        <v>208</v>
      </c>
      <c r="B210" s="422" t="str">
        <f>IFERROR(__xludf.DUMMYFUNCTION("""COMPUTED_VALUE"""),"M&amp;E")</f>
        <v>M&amp;E</v>
      </c>
      <c r="C210" s="422" t="str">
        <f>IFERROR(__xludf.DUMMYFUNCTION("""COMPUTED_VALUE"""),"Team 01")</f>
        <v>Team 01</v>
      </c>
      <c r="D210" s="422" t="str">
        <f>IFERROR(__xludf.DUMMYFUNCTION("""COMPUTED_VALUE"""),"Fixing Fuel Level Monitoring")</f>
        <v>Fixing Fuel Level Monitoring</v>
      </c>
      <c r="E210" s="422" t="str">
        <f>IFERROR(__xludf.DUMMYFUNCTION("""COMPUTED_VALUE"""),"TNI0066 Need to fix fuel level cannot monitoring at NMS.")</f>
        <v>TNI0066 Need to fix fuel level cannot monitoring at NMS.</v>
      </c>
      <c r="F210" s="424">
        <f>IFERROR(__xludf.DUMMYFUNCTION("""COMPUTED_VALUE"""),46036.0)</f>
        <v>46036</v>
      </c>
      <c r="G210" s="424">
        <f>IFERROR(__xludf.DUMMYFUNCTION("""COMPUTED_VALUE"""),46042.0)</f>
        <v>46042</v>
      </c>
      <c r="H210" s="422"/>
      <c r="I210" s="422"/>
      <c r="J210" s="422"/>
      <c r="K210" s="422"/>
      <c r="L210" s="422"/>
      <c r="M210" s="422"/>
      <c r="N210" s="422"/>
      <c r="O210" s="422"/>
      <c r="P210" s="422">
        <f>IFERROR(__xludf.DUMMYFUNCTION("""COMPUTED_VALUE"""),0.0)</f>
        <v>0</v>
      </c>
      <c r="Q210" s="422"/>
      <c r="R210" s="98"/>
      <c r="S210" s="98" t="str">
        <f>IFERROR(__xludf.DUMMYFUNCTION("""COMPUTED_VALUE"""),"myt_aunglwin.phyo")</f>
        <v>myt_aunglwin.phyo</v>
      </c>
      <c r="T210" s="98" t="str">
        <f>IFERROR(__xludf.DUMMYFUNCTION("""COMPUTED_VALUE"""),"TNI0066")</f>
        <v>TNI0066</v>
      </c>
    </row>
    <row r="211">
      <c r="A211" s="422">
        <f>IFERROR(__xludf.DUMMYFUNCTION("""COMPUTED_VALUE"""),209.0)</f>
        <v>209</v>
      </c>
      <c r="B211" s="422" t="str">
        <f>IFERROR(__xludf.DUMMYFUNCTION("""COMPUTED_VALUE"""),"M&amp;E")</f>
        <v>M&amp;E</v>
      </c>
      <c r="C211" s="422" t="str">
        <f>IFERROR(__xludf.DUMMYFUNCTION("""COMPUTED_VALUE"""),"Team 01")</f>
        <v>Team 01</v>
      </c>
      <c r="D211" s="422" t="str">
        <f>IFERROR(__xludf.DUMMYFUNCTION("""COMPUTED_VALUE"""),"Fixing Fuel Level Monitoring")</f>
        <v>Fixing Fuel Level Monitoring</v>
      </c>
      <c r="E211" s="422" t="str">
        <f>IFERROR(__xludf.DUMMYFUNCTION("""COMPUTED_VALUE"""),"TNI0071 Need to fix fuel level cannot monitoring at NMS.")</f>
        <v>TNI0071 Need to fix fuel level cannot monitoring at NMS.</v>
      </c>
      <c r="F211" s="424">
        <f>IFERROR(__xludf.DUMMYFUNCTION("""COMPUTED_VALUE"""),46036.0)</f>
        <v>46036</v>
      </c>
      <c r="G211" s="424">
        <f>IFERROR(__xludf.DUMMYFUNCTION("""COMPUTED_VALUE"""),46042.0)</f>
        <v>46042</v>
      </c>
      <c r="H211" s="422"/>
      <c r="I211" s="422"/>
      <c r="J211" s="422"/>
      <c r="K211" s="422"/>
      <c r="L211" s="422"/>
      <c r="M211" s="422"/>
      <c r="N211" s="422"/>
      <c r="O211" s="422"/>
      <c r="P211" s="422">
        <f>IFERROR(__xludf.DUMMYFUNCTION("""COMPUTED_VALUE"""),0.0)</f>
        <v>0</v>
      </c>
      <c r="Q211" s="422"/>
      <c r="R211" s="98"/>
      <c r="S211" s="98" t="str">
        <f>IFERROR(__xludf.DUMMYFUNCTION("""COMPUTED_VALUE"""),"myt_bonemyat.naing1")</f>
        <v>myt_bonemyat.naing1</v>
      </c>
      <c r="T211" s="98" t="str">
        <f>IFERROR(__xludf.DUMMYFUNCTION("""COMPUTED_VALUE"""),"TNI0071")</f>
        <v>TNI0071</v>
      </c>
    </row>
    <row r="212">
      <c r="A212" s="422">
        <f>IFERROR(__xludf.DUMMYFUNCTION("""COMPUTED_VALUE"""),210.0)</f>
        <v>210</v>
      </c>
      <c r="B212" s="422" t="str">
        <f>IFERROR(__xludf.DUMMYFUNCTION("""COMPUTED_VALUE"""),"M&amp;E")</f>
        <v>M&amp;E</v>
      </c>
      <c r="C212" s="422" t="str">
        <f>IFERROR(__xludf.DUMMYFUNCTION("""COMPUTED_VALUE"""),"Team 01")</f>
        <v>Team 01</v>
      </c>
      <c r="D212" s="422" t="str">
        <f>IFERROR(__xludf.DUMMYFUNCTION("""COMPUTED_VALUE"""),"Fixing Fuel Level Monitoring")</f>
        <v>Fixing Fuel Level Monitoring</v>
      </c>
      <c r="E212" s="422" t="str">
        <f>IFERROR(__xludf.DUMMYFUNCTION("""COMPUTED_VALUE"""),"TNI0072 Need to fix fuel level cannot monitoring at NMS.")</f>
        <v>TNI0072 Need to fix fuel level cannot monitoring at NMS.</v>
      </c>
      <c r="F212" s="424">
        <f>IFERROR(__xludf.DUMMYFUNCTION("""COMPUTED_VALUE"""),46036.0)</f>
        <v>46036</v>
      </c>
      <c r="G212" s="424">
        <f>IFERROR(__xludf.DUMMYFUNCTION("""COMPUTED_VALUE"""),46042.0)</f>
        <v>46042</v>
      </c>
      <c r="H212" s="422"/>
      <c r="I212" s="422"/>
      <c r="J212" s="422"/>
      <c r="K212" s="422"/>
      <c r="L212" s="422"/>
      <c r="M212" s="422"/>
      <c r="N212" s="422"/>
      <c r="O212" s="422"/>
      <c r="P212" s="422">
        <f>IFERROR(__xludf.DUMMYFUNCTION("""COMPUTED_VALUE"""),0.0)</f>
        <v>0</v>
      </c>
      <c r="Q212" s="422"/>
      <c r="R212" s="98"/>
      <c r="S212" s="98" t="str">
        <f>IFERROR(__xludf.DUMMYFUNCTION("""COMPUTED_VALUE"""),"myt_bhonehtet.aung")</f>
        <v>myt_bhonehtet.aung</v>
      </c>
      <c r="T212" s="98" t="str">
        <f>IFERROR(__xludf.DUMMYFUNCTION("""COMPUTED_VALUE"""),"TNI0072")</f>
        <v>TNI0072</v>
      </c>
    </row>
    <row r="213">
      <c r="A213" s="422">
        <f>IFERROR(__xludf.DUMMYFUNCTION("""COMPUTED_VALUE"""),211.0)</f>
        <v>211</v>
      </c>
      <c r="B213" s="422" t="str">
        <f>IFERROR(__xludf.DUMMYFUNCTION("""COMPUTED_VALUE"""),"M&amp;E")</f>
        <v>M&amp;E</v>
      </c>
      <c r="C213" s="422" t="str">
        <f>IFERROR(__xludf.DUMMYFUNCTION("""COMPUTED_VALUE"""),"Team 01")</f>
        <v>Team 01</v>
      </c>
      <c r="D213" s="422" t="str">
        <f>IFERROR(__xludf.DUMMYFUNCTION("""COMPUTED_VALUE"""),"Fixing Fuel Level Monitoring")</f>
        <v>Fixing Fuel Level Monitoring</v>
      </c>
      <c r="E213" s="422" t="str">
        <f>IFERROR(__xludf.DUMMYFUNCTION("""COMPUTED_VALUE"""),"TNI0073 Need to fix fuel level cannot monitoring at NMS.")</f>
        <v>TNI0073 Need to fix fuel level cannot monitoring at NMS.</v>
      </c>
      <c r="F213" s="424">
        <f>IFERROR(__xludf.DUMMYFUNCTION("""COMPUTED_VALUE"""),46036.0)</f>
        <v>46036</v>
      </c>
      <c r="G213" s="424">
        <f>IFERROR(__xludf.DUMMYFUNCTION("""COMPUTED_VALUE"""),46042.0)</f>
        <v>46042</v>
      </c>
      <c r="H213" s="422"/>
      <c r="I213" s="422"/>
      <c r="J213" s="422"/>
      <c r="K213" s="422"/>
      <c r="L213" s="422"/>
      <c r="M213" s="422"/>
      <c r="N213" s="422"/>
      <c r="O213" s="422"/>
      <c r="P213" s="422">
        <f>IFERROR(__xludf.DUMMYFUNCTION("""COMPUTED_VALUE"""),0.0)</f>
        <v>0</v>
      </c>
      <c r="Q213" s="422"/>
      <c r="R213" s="98"/>
      <c r="S213" s="98" t="str">
        <f>IFERROR(__xludf.DUMMYFUNCTION("""COMPUTED_VALUE"""),"myt_aunglwin.phyo")</f>
        <v>myt_aunglwin.phyo</v>
      </c>
      <c r="T213" s="98" t="str">
        <f>IFERROR(__xludf.DUMMYFUNCTION("""COMPUTED_VALUE"""),"TNI0073")</f>
        <v>TNI0073</v>
      </c>
    </row>
    <row r="214">
      <c r="A214" s="422">
        <f>IFERROR(__xludf.DUMMYFUNCTION("""COMPUTED_VALUE"""),212.0)</f>
        <v>212</v>
      </c>
      <c r="B214" s="422" t="str">
        <f>IFERROR(__xludf.DUMMYFUNCTION("""COMPUTED_VALUE"""),"M&amp;E")</f>
        <v>M&amp;E</v>
      </c>
      <c r="C214" s="422" t="str">
        <f>IFERROR(__xludf.DUMMYFUNCTION("""COMPUTED_VALUE"""),"Team 01")</f>
        <v>Team 01</v>
      </c>
      <c r="D214" s="422" t="str">
        <f>IFERROR(__xludf.DUMMYFUNCTION("""COMPUTED_VALUE"""),"Fixing Fuel Level Monitoring")</f>
        <v>Fixing Fuel Level Monitoring</v>
      </c>
      <c r="E214" s="422" t="str">
        <f>IFERROR(__xludf.DUMMYFUNCTION("""COMPUTED_VALUE"""),"TNI0153 Need to fix fuel level cannot monitoring at NMS.")</f>
        <v>TNI0153 Need to fix fuel level cannot monitoring at NMS.</v>
      </c>
      <c r="F214" s="424">
        <f>IFERROR(__xludf.DUMMYFUNCTION("""COMPUTED_VALUE"""),46036.0)</f>
        <v>46036</v>
      </c>
      <c r="G214" s="424">
        <f>IFERROR(__xludf.DUMMYFUNCTION("""COMPUTED_VALUE"""),46042.0)</f>
        <v>46042</v>
      </c>
      <c r="H214" s="422"/>
      <c r="I214" s="422"/>
      <c r="J214" s="422"/>
      <c r="K214" s="422"/>
      <c r="L214" s="422"/>
      <c r="M214" s="422"/>
      <c r="N214" s="422"/>
      <c r="O214" s="422"/>
      <c r="P214" s="422">
        <f>IFERROR(__xludf.DUMMYFUNCTION("""COMPUTED_VALUE"""),0.0)</f>
        <v>0</v>
      </c>
      <c r="Q214" s="422"/>
      <c r="R214" s="98"/>
      <c r="S214" s="98" t="str">
        <f>IFERROR(__xludf.DUMMYFUNCTION("""COMPUTED_VALUE"""),"Thu Rain Niang")</f>
        <v>Thu Rain Niang</v>
      </c>
      <c r="T214" s="98" t="str">
        <f>IFERROR(__xludf.DUMMYFUNCTION("""COMPUTED_VALUE"""),"TNI0153")</f>
        <v>TNI0153</v>
      </c>
    </row>
    <row r="215">
      <c r="A215" s="422">
        <f>IFERROR(__xludf.DUMMYFUNCTION("""COMPUTED_VALUE"""),213.0)</f>
        <v>213</v>
      </c>
      <c r="B215" s="422" t="str">
        <f>IFERROR(__xludf.DUMMYFUNCTION("""COMPUTED_VALUE"""),"M&amp;E")</f>
        <v>M&amp;E</v>
      </c>
      <c r="C215" s="422" t="str">
        <f>IFERROR(__xludf.DUMMYFUNCTION("""COMPUTED_VALUE"""),"Team 01")</f>
        <v>Team 01</v>
      </c>
      <c r="D215" s="422" t="str">
        <f>IFERROR(__xludf.DUMMYFUNCTION("""COMPUTED_VALUE"""),"Fixing Fuel Level Monitoring")</f>
        <v>Fixing Fuel Level Monitoring</v>
      </c>
      <c r="E215" s="422" t="str">
        <f>IFERROR(__xludf.DUMMYFUNCTION("""COMPUTED_VALUE"""),"TNI0247 Need to fix fuel level cannot monitoring at NMS.")</f>
        <v>TNI0247 Need to fix fuel level cannot monitoring at NMS.</v>
      </c>
      <c r="F215" s="424">
        <f>IFERROR(__xludf.DUMMYFUNCTION("""COMPUTED_VALUE"""),46036.0)</f>
        <v>46036</v>
      </c>
      <c r="G215" s="424">
        <f>IFERROR(__xludf.DUMMYFUNCTION("""COMPUTED_VALUE"""),46042.0)</f>
        <v>46042</v>
      </c>
      <c r="H215" s="422"/>
      <c r="I215" s="422"/>
      <c r="J215" s="422"/>
      <c r="K215" s="422"/>
      <c r="L215" s="422"/>
      <c r="M215" s="422"/>
      <c r="N215" s="422"/>
      <c r="O215" s="422"/>
      <c r="P215" s="422">
        <f>IFERROR(__xludf.DUMMYFUNCTION("""COMPUTED_VALUE"""),0.0)</f>
        <v>0</v>
      </c>
      <c r="Q215" s="422"/>
      <c r="R215" s="98"/>
      <c r="S215" s="98" t="str">
        <f>IFERROR(__xludf.DUMMYFUNCTION("""COMPUTED_VALUE"""),"myt_myothant.htoo")</f>
        <v>myt_myothant.htoo</v>
      </c>
      <c r="T215" s="98" t="str">
        <f>IFERROR(__xludf.DUMMYFUNCTION("""COMPUTED_VALUE"""),"TNI0247")</f>
        <v>TNI0247</v>
      </c>
    </row>
    <row r="216">
      <c r="A216" s="422">
        <f>IFERROR(__xludf.DUMMYFUNCTION("""COMPUTED_VALUE"""),214.0)</f>
        <v>214</v>
      </c>
      <c r="B216" s="422" t="str">
        <f>IFERROR(__xludf.DUMMYFUNCTION("""COMPUTED_VALUE"""),"M&amp;E")</f>
        <v>M&amp;E</v>
      </c>
      <c r="C216" s="422" t="str">
        <f>IFERROR(__xludf.DUMMYFUNCTION("""COMPUTED_VALUE"""),"Team 01")</f>
        <v>Team 01</v>
      </c>
      <c r="D216" s="422" t="str">
        <f>IFERROR(__xludf.DUMMYFUNCTION("""COMPUTED_VALUE"""),"Fixing Fuel Level Monitoring")</f>
        <v>Fixing Fuel Level Monitoring</v>
      </c>
      <c r="E216" s="422" t="str">
        <f>IFERROR(__xludf.DUMMYFUNCTION("""COMPUTED_VALUE"""),"TNI0251 Need to fix fuel level cannot monitoring at NMS.")</f>
        <v>TNI0251 Need to fix fuel level cannot monitoring at NMS.</v>
      </c>
      <c r="F216" s="424">
        <f>IFERROR(__xludf.DUMMYFUNCTION("""COMPUTED_VALUE"""),46036.0)</f>
        <v>46036</v>
      </c>
      <c r="G216" s="424">
        <f>IFERROR(__xludf.DUMMYFUNCTION("""COMPUTED_VALUE"""),46042.0)</f>
        <v>46042</v>
      </c>
      <c r="H216" s="422"/>
      <c r="I216" s="422"/>
      <c r="J216" s="422"/>
      <c r="K216" s="422"/>
      <c r="L216" s="422"/>
      <c r="M216" s="422"/>
      <c r="N216" s="422"/>
      <c r="O216" s="422"/>
      <c r="P216" s="422">
        <f>IFERROR(__xludf.DUMMYFUNCTION("""COMPUTED_VALUE"""),0.0)</f>
        <v>0</v>
      </c>
      <c r="Q216" s="422"/>
      <c r="R216" s="98"/>
      <c r="S216" s="98" t="str">
        <f>IFERROR(__xludf.DUMMYFUNCTION("""COMPUTED_VALUE"""),"myt_bhonehtet.aung")</f>
        <v>myt_bhonehtet.aung</v>
      </c>
      <c r="T216" s="98" t="str">
        <f>IFERROR(__xludf.DUMMYFUNCTION("""COMPUTED_VALUE"""),"TNI0251")</f>
        <v>TNI0251</v>
      </c>
    </row>
    <row r="217">
      <c r="A217" s="422">
        <f>IFERROR(__xludf.DUMMYFUNCTION("""COMPUTED_VALUE"""),215.0)</f>
        <v>215</v>
      </c>
      <c r="B217" s="422" t="str">
        <f>IFERROR(__xludf.DUMMYFUNCTION("""COMPUTED_VALUE"""),"M&amp;E")</f>
        <v>M&amp;E</v>
      </c>
      <c r="C217" s="422" t="str">
        <f>IFERROR(__xludf.DUMMYFUNCTION("""COMPUTED_VALUE"""),"Team 01")</f>
        <v>Team 01</v>
      </c>
      <c r="D217" s="422" t="str">
        <f>IFERROR(__xludf.DUMMYFUNCTION("""COMPUTED_VALUE"""),"Fixing Fuel Level Monitoring")</f>
        <v>Fixing Fuel Level Monitoring</v>
      </c>
      <c r="E217" s="422" t="str">
        <f>IFERROR(__xludf.DUMMYFUNCTION("""COMPUTED_VALUE"""),"TNI0264 Need to fix fuel level cannot monitoring at NMS.")</f>
        <v>TNI0264 Need to fix fuel level cannot monitoring at NMS.</v>
      </c>
      <c r="F217" s="424">
        <f>IFERROR(__xludf.DUMMYFUNCTION("""COMPUTED_VALUE"""),46036.0)</f>
        <v>46036</v>
      </c>
      <c r="G217" s="424">
        <f>IFERROR(__xludf.DUMMYFUNCTION("""COMPUTED_VALUE"""),46042.0)</f>
        <v>46042</v>
      </c>
      <c r="H217" s="422"/>
      <c r="I217" s="422"/>
      <c r="J217" s="422"/>
      <c r="K217" s="422"/>
      <c r="L217" s="422"/>
      <c r="M217" s="422"/>
      <c r="N217" s="422"/>
      <c r="O217" s="422"/>
      <c r="P217" s="422">
        <f>IFERROR(__xludf.DUMMYFUNCTION("""COMPUTED_VALUE"""),0.0)</f>
        <v>0</v>
      </c>
      <c r="Q217" s="422"/>
      <c r="R217" s="98"/>
      <c r="S217" s="98" t="str">
        <f>IFERROR(__xludf.DUMMYFUNCTION("""COMPUTED_VALUE"""),"myt_aunglwin.phyo")</f>
        <v>myt_aunglwin.phyo</v>
      </c>
      <c r="T217" s="98" t="str">
        <f>IFERROR(__xludf.DUMMYFUNCTION("""COMPUTED_VALUE"""),"TNI0264")</f>
        <v>TNI0264</v>
      </c>
    </row>
    <row r="218">
      <c r="A218" s="422">
        <f>IFERROR(__xludf.DUMMYFUNCTION("""COMPUTED_VALUE"""),216.0)</f>
        <v>216</v>
      </c>
      <c r="B218" s="422" t="str">
        <f>IFERROR(__xludf.DUMMYFUNCTION("""COMPUTED_VALUE"""),"M&amp;E")</f>
        <v>M&amp;E</v>
      </c>
      <c r="C218" s="422" t="str">
        <f>IFERROR(__xludf.DUMMYFUNCTION("""COMPUTED_VALUE"""),"Team 01")</f>
        <v>Team 01</v>
      </c>
      <c r="D218" s="422" t="str">
        <f>IFERROR(__xludf.DUMMYFUNCTION("""COMPUTED_VALUE"""),"Fixing Fuel Level Monitoring")</f>
        <v>Fixing Fuel Level Monitoring</v>
      </c>
      <c r="E218" s="422" t="str">
        <f>IFERROR(__xludf.DUMMYFUNCTION("""COMPUTED_VALUE"""),"TNI0272 Need to fix fuel level cannot monitoring at NMS.")</f>
        <v>TNI0272 Need to fix fuel level cannot monitoring at NMS.</v>
      </c>
      <c r="F218" s="424">
        <f>IFERROR(__xludf.DUMMYFUNCTION("""COMPUTED_VALUE"""),46036.0)</f>
        <v>46036</v>
      </c>
      <c r="G218" s="424">
        <f>IFERROR(__xludf.DUMMYFUNCTION("""COMPUTED_VALUE"""),46042.0)</f>
        <v>46042</v>
      </c>
      <c r="H218" s="422"/>
      <c r="I218" s="422"/>
      <c r="J218" s="422"/>
      <c r="K218" s="422"/>
      <c r="L218" s="422"/>
      <c r="M218" s="422"/>
      <c r="N218" s="422"/>
      <c r="O218" s="422"/>
      <c r="P218" s="422">
        <f>IFERROR(__xludf.DUMMYFUNCTION("""COMPUTED_VALUE"""),0.0)</f>
        <v>0</v>
      </c>
      <c r="Q218" s="422"/>
      <c r="R218" s="98"/>
      <c r="S218" s="98" t="str">
        <f>IFERROR(__xludf.DUMMYFUNCTION("""COMPUTED_VALUE"""),"myt_aunglwin.phyo")</f>
        <v>myt_aunglwin.phyo</v>
      </c>
      <c r="T218" s="98" t="str">
        <f>IFERROR(__xludf.DUMMYFUNCTION("""COMPUTED_VALUE"""),"TNI0272")</f>
        <v>TNI0272</v>
      </c>
    </row>
    <row r="219">
      <c r="A219" s="422">
        <f>IFERROR(__xludf.DUMMYFUNCTION("""COMPUTED_VALUE"""),217.0)</f>
        <v>217</v>
      </c>
      <c r="B219" s="422" t="str">
        <f>IFERROR(__xludf.DUMMYFUNCTION("""COMPUTED_VALUE"""),"M&amp;E")</f>
        <v>M&amp;E</v>
      </c>
      <c r="C219" s="422" t="str">
        <f>IFERROR(__xludf.DUMMYFUNCTION("""COMPUTED_VALUE"""),"Team 01")</f>
        <v>Team 01</v>
      </c>
      <c r="D219" s="422" t="str">
        <f>IFERROR(__xludf.DUMMYFUNCTION("""COMPUTED_VALUE"""),"Fixing Fuel Level Monitoring")</f>
        <v>Fixing Fuel Level Monitoring</v>
      </c>
      <c r="E219" s="422" t="str">
        <f>IFERROR(__xludf.DUMMYFUNCTION("""COMPUTED_VALUE"""),"TNI0322  Need to do fuel level can monitoring")</f>
        <v>TNI0322  Need to do fuel level can monitoring</v>
      </c>
      <c r="F219" s="424">
        <f>IFERROR(__xludf.DUMMYFUNCTION("""COMPUTED_VALUE"""),46072.0)</f>
        <v>46072</v>
      </c>
      <c r="G219" s="424">
        <f>IFERROR(__xludf.DUMMYFUNCTION("""COMPUTED_VALUE"""),46078.0)</f>
        <v>46078</v>
      </c>
      <c r="H219" s="422"/>
      <c r="I219" s="422"/>
      <c r="J219" s="422"/>
      <c r="K219" s="422"/>
      <c r="L219" s="422"/>
      <c r="M219" s="422"/>
      <c r="N219" s="422"/>
      <c r="O219" s="422"/>
      <c r="P219" s="422">
        <f>IFERROR(__xludf.DUMMYFUNCTION("""COMPUTED_VALUE"""),0.0)</f>
        <v>0</v>
      </c>
      <c r="Q219" s="422"/>
      <c r="R219" s="98"/>
      <c r="S219" s="98" t="str">
        <f>IFERROR(__xludf.DUMMYFUNCTION("""COMPUTED_VALUE"""),"myt_tharhtoo.aung11")</f>
        <v>myt_tharhtoo.aung11</v>
      </c>
      <c r="T219" s="98" t="str">
        <f>IFERROR(__xludf.DUMMYFUNCTION("""COMPUTED_VALUE"""),"TNI0322")</f>
        <v>TNI0322</v>
      </c>
    </row>
    <row r="220">
      <c r="A220" s="422">
        <f>IFERROR(__xludf.DUMMYFUNCTION("""COMPUTED_VALUE"""),218.0)</f>
        <v>218</v>
      </c>
      <c r="B220" s="422" t="str">
        <f>IFERROR(__xludf.DUMMYFUNCTION("""COMPUTED_VALUE"""),"M&amp;E")</f>
        <v>M&amp;E</v>
      </c>
      <c r="C220" s="422" t="str">
        <f>IFERROR(__xludf.DUMMYFUNCTION("""COMPUTED_VALUE"""),"Team 01")</f>
        <v>Team 01</v>
      </c>
      <c r="D220" s="422" t="str">
        <f>IFERROR(__xludf.DUMMYFUNCTION("""COMPUTED_VALUE"""),"Fixing Fuel Level Monitoring")</f>
        <v>Fixing Fuel Level Monitoring</v>
      </c>
      <c r="E220" s="422" t="str">
        <f>IFERROR(__xludf.DUMMYFUNCTION("""COMPUTED_VALUE"""),"TNI0052 Need to do fuel level can monitoring ")</f>
        <v>TNI0052 Need to do fuel level can monitoring </v>
      </c>
      <c r="F220" s="424">
        <f>IFERROR(__xludf.DUMMYFUNCTION("""COMPUTED_VALUE"""),46072.0)</f>
        <v>46072</v>
      </c>
      <c r="G220" s="424">
        <f>IFERROR(__xludf.DUMMYFUNCTION("""COMPUTED_VALUE"""),46078.0)</f>
        <v>46078</v>
      </c>
      <c r="H220" s="422" t="str">
        <f>IFERROR(__xludf.DUMMYFUNCTION("""COMPUTED_VALUE"""),"VCM850207-Bone Myat Naing, VCM859702-Myo Thant Htoo")</f>
        <v>VCM850207-Bone Myat Naing, VCM859702-Myo Thant Htoo</v>
      </c>
      <c r="I220" s="422"/>
      <c r="J220" s="422"/>
      <c r="K220" s="422"/>
      <c r="L220" s="422"/>
      <c r="M220" s="422"/>
      <c r="N220" s="422"/>
      <c r="O220" s="422"/>
      <c r="P220" s="422">
        <f>IFERROR(__xludf.DUMMYFUNCTION("""COMPUTED_VALUE"""),0.0)</f>
        <v>0</v>
      </c>
      <c r="Q220" s="422"/>
      <c r="R220" s="98"/>
      <c r="S220" s="98" t="str">
        <f>IFERROR(__xludf.DUMMYFUNCTION("""COMPUTED_VALUE"""),"myt_bonemyat.naing1")</f>
        <v>myt_bonemyat.naing1</v>
      </c>
      <c r="T220" s="98" t="str">
        <f>IFERROR(__xludf.DUMMYFUNCTION("""COMPUTED_VALUE"""),"TNI0052")</f>
        <v>TNI0052</v>
      </c>
    </row>
    <row r="221">
      <c r="A221" s="422">
        <f>IFERROR(__xludf.DUMMYFUNCTION("""COMPUTED_VALUE"""),219.0)</f>
        <v>219</v>
      </c>
      <c r="B221" s="422" t="str">
        <f>IFERROR(__xludf.DUMMYFUNCTION("""COMPUTED_VALUE"""),"M&amp;E")</f>
        <v>M&amp;E</v>
      </c>
      <c r="C221" s="422" t="str">
        <f>IFERROR(__xludf.DUMMYFUNCTION("""COMPUTED_VALUE"""),"Team 01")</f>
        <v>Team 01</v>
      </c>
      <c r="D221" s="422" t="str">
        <f>IFERROR(__xludf.DUMMYFUNCTION("""COMPUTED_VALUE"""),"Need to Cut Tree")</f>
        <v>Need to Cut Tree</v>
      </c>
      <c r="E221" s="422" t="str">
        <f>IFERROR(__xludf.DUMMYFUNCTION("""COMPUTED_VALUE"""),"TNI0206 Need to cut tree for solar at TNI0206")</f>
        <v>TNI0206 Need to cut tree for solar at TNI0206</v>
      </c>
      <c r="F221" s="424">
        <f>IFERROR(__xludf.DUMMYFUNCTION("""COMPUTED_VALUE"""),46036.0)</f>
        <v>46036</v>
      </c>
      <c r="G221" s="424">
        <f>IFERROR(__xludf.DUMMYFUNCTION("""COMPUTED_VALUE"""),46011.0)</f>
        <v>46011</v>
      </c>
      <c r="H221" s="422"/>
      <c r="I221" s="422"/>
      <c r="J221" s="422"/>
      <c r="K221" s="422"/>
      <c r="L221" s="422"/>
      <c r="M221" s="422"/>
      <c r="N221" s="422"/>
      <c r="O221" s="422">
        <f>IFERROR(__xludf.DUMMYFUNCTION("""COMPUTED_VALUE"""),0.0)</f>
        <v>0</v>
      </c>
      <c r="P221" s="422">
        <f>IFERROR(__xludf.DUMMYFUNCTION("""COMPUTED_VALUE"""),0.0)</f>
        <v>0</v>
      </c>
      <c r="Q221" s="422"/>
      <c r="R221" s="98"/>
      <c r="S221" s="98" t="str">
        <f>IFERROR(__xludf.DUMMYFUNCTION("""COMPUTED_VALUE"""),"Thu Rain Niang")</f>
        <v>Thu Rain Niang</v>
      </c>
      <c r="T221" s="98" t="str">
        <f>IFERROR(__xludf.DUMMYFUNCTION("""COMPUTED_VALUE"""),"TNI0206")</f>
        <v>TNI0206</v>
      </c>
    </row>
    <row r="222">
      <c r="A222" s="422">
        <f>IFERROR(__xludf.DUMMYFUNCTION("""COMPUTED_VALUE"""),220.0)</f>
        <v>220</v>
      </c>
      <c r="B222" s="422" t="str">
        <f>IFERROR(__xludf.DUMMYFUNCTION("""COMPUTED_VALUE"""),"M&amp;E")</f>
        <v>M&amp;E</v>
      </c>
      <c r="C222" s="422" t="str">
        <f>IFERROR(__xludf.DUMMYFUNCTION("""COMPUTED_VALUE"""),"Team 01")</f>
        <v>Team 01</v>
      </c>
      <c r="D222" s="422" t="str">
        <f>IFERROR(__xludf.DUMMYFUNCTION("""COMPUTED_VALUE"""),"Smart CB")</f>
        <v>Smart CB</v>
      </c>
      <c r="E222" s="422" t="str">
        <f>IFERROR(__xludf.DUMMYFUNCTION("""COMPUTED_VALUE"""),"TNI0089")</f>
        <v>TNI0089</v>
      </c>
      <c r="F222" s="424">
        <f>IFERROR(__xludf.DUMMYFUNCTION("""COMPUTED_VALUE"""),46154.0)</f>
        <v>46154</v>
      </c>
      <c r="G222" s="424">
        <f>IFERROR(__xludf.DUMMYFUNCTION("""COMPUTED_VALUE"""),46173.0)</f>
        <v>46173</v>
      </c>
      <c r="H222" s="422"/>
      <c r="I222" s="422"/>
      <c r="J222" s="422"/>
      <c r="K222" s="422"/>
      <c r="L222" s="422"/>
      <c r="M222" s="422"/>
      <c r="N222" s="422"/>
      <c r="O222" s="422"/>
      <c r="P222" s="422"/>
      <c r="Q222" s="422"/>
      <c r="R222" s="98"/>
      <c r="S222" s="98" t="str">
        <f>IFERROR(__xludf.DUMMYFUNCTION("""COMPUTED_VALUE"""),"myt_myothant.htoo")</f>
        <v>myt_myothant.htoo</v>
      </c>
      <c r="T222" s="98" t="str">
        <f>IFERROR(__xludf.DUMMYFUNCTION("""COMPUTED_VALUE"""),"TNI0089")</f>
        <v>TNI0089</v>
      </c>
    </row>
    <row r="223">
      <c r="A223" s="422">
        <f>IFERROR(__xludf.DUMMYFUNCTION("""COMPUTED_VALUE"""),221.0)</f>
        <v>221</v>
      </c>
      <c r="B223" s="422" t="str">
        <f>IFERROR(__xludf.DUMMYFUNCTION("""COMPUTED_VALUE"""),"M&amp;E")</f>
        <v>M&amp;E</v>
      </c>
      <c r="C223" s="422" t="str">
        <f>IFERROR(__xludf.DUMMYFUNCTION("""COMPUTED_VALUE"""),"Team 01")</f>
        <v>Team 01</v>
      </c>
      <c r="D223" s="422" t="str">
        <f>IFERROR(__xludf.DUMMYFUNCTION("""COMPUTED_VALUE"""),"Smart CB")</f>
        <v>Smart CB</v>
      </c>
      <c r="E223" s="422" t="str">
        <f>IFERROR(__xludf.DUMMYFUNCTION("""COMPUTED_VALUE"""),"TNI0206")</f>
        <v>TNI0206</v>
      </c>
      <c r="F223" s="424">
        <f>IFERROR(__xludf.DUMMYFUNCTION("""COMPUTED_VALUE"""),46154.0)</f>
        <v>46154</v>
      </c>
      <c r="G223" s="424">
        <f>IFERROR(__xludf.DUMMYFUNCTION("""COMPUTED_VALUE"""),46173.0)</f>
        <v>46173</v>
      </c>
      <c r="H223" s="422"/>
      <c r="I223" s="422"/>
      <c r="J223" s="422"/>
      <c r="K223" s="422"/>
      <c r="L223" s="422"/>
      <c r="M223" s="422"/>
      <c r="N223" s="422"/>
      <c r="O223" s="422"/>
      <c r="P223" s="422"/>
      <c r="Q223" s="422"/>
      <c r="R223" s="98"/>
      <c r="S223" s="98" t="str">
        <f>IFERROR(__xludf.DUMMYFUNCTION("""COMPUTED_VALUE"""),"Thu Rain Niang")</f>
        <v>Thu Rain Niang</v>
      </c>
      <c r="T223" s="98" t="str">
        <f>IFERROR(__xludf.DUMMYFUNCTION("""COMPUTED_VALUE"""),"TNI0206")</f>
        <v>TNI0206</v>
      </c>
    </row>
    <row r="224">
      <c r="A224" s="422">
        <f>IFERROR(__xludf.DUMMYFUNCTION("""COMPUTED_VALUE"""),222.0)</f>
        <v>222</v>
      </c>
      <c r="B224" s="422" t="str">
        <f>IFERROR(__xludf.DUMMYFUNCTION("""COMPUTED_VALUE"""),"M&amp;E")</f>
        <v>M&amp;E</v>
      </c>
      <c r="C224" s="422" t="str">
        <f>IFERROR(__xludf.DUMMYFUNCTION("""COMPUTED_VALUE"""),"Team 01")</f>
        <v>Team 01</v>
      </c>
      <c r="D224" s="422" t="str">
        <f>IFERROR(__xludf.DUMMYFUNCTION("""COMPUTED_VALUE"""),"Smart CB")</f>
        <v>Smart CB</v>
      </c>
      <c r="E224" s="422" t="str">
        <f>IFERROR(__xludf.DUMMYFUNCTION("""COMPUTED_VALUE"""),"TNI0207")</f>
        <v>TNI0207</v>
      </c>
      <c r="F224" s="424">
        <f>IFERROR(__xludf.DUMMYFUNCTION("""COMPUTED_VALUE"""),46154.0)</f>
        <v>46154</v>
      </c>
      <c r="G224" s="424">
        <f>IFERROR(__xludf.DUMMYFUNCTION("""COMPUTED_VALUE"""),46173.0)</f>
        <v>46173</v>
      </c>
      <c r="H224" s="422"/>
      <c r="I224" s="422"/>
      <c r="J224" s="422"/>
      <c r="K224" s="422"/>
      <c r="L224" s="422"/>
      <c r="M224" s="422"/>
      <c r="N224" s="422"/>
      <c r="O224" s="422"/>
      <c r="P224" s="422"/>
      <c r="Q224" s="422"/>
      <c r="R224" s="98"/>
      <c r="S224" s="98" t="str">
        <f>IFERROR(__xludf.DUMMYFUNCTION("""COMPUTED_VALUE"""),"myt_bhonehtet.aung")</f>
        <v>myt_bhonehtet.aung</v>
      </c>
      <c r="T224" s="98" t="str">
        <f>IFERROR(__xludf.DUMMYFUNCTION("""COMPUTED_VALUE"""),"TNI0207")</f>
        <v>TNI0207</v>
      </c>
    </row>
    <row r="225">
      <c r="A225" s="422">
        <f>IFERROR(__xludf.DUMMYFUNCTION("""COMPUTED_VALUE"""),223.0)</f>
        <v>223</v>
      </c>
      <c r="B225" s="422" t="str">
        <f>IFERROR(__xludf.DUMMYFUNCTION("""COMPUTED_VALUE"""),"M&amp;E")</f>
        <v>M&amp;E</v>
      </c>
      <c r="C225" s="422" t="str">
        <f>IFERROR(__xludf.DUMMYFUNCTION("""COMPUTED_VALUE"""),"Team 01")</f>
        <v>Team 01</v>
      </c>
      <c r="D225" s="422" t="str">
        <f>IFERROR(__xludf.DUMMYFUNCTION("""COMPUTED_VALUE"""),"Smart CB")</f>
        <v>Smart CB</v>
      </c>
      <c r="E225" s="422" t="str">
        <f>IFERROR(__xludf.DUMMYFUNCTION("""COMPUTED_VALUE"""),"TNI0129")</f>
        <v>TNI0129</v>
      </c>
      <c r="F225" s="424">
        <f>IFERROR(__xludf.DUMMYFUNCTION("""COMPUTED_VALUE"""),46154.0)</f>
        <v>46154</v>
      </c>
      <c r="G225" s="424">
        <f>IFERROR(__xludf.DUMMYFUNCTION("""COMPUTED_VALUE"""),46173.0)</f>
        <v>46173</v>
      </c>
      <c r="H225" s="422"/>
      <c r="I225" s="422"/>
      <c r="J225" s="422"/>
      <c r="K225" s="422"/>
      <c r="L225" s="422"/>
      <c r="M225" s="422"/>
      <c r="N225" s="422"/>
      <c r="O225" s="422"/>
      <c r="P225" s="422"/>
      <c r="Q225" s="422"/>
      <c r="R225" s="98"/>
      <c r="S225" s="98" t="str">
        <f>IFERROR(__xludf.DUMMYFUNCTION("""COMPUTED_VALUE"""),"Thu Rain Niang")</f>
        <v>Thu Rain Niang</v>
      </c>
      <c r="T225" s="98" t="str">
        <f>IFERROR(__xludf.DUMMYFUNCTION("""COMPUTED_VALUE"""),"TNI0129")</f>
        <v>TNI0129</v>
      </c>
    </row>
    <row r="226">
      <c r="A226" s="422">
        <f>IFERROR(__xludf.DUMMYFUNCTION("""COMPUTED_VALUE"""),224.0)</f>
        <v>224</v>
      </c>
      <c r="B226" s="422" t="str">
        <f>IFERROR(__xludf.DUMMYFUNCTION("""COMPUTED_VALUE"""),"M&amp;E")</f>
        <v>M&amp;E</v>
      </c>
      <c r="C226" s="422" t="str">
        <f>IFERROR(__xludf.DUMMYFUNCTION("""COMPUTED_VALUE"""),"Team 01")</f>
        <v>Team 01</v>
      </c>
      <c r="D226" s="422" t="str">
        <f>IFERROR(__xludf.DUMMYFUNCTION("""COMPUTED_VALUE"""),"Smart CB")</f>
        <v>Smart CB</v>
      </c>
      <c r="E226" s="422" t="str">
        <f>IFERROR(__xludf.DUMMYFUNCTION("""COMPUTED_VALUE"""),"TNI0306")</f>
        <v>TNI0306</v>
      </c>
      <c r="F226" s="424">
        <f>IFERROR(__xludf.DUMMYFUNCTION("""COMPUTED_VALUE"""),46154.0)</f>
        <v>46154</v>
      </c>
      <c r="G226" s="424">
        <f>IFERROR(__xludf.DUMMYFUNCTION("""COMPUTED_VALUE"""),46173.0)</f>
        <v>46173</v>
      </c>
      <c r="H226" s="422"/>
      <c r="I226" s="422"/>
      <c r="J226" s="422"/>
      <c r="K226" s="422"/>
      <c r="L226" s="422"/>
      <c r="M226" s="422"/>
      <c r="N226" s="422"/>
      <c r="O226" s="422"/>
      <c r="P226" s="422"/>
      <c r="Q226" s="422"/>
      <c r="R226" s="98"/>
      <c r="S226" s="98" t="str">
        <f>IFERROR(__xludf.DUMMYFUNCTION("""COMPUTED_VALUE"""),"myt_bonemyat.naing1")</f>
        <v>myt_bonemyat.naing1</v>
      </c>
      <c r="T226" s="98" t="str">
        <f>IFERROR(__xludf.DUMMYFUNCTION("""COMPUTED_VALUE"""),"TNI0306")</f>
        <v>TNI0306</v>
      </c>
    </row>
    <row r="227">
      <c r="A227" s="422">
        <f>IFERROR(__xludf.DUMMYFUNCTION("""COMPUTED_VALUE"""),225.0)</f>
        <v>225</v>
      </c>
      <c r="B227" s="422" t="str">
        <f>IFERROR(__xludf.DUMMYFUNCTION("""COMPUTED_VALUE"""),"M&amp;E")</f>
        <v>M&amp;E</v>
      </c>
      <c r="C227" s="422" t="str">
        <f>IFERROR(__xludf.DUMMYFUNCTION("""COMPUTED_VALUE"""),"Team 01")</f>
        <v>Team 01</v>
      </c>
      <c r="D227" s="422" t="str">
        <f>IFERROR(__xludf.DUMMYFUNCTION("""COMPUTED_VALUE"""),"Smart CB")</f>
        <v>Smart CB</v>
      </c>
      <c r="E227" s="422" t="str">
        <f>IFERROR(__xludf.DUMMYFUNCTION("""COMPUTED_VALUE"""),"TNI0334")</f>
        <v>TNI0334</v>
      </c>
      <c r="F227" s="424">
        <f>IFERROR(__xludf.DUMMYFUNCTION("""COMPUTED_VALUE"""),46154.0)</f>
        <v>46154</v>
      </c>
      <c r="G227" s="424">
        <f>IFERROR(__xludf.DUMMYFUNCTION("""COMPUTED_VALUE"""),46173.0)</f>
        <v>46173</v>
      </c>
      <c r="H227" s="422"/>
      <c r="I227" s="422"/>
      <c r="J227" s="422"/>
      <c r="K227" s="422"/>
      <c r="L227" s="422"/>
      <c r="M227" s="422"/>
      <c r="N227" s="422"/>
      <c r="O227" s="422"/>
      <c r="P227" s="422"/>
      <c r="Q227" s="422"/>
      <c r="R227" s="98"/>
      <c r="S227" s="98" t="str">
        <f>IFERROR(__xludf.DUMMYFUNCTION("""COMPUTED_VALUE"""),"myt_bonemyat.naing1")</f>
        <v>myt_bonemyat.naing1</v>
      </c>
      <c r="T227" s="98" t="str">
        <f>IFERROR(__xludf.DUMMYFUNCTION("""COMPUTED_VALUE"""),"TNI0334")</f>
        <v>TNI0334</v>
      </c>
    </row>
    <row r="228">
      <c r="A228" s="422">
        <f>IFERROR(__xludf.DUMMYFUNCTION("""COMPUTED_VALUE"""),226.0)</f>
        <v>226</v>
      </c>
      <c r="B228" s="422" t="str">
        <f>IFERROR(__xludf.DUMMYFUNCTION("""COMPUTED_VALUE"""),"M&amp;E")</f>
        <v>M&amp;E</v>
      </c>
      <c r="C228" s="422" t="str">
        <f>IFERROR(__xludf.DUMMYFUNCTION("""COMPUTED_VALUE"""),"Team 01")</f>
        <v>Team 01</v>
      </c>
      <c r="D228" s="422" t="str">
        <f>IFERROR(__xludf.DUMMYFUNCTION("""COMPUTED_VALUE"""),"Smart CB")</f>
        <v>Smart CB</v>
      </c>
      <c r="E228" s="422" t="str">
        <f>IFERROR(__xludf.DUMMYFUNCTION("""COMPUTED_VALUE"""),"TNI0210")</f>
        <v>TNI0210</v>
      </c>
      <c r="F228" s="424">
        <f>IFERROR(__xludf.DUMMYFUNCTION("""COMPUTED_VALUE"""),46154.0)</f>
        <v>46154</v>
      </c>
      <c r="G228" s="424">
        <f>IFERROR(__xludf.DUMMYFUNCTION("""COMPUTED_VALUE"""),46173.0)</f>
        <v>46173</v>
      </c>
      <c r="H228" s="422"/>
      <c r="I228" s="422"/>
      <c r="J228" s="422"/>
      <c r="K228" s="422"/>
      <c r="L228" s="422"/>
      <c r="M228" s="422"/>
      <c r="N228" s="422"/>
      <c r="O228" s="422"/>
      <c r="P228" s="422"/>
      <c r="Q228" s="422"/>
      <c r="R228" s="98"/>
      <c r="S228" s="98" t="str">
        <f>IFERROR(__xludf.DUMMYFUNCTION("""COMPUTED_VALUE"""),"myt_tharhtoo.aung11")</f>
        <v>myt_tharhtoo.aung11</v>
      </c>
      <c r="T228" s="98" t="str">
        <f>IFERROR(__xludf.DUMMYFUNCTION("""COMPUTED_VALUE"""),"TNI0210")</f>
        <v>TNI0210</v>
      </c>
    </row>
    <row r="229">
      <c r="A229" s="422">
        <f>IFERROR(__xludf.DUMMYFUNCTION("""COMPUTED_VALUE"""),227.0)</f>
        <v>227</v>
      </c>
      <c r="B229" s="422" t="str">
        <f>IFERROR(__xludf.DUMMYFUNCTION("""COMPUTED_VALUE"""),"M&amp;E")</f>
        <v>M&amp;E</v>
      </c>
      <c r="C229" s="422" t="str">
        <f>IFERROR(__xludf.DUMMYFUNCTION("""COMPUTED_VALUE"""),"Team 01")</f>
        <v>Team 01</v>
      </c>
      <c r="D229" s="422" t="str">
        <f>IFERROR(__xludf.DUMMYFUNCTION("""COMPUTED_VALUE"""),"Smart CB")</f>
        <v>Smart CB</v>
      </c>
      <c r="E229" s="422" t="str">
        <f>IFERROR(__xludf.DUMMYFUNCTION("""COMPUTED_VALUE"""),"TNI0198")</f>
        <v>TNI0198</v>
      </c>
      <c r="F229" s="424">
        <f>IFERROR(__xludf.DUMMYFUNCTION("""COMPUTED_VALUE"""),46154.0)</f>
        <v>46154</v>
      </c>
      <c r="G229" s="424">
        <f>IFERROR(__xludf.DUMMYFUNCTION("""COMPUTED_VALUE"""),46173.0)</f>
        <v>46173</v>
      </c>
      <c r="H229" s="422"/>
      <c r="I229" s="422"/>
      <c r="J229" s="422"/>
      <c r="K229" s="422"/>
      <c r="L229" s="422"/>
      <c r="M229" s="422"/>
      <c r="N229" s="422"/>
      <c r="O229" s="422"/>
      <c r="P229" s="422"/>
      <c r="Q229" s="422"/>
      <c r="R229" s="98"/>
      <c r="S229" s="98" t="str">
        <f>IFERROR(__xludf.DUMMYFUNCTION("""COMPUTED_VALUE"""),"myt_myothant.htoo")</f>
        <v>myt_myothant.htoo</v>
      </c>
      <c r="T229" s="98" t="str">
        <f>IFERROR(__xludf.DUMMYFUNCTION("""COMPUTED_VALUE"""),"TNI0198")</f>
        <v>TNI0198</v>
      </c>
    </row>
    <row r="230">
      <c r="A230" s="422">
        <f>IFERROR(__xludf.DUMMYFUNCTION("""COMPUTED_VALUE"""),228.0)</f>
        <v>228</v>
      </c>
      <c r="B230" s="422" t="str">
        <f>IFERROR(__xludf.DUMMYFUNCTION("""COMPUTED_VALUE"""),"M&amp;E")</f>
        <v>M&amp;E</v>
      </c>
      <c r="C230" s="422" t="str">
        <f>IFERROR(__xludf.DUMMYFUNCTION("""COMPUTED_VALUE"""),"Team 01")</f>
        <v>Team 01</v>
      </c>
      <c r="D230" s="422" t="str">
        <f>IFERROR(__xludf.DUMMYFUNCTION("""COMPUTED_VALUE"""),"Smart CB")</f>
        <v>Smart CB</v>
      </c>
      <c r="E230" s="422" t="str">
        <f>IFERROR(__xludf.DUMMYFUNCTION("""COMPUTED_VALUE"""),"TNI0031")</f>
        <v>TNI0031</v>
      </c>
      <c r="F230" s="424">
        <f>IFERROR(__xludf.DUMMYFUNCTION("""COMPUTED_VALUE"""),46154.0)</f>
        <v>46154</v>
      </c>
      <c r="G230" s="424">
        <f>IFERROR(__xludf.DUMMYFUNCTION("""COMPUTED_VALUE"""),46173.0)</f>
        <v>46173</v>
      </c>
      <c r="H230" s="422"/>
      <c r="I230" s="422"/>
      <c r="J230" s="422"/>
      <c r="K230" s="422"/>
      <c r="L230" s="422"/>
      <c r="M230" s="422"/>
      <c r="N230" s="422"/>
      <c r="O230" s="422"/>
      <c r="P230" s="422"/>
      <c r="Q230" s="422"/>
      <c r="R230" s="98"/>
      <c r="S230" s="98" t="str">
        <f>IFERROR(__xludf.DUMMYFUNCTION("""COMPUTED_VALUE"""),"myt_bonemyat.naing1")</f>
        <v>myt_bonemyat.naing1</v>
      </c>
      <c r="T230" s="98" t="str">
        <f>IFERROR(__xludf.DUMMYFUNCTION("""COMPUTED_VALUE"""),"TNI0031")</f>
        <v>TNI0031</v>
      </c>
    </row>
    <row r="231">
      <c r="A231" s="422">
        <f>IFERROR(__xludf.DUMMYFUNCTION("""COMPUTED_VALUE"""),229.0)</f>
        <v>229</v>
      </c>
      <c r="B231" s="422" t="str">
        <f>IFERROR(__xludf.DUMMYFUNCTION("""COMPUTED_VALUE"""),"M&amp;E")</f>
        <v>M&amp;E</v>
      </c>
      <c r="C231" s="422" t="str">
        <f>IFERROR(__xludf.DUMMYFUNCTION("""COMPUTED_VALUE"""),"Team 01")</f>
        <v>Team 01</v>
      </c>
      <c r="D231" s="422" t="str">
        <f>IFERROR(__xludf.DUMMYFUNCTION("""COMPUTED_VALUE"""),"Smart CB")</f>
        <v>Smart CB</v>
      </c>
      <c r="E231" s="422" t="str">
        <f>IFERROR(__xludf.DUMMYFUNCTION("""COMPUTED_VALUE"""),"TNI0214")</f>
        <v>TNI0214</v>
      </c>
      <c r="F231" s="424">
        <f>IFERROR(__xludf.DUMMYFUNCTION("""COMPUTED_VALUE"""),46154.0)</f>
        <v>46154</v>
      </c>
      <c r="G231" s="424">
        <f>IFERROR(__xludf.DUMMYFUNCTION("""COMPUTED_VALUE"""),46173.0)</f>
        <v>46173</v>
      </c>
      <c r="H231" s="422"/>
      <c r="I231" s="422"/>
      <c r="J231" s="422"/>
      <c r="K231" s="422"/>
      <c r="L231" s="422"/>
      <c r="M231" s="422"/>
      <c r="N231" s="422"/>
      <c r="O231" s="422"/>
      <c r="P231" s="422"/>
      <c r="Q231" s="422"/>
      <c r="R231" s="98"/>
      <c r="S231" s="98" t="str">
        <f>IFERROR(__xludf.DUMMYFUNCTION("""COMPUTED_VALUE"""),"myt_bhonehtet.aung")</f>
        <v>myt_bhonehtet.aung</v>
      </c>
      <c r="T231" s="98" t="str">
        <f>IFERROR(__xludf.DUMMYFUNCTION("""COMPUTED_VALUE"""),"TNI0214")</f>
        <v>TNI0214</v>
      </c>
    </row>
    <row r="232">
      <c r="A232" s="422">
        <f>IFERROR(__xludf.DUMMYFUNCTION("""COMPUTED_VALUE"""),230.0)</f>
        <v>230</v>
      </c>
      <c r="B232" s="422" t="str">
        <f>IFERROR(__xludf.DUMMYFUNCTION("""COMPUTED_VALUE"""),"M&amp;E")</f>
        <v>M&amp;E</v>
      </c>
      <c r="C232" s="422" t="str">
        <f>IFERROR(__xludf.DUMMYFUNCTION("""COMPUTED_VALUE"""),"Team 01")</f>
        <v>Team 01</v>
      </c>
      <c r="D232" s="422" t="str">
        <f>IFERROR(__xludf.DUMMYFUNCTION("""COMPUTED_VALUE"""),"Solar power low ( &lt;1kW &amp; P&lt;50%)")</f>
        <v>Solar power low ( &lt;1kW &amp; P&lt;50%)</v>
      </c>
      <c r="E232" s="422" t="str">
        <f>IFERROR(__xludf.DUMMYFUNCTION("""COMPUTED_VALUE"""),"TNI0201 Need to check solar power low")</f>
        <v>TNI0201 Need to check solar power low</v>
      </c>
      <c r="F232" s="424">
        <f>IFERROR(__xludf.DUMMYFUNCTION("""COMPUTED_VALUE"""),46164.0)</f>
        <v>46164</v>
      </c>
      <c r="G232" s="424">
        <f>IFERROR(__xludf.DUMMYFUNCTION("""COMPUTED_VALUE"""),46167.0)</f>
        <v>46167</v>
      </c>
      <c r="H232" s="422"/>
      <c r="I232" s="422"/>
      <c r="J232" s="422"/>
      <c r="K232" s="422"/>
      <c r="L232" s="422"/>
      <c r="M232" s="422"/>
      <c r="N232" s="422"/>
      <c r="O232" s="422"/>
      <c r="P232" s="422"/>
      <c r="Q232" s="422"/>
      <c r="R232" s="98"/>
      <c r="S232" s="98" t="str">
        <f>IFERROR(__xludf.DUMMYFUNCTION("""COMPUTED_VALUE"""),"myt_aunglwin.phyo")</f>
        <v>myt_aunglwin.phyo</v>
      </c>
      <c r="T232" s="98" t="str">
        <f>IFERROR(__xludf.DUMMYFUNCTION("""COMPUTED_VALUE"""),"TNI0201")</f>
        <v>TNI0201</v>
      </c>
    </row>
    <row r="233">
      <c r="A233" s="422">
        <f>IFERROR(__xludf.DUMMYFUNCTION("""COMPUTED_VALUE"""),231.0)</f>
        <v>231</v>
      </c>
      <c r="B233" s="422" t="str">
        <f>IFERROR(__xludf.DUMMYFUNCTION("""COMPUTED_VALUE"""),"M&amp;E")</f>
        <v>M&amp;E</v>
      </c>
      <c r="C233" s="422" t="str">
        <f>IFERROR(__xludf.DUMMYFUNCTION("""COMPUTED_VALUE"""),"Team 01")</f>
        <v>Team 01</v>
      </c>
      <c r="D233" s="422" t="str">
        <f>IFERROR(__xludf.DUMMYFUNCTION("""COMPUTED_VALUE"""),"Solar power low ( &lt;1kW &amp; P&lt;50%)")</f>
        <v>Solar power low ( &lt;1kW &amp; P&lt;50%)</v>
      </c>
      <c r="E233" s="422" t="str">
        <f>IFERROR(__xludf.DUMMYFUNCTION("""COMPUTED_VALUE"""),"TNI0233 Need to check solar power low")</f>
        <v>TNI0233 Need to check solar power low</v>
      </c>
      <c r="F233" s="424">
        <f>IFERROR(__xludf.DUMMYFUNCTION("""COMPUTED_VALUE"""),46164.0)</f>
        <v>46164</v>
      </c>
      <c r="G233" s="424">
        <f>IFERROR(__xludf.DUMMYFUNCTION("""COMPUTED_VALUE"""),46167.0)</f>
        <v>46167</v>
      </c>
      <c r="H233" s="422"/>
      <c r="I233" s="422"/>
      <c r="J233" s="422"/>
      <c r="K233" s="422"/>
      <c r="L233" s="422"/>
      <c r="M233" s="422"/>
      <c r="N233" s="422"/>
      <c r="O233" s="422"/>
      <c r="P233" s="422"/>
      <c r="Q233" s="422"/>
      <c r="R233" s="98"/>
      <c r="S233" s="98" t="str">
        <f>IFERROR(__xludf.DUMMYFUNCTION("""COMPUTED_VALUE"""),"myt_tinmaung.win")</f>
        <v>myt_tinmaung.win</v>
      </c>
      <c r="T233" s="98" t="str">
        <f>IFERROR(__xludf.DUMMYFUNCTION("""COMPUTED_VALUE"""),"TNI0233")</f>
        <v>TNI0233</v>
      </c>
    </row>
    <row r="234">
      <c r="A234" s="422">
        <f>IFERROR(__xludf.DUMMYFUNCTION("""COMPUTED_VALUE"""),232.0)</f>
        <v>232</v>
      </c>
      <c r="B234" s="422" t="str">
        <f>IFERROR(__xludf.DUMMYFUNCTION("""COMPUTED_VALUE"""),"M&amp;E")</f>
        <v>M&amp;E</v>
      </c>
      <c r="C234" s="422" t="str">
        <f>IFERROR(__xludf.DUMMYFUNCTION("""COMPUTED_VALUE"""),"Team 02")</f>
        <v>Team 02</v>
      </c>
      <c r="D234" s="422" t="str">
        <f>IFERROR(__xludf.DUMMYFUNCTION("""COMPUTED_VALUE"""),"Diode Kid Installation")</f>
        <v>Diode Kid Installation</v>
      </c>
      <c r="E234" s="422" t="str">
        <f>IFERROR(__xludf.DUMMYFUNCTION("""COMPUTED_VALUE"""),"TNI0365  Need to install Diode Kid")</f>
        <v>TNI0365  Need to install Diode Kid</v>
      </c>
      <c r="F234" s="424">
        <f>IFERROR(__xludf.DUMMYFUNCTION("""COMPUTED_VALUE"""),46058.0)</f>
        <v>46058</v>
      </c>
      <c r="G234" s="424">
        <f>IFERROR(__xludf.DUMMYFUNCTION("""COMPUTED_VALUE"""),46063.0)</f>
        <v>46063</v>
      </c>
      <c r="H234" s="422"/>
      <c r="I234" s="422"/>
      <c r="J234" s="422"/>
      <c r="K234" s="422"/>
      <c r="L234" s="422"/>
      <c r="M234" s="422"/>
      <c r="N234" s="422"/>
      <c r="O234" s="422"/>
      <c r="P234" s="422">
        <f>IFERROR(__xludf.DUMMYFUNCTION("""COMPUTED_VALUE"""),0.0)</f>
        <v>0</v>
      </c>
      <c r="Q234" s="422"/>
      <c r="R234" s="98"/>
      <c r="S234" s="98" t="str">
        <f>IFERROR(__xludf.DUMMYFUNCTION("""COMPUTED_VALUE"""),"myt_ye.lin22")</f>
        <v>myt_ye.lin22</v>
      </c>
      <c r="T234" s="98" t="str">
        <f>IFERROR(__xludf.DUMMYFUNCTION("""COMPUTED_VALUE"""),"TNI0365")</f>
        <v>TNI0365</v>
      </c>
    </row>
    <row r="235">
      <c r="A235" s="422">
        <f>IFERROR(__xludf.DUMMYFUNCTION("""COMPUTED_VALUE"""),233.0)</f>
        <v>233</v>
      </c>
      <c r="B235" s="422" t="str">
        <f>IFERROR(__xludf.DUMMYFUNCTION("""COMPUTED_VALUE"""),"M&amp;E")</f>
        <v>M&amp;E</v>
      </c>
      <c r="C235" s="422" t="str">
        <f>IFERROR(__xludf.DUMMYFUNCTION("""COMPUTED_VALUE"""),"Team 02")</f>
        <v>Team 02</v>
      </c>
      <c r="D235" s="422" t="str">
        <f>IFERROR(__xludf.DUMMYFUNCTION("""COMPUTED_VALUE"""),"Diode Kid Installation")</f>
        <v>Diode Kid Installation</v>
      </c>
      <c r="E235" s="422" t="str">
        <f>IFERROR(__xludf.DUMMYFUNCTION("""COMPUTED_VALUE"""),"TNI0277 Need to install diode kid")</f>
        <v>TNI0277 Need to install diode kid</v>
      </c>
      <c r="F235" s="424">
        <f>IFERROR(__xludf.DUMMYFUNCTION("""COMPUTED_VALUE"""),46154.0)</f>
        <v>46154</v>
      </c>
      <c r="G235" s="424">
        <f>IFERROR(__xludf.DUMMYFUNCTION("""COMPUTED_VALUE"""),46173.0)</f>
        <v>46173</v>
      </c>
      <c r="H235" s="422"/>
      <c r="I235" s="422"/>
      <c r="J235" s="422"/>
      <c r="K235" s="422"/>
      <c r="L235" s="422"/>
      <c r="M235" s="422"/>
      <c r="N235" s="422"/>
      <c r="O235" s="422"/>
      <c r="P235" s="422"/>
      <c r="Q235" s="422"/>
      <c r="R235" s="98"/>
      <c r="S235" s="98" t="str">
        <f>IFERROR(__xludf.DUMMYFUNCTION("""COMPUTED_VALUE"""),"myt_ye.lin22")</f>
        <v>myt_ye.lin22</v>
      </c>
      <c r="T235" s="98" t="str">
        <f>IFERROR(__xludf.DUMMYFUNCTION("""COMPUTED_VALUE"""),"TNI0277")</f>
        <v>TNI0277</v>
      </c>
    </row>
    <row r="236">
      <c r="A236" s="422">
        <f>IFERROR(__xludf.DUMMYFUNCTION("""COMPUTED_VALUE"""),234.0)</f>
        <v>234</v>
      </c>
      <c r="B236" s="422" t="str">
        <f>IFERROR(__xludf.DUMMYFUNCTION("""COMPUTED_VALUE"""),"M&amp;E")</f>
        <v>M&amp;E</v>
      </c>
      <c r="C236" s="422" t="str">
        <f>IFERROR(__xludf.DUMMYFUNCTION("""COMPUTED_VALUE"""),"Team 02")</f>
        <v>Team 02</v>
      </c>
      <c r="D236" s="422" t="str">
        <f>IFERROR(__xludf.DUMMYFUNCTION("""COMPUTED_VALUE"""),"Diode Kid Installation")</f>
        <v>Diode Kid Installation</v>
      </c>
      <c r="E236" s="422" t="str">
        <f>IFERROR(__xludf.DUMMYFUNCTION("""COMPUTED_VALUE"""),"TNI0166 Need to install diode kid")</f>
        <v>TNI0166 Need to install diode kid</v>
      </c>
      <c r="F236" s="424">
        <f>IFERROR(__xludf.DUMMYFUNCTION("""COMPUTED_VALUE"""),46154.0)</f>
        <v>46154</v>
      </c>
      <c r="G236" s="424">
        <f>IFERROR(__xludf.DUMMYFUNCTION("""COMPUTED_VALUE"""),46173.0)</f>
        <v>46173</v>
      </c>
      <c r="H236" s="422"/>
      <c r="I236" s="422"/>
      <c r="J236" s="422"/>
      <c r="K236" s="422"/>
      <c r="L236" s="422"/>
      <c r="M236" s="422"/>
      <c r="N236" s="422"/>
      <c r="O236" s="422"/>
      <c r="P236" s="422"/>
      <c r="Q236" s="422"/>
      <c r="R236" s="98"/>
      <c r="S236" s="98" t="str">
        <f>IFERROR(__xludf.DUMMYFUNCTION("""COMPUTED_VALUE"""),"myt_minpaing.oo")</f>
        <v>myt_minpaing.oo</v>
      </c>
      <c r="T236" s="98" t="str">
        <f>IFERROR(__xludf.DUMMYFUNCTION("""COMPUTED_VALUE"""),"TNI0166")</f>
        <v>TNI0166</v>
      </c>
    </row>
    <row r="237">
      <c r="A237" s="422">
        <f>IFERROR(__xludf.DUMMYFUNCTION("""COMPUTED_VALUE"""),235.0)</f>
        <v>235</v>
      </c>
      <c r="B237" s="422" t="str">
        <f>IFERROR(__xludf.DUMMYFUNCTION("""COMPUTED_VALUE"""),"M&amp;E")</f>
        <v>M&amp;E</v>
      </c>
      <c r="C237" s="422" t="str">
        <f>IFERROR(__xludf.DUMMYFUNCTION("""COMPUTED_VALUE"""),"Team 02")</f>
        <v>Team 02</v>
      </c>
      <c r="D237" s="422" t="str">
        <f>IFERROR(__xludf.DUMMYFUNCTION("""COMPUTED_VALUE"""),"Diode Kid Installation")</f>
        <v>Diode Kid Installation</v>
      </c>
      <c r="E237" s="422" t="str">
        <f>IFERROR(__xludf.DUMMYFUNCTION("""COMPUTED_VALUE"""),"TNI0279 Need to install diode k kid")</f>
        <v>TNI0279 Need to install diode k kid</v>
      </c>
      <c r="F237" s="424">
        <f>IFERROR(__xludf.DUMMYFUNCTION("""COMPUTED_VALUE"""),46154.0)</f>
        <v>46154</v>
      </c>
      <c r="G237" s="424">
        <f>IFERROR(__xludf.DUMMYFUNCTION("""COMPUTED_VALUE"""),46173.0)</f>
        <v>46173</v>
      </c>
      <c r="H237" s="422"/>
      <c r="I237" s="422"/>
      <c r="J237" s="422"/>
      <c r="K237" s="422"/>
      <c r="L237" s="422"/>
      <c r="M237" s="422"/>
      <c r="N237" s="422"/>
      <c r="O237" s="422"/>
      <c r="P237" s="422"/>
      <c r="Q237" s="422"/>
      <c r="R237" s="98"/>
      <c r="S237" s="98" t="str">
        <f>IFERROR(__xludf.DUMMYFUNCTION("""COMPUTED_VALUE"""),"myt_wanna.oo2")</f>
        <v>myt_wanna.oo2</v>
      </c>
      <c r="T237" s="98" t="str">
        <f>IFERROR(__xludf.DUMMYFUNCTION("""COMPUTED_VALUE"""),"TNI0279")</f>
        <v>TNI0279</v>
      </c>
    </row>
    <row r="238">
      <c r="A238" s="422">
        <f>IFERROR(__xludf.DUMMYFUNCTION("""COMPUTED_VALUE"""),236.0)</f>
        <v>236</v>
      </c>
      <c r="B238" s="422" t="str">
        <f>IFERROR(__xludf.DUMMYFUNCTION("""COMPUTED_VALUE"""),"M&amp;E")</f>
        <v>M&amp;E</v>
      </c>
      <c r="C238" s="422" t="str">
        <f>IFERROR(__xludf.DUMMYFUNCTION("""COMPUTED_VALUE"""),"Team 02")</f>
        <v>Team 02</v>
      </c>
      <c r="D238" s="422" t="str">
        <f>IFERROR(__xludf.DUMMYFUNCTION("""COMPUTED_VALUE"""),"Diode Kid Installation")</f>
        <v>Diode Kid Installation</v>
      </c>
      <c r="E238" s="422" t="str">
        <f>IFERROR(__xludf.DUMMYFUNCTION("""COMPUTED_VALUE"""),"TNI0028 Need to install diode id")</f>
        <v>TNI0028 Need to install diode id</v>
      </c>
      <c r="F238" s="424">
        <f>IFERROR(__xludf.DUMMYFUNCTION("""COMPUTED_VALUE"""),46154.0)</f>
        <v>46154</v>
      </c>
      <c r="G238" s="424">
        <f>IFERROR(__xludf.DUMMYFUNCTION("""COMPUTED_VALUE"""),46173.0)</f>
        <v>46173</v>
      </c>
      <c r="H238" s="422"/>
      <c r="I238" s="422"/>
      <c r="J238" s="422"/>
      <c r="K238" s="422"/>
      <c r="L238" s="422"/>
      <c r="M238" s="422"/>
      <c r="N238" s="422"/>
      <c r="O238" s="422"/>
      <c r="P238" s="422"/>
      <c r="Q238" s="422"/>
      <c r="R238" s="98"/>
      <c r="S238" s="98" t="str">
        <f>IFERROR(__xludf.DUMMYFUNCTION("""COMPUTED_VALUE"""),"myt_pyikyaw.aung")</f>
        <v>myt_pyikyaw.aung</v>
      </c>
      <c r="T238" s="98" t="str">
        <f>IFERROR(__xludf.DUMMYFUNCTION("""COMPUTED_VALUE"""),"TNI0028")</f>
        <v>TNI0028</v>
      </c>
    </row>
    <row r="239">
      <c r="A239" s="422">
        <f>IFERROR(__xludf.DUMMYFUNCTION("""COMPUTED_VALUE"""),237.0)</f>
        <v>237</v>
      </c>
      <c r="B239" s="422" t="str">
        <f>IFERROR(__xludf.DUMMYFUNCTION("""COMPUTED_VALUE"""),"M&amp;E")</f>
        <v>M&amp;E</v>
      </c>
      <c r="C239" s="422" t="str">
        <f>IFERROR(__xludf.DUMMYFUNCTION("""COMPUTED_VALUE"""),"Team 02")</f>
        <v>Team 02</v>
      </c>
      <c r="D239" s="422" t="str">
        <f>IFERROR(__xludf.DUMMYFUNCTION("""COMPUTED_VALUE"""),"Diode Kid Installation")</f>
        <v>Diode Kid Installation</v>
      </c>
      <c r="E239" s="422" t="str">
        <f>IFERROR(__xludf.DUMMYFUNCTION("""COMPUTED_VALUE"""),"TNI0236 Need to install diode kid")</f>
        <v>TNI0236 Need to install diode kid</v>
      </c>
      <c r="F239" s="424">
        <f>IFERROR(__xludf.DUMMYFUNCTION("""COMPUTED_VALUE"""),46154.0)</f>
        <v>46154</v>
      </c>
      <c r="G239" s="424">
        <f>IFERROR(__xludf.DUMMYFUNCTION("""COMPUTED_VALUE"""),46173.0)</f>
        <v>46173</v>
      </c>
      <c r="H239" s="422"/>
      <c r="I239" s="422"/>
      <c r="J239" s="422"/>
      <c r="K239" s="422"/>
      <c r="L239" s="422"/>
      <c r="M239" s="422"/>
      <c r="N239" s="422"/>
      <c r="O239" s="422"/>
      <c r="P239" s="422"/>
      <c r="Q239" s="422"/>
      <c r="R239" s="98"/>
      <c r="S239" s="98" t="str">
        <f>IFERROR(__xludf.DUMMYFUNCTION("""COMPUTED_VALUE"""),"myt_pyikyaw.aung")</f>
        <v>myt_pyikyaw.aung</v>
      </c>
      <c r="T239" s="98" t="str">
        <f>IFERROR(__xludf.DUMMYFUNCTION("""COMPUTED_VALUE"""),"TNI0236")</f>
        <v>TNI0236</v>
      </c>
    </row>
    <row r="240">
      <c r="A240" s="422">
        <f>IFERROR(__xludf.DUMMYFUNCTION("""COMPUTED_VALUE"""),238.0)</f>
        <v>238</v>
      </c>
      <c r="B240" s="422" t="str">
        <f>IFERROR(__xludf.DUMMYFUNCTION("""COMPUTED_VALUE"""),"M&amp;E")</f>
        <v>M&amp;E</v>
      </c>
      <c r="C240" s="422" t="str">
        <f>IFERROR(__xludf.DUMMYFUNCTION("""COMPUTED_VALUE"""),"Team 02")</f>
        <v>Team 02</v>
      </c>
      <c r="D240" s="422" t="str">
        <f>IFERROR(__xludf.DUMMYFUNCTION("""COMPUTED_VALUE"""),"Diode Kid Installation")</f>
        <v>Diode Kid Installation</v>
      </c>
      <c r="E240" s="422" t="str">
        <f>IFERROR(__xludf.DUMMYFUNCTION("""COMPUTED_VALUE"""),"TNI0044 Need to install diode kid")</f>
        <v>TNI0044 Need to install diode kid</v>
      </c>
      <c r="F240" s="424">
        <f>IFERROR(__xludf.DUMMYFUNCTION("""COMPUTED_VALUE"""),46154.0)</f>
        <v>46154</v>
      </c>
      <c r="G240" s="424">
        <f>IFERROR(__xludf.DUMMYFUNCTION("""COMPUTED_VALUE"""),46173.0)</f>
        <v>46173</v>
      </c>
      <c r="H240" s="422" t="str">
        <f>IFERROR(__xludf.DUMMYFUNCTION("""COMPUTED_VALUE"""),"VCM289610-Nay Myo Thu")</f>
        <v>VCM289610-Nay Myo Thu</v>
      </c>
      <c r="I240" s="425">
        <f>IFERROR(__xludf.DUMMYFUNCTION("""COMPUTED_VALUE"""),46154.0)</f>
        <v>46154</v>
      </c>
      <c r="J240" s="424">
        <f>IFERROR(__xludf.DUMMYFUNCTION("""COMPUTED_VALUE"""),46154.0)</f>
        <v>46154</v>
      </c>
      <c r="K240" s="422"/>
      <c r="L240" s="422"/>
      <c r="M240" s="422"/>
      <c r="N240" s="422"/>
      <c r="O240" s="422"/>
      <c r="P240" s="422"/>
      <c r="Q240" s="422"/>
      <c r="R240" s="98"/>
      <c r="S240" s="98" t="str">
        <f>IFERROR(__xludf.DUMMYFUNCTION("""COMPUTED_VALUE"""),"myt_zinmin.shein")</f>
        <v>myt_zinmin.shein</v>
      </c>
      <c r="T240" s="98" t="str">
        <f>IFERROR(__xludf.DUMMYFUNCTION("""COMPUTED_VALUE"""),"TNI0044")</f>
        <v>TNI0044</v>
      </c>
    </row>
    <row r="241">
      <c r="A241" s="422">
        <f>IFERROR(__xludf.DUMMYFUNCTION("""COMPUTED_VALUE"""),239.0)</f>
        <v>239</v>
      </c>
      <c r="B241" s="422" t="str">
        <f>IFERROR(__xludf.DUMMYFUNCTION("""COMPUTED_VALUE"""),"M&amp;E")</f>
        <v>M&amp;E</v>
      </c>
      <c r="C241" s="422" t="str">
        <f>IFERROR(__xludf.DUMMYFUNCTION("""COMPUTED_VALUE"""),"Team 02")</f>
        <v>Team 02</v>
      </c>
      <c r="D241" s="422" t="str">
        <f>IFERROR(__xludf.DUMMYFUNCTION("""COMPUTED_VALUE"""),"Diode Kid Installation")</f>
        <v>Diode Kid Installation</v>
      </c>
      <c r="E241" s="422" t="str">
        <f>IFERROR(__xludf.DUMMYFUNCTION("""COMPUTED_VALUE"""),"TNI0269 Need to install diode kid")</f>
        <v>TNI0269 Need to install diode kid</v>
      </c>
      <c r="F241" s="424">
        <f>IFERROR(__xludf.DUMMYFUNCTION("""COMPUTED_VALUE"""),46154.0)</f>
        <v>46154</v>
      </c>
      <c r="G241" s="424">
        <f>IFERROR(__xludf.DUMMYFUNCTION("""COMPUTED_VALUE"""),46173.0)</f>
        <v>46173</v>
      </c>
      <c r="H241" s="422" t="str">
        <f>IFERROR(__xludf.DUMMYFUNCTION("""COMPUTED_VALUE"""),"VCM289610-Nay Myo Thu")</f>
        <v>VCM289610-Nay Myo Thu</v>
      </c>
      <c r="I241" s="425">
        <f>IFERROR(__xludf.DUMMYFUNCTION("""COMPUTED_VALUE"""),46154.0)</f>
        <v>46154</v>
      </c>
      <c r="J241" s="424">
        <f>IFERROR(__xludf.DUMMYFUNCTION("""COMPUTED_VALUE"""),46154.0)</f>
        <v>46154</v>
      </c>
      <c r="K241" s="422"/>
      <c r="L241" s="422"/>
      <c r="M241" s="422"/>
      <c r="N241" s="422"/>
      <c r="O241" s="422"/>
      <c r="P241" s="422"/>
      <c r="Q241" s="422"/>
      <c r="R241" s="98"/>
      <c r="S241" s="98" t="str">
        <f>IFERROR(__xludf.DUMMYFUNCTION("""COMPUTED_VALUE"""),"myt_maung.maung11")</f>
        <v>myt_maung.maung11</v>
      </c>
      <c r="T241" s="98" t="str">
        <f>IFERROR(__xludf.DUMMYFUNCTION("""COMPUTED_VALUE"""),"TNI0269")</f>
        <v>TNI0269</v>
      </c>
    </row>
    <row r="242">
      <c r="A242" s="422">
        <f>IFERROR(__xludf.DUMMYFUNCTION("""COMPUTED_VALUE"""),240.0)</f>
        <v>240</v>
      </c>
      <c r="B242" s="422" t="str">
        <f>IFERROR(__xludf.DUMMYFUNCTION("""COMPUTED_VALUE"""),"M&amp;E")</f>
        <v>M&amp;E</v>
      </c>
      <c r="C242" s="422" t="str">
        <f>IFERROR(__xludf.DUMMYFUNCTION("""COMPUTED_VALUE"""),"Team 02")</f>
        <v>Team 02</v>
      </c>
      <c r="D242" s="422" t="str">
        <f>IFERROR(__xludf.DUMMYFUNCTION("""COMPUTED_VALUE"""),"Fixing Fuel Level Monitoring")</f>
        <v>Fixing Fuel Level Monitoring</v>
      </c>
      <c r="E242" s="422" t="str">
        <f>IFERROR(__xludf.DUMMYFUNCTION("""COMPUTED_VALUE"""),"TNI0137  Need to check fuel sensor is right or not")</f>
        <v>TNI0137  Need to check fuel sensor is right or not</v>
      </c>
      <c r="F242" s="424">
        <f>IFERROR(__xludf.DUMMYFUNCTION("""COMPUTED_VALUE"""),46072.0)</f>
        <v>46072</v>
      </c>
      <c r="G242" s="424">
        <f>IFERROR(__xludf.DUMMYFUNCTION("""COMPUTED_VALUE"""),46078.0)</f>
        <v>46078</v>
      </c>
      <c r="H242" s="422"/>
      <c r="I242" s="422"/>
      <c r="J242" s="422"/>
      <c r="K242" s="422"/>
      <c r="L242" s="422"/>
      <c r="M242" s="422"/>
      <c r="N242" s="422"/>
      <c r="O242" s="422"/>
      <c r="P242" s="422">
        <f>IFERROR(__xludf.DUMMYFUNCTION("""COMPUTED_VALUE"""),0.0)</f>
        <v>0</v>
      </c>
      <c r="Q242" s="422"/>
      <c r="R242" s="98"/>
      <c r="S242" s="98" t="str">
        <f>IFERROR(__xludf.DUMMYFUNCTION("""COMPUTED_VALUE"""),"myt_maung.maung11")</f>
        <v>myt_maung.maung11</v>
      </c>
      <c r="T242" s="98" t="str">
        <f>IFERROR(__xludf.DUMMYFUNCTION("""COMPUTED_VALUE"""),"TNI0137")</f>
        <v>TNI0137</v>
      </c>
    </row>
    <row r="243">
      <c r="A243" s="422">
        <f>IFERROR(__xludf.DUMMYFUNCTION("""COMPUTED_VALUE"""),241.0)</f>
        <v>241</v>
      </c>
      <c r="B243" s="422" t="str">
        <f>IFERROR(__xludf.DUMMYFUNCTION("""COMPUTED_VALUE"""),"M&amp;E")</f>
        <v>M&amp;E</v>
      </c>
      <c r="C243" s="422" t="str">
        <f>IFERROR(__xludf.DUMMYFUNCTION("""COMPUTED_VALUE"""),"Team 02")</f>
        <v>Team 02</v>
      </c>
      <c r="D243" s="422" t="str">
        <f>IFERROR(__xludf.DUMMYFUNCTION("""COMPUTED_VALUE"""),"Fixing Fuel Level Monitoring")</f>
        <v>Fixing Fuel Level Monitoring</v>
      </c>
      <c r="E243" s="422" t="str">
        <f>IFERROR(__xludf.DUMMYFUNCTION("""COMPUTED_VALUE"""),"TNI0284  Need to check fuel sensor is right or not")</f>
        <v>TNI0284  Need to check fuel sensor is right or not</v>
      </c>
      <c r="F243" s="424">
        <f>IFERROR(__xludf.DUMMYFUNCTION("""COMPUTED_VALUE"""),46077.0)</f>
        <v>46077</v>
      </c>
      <c r="G243" s="424">
        <f>IFERROR(__xludf.DUMMYFUNCTION("""COMPUTED_VALUE"""),46078.0)</f>
        <v>46078</v>
      </c>
      <c r="H243" s="422"/>
      <c r="I243" s="422"/>
      <c r="J243" s="422"/>
      <c r="K243" s="422"/>
      <c r="L243" s="422"/>
      <c r="M243" s="422"/>
      <c r="N243" s="422"/>
      <c r="O243" s="422"/>
      <c r="P243" s="422">
        <f>IFERROR(__xludf.DUMMYFUNCTION("""COMPUTED_VALUE"""),0.0)</f>
        <v>0</v>
      </c>
      <c r="Q243" s="422"/>
      <c r="R243" s="98"/>
      <c r="S243" s="98" t="str">
        <f>IFERROR(__xludf.DUMMYFUNCTION("""COMPUTED_VALUE"""),"Thu Rain Niang")</f>
        <v>Thu Rain Niang</v>
      </c>
      <c r="T243" s="98" t="str">
        <f>IFERROR(__xludf.DUMMYFUNCTION("""COMPUTED_VALUE"""),"TNI0284")</f>
        <v>TNI0284</v>
      </c>
    </row>
    <row r="244">
      <c r="A244" s="422">
        <f>IFERROR(__xludf.DUMMYFUNCTION("""COMPUTED_VALUE"""),242.0)</f>
        <v>242</v>
      </c>
      <c r="B244" s="422" t="str">
        <f>IFERROR(__xludf.DUMMYFUNCTION("""COMPUTED_VALUE"""),"M&amp;E")</f>
        <v>M&amp;E</v>
      </c>
      <c r="C244" s="422" t="str">
        <f>IFERROR(__xludf.DUMMYFUNCTION("""COMPUTED_VALUE"""),"Team 02")</f>
        <v>Team 02</v>
      </c>
      <c r="D244" s="422" t="str">
        <f>IFERROR(__xludf.DUMMYFUNCTION("""COMPUTED_VALUE"""),"Smart CB")</f>
        <v>Smart CB</v>
      </c>
      <c r="E244" s="422" t="str">
        <f>IFERROR(__xludf.DUMMYFUNCTION("""COMPUTED_VALUE"""),"TNI0261 Need to install smart CB")</f>
        <v>TNI0261 Need to install smart CB</v>
      </c>
      <c r="F244" s="424">
        <f>IFERROR(__xludf.DUMMYFUNCTION("""COMPUTED_VALUE"""),46154.0)</f>
        <v>46154</v>
      </c>
      <c r="G244" s="424">
        <f>IFERROR(__xludf.DUMMYFUNCTION("""COMPUTED_VALUE"""),46173.0)</f>
        <v>46173</v>
      </c>
      <c r="H244" s="422" t="str">
        <f>IFERROR(__xludf.DUMMYFUNCTION("""COMPUTED_VALUE"""),"VCM289631-Maung Maung")</f>
        <v>VCM289631-Maung Maung</v>
      </c>
      <c r="I244" s="425">
        <f>IFERROR(__xludf.DUMMYFUNCTION("""COMPUTED_VALUE"""),46154.0)</f>
        <v>46154</v>
      </c>
      <c r="J244" s="424">
        <f>IFERROR(__xludf.DUMMYFUNCTION("""COMPUTED_VALUE"""),46154.0)</f>
        <v>46154</v>
      </c>
      <c r="K244" s="422"/>
      <c r="L244" s="422"/>
      <c r="M244" s="422" t="str">
        <f>IFERROR(__xludf.DUMMYFUNCTION("""COMPUTED_VALUE"""),"Dep Confirm completion")</f>
        <v>Dep Confirm completion</v>
      </c>
      <c r="N244" s="422"/>
      <c r="O244" s="422"/>
      <c r="P244" s="422"/>
      <c r="Q244" s="422"/>
      <c r="R244" s="98"/>
      <c r="S244" s="98" t="str">
        <f>IFERROR(__xludf.DUMMYFUNCTION("""COMPUTED_VALUE"""),"myt_maung.maung11")</f>
        <v>myt_maung.maung11</v>
      </c>
      <c r="T244" s="98" t="str">
        <f>IFERROR(__xludf.DUMMYFUNCTION("""COMPUTED_VALUE"""),"TNI0261")</f>
        <v>TNI0261</v>
      </c>
    </row>
    <row r="245">
      <c r="A245" s="422">
        <f>IFERROR(__xludf.DUMMYFUNCTION("""COMPUTED_VALUE"""),243.0)</f>
        <v>243</v>
      </c>
      <c r="B245" s="422" t="str">
        <f>IFERROR(__xludf.DUMMYFUNCTION("""COMPUTED_VALUE"""),"M&amp;E")</f>
        <v>M&amp;E</v>
      </c>
      <c r="C245" s="422" t="str">
        <f>IFERROR(__xludf.DUMMYFUNCTION("""COMPUTED_VALUE"""),"Team 02")</f>
        <v>Team 02</v>
      </c>
      <c r="D245" s="422" t="str">
        <f>IFERROR(__xludf.DUMMYFUNCTION("""COMPUTED_VALUE"""),"Smart CB")</f>
        <v>Smart CB</v>
      </c>
      <c r="E245" s="422" t="str">
        <f>IFERROR(__xludf.DUMMYFUNCTION("""COMPUTED_VALUE"""),"TNI0263 Need to install smart CB")</f>
        <v>TNI0263 Need to install smart CB</v>
      </c>
      <c r="F245" s="424">
        <f>IFERROR(__xludf.DUMMYFUNCTION("""COMPUTED_VALUE"""),46154.0)</f>
        <v>46154</v>
      </c>
      <c r="G245" s="424">
        <f>IFERROR(__xludf.DUMMYFUNCTION("""COMPUTED_VALUE"""),46173.0)</f>
        <v>46173</v>
      </c>
      <c r="H245" s="422" t="str">
        <f>IFERROR(__xludf.DUMMYFUNCTION("""COMPUTED_VALUE"""),"VCM289631-Maung Maung")</f>
        <v>VCM289631-Maung Maung</v>
      </c>
      <c r="I245" s="425">
        <f>IFERROR(__xludf.DUMMYFUNCTION("""COMPUTED_VALUE"""),46154.0)</f>
        <v>46154</v>
      </c>
      <c r="J245" s="424">
        <f>IFERROR(__xludf.DUMMYFUNCTION("""COMPUTED_VALUE"""),46154.0)</f>
        <v>46154</v>
      </c>
      <c r="K245" s="422"/>
      <c r="L245" s="422"/>
      <c r="M245" s="422" t="str">
        <f>IFERROR(__xludf.DUMMYFUNCTION("""COMPUTED_VALUE"""),"Dep Confirm completion")</f>
        <v>Dep Confirm completion</v>
      </c>
      <c r="N245" s="422"/>
      <c r="O245" s="422"/>
      <c r="P245" s="422"/>
      <c r="Q245" s="422"/>
      <c r="R245" s="98"/>
      <c r="S245" s="98" t="str">
        <f>IFERROR(__xludf.DUMMYFUNCTION("""COMPUTED_VALUE"""),"myt_ye.lin22")</f>
        <v>myt_ye.lin22</v>
      </c>
      <c r="T245" s="98" t="str">
        <f>IFERROR(__xludf.DUMMYFUNCTION("""COMPUTED_VALUE"""),"TNI0263")</f>
        <v>TNI0263</v>
      </c>
    </row>
    <row r="246">
      <c r="A246" s="422">
        <f>IFERROR(__xludf.DUMMYFUNCTION("""COMPUTED_VALUE"""),244.0)</f>
        <v>244</v>
      </c>
      <c r="B246" s="422" t="str">
        <f>IFERROR(__xludf.DUMMYFUNCTION("""COMPUTED_VALUE"""),"M&amp;E")</f>
        <v>M&amp;E</v>
      </c>
      <c r="C246" s="422" t="str">
        <f>IFERROR(__xludf.DUMMYFUNCTION("""COMPUTED_VALUE"""),"Team 02")</f>
        <v>Team 02</v>
      </c>
      <c r="D246" s="422" t="str">
        <f>IFERROR(__xludf.DUMMYFUNCTION("""COMPUTED_VALUE"""),"Smart CB")</f>
        <v>Smart CB</v>
      </c>
      <c r="E246" s="422" t="str">
        <f>IFERROR(__xludf.DUMMYFUNCTION("""COMPUTED_VALUE"""),"TNI0021 Need to install smart CB")</f>
        <v>TNI0021 Need to install smart CB</v>
      </c>
      <c r="F246" s="424">
        <f>IFERROR(__xludf.DUMMYFUNCTION("""COMPUTED_VALUE"""),46154.0)</f>
        <v>46154</v>
      </c>
      <c r="G246" s="424">
        <f>IFERROR(__xludf.DUMMYFUNCTION("""COMPUTED_VALUE"""),46173.0)</f>
        <v>46173</v>
      </c>
      <c r="H246" s="422" t="str">
        <f>IFERROR(__xludf.DUMMYFUNCTION("""COMPUTED_VALUE"""),"VCM289631-Maung Maung")</f>
        <v>VCM289631-Maung Maung</v>
      </c>
      <c r="I246" s="425">
        <f>IFERROR(__xludf.DUMMYFUNCTION("""COMPUTED_VALUE"""),46154.0)</f>
        <v>46154</v>
      </c>
      <c r="J246" s="424">
        <f>IFERROR(__xludf.DUMMYFUNCTION("""COMPUTED_VALUE"""),46154.0)</f>
        <v>46154</v>
      </c>
      <c r="K246" s="422"/>
      <c r="L246" s="422"/>
      <c r="M246" s="422" t="str">
        <f>IFERROR(__xludf.DUMMYFUNCTION("""COMPUTED_VALUE"""),"Dep Confirm completion")</f>
        <v>Dep Confirm completion</v>
      </c>
      <c r="N246" s="422"/>
      <c r="O246" s="422"/>
      <c r="P246" s="422"/>
      <c r="Q246" s="422"/>
      <c r="R246" s="98"/>
      <c r="S246" s="98" t="str">
        <f>IFERROR(__xludf.DUMMYFUNCTION("""COMPUTED_VALUE"""),"myt_zinmin.shein")</f>
        <v>myt_zinmin.shein</v>
      </c>
      <c r="T246" s="98" t="str">
        <f>IFERROR(__xludf.DUMMYFUNCTION("""COMPUTED_VALUE"""),"TNI0021")</f>
        <v>TNI0021</v>
      </c>
    </row>
    <row r="247">
      <c r="A247" s="422">
        <f>IFERROR(__xludf.DUMMYFUNCTION("""COMPUTED_VALUE"""),245.0)</f>
        <v>245</v>
      </c>
      <c r="B247" s="422" t="str">
        <f>IFERROR(__xludf.DUMMYFUNCTION("""COMPUTED_VALUE"""),"M&amp;E")</f>
        <v>M&amp;E</v>
      </c>
      <c r="C247" s="422" t="str">
        <f>IFERROR(__xludf.DUMMYFUNCTION("""COMPUTED_VALUE"""),"Team 03")</f>
        <v>Team 03</v>
      </c>
      <c r="D247" s="422" t="str">
        <f>IFERROR(__xludf.DUMMYFUNCTION("""COMPUTED_VALUE"""),"Change MBB")</f>
        <v>Change MBB</v>
      </c>
      <c r="E247" s="422" t="str">
        <f>IFERROR(__xludf.DUMMYFUNCTION("""COMPUTED_VALUE"""),"TNI0345_01  Need to change shoto battery 1pcs")</f>
        <v>TNI0345_01  Need to change shoto battery 1pcs</v>
      </c>
      <c r="F247" s="424">
        <f>IFERROR(__xludf.DUMMYFUNCTION("""COMPUTED_VALUE"""),46154.0)</f>
        <v>46154</v>
      </c>
      <c r="G247" s="424">
        <f>IFERROR(__xludf.DUMMYFUNCTION("""COMPUTED_VALUE"""),46173.0)</f>
        <v>46173</v>
      </c>
      <c r="H247" s="422" t="str">
        <f>IFERROR(__xludf.DUMMYFUNCTION("""COMPUTED_VALUE"""),"VCM289635-Si Thu Htun")</f>
        <v>VCM289635-Si Thu Htun</v>
      </c>
      <c r="I247" s="422"/>
      <c r="J247" s="422"/>
      <c r="K247" s="422"/>
      <c r="L247" s="422"/>
      <c r="M247" s="422"/>
      <c r="N247" s="422"/>
      <c r="O247" s="422"/>
      <c r="P247" s="422"/>
      <c r="Q247" s="422"/>
      <c r="R247" s="98"/>
      <c r="S247" s="98" t="str">
        <f>IFERROR(__xludf.DUMMYFUNCTION("""COMPUTED_VALUE"""),"myt_sithu.htun")</f>
        <v>myt_sithu.htun</v>
      </c>
      <c r="T247" s="98" t="str">
        <f>IFERROR(__xludf.DUMMYFUNCTION("""COMPUTED_VALUE"""),"TNI0345")</f>
        <v>TNI0345</v>
      </c>
    </row>
    <row r="248">
      <c r="A248" s="422">
        <f>IFERROR(__xludf.DUMMYFUNCTION("""COMPUTED_VALUE"""),246.0)</f>
        <v>246</v>
      </c>
      <c r="B248" s="422" t="str">
        <f>IFERROR(__xludf.DUMMYFUNCTION("""COMPUTED_VALUE"""),"M&amp;E")</f>
        <v>M&amp;E</v>
      </c>
      <c r="C248" s="422" t="str">
        <f>IFERROR(__xludf.DUMMYFUNCTION("""COMPUTED_VALUE"""),"Team 03")</f>
        <v>Team 03</v>
      </c>
      <c r="D248" s="422" t="str">
        <f>IFERROR(__xludf.DUMMYFUNCTION("""COMPUTED_VALUE"""),"Diode Kid Installation")</f>
        <v>Diode Kid Installation</v>
      </c>
      <c r="E248" s="422" t="str">
        <f>IFERROR(__xludf.DUMMYFUNCTION("""COMPUTED_VALUE"""),"TNI0136  Need to install Diode Kid")</f>
        <v>TNI0136  Need to install Diode Kid</v>
      </c>
      <c r="F248" s="424">
        <f>IFERROR(__xludf.DUMMYFUNCTION("""COMPUTED_VALUE"""),46058.0)</f>
        <v>46058</v>
      </c>
      <c r="G248" s="424">
        <f>IFERROR(__xludf.DUMMYFUNCTION("""COMPUTED_VALUE"""),46063.0)</f>
        <v>46063</v>
      </c>
      <c r="H248" s="422" t="str">
        <f>IFERROR(__xludf.DUMMYFUNCTION("""COMPUTED_VALUE"""),"VCM289635-Si Thu Htun")</f>
        <v>VCM289635-Si Thu Htun</v>
      </c>
      <c r="I248" s="425">
        <f>IFERROR(__xludf.DUMMYFUNCTION("""COMPUTED_VALUE"""),46064.0)</f>
        <v>46064</v>
      </c>
      <c r="J248" s="422"/>
      <c r="K248" s="422"/>
      <c r="L248" s="422"/>
      <c r="M248" s="422"/>
      <c r="N248" s="422"/>
      <c r="O248" s="422"/>
      <c r="P248" s="422">
        <f>IFERROR(__xludf.DUMMYFUNCTION("""COMPUTED_VALUE"""),0.0)</f>
        <v>0</v>
      </c>
      <c r="Q248" s="422"/>
      <c r="R248" s="98"/>
      <c r="S248" s="98" t="str">
        <f>IFERROR(__xludf.DUMMYFUNCTION("""COMPUTED_VALUE"""),"myt_sithu.htun")</f>
        <v>myt_sithu.htun</v>
      </c>
      <c r="T248" s="98" t="str">
        <f>IFERROR(__xludf.DUMMYFUNCTION("""COMPUTED_VALUE"""),"TNI0136")</f>
        <v>TNI0136</v>
      </c>
    </row>
    <row r="249">
      <c r="A249" s="422">
        <f>IFERROR(__xludf.DUMMYFUNCTION("""COMPUTED_VALUE"""),247.0)</f>
        <v>247</v>
      </c>
      <c r="B249" s="422" t="str">
        <f>IFERROR(__xludf.DUMMYFUNCTION("""COMPUTED_VALUE"""),"M&amp;E")</f>
        <v>M&amp;E</v>
      </c>
      <c r="C249" s="422" t="str">
        <f>IFERROR(__xludf.DUMMYFUNCTION("""COMPUTED_VALUE"""),"Team 03")</f>
        <v>Team 03</v>
      </c>
      <c r="D249" s="422" t="str">
        <f>IFERROR(__xludf.DUMMYFUNCTION("""COMPUTED_VALUE"""),"Diode Kid Installation")</f>
        <v>Diode Kid Installation</v>
      </c>
      <c r="E249" s="422" t="str">
        <f>IFERROR(__xludf.DUMMYFUNCTION("""COMPUTED_VALUE"""),"TNI0345")</f>
        <v>TNI0345</v>
      </c>
      <c r="F249" s="424">
        <f>IFERROR(__xludf.DUMMYFUNCTION("""COMPUTED_VALUE"""),46154.0)</f>
        <v>46154</v>
      </c>
      <c r="G249" s="424">
        <f>IFERROR(__xludf.DUMMYFUNCTION("""COMPUTED_VALUE"""),46173.0)</f>
        <v>46173</v>
      </c>
      <c r="H249" s="422" t="str">
        <f>IFERROR(__xludf.DUMMYFUNCTION("""COMPUTED_VALUE"""),"VCM289635-Si Thu Htun")</f>
        <v>VCM289635-Si Thu Htun</v>
      </c>
      <c r="I249" s="422"/>
      <c r="J249" s="422"/>
      <c r="K249" s="422"/>
      <c r="L249" s="422"/>
      <c r="M249" s="422"/>
      <c r="N249" s="422"/>
      <c r="O249" s="422"/>
      <c r="P249" s="422"/>
      <c r="Q249" s="422"/>
      <c r="R249" s="98"/>
      <c r="S249" s="98" t="str">
        <f>IFERROR(__xludf.DUMMYFUNCTION("""COMPUTED_VALUE"""),"myt_sithu.htun")</f>
        <v>myt_sithu.htun</v>
      </c>
      <c r="T249" s="98" t="str">
        <f>IFERROR(__xludf.DUMMYFUNCTION("""COMPUTED_VALUE"""),"TNI0345")</f>
        <v>TNI0345</v>
      </c>
    </row>
    <row r="250">
      <c r="A250" s="422">
        <f>IFERROR(__xludf.DUMMYFUNCTION("""COMPUTED_VALUE"""),248.0)</f>
        <v>248</v>
      </c>
      <c r="B250" s="422" t="str">
        <f>IFERROR(__xludf.DUMMYFUNCTION("""COMPUTED_VALUE"""),"M&amp;E")</f>
        <v>M&amp;E</v>
      </c>
      <c r="C250" s="422" t="str">
        <f>IFERROR(__xludf.DUMMYFUNCTION("""COMPUTED_VALUE"""),"Team 03")</f>
        <v>Team 03</v>
      </c>
      <c r="D250" s="422" t="str">
        <f>IFERROR(__xludf.DUMMYFUNCTION("""COMPUTED_VALUE"""),"Fixing Fuel Level Monitoring")</f>
        <v>Fixing Fuel Level Monitoring</v>
      </c>
      <c r="E250" s="422" t="str">
        <f>IFERROR(__xludf.DUMMYFUNCTION("""COMPUTED_VALUE"""),"TNI0009 Need to fix fuel level cannot monitoring at NMS.")</f>
        <v>TNI0009 Need to fix fuel level cannot monitoring at NMS.</v>
      </c>
      <c r="F250" s="424">
        <f>IFERROR(__xludf.DUMMYFUNCTION("""COMPUTED_VALUE"""),46036.0)</f>
        <v>46036</v>
      </c>
      <c r="G250" s="424">
        <f>IFERROR(__xludf.DUMMYFUNCTION("""COMPUTED_VALUE"""),46042.0)</f>
        <v>46042</v>
      </c>
      <c r="H250" s="422" t="str">
        <f>IFERROR(__xludf.DUMMYFUNCTION("""COMPUTED_VALUE"""),"VCM289635-Si Thu Htun")</f>
        <v>VCM289635-Si Thu Htun</v>
      </c>
      <c r="I250" s="422"/>
      <c r="J250" s="422"/>
      <c r="K250" s="422"/>
      <c r="L250" s="422"/>
      <c r="M250" s="422"/>
      <c r="N250" s="422"/>
      <c r="O250" s="422"/>
      <c r="P250" s="422">
        <f>IFERROR(__xludf.DUMMYFUNCTION("""COMPUTED_VALUE"""),0.0)</f>
        <v>0</v>
      </c>
      <c r="Q250" s="422"/>
      <c r="R250" s="98"/>
      <c r="S250" s="98" t="str">
        <f>IFERROR(__xludf.DUMMYFUNCTION("""COMPUTED_VALUE"""),"myt_sithu.htun")</f>
        <v>myt_sithu.htun</v>
      </c>
      <c r="T250" s="98" t="str">
        <f>IFERROR(__xludf.DUMMYFUNCTION("""COMPUTED_VALUE"""),"TNI0009")</f>
        <v>TNI0009</v>
      </c>
    </row>
    <row r="251">
      <c r="A251" s="422">
        <f>IFERROR(__xludf.DUMMYFUNCTION("""COMPUTED_VALUE"""),249.0)</f>
        <v>249</v>
      </c>
      <c r="B251" s="422" t="str">
        <f>IFERROR(__xludf.DUMMYFUNCTION("""COMPUTED_VALUE"""),"M&amp;E")</f>
        <v>M&amp;E</v>
      </c>
      <c r="C251" s="422" t="str">
        <f>IFERROR(__xludf.DUMMYFUNCTION("""COMPUTED_VALUE"""),"Team 03")</f>
        <v>Team 03</v>
      </c>
      <c r="D251" s="422" t="str">
        <f>IFERROR(__xludf.DUMMYFUNCTION("""COMPUTED_VALUE"""),"Fixing Fuel Level Monitoring")</f>
        <v>Fixing Fuel Level Monitoring</v>
      </c>
      <c r="E251" s="422" t="str">
        <f>IFERROR(__xludf.DUMMYFUNCTION("""COMPUTED_VALUE"""),"TNI0310 Need to check fuel sensor is right or not")</f>
        <v>TNI0310 Need to check fuel sensor is right or not</v>
      </c>
      <c r="F251" s="424">
        <f>IFERROR(__xludf.DUMMYFUNCTION("""COMPUTED_VALUE"""),46072.0)</f>
        <v>46072</v>
      </c>
      <c r="G251" s="424">
        <f>IFERROR(__xludf.DUMMYFUNCTION("""COMPUTED_VALUE"""),46078.0)</f>
        <v>46078</v>
      </c>
      <c r="H251" s="422" t="str">
        <f>IFERROR(__xludf.DUMMYFUNCTION("""COMPUTED_VALUE"""),"VCM289635-Si Thu Htun")</f>
        <v>VCM289635-Si Thu Htun</v>
      </c>
      <c r="I251" s="425">
        <f>IFERROR(__xludf.DUMMYFUNCTION("""COMPUTED_VALUE"""),46078.0)</f>
        <v>46078</v>
      </c>
      <c r="J251" s="422"/>
      <c r="K251" s="422"/>
      <c r="L251" s="422"/>
      <c r="M251" s="422"/>
      <c r="N251" s="422"/>
      <c r="O251" s="422"/>
      <c r="P251" s="422">
        <f>IFERROR(__xludf.DUMMYFUNCTION("""COMPUTED_VALUE"""),0.0)</f>
        <v>0</v>
      </c>
      <c r="Q251" s="422"/>
      <c r="R251" s="98"/>
      <c r="S251" s="98" t="str">
        <f>IFERROR(__xludf.DUMMYFUNCTION("""COMPUTED_VALUE"""),"myt_sithu.htun")</f>
        <v>myt_sithu.htun</v>
      </c>
      <c r="T251" s="98" t="str">
        <f>IFERROR(__xludf.DUMMYFUNCTION("""COMPUTED_VALUE"""),"TNI0310")</f>
        <v>TNI0310</v>
      </c>
    </row>
    <row r="252">
      <c r="A252" s="422">
        <f>IFERROR(__xludf.DUMMYFUNCTION("""COMPUTED_VALUE"""),250.0)</f>
        <v>250</v>
      </c>
      <c r="B252" s="422" t="str">
        <f>IFERROR(__xludf.DUMMYFUNCTION("""COMPUTED_VALUE"""),"M&amp;E")</f>
        <v>M&amp;E</v>
      </c>
      <c r="C252" s="422" t="str">
        <f>IFERROR(__xludf.DUMMYFUNCTION("""COMPUTED_VALUE"""),"Team 03")</f>
        <v>Team 03</v>
      </c>
      <c r="D252" s="422" t="str">
        <f>IFERROR(__xludf.DUMMYFUNCTION("""COMPUTED_VALUE"""),"Fixing Fuel Level Monitoring")</f>
        <v>Fixing Fuel Level Monitoring</v>
      </c>
      <c r="E252" s="422" t="str">
        <f>IFERROR(__xludf.DUMMYFUNCTION("""COMPUTED_VALUE"""),"TNI0118 Need to check fuel sensor is right or not")</f>
        <v>TNI0118 Need to check fuel sensor is right or not</v>
      </c>
      <c r="F252" s="424">
        <f>IFERROR(__xludf.DUMMYFUNCTION("""COMPUTED_VALUE"""),46072.0)</f>
        <v>46072</v>
      </c>
      <c r="G252" s="424">
        <f>IFERROR(__xludf.DUMMYFUNCTION("""COMPUTED_VALUE"""),46078.0)</f>
        <v>46078</v>
      </c>
      <c r="H252" s="422" t="str">
        <f>IFERROR(__xludf.DUMMYFUNCTION("""COMPUTED_VALUE"""),"VCM289635-Si Thu Htun")</f>
        <v>VCM289635-Si Thu Htun</v>
      </c>
      <c r="I252" s="425">
        <f>IFERROR(__xludf.DUMMYFUNCTION("""COMPUTED_VALUE"""),46081.0)</f>
        <v>46081</v>
      </c>
      <c r="J252" s="424">
        <f>IFERROR(__xludf.DUMMYFUNCTION("""COMPUTED_VALUE"""),46072.0)</f>
        <v>46072</v>
      </c>
      <c r="K252" s="422"/>
      <c r="L252" s="422"/>
      <c r="M252" s="422"/>
      <c r="N252" s="422"/>
      <c r="O252" s="422"/>
      <c r="P252" s="422"/>
      <c r="Q252" s="422"/>
      <c r="R252" s="98"/>
      <c r="S252" s="98" t="str">
        <f>IFERROR(__xludf.DUMMYFUNCTION("""COMPUTED_VALUE"""),"myt_tinnaing.lin11")</f>
        <v>myt_tinnaing.lin11</v>
      </c>
      <c r="T252" s="98" t="str">
        <f>IFERROR(__xludf.DUMMYFUNCTION("""COMPUTED_VALUE"""),"TNI0118")</f>
        <v>TNI0118</v>
      </c>
    </row>
    <row r="253">
      <c r="A253" s="422">
        <f>IFERROR(__xludf.DUMMYFUNCTION("""COMPUTED_VALUE"""),251.0)</f>
        <v>251</v>
      </c>
      <c r="B253" s="422" t="str">
        <f>IFERROR(__xludf.DUMMYFUNCTION("""COMPUTED_VALUE"""),"M&amp;E")</f>
        <v>M&amp;E</v>
      </c>
      <c r="C253" s="422" t="str">
        <f>IFERROR(__xludf.DUMMYFUNCTION("""COMPUTED_VALUE"""),"Team 04")</f>
        <v>Team 04</v>
      </c>
      <c r="D253" s="422" t="str">
        <f>IFERROR(__xludf.DUMMYFUNCTION("""COMPUTED_VALUE"""),"Aircon installation")</f>
        <v>Aircon installation</v>
      </c>
      <c r="E253" s="422" t="str">
        <f>IFERROR(__xludf.DUMMYFUNCTION("""COMPUTED_VALUE"""),"TNI0015 need to install aircon 1 pcs")</f>
        <v>TNI0015 need to install aircon 1 pcs</v>
      </c>
      <c r="F253" s="424">
        <f>IFERROR(__xludf.DUMMYFUNCTION("""COMPUTED_VALUE"""),46154.0)</f>
        <v>46154</v>
      </c>
      <c r="G253" s="424">
        <f>IFERROR(__xludf.DUMMYFUNCTION("""COMPUTED_VALUE"""),46173.0)</f>
        <v>46173</v>
      </c>
      <c r="H253" s="422"/>
      <c r="I253" s="422"/>
      <c r="J253" s="422"/>
      <c r="K253" s="422"/>
      <c r="L253" s="422"/>
      <c r="M253" s="422"/>
      <c r="N253" s="422"/>
      <c r="O253" s="422"/>
      <c r="P253" s="422"/>
      <c r="Q253" s="422"/>
      <c r="R253" s="98"/>
      <c r="S253" s="98" t="str">
        <f>IFERROR(__xludf.DUMMYFUNCTION("""COMPUTED_VALUE"""),"myt_tinmaung.win")</f>
        <v>myt_tinmaung.win</v>
      </c>
      <c r="T253" s="98" t="str">
        <f>IFERROR(__xludf.DUMMYFUNCTION("""COMPUTED_VALUE"""),"TNI0015")</f>
        <v>TNI0015</v>
      </c>
    </row>
    <row r="254">
      <c r="A254" s="422">
        <f>IFERROR(__xludf.DUMMYFUNCTION("""COMPUTED_VALUE"""),252.0)</f>
        <v>252</v>
      </c>
      <c r="B254" s="422" t="str">
        <f>IFERROR(__xludf.DUMMYFUNCTION("""COMPUTED_VALUE"""),"M&amp;E")</f>
        <v>M&amp;E</v>
      </c>
      <c r="C254" s="422" t="str">
        <f>IFERROR(__xludf.DUMMYFUNCTION("""COMPUTED_VALUE"""),"Team 04")</f>
        <v>Team 04</v>
      </c>
      <c r="D254" s="422" t="str">
        <f>IFERROR(__xludf.DUMMYFUNCTION("""COMPUTED_VALUE"""),"Change MBB")</f>
        <v>Change MBB</v>
      </c>
      <c r="E254" s="422" t="str">
        <f>IFERROR(__xludf.DUMMYFUNCTION("""COMPUTED_VALUE"""),"TNI0015 Need to change shoto battery 5 pcs")</f>
        <v>TNI0015 Need to change shoto battery 5 pcs</v>
      </c>
      <c r="F254" s="424">
        <f>IFERROR(__xludf.DUMMYFUNCTION("""COMPUTED_VALUE"""),46154.0)</f>
        <v>46154</v>
      </c>
      <c r="G254" s="424">
        <f>IFERROR(__xludf.DUMMYFUNCTION("""COMPUTED_VALUE"""),46173.0)</f>
        <v>46173</v>
      </c>
      <c r="H254" s="422"/>
      <c r="I254" s="422"/>
      <c r="J254" s="422"/>
      <c r="K254" s="422"/>
      <c r="L254" s="422"/>
      <c r="M254" s="422"/>
      <c r="N254" s="422"/>
      <c r="O254" s="422"/>
      <c r="P254" s="422"/>
      <c r="Q254" s="422"/>
      <c r="R254" s="98"/>
      <c r="S254" s="98" t="str">
        <f>IFERROR(__xludf.DUMMYFUNCTION("""COMPUTED_VALUE"""),"myt_tinmaung.win")</f>
        <v>myt_tinmaung.win</v>
      </c>
      <c r="T254" s="98" t="str">
        <f>IFERROR(__xludf.DUMMYFUNCTION("""COMPUTED_VALUE"""),"TNI0015")</f>
        <v>TNI0015</v>
      </c>
    </row>
    <row r="255">
      <c r="A255" s="422">
        <f>IFERROR(__xludf.DUMMYFUNCTION("""COMPUTED_VALUE"""),253.0)</f>
        <v>253</v>
      </c>
      <c r="B255" s="422" t="str">
        <f>IFERROR(__xludf.DUMMYFUNCTION("""COMPUTED_VALUE"""),"M&amp;E")</f>
        <v>M&amp;E</v>
      </c>
      <c r="C255" s="422" t="str">
        <f>IFERROR(__xludf.DUMMYFUNCTION("""COMPUTED_VALUE"""),"Team 04")</f>
        <v>Team 04</v>
      </c>
      <c r="D255" s="422" t="str">
        <f>IFERROR(__xludf.DUMMYFUNCTION("""COMPUTED_VALUE"""),"Diode Kid Installation")</f>
        <v>Diode Kid Installation</v>
      </c>
      <c r="E255" s="422" t="str">
        <f>IFERROR(__xludf.DUMMYFUNCTION("""COMPUTED_VALUE"""),"TNI0244 Need to install diode kid")</f>
        <v>TNI0244 Need to install diode kid</v>
      </c>
      <c r="F255" s="424">
        <f>IFERROR(__xludf.DUMMYFUNCTION("""COMPUTED_VALUE"""),46154.0)</f>
        <v>46154</v>
      </c>
      <c r="G255" s="424">
        <f>IFERROR(__xludf.DUMMYFUNCTION("""COMPUTED_VALUE"""),46173.0)</f>
        <v>46173</v>
      </c>
      <c r="H255" s="422"/>
      <c r="I255" s="422"/>
      <c r="J255" s="422"/>
      <c r="K255" s="422"/>
      <c r="L255" s="422"/>
      <c r="M255" s="422"/>
      <c r="N255" s="422"/>
      <c r="O255" s="422"/>
      <c r="P255" s="422"/>
      <c r="Q255" s="422"/>
      <c r="R255" s="98"/>
      <c r="S255" s="98" t="str">
        <f>IFERROR(__xludf.DUMMYFUNCTION("""COMPUTED_VALUE"""),"myt_tinmaung.win")</f>
        <v>myt_tinmaung.win</v>
      </c>
      <c r="T255" s="98" t="str">
        <f>IFERROR(__xludf.DUMMYFUNCTION("""COMPUTED_VALUE"""),"TNI0244")</f>
        <v>TNI0244</v>
      </c>
    </row>
    <row r="256">
      <c r="A256" s="422">
        <f>IFERROR(__xludf.DUMMYFUNCTION("""COMPUTED_VALUE"""),254.0)</f>
        <v>254</v>
      </c>
      <c r="B256" s="422" t="str">
        <f>IFERROR(__xludf.DUMMYFUNCTION("""COMPUTED_VALUE"""),"M&amp;E")</f>
        <v>M&amp;E</v>
      </c>
      <c r="C256" s="422" t="str">
        <f>IFERROR(__xludf.DUMMYFUNCTION("""COMPUTED_VALUE"""),"Team 04")</f>
        <v>Team 04</v>
      </c>
      <c r="D256" s="422" t="str">
        <f>IFERROR(__xludf.DUMMYFUNCTION("""COMPUTED_VALUE"""),"Diode Kid Installation")</f>
        <v>Diode Kid Installation</v>
      </c>
      <c r="E256" s="422" t="str">
        <f>IFERROR(__xludf.DUMMYFUNCTION("""COMPUTED_VALUE"""),"TNI0509 Need to install diode kid")</f>
        <v>TNI0509 Need to install diode kid</v>
      </c>
      <c r="F256" s="424">
        <f>IFERROR(__xludf.DUMMYFUNCTION("""COMPUTED_VALUE"""),46154.0)</f>
        <v>46154</v>
      </c>
      <c r="G256" s="424">
        <f>IFERROR(__xludf.DUMMYFUNCTION("""COMPUTED_VALUE"""),46173.0)</f>
        <v>46173</v>
      </c>
      <c r="H256" s="422"/>
      <c r="I256" s="422"/>
      <c r="J256" s="422"/>
      <c r="K256" s="422"/>
      <c r="L256" s="422"/>
      <c r="M256" s="422"/>
      <c r="N256" s="422"/>
      <c r="O256" s="422"/>
      <c r="P256" s="422"/>
      <c r="Q256" s="422"/>
      <c r="R256" s="98"/>
      <c r="S256" s="98" t="str">
        <f>IFERROR(__xludf.DUMMYFUNCTION("""COMPUTED_VALUE"""),"myt_khantchaw.nyo")</f>
        <v>myt_khantchaw.nyo</v>
      </c>
      <c r="T256" s="98" t="str">
        <f>IFERROR(__xludf.DUMMYFUNCTION("""COMPUTED_VALUE"""),"TNI0509")</f>
        <v>TNI0509</v>
      </c>
    </row>
    <row r="257">
      <c r="A257" s="422">
        <f>IFERROR(__xludf.DUMMYFUNCTION("""COMPUTED_VALUE"""),255.0)</f>
        <v>255</v>
      </c>
      <c r="B257" s="422" t="str">
        <f>IFERROR(__xludf.DUMMYFUNCTION("""COMPUTED_VALUE"""),"M&amp;E")</f>
        <v>M&amp;E</v>
      </c>
      <c r="C257" s="422" t="str">
        <f>IFERROR(__xludf.DUMMYFUNCTION("""COMPUTED_VALUE"""),"Team 04")</f>
        <v>Team 04</v>
      </c>
      <c r="D257" s="422" t="str">
        <f>IFERROR(__xludf.DUMMYFUNCTION("""COMPUTED_VALUE"""),"Diode Kid Installation")</f>
        <v>Diode Kid Installation</v>
      </c>
      <c r="E257" s="422" t="str">
        <f>IFERROR(__xludf.DUMMYFUNCTION("""COMPUTED_VALUE"""),"TNI0350 Need to install diode kid")</f>
        <v>TNI0350 Need to install diode kid</v>
      </c>
      <c r="F257" s="424">
        <f>IFERROR(__xludf.DUMMYFUNCTION("""COMPUTED_VALUE"""),46154.0)</f>
        <v>46154</v>
      </c>
      <c r="G257" s="424">
        <f>IFERROR(__xludf.DUMMYFUNCTION("""COMPUTED_VALUE"""),46173.0)</f>
        <v>46173</v>
      </c>
      <c r="H257" s="422"/>
      <c r="I257" s="422"/>
      <c r="J257" s="422"/>
      <c r="K257" s="422"/>
      <c r="L257" s="422"/>
      <c r="M257" s="422"/>
      <c r="N257" s="422"/>
      <c r="O257" s="422"/>
      <c r="P257" s="422"/>
      <c r="Q257" s="422"/>
      <c r="R257" s="98"/>
      <c r="S257" s="98" t="str">
        <f>IFERROR(__xludf.DUMMYFUNCTION("""COMPUTED_VALUE"""),"myt_khantchaw.nyo")</f>
        <v>myt_khantchaw.nyo</v>
      </c>
      <c r="T257" s="98" t="str">
        <f>IFERROR(__xludf.DUMMYFUNCTION("""COMPUTED_VALUE"""),"TNI0350")</f>
        <v>TNI0350</v>
      </c>
    </row>
    <row r="258">
      <c r="A258" s="422">
        <f>IFERROR(__xludf.DUMMYFUNCTION("""COMPUTED_VALUE"""),256.0)</f>
        <v>256</v>
      </c>
      <c r="B258" s="422" t="str">
        <f>IFERROR(__xludf.DUMMYFUNCTION("""COMPUTED_VALUE"""),"M&amp;E")</f>
        <v>M&amp;E</v>
      </c>
      <c r="C258" s="422" t="str">
        <f>IFERROR(__xludf.DUMMYFUNCTION("""COMPUTED_VALUE"""),"Team 04")</f>
        <v>Team 04</v>
      </c>
      <c r="D258" s="422" t="str">
        <f>IFERROR(__xludf.DUMMYFUNCTION("""COMPUTED_VALUE"""),"Fixing Fuel Level Monitoring")</f>
        <v>Fixing Fuel Level Monitoring</v>
      </c>
      <c r="E258" s="422" t="str">
        <f>IFERROR(__xludf.DUMMYFUNCTION("""COMPUTED_VALUE"""),"TNI0295  Need to fix fuel level cannot monitoring at NMS.")</f>
        <v>TNI0295  Need to fix fuel level cannot monitoring at NMS.</v>
      </c>
      <c r="F258" s="424">
        <f>IFERROR(__xludf.DUMMYFUNCTION("""COMPUTED_VALUE"""),45992.0)</f>
        <v>45992</v>
      </c>
      <c r="G258" s="424">
        <f>IFERROR(__xludf.DUMMYFUNCTION("""COMPUTED_VALUE"""),46011.0)</f>
        <v>46011</v>
      </c>
      <c r="H258" s="422" t="str">
        <f>IFERROR(__xludf.DUMMYFUNCTION("""COMPUTED_VALUE"""),"VCM277678-Naing Myo Htun, VCM818134-Tin Maung Win")</f>
        <v>VCM277678-Naing Myo Htun, VCM818134-Tin Maung Win</v>
      </c>
      <c r="I258" s="425">
        <f>IFERROR(__xludf.DUMMYFUNCTION("""COMPUTED_VALUE"""),46011.0)</f>
        <v>46011</v>
      </c>
      <c r="J258" s="424">
        <f>IFERROR(__xludf.DUMMYFUNCTION("""COMPUTED_VALUE"""),46054.0)</f>
        <v>46054</v>
      </c>
      <c r="K258" s="422"/>
      <c r="L258" s="422"/>
      <c r="M258" s="422"/>
      <c r="N258" s="422"/>
      <c r="O258" s="422">
        <f>IFERROR(__xludf.DUMMYFUNCTION("""COMPUTED_VALUE"""),0.0)</f>
        <v>0</v>
      </c>
      <c r="P258" s="422"/>
      <c r="Q258" s="422"/>
      <c r="R258" s="98"/>
      <c r="S258" s="98" t="str">
        <f>IFERROR(__xludf.DUMMYFUNCTION("""COMPUTED_VALUE"""),"myt_tinmaung.win")</f>
        <v>myt_tinmaung.win</v>
      </c>
      <c r="T258" s="98" t="str">
        <f>IFERROR(__xludf.DUMMYFUNCTION("""COMPUTED_VALUE"""),"TNI0295")</f>
        <v>TNI0295</v>
      </c>
    </row>
    <row r="259">
      <c r="A259" s="422">
        <f>IFERROR(__xludf.DUMMYFUNCTION("""COMPUTED_VALUE"""),257.0)</f>
        <v>257</v>
      </c>
      <c r="B259" s="422" t="str">
        <f>IFERROR(__xludf.DUMMYFUNCTION("""COMPUTED_VALUE"""),"M&amp;E")</f>
        <v>M&amp;E</v>
      </c>
      <c r="C259" s="422" t="str">
        <f>IFERROR(__xludf.DUMMYFUNCTION("""COMPUTED_VALUE"""),"Team 04")</f>
        <v>Team 04</v>
      </c>
      <c r="D259" s="422" t="str">
        <f>IFERROR(__xludf.DUMMYFUNCTION("""COMPUTED_VALUE"""),"Fixing Fuel Level Monitoring")</f>
        <v>Fixing Fuel Level Monitoring</v>
      </c>
      <c r="E259" s="422" t="str">
        <f>IFERROR(__xludf.DUMMYFUNCTION("""COMPUTED_VALUE"""),"TNI0012_2 Need to do fuel level can monitoring")</f>
        <v>TNI0012_2 Need to do fuel level can monitoring</v>
      </c>
      <c r="F259" s="424">
        <f>IFERROR(__xludf.DUMMYFUNCTION("""COMPUTED_VALUE"""),46072.0)</f>
        <v>46072</v>
      </c>
      <c r="G259" s="424">
        <f>IFERROR(__xludf.DUMMYFUNCTION("""COMPUTED_VALUE"""),46078.0)</f>
        <v>46078</v>
      </c>
      <c r="H259" s="422" t="str">
        <f>IFERROR(__xludf.DUMMYFUNCTION("""COMPUTED_VALUE"""),"VCM818134-Tin Maung Win, VCM859332-Kyaw Nyein Thu")</f>
        <v>VCM818134-Tin Maung Win, VCM859332-Kyaw Nyein Thu</v>
      </c>
      <c r="I259" s="425">
        <f>IFERROR(__xludf.DUMMYFUNCTION("""COMPUTED_VALUE"""),46072.0)</f>
        <v>46072</v>
      </c>
      <c r="J259" s="422"/>
      <c r="K259" s="422"/>
      <c r="L259" s="422"/>
      <c r="M259" s="422"/>
      <c r="N259" s="422"/>
      <c r="O259" s="422"/>
      <c r="P259" s="422">
        <f>IFERROR(__xludf.DUMMYFUNCTION("""COMPUTED_VALUE"""),0.0)</f>
        <v>0</v>
      </c>
      <c r="Q259" s="422"/>
      <c r="R259" s="98"/>
      <c r="S259" s="98" t="str">
        <f>IFERROR(__xludf.DUMMYFUNCTION("""COMPUTED_VALUE"""),"myt_khantchaw.nyo")</f>
        <v>myt_khantchaw.nyo</v>
      </c>
      <c r="T259" s="98" t="str">
        <f>IFERROR(__xludf.DUMMYFUNCTION("""COMPUTED_VALUE"""),"TNI0012")</f>
        <v>TNI0012</v>
      </c>
    </row>
    <row r="260">
      <c r="A260" s="422">
        <f>IFERROR(__xludf.DUMMYFUNCTION("""COMPUTED_VALUE"""),258.0)</f>
        <v>258</v>
      </c>
      <c r="B260" s="422" t="str">
        <f>IFERROR(__xludf.DUMMYFUNCTION("""COMPUTED_VALUE"""),"M&amp;E")</f>
        <v>M&amp;E</v>
      </c>
      <c r="C260" s="422" t="str">
        <f>IFERROR(__xludf.DUMMYFUNCTION("""COMPUTED_VALUE"""),"Team 04")</f>
        <v>Team 04</v>
      </c>
      <c r="D260" s="422" t="str">
        <f>IFERROR(__xludf.DUMMYFUNCTION("""COMPUTED_VALUE"""),"Fixing Fuel Level Monitoring")</f>
        <v>Fixing Fuel Level Monitoring</v>
      </c>
      <c r="E260" s="422" t="str">
        <f>IFERROR(__xludf.DUMMYFUNCTION("""COMPUTED_VALUE"""),"TNI0227 Fuel level not change and need to repair fuel sensor.")</f>
        <v>TNI0227 Fuel level not change and need to repair fuel sensor.</v>
      </c>
      <c r="F260" s="424">
        <f>IFERROR(__xludf.DUMMYFUNCTION("""COMPUTED_VALUE"""),46072.0)</f>
        <v>46072</v>
      </c>
      <c r="G260" s="424">
        <f>IFERROR(__xludf.DUMMYFUNCTION("""COMPUTED_VALUE"""),46078.0)</f>
        <v>46078</v>
      </c>
      <c r="H260" s="422" t="str">
        <f>IFERROR(__xludf.DUMMYFUNCTION("""COMPUTED_VALUE"""),"VCM818134-Tin Maung Win, VCM859332-Kyaw Nyein Thu")</f>
        <v>VCM818134-Tin Maung Win, VCM859332-Kyaw Nyein Thu</v>
      </c>
      <c r="I260" s="425">
        <f>IFERROR(__xludf.DUMMYFUNCTION("""COMPUTED_VALUE"""),46073.0)</f>
        <v>46073</v>
      </c>
      <c r="J260" s="424">
        <f>IFERROR(__xludf.DUMMYFUNCTION("""COMPUTED_VALUE"""),46071.0)</f>
        <v>46071</v>
      </c>
      <c r="K260" s="422"/>
      <c r="L260" s="422"/>
      <c r="M260" s="422"/>
      <c r="N260" s="422"/>
      <c r="O260" s="422"/>
      <c r="P260" s="422"/>
      <c r="Q260" s="422"/>
      <c r="R260" s="98"/>
      <c r="S260" s="98" t="str">
        <f>IFERROR(__xludf.DUMMYFUNCTION("""COMPUTED_VALUE"""),"myt_aungkyaw.latt")</f>
        <v>myt_aungkyaw.latt</v>
      </c>
      <c r="T260" s="98" t="str">
        <f>IFERROR(__xludf.DUMMYFUNCTION("""COMPUTED_VALUE"""),"TNI0227")</f>
        <v>TNI0227</v>
      </c>
    </row>
    <row r="261">
      <c r="A261" s="422">
        <f>IFERROR(__xludf.DUMMYFUNCTION("""COMPUTED_VALUE"""),259.0)</f>
        <v>259</v>
      </c>
      <c r="B261" s="422" t="str">
        <f>IFERROR(__xludf.DUMMYFUNCTION("""COMPUTED_VALUE"""),"M&amp;E")</f>
        <v>M&amp;E</v>
      </c>
      <c r="C261" s="422" t="str">
        <f>IFERROR(__xludf.DUMMYFUNCTION("""COMPUTED_VALUE"""),"Team 04")</f>
        <v>Team 04</v>
      </c>
      <c r="D261" s="422" t="str">
        <f>IFERROR(__xludf.DUMMYFUNCTION("""COMPUTED_VALUE"""),"Smart CB")</f>
        <v>Smart CB</v>
      </c>
      <c r="E261" s="422" t="str">
        <f>IFERROR(__xludf.DUMMYFUNCTION("""COMPUTED_VALUE"""),"TNI0120 Need to install smart CB")</f>
        <v>TNI0120 Need to install smart CB</v>
      </c>
      <c r="F261" s="424">
        <f>IFERROR(__xludf.DUMMYFUNCTION("""COMPUTED_VALUE"""),46154.0)</f>
        <v>46154</v>
      </c>
      <c r="G261" s="424">
        <f>IFERROR(__xludf.DUMMYFUNCTION("""COMPUTED_VALUE"""),46173.0)</f>
        <v>46173</v>
      </c>
      <c r="H261" s="422"/>
      <c r="I261" s="422"/>
      <c r="J261" s="422"/>
      <c r="K261" s="422"/>
      <c r="L261" s="422"/>
      <c r="M261" s="422" t="str">
        <f>IFERROR(__xludf.DUMMYFUNCTION("""COMPUTED_VALUE"""),"Dep Confirm completion")</f>
        <v>Dep Confirm completion</v>
      </c>
      <c r="N261" s="422"/>
      <c r="O261" s="422"/>
      <c r="P261" s="422"/>
      <c r="Q261" s="422"/>
      <c r="R261" s="98"/>
      <c r="S261" s="98" t="str">
        <f>IFERROR(__xludf.DUMMYFUNCTION("""COMPUTED_VALUE"""),"myt_tinmaung.win")</f>
        <v>myt_tinmaung.win</v>
      </c>
      <c r="T261" s="98" t="str">
        <f>IFERROR(__xludf.DUMMYFUNCTION("""COMPUTED_VALUE"""),"TNI0120")</f>
        <v>TNI0120</v>
      </c>
    </row>
    <row r="262">
      <c r="A262" s="422">
        <f>IFERROR(__xludf.DUMMYFUNCTION("""COMPUTED_VALUE"""),260.0)</f>
        <v>260</v>
      </c>
      <c r="B262" s="422" t="str">
        <f>IFERROR(__xludf.DUMMYFUNCTION("""COMPUTED_VALUE"""),"M&amp;E")</f>
        <v>M&amp;E</v>
      </c>
      <c r="C262" s="422" t="str">
        <f>IFERROR(__xludf.DUMMYFUNCTION("""COMPUTED_VALUE"""),"Team 05")</f>
        <v>Team 05</v>
      </c>
      <c r="D262" s="422" t="str">
        <f>IFERROR(__xludf.DUMMYFUNCTION("""COMPUTED_VALUE"""),"Change MBB")</f>
        <v>Change MBB</v>
      </c>
      <c r="E262" s="422" t="str">
        <f>IFERROR(__xludf.DUMMYFUNCTION("""COMPUTED_VALUE"""),"TNI0005 Need to change backup batteries 8 pcs at TNI0005")</f>
        <v>TNI0005 Need to change backup batteries 8 pcs at TNI0005</v>
      </c>
      <c r="F262" s="424">
        <f>IFERROR(__xludf.DUMMYFUNCTION("""COMPUTED_VALUE"""),45992.0)</f>
        <v>45992</v>
      </c>
      <c r="G262" s="424">
        <f>IFERROR(__xludf.DUMMYFUNCTION("""COMPUTED_VALUE"""),46011.0)</f>
        <v>46011</v>
      </c>
      <c r="H262" s="422" t="str">
        <f>IFERROR(__xludf.DUMMYFUNCTION("""COMPUTED_VALUE"""),"VCM290207-Min Paing Oo, VCM811568-Aung Kyaw Latt")</f>
        <v>VCM290207-Min Paing Oo, VCM811568-Aung Kyaw Latt</v>
      </c>
      <c r="I262" s="425">
        <f>IFERROR(__xludf.DUMMYFUNCTION("""COMPUTED_VALUE"""),46041.0)</f>
        <v>46041</v>
      </c>
      <c r="J262" s="422"/>
      <c r="K262" s="422"/>
      <c r="L262" s="422"/>
      <c r="M262" s="422" t="str">
        <f>IFERROR(__xludf.DUMMYFUNCTION("""COMPUTED_VALUE"""),"Deduction")</f>
        <v>Deduction</v>
      </c>
      <c r="N262" s="422"/>
      <c r="O262" s="422">
        <f>IFERROR(__xludf.DUMMYFUNCTION("""COMPUTED_VALUE"""),1.0)</f>
        <v>1</v>
      </c>
      <c r="P262" s="422">
        <f>IFERROR(__xludf.DUMMYFUNCTION("""COMPUTED_VALUE"""),0.0)</f>
        <v>0</v>
      </c>
      <c r="Q262" s="422"/>
      <c r="R262" s="98"/>
      <c r="S262" s="98" t="str">
        <f>IFERROR(__xludf.DUMMYFUNCTION("""COMPUTED_VALUE"""),"myt_minpaing.oo")</f>
        <v>myt_minpaing.oo</v>
      </c>
      <c r="T262" s="98" t="str">
        <f>IFERROR(__xludf.DUMMYFUNCTION("""COMPUTED_VALUE"""),"TNI0005")</f>
        <v>TNI0005</v>
      </c>
    </row>
    <row r="263">
      <c r="A263" s="422">
        <f>IFERROR(__xludf.DUMMYFUNCTION("""COMPUTED_VALUE"""),261.0)</f>
        <v>261</v>
      </c>
      <c r="B263" s="422" t="str">
        <f>IFERROR(__xludf.DUMMYFUNCTION("""COMPUTED_VALUE"""),"M&amp;E")</f>
        <v>M&amp;E</v>
      </c>
      <c r="C263" s="422" t="str">
        <f>IFERROR(__xludf.DUMMYFUNCTION("""COMPUTED_VALUE"""),"Team 05")</f>
        <v>Team 05</v>
      </c>
      <c r="D263" s="422" t="str">
        <f>IFERROR(__xludf.DUMMYFUNCTION("""COMPUTED_VALUE"""),"Change MBB")</f>
        <v>Change MBB</v>
      </c>
      <c r="E263" s="422" t="str">
        <f>IFERROR(__xludf.DUMMYFUNCTION("""COMPUTED_VALUE"""),"TNI0090 Need to change shoto battery 4 pcs")</f>
        <v>TNI0090 Need to change shoto battery 4 pcs</v>
      </c>
      <c r="F263" s="424">
        <f>IFERROR(__xludf.DUMMYFUNCTION("""COMPUTED_VALUE"""),46154.0)</f>
        <v>46154</v>
      </c>
      <c r="G263" s="424">
        <f>IFERROR(__xludf.DUMMYFUNCTION("""COMPUTED_VALUE"""),46173.0)</f>
        <v>46173</v>
      </c>
      <c r="H263" s="422"/>
      <c r="I263" s="422"/>
      <c r="J263" s="422"/>
      <c r="K263" s="422"/>
      <c r="L263" s="422"/>
      <c r="M263" s="422"/>
      <c r="N263" s="422"/>
      <c r="O263" s="422"/>
      <c r="P263" s="422"/>
      <c r="Q263" s="422"/>
      <c r="R263" s="98"/>
      <c r="S263" s="98" t="str">
        <f>IFERROR(__xludf.DUMMYFUNCTION("""COMPUTED_VALUE"""),"myt_minpaing.oo")</f>
        <v>myt_minpaing.oo</v>
      </c>
      <c r="T263" s="98" t="str">
        <f>IFERROR(__xludf.DUMMYFUNCTION("""COMPUTED_VALUE"""),"TNI0090")</f>
        <v>TNI0090</v>
      </c>
    </row>
    <row r="264">
      <c r="A264" s="422">
        <f>IFERROR(__xludf.DUMMYFUNCTION("""COMPUTED_VALUE"""),262.0)</f>
        <v>262</v>
      </c>
      <c r="B264" s="422" t="str">
        <f>IFERROR(__xludf.DUMMYFUNCTION("""COMPUTED_VALUE"""),"M&amp;E")</f>
        <v>M&amp;E</v>
      </c>
      <c r="C264" s="422" t="str">
        <f>IFERROR(__xludf.DUMMYFUNCTION("""COMPUTED_VALUE"""),"Team 05")</f>
        <v>Team 05</v>
      </c>
      <c r="D264" s="422" t="str">
        <f>IFERROR(__xludf.DUMMYFUNCTION("""COMPUTED_VALUE"""),"Change MBB")</f>
        <v>Change MBB</v>
      </c>
      <c r="E264" s="422" t="str">
        <f>IFERROR(__xludf.DUMMYFUNCTION("""COMPUTED_VALUE"""),"TNI0289 Need to change shoto battery 4 pcs")</f>
        <v>TNI0289 Need to change shoto battery 4 pcs</v>
      </c>
      <c r="F264" s="424">
        <f>IFERROR(__xludf.DUMMYFUNCTION("""COMPUTED_VALUE"""),46154.0)</f>
        <v>46154</v>
      </c>
      <c r="G264" s="424">
        <f>IFERROR(__xludf.DUMMYFUNCTION("""COMPUTED_VALUE"""),46173.0)</f>
        <v>46173</v>
      </c>
      <c r="H264" s="422"/>
      <c r="I264" s="422"/>
      <c r="J264" s="422"/>
      <c r="K264" s="422"/>
      <c r="L264" s="422"/>
      <c r="M264" s="422"/>
      <c r="N264" s="422"/>
      <c r="O264" s="422"/>
      <c r="P264" s="422"/>
      <c r="Q264" s="422"/>
      <c r="R264" s="98"/>
      <c r="S264" s="98" t="str">
        <f>IFERROR(__xludf.DUMMYFUNCTION("""COMPUTED_VALUE"""),"myt_minpaing.oo")</f>
        <v>myt_minpaing.oo</v>
      </c>
      <c r="T264" s="98" t="str">
        <f>IFERROR(__xludf.DUMMYFUNCTION("""COMPUTED_VALUE"""),"TNI0289")</f>
        <v>TNI0289</v>
      </c>
    </row>
    <row r="265">
      <c r="A265" s="422">
        <f>IFERROR(__xludf.DUMMYFUNCTION("""COMPUTED_VALUE"""),263.0)</f>
        <v>263</v>
      </c>
      <c r="B265" s="422" t="str">
        <f>IFERROR(__xludf.DUMMYFUNCTION("""COMPUTED_VALUE"""),"M&amp;E")</f>
        <v>M&amp;E</v>
      </c>
      <c r="C265" s="422" t="str">
        <f>IFERROR(__xludf.DUMMYFUNCTION("""COMPUTED_VALUE"""),"Team 05")</f>
        <v>Team 05</v>
      </c>
      <c r="D265" s="422" t="str">
        <f>IFERROR(__xludf.DUMMYFUNCTION("""COMPUTED_VALUE"""),"Change MBB")</f>
        <v>Change MBB</v>
      </c>
      <c r="E265" s="422" t="str">
        <f>IFERROR(__xludf.DUMMYFUNCTION("""COMPUTED_VALUE"""),"TNI0323 Need to change shoto battery 3 pcs")</f>
        <v>TNI0323 Need to change shoto battery 3 pcs</v>
      </c>
      <c r="F265" s="424">
        <f>IFERROR(__xludf.DUMMYFUNCTION("""COMPUTED_VALUE"""),46154.0)</f>
        <v>46154</v>
      </c>
      <c r="G265" s="424">
        <f>IFERROR(__xludf.DUMMYFUNCTION("""COMPUTED_VALUE"""),46173.0)</f>
        <v>46173</v>
      </c>
      <c r="H265" s="422"/>
      <c r="I265" s="422"/>
      <c r="J265" s="422"/>
      <c r="K265" s="422"/>
      <c r="L265" s="422"/>
      <c r="M265" s="422"/>
      <c r="N265" s="422"/>
      <c r="O265" s="422"/>
      <c r="P265" s="422"/>
      <c r="Q265" s="422"/>
      <c r="R265" s="98"/>
      <c r="S265" s="98" t="str">
        <f>IFERROR(__xludf.DUMMYFUNCTION("""COMPUTED_VALUE"""),"myt_minpaing.oo")</f>
        <v>myt_minpaing.oo</v>
      </c>
      <c r="T265" s="98" t="str">
        <f>IFERROR(__xludf.DUMMYFUNCTION("""COMPUTED_VALUE"""),"TNI0323")</f>
        <v>TNI0323</v>
      </c>
    </row>
    <row r="266">
      <c r="A266" s="422">
        <f>IFERROR(__xludf.DUMMYFUNCTION("""COMPUTED_VALUE"""),264.0)</f>
        <v>264</v>
      </c>
      <c r="B266" s="422" t="str">
        <f>IFERROR(__xludf.DUMMYFUNCTION("""COMPUTED_VALUE"""),"M&amp;E")</f>
        <v>M&amp;E</v>
      </c>
      <c r="C266" s="422" t="str">
        <f>IFERROR(__xludf.DUMMYFUNCTION("""COMPUTED_VALUE"""),"Team 05")</f>
        <v>Team 05</v>
      </c>
      <c r="D266" s="422" t="str">
        <f>IFERROR(__xludf.DUMMYFUNCTION("""COMPUTED_VALUE"""),"Change MBB")</f>
        <v>Change MBB</v>
      </c>
      <c r="E266" s="422" t="str">
        <f>IFERROR(__xludf.DUMMYFUNCTION("""COMPUTED_VALUE"""),"TNI0339 Need to change shoto battery 4 pcs")</f>
        <v>TNI0339 Need to change shoto battery 4 pcs</v>
      </c>
      <c r="F266" s="424">
        <f>IFERROR(__xludf.DUMMYFUNCTION("""COMPUTED_VALUE"""),46154.0)</f>
        <v>46154</v>
      </c>
      <c r="G266" s="424">
        <f>IFERROR(__xludf.DUMMYFUNCTION("""COMPUTED_VALUE"""),46173.0)</f>
        <v>46173</v>
      </c>
      <c r="H266" s="422"/>
      <c r="I266" s="422"/>
      <c r="J266" s="422"/>
      <c r="K266" s="422"/>
      <c r="L266" s="422"/>
      <c r="M266" s="422"/>
      <c r="N266" s="422"/>
      <c r="O266" s="422"/>
      <c r="P266" s="422"/>
      <c r="Q266" s="422"/>
      <c r="R266" s="98"/>
      <c r="S266" s="98" t="str">
        <f>IFERROR(__xludf.DUMMYFUNCTION("""COMPUTED_VALUE"""),"myt_minpaing.oo")</f>
        <v>myt_minpaing.oo</v>
      </c>
      <c r="T266" s="98" t="str">
        <f>IFERROR(__xludf.DUMMYFUNCTION("""COMPUTED_VALUE"""),"TNI0339")</f>
        <v>TNI0339</v>
      </c>
    </row>
    <row r="267">
      <c r="A267" s="422">
        <f>IFERROR(__xludf.DUMMYFUNCTION("""COMPUTED_VALUE"""),265.0)</f>
        <v>265</v>
      </c>
      <c r="B267" s="422" t="str">
        <f>IFERROR(__xludf.DUMMYFUNCTION("""COMPUTED_VALUE"""),"M&amp;E")</f>
        <v>M&amp;E</v>
      </c>
      <c r="C267" s="422" t="str">
        <f>IFERROR(__xludf.DUMMYFUNCTION("""COMPUTED_VALUE"""),"Team 05")</f>
        <v>Team 05</v>
      </c>
      <c r="D267" s="422" t="str">
        <f>IFERROR(__xludf.DUMMYFUNCTION("""COMPUTED_VALUE"""),"Fix quantity PU Working Abnormal")</f>
        <v>Fix quantity PU Working Abnormal</v>
      </c>
      <c r="E267" s="422" t="str">
        <f>IFERROR(__xludf.DUMMYFUNCTION("""COMPUTED_VALUE"""),"TNI0007 Need to check PU working abnormal at TNI0007")</f>
        <v>TNI0007 Need to check PU working abnormal at TNI0007</v>
      </c>
      <c r="F267" s="424">
        <f>IFERROR(__xludf.DUMMYFUNCTION("""COMPUTED_VALUE"""),45992.0)</f>
        <v>45992</v>
      </c>
      <c r="G267" s="424">
        <f>IFERROR(__xludf.DUMMYFUNCTION("""COMPUTED_VALUE"""),46011.0)</f>
        <v>46011</v>
      </c>
      <c r="H267" s="422" t="str">
        <f>IFERROR(__xludf.DUMMYFUNCTION("""COMPUTED_VALUE"""),"VCM290207-Min Paing Oo")</f>
        <v>VCM290207-Min Paing Oo</v>
      </c>
      <c r="I267" s="425">
        <f>IFERROR(__xludf.DUMMYFUNCTION("""COMPUTED_VALUE"""),46044.0)</f>
        <v>46044</v>
      </c>
      <c r="J267" s="422"/>
      <c r="K267" s="422"/>
      <c r="L267" s="422"/>
      <c r="M267" s="422" t="str">
        <f>IFERROR(__xludf.DUMMYFUNCTION("""COMPUTED_VALUE"""),"Deduction")</f>
        <v>Deduction</v>
      </c>
      <c r="N267" s="422"/>
      <c r="O267" s="422">
        <f>IFERROR(__xludf.DUMMYFUNCTION("""COMPUTED_VALUE"""),1.0)</f>
        <v>1</v>
      </c>
      <c r="P267" s="422">
        <f>IFERROR(__xludf.DUMMYFUNCTION("""COMPUTED_VALUE"""),0.0)</f>
        <v>0</v>
      </c>
      <c r="Q267" s="422"/>
      <c r="R267" s="98"/>
      <c r="S267" s="98" t="str">
        <f>IFERROR(__xludf.DUMMYFUNCTION("""COMPUTED_VALUE"""),"myt_minpaing.oo")</f>
        <v>myt_minpaing.oo</v>
      </c>
      <c r="T267" s="98" t="str">
        <f>IFERROR(__xludf.DUMMYFUNCTION("""COMPUTED_VALUE"""),"TNI0007")</f>
        <v>TNI0007</v>
      </c>
    </row>
    <row r="268">
      <c r="A268" s="422">
        <f>IFERROR(__xludf.DUMMYFUNCTION("""COMPUTED_VALUE"""),266.0)</f>
        <v>266</v>
      </c>
      <c r="B268" s="422" t="str">
        <f>IFERROR(__xludf.DUMMYFUNCTION("""COMPUTED_VALUE"""),"M&amp;E")</f>
        <v>M&amp;E</v>
      </c>
      <c r="C268" s="422" t="str">
        <f>IFERROR(__xludf.DUMMYFUNCTION("""COMPUTED_VALUE"""),"Team 05")</f>
        <v>Team 05</v>
      </c>
      <c r="D268" s="422" t="str">
        <f>IFERROR(__xludf.DUMMYFUNCTION("""COMPUTED_VALUE"""),"Fuel Lose")</f>
        <v>Fuel Lose</v>
      </c>
      <c r="E268" s="422" t="str">
        <f>IFERROR(__xludf.DUMMYFUNCTION("""COMPUTED_VALUE"""),"TNI0339 Need to cover DG drain hole with cement.")</f>
        <v>TNI0339 Need to cover DG drain hole with cement.</v>
      </c>
      <c r="F268" s="424">
        <f>IFERROR(__xludf.DUMMYFUNCTION("""COMPUTED_VALUE"""),45992.0)</f>
        <v>45992</v>
      </c>
      <c r="G268" s="424">
        <f>IFERROR(__xludf.DUMMYFUNCTION("""COMPUTED_VALUE"""),46011.0)</f>
        <v>46011</v>
      </c>
      <c r="H268" s="422" t="str">
        <f>IFERROR(__xludf.DUMMYFUNCTION("""COMPUTED_VALUE"""),"VCM290207-Min Paing Oo, VCM811568-Aung Kyaw Latt")</f>
        <v>VCM290207-Min Paing Oo, VCM811568-Aung Kyaw Latt</v>
      </c>
      <c r="I268" s="425">
        <f>IFERROR(__xludf.DUMMYFUNCTION("""COMPUTED_VALUE"""),46042.0)</f>
        <v>46042</v>
      </c>
      <c r="J268" s="422"/>
      <c r="K268" s="422"/>
      <c r="L268" s="422"/>
      <c r="M268" s="422"/>
      <c r="N268" s="422"/>
      <c r="O268" s="422">
        <f>IFERROR(__xludf.DUMMYFUNCTION("""COMPUTED_VALUE"""),0.0)</f>
        <v>0</v>
      </c>
      <c r="P268" s="422">
        <f>IFERROR(__xludf.DUMMYFUNCTION("""COMPUTED_VALUE"""),0.0)</f>
        <v>0</v>
      </c>
      <c r="Q268" s="422"/>
      <c r="R268" s="98"/>
      <c r="S268" s="98" t="str">
        <f>IFERROR(__xludf.DUMMYFUNCTION("""COMPUTED_VALUE"""),"myt_minpaing.oo")</f>
        <v>myt_minpaing.oo</v>
      </c>
      <c r="T268" s="98" t="str">
        <f>IFERROR(__xludf.DUMMYFUNCTION("""COMPUTED_VALUE"""),"TNI0339")</f>
        <v>TNI0339</v>
      </c>
    </row>
    <row r="269">
      <c r="A269" s="422">
        <f>IFERROR(__xludf.DUMMYFUNCTION("""COMPUTED_VALUE"""),267.0)</f>
        <v>267</v>
      </c>
      <c r="B269" s="422" t="str">
        <f>IFERROR(__xludf.DUMMYFUNCTION("""COMPUTED_VALUE"""),"M&amp;E")</f>
        <v>M&amp;E</v>
      </c>
      <c r="C269" s="422" t="str">
        <f>IFERROR(__xludf.DUMMYFUNCTION("""COMPUTED_VALUE"""),"Team 05")</f>
        <v>Team 05</v>
      </c>
      <c r="D269" s="422" t="str">
        <f>IFERROR(__xludf.DUMMYFUNCTION("""COMPUTED_VALUE"""),"Smart CB")</f>
        <v>Smart CB</v>
      </c>
      <c r="E269" s="422" t="str">
        <f>IFERROR(__xludf.DUMMYFUNCTION("""COMPUTED_VALUE"""),"TNI0290")</f>
        <v>TNI0290</v>
      </c>
      <c r="F269" s="424">
        <f>IFERROR(__xludf.DUMMYFUNCTION("""COMPUTED_VALUE"""),46154.0)</f>
        <v>46154</v>
      </c>
      <c r="G269" s="424">
        <f>IFERROR(__xludf.DUMMYFUNCTION("""COMPUTED_VALUE"""),46173.0)</f>
        <v>46173</v>
      </c>
      <c r="H269" s="422"/>
      <c r="I269" s="422"/>
      <c r="J269" s="422"/>
      <c r="K269" s="422"/>
      <c r="L269" s="422"/>
      <c r="M269" s="422"/>
      <c r="N269" s="422"/>
      <c r="O269" s="422"/>
      <c r="P269" s="422"/>
      <c r="Q269" s="422"/>
      <c r="R269" s="98"/>
      <c r="S269" s="98" t="str">
        <f>IFERROR(__xludf.DUMMYFUNCTION("""COMPUTED_VALUE"""),"myt_minpaing.oo")</f>
        <v>myt_minpaing.oo</v>
      </c>
      <c r="T269" s="98" t="str">
        <f>IFERROR(__xludf.DUMMYFUNCTION("""COMPUTED_VALUE"""),"TNI0290")</f>
        <v>TNI0290</v>
      </c>
    </row>
    <row r="270">
      <c r="A270" s="422">
        <f>IFERROR(__xludf.DUMMYFUNCTION("""COMPUTED_VALUE"""),268.0)</f>
        <v>268</v>
      </c>
      <c r="B270" s="422" t="str">
        <f>IFERROR(__xludf.DUMMYFUNCTION("""COMPUTED_VALUE"""),"M&amp;E")</f>
        <v>M&amp;E</v>
      </c>
      <c r="C270" s="422" t="str">
        <f>IFERROR(__xludf.DUMMYFUNCTION("""COMPUTED_VALUE"""),"Team 05")</f>
        <v>Team 05</v>
      </c>
      <c r="D270" s="422" t="str">
        <f>IFERROR(__xludf.DUMMYFUNCTION("""COMPUTED_VALUE"""),"Smart CB")</f>
        <v>Smart CB</v>
      </c>
      <c r="E270" s="422" t="str">
        <f>IFERROR(__xludf.DUMMYFUNCTION("""COMPUTED_VALUE"""),"TNI0339")</f>
        <v>TNI0339</v>
      </c>
      <c r="F270" s="424">
        <f>IFERROR(__xludf.DUMMYFUNCTION("""COMPUTED_VALUE"""),46154.0)</f>
        <v>46154</v>
      </c>
      <c r="G270" s="424">
        <f>IFERROR(__xludf.DUMMYFUNCTION("""COMPUTED_VALUE"""),46173.0)</f>
        <v>46173</v>
      </c>
      <c r="H270" s="422"/>
      <c r="I270" s="422"/>
      <c r="J270" s="422"/>
      <c r="K270" s="422"/>
      <c r="L270" s="422"/>
      <c r="M270" s="422"/>
      <c r="N270" s="422"/>
      <c r="O270" s="422"/>
      <c r="P270" s="422"/>
      <c r="Q270" s="422"/>
      <c r="R270" s="98"/>
      <c r="S270" s="98" t="str">
        <f>IFERROR(__xludf.DUMMYFUNCTION("""COMPUTED_VALUE"""),"myt_minpaing.oo")</f>
        <v>myt_minpaing.oo</v>
      </c>
      <c r="T270" s="98" t="str">
        <f>IFERROR(__xludf.DUMMYFUNCTION("""COMPUTED_VALUE"""),"TNI0339")</f>
        <v>TNI0339</v>
      </c>
    </row>
    <row r="271">
      <c r="A271" s="422">
        <f>IFERROR(__xludf.DUMMYFUNCTION("""COMPUTED_VALUE"""),269.0)</f>
        <v>269</v>
      </c>
      <c r="B271" s="422" t="str">
        <f>IFERROR(__xludf.DUMMYFUNCTION("""COMPUTED_VALUE"""),"M&amp;E")</f>
        <v>M&amp;E</v>
      </c>
      <c r="C271" s="422" t="str">
        <f>IFERROR(__xludf.DUMMYFUNCTION("""COMPUTED_VALUE"""),"Team 05")</f>
        <v>Team 05</v>
      </c>
      <c r="D271" s="422" t="str">
        <f>IFERROR(__xludf.DUMMYFUNCTION("""COMPUTED_VALUE"""),"Smart CB")</f>
        <v>Smart CB</v>
      </c>
      <c r="E271" s="422" t="str">
        <f>IFERROR(__xludf.DUMMYFUNCTION("""COMPUTED_VALUE"""),"TNI0199")</f>
        <v>TNI0199</v>
      </c>
      <c r="F271" s="424">
        <f>IFERROR(__xludf.DUMMYFUNCTION("""COMPUTED_VALUE"""),46154.0)</f>
        <v>46154</v>
      </c>
      <c r="G271" s="424">
        <f>IFERROR(__xludf.DUMMYFUNCTION("""COMPUTED_VALUE"""),46173.0)</f>
        <v>46173</v>
      </c>
      <c r="H271" s="422"/>
      <c r="I271" s="422"/>
      <c r="J271" s="422"/>
      <c r="K271" s="422"/>
      <c r="L271" s="422"/>
      <c r="M271" s="422"/>
      <c r="N271" s="422"/>
      <c r="O271" s="422"/>
      <c r="P271" s="422"/>
      <c r="Q271" s="422"/>
      <c r="R271" s="98"/>
      <c r="S271" s="98" t="str">
        <f>IFERROR(__xludf.DUMMYFUNCTION("""COMPUTED_VALUE"""),"myt_minpaing.oo")</f>
        <v>myt_minpaing.oo</v>
      </c>
      <c r="T271" s="98" t="str">
        <f>IFERROR(__xludf.DUMMYFUNCTION("""COMPUTED_VALUE"""),"TNI0199")</f>
        <v>TNI0199</v>
      </c>
    </row>
    <row r="272">
      <c r="A272" s="422">
        <f>IFERROR(__xludf.DUMMYFUNCTION("""COMPUTED_VALUE"""),270.0)</f>
        <v>270</v>
      </c>
      <c r="B272" s="422" t="str">
        <f>IFERROR(__xludf.DUMMYFUNCTION("""COMPUTED_VALUE"""),"Manager")</f>
        <v>Manager</v>
      </c>
      <c r="C272" s="422" t="str">
        <f>IFERROR(__xludf.DUMMYFUNCTION("""COMPUTED_VALUE"""),"Team 01")</f>
        <v>Team 01</v>
      </c>
      <c r="D272" s="422" t="str">
        <f>IFERROR(__xludf.DUMMYFUNCTION("""COMPUTED_VALUE"""),"CCTV")</f>
        <v>CCTV</v>
      </c>
      <c r="E272" s="422" t="str">
        <f>IFERROR(__xludf.DUMMYFUNCTION("""COMPUTED_VALUE"""),"TNI0013 need repair CCTV")</f>
        <v>TNI0013 need repair CCTV</v>
      </c>
      <c r="F272" s="424">
        <f>IFERROR(__xludf.DUMMYFUNCTION("""COMPUTED_VALUE"""),46195.0)</f>
        <v>46195</v>
      </c>
      <c r="G272" s="424">
        <f>IFERROR(__xludf.DUMMYFUNCTION("""COMPUTED_VALUE"""),46201.0)</f>
        <v>46201</v>
      </c>
      <c r="H272" s="422" t="str">
        <f>IFERROR(__xludf.DUMMYFUNCTION("""COMPUTED_VALUE"""),"VCM01-Thu Rain Niang, VCM818107-Thar Htoo Aung")</f>
        <v>VCM01-Thu Rain Niang, VCM818107-Thar Htoo Aung</v>
      </c>
      <c r="I272" s="422"/>
      <c r="J272" s="422"/>
      <c r="K272" s="422"/>
      <c r="L272" s="422"/>
      <c r="M272" s="422"/>
      <c r="N272" s="422"/>
      <c r="O272" s="422">
        <f>IFERROR(__xludf.DUMMYFUNCTION("""COMPUTED_VALUE"""),0.0)</f>
        <v>0</v>
      </c>
      <c r="P272" s="422">
        <f>IFERROR(__xludf.DUMMYFUNCTION("""COMPUTED_VALUE"""),0.0)</f>
        <v>0</v>
      </c>
      <c r="Q272" s="422"/>
      <c r="R272" s="98"/>
      <c r="S272" s="98" t="str">
        <f>IFERROR(__xludf.DUMMYFUNCTION("""COMPUTED_VALUE"""),"myt_bonemyat.naing1")</f>
        <v>myt_bonemyat.naing1</v>
      </c>
      <c r="T272" s="98" t="str">
        <f>IFERROR(__xludf.DUMMYFUNCTION("""COMPUTED_VALUE"""),"TNI0013")</f>
        <v>TNI0013</v>
      </c>
    </row>
    <row r="273">
      <c r="A273" s="422">
        <f>IFERROR(__xludf.DUMMYFUNCTION("""COMPUTED_VALUE"""),271.0)</f>
        <v>271</v>
      </c>
      <c r="B273" s="422" t="str">
        <f>IFERROR(__xludf.DUMMYFUNCTION("""COMPUTED_VALUE"""),"Manager")</f>
        <v>Manager</v>
      </c>
      <c r="C273" s="422" t="str">
        <f>IFERROR(__xludf.DUMMYFUNCTION("""COMPUTED_VALUE"""),"Team 01")</f>
        <v>Team 01</v>
      </c>
      <c r="D273" s="422" t="str">
        <f>IFERROR(__xludf.DUMMYFUNCTION("""COMPUTED_VALUE"""),"CCTV")</f>
        <v>CCTV</v>
      </c>
      <c r="E273" s="422" t="str">
        <f>IFERROR(__xludf.DUMMYFUNCTION("""COMPUTED_VALUE"""),"TNI0006 need repair CCTV")</f>
        <v>TNI0006 need repair CCTV</v>
      </c>
      <c r="F273" s="424">
        <f>IFERROR(__xludf.DUMMYFUNCTION("""COMPUTED_VALUE"""),46195.0)</f>
        <v>46195</v>
      </c>
      <c r="G273" s="424">
        <f>IFERROR(__xludf.DUMMYFUNCTION("""COMPUTED_VALUE"""),46201.0)</f>
        <v>46201</v>
      </c>
      <c r="H273" s="422"/>
      <c r="I273" s="422"/>
      <c r="J273" s="422"/>
      <c r="K273" s="422"/>
      <c r="L273" s="422"/>
      <c r="M273" s="422"/>
      <c r="N273" s="422"/>
      <c r="O273" s="422">
        <f>IFERROR(__xludf.DUMMYFUNCTION("""COMPUTED_VALUE"""),0.0)</f>
        <v>0</v>
      </c>
      <c r="P273" s="422">
        <f>IFERROR(__xludf.DUMMYFUNCTION("""COMPUTED_VALUE"""),0.0)</f>
        <v>0</v>
      </c>
      <c r="Q273" s="422"/>
      <c r="R273" s="98"/>
      <c r="S273" s="98" t="str">
        <f>IFERROR(__xludf.DUMMYFUNCTION("""COMPUTED_VALUE"""),"Thu Rain Niang")</f>
        <v>Thu Rain Niang</v>
      </c>
      <c r="T273" s="98" t="str">
        <f>IFERROR(__xludf.DUMMYFUNCTION("""COMPUTED_VALUE"""),"TNI0006")</f>
        <v>TNI0006</v>
      </c>
    </row>
    <row r="274">
      <c r="A274" s="422">
        <f>IFERROR(__xludf.DUMMYFUNCTION("""COMPUTED_VALUE"""),272.0)</f>
        <v>272</v>
      </c>
      <c r="B274" s="422" t="str">
        <f>IFERROR(__xludf.DUMMYFUNCTION("""COMPUTED_VALUE"""),"Manager")</f>
        <v>Manager</v>
      </c>
      <c r="C274" s="422" t="str">
        <f>IFERROR(__xludf.DUMMYFUNCTION("""COMPUTED_VALUE"""),"Team 01")</f>
        <v>Team 01</v>
      </c>
      <c r="D274" s="422" t="str">
        <f>IFERROR(__xludf.DUMMYFUNCTION("""COMPUTED_VALUE"""),"CCTV")</f>
        <v>CCTV</v>
      </c>
      <c r="E274" s="422" t="str">
        <f>IFERROR(__xludf.DUMMYFUNCTION("""COMPUTED_VALUE"""),"TNI0250 need repair CCTV")</f>
        <v>TNI0250 need repair CCTV</v>
      </c>
      <c r="F274" s="424">
        <f>IFERROR(__xludf.DUMMYFUNCTION("""COMPUTED_VALUE"""),46195.0)</f>
        <v>46195</v>
      </c>
      <c r="G274" s="424">
        <f>IFERROR(__xludf.DUMMYFUNCTION("""COMPUTED_VALUE"""),46201.0)</f>
        <v>46201</v>
      </c>
      <c r="H274" s="422"/>
      <c r="I274" s="422"/>
      <c r="J274" s="422"/>
      <c r="K274" s="422"/>
      <c r="L274" s="422"/>
      <c r="M274" s="422"/>
      <c r="N274" s="422"/>
      <c r="O274" s="422">
        <f>IFERROR(__xludf.DUMMYFUNCTION("""COMPUTED_VALUE"""),0.0)</f>
        <v>0</v>
      </c>
      <c r="P274" s="422">
        <f>IFERROR(__xludf.DUMMYFUNCTION("""COMPUTED_VALUE"""),0.0)</f>
        <v>0</v>
      </c>
      <c r="Q274" s="422"/>
      <c r="R274" s="98"/>
      <c r="S274" s="98" t="str">
        <f>IFERROR(__xludf.DUMMYFUNCTION("""COMPUTED_VALUE"""),"myt_aunglwin.phyo")</f>
        <v>myt_aunglwin.phyo</v>
      </c>
      <c r="T274" s="98" t="str">
        <f>IFERROR(__xludf.DUMMYFUNCTION("""COMPUTED_VALUE"""),"TNI0250")</f>
        <v>TNI0250</v>
      </c>
    </row>
    <row r="275">
      <c r="A275" s="422">
        <f>IFERROR(__xludf.DUMMYFUNCTION("""COMPUTED_VALUE"""),273.0)</f>
        <v>273</v>
      </c>
      <c r="B275" s="422" t="str">
        <f>IFERROR(__xludf.DUMMYFUNCTION("""COMPUTED_VALUE"""),"Manager")</f>
        <v>Manager</v>
      </c>
      <c r="C275" s="422" t="str">
        <f>IFERROR(__xludf.DUMMYFUNCTION("""COMPUTED_VALUE"""),"Team 01")</f>
        <v>Team 01</v>
      </c>
      <c r="D275" s="422" t="str">
        <f>IFERROR(__xludf.DUMMYFUNCTION("""COMPUTED_VALUE"""),"Check&amp;fixing Main Node Site")</f>
        <v>Check&amp;fixing Main Node Site</v>
      </c>
      <c r="E275" s="422" t="str">
        <f>IFERROR(__xludf.DUMMYFUNCTION("""COMPUTED_VALUE"""),"TNI0006, Check&amp;fixing Main Node &gt;&gt; Check power status and equipment room (Grounding, Air Con , Fire extinguisher, Light Bulb, ATS, DG Maintenance&gt;&gt; Check engine oil and filter change date) , all cabel into site from undergroun or not, Site Cleaning, Last "&amp;"pole status ")</f>
        <v>TNI0006, Check&amp;fixing Main Node &gt;&gt; Check power status and equipment room (Grounding, Air Con , Fire extinguisher, Light Bulb, ATS, DG Maintenance&gt;&gt; Check engine oil and filter change date) , all cabel into site from undergroun or not, Site Cleaning, Last pole status </v>
      </c>
      <c r="F275" s="424">
        <f>IFERROR(__xludf.DUMMYFUNCTION("""COMPUTED_VALUE"""),46195.0)</f>
        <v>46195</v>
      </c>
      <c r="G275" s="424">
        <f>IFERROR(__xludf.DUMMYFUNCTION("""COMPUTED_VALUE"""),46203.0)</f>
        <v>46203</v>
      </c>
      <c r="H275" s="422"/>
      <c r="I275" s="422"/>
      <c r="J275" s="422"/>
      <c r="K275" s="422"/>
      <c r="L275" s="422"/>
      <c r="M275" s="422"/>
      <c r="N275" s="422"/>
      <c r="O275" s="422">
        <f>IFERROR(__xludf.DUMMYFUNCTION("""COMPUTED_VALUE"""),0.0)</f>
        <v>0</v>
      </c>
      <c r="P275" s="422">
        <f>IFERROR(__xludf.DUMMYFUNCTION("""COMPUTED_VALUE"""),0.0)</f>
        <v>0</v>
      </c>
      <c r="Q275" s="422"/>
      <c r="R275" s="98"/>
      <c r="S275" s="98" t="str">
        <f>IFERROR(__xludf.DUMMYFUNCTION("""COMPUTED_VALUE"""),"Thu Rain Niang")</f>
        <v>Thu Rain Niang</v>
      </c>
      <c r="T275" s="98" t="str">
        <f>IFERROR(__xludf.DUMMYFUNCTION("""COMPUTED_VALUE"""),"TNI0006")</f>
        <v>TNI0006</v>
      </c>
    </row>
    <row r="276">
      <c r="A276" s="422">
        <f>IFERROR(__xludf.DUMMYFUNCTION("""COMPUTED_VALUE"""),274.0)</f>
        <v>274</v>
      </c>
      <c r="B276" s="422" t="str">
        <f>IFERROR(__xludf.DUMMYFUNCTION("""COMPUTED_VALUE"""),"Manager")</f>
        <v>Manager</v>
      </c>
      <c r="C276" s="422" t="str">
        <f>IFERROR(__xludf.DUMMYFUNCTION("""COMPUTED_VALUE"""),"Team 01")</f>
        <v>Team 01</v>
      </c>
      <c r="D276" s="422" t="str">
        <f>IFERROR(__xludf.DUMMYFUNCTION("""COMPUTED_VALUE"""),"Check&amp;fixing Main Node Site")</f>
        <v>Check&amp;fixing Main Node Site</v>
      </c>
      <c r="E276" s="422" t="str">
        <f>IFERROR(__xludf.DUMMYFUNCTION("""COMPUTED_VALUE"""),"TNI0013, Check&amp;fixing Main Node &gt;&gt; Check power status and equipment room (Grounding, Air Con , Fire extinguisher, Light Bulb, ATS, DG Maintenance&gt;&gt; Check engine oil and filter change date) , all cabel into site from undergroun or not, Site Cleaning, Last "&amp;"pole status ")</f>
        <v>TNI0013, Check&amp;fixing Main Node &gt;&gt; Check power status and equipment room (Grounding, Air Con , Fire extinguisher, Light Bulb, ATS, DG Maintenance&gt;&gt; Check engine oil and filter change date) , all cabel into site from undergroun or not, Site Cleaning, Last pole status </v>
      </c>
      <c r="F276" s="424">
        <f>IFERROR(__xludf.DUMMYFUNCTION("""COMPUTED_VALUE"""),46195.0)</f>
        <v>46195</v>
      </c>
      <c r="G276" s="424">
        <f>IFERROR(__xludf.DUMMYFUNCTION("""COMPUTED_VALUE"""),46208.0)</f>
        <v>46208</v>
      </c>
      <c r="H276" s="422"/>
      <c r="I276" s="422"/>
      <c r="J276" s="422"/>
      <c r="K276" s="422"/>
      <c r="L276" s="422"/>
      <c r="M276" s="422"/>
      <c r="N276" s="422"/>
      <c r="O276" s="422">
        <f>IFERROR(__xludf.DUMMYFUNCTION("""COMPUTED_VALUE"""),0.0)</f>
        <v>0</v>
      </c>
      <c r="P276" s="422">
        <f>IFERROR(__xludf.DUMMYFUNCTION("""COMPUTED_VALUE"""),0.0)</f>
        <v>0</v>
      </c>
      <c r="Q276" s="422"/>
      <c r="R276" s="98"/>
      <c r="S276" s="98" t="str">
        <f>IFERROR(__xludf.DUMMYFUNCTION("""COMPUTED_VALUE"""),"myt_bonemyat.naing1")</f>
        <v>myt_bonemyat.naing1</v>
      </c>
      <c r="T276" s="98" t="str">
        <f>IFERROR(__xludf.DUMMYFUNCTION("""COMPUTED_VALUE"""),"TNI0013")</f>
        <v>TNI0013</v>
      </c>
    </row>
    <row r="277">
      <c r="A277" s="422">
        <f>IFERROR(__xludf.DUMMYFUNCTION("""COMPUTED_VALUE"""),275.0)</f>
        <v>275</v>
      </c>
      <c r="B277" s="422" t="str">
        <f>IFERROR(__xludf.DUMMYFUNCTION("""COMPUTED_VALUE"""),"Manager")</f>
        <v>Manager</v>
      </c>
      <c r="C277" s="422" t="str">
        <f>IFERROR(__xludf.DUMMYFUNCTION("""COMPUTED_VALUE"""),"Team 01")</f>
        <v>Team 01</v>
      </c>
      <c r="D277" s="422" t="str">
        <f>IFERROR(__xludf.DUMMYFUNCTION("""COMPUTED_VALUE"""),"Check&amp;fixing Main Node Site")</f>
        <v>Check&amp;fixing Main Node Site</v>
      </c>
      <c r="E277" s="422" t="str">
        <f>IFERROR(__xludf.DUMMYFUNCTION("""COMPUTED_VALUE"""),"TNI0250, Check&amp;fixing Main Node &gt;&gt; Check power status and equipment room (Grounding, Air Con , Fire extinguisher, Light Bulb, ATS, DG Maintenance&gt;&gt; Check engine oil and filter change date) , all cabel into site from undergroun or not, Site Cleaning, Last "&amp;"pole status ")</f>
        <v>TNI0250, Check&amp;fixing Main Node &gt;&gt; Check power status and equipment room (Grounding, Air Con , Fire extinguisher, Light Bulb, ATS, DG Maintenance&gt;&gt; Check engine oil and filter change date) , all cabel into site from undergroun or not, Site Cleaning, Last pole status </v>
      </c>
      <c r="F277" s="424">
        <f>IFERROR(__xludf.DUMMYFUNCTION("""COMPUTED_VALUE"""),46195.0)</f>
        <v>46195</v>
      </c>
      <c r="G277" s="424">
        <f>IFERROR(__xludf.DUMMYFUNCTION("""COMPUTED_VALUE"""),46213.0)</f>
        <v>46213</v>
      </c>
      <c r="H277" s="422"/>
      <c r="I277" s="422"/>
      <c r="J277" s="422"/>
      <c r="K277" s="422"/>
      <c r="L277" s="422"/>
      <c r="M277" s="422"/>
      <c r="N277" s="422"/>
      <c r="O277" s="422">
        <f>IFERROR(__xludf.DUMMYFUNCTION("""COMPUTED_VALUE"""),0.0)</f>
        <v>0</v>
      </c>
      <c r="P277" s="422">
        <f>IFERROR(__xludf.DUMMYFUNCTION("""COMPUTED_VALUE"""),0.0)</f>
        <v>0</v>
      </c>
      <c r="Q277" s="422"/>
      <c r="R277" s="98"/>
      <c r="S277" s="98" t="str">
        <f>IFERROR(__xludf.DUMMYFUNCTION("""COMPUTED_VALUE"""),"myt_aunglwin.phyo")</f>
        <v>myt_aunglwin.phyo</v>
      </c>
      <c r="T277" s="98" t="str">
        <f>IFERROR(__xludf.DUMMYFUNCTION("""COMPUTED_VALUE"""),"TNI0250")</f>
        <v>TNI0250</v>
      </c>
    </row>
    <row r="278">
      <c r="A278" s="422">
        <f>IFERROR(__xludf.DUMMYFUNCTION("""COMPUTED_VALUE"""),276.0)</f>
        <v>276</v>
      </c>
      <c r="B278" s="422" t="str">
        <f>IFERROR(__xludf.DUMMYFUNCTION("""COMPUTED_VALUE"""),"Manager")</f>
        <v>Manager</v>
      </c>
      <c r="C278" s="422" t="str">
        <f>IFERROR(__xludf.DUMMYFUNCTION("""COMPUTED_VALUE"""),"Team 01")</f>
        <v>Team 01</v>
      </c>
      <c r="D278" s="422" t="str">
        <f>IFERROR(__xludf.DUMMYFUNCTION("""COMPUTED_VALUE"""),"MW link Error")</f>
        <v>MW link Error</v>
      </c>
      <c r="E278" s="422" t="str">
        <f>IFERROR(__xludf.DUMMYFUNCTION("""COMPUTED_VALUE"""),"TNI0309-TNI0511 (NEC) Need to check IDU and ODU")</f>
        <v>TNI0309-TNI0511 (NEC) Need to check IDU and ODU</v>
      </c>
      <c r="F278" s="424">
        <f>IFERROR(__xludf.DUMMYFUNCTION("""COMPUTED_VALUE"""),46195.0)</f>
        <v>46195</v>
      </c>
      <c r="G278" s="424">
        <f>IFERROR(__xludf.DUMMYFUNCTION("""COMPUTED_VALUE"""),46224.0)</f>
        <v>46224</v>
      </c>
      <c r="H278" s="422"/>
      <c r="I278" s="422"/>
      <c r="J278" s="422"/>
      <c r="K278" s="422"/>
      <c r="L278" s="422"/>
      <c r="M278" s="422"/>
      <c r="N278" s="422"/>
      <c r="O278" s="422">
        <f>IFERROR(__xludf.DUMMYFUNCTION("""COMPUTED_VALUE"""),0.0)</f>
        <v>0</v>
      </c>
      <c r="P278" s="422">
        <f>IFERROR(__xludf.DUMMYFUNCTION("""COMPUTED_VALUE"""),0.0)</f>
        <v>0</v>
      </c>
      <c r="Q278" s="422"/>
      <c r="R278" s="98"/>
      <c r="S278" s="98" t="str">
        <f>IFERROR(__xludf.DUMMYFUNCTION("""COMPUTED_VALUE"""),"myt_tharhtoo.aung11")</f>
        <v>myt_tharhtoo.aung11</v>
      </c>
      <c r="T278" s="98" t="str">
        <f>IFERROR(__xludf.DUMMYFUNCTION("""COMPUTED_VALUE"""),"TNI0309")</f>
        <v>TNI0309</v>
      </c>
    </row>
    <row r="279">
      <c r="A279" s="422">
        <f>IFERROR(__xludf.DUMMYFUNCTION("""COMPUTED_VALUE"""),277.0)</f>
        <v>277</v>
      </c>
      <c r="B279" s="422" t="str">
        <f>IFERROR(__xludf.DUMMYFUNCTION("""COMPUTED_VALUE"""),"Manager")</f>
        <v>Manager</v>
      </c>
      <c r="C279" s="422" t="str">
        <f>IFERROR(__xludf.DUMMYFUNCTION("""COMPUTED_VALUE"""),"Team 01")</f>
        <v>Team 01</v>
      </c>
      <c r="D279" s="422" t="str">
        <f>IFERROR(__xludf.DUMMYFUNCTION("""COMPUTED_VALUE"""),"Rescue long time site/link down")</f>
        <v>Rescue long time site/link down</v>
      </c>
      <c r="E279" s="422" t="str">
        <f>IFERROR(__xludf.DUMMYFUNCTION("""COMPUTED_VALUE"""),"Save TNI0394 long time site down &gt; 24 Hrs")</f>
        <v>Save TNI0394 long time site down &gt; 24 Hrs</v>
      </c>
      <c r="F279" s="424">
        <f>IFERROR(__xludf.DUMMYFUNCTION("""COMPUTED_VALUE"""),46205.0)</f>
        <v>46205</v>
      </c>
      <c r="G279" s="424">
        <f>IFERROR(__xludf.DUMMYFUNCTION("""COMPUTED_VALUE"""),46206.0)</f>
        <v>46206</v>
      </c>
      <c r="H279" s="422" t="str">
        <f>IFERROR(__xludf.DUMMYFUNCTION("""COMPUTED_VALUE"""),"Wait CD Receive task")</f>
        <v>Wait CD Receive task</v>
      </c>
      <c r="I279" s="422"/>
      <c r="J279" s="422"/>
      <c r="K279" s="422"/>
      <c r="L279" s="422"/>
      <c r="M279" s="422"/>
      <c r="N279" s="422"/>
      <c r="O279" s="422">
        <f>IFERROR(__xludf.DUMMYFUNCTION("""COMPUTED_VALUE"""),0.0)</f>
        <v>0</v>
      </c>
      <c r="P279" s="422">
        <f>IFERROR(__xludf.DUMMYFUNCTION("""COMPUTED_VALUE"""),0.0)</f>
        <v>0</v>
      </c>
      <c r="Q279" s="422"/>
      <c r="R279" s="98"/>
      <c r="S279" s="98" t="str">
        <f>IFERROR(__xludf.DUMMYFUNCTION("""COMPUTED_VALUE"""),"myt_tharhtoo.aung11")</f>
        <v>myt_tharhtoo.aung11</v>
      </c>
      <c r="T279" s="98" t="str">
        <f>IFERROR(__xludf.DUMMYFUNCTION("""COMPUTED_VALUE"""),"TNI0394")</f>
        <v>TNI0394</v>
      </c>
    </row>
    <row r="280">
      <c r="A280" s="422">
        <f>IFERROR(__xludf.DUMMYFUNCTION("""COMPUTED_VALUE"""),278.0)</f>
        <v>278</v>
      </c>
      <c r="B280" s="422" t="str">
        <f>IFERROR(__xludf.DUMMYFUNCTION("""COMPUTED_VALUE"""),"Manager")</f>
        <v>Manager</v>
      </c>
      <c r="C280" s="422" t="str">
        <f>IFERROR(__xludf.DUMMYFUNCTION("""COMPUTED_VALUE"""),"Team 01")</f>
        <v>Team 01</v>
      </c>
      <c r="D280" s="422" t="str">
        <f>IFERROR(__xludf.DUMMYFUNCTION("""COMPUTED_VALUE"""),"Rescue long time site/link down")</f>
        <v>Rescue long time site/link down</v>
      </c>
      <c r="E280" s="422" t="str">
        <f>IFERROR(__xludf.DUMMYFUNCTION("""COMPUTED_VALUE"""),"Save TNI0148 long time site down &gt; 24 Hrs")</f>
        <v>Save TNI0148 long time site down &gt; 24 Hrs</v>
      </c>
      <c r="F280" s="424">
        <f>IFERROR(__xludf.DUMMYFUNCTION("""COMPUTED_VALUE"""),46205.0)</f>
        <v>46205</v>
      </c>
      <c r="G280" s="424">
        <f>IFERROR(__xludf.DUMMYFUNCTION("""COMPUTED_VALUE"""),46208.0)</f>
        <v>46208</v>
      </c>
      <c r="H280" s="422" t="str">
        <f>IFERROR(__xludf.DUMMYFUNCTION("""COMPUTED_VALUE"""),"Wait CD Receive task")</f>
        <v>Wait CD Receive task</v>
      </c>
      <c r="I280" s="422"/>
      <c r="J280" s="422"/>
      <c r="K280" s="422"/>
      <c r="L280" s="422"/>
      <c r="M280" s="422"/>
      <c r="N280" s="422"/>
      <c r="O280" s="422">
        <f>IFERROR(__xludf.DUMMYFUNCTION("""COMPUTED_VALUE"""),0.0)</f>
        <v>0</v>
      </c>
      <c r="P280" s="422">
        <f>IFERROR(__xludf.DUMMYFUNCTION("""COMPUTED_VALUE"""),0.0)</f>
        <v>0</v>
      </c>
      <c r="Q280" s="422"/>
      <c r="R280" s="98"/>
      <c r="S280" s="98" t="str">
        <f>IFERROR(__xludf.DUMMYFUNCTION("""COMPUTED_VALUE"""),"Thu Rain Niang")</f>
        <v>Thu Rain Niang</v>
      </c>
      <c r="T280" s="98" t="str">
        <f>IFERROR(__xludf.DUMMYFUNCTION("""COMPUTED_VALUE"""),"TNI0148")</f>
        <v>TNI0148</v>
      </c>
    </row>
    <row r="281">
      <c r="A281" s="422">
        <f>IFERROR(__xludf.DUMMYFUNCTION("""COMPUTED_VALUE"""),279.0)</f>
        <v>279</v>
      </c>
      <c r="B281" s="422" t="str">
        <f>IFERROR(__xludf.DUMMYFUNCTION("""COMPUTED_VALUE"""),"Manager")</f>
        <v>Manager</v>
      </c>
      <c r="C281" s="422" t="str">
        <f>IFERROR(__xludf.DUMMYFUNCTION("""COMPUTED_VALUE"""),"Team 01")</f>
        <v>Team 01</v>
      </c>
      <c r="D281" s="422" t="str">
        <f>IFERROR(__xludf.DUMMYFUNCTION("""COMPUTED_VALUE"""),"Rescue long time site/link down")</f>
        <v>Rescue long time site/link down</v>
      </c>
      <c r="E281" s="422" t="str">
        <f>IFERROR(__xludf.DUMMYFUNCTION("""COMPUTED_VALUE"""),"Rescue link down&gt;&gt; TNI0188 to TNI0330 ")</f>
        <v>Rescue link down&gt;&gt; TNI0188 to TNI0330 </v>
      </c>
      <c r="F281" s="424">
        <f>IFERROR(__xludf.DUMMYFUNCTION("""COMPUTED_VALUE"""),46205.0)</f>
        <v>46205</v>
      </c>
      <c r="G281" s="424">
        <f>IFERROR(__xludf.DUMMYFUNCTION("""COMPUTED_VALUE"""),46205.0)</f>
        <v>46205</v>
      </c>
      <c r="H281" s="422" t="str">
        <f>IFERROR(__xludf.DUMMYFUNCTION("""COMPUTED_VALUE"""),"Wait CD Receive task")</f>
        <v>Wait CD Receive task</v>
      </c>
      <c r="I281" s="422"/>
      <c r="J281" s="422"/>
      <c r="K281" s="422"/>
      <c r="L281" s="422"/>
      <c r="M281" s="422"/>
      <c r="N281" s="422"/>
      <c r="O281" s="422">
        <f>IFERROR(__xludf.DUMMYFUNCTION("""COMPUTED_VALUE"""),0.0)</f>
        <v>0</v>
      </c>
      <c r="P281" s="422">
        <f>IFERROR(__xludf.DUMMYFUNCTION("""COMPUTED_VALUE"""),0.0)</f>
        <v>0</v>
      </c>
      <c r="Q281" s="422"/>
      <c r="R281" s="98"/>
      <c r="S281" s="98" t="str">
        <f>IFERROR(__xludf.DUMMYFUNCTION("""COMPUTED_VALUE"""),"Thu Rain Niang")</f>
        <v>Thu Rain Niang</v>
      </c>
      <c r="T281" s="98" t="str">
        <f>IFERROR(__xludf.DUMMYFUNCTION("""COMPUTED_VALUE"""),"TNI0188")</f>
        <v>TNI0188</v>
      </c>
    </row>
    <row r="282">
      <c r="A282" s="422">
        <f>IFERROR(__xludf.DUMMYFUNCTION("""COMPUTED_VALUE"""),280.0)</f>
        <v>280</v>
      </c>
      <c r="B282" s="422" t="str">
        <f>IFERROR(__xludf.DUMMYFUNCTION("""COMPUTED_VALUE"""),"Manager")</f>
        <v>Manager</v>
      </c>
      <c r="C282" s="422" t="str">
        <f>IFERROR(__xludf.DUMMYFUNCTION("""COMPUTED_VALUE"""),"Team 01")</f>
        <v>Team 01</v>
      </c>
      <c r="D282" s="422" t="str">
        <f>IFERROR(__xludf.DUMMYFUNCTION("""COMPUTED_VALUE"""),"Rescue long time site/link down")</f>
        <v>Rescue long time site/link down</v>
      </c>
      <c r="E282" s="422" t="str">
        <f>IFERROR(__xludf.DUMMYFUNCTION("""COMPUTED_VALUE"""),"Rescue link down&gt;&gt; TNI0095 to TNI0335")</f>
        <v>Rescue link down&gt;&gt; TNI0095 to TNI0335</v>
      </c>
      <c r="F282" s="424">
        <f>IFERROR(__xludf.DUMMYFUNCTION("""COMPUTED_VALUE"""),46205.0)</f>
        <v>46205</v>
      </c>
      <c r="G282" s="424">
        <f>IFERROR(__xludf.DUMMYFUNCTION("""COMPUTED_VALUE"""),46209.0)</f>
        <v>46209</v>
      </c>
      <c r="H282" s="422" t="str">
        <f>IFERROR(__xludf.DUMMYFUNCTION("""COMPUTED_VALUE"""),"Wait CD Receive task")</f>
        <v>Wait CD Receive task</v>
      </c>
      <c r="I282" s="422"/>
      <c r="J282" s="422"/>
      <c r="K282" s="422"/>
      <c r="L282" s="422"/>
      <c r="M282" s="422"/>
      <c r="N282" s="422"/>
      <c r="O282" s="422">
        <f>IFERROR(__xludf.DUMMYFUNCTION("""COMPUTED_VALUE"""),0.0)</f>
        <v>0</v>
      </c>
      <c r="P282" s="422">
        <f>IFERROR(__xludf.DUMMYFUNCTION("""COMPUTED_VALUE"""),0.0)</f>
        <v>0</v>
      </c>
      <c r="Q282" s="422"/>
      <c r="R282" s="98"/>
      <c r="S282" s="98" t="str">
        <f>IFERROR(__xludf.DUMMYFUNCTION("""COMPUTED_VALUE"""),"myt_bonemyat.naing1")</f>
        <v>myt_bonemyat.naing1</v>
      </c>
      <c r="T282" s="98" t="str">
        <f>IFERROR(__xludf.DUMMYFUNCTION("""COMPUTED_VALUE"""),"TNI0095")</f>
        <v>TNI0095</v>
      </c>
    </row>
    <row r="283">
      <c r="A283" s="422">
        <f>IFERROR(__xludf.DUMMYFUNCTION("""COMPUTED_VALUE"""),281.0)</f>
        <v>281</v>
      </c>
      <c r="B283" s="422" t="str">
        <f>IFERROR(__xludf.DUMMYFUNCTION("""COMPUTED_VALUE"""),"Manager")</f>
        <v>Manager</v>
      </c>
      <c r="C283" s="422" t="str">
        <f>IFERROR(__xludf.DUMMYFUNCTION("""COMPUTED_VALUE"""),"Team 01")</f>
        <v>Team 01</v>
      </c>
      <c r="D283" s="422" t="str">
        <f>IFERROR(__xludf.DUMMYFUNCTION("""COMPUTED_VALUE"""),"Swap MDG ")</f>
        <v>Swap MDG </v>
      </c>
      <c r="E283" s="422" t="str">
        <f>IFERROR(__xludf.DUMMYFUNCTION("""COMPUTED_VALUE"""),"TNI0035 Swap MDG, adding one more backup battery and fence lock ")</f>
        <v>TNI0035 Swap MDG, adding one more backup battery and fence lock </v>
      </c>
      <c r="F283" s="424">
        <f>IFERROR(__xludf.DUMMYFUNCTION("""COMPUTED_VALUE"""),46195.0)</f>
        <v>46195</v>
      </c>
      <c r="G283" s="424">
        <f>IFERROR(__xludf.DUMMYFUNCTION("""COMPUTED_VALUE"""),46196.0)</f>
        <v>46196</v>
      </c>
      <c r="H283" s="422"/>
      <c r="I283" s="422"/>
      <c r="J283" s="422"/>
      <c r="K283" s="422"/>
      <c r="L283" s="422"/>
      <c r="M283" s="422" t="str">
        <f>IFERROR(__xludf.DUMMYFUNCTION("""COMPUTED_VALUE"""),"Dep Confirm completion")</f>
        <v>Dep Confirm completion</v>
      </c>
      <c r="N283" s="422"/>
      <c r="O283" s="422">
        <f>IFERROR(__xludf.DUMMYFUNCTION("""COMPUTED_VALUE"""),0.0)</f>
        <v>0</v>
      </c>
      <c r="P283" s="422">
        <f>IFERROR(__xludf.DUMMYFUNCTION("""COMPUTED_VALUE"""),0.0)</f>
        <v>0</v>
      </c>
      <c r="Q283" s="422"/>
      <c r="R283" s="98"/>
      <c r="S283" s="98" t="str">
        <f>IFERROR(__xludf.DUMMYFUNCTION("""COMPUTED_VALUE"""),"myt_aunglwin.phyo")</f>
        <v>myt_aunglwin.phyo</v>
      </c>
      <c r="T283" s="98" t="str">
        <f>IFERROR(__xludf.DUMMYFUNCTION("""COMPUTED_VALUE"""),"TNI0035")</f>
        <v>TNI0035</v>
      </c>
    </row>
    <row r="284">
      <c r="A284" s="422">
        <f>IFERROR(__xludf.DUMMYFUNCTION("""COMPUTED_VALUE"""),282.0)</f>
        <v>282</v>
      </c>
      <c r="B284" s="422" t="str">
        <f>IFERROR(__xludf.DUMMYFUNCTION("""COMPUTED_VALUE"""),"Manager")</f>
        <v>Manager</v>
      </c>
      <c r="C284" s="422" t="str">
        <f>IFERROR(__xludf.DUMMYFUNCTION("""COMPUTED_VALUE"""),"Team 01")</f>
        <v>Team 01</v>
      </c>
      <c r="D284" s="422" t="str">
        <f>IFERROR(__xludf.DUMMYFUNCTION("""COMPUTED_VALUE"""),"Swap MDG ")</f>
        <v>Swap MDG </v>
      </c>
      <c r="E284" s="422" t="str">
        <f>IFERROR(__xludf.DUMMYFUNCTION("""COMPUTED_VALUE"""),"TNI0041 Swap MDG, adding one more backup battery and fence lock ")</f>
        <v>TNI0041 Swap MDG, adding one more backup battery and fence lock </v>
      </c>
      <c r="F284" s="424">
        <f>IFERROR(__xludf.DUMMYFUNCTION("""COMPUTED_VALUE"""),46195.0)</f>
        <v>46195</v>
      </c>
      <c r="G284" s="424">
        <f>IFERROR(__xludf.DUMMYFUNCTION("""COMPUTED_VALUE"""),46196.0)</f>
        <v>46196</v>
      </c>
      <c r="H284" s="422"/>
      <c r="I284" s="422"/>
      <c r="J284" s="422"/>
      <c r="K284" s="422"/>
      <c r="L284" s="422"/>
      <c r="M284" s="422" t="str">
        <f>IFERROR(__xludf.DUMMYFUNCTION("""COMPUTED_VALUE"""),"Dep Confirm completion")</f>
        <v>Dep Confirm completion</v>
      </c>
      <c r="N284" s="422"/>
      <c r="O284" s="422">
        <f>IFERROR(__xludf.DUMMYFUNCTION("""COMPUTED_VALUE"""),0.0)</f>
        <v>0</v>
      </c>
      <c r="P284" s="422">
        <f>IFERROR(__xludf.DUMMYFUNCTION("""COMPUTED_VALUE"""),0.0)</f>
        <v>0</v>
      </c>
      <c r="Q284" s="422"/>
      <c r="R284" s="98"/>
      <c r="S284" s="98" t="str">
        <f>IFERROR(__xludf.DUMMYFUNCTION("""COMPUTED_VALUE"""),"myt_bonemyat.naing1")</f>
        <v>myt_bonemyat.naing1</v>
      </c>
      <c r="T284" s="98" t="str">
        <f>IFERROR(__xludf.DUMMYFUNCTION("""COMPUTED_VALUE"""),"TNI0041")</f>
        <v>TNI0041</v>
      </c>
    </row>
    <row r="285">
      <c r="A285" s="422">
        <f>IFERROR(__xludf.DUMMYFUNCTION("""COMPUTED_VALUE"""),283.0)</f>
        <v>283</v>
      </c>
      <c r="B285" s="422" t="str">
        <f>IFERROR(__xludf.DUMMYFUNCTION("""COMPUTED_VALUE"""),"Manager")</f>
        <v>Manager</v>
      </c>
      <c r="C285" s="422" t="str">
        <f>IFERROR(__xludf.DUMMYFUNCTION("""COMPUTED_VALUE"""),"Team 01")</f>
        <v>Team 01</v>
      </c>
      <c r="D285" s="422" t="str">
        <f>IFERROR(__xludf.DUMMYFUNCTION("""COMPUTED_VALUE"""),"Swap MDG ")</f>
        <v>Swap MDG </v>
      </c>
      <c r="E285" s="422" t="str">
        <f>IFERROR(__xludf.DUMMYFUNCTION("""COMPUTED_VALUE"""),"TNI0333 Swap MDG, adding one more backup battery and fence lock ")</f>
        <v>TNI0333 Swap MDG, adding one more backup battery and fence lock </v>
      </c>
      <c r="F285" s="424">
        <f>IFERROR(__xludf.DUMMYFUNCTION("""COMPUTED_VALUE"""),46195.0)</f>
        <v>46195</v>
      </c>
      <c r="G285" s="424">
        <f>IFERROR(__xludf.DUMMYFUNCTION("""COMPUTED_VALUE"""),46197.0)</f>
        <v>46197</v>
      </c>
      <c r="H285" s="422"/>
      <c r="I285" s="422"/>
      <c r="J285" s="422"/>
      <c r="K285" s="422"/>
      <c r="L285" s="422"/>
      <c r="M285" s="422"/>
      <c r="N285" s="422"/>
      <c r="O285" s="422">
        <f>IFERROR(__xludf.DUMMYFUNCTION("""COMPUTED_VALUE"""),0.0)</f>
        <v>0</v>
      </c>
      <c r="P285" s="422">
        <f>IFERROR(__xludf.DUMMYFUNCTION("""COMPUTED_VALUE"""),0.0)</f>
        <v>0</v>
      </c>
      <c r="Q285" s="422"/>
      <c r="R285" s="98"/>
      <c r="S285" s="98" t="str">
        <f>IFERROR(__xludf.DUMMYFUNCTION("""COMPUTED_VALUE"""),"myt_bonemyat.naing1")</f>
        <v>myt_bonemyat.naing1</v>
      </c>
      <c r="T285" s="98" t="str">
        <f>IFERROR(__xludf.DUMMYFUNCTION("""COMPUTED_VALUE"""),"TNI0333")</f>
        <v>TNI0333</v>
      </c>
    </row>
    <row r="286">
      <c r="A286" s="422">
        <f>IFERROR(__xludf.DUMMYFUNCTION("""COMPUTED_VALUE"""),284.0)</f>
        <v>284</v>
      </c>
      <c r="B286" s="422" t="str">
        <f>IFERROR(__xludf.DUMMYFUNCTION("""COMPUTED_VALUE"""),"Manager")</f>
        <v>Manager</v>
      </c>
      <c r="C286" s="422" t="str">
        <f>IFERROR(__xludf.DUMMYFUNCTION("""COMPUTED_VALUE"""),"Team 01")</f>
        <v>Team 01</v>
      </c>
      <c r="D286" s="422" t="str">
        <f>IFERROR(__xludf.DUMMYFUNCTION("""COMPUTED_VALUE"""),"Swap MDG ")</f>
        <v>Swap MDG </v>
      </c>
      <c r="E286" s="422" t="str">
        <f>IFERROR(__xludf.DUMMYFUNCTION("""COMPUTED_VALUE"""),"TNI0334 Swap MDG, adding one more backup battery and fence lock ")</f>
        <v>TNI0334 Swap MDG, adding one more backup battery and fence lock </v>
      </c>
      <c r="F286" s="424">
        <f>IFERROR(__xludf.DUMMYFUNCTION("""COMPUTED_VALUE"""),46195.0)</f>
        <v>46195</v>
      </c>
      <c r="G286" s="424">
        <f>IFERROR(__xludf.DUMMYFUNCTION("""COMPUTED_VALUE"""),46198.0)</f>
        <v>46198</v>
      </c>
      <c r="H286" s="422"/>
      <c r="I286" s="422"/>
      <c r="J286" s="422"/>
      <c r="K286" s="422"/>
      <c r="L286" s="422"/>
      <c r="M286" s="422"/>
      <c r="N286" s="422"/>
      <c r="O286" s="422">
        <f>IFERROR(__xludf.DUMMYFUNCTION("""COMPUTED_VALUE"""),0.0)</f>
        <v>0</v>
      </c>
      <c r="P286" s="422">
        <f>IFERROR(__xludf.DUMMYFUNCTION("""COMPUTED_VALUE"""),0.0)</f>
        <v>0</v>
      </c>
      <c r="Q286" s="422"/>
      <c r="R286" s="98"/>
      <c r="S286" s="98" t="str">
        <f>IFERROR(__xludf.DUMMYFUNCTION("""COMPUTED_VALUE"""),"myt_bonemyat.naing1")</f>
        <v>myt_bonemyat.naing1</v>
      </c>
      <c r="T286" s="98" t="str">
        <f>IFERROR(__xludf.DUMMYFUNCTION("""COMPUTED_VALUE"""),"TNI0334")</f>
        <v>TNI0334</v>
      </c>
    </row>
    <row r="287">
      <c r="A287" s="422">
        <f>IFERROR(__xludf.DUMMYFUNCTION("""COMPUTED_VALUE"""),285.0)</f>
        <v>285</v>
      </c>
      <c r="B287" s="422" t="str">
        <f>IFERROR(__xludf.DUMMYFUNCTION("""COMPUTED_VALUE"""),"Manager")</f>
        <v>Manager</v>
      </c>
      <c r="C287" s="422" t="str">
        <f>IFERROR(__xludf.DUMMYFUNCTION("""COMPUTED_VALUE"""),"Team 01")</f>
        <v>Team 01</v>
      </c>
      <c r="D287" s="422" t="str">
        <f>IFERROR(__xludf.DUMMYFUNCTION("""COMPUTED_VALUE"""),"Swap MDG ")</f>
        <v>Swap MDG </v>
      </c>
      <c r="E287" s="422" t="str">
        <f>IFERROR(__xludf.DUMMYFUNCTION("""COMPUTED_VALUE"""),"TNI0276 add MDG, adding one more backup battery and fence lock ")</f>
        <v>TNI0276 add MDG, adding one more backup battery and fence lock </v>
      </c>
      <c r="F287" s="424">
        <f>IFERROR(__xludf.DUMMYFUNCTION("""COMPUTED_VALUE"""),46203.0)</f>
        <v>46203</v>
      </c>
      <c r="G287" s="424">
        <f>IFERROR(__xludf.DUMMYFUNCTION("""COMPUTED_VALUE"""),46204.0)</f>
        <v>46204</v>
      </c>
      <c r="H287" s="422"/>
      <c r="I287" s="422"/>
      <c r="J287" s="422"/>
      <c r="K287" s="422"/>
      <c r="L287" s="422"/>
      <c r="M287" s="422"/>
      <c r="N287" s="422"/>
      <c r="O287" s="422">
        <f>IFERROR(__xludf.DUMMYFUNCTION("""COMPUTED_VALUE"""),0.0)</f>
        <v>0</v>
      </c>
      <c r="P287" s="422">
        <f>IFERROR(__xludf.DUMMYFUNCTION("""COMPUTED_VALUE"""),0.0)</f>
        <v>0</v>
      </c>
      <c r="Q287" s="422"/>
      <c r="R287" s="98"/>
      <c r="S287" s="98" t="str">
        <f>IFERROR(__xludf.DUMMYFUNCTION("""COMPUTED_VALUE"""),"myt_aunglwin.phyo")</f>
        <v>myt_aunglwin.phyo</v>
      </c>
      <c r="T287" s="98" t="str">
        <f>IFERROR(__xludf.DUMMYFUNCTION("""COMPUTED_VALUE"""),"TNI0276")</f>
        <v>TNI0276</v>
      </c>
    </row>
    <row r="288">
      <c r="A288" s="422">
        <f>IFERROR(__xludf.DUMMYFUNCTION("""COMPUTED_VALUE"""),286.0)</f>
        <v>286</v>
      </c>
      <c r="B288" s="422" t="str">
        <f>IFERROR(__xludf.DUMMYFUNCTION("""COMPUTED_VALUE"""),"Manager")</f>
        <v>Manager</v>
      </c>
      <c r="C288" s="422" t="str">
        <f>IFERROR(__xludf.DUMMYFUNCTION("""COMPUTED_VALUE"""),"Team 02")</f>
        <v>Team 02</v>
      </c>
      <c r="D288" s="422" t="str">
        <f>IFERROR(__xludf.DUMMYFUNCTION("""COMPUTED_VALUE"""),"Check&amp;fixing Main Node Site")</f>
        <v>Check&amp;fixing Main Node Site</v>
      </c>
      <c r="E288" s="422" t="str">
        <f>IFERROR(__xludf.DUMMYFUNCTION("""COMPUTED_VALUE"""),"TNI0001, Check&amp;fixing Main Node &gt;&gt; Check power status and equipment room (Grounding, Air Con , Fire extinguisher, Light Bulb, ATS, DG Maintenance&gt;&gt; Check engine oil and filter change date) , all cabel into site from undergroun or not, Site Cleaning, Last "&amp;"pole status ")</f>
        <v>TNI0001, Check&amp;fixing Main Node &gt;&gt; Check power status and equipment room (Grounding, Air Con , Fire extinguisher, Light Bulb, ATS, DG Maintenance&gt;&gt; Check engine oil and filter change date) , all cabel into site from undergroun or not, Site Cleaning, Last pole status </v>
      </c>
      <c r="F288" s="424">
        <f>IFERROR(__xludf.DUMMYFUNCTION("""COMPUTED_VALUE"""),46195.0)</f>
        <v>46195</v>
      </c>
      <c r="G288" s="424">
        <f>IFERROR(__xludf.DUMMYFUNCTION("""COMPUTED_VALUE"""),46203.0)</f>
        <v>46203</v>
      </c>
      <c r="H288" s="422"/>
      <c r="I288" s="422"/>
      <c r="J288" s="422"/>
      <c r="K288" s="422"/>
      <c r="L288" s="422"/>
      <c r="M288" s="422"/>
      <c r="N288" s="422"/>
      <c r="O288" s="422">
        <f>IFERROR(__xludf.DUMMYFUNCTION("""COMPUTED_VALUE"""),0.0)</f>
        <v>0</v>
      </c>
      <c r="P288" s="422">
        <f>IFERROR(__xludf.DUMMYFUNCTION("""COMPUTED_VALUE"""),0.0)</f>
        <v>0</v>
      </c>
      <c r="Q288" s="422"/>
      <c r="R288" s="98"/>
      <c r="S288" s="98" t="str">
        <f>IFERROR(__xludf.DUMMYFUNCTION("""COMPUTED_VALUE"""),"myt_maung.maung11")</f>
        <v>myt_maung.maung11</v>
      </c>
      <c r="T288" s="98" t="str">
        <f>IFERROR(__xludf.DUMMYFUNCTION("""COMPUTED_VALUE"""),"TNI0001")</f>
        <v>TNI0001</v>
      </c>
    </row>
    <row r="289">
      <c r="A289" s="422">
        <f>IFERROR(__xludf.DUMMYFUNCTION("""COMPUTED_VALUE"""),287.0)</f>
        <v>287</v>
      </c>
      <c r="B289" s="422" t="str">
        <f>IFERROR(__xludf.DUMMYFUNCTION("""COMPUTED_VALUE"""),"Manager")</f>
        <v>Manager</v>
      </c>
      <c r="C289" s="422" t="str">
        <f>IFERROR(__xludf.DUMMYFUNCTION("""COMPUTED_VALUE"""),"Team 02")</f>
        <v>Team 02</v>
      </c>
      <c r="D289" s="422" t="str">
        <f>IFERROR(__xludf.DUMMYFUNCTION("""COMPUTED_VALUE"""),"Check&amp;fixing Main Node Site")</f>
        <v>Check&amp;fixing Main Node Site</v>
      </c>
      <c r="E289" s="422" t="str">
        <f>IFERROR(__xludf.DUMMYFUNCTION("""COMPUTED_VALUE"""),"TNI0003, Check&amp;fixing Main Node &gt;&gt; Check power status and equipment room (Grounding, Air Con , Fire extinguisher, Light Bulb, ATS, DG Maintenance&gt;&gt; Check engine oil and filter change date) , all cabel into site from undergroun or not, Site Cleaning, Last "&amp;"pole status ")</f>
        <v>TNI0003, Check&amp;fixing Main Node &gt;&gt; Check power status and equipment room (Grounding, Air Con , Fire extinguisher, Light Bulb, ATS, DG Maintenance&gt;&gt; Check engine oil and filter change date) , all cabel into site from undergroun or not, Site Cleaning, Last pole status </v>
      </c>
      <c r="F289" s="424">
        <f>IFERROR(__xludf.DUMMYFUNCTION("""COMPUTED_VALUE"""),46195.0)</f>
        <v>46195</v>
      </c>
      <c r="G289" s="424">
        <f>IFERROR(__xludf.DUMMYFUNCTION("""COMPUTED_VALUE"""),46181.0)</f>
        <v>46181</v>
      </c>
      <c r="H289" s="422"/>
      <c r="I289" s="422"/>
      <c r="J289" s="422"/>
      <c r="K289" s="422"/>
      <c r="L289" s="422"/>
      <c r="M289" s="422"/>
      <c r="N289" s="422"/>
      <c r="O289" s="422">
        <f>IFERROR(__xludf.DUMMYFUNCTION("""COMPUTED_VALUE"""),0.0)</f>
        <v>0</v>
      </c>
      <c r="P289" s="422">
        <f>IFERROR(__xludf.DUMMYFUNCTION("""COMPUTED_VALUE"""),0.0)</f>
        <v>0</v>
      </c>
      <c r="Q289" s="422"/>
      <c r="R289" s="98"/>
      <c r="S289" s="98" t="str">
        <f>IFERROR(__xludf.DUMMYFUNCTION("""COMPUTED_VALUE"""),"myt_wanna.oo2")</f>
        <v>myt_wanna.oo2</v>
      </c>
      <c r="T289" s="98" t="str">
        <f>IFERROR(__xludf.DUMMYFUNCTION("""COMPUTED_VALUE"""),"TNI0003")</f>
        <v>TNI0003</v>
      </c>
    </row>
    <row r="290">
      <c r="A290" s="422">
        <f>IFERROR(__xludf.DUMMYFUNCTION("""COMPUTED_VALUE"""),288.0)</f>
        <v>288</v>
      </c>
      <c r="B290" s="422" t="str">
        <f>IFERROR(__xludf.DUMMYFUNCTION("""COMPUTED_VALUE"""),"Manager")</f>
        <v>Manager</v>
      </c>
      <c r="C290" s="422" t="str">
        <f>IFERROR(__xludf.DUMMYFUNCTION("""COMPUTED_VALUE"""),"Team 02")</f>
        <v>Team 02</v>
      </c>
      <c r="D290" s="422" t="str">
        <f>IFERROR(__xludf.DUMMYFUNCTION("""COMPUTED_VALUE"""),"Grid fail long time")</f>
        <v>Grid fail long time</v>
      </c>
      <c r="E290" s="422" t="str">
        <f>IFERROR(__xludf.DUMMYFUNCTION("""COMPUTED_VALUE"""),"TNI0242 check Main fail alarm long time")</f>
        <v>TNI0242 check Main fail alarm long time</v>
      </c>
      <c r="F290" s="424">
        <f>IFERROR(__xludf.DUMMYFUNCTION("""COMPUTED_VALUE"""),46195.0)</f>
        <v>46195</v>
      </c>
      <c r="G290" s="424">
        <f>IFERROR(__xludf.DUMMYFUNCTION("""COMPUTED_VALUE"""),46224.0)</f>
        <v>46224</v>
      </c>
      <c r="H290" s="422" t="str">
        <f>IFERROR(__xludf.DUMMYFUNCTION("""COMPUTED_VALUE"""),"#REF!")</f>
        <v>#REF!</v>
      </c>
      <c r="I290" s="422"/>
      <c r="J290" s="422"/>
      <c r="K290" s="422"/>
      <c r="L290" s="422"/>
      <c r="M290" s="422" t="str">
        <f>IFERROR(__xludf.DUMMYFUNCTION("""COMPUTED_VALUE"""),"Dep Confirm completion")</f>
        <v>Dep Confirm completion</v>
      </c>
      <c r="N290" s="422"/>
      <c r="O290" s="422">
        <f>IFERROR(__xludf.DUMMYFUNCTION("""COMPUTED_VALUE"""),0.0)</f>
        <v>0</v>
      </c>
      <c r="P290" s="422">
        <f>IFERROR(__xludf.DUMMYFUNCTION("""COMPUTED_VALUE"""),0.0)</f>
        <v>0</v>
      </c>
      <c r="Q290" s="422"/>
      <c r="R290" s="98"/>
      <c r="S290" s="98" t="str">
        <f>IFERROR(__xludf.DUMMYFUNCTION("""COMPUTED_VALUE"""),"myt_pyikyaw.aung")</f>
        <v>myt_pyikyaw.aung</v>
      </c>
      <c r="T290" s="98" t="str">
        <f>IFERROR(__xludf.DUMMYFUNCTION("""COMPUTED_VALUE"""),"TNI0242")</f>
        <v>TNI0242</v>
      </c>
    </row>
    <row r="291">
      <c r="A291" s="422">
        <f>IFERROR(__xludf.DUMMYFUNCTION("""COMPUTED_VALUE"""),289.0)</f>
        <v>289</v>
      </c>
      <c r="B291" s="422" t="str">
        <f>IFERROR(__xludf.DUMMYFUNCTION("""COMPUTED_VALUE"""),"Manager")</f>
        <v>Manager</v>
      </c>
      <c r="C291" s="422" t="str">
        <f>IFERROR(__xludf.DUMMYFUNCTION("""COMPUTED_VALUE"""),"Team 02")</f>
        <v>Team 02</v>
      </c>
      <c r="D291" s="422" t="str">
        <f>IFERROR(__xludf.DUMMYFUNCTION("""COMPUTED_VALUE"""),"Grid fail long time")</f>
        <v>Grid fail long time</v>
      </c>
      <c r="E291" s="422" t="str">
        <f>IFERROR(__xludf.DUMMYFUNCTION("""COMPUTED_VALUE"""),"TNI0261 check Main fail alarm long time")</f>
        <v>TNI0261 check Main fail alarm long time</v>
      </c>
      <c r="F291" s="424">
        <f>IFERROR(__xludf.DUMMYFUNCTION("""COMPUTED_VALUE"""),46195.0)</f>
        <v>46195</v>
      </c>
      <c r="G291" s="424">
        <f>IFERROR(__xludf.DUMMYFUNCTION("""COMPUTED_VALUE"""),46224.0)</f>
        <v>46224</v>
      </c>
      <c r="H291" s="422" t="str">
        <f>IFERROR(__xludf.DUMMYFUNCTION("""COMPUTED_VALUE"""),"#REF!")</f>
        <v>#REF!</v>
      </c>
      <c r="I291" s="422"/>
      <c r="J291" s="422"/>
      <c r="K291" s="422"/>
      <c r="L291" s="422"/>
      <c r="M291" s="422" t="str">
        <f>IFERROR(__xludf.DUMMYFUNCTION("""COMPUTED_VALUE"""),"Dep Confirm completion")</f>
        <v>Dep Confirm completion</v>
      </c>
      <c r="N291" s="422"/>
      <c r="O291" s="422">
        <f>IFERROR(__xludf.DUMMYFUNCTION("""COMPUTED_VALUE"""),0.0)</f>
        <v>0</v>
      </c>
      <c r="P291" s="422">
        <f>IFERROR(__xludf.DUMMYFUNCTION("""COMPUTED_VALUE"""),0.0)</f>
        <v>0</v>
      </c>
      <c r="Q291" s="422"/>
      <c r="R291" s="98"/>
      <c r="S291" s="98" t="str">
        <f>IFERROR(__xludf.DUMMYFUNCTION("""COMPUTED_VALUE"""),"myt_maung.maung11")</f>
        <v>myt_maung.maung11</v>
      </c>
      <c r="T291" s="98" t="str">
        <f>IFERROR(__xludf.DUMMYFUNCTION("""COMPUTED_VALUE"""),"TNI0261")</f>
        <v>TNI0261</v>
      </c>
    </row>
    <row r="292">
      <c r="A292" s="422">
        <f>IFERROR(__xludf.DUMMYFUNCTION("""COMPUTED_VALUE"""),290.0)</f>
        <v>290</v>
      </c>
      <c r="B292" s="422" t="str">
        <f>IFERROR(__xludf.DUMMYFUNCTION("""COMPUTED_VALUE"""),"Manager")</f>
        <v>Manager</v>
      </c>
      <c r="C292" s="422" t="str">
        <f>IFERROR(__xludf.DUMMYFUNCTION("""COMPUTED_VALUE"""),"Team 02")</f>
        <v>Team 02</v>
      </c>
      <c r="D292" s="422" t="str">
        <f>IFERROR(__xludf.DUMMYFUNCTION("""COMPUTED_VALUE"""),"Grid fail long time")</f>
        <v>Grid fail long time</v>
      </c>
      <c r="E292" s="422" t="str">
        <f>IFERROR(__xludf.DUMMYFUNCTION("""COMPUTED_VALUE"""),"TNI0267 check Main fail alarm long time")</f>
        <v>TNI0267 check Main fail alarm long time</v>
      </c>
      <c r="F292" s="424">
        <f>IFERROR(__xludf.DUMMYFUNCTION("""COMPUTED_VALUE"""),46195.0)</f>
        <v>46195</v>
      </c>
      <c r="G292" s="424">
        <f>IFERROR(__xludf.DUMMYFUNCTION("""COMPUTED_VALUE"""),46224.0)</f>
        <v>46224</v>
      </c>
      <c r="H292" s="422" t="str">
        <f>IFERROR(__xludf.DUMMYFUNCTION("""COMPUTED_VALUE"""),"#REF!")</f>
        <v>#REF!</v>
      </c>
      <c r="I292" s="422"/>
      <c r="J292" s="422"/>
      <c r="K292" s="422"/>
      <c r="L292" s="422"/>
      <c r="M292" s="422"/>
      <c r="N292" s="422"/>
      <c r="O292" s="422">
        <f>IFERROR(__xludf.DUMMYFUNCTION("""COMPUTED_VALUE"""),0.0)</f>
        <v>0</v>
      </c>
      <c r="P292" s="422">
        <f>IFERROR(__xludf.DUMMYFUNCTION("""COMPUTED_VALUE"""),0.0)</f>
        <v>0</v>
      </c>
      <c r="Q292" s="422"/>
      <c r="R292" s="98"/>
      <c r="S292" s="98" t="str">
        <f>IFERROR(__xludf.DUMMYFUNCTION("""COMPUTED_VALUE"""),"myt_zinmin.shein")</f>
        <v>myt_zinmin.shein</v>
      </c>
      <c r="T292" s="98" t="str">
        <f>IFERROR(__xludf.DUMMYFUNCTION("""COMPUTED_VALUE"""),"TNI0267")</f>
        <v>TNI0267</v>
      </c>
    </row>
    <row r="293">
      <c r="A293" s="422">
        <f>IFERROR(__xludf.DUMMYFUNCTION("""COMPUTED_VALUE"""),291.0)</f>
        <v>291</v>
      </c>
      <c r="B293" s="422" t="str">
        <f>IFERROR(__xludf.DUMMYFUNCTION("""COMPUTED_VALUE"""),"Manager")</f>
        <v>Manager</v>
      </c>
      <c r="C293" s="422" t="str">
        <f>IFERROR(__xludf.DUMMYFUNCTION("""COMPUTED_VALUE"""),"Team 02")</f>
        <v>Team 02</v>
      </c>
      <c r="D293" s="422" t="str">
        <f>IFERROR(__xludf.DUMMYFUNCTION("""COMPUTED_VALUE"""),"Grid fail long time")</f>
        <v>Grid fail long time</v>
      </c>
      <c r="E293" s="422" t="str">
        <f>IFERROR(__xludf.DUMMYFUNCTION("""COMPUTED_VALUE"""),"TNI0268 check Main fail alarm long time")</f>
        <v>TNI0268 check Main fail alarm long time</v>
      </c>
      <c r="F293" s="424">
        <f>IFERROR(__xludf.DUMMYFUNCTION("""COMPUTED_VALUE"""),46195.0)</f>
        <v>46195</v>
      </c>
      <c r="G293" s="424">
        <f>IFERROR(__xludf.DUMMYFUNCTION("""COMPUTED_VALUE"""),46224.0)</f>
        <v>46224</v>
      </c>
      <c r="H293" s="422" t="str">
        <f>IFERROR(__xludf.DUMMYFUNCTION("""COMPUTED_VALUE"""),"#REF!")</f>
        <v>#REF!</v>
      </c>
      <c r="I293" s="422"/>
      <c r="J293" s="422"/>
      <c r="K293" s="422"/>
      <c r="L293" s="422"/>
      <c r="M293" s="422"/>
      <c r="N293" s="422"/>
      <c r="O293" s="422">
        <f>IFERROR(__xludf.DUMMYFUNCTION("""COMPUTED_VALUE"""),0.0)</f>
        <v>0</v>
      </c>
      <c r="P293" s="422">
        <f>IFERROR(__xludf.DUMMYFUNCTION("""COMPUTED_VALUE"""),0.0)</f>
        <v>0</v>
      </c>
      <c r="Q293" s="422"/>
      <c r="R293" s="98"/>
      <c r="S293" s="98" t="str">
        <f>IFERROR(__xludf.DUMMYFUNCTION("""COMPUTED_VALUE"""),"myt_zinmin.shein")</f>
        <v>myt_zinmin.shein</v>
      </c>
      <c r="T293" s="98" t="str">
        <f>IFERROR(__xludf.DUMMYFUNCTION("""COMPUTED_VALUE"""),"TNI0268")</f>
        <v>TNI0268</v>
      </c>
    </row>
    <row r="294">
      <c r="A294" s="422">
        <f>IFERROR(__xludf.DUMMYFUNCTION("""COMPUTED_VALUE"""),292.0)</f>
        <v>292</v>
      </c>
      <c r="B294" s="422" t="str">
        <f>IFERROR(__xludf.DUMMYFUNCTION("""COMPUTED_VALUE"""),"Manager")</f>
        <v>Manager</v>
      </c>
      <c r="C294" s="422" t="str">
        <f>IFERROR(__xludf.DUMMYFUNCTION("""COMPUTED_VALUE"""),"Team 02")</f>
        <v>Team 02</v>
      </c>
      <c r="D294" s="422" t="str">
        <f>IFERROR(__xludf.DUMMYFUNCTION("""COMPUTED_VALUE"""),"MW link Error")</f>
        <v>MW link Error</v>
      </c>
      <c r="E294" s="422" t="str">
        <f>IFERROR(__xludf.DUMMYFUNCTION("""COMPUTED_VALUE"""),"TNI0423-TNI0386 (NEC) (Need to do realignment)")</f>
        <v>TNI0423-TNI0386 (NEC) (Need to do realignment)</v>
      </c>
      <c r="F294" s="424">
        <f>IFERROR(__xludf.DUMMYFUNCTION("""COMPUTED_VALUE"""),46195.0)</f>
        <v>46195</v>
      </c>
      <c r="G294" s="424">
        <f>IFERROR(__xludf.DUMMYFUNCTION("""COMPUTED_VALUE"""),46224.0)</f>
        <v>46224</v>
      </c>
      <c r="H294" s="422" t="str">
        <f>IFERROR(__xludf.DUMMYFUNCTION("""COMPUTED_VALUE"""),"#REF!")</f>
        <v>#REF!</v>
      </c>
      <c r="I294" s="422"/>
      <c r="J294" s="422"/>
      <c r="K294" s="422"/>
      <c r="L294" s="422"/>
      <c r="M294" s="422"/>
      <c r="N294" s="422"/>
      <c r="O294" s="422">
        <f>IFERROR(__xludf.DUMMYFUNCTION("""COMPUTED_VALUE"""),0.0)</f>
        <v>0</v>
      </c>
      <c r="P294" s="422">
        <f>IFERROR(__xludf.DUMMYFUNCTION("""COMPUTED_VALUE"""),0.0)</f>
        <v>0</v>
      </c>
      <c r="Q294" s="422"/>
      <c r="R294" s="98"/>
      <c r="S294" s="98" t="str">
        <f>IFERROR(__xludf.DUMMYFUNCTION("""COMPUTED_VALUE"""),"myt_ye.lin22")</f>
        <v>myt_ye.lin22</v>
      </c>
      <c r="T294" s="98" t="str">
        <f>IFERROR(__xludf.DUMMYFUNCTION("""COMPUTED_VALUE"""),"TNI0423")</f>
        <v>TNI0423</v>
      </c>
    </row>
    <row r="295">
      <c r="A295" s="422">
        <f>IFERROR(__xludf.DUMMYFUNCTION("""COMPUTED_VALUE"""),293.0)</f>
        <v>293</v>
      </c>
      <c r="B295" s="424" t="str">
        <f>IFERROR(__xludf.DUMMYFUNCTION("""COMPUTED_VALUE"""),"Manager")</f>
        <v>Manager</v>
      </c>
      <c r="C295" s="422" t="str">
        <f>IFERROR(__xludf.DUMMYFUNCTION("""COMPUTED_VALUE"""),"Team 03")</f>
        <v>Team 03</v>
      </c>
      <c r="D295" s="422" t="str">
        <f>IFERROR(__xludf.DUMMYFUNCTION("""COMPUTED_VALUE"""),"Cable BB high lost")</f>
        <v>Cable BB high lost</v>
      </c>
      <c r="E295" s="422" t="str">
        <f>IFERROR(__xludf.DUMMYFUNCTION("""COMPUTED_VALUE"""),"Repair High lost link DWDM TNI0004-TNI0008")</f>
        <v>Repair High lost link DWDM TNI0004-TNI0008</v>
      </c>
      <c r="F295" s="424">
        <f>IFERROR(__xludf.DUMMYFUNCTION("""COMPUTED_VALUE"""),46195.0)</f>
        <v>46195</v>
      </c>
      <c r="G295" s="424">
        <f>IFERROR(__xludf.DUMMYFUNCTION("""COMPUTED_VALUE"""),46224.0)</f>
        <v>46224</v>
      </c>
      <c r="H295" s="422" t="str">
        <f>IFERROR(__xludf.DUMMYFUNCTION("""COMPUTED_VALUE"""),"VCM816540-Myint Ko Ko Aung")</f>
        <v>VCM816540-Myint Ko Ko Aung</v>
      </c>
      <c r="I295" s="425">
        <f>IFERROR(__xludf.DUMMYFUNCTION("""COMPUTED_VALUE"""),45975.0)</f>
        <v>45975</v>
      </c>
      <c r="J295" s="424">
        <f>IFERROR(__xludf.DUMMYFUNCTION("""COMPUTED_VALUE"""),45993.0)</f>
        <v>45993</v>
      </c>
      <c r="K295" s="422"/>
      <c r="L295" s="422"/>
      <c r="M295" s="422" t="str">
        <f>IFERROR(__xludf.DUMMYFUNCTION("""COMPUTED_VALUE"""),"Dep Confirm completion")</f>
        <v>Dep Confirm completion</v>
      </c>
      <c r="N295" s="422"/>
      <c r="O295" s="422">
        <f>IFERROR(__xludf.DUMMYFUNCTION("""COMPUTED_VALUE"""),3.0)</f>
        <v>3</v>
      </c>
      <c r="P295" s="422">
        <f>IFERROR(__xludf.DUMMYFUNCTION("""COMPUTED_VALUE"""),0.0)</f>
        <v>0</v>
      </c>
      <c r="Q295" s="422"/>
      <c r="R295" s="98"/>
      <c r="S295" s="98" t="str">
        <f>IFERROR(__xludf.DUMMYFUNCTION("""COMPUTED_VALUE"""),"myt_myintkoko.aung")</f>
        <v>myt_myintkoko.aung</v>
      </c>
      <c r="T295" s="98" t="str">
        <f>IFERROR(__xludf.DUMMYFUNCTION("""COMPUTED_VALUE"""),"TNI0004")</f>
        <v>TNI0004</v>
      </c>
    </row>
    <row r="296">
      <c r="A296" s="422">
        <f>IFERROR(__xludf.DUMMYFUNCTION("""COMPUTED_VALUE"""),294.0)</f>
        <v>294</v>
      </c>
      <c r="B296" s="422" t="str">
        <f>IFERROR(__xludf.DUMMYFUNCTION("""COMPUTED_VALUE"""),"Manager")</f>
        <v>Manager</v>
      </c>
      <c r="C296" s="422" t="str">
        <f>IFERROR(__xludf.DUMMYFUNCTION("""COMPUTED_VALUE"""),"Team 03")</f>
        <v>Team 03</v>
      </c>
      <c r="D296" s="422" t="str">
        <f>IFERROR(__xludf.DUMMYFUNCTION("""COMPUTED_VALUE"""),"Check&amp;fixing Main Node Site")</f>
        <v>Check&amp;fixing Main Node Site</v>
      </c>
      <c r="E296" s="422" t="str">
        <f>IFERROR(__xludf.DUMMYFUNCTION("""COMPUTED_VALUE"""),"TNI0004, Check&amp;fixing Main Node &gt;&gt; Check power status and equipment room (Grounding, Air Con , Fire extinguisher, Light Bulb, ATS, DG Maintenance&gt;&gt; Check engine oil and filter change date) , all cabel into site from undergroun or not, Site Cleaning, Last "&amp;"pole status ")</f>
        <v>TNI0004, Check&amp;fixing Main Node &gt;&gt; Check power status and equipment room (Grounding, Air Con , Fire extinguisher, Light Bulb, ATS, DG Maintenance&gt;&gt; Check engine oil and filter change date) , all cabel into site from undergroun or not, Site Cleaning, Last pole status </v>
      </c>
      <c r="F296" s="424">
        <f>IFERROR(__xludf.DUMMYFUNCTION("""COMPUTED_VALUE"""),46195.0)</f>
        <v>46195</v>
      </c>
      <c r="G296" s="424">
        <f>IFERROR(__xludf.DUMMYFUNCTION("""COMPUTED_VALUE"""),46203.0)</f>
        <v>46203</v>
      </c>
      <c r="H296" s="422"/>
      <c r="I296" s="422"/>
      <c r="J296" s="422"/>
      <c r="K296" s="422"/>
      <c r="L296" s="422"/>
      <c r="M296" s="422"/>
      <c r="N296" s="422"/>
      <c r="O296" s="422">
        <f>IFERROR(__xludf.DUMMYFUNCTION("""COMPUTED_VALUE"""),0.0)</f>
        <v>0</v>
      </c>
      <c r="P296" s="422">
        <f>IFERROR(__xludf.DUMMYFUNCTION("""COMPUTED_VALUE"""),0.0)</f>
        <v>0</v>
      </c>
      <c r="Q296" s="422"/>
      <c r="R296" s="98"/>
      <c r="S296" s="98" t="str">
        <f>IFERROR(__xludf.DUMMYFUNCTION("""COMPUTED_VALUE"""),"myt_myintkoko.aung")</f>
        <v>myt_myintkoko.aung</v>
      </c>
      <c r="T296" s="98" t="str">
        <f>IFERROR(__xludf.DUMMYFUNCTION("""COMPUTED_VALUE"""),"TNI0004")</f>
        <v>TNI0004</v>
      </c>
    </row>
    <row r="297">
      <c r="A297" s="422">
        <f>IFERROR(__xludf.DUMMYFUNCTION("""COMPUTED_VALUE"""),295.0)</f>
        <v>295</v>
      </c>
      <c r="B297" s="422" t="str">
        <f>IFERROR(__xludf.DUMMYFUNCTION("""COMPUTED_VALUE"""),"Manager")</f>
        <v>Manager</v>
      </c>
      <c r="C297" s="422" t="str">
        <f>IFERROR(__xludf.DUMMYFUNCTION("""COMPUTED_VALUE"""),"Team 03")</f>
        <v>Team 03</v>
      </c>
      <c r="D297" s="422" t="str">
        <f>IFERROR(__xludf.DUMMYFUNCTION("""COMPUTED_VALUE"""),"Check&amp;fixing Main Node Site")</f>
        <v>Check&amp;fixing Main Node Site</v>
      </c>
      <c r="E297" s="422" t="str">
        <f>IFERROR(__xludf.DUMMYFUNCTION("""COMPUTED_VALUE"""),"TNI0008, Check&amp;fixing Main Node &gt;&gt; Check power status and equipment room (Grounding, Air Con , Fire extinguisher, Light Bulb, ATS, DG Maintenance&gt;&gt; Check engine oil and filter change date) , all cabel into site from undergroun or not, Site Cleaning, Last "&amp;"pole status ")</f>
        <v>TNI0008, Check&amp;fixing Main Node &gt;&gt; Check power status and equipment room (Grounding, Air Con , Fire extinguisher, Light Bulb, ATS, DG Maintenance&gt;&gt; Check engine oil and filter change date) , all cabel into site from undergroun or not, Site Cleaning, Last pole status </v>
      </c>
      <c r="F297" s="424">
        <f>IFERROR(__xludf.DUMMYFUNCTION("""COMPUTED_VALUE"""),46195.0)</f>
        <v>46195</v>
      </c>
      <c r="G297" s="424">
        <f>IFERROR(__xludf.DUMMYFUNCTION("""COMPUTED_VALUE"""),46208.0)</f>
        <v>46208</v>
      </c>
      <c r="H297" s="422"/>
      <c r="I297" s="422"/>
      <c r="J297" s="422"/>
      <c r="K297" s="422"/>
      <c r="L297" s="422"/>
      <c r="M297" s="422"/>
      <c r="N297" s="422"/>
      <c r="O297" s="422">
        <f>IFERROR(__xludf.DUMMYFUNCTION("""COMPUTED_VALUE"""),0.0)</f>
        <v>0</v>
      </c>
      <c r="P297" s="422">
        <f>IFERROR(__xludf.DUMMYFUNCTION("""COMPUTED_VALUE"""),0.0)</f>
        <v>0</v>
      </c>
      <c r="Q297" s="422"/>
      <c r="R297" s="98"/>
      <c r="S297" s="98" t="str">
        <f>IFERROR(__xludf.DUMMYFUNCTION("""COMPUTED_VALUE"""),"myt_tinnaing.lin11")</f>
        <v>myt_tinnaing.lin11</v>
      </c>
      <c r="T297" s="98" t="str">
        <f>IFERROR(__xludf.DUMMYFUNCTION("""COMPUTED_VALUE"""),"TNI0008")</f>
        <v>TNI0008</v>
      </c>
    </row>
    <row r="298">
      <c r="A298" s="422">
        <f>IFERROR(__xludf.DUMMYFUNCTION("""COMPUTED_VALUE"""),296.0)</f>
        <v>296</v>
      </c>
      <c r="B298" s="422" t="str">
        <f>IFERROR(__xludf.DUMMYFUNCTION("""COMPUTED_VALUE"""),"Manager")</f>
        <v>Manager</v>
      </c>
      <c r="C298" s="422" t="str">
        <f>IFERROR(__xludf.DUMMYFUNCTION("""COMPUTED_VALUE"""),"Team 03")</f>
        <v>Team 03</v>
      </c>
      <c r="D298" s="422" t="str">
        <f>IFERROR(__xludf.DUMMYFUNCTION("""COMPUTED_VALUE"""),"Check&amp;fixing Main Node Site")</f>
        <v>Check&amp;fixing Main Node Site</v>
      </c>
      <c r="E298" s="422" t="str">
        <f>IFERROR(__xludf.DUMMYFUNCTION("""COMPUTED_VALUE"""),"TNI0009, Check&amp;fixing Main Node &gt;&gt; Check power status and equipment room (Grounding, Air Con , Fire extinguisher, Light Bulb, ATS, DG Maintenance&gt;&gt; Check engine oil and filter change date) , all cabel into site from undergroun or not, Site Cleaning, Last "&amp;"pole status ")</f>
        <v>TNI0009, Check&amp;fixing Main Node &gt;&gt; Check power status and equipment room (Grounding, Air Con , Fire extinguisher, Light Bulb, ATS, DG Maintenance&gt;&gt; Check engine oil and filter change date) , all cabel into site from undergroun or not, Site Cleaning, Last pole status </v>
      </c>
      <c r="F298" s="424">
        <f>IFERROR(__xludf.DUMMYFUNCTION("""COMPUTED_VALUE"""),46195.0)</f>
        <v>46195</v>
      </c>
      <c r="G298" s="424">
        <f>IFERROR(__xludf.DUMMYFUNCTION("""COMPUTED_VALUE"""),46213.0)</f>
        <v>46213</v>
      </c>
      <c r="H298" s="422"/>
      <c r="I298" s="422"/>
      <c r="J298" s="422"/>
      <c r="K298" s="422"/>
      <c r="L298" s="422"/>
      <c r="M298" s="422"/>
      <c r="N298" s="422"/>
      <c r="O298" s="422">
        <f>IFERROR(__xludf.DUMMYFUNCTION("""COMPUTED_VALUE"""),0.0)</f>
        <v>0</v>
      </c>
      <c r="P298" s="422">
        <f>IFERROR(__xludf.DUMMYFUNCTION("""COMPUTED_VALUE"""),0.0)</f>
        <v>0</v>
      </c>
      <c r="Q298" s="422"/>
      <c r="R298" s="98"/>
      <c r="S298" s="98" t="str">
        <f>IFERROR(__xludf.DUMMYFUNCTION("""COMPUTED_VALUE"""),"myt_sithu.htun")</f>
        <v>myt_sithu.htun</v>
      </c>
      <c r="T298" s="98" t="str">
        <f>IFERROR(__xludf.DUMMYFUNCTION("""COMPUTED_VALUE"""),"TNI0009")</f>
        <v>TNI0009</v>
      </c>
    </row>
    <row r="299">
      <c r="A299" s="422">
        <f>IFERROR(__xludf.DUMMYFUNCTION("""COMPUTED_VALUE"""),297.0)</f>
        <v>297</v>
      </c>
      <c r="B299" s="422" t="str">
        <f>IFERROR(__xludf.DUMMYFUNCTION("""COMPUTED_VALUE"""),"Manager")</f>
        <v>Manager</v>
      </c>
      <c r="C299" s="422" t="str">
        <f>IFERROR(__xludf.DUMMYFUNCTION("""COMPUTED_VALUE"""),"Team 03")</f>
        <v>Team 03</v>
      </c>
      <c r="D299" s="422" t="str">
        <f>IFERROR(__xludf.DUMMYFUNCTION("""COMPUTED_VALUE"""),"Rescue long time site/link down")</f>
        <v>Rescue long time site/link down</v>
      </c>
      <c r="E299" s="422" t="str">
        <f>IFERROR(__xludf.DUMMYFUNCTION("""COMPUTED_VALUE"""),"Rescue link down&gt;&gt; TNI0507 to TNI0341")</f>
        <v>Rescue link down&gt;&gt; TNI0507 to TNI0341</v>
      </c>
      <c r="F299" s="424">
        <f>IFERROR(__xludf.DUMMYFUNCTION("""COMPUTED_VALUE"""),46205.0)</f>
        <v>46205</v>
      </c>
      <c r="G299" s="424">
        <f>IFERROR(__xludf.DUMMYFUNCTION("""COMPUTED_VALUE"""),46206.0)</f>
        <v>46206</v>
      </c>
      <c r="H299" s="422" t="str">
        <f>IFERROR(__xludf.DUMMYFUNCTION("""COMPUTED_VALUE"""),"Wait CD Receive task")</f>
        <v>Wait CD Receive task</v>
      </c>
      <c r="I299" s="422"/>
      <c r="J299" s="422"/>
      <c r="K299" s="422"/>
      <c r="L299" s="422"/>
      <c r="M299" s="422"/>
      <c r="N299" s="422"/>
      <c r="O299" s="422">
        <f>IFERROR(__xludf.DUMMYFUNCTION("""COMPUTED_VALUE"""),0.0)</f>
        <v>0</v>
      </c>
      <c r="P299" s="422">
        <f>IFERROR(__xludf.DUMMYFUNCTION("""COMPUTED_VALUE"""),0.0)</f>
        <v>0</v>
      </c>
      <c r="Q299" s="422"/>
      <c r="R299" s="98"/>
      <c r="S299" s="98" t="str">
        <f>IFERROR(__xludf.DUMMYFUNCTION("""COMPUTED_VALUE"""),"Khant Si Thu")</f>
        <v>Khant Si Thu</v>
      </c>
      <c r="T299" s="98" t="str">
        <f>IFERROR(__xludf.DUMMYFUNCTION("""COMPUTED_VALUE"""),"TNI0507")</f>
        <v>TNI0507</v>
      </c>
    </row>
    <row r="300">
      <c r="A300" s="422">
        <f>IFERROR(__xludf.DUMMYFUNCTION("""COMPUTED_VALUE"""),298.0)</f>
        <v>298</v>
      </c>
      <c r="B300" s="422" t="str">
        <f>IFERROR(__xludf.DUMMYFUNCTION("""COMPUTED_VALUE"""),"Manager")</f>
        <v>Manager</v>
      </c>
      <c r="C300" s="422" t="str">
        <f>IFERROR(__xludf.DUMMYFUNCTION("""COMPUTED_VALUE"""),"Team 04")</f>
        <v>Team 04</v>
      </c>
      <c r="D300" s="422" t="str">
        <f>IFERROR(__xludf.DUMMYFUNCTION("""COMPUTED_VALUE"""),"Cable BB high lost")</f>
        <v>Cable BB high lost</v>
      </c>
      <c r="E300" s="422" t="str">
        <f>IFERROR(__xludf.DUMMYFUNCTION("""COMPUTED_VALUE"""),"TNI0015_TNI0012 MYT DWDM high loss need to clear")</f>
        <v>TNI0015_TNI0012 MYT DWDM high loss need to clear</v>
      </c>
      <c r="F300" s="424">
        <f>IFERROR(__xludf.DUMMYFUNCTION("""COMPUTED_VALUE"""),46195.0)</f>
        <v>46195</v>
      </c>
      <c r="G300" s="424">
        <f>IFERROR(__xludf.DUMMYFUNCTION("""COMPUTED_VALUE"""),46224.0)</f>
        <v>46224</v>
      </c>
      <c r="H300" s="422" t="str">
        <f>IFERROR(__xludf.DUMMYFUNCTION("""COMPUTED_VALUE"""),"VCM277678-Naing Myo Htun, VCM818134-Tin Maung Win")</f>
        <v>VCM277678-Naing Myo Htun, VCM818134-Tin Maung Win</v>
      </c>
      <c r="I300" s="425">
        <f>IFERROR(__xludf.DUMMYFUNCTION("""COMPUTED_VALUE"""),45971.0)</f>
        <v>45971</v>
      </c>
      <c r="J300" s="424">
        <f>IFERROR(__xludf.DUMMYFUNCTION("""COMPUTED_VALUE"""),46015.0)</f>
        <v>46015</v>
      </c>
      <c r="K300" s="422"/>
      <c r="L300" s="422"/>
      <c r="M300" s="422" t="str">
        <f>IFERROR(__xludf.DUMMYFUNCTION("""COMPUTED_VALUE"""),"Dep Confirm completion")</f>
        <v>Dep Confirm completion</v>
      </c>
      <c r="N300" s="422"/>
      <c r="O300" s="422">
        <f>IFERROR(__xludf.DUMMYFUNCTION("""COMPUTED_VALUE"""),3.0)</f>
        <v>3</v>
      </c>
      <c r="P300" s="422">
        <f>IFERROR(__xludf.DUMMYFUNCTION("""COMPUTED_VALUE"""),0.0)</f>
        <v>0</v>
      </c>
      <c r="Q300" s="422"/>
      <c r="R300" s="98"/>
      <c r="S300" s="98" t="str">
        <f>IFERROR(__xludf.DUMMYFUNCTION("""COMPUTED_VALUE"""),"myt_tinmaung.win")</f>
        <v>myt_tinmaung.win</v>
      </c>
      <c r="T300" s="98" t="str">
        <f>IFERROR(__xludf.DUMMYFUNCTION("""COMPUTED_VALUE"""),"TNI0015")</f>
        <v>TNI0015</v>
      </c>
    </row>
    <row r="301">
      <c r="A301" s="422">
        <f>IFERROR(__xludf.DUMMYFUNCTION("""COMPUTED_VALUE"""),299.0)</f>
        <v>299</v>
      </c>
      <c r="B301" s="422" t="str">
        <f>IFERROR(__xludf.DUMMYFUNCTION("""COMPUTED_VALUE"""),"Manager")</f>
        <v>Manager</v>
      </c>
      <c r="C301" s="422" t="str">
        <f>IFERROR(__xludf.DUMMYFUNCTION("""COMPUTED_VALUE"""),"Team 04")</f>
        <v>Team 04</v>
      </c>
      <c r="D301" s="422" t="str">
        <f>IFERROR(__xludf.DUMMYFUNCTION("""COMPUTED_VALUE"""),"Check DIA customer")</f>
        <v>Check DIA customer</v>
      </c>
      <c r="E301" s="422" t="str">
        <f>IFERROR(__xludf.DUMMYFUNCTION("""COMPUTED_VALUE"""),"check island DIA customers what’s materials you need to repair send PWZ to request to HO")</f>
        <v>check island DIA customers what’s materials you need to repair send PWZ to request to HO</v>
      </c>
      <c r="F301" s="424">
        <f>IFERROR(__xludf.DUMMYFUNCTION("""COMPUTED_VALUE"""),46195.0)</f>
        <v>46195</v>
      </c>
      <c r="G301" s="424">
        <f>IFERROR(__xludf.DUMMYFUNCTION("""COMPUTED_VALUE"""),46224.0)</f>
        <v>46224</v>
      </c>
      <c r="H301" s="422" t="str">
        <f>IFERROR(__xludf.DUMMYFUNCTION("""COMPUTED_VALUE"""),"VCM818134-Tin Maung Win")</f>
        <v>VCM818134-Tin Maung Win</v>
      </c>
      <c r="I301" s="425">
        <f>IFERROR(__xludf.DUMMYFUNCTION("""COMPUTED_VALUE"""),45976.0)</f>
        <v>45976</v>
      </c>
      <c r="J301" s="424">
        <f>IFERROR(__xludf.DUMMYFUNCTION("""COMPUTED_VALUE"""),45981.0)</f>
        <v>45981</v>
      </c>
      <c r="K301" s="422"/>
      <c r="L301" s="422"/>
      <c r="M301" s="422"/>
      <c r="N301" s="422"/>
      <c r="O301" s="422">
        <f>IFERROR(__xludf.DUMMYFUNCTION("""COMPUTED_VALUE"""),0.0)</f>
        <v>0</v>
      </c>
      <c r="P301" s="422"/>
      <c r="Q301" s="422"/>
      <c r="R301" s="98"/>
      <c r="S301" s="98" t="str">
        <f>IFERROR(__xludf.DUMMYFUNCTION("""COMPUTED_VALUE"""),"-")</f>
        <v>-</v>
      </c>
      <c r="T301" s="98" t="str">
        <f>IFERROR(__xludf.DUMMYFUNCTION("""COMPUTED_VALUE"""),"check island DIA customers what’s materials you need to repair send PWZ to request to HO")</f>
        <v>check island DIA customers what’s materials you need to repair send PWZ to request to HO</v>
      </c>
    </row>
    <row r="302">
      <c r="A302" s="422">
        <f>IFERROR(__xludf.DUMMYFUNCTION("""COMPUTED_VALUE"""),300.0)</f>
        <v>300</v>
      </c>
      <c r="B302" s="422" t="str">
        <f>IFERROR(__xludf.DUMMYFUNCTION("""COMPUTED_VALUE"""),"Manager")</f>
        <v>Manager</v>
      </c>
      <c r="C302" s="422" t="str">
        <f>IFERROR(__xludf.DUMMYFUNCTION("""COMPUTED_VALUE"""),"Team 04")</f>
        <v>Team 04</v>
      </c>
      <c r="D302" s="422" t="str">
        <f>IFERROR(__xludf.DUMMYFUNCTION("""COMPUTED_VALUE"""),"Check&amp;fixing Main Node Site")</f>
        <v>Check&amp;fixing Main Node Site</v>
      </c>
      <c r="E302" s="422" t="str">
        <f>IFERROR(__xludf.DUMMYFUNCTION("""COMPUTED_VALUE"""),"TNI0011, Check&amp;fixing Main Node &gt;&gt; Check power status and equipment room (Grounding, Air Con , Fire extinguisher, Light Bulb, ATS, DG Maintenance&gt;&gt; Check engine oil and filter change date) , all cabel into site from undergroun or not, Site Cleaning, Last "&amp;"pole status ")</f>
        <v>TNI0011, Check&amp;fixing Main Node &gt;&gt; Check power status and equipment room (Grounding, Air Con , Fire extinguisher, Light Bulb, ATS, DG Maintenance&gt;&gt; Check engine oil and filter change date) , all cabel into site from undergroun or not, Site Cleaning, Last pole status </v>
      </c>
      <c r="F302" s="424">
        <f>IFERROR(__xludf.DUMMYFUNCTION("""COMPUTED_VALUE"""),46195.0)</f>
        <v>46195</v>
      </c>
      <c r="G302" s="424">
        <f>IFERROR(__xludf.DUMMYFUNCTION("""COMPUTED_VALUE"""),46203.0)</f>
        <v>46203</v>
      </c>
      <c r="H302" s="422"/>
      <c r="I302" s="422"/>
      <c r="J302" s="422"/>
      <c r="K302" s="422"/>
      <c r="L302" s="422"/>
      <c r="M302" s="422"/>
      <c r="N302" s="422"/>
      <c r="O302" s="422">
        <f>IFERROR(__xludf.DUMMYFUNCTION("""COMPUTED_VALUE"""),0.0)</f>
        <v>0</v>
      </c>
      <c r="P302" s="422">
        <f>IFERROR(__xludf.DUMMYFUNCTION("""COMPUTED_VALUE"""),0.0)</f>
        <v>0</v>
      </c>
      <c r="Q302" s="422"/>
      <c r="R302" s="98"/>
      <c r="S302" s="98" t="str">
        <f>IFERROR(__xludf.DUMMYFUNCTION("""COMPUTED_VALUE"""),"myt_tinmaung.win")</f>
        <v>myt_tinmaung.win</v>
      </c>
      <c r="T302" s="98" t="str">
        <f>IFERROR(__xludf.DUMMYFUNCTION("""COMPUTED_VALUE"""),"TNI0011")</f>
        <v>TNI0011</v>
      </c>
    </row>
    <row r="303">
      <c r="A303" s="422">
        <f>IFERROR(__xludf.DUMMYFUNCTION("""COMPUTED_VALUE"""),301.0)</f>
        <v>301</v>
      </c>
      <c r="B303" s="422" t="str">
        <f>IFERROR(__xludf.DUMMYFUNCTION("""COMPUTED_VALUE"""),"Manager")</f>
        <v>Manager</v>
      </c>
      <c r="C303" s="422" t="str">
        <f>IFERROR(__xludf.DUMMYFUNCTION("""COMPUTED_VALUE"""),"Team 04")</f>
        <v>Team 04</v>
      </c>
      <c r="D303" s="422" t="str">
        <f>IFERROR(__xludf.DUMMYFUNCTION("""COMPUTED_VALUE"""),"Check&amp;fixing Main Node Site")</f>
        <v>Check&amp;fixing Main Node Site</v>
      </c>
      <c r="E303" s="422" t="str">
        <f>IFERROR(__xludf.DUMMYFUNCTION("""COMPUTED_VALUE"""),"TNI0012, Check&amp;fixing Main Node &gt;&gt; Check power status and equipment room (Grounding, Air Con , Fire extinguisher, Light Bulb, ATS, DG Maintenance&gt;&gt; Check engine oil and filter change date) , all cabel into site from undergroun or not, Site Cleaning, Last "&amp;"pole status ")</f>
        <v>TNI0012, Check&amp;fixing Main Node &gt;&gt; Check power status and equipment room (Grounding, Air Con , Fire extinguisher, Light Bulb, ATS, DG Maintenance&gt;&gt; Check engine oil and filter change date) , all cabel into site from undergroun or not, Site Cleaning, Last pole status </v>
      </c>
      <c r="F303" s="424">
        <f>IFERROR(__xludf.DUMMYFUNCTION("""COMPUTED_VALUE"""),46195.0)</f>
        <v>46195</v>
      </c>
      <c r="G303" s="424">
        <f>IFERROR(__xludf.DUMMYFUNCTION("""COMPUTED_VALUE"""),46208.0)</f>
        <v>46208</v>
      </c>
      <c r="H303" s="422"/>
      <c r="I303" s="422"/>
      <c r="J303" s="422"/>
      <c r="K303" s="422"/>
      <c r="L303" s="422"/>
      <c r="M303" s="422"/>
      <c r="N303" s="422"/>
      <c r="O303" s="422">
        <f>IFERROR(__xludf.DUMMYFUNCTION("""COMPUTED_VALUE"""),0.0)</f>
        <v>0</v>
      </c>
      <c r="P303" s="422">
        <f>IFERROR(__xludf.DUMMYFUNCTION("""COMPUTED_VALUE"""),0.0)</f>
        <v>0</v>
      </c>
      <c r="Q303" s="422"/>
      <c r="R303" s="98"/>
      <c r="S303" s="98" t="str">
        <f>IFERROR(__xludf.DUMMYFUNCTION("""COMPUTED_VALUE"""),"myt_khantchaw.nyo")</f>
        <v>myt_khantchaw.nyo</v>
      </c>
      <c r="T303" s="98" t="str">
        <f>IFERROR(__xludf.DUMMYFUNCTION("""COMPUTED_VALUE"""),"TNI0012")</f>
        <v>TNI0012</v>
      </c>
    </row>
    <row r="304">
      <c r="A304" s="422">
        <f>IFERROR(__xludf.DUMMYFUNCTION("""COMPUTED_VALUE"""),302.0)</f>
        <v>302</v>
      </c>
      <c r="B304" s="422" t="str">
        <f>IFERROR(__xludf.DUMMYFUNCTION("""COMPUTED_VALUE"""),"Manager")</f>
        <v>Manager</v>
      </c>
      <c r="C304" s="422" t="str">
        <f>IFERROR(__xludf.DUMMYFUNCTION("""COMPUTED_VALUE"""),"Team 04")</f>
        <v>Team 04</v>
      </c>
      <c r="D304" s="422" t="str">
        <f>IFERROR(__xludf.DUMMYFUNCTION("""COMPUTED_VALUE"""),"Check&amp;fixing Main Node Site")</f>
        <v>Check&amp;fixing Main Node Site</v>
      </c>
      <c r="E304" s="422" t="str">
        <f>IFERROR(__xludf.DUMMYFUNCTION("""COMPUTED_VALUE"""),"TNI0015, Check&amp;fixing Main Node &gt;&gt; Check power status and equipment room (Grounding, Air Con , Fire extinguisher, Light Bulb, ATS, DG Maintenance&gt;&gt; Check engine oil and filter change date) , all cabel into site from undergroun or not, Site Cleaning, Last "&amp;"pole status ")</f>
        <v>TNI0015, Check&amp;fixing Main Node &gt;&gt; Check power status and equipment room (Grounding, Air Con , Fire extinguisher, Light Bulb, ATS, DG Maintenance&gt;&gt; Check engine oil and filter change date) , all cabel into site from undergroun or not, Site Cleaning, Last pole status </v>
      </c>
      <c r="F304" s="424">
        <f>IFERROR(__xludf.DUMMYFUNCTION("""COMPUTED_VALUE"""),46195.0)</f>
        <v>46195</v>
      </c>
      <c r="G304" s="424">
        <f>IFERROR(__xludf.DUMMYFUNCTION("""COMPUTED_VALUE"""),46213.0)</f>
        <v>46213</v>
      </c>
      <c r="H304" s="422"/>
      <c r="I304" s="422"/>
      <c r="J304" s="422"/>
      <c r="K304" s="422"/>
      <c r="L304" s="422"/>
      <c r="M304" s="422"/>
      <c r="N304" s="422"/>
      <c r="O304" s="422">
        <f>IFERROR(__xludf.DUMMYFUNCTION("""COMPUTED_VALUE"""),0.0)</f>
        <v>0</v>
      </c>
      <c r="P304" s="422">
        <f>IFERROR(__xludf.DUMMYFUNCTION("""COMPUTED_VALUE"""),0.0)</f>
        <v>0</v>
      </c>
      <c r="Q304" s="422"/>
      <c r="R304" s="98"/>
      <c r="S304" s="98" t="str">
        <f>IFERROR(__xludf.DUMMYFUNCTION("""COMPUTED_VALUE"""),"myt_tinmaung.win")</f>
        <v>myt_tinmaung.win</v>
      </c>
      <c r="T304" s="98" t="str">
        <f>IFERROR(__xludf.DUMMYFUNCTION("""COMPUTED_VALUE"""),"TNI0015")</f>
        <v>TNI0015</v>
      </c>
    </row>
    <row r="305">
      <c r="A305" s="422">
        <f>IFERROR(__xludf.DUMMYFUNCTION("""COMPUTED_VALUE"""),303.0)</f>
        <v>303</v>
      </c>
      <c r="B305" s="422" t="str">
        <f>IFERROR(__xludf.DUMMYFUNCTION("""COMPUTED_VALUE"""),"Manager")</f>
        <v>Manager</v>
      </c>
      <c r="C305" s="422" t="str">
        <f>IFERROR(__xludf.DUMMYFUNCTION("""COMPUTED_VALUE"""),"Team 05")</f>
        <v>Team 05</v>
      </c>
      <c r="D305" s="422" t="str">
        <f>IFERROR(__xludf.DUMMYFUNCTION("""COMPUTED_VALUE"""),"Check&amp;fixing Main Node Site")</f>
        <v>Check&amp;fixing Main Node Site</v>
      </c>
      <c r="E305" s="422" t="str">
        <f>IFERROR(__xludf.DUMMYFUNCTION("""COMPUTED_VALUE"""),"TNI0005, Check&amp;fixing Main Node &gt;&gt; Check power status and equipment room (Grounding, Air Con , Fire extinguisher, Light Bulb, ATS, DG Maintenance&gt;&gt; Check engine oil and filter change date) , all cabel into site from undergroun or not, Site Cleaning, Last "&amp;"pole status ")</f>
        <v>TNI0005, Check&amp;fixing Main Node &gt;&gt; Check power status and equipment room (Grounding, Air Con , Fire extinguisher, Light Bulb, ATS, DG Maintenance&gt;&gt; Check engine oil and filter change date) , all cabel into site from undergroun or not, Site Cleaning, Last pole status </v>
      </c>
      <c r="F305" s="424">
        <f>IFERROR(__xludf.DUMMYFUNCTION("""COMPUTED_VALUE"""),46195.0)</f>
        <v>46195</v>
      </c>
      <c r="G305" s="424">
        <f>IFERROR(__xludf.DUMMYFUNCTION("""COMPUTED_VALUE"""),46203.0)</f>
        <v>46203</v>
      </c>
      <c r="H305" s="422"/>
      <c r="I305" s="422"/>
      <c r="J305" s="422"/>
      <c r="K305" s="422"/>
      <c r="L305" s="422"/>
      <c r="M305" s="422"/>
      <c r="N305" s="422"/>
      <c r="O305" s="422">
        <f>IFERROR(__xludf.DUMMYFUNCTION("""COMPUTED_VALUE"""),0.0)</f>
        <v>0</v>
      </c>
      <c r="P305" s="422">
        <f>IFERROR(__xludf.DUMMYFUNCTION("""COMPUTED_VALUE"""),0.0)</f>
        <v>0</v>
      </c>
      <c r="Q305" s="422"/>
      <c r="R305" s="98"/>
      <c r="S305" s="98" t="str">
        <f>IFERROR(__xludf.DUMMYFUNCTION("""COMPUTED_VALUE"""),"myt_minpaing.oo")</f>
        <v>myt_minpaing.oo</v>
      </c>
      <c r="T305" s="98" t="str">
        <f>IFERROR(__xludf.DUMMYFUNCTION("""COMPUTED_VALUE"""),"TNI0005")</f>
        <v>TNI0005</v>
      </c>
    </row>
    <row r="306">
      <c r="A306" s="422">
        <f>IFERROR(__xludf.DUMMYFUNCTION("""COMPUTED_VALUE"""),304.0)</f>
        <v>304</v>
      </c>
      <c r="B306" s="422" t="str">
        <f>IFERROR(__xludf.DUMMYFUNCTION("""COMPUTED_VALUE"""),"Manager")</f>
        <v>Manager</v>
      </c>
      <c r="C306" s="422" t="str">
        <f>IFERROR(__xludf.DUMMYFUNCTION("""COMPUTED_VALUE"""),"Team 05")</f>
        <v>Team 05</v>
      </c>
      <c r="D306" s="422" t="str">
        <f>IFERROR(__xludf.DUMMYFUNCTION("""COMPUTED_VALUE"""),"Check&amp;fixing Main Node Site")</f>
        <v>Check&amp;fixing Main Node Site</v>
      </c>
      <c r="E306" s="422" t="str">
        <f>IFERROR(__xludf.DUMMYFUNCTION("""COMPUTED_VALUE"""),"TNI0007, Check&amp;fixing Main Node &gt;&gt; Check power status and equipment room (Grounding, Air Con , Fire extinguisher, Light Bulb, ATS, DG Maintenance&gt;&gt; Check engine oil and filter change date) , all cabel into site from undergroun or not, Site Cleaning, Last "&amp;"pole status ")</f>
        <v>TNI0007, Check&amp;fixing Main Node &gt;&gt; Check power status and equipment room (Grounding, Air Con , Fire extinguisher, Light Bulb, ATS, DG Maintenance&gt;&gt; Check engine oil and filter change date) , all cabel into site from undergroun or not, Site Cleaning, Last pole status </v>
      </c>
      <c r="F306" s="424">
        <f>IFERROR(__xludf.DUMMYFUNCTION("""COMPUTED_VALUE"""),46195.0)</f>
        <v>46195</v>
      </c>
      <c r="G306" s="424">
        <f>IFERROR(__xludf.DUMMYFUNCTION("""COMPUTED_VALUE"""),46181.0)</f>
        <v>46181</v>
      </c>
      <c r="H306" s="422"/>
      <c r="I306" s="422"/>
      <c r="J306" s="422"/>
      <c r="K306" s="422"/>
      <c r="L306" s="422"/>
      <c r="M306" s="422"/>
      <c r="N306" s="422"/>
      <c r="O306" s="422">
        <f>IFERROR(__xludf.DUMMYFUNCTION("""COMPUTED_VALUE"""),0.0)</f>
        <v>0</v>
      </c>
      <c r="P306" s="422">
        <f>IFERROR(__xludf.DUMMYFUNCTION("""COMPUTED_VALUE"""),0.0)</f>
        <v>0</v>
      </c>
      <c r="Q306" s="422"/>
      <c r="R306" s="98"/>
      <c r="S306" s="98" t="str">
        <f>IFERROR(__xludf.DUMMYFUNCTION("""COMPUTED_VALUE"""),"myt_minpaing.oo")</f>
        <v>myt_minpaing.oo</v>
      </c>
      <c r="T306" s="98" t="str">
        <f>IFERROR(__xludf.DUMMYFUNCTION("""COMPUTED_VALUE"""),"TNI0007")</f>
        <v>TNI0007</v>
      </c>
    </row>
    <row r="307">
      <c r="A307" s="422">
        <f>IFERROR(__xludf.DUMMYFUNCTION("""COMPUTED_VALUE"""),305.0)</f>
        <v>305</v>
      </c>
      <c r="B307" s="422" t="str">
        <f>IFERROR(__xludf.DUMMYFUNCTION("""COMPUTED_VALUE"""),"PM")</f>
        <v>PM</v>
      </c>
      <c r="C307" s="422" t="str">
        <f>IFERROR(__xludf.DUMMYFUNCTION("""COMPUTED_VALUE"""),"Team 01")</f>
        <v>Team 01</v>
      </c>
      <c r="D307" s="422" t="str">
        <f>IFERROR(__xludf.DUMMYFUNCTION("""COMPUTED_VALUE"""),"100 point plan")</f>
        <v>100 point plan</v>
      </c>
      <c r="E307" s="422" t="str">
        <f>IFERROR(__xludf.DUMMYFUNCTION("""COMPUTED_VALUE"""),"TNI0055 100 point plan need to clean site overview inside and outeside and make to neatly patchord cable.")</f>
        <v>TNI0055 100 point plan need to clean site overview inside and outeside and make to neatly patchord cable.</v>
      </c>
      <c r="F307" s="424">
        <f>IFERROR(__xludf.DUMMYFUNCTION("""COMPUTED_VALUE"""),46091.0)</f>
        <v>46091</v>
      </c>
      <c r="G307" s="424">
        <f>IFERROR(__xludf.DUMMYFUNCTION("""COMPUTED_VALUE"""),46112.0)</f>
        <v>46112</v>
      </c>
      <c r="H307" s="422"/>
      <c r="I307" s="422"/>
      <c r="J307" s="422"/>
      <c r="K307" s="422"/>
      <c r="L307" s="422"/>
      <c r="M307" s="422"/>
      <c r="N307" s="422"/>
      <c r="O307" s="422">
        <f>IFERROR(__xludf.DUMMYFUNCTION("""COMPUTED_VALUE"""),0.0)</f>
        <v>0</v>
      </c>
      <c r="P307" s="422"/>
      <c r="Q307" s="422"/>
      <c r="R307" s="98"/>
      <c r="S307" s="98" t="str">
        <f>IFERROR(__xludf.DUMMYFUNCTION("""COMPUTED_VALUE"""),"myt_aunglwin.phyo")</f>
        <v>myt_aunglwin.phyo</v>
      </c>
      <c r="T307" s="98" t="str">
        <f>IFERROR(__xludf.DUMMYFUNCTION("""COMPUTED_VALUE"""),"TNI0055")</f>
        <v>TNI0055</v>
      </c>
    </row>
    <row r="308">
      <c r="A308" s="422">
        <f>IFERROR(__xludf.DUMMYFUNCTION("""COMPUTED_VALUE"""),306.0)</f>
        <v>306</v>
      </c>
      <c r="B308" s="422" t="str">
        <f>IFERROR(__xludf.DUMMYFUNCTION("""COMPUTED_VALUE"""),"PM")</f>
        <v>PM</v>
      </c>
      <c r="C308" s="422" t="str">
        <f>IFERROR(__xludf.DUMMYFUNCTION("""COMPUTED_VALUE"""),"Team 01")</f>
        <v>Team 01</v>
      </c>
      <c r="D308" s="422" t="str">
        <f>IFERROR(__xludf.DUMMYFUNCTION("""COMPUTED_VALUE"""),"100 point plan")</f>
        <v>100 point plan</v>
      </c>
      <c r="E308" s="422" t="str">
        <f>IFERROR(__xludf.DUMMYFUNCTION("""COMPUTED_VALUE"""),"TNI0078 100 point plan need to clean site overview inside and outeside and make to neatly patchord cable.")</f>
        <v>TNI0078 100 point plan need to clean site overview inside and outeside and make to neatly patchord cable.</v>
      </c>
      <c r="F308" s="424">
        <f>IFERROR(__xludf.DUMMYFUNCTION("""COMPUTED_VALUE"""),46091.0)</f>
        <v>46091</v>
      </c>
      <c r="G308" s="424">
        <f>IFERROR(__xludf.DUMMYFUNCTION("""COMPUTED_VALUE"""),46112.0)</f>
        <v>46112</v>
      </c>
      <c r="H308" s="422"/>
      <c r="I308" s="422"/>
      <c r="J308" s="422"/>
      <c r="K308" s="422"/>
      <c r="L308" s="422"/>
      <c r="M308" s="422"/>
      <c r="N308" s="422"/>
      <c r="O308" s="422">
        <f>IFERROR(__xludf.DUMMYFUNCTION("""COMPUTED_VALUE"""),0.0)</f>
        <v>0</v>
      </c>
      <c r="P308" s="422"/>
      <c r="Q308" s="422"/>
      <c r="R308" s="98"/>
      <c r="S308" s="98" t="str">
        <f>IFERROR(__xludf.DUMMYFUNCTION("""COMPUTED_VALUE"""),"myt_aunglwin.phyo")</f>
        <v>myt_aunglwin.phyo</v>
      </c>
      <c r="T308" s="98" t="str">
        <f>IFERROR(__xludf.DUMMYFUNCTION("""COMPUTED_VALUE"""),"TNI0078")</f>
        <v>TNI0078</v>
      </c>
    </row>
    <row r="309">
      <c r="A309" s="422">
        <f>IFERROR(__xludf.DUMMYFUNCTION("""COMPUTED_VALUE"""),307.0)</f>
        <v>307</v>
      </c>
      <c r="B309" s="422" t="str">
        <f>IFERROR(__xludf.DUMMYFUNCTION("""COMPUTED_VALUE"""),"PM")</f>
        <v>PM</v>
      </c>
      <c r="C309" s="422" t="str">
        <f>IFERROR(__xludf.DUMMYFUNCTION("""COMPUTED_VALUE"""),"Team 01")</f>
        <v>Team 01</v>
      </c>
      <c r="D309" s="422" t="str">
        <f>IFERROR(__xludf.DUMMYFUNCTION("""COMPUTED_VALUE"""),"100 point plan")</f>
        <v>100 point plan</v>
      </c>
      <c r="E309" s="422" t="str">
        <f>IFERROR(__xludf.DUMMYFUNCTION("""COMPUTED_VALUE"""),"TNI0089 100 point plan need to clean site overview inside and outeside and make to neatly patchord cable.")</f>
        <v>TNI0089 100 point plan need to clean site overview inside and outeside and make to neatly patchord cable.</v>
      </c>
      <c r="F309" s="424">
        <f>IFERROR(__xludf.DUMMYFUNCTION("""COMPUTED_VALUE"""),46091.0)</f>
        <v>46091</v>
      </c>
      <c r="G309" s="424">
        <f>IFERROR(__xludf.DUMMYFUNCTION("""COMPUTED_VALUE"""),46112.0)</f>
        <v>46112</v>
      </c>
      <c r="H309" s="422"/>
      <c r="I309" s="422"/>
      <c r="J309" s="422"/>
      <c r="K309" s="422"/>
      <c r="L309" s="422"/>
      <c r="M309" s="422"/>
      <c r="N309" s="422"/>
      <c r="O309" s="422">
        <f>IFERROR(__xludf.DUMMYFUNCTION("""COMPUTED_VALUE"""),0.0)</f>
        <v>0</v>
      </c>
      <c r="P309" s="422"/>
      <c r="Q309" s="422"/>
      <c r="R309" s="98"/>
      <c r="S309" s="98" t="str">
        <f>IFERROR(__xludf.DUMMYFUNCTION("""COMPUTED_VALUE"""),"myt_myothant.htoo")</f>
        <v>myt_myothant.htoo</v>
      </c>
      <c r="T309" s="98" t="str">
        <f>IFERROR(__xludf.DUMMYFUNCTION("""COMPUTED_VALUE"""),"TNI0089")</f>
        <v>TNI0089</v>
      </c>
    </row>
    <row r="310">
      <c r="A310" s="422">
        <f>IFERROR(__xludf.DUMMYFUNCTION("""COMPUTED_VALUE"""),308.0)</f>
        <v>308</v>
      </c>
      <c r="B310" s="422" t="str">
        <f>IFERROR(__xludf.DUMMYFUNCTION("""COMPUTED_VALUE"""),"PM")</f>
        <v>PM</v>
      </c>
      <c r="C310" s="422" t="str">
        <f>IFERROR(__xludf.DUMMYFUNCTION("""COMPUTED_VALUE"""),"Team 01")</f>
        <v>Team 01</v>
      </c>
      <c r="D310" s="422" t="str">
        <f>IFERROR(__xludf.DUMMYFUNCTION("""COMPUTED_VALUE"""),"100 point plan")</f>
        <v>100 point plan</v>
      </c>
      <c r="E310" s="422" t="str">
        <f>IFERROR(__xludf.DUMMYFUNCTION("""COMPUTED_VALUE"""),"TNI0129 100 point plan need to clean site overview inside and outeside and make to neatly patchord cable.")</f>
        <v>TNI0129 100 point plan need to clean site overview inside and outeside and make to neatly patchord cable.</v>
      </c>
      <c r="F310" s="424">
        <f>IFERROR(__xludf.DUMMYFUNCTION("""COMPUTED_VALUE"""),46091.0)</f>
        <v>46091</v>
      </c>
      <c r="G310" s="424">
        <f>IFERROR(__xludf.DUMMYFUNCTION("""COMPUTED_VALUE"""),46112.0)</f>
        <v>46112</v>
      </c>
      <c r="H310" s="422"/>
      <c r="I310" s="422"/>
      <c r="J310" s="422"/>
      <c r="K310" s="422"/>
      <c r="L310" s="422"/>
      <c r="M310" s="422"/>
      <c r="N310" s="422"/>
      <c r="O310" s="422">
        <f>IFERROR(__xludf.DUMMYFUNCTION("""COMPUTED_VALUE"""),0.0)</f>
        <v>0</v>
      </c>
      <c r="P310" s="422"/>
      <c r="Q310" s="422"/>
      <c r="R310" s="98"/>
      <c r="S310" s="98" t="str">
        <f>IFERROR(__xludf.DUMMYFUNCTION("""COMPUTED_VALUE"""),"Thu Rain Niang")</f>
        <v>Thu Rain Niang</v>
      </c>
      <c r="T310" s="98" t="str">
        <f>IFERROR(__xludf.DUMMYFUNCTION("""COMPUTED_VALUE"""),"TNI0129")</f>
        <v>TNI0129</v>
      </c>
    </row>
    <row r="311">
      <c r="A311" s="422">
        <f>IFERROR(__xludf.DUMMYFUNCTION("""COMPUTED_VALUE"""),309.0)</f>
        <v>309</v>
      </c>
      <c r="B311" s="422" t="str">
        <f>IFERROR(__xludf.DUMMYFUNCTION("""COMPUTED_VALUE"""),"PM")</f>
        <v>PM</v>
      </c>
      <c r="C311" s="422" t="str">
        <f>IFERROR(__xludf.DUMMYFUNCTION("""COMPUTED_VALUE"""),"Team 01")</f>
        <v>Team 01</v>
      </c>
      <c r="D311" s="422" t="str">
        <f>IFERROR(__xludf.DUMMYFUNCTION("""COMPUTED_VALUE"""),"100 point plan")</f>
        <v>100 point plan</v>
      </c>
      <c r="E311" s="422" t="str">
        <f>IFERROR(__xludf.DUMMYFUNCTION("""COMPUTED_VALUE"""),"TNI0150 100 point plan need to clean site overview inside and outeside and make to neatly patchord cable.")</f>
        <v>TNI0150 100 point plan need to clean site overview inside and outeside and make to neatly patchord cable.</v>
      </c>
      <c r="F311" s="424">
        <f>IFERROR(__xludf.DUMMYFUNCTION("""COMPUTED_VALUE"""),46091.0)</f>
        <v>46091</v>
      </c>
      <c r="G311" s="424">
        <f>IFERROR(__xludf.DUMMYFUNCTION("""COMPUTED_VALUE"""),46112.0)</f>
        <v>46112</v>
      </c>
      <c r="H311" s="422"/>
      <c r="I311" s="422"/>
      <c r="J311" s="422"/>
      <c r="K311" s="422"/>
      <c r="L311" s="422"/>
      <c r="M311" s="422"/>
      <c r="N311" s="422"/>
      <c r="O311" s="422">
        <f>IFERROR(__xludf.DUMMYFUNCTION("""COMPUTED_VALUE"""),0.0)</f>
        <v>0</v>
      </c>
      <c r="P311" s="422"/>
      <c r="Q311" s="422"/>
      <c r="R311" s="98"/>
      <c r="S311" s="98" t="str">
        <f>IFERROR(__xludf.DUMMYFUNCTION("""COMPUTED_VALUE"""),"Thu Rain Niang")</f>
        <v>Thu Rain Niang</v>
      </c>
      <c r="T311" s="98" t="str">
        <f>IFERROR(__xludf.DUMMYFUNCTION("""COMPUTED_VALUE"""),"TNI0150")</f>
        <v>TNI0150</v>
      </c>
    </row>
    <row r="312">
      <c r="A312" s="422">
        <f>IFERROR(__xludf.DUMMYFUNCTION("""COMPUTED_VALUE"""),310.0)</f>
        <v>310</v>
      </c>
      <c r="B312" s="422" t="str">
        <f>IFERROR(__xludf.DUMMYFUNCTION("""COMPUTED_VALUE"""),"PM")</f>
        <v>PM</v>
      </c>
      <c r="C312" s="422" t="str">
        <f>IFERROR(__xludf.DUMMYFUNCTION("""COMPUTED_VALUE"""),"Team 01")</f>
        <v>Team 01</v>
      </c>
      <c r="D312" s="422" t="str">
        <f>IFERROR(__xludf.DUMMYFUNCTION("""COMPUTED_VALUE"""),"100 point plan")</f>
        <v>100 point plan</v>
      </c>
      <c r="E312" s="422" t="str">
        <f>IFERROR(__xludf.DUMMYFUNCTION("""COMPUTED_VALUE"""),"TNI0153 100 point plan need to clean site overview inside and outeside and make to neatly patchord cable.")</f>
        <v>TNI0153 100 point plan need to clean site overview inside and outeside and make to neatly patchord cable.</v>
      </c>
      <c r="F312" s="424">
        <f>IFERROR(__xludf.DUMMYFUNCTION("""COMPUTED_VALUE"""),46091.0)</f>
        <v>46091</v>
      </c>
      <c r="G312" s="424">
        <f>IFERROR(__xludf.DUMMYFUNCTION("""COMPUTED_VALUE"""),46112.0)</f>
        <v>46112</v>
      </c>
      <c r="H312" s="422"/>
      <c r="I312" s="422"/>
      <c r="J312" s="422"/>
      <c r="K312" s="422"/>
      <c r="L312" s="422"/>
      <c r="M312" s="422"/>
      <c r="N312" s="422"/>
      <c r="O312" s="422">
        <f>IFERROR(__xludf.DUMMYFUNCTION("""COMPUTED_VALUE"""),0.0)</f>
        <v>0</v>
      </c>
      <c r="P312" s="422"/>
      <c r="Q312" s="422"/>
      <c r="R312" s="98"/>
      <c r="S312" s="98" t="str">
        <f>IFERROR(__xludf.DUMMYFUNCTION("""COMPUTED_VALUE"""),"Thu Rain Niang")</f>
        <v>Thu Rain Niang</v>
      </c>
      <c r="T312" s="98" t="str">
        <f>IFERROR(__xludf.DUMMYFUNCTION("""COMPUTED_VALUE"""),"TNI0153")</f>
        <v>TNI0153</v>
      </c>
    </row>
    <row r="313">
      <c r="A313" s="422">
        <f>IFERROR(__xludf.DUMMYFUNCTION("""COMPUTED_VALUE"""),311.0)</f>
        <v>311</v>
      </c>
      <c r="B313" s="422" t="str">
        <f>IFERROR(__xludf.DUMMYFUNCTION("""COMPUTED_VALUE"""),"PM")</f>
        <v>PM</v>
      </c>
      <c r="C313" s="422" t="str">
        <f>IFERROR(__xludf.DUMMYFUNCTION("""COMPUTED_VALUE"""),"Team 01")</f>
        <v>Team 01</v>
      </c>
      <c r="D313" s="422" t="str">
        <f>IFERROR(__xludf.DUMMYFUNCTION("""COMPUTED_VALUE"""),"100 point plan")</f>
        <v>100 point plan</v>
      </c>
      <c r="E313" s="422" t="str">
        <f>IFERROR(__xludf.DUMMYFUNCTION("""COMPUTED_VALUE"""),"TNI0197 100 point plan need to clean site overview inside and outeside and make to neatly patchord cable.")</f>
        <v>TNI0197 100 point plan need to clean site overview inside and outeside and make to neatly patchord cable.</v>
      </c>
      <c r="F313" s="424">
        <f>IFERROR(__xludf.DUMMYFUNCTION("""COMPUTED_VALUE"""),46091.0)</f>
        <v>46091</v>
      </c>
      <c r="G313" s="424">
        <f>IFERROR(__xludf.DUMMYFUNCTION("""COMPUTED_VALUE"""),46112.0)</f>
        <v>46112</v>
      </c>
      <c r="H313" s="422"/>
      <c r="I313" s="422"/>
      <c r="J313" s="422"/>
      <c r="K313" s="422"/>
      <c r="L313" s="422"/>
      <c r="M313" s="422"/>
      <c r="N313" s="422"/>
      <c r="O313" s="422">
        <f>IFERROR(__xludf.DUMMYFUNCTION("""COMPUTED_VALUE"""),0.0)</f>
        <v>0</v>
      </c>
      <c r="P313" s="422"/>
      <c r="Q313" s="422"/>
      <c r="R313" s="98"/>
      <c r="S313" s="98" t="str">
        <f>IFERROR(__xludf.DUMMYFUNCTION("""COMPUTED_VALUE"""),"myt_tharhtoo.aung11")</f>
        <v>myt_tharhtoo.aung11</v>
      </c>
      <c r="T313" s="98" t="str">
        <f>IFERROR(__xludf.DUMMYFUNCTION("""COMPUTED_VALUE"""),"TNI0197")</f>
        <v>TNI0197</v>
      </c>
    </row>
    <row r="314">
      <c r="A314" s="422">
        <f>IFERROR(__xludf.DUMMYFUNCTION("""COMPUTED_VALUE"""),312.0)</f>
        <v>312</v>
      </c>
      <c r="B314" s="422" t="str">
        <f>IFERROR(__xludf.DUMMYFUNCTION("""COMPUTED_VALUE"""),"PM")</f>
        <v>PM</v>
      </c>
      <c r="C314" s="422" t="str">
        <f>IFERROR(__xludf.DUMMYFUNCTION("""COMPUTED_VALUE"""),"Team 01")</f>
        <v>Team 01</v>
      </c>
      <c r="D314" s="422" t="str">
        <f>IFERROR(__xludf.DUMMYFUNCTION("""COMPUTED_VALUE"""),"100 point plan")</f>
        <v>100 point plan</v>
      </c>
      <c r="E314" s="422" t="str">
        <f>IFERROR(__xludf.DUMMYFUNCTION("""COMPUTED_VALUE"""),"TNI0198 100 point plan need to clean site overview inside and outeside and make to neatly patchord cable.")</f>
        <v>TNI0198 100 point plan need to clean site overview inside and outeside and make to neatly patchord cable.</v>
      </c>
      <c r="F314" s="424">
        <f>IFERROR(__xludf.DUMMYFUNCTION("""COMPUTED_VALUE"""),46091.0)</f>
        <v>46091</v>
      </c>
      <c r="G314" s="424">
        <f>IFERROR(__xludf.DUMMYFUNCTION("""COMPUTED_VALUE"""),46112.0)</f>
        <v>46112</v>
      </c>
      <c r="H314" s="422"/>
      <c r="I314" s="422"/>
      <c r="J314" s="422"/>
      <c r="K314" s="422"/>
      <c r="L314" s="422"/>
      <c r="M314" s="422"/>
      <c r="N314" s="422"/>
      <c r="O314" s="422">
        <f>IFERROR(__xludf.DUMMYFUNCTION("""COMPUTED_VALUE"""),0.0)</f>
        <v>0</v>
      </c>
      <c r="P314" s="422"/>
      <c r="Q314" s="422"/>
      <c r="R314" s="98"/>
      <c r="S314" s="98" t="str">
        <f>IFERROR(__xludf.DUMMYFUNCTION("""COMPUTED_VALUE"""),"myt_myothant.htoo")</f>
        <v>myt_myothant.htoo</v>
      </c>
      <c r="T314" s="98" t="str">
        <f>IFERROR(__xludf.DUMMYFUNCTION("""COMPUTED_VALUE"""),"TNI0198")</f>
        <v>TNI0198</v>
      </c>
    </row>
    <row r="315">
      <c r="A315" s="422">
        <f>IFERROR(__xludf.DUMMYFUNCTION("""COMPUTED_VALUE"""),313.0)</f>
        <v>313</v>
      </c>
      <c r="B315" s="422" t="str">
        <f>IFERROR(__xludf.DUMMYFUNCTION("""COMPUTED_VALUE"""),"PM")</f>
        <v>PM</v>
      </c>
      <c r="C315" s="422" t="str">
        <f>IFERROR(__xludf.DUMMYFUNCTION("""COMPUTED_VALUE"""),"Team 01")</f>
        <v>Team 01</v>
      </c>
      <c r="D315" s="422" t="str">
        <f>IFERROR(__xludf.DUMMYFUNCTION("""COMPUTED_VALUE"""),"100 point plan")</f>
        <v>100 point plan</v>
      </c>
      <c r="E315" s="422" t="str">
        <f>IFERROR(__xludf.DUMMYFUNCTION("""COMPUTED_VALUE"""),"TNI0201 100 point plan need to clean site overview inside and outeside and make to neatly patchord cable.")</f>
        <v>TNI0201 100 point plan need to clean site overview inside and outeside and make to neatly patchord cable.</v>
      </c>
      <c r="F315" s="424">
        <f>IFERROR(__xludf.DUMMYFUNCTION("""COMPUTED_VALUE"""),46091.0)</f>
        <v>46091</v>
      </c>
      <c r="G315" s="424">
        <f>IFERROR(__xludf.DUMMYFUNCTION("""COMPUTED_VALUE"""),46112.0)</f>
        <v>46112</v>
      </c>
      <c r="H315" s="422"/>
      <c r="I315" s="422"/>
      <c r="J315" s="422"/>
      <c r="K315" s="422"/>
      <c r="L315" s="422"/>
      <c r="M315" s="422"/>
      <c r="N315" s="422"/>
      <c r="O315" s="422">
        <f>IFERROR(__xludf.DUMMYFUNCTION("""COMPUTED_VALUE"""),0.0)</f>
        <v>0</v>
      </c>
      <c r="P315" s="422"/>
      <c r="Q315" s="422"/>
      <c r="R315" s="98"/>
      <c r="S315" s="98" t="str">
        <f>IFERROR(__xludf.DUMMYFUNCTION("""COMPUTED_VALUE"""),"myt_aunglwin.phyo")</f>
        <v>myt_aunglwin.phyo</v>
      </c>
      <c r="T315" s="98" t="str">
        <f>IFERROR(__xludf.DUMMYFUNCTION("""COMPUTED_VALUE"""),"TNI0201")</f>
        <v>TNI0201</v>
      </c>
    </row>
    <row r="316">
      <c r="A316" s="422">
        <f>IFERROR(__xludf.DUMMYFUNCTION("""COMPUTED_VALUE"""),314.0)</f>
        <v>314</v>
      </c>
      <c r="B316" s="422" t="str">
        <f>IFERROR(__xludf.DUMMYFUNCTION("""COMPUTED_VALUE"""),"PM")</f>
        <v>PM</v>
      </c>
      <c r="C316" s="422" t="str">
        <f>IFERROR(__xludf.DUMMYFUNCTION("""COMPUTED_VALUE"""),"Team 01")</f>
        <v>Team 01</v>
      </c>
      <c r="D316" s="422" t="str">
        <f>IFERROR(__xludf.DUMMYFUNCTION("""COMPUTED_VALUE"""),"100 point plan")</f>
        <v>100 point plan</v>
      </c>
      <c r="E316" s="422" t="str">
        <f>IFERROR(__xludf.DUMMYFUNCTION("""COMPUTED_VALUE"""),"TNI0206 100 point plan need to clean site overview inside and outeside and make to neatly patchord cable.")</f>
        <v>TNI0206 100 point plan need to clean site overview inside and outeside and make to neatly patchord cable.</v>
      </c>
      <c r="F316" s="424">
        <f>IFERROR(__xludf.DUMMYFUNCTION("""COMPUTED_VALUE"""),46091.0)</f>
        <v>46091</v>
      </c>
      <c r="G316" s="424">
        <f>IFERROR(__xludf.DUMMYFUNCTION("""COMPUTED_VALUE"""),46112.0)</f>
        <v>46112</v>
      </c>
      <c r="H316" s="422"/>
      <c r="I316" s="422"/>
      <c r="J316" s="422"/>
      <c r="K316" s="422"/>
      <c r="L316" s="422"/>
      <c r="M316" s="422"/>
      <c r="N316" s="422"/>
      <c r="O316" s="422">
        <f>IFERROR(__xludf.DUMMYFUNCTION("""COMPUTED_VALUE"""),0.0)</f>
        <v>0</v>
      </c>
      <c r="P316" s="422"/>
      <c r="Q316" s="422"/>
      <c r="R316" s="98"/>
      <c r="S316" s="98" t="str">
        <f>IFERROR(__xludf.DUMMYFUNCTION("""COMPUTED_VALUE"""),"Thu Rain Niang")</f>
        <v>Thu Rain Niang</v>
      </c>
      <c r="T316" s="98" t="str">
        <f>IFERROR(__xludf.DUMMYFUNCTION("""COMPUTED_VALUE"""),"TNI0206")</f>
        <v>TNI0206</v>
      </c>
    </row>
    <row r="317">
      <c r="A317" s="422">
        <f>IFERROR(__xludf.DUMMYFUNCTION("""COMPUTED_VALUE"""),315.0)</f>
        <v>315</v>
      </c>
      <c r="B317" s="422" t="str">
        <f>IFERROR(__xludf.DUMMYFUNCTION("""COMPUTED_VALUE"""),"PM")</f>
        <v>PM</v>
      </c>
      <c r="C317" s="422" t="str">
        <f>IFERROR(__xludf.DUMMYFUNCTION("""COMPUTED_VALUE"""),"Team 01")</f>
        <v>Team 01</v>
      </c>
      <c r="D317" s="422" t="str">
        <f>IFERROR(__xludf.DUMMYFUNCTION("""COMPUTED_VALUE"""),"100 point plan")</f>
        <v>100 point plan</v>
      </c>
      <c r="E317" s="422" t="str">
        <f>IFERROR(__xludf.DUMMYFUNCTION("""COMPUTED_VALUE"""),"TNI0208 100 point plan need to clean site overview inside and outeside and make to neatly patchord cable.")</f>
        <v>TNI0208 100 point plan need to clean site overview inside and outeside and make to neatly patchord cable.</v>
      </c>
      <c r="F317" s="424">
        <f>IFERROR(__xludf.DUMMYFUNCTION("""COMPUTED_VALUE"""),46091.0)</f>
        <v>46091</v>
      </c>
      <c r="G317" s="424">
        <f>IFERROR(__xludf.DUMMYFUNCTION("""COMPUTED_VALUE"""),46112.0)</f>
        <v>46112</v>
      </c>
      <c r="H317" s="422"/>
      <c r="I317" s="422"/>
      <c r="J317" s="422"/>
      <c r="K317" s="422"/>
      <c r="L317" s="422"/>
      <c r="M317" s="422"/>
      <c r="N317" s="422"/>
      <c r="O317" s="422">
        <f>IFERROR(__xludf.DUMMYFUNCTION("""COMPUTED_VALUE"""),0.0)</f>
        <v>0</v>
      </c>
      <c r="P317" s="422"/>
      <c r="Q317" s="422"/>
      <c r="R317" s="98"/>
      <c r="S317" s="98" t="str">
        <f>IFERROR(__xludf.DUMMYFUNCTION("""COMPUTED_VALUE"""),"myt_myothant.htoo")</f>
        <v>myt_myothant.htoo</v>
      </c>
      <c r="T317" s="98" t="str">
        <f>IFERROR(__xludf.DUMMYFUNCTION("""COMPUTED_VALUE"""),"TNI0208")</f>
        <v>TNI0208</v>
      </c>
    </row>
    <row r="318">
      <c r="A318" s="422">
        <f>IFERROR(__xludf.DUMMYFUNCTION("""COMPUTED_VALUE"""),316.0)</f>
        <v>316</v>
      </c>
      <c r="B318" s="422" t="str">
        <f>IFERROR(__xludf.DUMMYFUNCTION("""COMPUTED_VALUE"""),"PM")</f>
        <v>PM</v>
      </c>
      <c r="C318" s="422" t="str">
        <f>IFERROR(__xludf.DUMMYFUNCTION("""COMPUTED_VALUE"""),"Team 01")</f>
        <v>Team 01</v>
      </c>
      <c r="D318" s="422" t="str">
        <f>IFERROR(__xludf.DUMMYFUNCTION("""COMPUTED_VALUE"""),"100 point plan")</f>
        <v>100 point plan</v>
      </c>
      <c r="E318" s="422" t="str">
        <f>IFERROR(__xludf.DUMMYFUNCTION("""COMPUTED_VALUE"""),"TNI0213 100 point plan need to clean site overview inside and outeside and make to neatly patchord cable.")</f>
        <v>TNI0213 100 point plan need to clean site overview inside and outeside and make to neatly patchord cable.</v>
      </c>
      <c r="F318" s="424">
        <f>IFERROR(__xludf.DUMMYFUNCTION("""COMPUTED_VALUE"""),46091.0)</f>
        <v>46091</v>
      </c>
      <c r="G318" s="424">
        <f>IFERROR(__xludf.DUMMYFUNCTION("""COMPUTED_VALUE"""),46112.0)</f>
        <v>46112</v>
      </c>
      <c r="H318" s="422"/>
      <c r="I318" s="422"/>
      <c r="J318" s="422"/>
      <c r="K318" s="422"/>
      <c r="L318" s="422"/>
      <c r="M318" s="422"/>
      <c r="N318" s="422"/>
      <c r="O318" s="422">
        <f>IFERROR(__xludf.DUMMYFUNCTION("""COMPUTED_VALUE"""),0.0)</f>
        <v>0</v>
      </c>
      <c r="P318" s="422"/>
      <c r="Q318" s="422"/>
      <c r="R318" s="98"/>
      <c r="S318" s="98" t="str">
        <f>IFERROR(__xludf.DUMMYFUNCTION("""COMPUTED_VALUE"""),"Thu Rain Niang")</f>
        <v>Thu Rain Niang</v>
      </c>
      <c r="T318" s="98" t="str">
        <f>IFERROR(__xludf.DUMMYFUNCTION("""COMPUTED_VALUE"""),"TNI0213")</f>
        <v>TNI0213</v>
      </c>
    </row>
    <row r="319">
      <c r="A319" s="422">
        <f>IFERROR(__xludf.DUMMYFUNCTION("""COMPUTED_VALUE"""),317.0)</f>
        <v>317</v>
      </c>
      <c r="B319" s="422" t="str">
        <f>IFERROR(__xludf.DUMMYFUNCTION("""COMPUTED_VALUE"""),"PM")</f>
        <v>PM</v>
      </c>
      <c r="C319" s="422" t="str">
        <f>IFERROR(__xludf.DUMMYFUNCTION("""COMPUTED_VALUE"""),"Team 01")</f>
        <v>Team 01</v>
      </c>
      <c r="D319" s="422" t="str">
        <f>IFERROR(__xludf.DUMMYFUNCTION("""COMPUTED_VALUE"""),"100 point plan")</f>
        <v>100 point plan</v>
      </c>
      <c r="E319" s="422" t="str">
        <f>IFERROR(__xludf.DUMMYFUNCTION("""COMPUTED_VALUE"""),"TNI0220 100 point plan need to clean site overview inside and outeside and make to neatly patchord cable.")</f>
        <v>TNI0220 100 point plan need to clean site overview inside and outeside and make to neatly patchord cable.</v>
      </c>
      <c r="F319" s="424">
        <f>IFERROR(__xludf.DUMMYFUNCTION("""COMPUTED_VALUE"""),46091.0)</f>
        <v>46091</v>
      </c>
      <c r="G319" s="424">
        <f>IFERROR(__xludf.DUMMYFUNCTION("""COMPUTED_VALUE"""),46112.0)</f>
        <v>46112</v>
      </c>
      <c r="H319" s="422"/>
      <c r="I319" s="422"/>
      <c r="J319" s="422"/>
      <c r="K319" s="422"/>
      <c r="L319" s="422"/>
      <c r="M319" s="422"/>
      <c r="N319" s="422"/>
      <c r="O319" s="422">
        <f>IFERROR(__xludf.DUMMYFUNCTION("""COMPUTED_VALUE"""),0.0)</f>
        <v>0</v>
      </c>
      <c r="P319" s="422"/>
      <c r="Q319" s="422"/>
      <c r="R319" s="98"/>
      <c r="S319" s="98" t="str">
        <f>IFERROR(__xludf.DUMMYFUNCTION("""COMPUTED_VALUE"""),"Thu Rain Niang")</f>
        <v>Thu Rain Niang</v>
      </c>
      <c r="T319" s="98" t="str">
        <f>IFERROR(__xludf.DUMMYFUNCTION("""COMPUTED_VALUE"""),"TNI0220")</f>
        <v>TNI0220</v>
      </c>
    </row>
    <row r="320">
      <c r="A320" s="422">
        <f>IFERROR(__xludf.DUMMYFUNCTION("""COMPUTED_VALUE"""),318.0)</f>
        <v>318</v>
      </c>
      <c r="B320" s="422" t="str">
        <f>IFERROR(__xludf.DUMMYFUNCTION("""COMPUTED_VALUE"""),"PM")</f>
        <v>PM</v>
      </c>
      <c r="C320" s="422" t="str">
        <f>IFERROR(__xludf.DUMMYFUNCTION("""COMPUTED_VALUE"""),"Team 01")</f>
        <v>Team 01</v>
      </c>
      <c r="D320" s="422" t="str">
        <f>IFERROR(__xludf.DUMMYFUNCTION("""COMPUTED_VALUE"""),"100 point plan")</f>
        <v>100 point plan</v>
      </c>
      <c r="E320" s="422" t="str">
        <f>IFERROR(__xludf.DUMMYFUNCTION("""COMPUTED_VALUE"""),"TNI0231 100 point plan need to clean site overview inside and outeside and make to neatly patchord cable.")</f>
        <v>TNI0231 100 point plan need to clean site overview inside and outeside and make to neatly patchord cable.</v>
      </c>
      <c r="F320" s="424">
        <f>IFERROR(__xludf.DUMMYFUNCTION("""COMPUTED_VALUE"""),46091.0)</f>
        <v>46091</v>
      </c>
      <c r="G320" s="424">
        <f>IFERROR(__xludf.DUMMYFUNCTION("""COMPUTED_VALUE"""),46112.0)</f>
        <v>46112</v>
      </c>
      <c r="H320" s="422"/>
      <c r="I320" s="422"/>
      <c r="J320" s="422"/>
      <c r="K320" s="422"/>
      <c r="L320" s="422"/>
      <c r="M320" s="422"/>
      <c r="N320" s="422"/>
      <c r="O320" s="422">
        <f>IFERROR(__xludf.DUMMYFUNCTION("""COMPUTED_VALUE"""),0.0)</f>
        <v>0</v>
      </c>
      <c r="P320" s="422"/>
      <c r="Q320" s="422"/>
      <c r="R320" s="98"/>
      <c r="S320" s="98" t="str">
        <f>IFERROR(__xludf.DUMMYFUNCTION("""COMPUTED_VALUE"""),"myt_aunglwin.phyo")</f>
        <v>myt_aunglwin.phyo</v>
      </c>
      <c r="T320" s="98" t="str">
        <f>IFERROR(__xludf.DUMMYFUNCTION("""COMPUTED_VALUE"""),"TNI0231")</f>
        <v>TNI0231</v>
      </c>
    </row>
    <row r="321">
      <c r="A321" s="422">
        <f>IFERROR(__xludf.DUMMYFUNCTION("""COMPUTED_VALUE"""),319.0)</f>
        <v>319</v>
      </c>
      <c r="B321" s="422" t="str">
        <f>IFERROR(__xludf.DUMMYFUNCTION("""COMPUTED_VALUE"""),"PM")</f>
        <v>PM</v>
      </c>
      <c r="C321" s="422" t="str">
        <f>IFERROR(__xludf.DUMMYFUNCTION("""COMPUTED_VALUE"""),"Team 01")</f>
        <v>Team 01</v>
      </c>
      <c r="D321" s="422" t="str">
        <f>IFERROR(__xludf.DUMMYFUNCTION("""COMPUTED_VALUE"""),"100 point plan")</f>
        <v>100 point plan</v>
      </c>
      <c r="E321" s="422" t="str">
        <f>IFERROR(__xludf.DUMMYFUNCTION("""COMPUTED_VALUE"""),"TNI0284 100 point plan need to clean site overview inside and outeside and make to neatly patchord cable.")</f>
        <v>TNI0284 100 point plan need to clean site overview inside and outeside and make to neatly patchord cable.</v>
      </c>
      <c r="F321" s="424">
        <f>IFERROR(__xludf.DUMMYFUNCTION("""COMPUTED_VALUE"""),46091.0)</f>
        <v>46091</v>
      </c>
      <c r="G321" s="424">
        <f>IFERROR(__xludf.DUMMYFUNCTION("""COMPUTED_VALUE"""),46112.0)</f>
        <v>46112</v>
      </c>
      <c r="H321" s="422"/>
      <c r="I321" s="422"/>
      <c r="J321" s="422"/>
      <c r="K321" s="422"/>
      <c r="L321" s="422"/>
      <c r="M321" s="422"/>
      <c r="N321" s="422"/>
      <c r="O321" s="422">
        <f>IFERROR(__xludf.DUMMYFUNCTION("""COMPUTED_VALUE"""),0.0)</f>
        <v>0</v>
      </c>
      <c r="P321" s="422"/>
      <c r="Q321" s="422"/>
      <c r="R321" s="98"/>
      <c r="S321" s="98" t="str">
        <f>IFERROR(__xludf.DUMMYFUNCTION("""COMPUTED_VALUE"""),"Thu Rain Niang")</f>
        <v>Thu Rain Niang</v>
      </c>
      <c r="T321" s="98" t="str">
        <f>IFERROR(__xludf.DUMMYFUNCTION("""COMPUTED_VALUE"""),"TNI0284")</f>
        <v>TNI0284</v>
      </c>
    </row>
    <row r="322">
      <c r="A322" s="422">
        <f>IFERROR(__xludf.DUMMYFUNCTION("""COMPUTED_VALUE"""),320.0)</f>
        <v>320</v>
      </c>
      <c r="B322" s="422" t="str">
        <f>IFERROR(__xludf.DUMMYFUNCTION("""COMPUTED_VALUE"""),"PM")</f>
        <v>PM</v>
      </c>
      <c r="C322" s="422" t="str">
        <f>IFERROR(__xludf.DUMMYFUNCTION("""COMPUTED_VALUE"""),"Team 01")</f>
        <v>Team 01</v>
      </c>
      <c r="D322" s="422" t="str">
        <f>IFERROR(__xludf.DUMMYFUNCTION("""COMPUTED_VALUE"""),"100 point plan")</f>
        <v>100 point plan</v>
      </c>
      <c r="E322" s="422" t="str">
        <f>IFERROR(__xludf.DUMMYFUNCTION("""COMPUTED_VALUE"""),"TNI0153_01 100 point plan need to clean site overview inside and outeside and make to neatly patchord cable.")</f>
        <v>TNI0153_01 100 point plan need to clean site overview inside and outeside and make to neatly patchord cable.</v>
      </c>
      <c r="F322" s="424">
        <f>IFERROR(__xludf.DUMMYFUNCTION("""COMPUTED_VALUE"""),46091.0)</f>
        <v>46091</v>
      </c>
      <c r="G322" s="424">
        <f>IFERROR(__xludf.DUMMYFUNCTION("""COMPUTED_VALUE"""),46112.0)</f>
        <v>46112</v>
      </c>
      <c r="H322" s="422"/>
      <c r="I322" s="422"/>
      <c r="J322" s="422"/>
      <c r="K322" s="422"/>
      <c r="L322" s="422"/>
      <c r="M322" s="422"/>
      <c r="N322" s="422"/>
      <c r="O322" s="422">
        <f>IFERROR(__xludf.DUMMYFUNCTION("""COMPUTED_VALUE"""),0.0)</f>
        <v>0</v>
      </c>
      <c r="P322" s="422"/>
      <c r="Q322" s="422"/>
      <c r="R322" s="98"/>
      <c r="S322" s="98" t="str">
        <f>IFERROR(__xludf.DUMMYFUNCTION("""COMPUTED_VALUE"""),"Thu Rain Niang")</f>
        <v>Thu Rain Niang</v>
      </c>
      <c r="T322" s="98" t="str">
        <f>IFERROR(__xludf.DUMMYFUNCTION("""COMPUTED_VALUE"""),"TNI0153")</f>
        <v>TNI0153</v>
      </c>
    </row>
    <row r="323">
      <c r="A323" s="422">
        <f>IFERROR(__xludf.DUMMYFUNCTION("""COMPUTED_VALUE"""),321.0)</f>
        <v>321</v>
      </c>
      <c r="B323" s="422" t="str">
        <f>IFERROR(__xludf.DUMMYFUNCTION("""COMPUTED_VALUE"""),"PM")</f>
        <v>PM</v>
      </c>
      <c r="C323" s="422" t="str">
        <f>IFERROR(__xludf.DUMMYFUNCTION("""COMPUTED_VALUE"""),"Team 01")</f>
        <v>Team 01</v>
      </c>
      <c r="D323" s="422" t="str">
        <f>IFERROR(__xludf.DUMMYFUNCTION("""COMPUTED_VALUE"""),"100 point plan")</f>
        <v>100 point plan</v>
      </c>
      <c r="E323" s="422" t="str">
        <f>IFERROR(__xludf.DUMMYFUNCTION("""COMPUTED_VALUE"""),"TNI0213_01 100 point plan need to clean site overview inside and outeside and make to neatly patchord cable.")</f>
        <v>TNI0213_01 100 point plan need to clean site overview inside and outeside and make to neatly patchord cable.</v>
      </c>
      <c r="F323" s="424">
        <f>IFERROR(__xludf.DUMMYFUNCTION("""COMPUTED_VALUE"""),46091.0)</f>
        <v>46091</v>
      </c>
      <c r="G323" s="424">
        <f>IFERROR(__xludf.DUMMYFUNCTION("""COMPUTED_VALUE"""),46112.0)</f>
        <v>46112</v>
      </c>
      <c r="H323" s="422"/>
      <c r="I323" s="422"/>
      <c r="J323" s="422"/>
      <c r="K323" s="422"/>
      <c r="L323" s="422"/>
      <c r="M323" s="422"/>
      <c r="N323" s="422"/>
      <c r="O323" s="422">
        <f>IFERROR(__xludf.DUMMYFUNCTION("""COMPUTED_VALUE"""),0.0)</f>
        <v>0</v>
      </c>
      <c r="P323" s="422"/>
      <c r="Q323" s="422"/>
      <c r="R323" s="98"/>
      <c r="S323" s="98" t="str">
        <f>IFERROR(__xludf.DUMMYFUNCTION("""COMPUTED_VALUE"""),"Thu Rain Niang")</f>
        <v>Thu Rain Niang</v>
      </c>
      <c r="T323" s="98" t="str">
        <f>IFERROR(__xludf.DUMMYFUNCTION("""COMPUTED_VALUE"""),"TNI0213")</f>
        <v>TNI0213</v>
      </c>
    </row>
    <row r="324">
      <c r="A324" s="422">
        <f>IFERROR(__xludf.DUMMYFUNCTION("""COMPUTED_VALUE"""),322.0)</f>
        <v>322</v>
      </c>
      <c r="B324" s="422" t="str">
        <f>IFERROR(__xludf.DUMMYFUNCTION("""COMPUTED_VALUE"""),"PM")</f>
        <v>PM</v>
      </c>
      <c r="C324" s="422" t="str">
        <f>IFERROR(__xludf.DUMMYFUNCTION("""COMPUTED_VALUE"""),"Team 01")</f>
        <v>Team 01</v>
      </c>
      <c r="D324" s="422" t="str">
        <f>IFERROR(__xludf.DUMMYFUNCTION("""COMPUTED_VALUE"""),"100 point plan")</f>
        <v>100 point plan</v>
      </c>
      <c r="E324" s="422" t="str">
        <f>IFERROR(__xludf.DUMMYFUNCTION("""COMPUTED_VALUE"""),"TNI0394 100 point plan need to clean site overview inside and outeside and make to neatly patchord cable.")</f>
        <v>TNI0394 100 point plan need to clean site overview inside and outeside and make to neatly patchord cable.</v>
      </c>
      <c r="F324" s="424">
        <f>IFERROR(__xludf.DUMMYFUNCTION("""COMPUTED_VALUE"""),46091.0)</f>
        <v>46091</v>
      </c>
      <c r="G324" s="424">
        <f>IFERROR(__xludf.DUMMYFUNCTION("""COMPUTED_VALUE"""),46112.0)</f>
        <v>46112</v>
      </c>
      <c r="H324" s="422"/>
      <c r="I324" s="422"/>
      <c r="J324" s="422"/>
      <c r="K324" s="422"/>
      <c r="L324" s="422"/>
      <c r="M324" s="422"/>
      <c r="N324" s="422"/>
      <c r="O324" s="422">
        <f>IFERROR(__xludf.DUMMYFUNCTION("""COMPUTED_VALUE"""),0.0)</f>
        <v>0</v>
      </c>
      <c r="P324" s="422"/>
      <c r="Q324" s="422"/>
      <c r="R324" s="98"/>
      <c r="S324" s="98" t="str">
        <f>IFERROR(__xludf.DUMMYFUNCTION("""COMPUTED_VALUE"""),"myt_tharhtoo.aung11")</f>
        <v>myt_tharhtoo.aung11</v>
      </c>
      <c r="T324" s="98" t="str">
        <f>IFERROR(__xludf.DUMMYFUNCTION("""COMPUTED_VALUE"""),"TNI0394")</f>
        <v>TNI0394</v>
      </c>
    </row>
    <row r="325">
      <c r="A325" s="422">
        <f>IFERROR(__xludf.DUMMYFUNCTION("""COMPUTED_VALUE"""),323.0)</f>
        <v>323</v>
      </c>
      <c r="B325" s="422" t="str">
        <f>IFERROR(__xludf.DUMMYFUNCTION("""COMPUTED_VALUE"""),"PM")</f>
        <v>PM</v>
      </c>
      <c r="C325" s="422" t="str">
        <f>IFERROR(__xludf.DUMMYFUNCTION("""COMPUTED_VALUE"""),"Team 01")</f>
        <v>Team 01</v>
      </c>
      <c r="D325" s="422" t="str">
        <f>IFERROR(__xludf.DUMMYFUNCTION("""COMPUTED_VALUE"""),"100 point plan")</f>
        <v>100 point plan</v>
      </c>
      <c r="E325" s="422" t="str">
        <f>IFERROR(__xludf.DUMMYFUNCTION("""COMPUTED_VALUE"""),"TNI0390 100 point plan need to clean site overview inside and outeside and make to neatly patchord cable.")</f>
        <v>TNI0390 100 point plan need to clean site overview inside and outeside and make to neatly patchord cable.</v>
      </c>
      <c r="F325" s="424">
        <f>IFERROR(__xludf.DUMMYFUNCTION("""COMPUTED_VALUE"""),46091.0)</f>
        <v>46091</v>
      </c>
      <c r="G325" s="424">
        <f>IFERROR(__xludf.DUMMYFUNCTION("""COMPUTED_VALUE"""),46112.0)</f>
        <v>46112</v>
      </c>
      <c r="H325" s="422"/>
      <c r="I325" s="422"/>
      <c r="J325" s="422"/>
      <c r="K325" s="422"/>
      <c r="L325" s="422"/>
      <c r="M325" s="422"/>
      <c r="N325" s="422"/>
      <c r="O325" s="422">
        <f>IFERROR(__xludf.DUMMYFUNCTION("""COMPUTED_VALUE"""),0.0)</f>
        <v>0</v>
      </c>
      <c r="P325" s="422"/>
      <c r="Q325" s="422"/>
      <c r="R325" s="98"/>
      <c r="S325" s="98" t="str">
        <f>IFERROR(__xludf.DUMMYFUNCTION("""COMPUTED_VALUE"""),"Thu Rain Niang")</f>
        <v>Thu Rain Niang</v>
      </c>
      <c r="T325" s="98" t="str">
        <f>IFERROR(__xludf.DUMMYFUNCTION("""COMPUTED_VALUE"""),"TNI0390")</f>
        <v>TNI0390</v>
      </c>
    </row>
    <row r="326">
      <c r="A326" s="422">
        <f>IFERROR(__xludf.DUMMYFUNCTION("""COMPUTED_VALUE"""),324.0)</f>
        <v>324</v>
      </c>
      <c r="B326" s="422" t="str">
        <f>IFERROR(__xludf.DUMMYFUNCTION("""COMPUTED_VALUE"""),"PM")</f>
        <v>PM</v>
      </c>
      <c r="C326" s="422" t="str">
        <f>IFERROR(__xludf.DUMMYFUNCTION("""COMPUTED_VALUE"""),"Team 01")</f>
        <v>Team 01</v>
      </c>
      <c r="D326" s="422" t="str">
        <f>IFERROR(__xludf.DUMMYFUNCTION("""COMPUTED_VALUE"""),"PVC PLAN")</f>
        <v>PVC PLAN</v>
      </c>
      <c r="E326" s="422" t="str">
        <f>IFERROR(__xludf.DUMMYFUNCTION("""COMPUTED_VALUE"""),"TNI0394 need to cover pvc pipe")</f>
        <v>TNI0394 need to cover pvc pipe</v>
      </c>
      <c r="F326" s="424">
        <f>IFERROR(__xludf.DUMMYFUNCTION("""COMPUTED_VALUE"""),46133.0)</f>
        <v>46133</v>
      </c>
      <c r="G326" s="424">
        <f>IFERROR(__xludf.DUMMYFUNCTION("""COMPUTED_VALUE"""),46142.0)</f>
        <v>46142</v>
      </c>
      <c r="H326" s="422"/>
      <c r="I326" s="422"/>
      <c r="J326" s="422"/>
      <c r="K326" s="422"/>
      <c r="L326" s="422"/>
      <c r="M326" s="422"/>
      <c r="N326" s="422"/>
      <c r="O326" s="422">
        <f>IFERROR(__xludf.DUMMYFUNCTION("""COMPUTED_VALUE"""),0.0)</f>
        <v>0</v>
      </c>
      <c r="P326" s="422"/>
      <c r="Q326" s="422"/>
      <c r="R326" s="98"/>
      <c r="S326" s="98" t="str">
        <f>IFERROR(__xludf.DUMMYFUNCTION("""COMPUTED_VALUE"""),"myt_tharhtoo.aung11")</f>
        <v>myt_tharhtoo.aung11</v>
      </c>
      <c r="T326" s="98" t="str">
        <f>IFERROR(__xludf.DUMMYFUNCTION("""COMPUTED_VALUE"""),"TNI0394")</f>
        <v>TNI0394</v>
      </c>
    </row>
    <row r="327">
      <c r="A327" s="422">
        <f>IFERROR(__xludf.DUMMYFUNCTION("""COMPUTED_VALUE"""),325.0)</f>
        <v>325</v>
      </c>
      <c r="B327" s="422" t="str">
        <f>IFERROR(__xludf.DUMMYFUNCTION("""COMPUTED_VALUE"""),"PM")</f>
        <v>PM</v>
      </c>
      <c r="C327" s="422" t="str">
        <f>IFERROR(__xludf.DUMMYFUNCTION("""COMPUTED_VALUE"""),"Team 01")</f>
        <v>Team 01</v>
      </c>
      <c r="D327" s="422" t="str">
        <f>IFERROR(__xludf.DUMMYFUNCTION("""COMPUTED_VALUE"""),"PVC PLAN")</f>
        <v>PVC PLAN</v>
      </c>
      <c r="E327" s="422" t="str">
        <f>IFERROR(__xludf.DUMMYFUNCTION("""COMPUTED_VALUE"""),"TNI0060 need to cover pvc pipe")</f>
        <v>TNI0060 need to cover pvc pipe</v>
      </c>
      <c r="F327" s="424">
        <f>IFERROR(__xludf.DUMMYFUNCTION("""COMPUTED_VALUE"""),46133.0)</f>
        <v>46133</v>
      </c>
      <c r="G327" s="424">
        <f>IFERROR(__xludf.DUMMYFUNCTION("""COMPUTED_VALUE"""),46142.0)</f>
        <v>46142</v>
      </c>
      <c r="H327" s="422"/>
      <c r="I327" s="422"/>
      <c r="J327" s="422"/>
      <c r="K327" s="422"/>
      <c r="L327" s="422"/>
      <c r="M327" s="422"/>
      <c r="N327" s="422"/>
      <c r="O327" s="422">
        <f>IFERROR(__xludf.DUMMYFUNCTION("""COMPUTED_VALUE"""),0.0)</f>
        <v>0</v>
      </c>
      <c r="P327" s="422"/>
      <c r="Q327" s="422"/>
      <c r="R327" s="98"/>
      <c r="S327" s="98" t="str">
        <f>IFERROR(__xludf.DUMMYFUNCTION("""COMPUTED_VALUE"""),"myt_bhonehtet.aung")</f>
        <v>myt_bhonehtet.aung</v>
      </c>
      <c r="T327" s="98" t="str">
        <f>IFERROR(__xludf.DUMMYFUNCTION("""COMPUTED_VALUE"""),"TNI0060")</f>
        <v>TNI0060</v>
      </c>
    </row>
    <row r="328">
      <c r="A328" s="422">
        <f>IFERROR(__xludf.DUMMYFUNCTION("""COMPUTED_VALUE"""),326.0)</f>
        <v>326</v>
      </c>
      <c r="B328" s="422" t="str">
        <f>IFERROR(__xludf.DUMMYFUNCTION("""COMPUTED_VALUE"""),"PM")</f>
        <v>PM</v>
      </c>
      <c r="C328" s="422" t="str">
        <f>IFERROR(__xludf.DUMMYFUNCTION("""COMPUTED_VALUE"""),"Team 01")</f>
        <v>Team 01</v>
      </c>
      <c r="D328" s="422" t="str">
        <f>IFERROR(__xludf.DUMMYFUNCTION("""COMPUTED_VALUE"""),"PVC PLAN")</f>
        <v>PVC PLAN</v>
      </c>
      <c r="E328" s="422" t="str">
        <f>IFERROR(__xludf.DUMMYFUNCTION("""COMPUTED_VALUE"""),"TNI0066 need to cover pvc pipe")</f>
        <v>TNI0066 need to cover pvc pipe</v>
      </c>
      <c r="F328" s="424">
        <f>IFERROR(__xludf.DUMMYFUNCTION("""COMPUTED_VALUE"""),46133.0)</f>
        <v>46133</v>
      </c>
      <c r="G328" s="424">
        <f>IFERROR(__xludf.DUMMYFUNCTION("""COMPUTED_VALUE"""),46142.0)</f>
        <v>46142</v>
      </c>
      <c r="H328" s="422"/>
      <c r="I328" s="422"/>
      <c r="J328" s="422"/>
      <c r="K328" s="422"/>
      <c r="L328" s="422"/>
      <c r="M328" s="422"/>
      <c r="N328" s="422"/>
      <c r="O328" s="422">
        <f>IFERROR(__xludf.DUMMYFUNCTION("""COMPUTED_VALUE"""),0.0)</f>
        <v>0</v>
      </c>
      <c r="P328" s="422"/>
      <c r="Q328" s="422"/>
      <c r="R328" s="98"/>
      <c r="S328" s="98" t="str">
        <f>IFERROR(__xludf.DUMMYFUNCTION("""COMPUTED_VALUE"""),"myt_aunglwin.phyo")</f>
        <v>myt_aunglwin.phyo</v>
      </c>
      <c r="T328" s="98" t="str">
        <f>IFERROR(__xludf.DUMMYFUNCTION("""COMPUTED_VALUE"""),"TNI0066")</f>
        <v>TNI0066</v>
      </c>
    </row>
    <row r="329">
      <c r="A329" s="422">
        <f>IFERROR(__xludf.DUMMYFUNCTION("""COMPUTED_VALUE"""),327.0)</f>
        <v>327</v>
      </c>
      <c r="B329" s="422" t="str">
        <f>IFERROR(__xludf.DUMMYFUNCTION("""COMPUTED_VALUE"""),"PM")</f>
        <v>PM</v>
      </c>
      <c r="C329" s="422" t="str">
        <f>IFERROR(__xludf.DUMMYFUNCTION("""COMPUTED_VALUE"""),"Team 01")</f>
        <v>Team 01</v>
      </c>
      <c r="D329" s="422" t="str">
        <f>IFERROR(__xludf.DUMMYFUNCTION("""COMPUTED_VALUE"""),"PVC PLAN")</f>
        <v>PVC PLAN</v>
      </c>
      <c r="E329" s="422" t="str">
        <f>IFERROR(__xludf.DUMMYFUNCTION("""COMPUTED_VALUE"""),"TNI0250 need to cover pvc pipe")</f>
        <v>TNI0250 need to cover pvc pipe</v>
      </c>
      <c r="F329" s="424">
        <f>IFERROR(__xludf.DUMMYFUNCTION("""COMPUTED_VALUE"""),46133.0)</f>
        <v>46133</v>
      </c>
      <c r="G329" s="424">
        <f>IFERROR(__xludf.DUMMYFUNCTION("""COMPUTED_VALUE"""),46142.0)</f>
        <v>46142</v>
      </c>
      <c r="H329" s="422"/>
      <c r="I329" s="422"/>
      <c r="J329" s="422"/>
      <c r="K329" s="422"/>
      <c r="L329" s="422"/>
      <c r="M329" s="422"/>
      <c r="N329" s="422"/>
      <c r="O329" s="422">
        <f>IFERROR(__xludf.DUMMYFUNCTION("""COMPUTED_VALUE"""),0.0)</f>
        <v>0</v>
      </c>
      <c r="P329" s="422"/>
      <c r="Q329" s="422"/>
      <c r="R329" s="98"/>
      <c r="S329" s="98" t="str">
        <f>IFERROR(__xludf.DUMMYFUNCTION("""COMPUTED_VALUE"""),"myt_aunglwin.phyo")</f>
        <v>myt_aunglwin.phyo</v>
      </c>
      <c r="T329" s="98" t="str">
        <f>IFERROR(__xludf.DUMMYFUNCTION("""COMPUTED_VALUE"""),"TNI0250")</f>
        <v>TNI0250</v>
      </c>
    </row>
    <row r="330">
      <c r="A330" s="422">
        <f>IFERROR(__xludf.DUMMYFUNCTION("""COMPUTED_VALUE"""),328.0)</f>
        <v>328</v>
      </c>
      <c r="B330" s="422" t="str">
        <f>IFERROR(__xludf.DUMMYFUNCTION("""COMPUTED_VALUE"""),"PM")</f>
        <v>PM</v>
      </c>
      <c r="C330" s="422" t="str">
        <f>IFERROR(__xludf.DUMMYFUNCTION("""COMPUTED_VALUE"""),"Team 01")</f>
        <v>Team 01</v>
      </c>
      <c r="D330" s="422" t="str">
        <f>IFERROR(__xludf.DUMMYFUNCTION("""COMPUTED_VALUE"""),"PVC PLAN")</f>
        <v>PVC PLAN</v>
      </c>
      <c r="E330" s="422" t="str">
        <f>IFERROR(__xludf.DUMMYFUNCTION("""COMPUTED_VALUE"""),"TNI0257 need to cover pvc pipe")</f>
        <v>TNI0257 need to cover pvc pipe</v>
      </c>
      <c r="F330" s="424">
        <f>IFERROR(__xludf.DUMMYFUNCTION("""COMPUTED_VALUE"""),46133.0)</f>
        <v>46133</v>
      </c>
      <c r="G330" s="424">
        <f>IFERROR(__xludf.DUMMYFUNCTION("""COMPUTED_VALUE"""),46142.0)</f>
        <v>46142</v>
      </c>
      <c r="H330" s="422"/>
      <c r="I330" s="422"/>
      <c r="J330" s="422"/>
      <c r="K330" s="422"/>
      <c r="L330" s="422"/>
      <c r="M330" s="422"/>
      <c r="N330" s="422"/>
      <c r="O330" s="422">
        <f>IFERROR(__xludf.DUMMYFUNCTION("""COMPUTED_VALUE"""),0.0)</f>
        <v>0</v>
      </c>
      <c r="P330" s="422"/>
      <c r="Q330" s="422"/>
      <c r="R330" s="98"/>
      <c r="S330" s="98" t="str">
        <f>IFERROR(__xludf.DUMMYFUNCTION("""COMPUTED_VALUE"""),"myt_myothant.htoo")</f>
        <v>myt_myothant.htoo</v>
      </c>
      <c r="T330" s="98" t="str">
        <f>IFERROR(__xludf.DUMMYFUNCTION("""COMPUTED_VALUE"""),"TNI0257")</f>
        <v>TNI0257</v>
      </c>
    </row>
    <row r="331">
      <c r="A331" s="422">
        <f>IFERROR(__xludf.DUMMYFUNCTION("""COMPUTED_VALUE"""),329.0)</f>
        <v>329</v>
      </c>
      <c r="B331" s="422" t="str">
        <f>IFERROR(__xludf.DUMMYFUNCTION("""COMPUTED_VALUE"""),"PM")</f>
        <v>PM</v>
      </c>
      <c r="C331" s="422" t="str">
        <f>IFERROR(__xludf.DUMMYFUNCTION("""COMPUTED_VALUE"""),"Team 01")</f>
        <v>Team 01</v>
      </c>
      <c r="D331" s="422" t="str">
        <f>IFERROR(__xludf.DUMMYFUNCTION("""COMPUTED_VALUE"""),"PVC PLAN")</f>
        <v>PVC PLAN</v>
      </c>
      <c r="E331" s="422" t="str">
        <f>IFERROR(__xludf.DUMMYFUNCTION("""COMPUTED_VALUE"""),"TNI0206 need to cover pvc pipe")</f>
        <v>TNI0206 need to cover pvc pipe</v>
      </c>
      <c r="F331" s="424">
        <f>IFERROR(__xludf.DUMMYFUNCTION("""COMPUTED_VALUE"""),46133.0)</f>
        <v>46133</v>
      </c>
      <c r="G331" s="424">
        <f>IFERROR(__xludf.DUMMYFUNCTION("""COMPUTED_VALUE"""),46142.0)</f>
        <v>46142</v>
      </c>
      <c r="H331" s="422"/>
      <c r="I331" s="422"/>
      <c r="J331" s="422"/>
      <c r="K331" s="422"/>
      <c r="L331" s="422"/>
      <c r="M331" s="422"/>
      <c r="N331" s="422"/>
      <c r="O331" s="422">
        <f>IFERROR(__xludf.DUMMYFUNCTION("""COMPUTED_VALUE"""),0.0)</f>
        <v>0</v>
      </c>
      <c r="P331" s="422"/>
      <c r="Q331" s="422"/>
      <c r="R331" s="98"/>
      <c r="S331" s="98" t="str">
        <f>IFERROR(__xludf.DUMMYFUNCTION("""COMPUTED_VALUE"""),"Thu Rain Niang")</f>
        <v>Thu Rain Niang</v>
      </c>
      <c r="T331" s="98" t="str">
        <f>IFERROR(__xludf.DUMMYFUNCTION("""COMPUTED_VALUE"""),"TNI0206")</f>
        <v>TNI0206</v>
      </c>
    </row>
    <row r="332">
      <c r="A332" s="422">
        <f>IFERROR(__xludf.DUMMYFUNCTION("""COMPUTED_VALUE"""),330.0)</f>
        <v>330</v>
      </c>
      <c r="B332" s="422" t="str">
        <f>IFERROR(__xludf.DUMMYFUNCTION("""COMPUTED_VALUE"""),"PM")</f>
        <v>PM</v>
      </c>
      <c r="C332" s="422" t="str">
        <f>IFERROR(__xludf.DUMMYFUNCTION("""COMPUTED_VALUE"""),"Team 01")</f>
        <v>Team 01</v>
      </c>
      <c r="D332" s="422" t="str">
        <f>IFERROR(__xludf.DUMMYFUNCTION("""COMPUTED_VALUE"""),"PVC PLAN")</f>
        <v>PVC PLAN</v>
      </c>
      <c r="E332" s="422" t="str">
        <f>IFERROR(__xludf.DUMMYFUNCTION("""COMPUTED_VALUE"""),"TNI0153 need to cover pvc pipe")</f>
        <v>TNI0153 need to cover pvc pipe</v>
      </c>
      <c r="F332" s="424">
        <f>IFERROR(__xludf.DUMMYFUNCTION("""COMPUTED_VALUE"""),46133.0)</f>
        <v>46133</v>
      </c>
      <c r="G332" s="424">
        <f>IFERROR(__xludf.DUMMYFUNCTION("""COMPUTED_VALUE"""),46142.0)</f>
        <v>46142</v>
      </c>
      <c r="H332" s="422"/>
      <c r="I332" s="422"/>
      <c r="J332" s="422"/>
      <c r="K332" s="422"/>
      <c r="L332" s="422"/>
      <c r="M332" s="422"/>
      <c r="N332" s="422"/>
      <c r="O332" s="422">
        <f>IFERROR(__xludf.DUMMYFUNCTION("""COMPUTED_VALUE"""),0.0)</f>
        <v>0</v>
      </c>
      <c r="P332" s="422"/>
      <c r="Q332" s="422"/>
      <c r="R332" s="98"/>
      <c r="S332" s="98" t="str">
        <f>IFERROR(__xludf.DUMMYFUNCTION("""COMPUTED_VALUE"""),"Thu Rain Niang")</f>
        <v>Thu Rain Niang</v>
      </c>
      <c r="T332" s="98" t="str">
        <f>IFERROR(__xludf.DUMMYFUNCTION("""COMPUTED_VALUE"""),"TNI0153")</f>
        <v>TNI0153</v>
      </c>
    </row>
    <row r="333">
      <c r="A333" s="422">
        <f>IFERROR(__xludf.DUMMYFUNCTION("""COMPUTED_VALUE"""),331.0)</f>
        <v>331</v>
      </c>
      <c r="B333" s="422" t="str">
        <f>IFERROR(__xludf.DUMMYFUNCTION("""COMPUTED_VALUE"""),"PM")</f>
        <v>PM</v>
      </c>
      <c r="C333" s="422" t="str">
        <f>IFERROR(__xludf.DUMMYFUNCTION("""COMPUTED_VALUE"""),"Team 01")</f>
        <v>Team 01</v>
      </c>
      <c r="D333" s="422" t="str">
        <f>IFERROR(__xludf.DUMMYFUNCTION("""COMPUTED_VALUE"""),"PVC PLAN")</f>
        <v>PVC PLAN</v>
      </c>
      <c r="E333" s="422" t="str">
        <f>IFERROR(__xludf.DUMMYFUNCTION("""COMPUTED_VALUE"""),"TNI0201 need to cover pvc pipe")</f>
        <v>TNI0201 need to cover pvc pipe</v>
      </c>
      <c r="F333" s="424">
        <f>IFERROR(__xludf.DUMMYFUNCTION("""COMPUTED_VALUE"""),46133.0)</f>
        <v>46133</v>
      </c>
      <c r="G333" s="424">
        <f>IFERROR(__xludf.DUMMYFUNCTION("""COMPUTED_VALUE"""),46142.0)</f>
        <v>46142</v>
      </c>
      <c r="H333" s="422"/>
      <c r="I333" s="422"/>
      <c r="J333" s="422"/>
      <c r="K333" s="422"/>
      <c r="L333" s="422"/>
      <c r="M333" s="422"/>
      <c r="N333" s="422"/>
      <c r="O333" s="422">
        <f>IFERROR(__xludf.DUMMYFUNCTION("""COMPUTED_VALUE"""),0.0)</f>
        <v>0</v>
      </c>
      <c r="P333" s="422"/>
      <c r="Q333" s="422"/>
      <c r="R333" s="98"/>
      <c r="S333" s="98" t="str">
        <f>IFERROR(__xludf.DUMMYFUNCTION("""COMPUTED_VALUE"""),"myt_aunglwin.phyo")</f>
        <v>myt_aunglwin.phyo</v>
      </c>
      <c r="T333" s="98" t="str">
        <f>IFERROR(__xludf.DUMMYFUNCTION("""COMPUTED_VALUE"""),"TNI0201")</f>
        <v>TNI0201</v>
      </c>
    </row>
    <row r="334">
      <c r="A334" s="422">
        <f>IFERROR(__xludf.DUMMYFUNCTION("""COMPUTED_VALUE"""),332.0)</f>
        <v>332</v>
      </c>
      <c r="B334" s="422" t="str">
        <f>IFERROR(__xludf.DUMMYFUNCTION("""COMPUTED_VALUE"""),"PM")</f>
        <v>PM</v>
      </c>
      <c r="C334" s="422" t="str">
        <f>IFERROR(__xludf.DUMMYFUNCTION("""COMPUTED_VALUE"""),"Team 01")</f>
        <v>Team 01</v>
      </c>
      <c r="D334" s="422" t="str">
        <f>IFERROR(__xludf.DUMMYFUNCTION("""COMPUTED_VALUE"""),"PVC PLAN")</f>
        <v>PVC PLAN</v>
      </c>
      <c r="E334" s="422" t="str">
        <f>IFERROR(__xludf.DUMMYFUNCTION("""COMPUTED_VALUE"""),"TNI0053 need to cover pvc pipe")</f>
        <v>TNI0053 need to cover pvc pipe</v>
      </c>
      <c r="F334" s="424">
        <f>IFERROR(__xludf.DUMMYFUNCTION("""COMPUTED_VALUE"""),46133.0)</f>
        <v>46133</v>
      </c>
      <c r="G334" s="424">
        <f>IFERROR(__xludf.DUMMYFUNCTION("""COMPUTED_VALUE"""),46142.0)</f>
        <v>46142</v>
      </c>
      <c r="H334" s="422"/>
      <c r="I334" s="422"/>
      <c r="J334" s="422"/>
      <c r="K334" s="422"/>
      <c r="L334" s="422"/>
      <c r="M334" s="422"/>
      <c r="N334" s="422"/>
      <c r="O334" s="422">
        <f>IFERROR(__xludf.DUMMYFUNCTION("""COMPUTED_VALUE"""),0.0)</f>
        <v>0</v>
      </c>
      <c r="P334" s="422"/>
      <c r="Q334" s="422"/>
      <c r="R334" s="98"/>
      <c r="S334" s="98" t="str">
        <f>IFERROR(__xludf.DUMMYFUNCTION("""COMPUTED_VALUE"""),"myt_bhonehtet.aung")</f>
        <v>myt_bhonehtet.aung</v>
      </c>
      <c r="T334" s="98" t="str">
        <f>IFERROR(__xludf.DUMMYFUNCTION("""COMPUTED_VALUE"""),"TNI0053")</f>
        <v>TNI0053</v>
      </c>
    </row>
    <row r="335">
      <c r="A335" s="422">
        <f>IFERROR(__xludf.DUMMYFUNCTION("""COMPUTED_VALUE"""),333.0)</f>
        <v>333</v>
      </c>
      <c r="B335" s="422" t="str">
        <f>IFERROR(__xludf.DUMMYFUNCTION("""COMPUTED_VALUE"""),"PM")</f>
        <v>PM</v>
      </c>
      <c r="C335" s="422" t="str">
        <f>IFERROR(__xludf.DUMMYFUNCTION("""COMPUTED_VALUE"""),"Team 01")</f>
        <v>Team 01</v>
      </c>
      <c r="D335" s="422" t="str">
        <f>IFERROR(__xludf.DUMMYFUNCTION("""COMPUTED_VALUE"""),"PVC PLAN")</f>
        <v>PVC PLAN</v>
      </c>
      <c r="E335" s="422" t="str">
        <f>IFERROR(__xludf.DUMMYFUNCTION("""COMPUTED_VALUE"""),"TNI0058 need to cover pvc pipe")</f>
        <v>TNI0058 need to cover pvc pipe</v>
      </c>
      <c r="F335" s="424">
        <f>IFERROR(__xludf.DUMMYFUNCTION("""COMPUTED_VALUE"""),46133.0)</f>
        <v>46133</v>
      </c>
      <c r="G335" s="424">
        <f>IFERROR(__xludf.DUMMYFUNCTION("""COMPUTED_VALUE"""),46142.0)</f>
        <v>46142</v>
      </c>
      <c r="H335" s="422"/>
      <c r="I335" s="422"/>
      <c r="J335" s="422"/>
      <c r="K335" s="422"/>
      <c r="L335" s="422"/>
      <c r="M335" s="422"/>
      <c r="N335" s="422"/>
      <c r="O335" s="422">
        <f>IFERROR(__xludf.DUMMYFUNCTION("""COMPUTED_VALUE"""),0.0)</f>
        <v>0</v>
      </c>
      <c r="P335" s="422"/>
      <c r="Q335" s="422"/>
      <c r="R335" s="98"/>
      <c r="S335" s="98" t="str">
        <f>IFERROR(__xludf.DUMMYFUNCTION("""COMPUTED_VALUE"""),"myt_bhonehtet.aung")</f>
        <v>myt_bhonehtet.aung</v>
      </c>
      <c r="T335" s="98" t="str">
        <f>IFERROR(__xludf.DUMMYFUNCTION("""COMPUTED_VALUE"""),"TNI0058")</f>
        <v>TNI0058</v>
      </c>
    </row>
    <row r="336">
      <c r="A336" s="422">
        <f>IFERROR(__xludf.DUMMYFUNCTION("""COMPUTED_VALUE"""),334.0)</f>
        <v>334</v>
      </c>
      <c r="B336" s="422" t="str">
        <f>IFERROR(__xludf.DUMMYFUNCTION("""COMPUTED_VALUE"""),"PM")</f>
        <v>PM</v>
      </c>
      <c r="C336" s="422" t="str">
        <f>IFERROR(__xludf.DUMMYFUNCTION("""COMPUTED_VALUE"""),"Team 01")</f>
        <v>Team 01</v>
      </c>
      <c r="D336" s="422" t="str">
        <f>IFERROR(__xludf.DUMMYFUNCTION("""COMPUTED_VALUE"""),"PVC PLAN")</f>
        <v>PVC PLAN</v>
      </c>
      <c r="E336" s="422" t="str">
        <f>IFERROR(__xludf.DUMMYFUNCTION("""COMPUTED_VALUE"""),"TNI0272 need to cover pvc pipe")</f>
        <v>TNI0272 need to cover pvc pipe</v>
      </c>
      <c r="F336" s="424">
        <f>IFERROR(__xludf.DUMMYFUNCTION("""COMPUTED_VALUE"""),46133.0)</f>
        <v>46133</v>
      </c>
      <c r="G336" s="424">
        <f>IFERROR(__xludf.DUMMYFUNCTION("""COMPUTED_VALUE"""),46142.0)</f>
        <v>46142</v>
      </c>
      <c r="H336" s="422"/>
      <c r="I336" s="422"/>
      <c r="J336" s="422"/>
      <c r="K336" s="422"/>
      <c r="L336" s="422"/>
      <c r="M336" s="422"/>
      <c r="N336" s="422"/>
      <c r="O336" s="422">
        <f>IFERROR(__xludf.DUMMYFUNCTION("""COMPUTED_VALUE"""),0.0)</f>
        <v>0</v>
      </c>
      <c r="P336" s="422"/>
      <c r="Q336" s="422"/>
      <c r="R336" s="98"/>
      <c r="S336" s="98" t="str">
        <f>IFERROR(__xludf.DUMMYFUNCTION("""COMPUTED_VALUE"""),"myt_aunglwin.phyo")</f>
        <v>myt_aunglwin.phyo</v>
      </c>
      <c r="T336" s="98" t="str">
        <f>IFERROR(__xludf.DUMMYFUNCTION("""COMPUTED_VALUE"""),"TNI0272")</f>
        <v>TNI0272</v>
      </c>
    </row>
    <row r="337">
      <c r="A337" s="422">
        <f>IFERROR(__xludf.DUMMYFUNCTION("""COMPUTED_VALUE"""),335.0)</f>
        <v>335</v>
      </c>
      <c r="B337" s="422" t="str">
        <f>IFERROR(__xludf.DUMMYFUNCTION("""COMPUTED_VALUE"""),"PM")</f>
        <v>PM</v>
      </c>
      <c r="C337" s="422" t="str">
        <f>IFERROR(__xludf.DUMMYFUNCTION("""COMPUTED_VALUE"""),"Team 01")</f>
        <v>Team 01</v>
      </c>
      <c r="D337" s="422" t="str">
        <f>IFERROR(__xludf.DUMMYFUNCTION("""COMPUTED_VALUE"""),"PVC PLAN")</f>
        <v>PVC PLAN</v>
      </c>
      <c r="E337" s="422" t="str">
        <f>IFERROR(__xludf.DUMMYFUNCTION("""COMPUTED_VALUE"""),"TNI0245 need to cover pvc pipe")</f>
        <v>TNI0245 need to cover pvc pipe</v>
      </c>
      <c r="F337" s="424">
        <f>IFERROR(__xludf.DUMMYFUNCTION("""COMPUTED_VALUE"""),46133.0)</f>
        <v>46133</v>
      </c>
      <c r="G337" s="424">
        <f>IFERROR(__xludf.DUMMYFUNCTION("""COMPUTED_VALUE"""),46142.0)</f>
        <v>46142</v>
      </c>
      <c r="H337" s="422"/>
      <c r="I337" s="422"/>
      <c r="J337" s="422"/>
      <c r="K337" s="422"/>
      <c r="L337" s="422"/>
      <c r="M337" s="422"/>
      <c r="N337" s="422"/>
      <c r="O337" s="422">
        <f>IFERROR(__xludf.DUMMYFUNCTION("""COMPUTED_VALUE"""),0.0)</f>
        <v>0</v>
      </c>
      <c r="P337" s="422"/>
      <c r="Q337" s="422"/>
      <c r="R337" s="98"/>
      <c r="S337" s="98" t="str">
        <f>IFERROR(__xludf.DUMMYFUNCTION("""COMPUTED_VALUE"""),"myt_bhonehtet.aung")</f>
        <v>myt_bhonehtet.aung</v>
      </c>
      <c r="T337" s="98" t="str">
        <f>IFERROR(__xludf.DUMMYFUNCTION("""COMPUTED_VALUE"""),"TNI0245")</f>
        <v>TNI0245</v>
      </c>
    </row>
    <row r="338">
      <c r="A338" s="422">
        <f>IFERROR(__xludf.DUMMYFUNCTION("""COMPUTED_VALUE"""),336.0)</f>
        <v>336</v>
      </c>
      <c r="B338" s="422" t="str">
        <f>IFERROR(__xludf.DUMMYFUNCTION("""COMPUTED_VALUE"""),"PM")</f>
        <v>PM</v>
      </c>
      <c r="C338" s="422" t="str">
        <f>IFERROR(__xludf.DUMMYFUNCTION("""COMPUTED_VALUE"""),"Team 01")</f>
        <v>Team 01</v>
      </c>
      <c r="D338" s="422" t="str">
        <f>IFERROR(__xludf.DUMMYFUNCTION("""COMPUTED_VALUE"""),"PVC PLAN")</f>
        <v>PVC PLAN</v>
      </c>
      <c r="E338" s="422" t="str">
        <f>IFERROR(__xludf.DUMMYFUNCTION("""COMPUTED_VALUE"""),"TNI0251 need to cover pvc pipe")</f>
        <v>TNI0251 need to cover pvc pipe</v>
      </c>
      <c r="F338" s="424">
        <f>IFERROR(__xludf.DUMMYFUNCTION("""COMPUTED_VALUE"""),46133.0)</f>
        <v>46133</v>
      </c>
      <c r="G338" s="424">
        <f>IFERROR(__xludf.DUMMYFUNCTION("""COMPUTED_VALUE"""),46142.0)</f>
        <v>46142</v>
      </c>
      <c r="H338" s="422"/>
      <c r="I338" s="422"/>
      <c r="J338" s="422"/>
      <c r="K338" s="422"/>
      <c r="L338" s="422"/>
      <c r="M338" s="422"/>
      <c r="N338" s="422"/>
      <c r="O338" s="422">
        <f>IFERROR(__xludf.DUMMYFUNCTION("""COMPUTED_VALUE"""),0.0)</f>
        <v>0</v>
      </c>
      <c r="P338" s="422"/>
      <c r="Q338" s="422"/>
      <c r="R338" s="98"/>
      <c r="S338" s="98" t="str">
        <f>IFERROR(__xludf.DUMMYFUNCTION("""COMPUTED_VALUE"""),"myt_bhonehtet.aung")</f>
        <v>myt_bhonehtet.aung</v>
      </c>
      <c r="T338" s="98" t="str">
        <f>IFERROR(__xludf.DUMMYFUNCTION("""COMPUTED_VALUE"""),"TNI0251")</f>
        <v>TNI0251</v>
      </c>
    </row>
    <row r="339">
      <c r="A339" s="422">
        <f>IFERROR(__xludf.DUMMYFUNCTION("""COMPUTED_VALUE"""),337.0)</f>
        <v>337</v>
      </c>
      <c r="B339" s="422" t="str">
        <f>IFERROR(__xludf.DUMMYFUNCTION("""COMPUTED_VALUE"""),"PM")</f>
        <v>PM</v>
      </c>
      <c r="C339" s="422" t="str">
        <f>IFERROR(__xludf.DUMMYFUNCTION("""COMPUTED_VALUE"""),"Team 01")</f>
        <v>Team 01</v>
      </c>
      <c r="D339" s="422" t="str">
        <f>IFERROR(__xludf.DUMMYFUNCTION("""COMPUTED_VALUE"""),"PVC PLAN")</f>
        <v>PVC PLAN</v>
      </c>
      <c r="E339" s="422" t="str">
        <f>IFERROR(__xludf.DUMMYFUNCTION("""COMPUTED_VALUE"""),"TNI0068 need to cover pvc pipe")</f>
        <v>TNI0068 need to cover pvc pipe</v>
      </c>
      <c r="F339" s="424">
        <f>IFERROR(__xludf.DUMMYFUNCTION("""COMPUTED_VALUE"""),46133.0)</f>
        <v>46133</v>
      </c>
      <c r="G339" s="424">
        <f>IFERROR(__xludf.DUMMYFUNCTION("""COMPUTED_VALUE"""),46142.0)</f>
        <v>46142</v>
      </c>
      <c r="H339" s="422"/>
      <c r="I339" s="422"/>
      <c r="J339" s="422"/>
      <c r="K339" s="422"/>
      <c r="L339" s="422"/>
      <c r="M339" s="422"/>
      <c r="N339" s="422"/>
      <c r="O339" s="422">
        <f>IFERROR(__xludf.DUMMYFUNCTION("""COMPUTED_VALUE"""),0.0)</f>
        <v>0</v>
      </c>
      <c r="P339" s="422"/>
      <c r="Q339" s="422"/>
      <c r="R339" s="98"/>
      <c r="S339" s="98" t="str">
        <f>IFERROR(__xludf.DUMMYFUNCTION("""COMPUTED_VALUE"""),"myt_bhonehtet.aung")</f>
        <v>myt_bhonehtet.aung</v>
      </c>
      <c r="T339" s="98" t="str">
        <f>IFERROR(__xludf.DUMMYFUNCTION("""COMPUTED_VALUE"""),"TNI0068")</f>
        <v>TNI0068</v>
      </c>
    </row>
    <row r="340">
      <c r="A340" s="422">
        <f>IFERROR(__xludf.DUMMYFUNCTION("""COMPUTED_VALUE"""),338.0)</f>
        <v>338</v>
      </c>
      <c r="B340" s="422" t="str">
        <f>IFERROR(__xludf.DUMMYFUNCTION("""COMPUTED_VALUE"""),"PM")</f>
        <v>PM</v>
      </c>
      <c r="C340" s="422" t="str">
        <f>IFERROR(__xludf.DUMMYFUNCTION("""COMPUTED_VALUE"""),"Team 01")</f>
        <v>Team 01</v>
      </c>
      <c r="D340" s="422" t="str">
        <f>IFERROR(__xludf.DUMMYFUNCTION("""COMPUTED_VALUE"""),"PVC PLAN")</f>
        <v>PVC PLAN</v>
      </c>
      <c r="E340" s="422" t="str">
        <f>IFERROR(__xludf.DUMMYFUNCTION("""COMPUTED_VALUE"""),"TNI0050 need to cover pvc pipe")</f>
        <v>TNI0050 need to cover pvc pipe</v>
      </c>
      <c r="F340" s="424">
        <f>IFERROR(__xludf.DUMMYFUNCTION("""COMPUTED_VALUE"""),46133.0)</f>
        <v>46133</v>
      </c>
      <c r="G340" s="424">
        <f>IFERROR(__xludf.DUMMYFUNCTION("""COMPUTED_VALUE"""),46142.0)</f>
        <v>46142</v>
      </c>
      <c r="H340" s="422"/>
      <c r="I340" s="422"/>
      <c r="J340" s="422"/>
      <c r="K340" s="422"/>
      <c r="L340" s="422"/>
      <c r="M340" s="422"/>
      <c r="N340" s="422"/>
      <c r="O340" s="422">
        <f>IFERROR(__xludf.DUMMYFUNCTION("""COMPUTED_VALUE"""),0.0)</f>
        <v>0</v>
      </c>
      <c r="P340" s="422"/>
      <c r="Q340" s="422"/>
      <c r="R340" s="98"/>
      <c r="S340" s="98" t="str">
        <f>IFERROR(__xludf.DUMMYFUNCTION("""COMPUTED_VALUE"""),"myt_bhonehtet.aung")</f>
        <v>myt_bhonehtet.aung</v>
      </c>
      <c r="T340" s="98" t="str">
        <f>IFERROR(__xludf.DUMMYFUNCTION("""COMPUTED_VALUE"""),"TNI0050")</f>
        <v>TNI0050</v>
      </c>
    </row>
    <row r="341">
      <c r="A341" s="422">
        <f>IFERROR(__xludf.DUMMYFUNCTION("""COMPUTED_VALUE"""),339.0)</f>
        <v>339</v>
      </c>
      <c r="B341" s="422" t="str">
        <f>IFERROR(__xludf.DUMMYFUNCTION("""COMPUTED_VALUE"""),"PM")</f>
        <v>PM</v>
      </c>
      <c r="C341" s="422" t="str">
        <f>IFERROR(__xludf.DUMMYFUNCTION("""COMPUTED_VALUE"""),"Team 01")</f>
        <v>Team 01</v>
      </c>
      <c r="D341" s="422" t="str">
        <f>IFERROR(__xludf.DUMMYFUNCTION("""COMPUTED_VALUE"""),"PVC PLAN")</f>
        <v>PVC PLAN</v>
      </c>
      <c r="E341" s="422" t="str">
        <f>IFERROR(__xludf.DUMMYFUNCTION("""COMPUTED_VALUE"""),"TNI0207 need to cover pvc pipe")</f>
        <v>TNI0207 need to cover pvc pipe</v>
      </c>
      <c r="F341" s="424">
        <f>IFERROR(__xludf.DUMMYFUNCTION("""COMPUTED_VALUE"""),46133.0)</f>
        <v>46133</v>
      </c>
      <c r="G341" s="424">
        <f>IFERROR(__xludf.DUMMYFUNCTION("""COMPUTED_VALUE"""),46142.0)</f>
        <v>46142</v>
      </c>
      <c r="H341" s="422"/>
      <c r="I341" s="422"/>
      <c r="J341" s="422"/>
      <c r="K341" s="422"/>
      <c r="L341" s="422"/>
      <c r="M341" s="422"/>
      <c r="N341" s="422"/>
      <c r="O341" s="422">
        <f>IFERROR(__xludf.DUMMYFUNCTION("""COMPUTED_VALUE"""),0.0)</f>
        <v>0</v>
      </c>
      <c r="P341" s="422"/>
      <c r="Q341" s="422"/>
      <c r="R341" s="98"/>
      <c r="S341" s="98" t="str">
        <f>IFERROR(__xludf.DUMMYFUNCTION("""COMPUTED_VALUE"""),"myt_bhonehtet.aung")</f>
        <v>myt_bhonehtet.aung</v>
      </c>
      <c r="T341" s="98" t="str">
        <f>IFERROR(__xludf.DUMMYFUNCTION("""COMPUTED_VALUE"""),"TNI0207")</f>
        <v>TNI0207</v>
      </c>
    </row>
    <row r="342">
      <c r="A342" s="422">
        <f>IFERROR(__xludf.DUMMYFUNCTION("""COMPUTED_VALUE"""),340.0)</f>
        <v>340</v>
      </c>
      <c r="B342" s="422" t="str">
        <f>IFERROR(__xludf.DUMMYFUNCTION("""COMPUTED_VALUE"""),"PM")</f>
        <v>PM</v>
      </c>
      <c r="C342" s="422" t="str">
        <f>IFERROR(__xludf.DUMMYFUNCTION("""COMPUTED_VALUE"""),"Team 01")</f>
        <v>Team 01</v>
      </c>
      <c r="D342" s="422" t="str">
        <f>IFERROR(__xludf.DUMMYFUNCTION("""COMPUTED_VALUE"""),"PVC PLAN")</f>
        <v>PVC PLAN</v>
      </c>
      <c r="E342" s="422" t="str">
        <f>IFERROR(__xludf.DUMMYFUNCTION("""COMPUTED_VALUE"""),"TNI0264 need to cover pvc pipe")</f>
        <v>TNI0264 need to cover pvc pipe</v>
      </c>
      <c r="F342" s="424">
        <f>IFERROR(__xludf.DUMMYFUNCTION("""COMPUTED_VALUE"""),46133.0)</f>
        <v>46133</v>
      </c>
      <c r="G342" s="424">
        <f>IFERROR(__xludf.DUMMYFUNCTION("""COMPUTED_VALUE"""),46142.0)</f>
        <v>46142</v>
      </c>
      <c r="H342" s="422"/>
      <c r="I342" s="422"/>
      <c r="J342" s="422"/>
      <c r="K342" s="422"/>
      <c r="L342" s="422"/>
      <c r="M342" s="422"/>
      <c r="N342" s="422"/>
      <c r="O342" s="422">
        <f>IFERROR(__xludf.DUMMYFUNCTION("""COMPUTED_VALUE"""),0.0)</f>
        <v>0</v>
      </c>
      <c r="P342" s="422"/>
      <c r="Q342" s="422"/>
      <c r="R342" s="98"/>
      <c r="S342" s="98" t="str">
        <f>IFERROR(__xludf.DUMMYFUNCTION("""COMPUTED_VALUE"""),"myt_aunglwin.phyo")</f>
        <v>myt_aunglwin.phyo</v>
      </c>
      <c r="T342" s="98" t="str">
        <f>IFERROR(__xludf.DUMMYFUNCTION("""COMPUTED_VALUE"""),"TNI0264")</f>
        <v>TNI0264</v>
      </c>
    </row>
    <row r="343">
      <c r="A343" s="422">
        <f>IFERROR(__xludf.DUMMYFUNCTION("""COMPUTED_VALUE"""),341.0)</f>
        <v>341</v>
      </c>
      <c r="B343" s="422" t="str">
        <f>IFERROR(__xludf.DUMMYFUNCTION("""COMPUTED_VALUE"""),"PM")</f>
        <v>PM</v>
      </c>
      <c r="C343" s="422" t="str">
        <f>IFERROR(__xludf.DUMMYFUNCTION("""COMPUTED_VALUE"""),"Team 01")</f>
        <v>Team 01</v>
      </c>
      <c r="D343" s="422" t="str">
        <f>IFERROR(__xludf.DUMMYFUNCTION("""COMPUTED_VALUE"""),"PVC PLAN")</f>
        <v>PVC PLAN</v>
      </c>
      <c r="E343" s="422" t="str">
        <f>IFERROR(__xludf.DUMMYFUNCTION("""COMPUTED_VALUE"""),"TNI0067 need to cover pvc pipe")</f>
        <v>TNI0067 need to cover pvc pipe</v>
      </c>
      <c r="F343" s="424">
        <f>IFERROR(__xludf.DUMMYFUNCTION("""COMPUTED_VALUE"""),46133.0)</f>
        <v>46133</v>
      </c>
      <c r="G343" s="424">
        <f>IFERROR(__xludf.DUMMYFUNCTION("""COMPUTED_VALUE"""),46142.0)</f>
        <v>46142</v>
      </c>
      <c r="H343" s="422"/>
      <c r="I343" s="422"/>
      <c r="J343" s="422"/>
      <c r="K343" s="422"/>
      <c r="L343" s="422"/>
      <c r="M343" s="422"/>
      <c r="N343" s="422"/>
      <c r="O343" s="422">
        <f>IFERROR(__xludf.DUMMYFUNCTION("""COMPUTED_VALUE"""),0.0)</f>
        <v>0</v>
      </c>
      <c r="P343" s="422"/>
      <c r="Q343" s="422"/>
      <c r="R343" s="98"/>
      <c r="S343" s="98" t="str">
        <f>IFERROR(__xludf.DUMMYFUNCTION("""COMPUTED_VALUE"""),"myt_bhonehtet.aung")</f>
        <v>myt_bhonehtet.aung</v>
      </c>
      <c r="T343" s="98" t="str">
        <f>IFERROR(__xludf.DUMMYFUNCTION("""COMPUTED_VALUE"""),"TNI0067")</f>
        <v>TNI0067</v>
      </c>
    </row>
    <row r="344">
      <c r="A344" s="422">
        <f>IFERROR(__xludf.DUMMYFUNCTION("""COMPUTED_VALUE"""),342.0)</f>
        <v>342</v>
      </c>
      <c r="B344" s="422" t="str">
        <f>IFERROR(__xludf.DUMMYFUNCTION("""COMPUTED_VALUE"""),"PM")</f>
        <v>PM</v>
      </c>
      <c r="C344" s="422" t="str">
        <f>IFERROR(__xludf.DUMMYFUNCTION("""COMPUTED_VALUE"""),"Team 01")</f>
        <v>Team 01</v>
      </c>
      <c r="D344" s="422" t="str">
        <f>IFERROR(__xludf.DUMMYFUNCTION("""COMPUTED_VALUE"""),"PVC PLAN")</f>
        <v>PVC PLAN</v>
      </c>
      <c r="E344" s="422" t="str">
        <f>IFERROR(__xludf.DUMMYFUNCTION("""COMPUTED_VALUE"""),"TNI0247 need to cover pvc pipe")</f>
        <v>TNI0247 need to cover pvc pipe</v>
      </c>
      <c r="F344" s="424">
        <f>IFERROR(__xludf.DUMMYFUNCTION("""COMPUTED_VALUE"""),46133.0)</f>
        <v>46133</v>
      </c>
      <c r="G344" s="424">
        <f>IFERROR(__xludf.DUMMYFUNCTION("""COMPUTED_VALUE"""),46142.0)</f>
        <v>46142</v>
      </c>
      <c r="H344" s="422"/>
      <c r="I344" s="422"/>
      <c r="J344" s="422"/>
      <c r="K344" s="422"/>
      <c r="L344" s="422"/>
      <c r="M344" s="422"/>
      <c r="N344" s="422"/>
      <c r="O344" s="422">
        <f>IFERROR(__xludf.DUMMYFUNCTION("""COMPUTED_VALUE"""),0.0)</f>
        <v>0</v>
      </c>
      <c r="P344" s="422"/>
      <c r="Q344" s="422"/>
      <c r="R344" s="98"/>
      <c r="S344" s="98" t="str">
        <f>IFERROR(__xludf.DUMMYFUNCTION("""COMPUTED_VALUE"""),"myt_myothant.htoo")</f>
        <v>myt_myothant.htoo</v>
      </c>
      <c r="T344" s="98" t="str">
        <f>IFERROR(__xludf.DUMMYFUNCTION("""COMPUTED_VALUE"""),"TNI0247")</f>
        <v>TNI0247</v>
      </c>
    </row>
    <row r="345">
      <c r="A345" s="422">
        <f>IFERROR(__xludf.DUMMYFUNCTION("""COMPUTED_VALUE"""),343.0)</f>
        <v>343</v>
      </c>
      <c r="B345" s="422" t="str">
        <f>IFERROR(__xludf.DUMMYFUNCTION("""COMPUTED_VALUE"""),"PM")</f>
        <v>PM</v>
      </c>
      <c r="C345" s="422" t="str">
        <f>IFERROR(__xludf.DUMMYFUNCTION("""COMPUTED_VALUE"""),"Team 02")</f>
        <v>Team 02</v>
      </c>
      <c r="D345" s="422" t="str">
        <f>IFERROR(__xludf.DUMMYFUNCTION("""COMPUTED_VALUE"""),"100 point plan")</f>
        <v>100 point plan</v>
      </c>
      <c r="E345" s="422" t="str">
        <f>IFERROR(__xludf.DUMMYFUNCTION("""COMPUTED_VALUE""")," TNI0026
100 point plan need to clean site overview inside and outeside and make to neatly patchord cable.")</f>
        <v> TNI0026
100 point plan need to clean site overview inside and outeside and make to neatly patchord cable.</v>
      </c>
      <c r="F345" s="424">
        <f>IFERROR(__xludf.DUMMYFUNCTION("""COMPUTED_VALUE"""),46091.0)</f>
        <v>46091</v>
      </c>
      <c r="G345" s="424">
        <f>IFERROR(__xludf.DUMMYFUNCTION("""COMPUTED_VALUE"""),46112.0)</f>
        <v>46112</v>
      </c>
      <c r="H345" s="422"/>
      <c r="I345" s="422"/>
      <c r="J345" s="422"/>
      <c r="K345" s="422"/>
      <c r="L345" s="422"/>
      <c r="M345" s="422"/>
      <c r="N345" s="422"/>
      <c r="O345" s="422">
        <f>IFERROR(__xludf.DUMMYFUNCTION("""COMPUTED_VALUE"""),0.0)</f>
        <v>0</v>
      </c>
      <c r="P345" s="422"/>
      <c r="Q345" s="422"/>
      <c r="R345" s="98"/>
      <c r="S345" s="98" t="str">
        <f>IFERROR(__xludf.DUMMYFUNCTION("""COMPUTED_VALUE"""),"myt_maung.maung11")</f>
        <v>myt_maung.maung11</v>
      </c>
      <c r="T345" s="98" t="str">
        <f>IFERROR(__xludf.DUMMYFUNCTION("""COMPUTED_VALUE"""),"TNI0026")</f>
        <v>TNI0026</v>
      </c>
    </row>
    <row r="346">
      <c r="A346" s="422">
        <f>IFERROR(__xludf.DUMMYFUNCTION("""COMPUTED_VALUE"""),344.0)</f>
        <v>344</v>
      </c>
      <c r="B346" s="422" t="str">
        <f>IFERROR(__xludf.DUMMYFUNCTION("""COMPUTED_VALUE"""),"PM")</f>
        <v>PM</v>
      </c>
      <c r="C346" s="422" t="str">
        <f>IFERROR(__xludf.DUMMYFUNCTION("""COMPUTED_VALUE"""),"Team 02")</f>
        <v>Team 02</v>
      </c>
      <c r="D346" s="422" t="str">
        <f>IFERROR(__xludf.DUMMYFUNCTION("""COMPUTED_VALUE"""),"100 point plan")</f>
        <v>100 point plan</v>
      </c>
      <c r="E346" s="422" t="str">
        <f>IFERROR(__xludf.DUMMYFUNCTION("""COMPUTED_VALUE"""),"TNI0075 100 point plan need to clean site overview inside and outeside and make to neatly patchord cable.")</f>
        <v>TNI0075 100 point plan need to clean site overview inside and outeside and make to neatly patchord cable.</v>
      </c>
      <c r="F346" s="424">
        <f>IFERROR(__xludf.DUMMYFUNCTION("""COMPUTED_VALUE"""),46091.0)</f>
        <v>46091</v>
      </c>
      <c r="G346" s="424">
        <f>IFERROR(__xludf.DUMMYFUNCTION("""COMPUTED_VALUE"""),46112.0)</f>
        <v>46112</v>
      </c>
      <c r="H346" s="422"/>
      <c r="I346" s="422"/>
      <c r="J346" s="422"/>
      <c r="K346" s="422"/>
      <c r="L346" s="422"/>
      <c r="M346" s="422"/>
      <c r="N346" s="422"/>
      <c r="O346" s="422">
        <f>IFERROR(__xludf.DUMMYFUNCTION("""COMPUTED_VALUE"""),0.0)</f>
        <v>0</v>
      </c>
      <c r="P346" s="422"/>
      <c r="Q346" s="422"/>
      <c r="R346" s="98"/>
      <c r="S346" s="98" t="str">
        <f>IFERROR(__xludf.DUMMYFUNCTION("""COMPUTED_VALUE"""),"myt_minpaing.oo")</f>
        <v>myt_minpaing.oo</v>
      </c>
      <c r="T346" s="98" t="str">
        <f>IFERROR(__xludf.DUMMYFUNCTION("""COMPUTED_VALUE"""),"TNI0075")</f>
        <v>TNI0075</v>
      </c>
    </row>
    <row r="347">
      <c r="A347" s="422">
        <f>IFERROR(__xludf.DUMMYFUNCTION("""COMPUTED_VALUE"""),345.0)</f>
        <v>345</v>
      </c>
      <c r="B347" s="422" t="str">
        <f>IFERROR(__xludf.DUMMYFUNCTION("""COMPUTED_VALUE"""),"PM")</f>
        <v>PM</v>
      </c>
      <c r="C347" s="422" t="str">
        <f>IFERROR(__xludf.DUMMYFUNCTION("""COMPUTED_VALUE"""),"Team 02")</f>
        <v>Team 02</v>
      </c>
      <c r="D347" s="422" t="str">
        <f>IFERROR(__xludf.DUMMYFUNCTION("""COMPUTED_VALUE"""),"100 point plan")</f>
        <v>100 point plan</v>
      </c>
      <c r="E347" s="422" t="str">
        <f>IFERROR(__xludf.DUMMYFUNCTION("""COMPUTED_VALUE"""),"TNI0137 100 point plan need to clean site overview inside and outeside and make to neatly patchord cable.")</f>
        <v>TNI0137 100 point plan need to clean site overview inside and outeside and make to neatly patchord cable.</v>
      </c>
      <c r="F347" s="424">
        <f>IFERROR(__xludf.DUMMYFUNCTION("""COMPUTED_VALUE"""),46091.0)</f>
        <v>46091</v>
      </c>
      <c r="G347" s="424">
        <f>IFERROR(__xludf.DUMMYFUNCTION("""COMPUTED_VALUE"""),46112.0)</f>
        <v>46112</v>
      </c>
      <c r="H347" s="422" t="str">
        <f>IFERROR(__xludf.DUMMYFUNCTION("""COMPUTED_VALUE"""),"VCM289631-Maung Maung")</f>
        <v>VCM289631-Maung Maung</v>
      </c>
      <c r="I347" s="425">
        <f>IFERROR(__xludf.DUMMYFUNCTION("""COMPUTED_VALUE"""),46091.0)</f>
        <v>46091</v>
      </c>
      <c r="J347" s="424">
        <f>IFERROR(__xludf.DUMMYFUNCTION("""COMPUTED_VALUE"""),46112.0)</f>
        <v>46112</v>
      </c>
      <c r="K347" s="422"/>
      <c r="L347" s="422"/>
      <c r="M347" s="422"/>
      <c r="N347" s="422"/>
      <c r="O347" s="422">
        <f>IFERROR(__xludf.DUMMYFUNCTION("""COMPUTED_VALUE"""),0.0)</f>
        <v>0</v>
      </c>
      <c r="P347" s="422"/>
      <c r="Q347" s="422"/>
      <c r="R347" s="98"/>
      <c r="S347" s="98" t="str">
        <f>IFERROR(__xludf.DUMMYFUNCTION("""COMPUTED_VALUE"""),"myt_maung.maung11")</f>
        <v>myt_maung.maung11</v>
      </c>
      <c r="T347" s="98" t="str">
        <f>IFERROR(__xludf.DUMMYFUNCTION("""COMPUTED_VALUE"""),"TNI0137")</f>
        <v>TNI0137</v>
      </c>
    </row>
    <row r="348">
      <c r="A348" s="422">
        <f>IFERROR(__xludf.DUMMYFUNCTION("""COMPUTED_VALUE"""),346.0)</f>
        <v>346</v>
      </c>
      <c r="B348" s="422" t="str">
        <f>IFERROR(__xludf.DUMMYFUNCTION("""COMPUTED_VALUE"""),"PM")</f>
        <v>PM</v>
      </c>
      <c r="C348" s="422" t="str">
        <f>IFERROR(__xludf.DUMMYFUNCTION("""COMPUTED_VALUE"""),"Team 02")</f>
        <v>Team 02</v>
      </c>
      <c r="D348" s="422" t="str">
        <f>IFERROR(__xludf.DUMMYFUNCTION("""COMPUTED_VALUE"""),"100 point plan")</f>
        <v>100 point plan</v>
      </c>
      <c r="E348" s="422" t="str">
        <f>IFERROR(__xludf.DUMMYFUNCTION("""COMPUTED_VALUE"""),"TNI0159 100 point plan need to clean site overview inside and outeside and make to neatly patchord cable.")</f>
        <v>TNI0159 100 point plan need to clean site overview inside and outeside and make to neatly patchord cable.</v>
      </c>
      <c r="F348" s="424">
        <f>IFERROR(__xludf.DUMMYFUNCTION("""COMPUTED_VALUE"""),46091.0)</f>
        <v>46091</v>
      </c>
      <c r="G348" s="424">
        <f>IFERROR(__xludf.DUMMYFUNCTION("""COMPUTED_VALUE"""),46112.0)</f>
        <v>46112</v>
      </c>
      <c r="H348" s="422"/>
      <c r="I348" s="422"/>
      <c r="J348" s="422"/>
      <c r="K348" s="422"/>
      <c r="L348" s="422"/>
      <c r="M348" s="422"/>
      <c r="N348" s="422"/>
      <c r="O348" s="422">
        <f>IFERROR(__xludf.DUMMYFUNCTION("""COMPUTED_VALUE"""),0.0)</f>
        <v>0</v>
      </c>
      <c r="P348" s="422"/>
      <c r="Q348" s="422"/>
      <c r="R348" s="98"/>
      <c r="S348" s="98" t="str">
        <f>IFERROR(__xludf.DUMMYFUNCTION("""COMPUTED_VALUE"""),"myt_minpaing.oo")</f>
        <v>myt_minpaing.oo</v>
      </c>
      <c r="T348" s="98" t="str">
        <f>IFERROR(__xludf.DUMMYFUNCTION("""COMPUTED_VALUE"""),"TNI0159")</f>
        <v>TNI0159</v>
      </c>
    </row>
    <row r="349">
      <c r="A349" s="422">
        <f>IFERROR(__xludf.DUMMYFUNCTION("""COMPUTED_VALUE"""),347.0)</f>
        <v>347</v>
      </c>
      <c r="B349" s="422" t="str">
        <f>IFERROR(__xludf.DUMMYFUNCTION("""COMPUTED_VALUE"""),"PM")</f>
        <v>PM</v>
      </c>
      <c r="C349" s="422" t="str">
        <f>IFERROR(__xludf.DUMMYFUNCTION("""COMPUTED_VALUE"""),"Team 02")</f>
        <v>Team 02</v>
      </c>
      <c r="D349" s="422" t="str">
        <f>IFERROR(__xludf.DUMMYFUNCTION("""COMPUTED_VALUE"""),"100 point plan")</f>
        <v>100 point plan</v>
      </c>
      <c r="E349" s="422" t="str">
        <f>IFERROR(__xludf.DUMMYFUNCTION("""COMPUTED_VALUE"""),"TNI0161 100 point plan need to clean site overview inside and outeside and make to neatly patchord cable.")</f>
        <v>TNI0161 100 point plan need to clean site overview inside and outeside and make to neatly patchord cable.</v>
      </c>
      <c r="F349" s="424">
        <f>IFERROR(__xludf.DUMMYFUNCTION("""COMPUTED_VALUE"""),46091.0)</f>
        <v>46091</v>
      </c>
      <c r="G349" s="424">
        <f>IFERROR(__xludf.DUMMYFUNCTION("""COMPUTED_VALUE"""),46112.0)</f>
        <v>46112</v>
      </c>
      <c r="H349" s="422"/>
      <c r="I349" s="422"/>
      <c r="J349" s="422"/>
      <c r="K349" s="422"/>
      <c r="L349" s="422"/>
      <c r="M349" s="422"/>
      <c r="N349" s="422"/>
      <c r="O349" s="422">
        <f>IFERROR(__xludf.DUMMYFUNCTION("""COMPUTED_VALUE"""),0.0)</f>
        <v>0</v>
      </c>
      <c r="P349" s="422"/>
      <c r="Q349" s="422"/>
      <c r="R349" s="98"/>
      <c r="S349" s="98" t="str">
        <f>IFERROR(__xludf.DUMMYFUNCTION("""COMPUTED_VALUE"""),"myt_wanna.oo2")</f>
        <v>myt_wanna.oo2</v>
      </c>
      <c r="T349" s="98" t="str">
        <f>IFERROR(__xludf.DUMMYFUNCTION("""COMPUTED_VALUE"""),"TNI0161")</f>
        <v>TNI0161</v>
      </c>
    </row>
    <row r="350">
      <c r="A350" s="422">
        <f>IFERROR(__xludf.DUMMYFUNCTION("""COMPUTED_VALUE"""),348.0)</f>
        <v>348</v>
      </c>
      <c r="B350" s="422" t="str">
        <f>IFERROR(__xludf.DUMMYFUNCTION("""COMPUTED_VALUE"""),"PM")</f>
        <v>PM</v>
      </c>
      <c r="C350" s="422" t="str">
        <f>IFERROR(__xludf.DUMMYFUNCTION("""COMPUTED_VALUE"""),"Team 02")</f>
        <v>Team 02</v>
      </c>
      <c r="D350" s="422" t="str">
        <f>IFERROR(__xludf.DUMMYFUNCTION("""COMPUTED_VALUE"""),"100 point plan")</f>
        <v>100 point plan</v>
      </c>
      <c r="E350" s="422" t="str">
        <f>IFERROR(__xludf.DUMMYFUNCTION("""COMPUTED_VALUE"""),"TNI0166 100 point plan need to clean site overview inside and outeside and make to neatly patchord cable.")</f>
        <v>TNI0166 100 point plan need to clean site overview inside and outeside and make to neatly patchord cable.</v>
      </c>
      <c r="F350" s="424">
        <f>IFERROR(__xludf.DUMMYFUNCTION("""COMPUTED_VALUE"""),46091.0)</f>
        <v>46091</v>
      </c>
      <c r="G350" s="424">
        <f>IFERROR(__xludf.DUMMYFUNCTION("""COMPUTED_VALUE"""),46112.0)</f>
        <v>46112</v>
      </c>
      <c r="H350" s="422"/>
      <c r="I350" s="422"/>
      <c r="J350" s="422"/>
      <c r="K350" s="422"/>
      <c r="L350" s="422"/>
      <c r="M350" s="422"/>
      <c r="N350" s="422"/>
      <c r="O350" s="422">
        <f>IFERROR(__xludf.DUMMYFUNCTION("""COMPUTED_VALUE"""),0.0)</f>
        <v>0</v>
      </c>
      <c r="P350" s="422"/>
      <c r="Q350" s="422"/>
      <c r="R350" s="98"/>
      <c r="S350" s="98" t="str">
        <f>IFERROR(__xludf.DUMMYFUNCTION("""COMPUTED_VALUE"""),"myt_minpaing.oo")</f>
        <v>myt_minpaing.oo</v>
      </c>
      <c r="T350" s="98" t="str">
        <f>IFERROR(__xludf.DUMMYFUNCTION("""COMPUTED_VALUE"""),"TNI0166")</f>
        <v>TNI0166</v>
      </c>
    </row>
    <row r="351">
      <c r="A351" s="422">
        <f>IFERROR(__xludf.DUMMYFUNCTION("""COMPUTED_VALUE"""),349.0)</f>
        <v>349</v>
      </c>
      <c r="B351" s="422" t="str">
        <f>IFERROR(__xludf.DUMMYFUNCTION("""COMPUTED_VALUE"""),"PM")</f>
        <v>PM</v>
      </c>
      <c r="C351" s="422" t="str">
        <f>IFERROR(__xludf.DUMMYFUNCTION("""COMPUTED_VALUE"""),"Team 02")</f>
        <v>Team 02</v>
      </c>
      <c r="D351" s="422" t="str">
        <f>IFERROR(__xludf.DUMMYFUNCTION("""COMPUTED_VALUE"""),"100 point plan")</f>
        <v>100 point plan</v>
      </c>
      <c r="E351" s="422" t="str">
        <f>IFERROR(__xludf.DUMMYFUNCTION("""COMPUTED_VALUE"""),"TNI0239 100 point plan need to clean site overview inside and outeside and make to neatly patchord cable.")</f>
        <v>TNI0239 100 point plan need to clean site overview inside and outeside and make to neatly patchord cable.</v>
      </c>
      <c r="F351" s="424">
        <f>IFERROR(__xludf.DUMMYFUNCTION("""COMPUTED_VALUE"""),46091.0)</f>
        <v>46091</v>
      </c>
      <c r="G351" s="424">
        <f>IFERROR(__xludf.DUMMYFUNCTION("""COMPUTED_VALUE"""),46112.0)</f>
        <v>46112</v>
      </c>
      <c r="H351" s="422" t="str">
        <f>IFERROR(__xludf.DUMMYFUNCTION("""COMPUTED_VALUE"""),"VCM846818-Wanna Oo")</f>
        <v>VCM846818-Wanna Oo</v>
      </c>
      <c r="I351" s="425">
        <f>IFERROR(__xludf.DUMMYFUNCTION("""COMPUTED_VALUE"""),46091.0)</f>
        <v>46091</v>
      </c>
      <c r="J351" s="424">
        <f>IFERROR(__xludf.DUMMYFUNCTION("""COMPUTED_VALUE"""),46091.0)</f>
        <v>46091</v>
      </c>
      <c r="K351" s="422"/>
      <c r="L351" s="422"/>
      <c r="M351" s="422"/>
      <c r="N351" s="422"/>
      <c r="O351" s="422">
        <f>IFERROR(__xludf.DUMMYFUNCTION("""COMPUTED_VALUE"""),0.0)</f>
        <v>0</v>
      </c>
      <c r="P351" s="422"/>
      <c r="Q351" s="422"/>
      <c r="R351" s="98"/>
      <c r="S351" s="98" t="str">
        <f>IFERROR(__xludf.DUMMYFUNCTION("""COMPUTED_VALUE"""),"myt_maung.maung11")</f>
        <v>myt_maung.maung11</v>
      </c>
      <c r="T351" s="98" t="str">
        <f>IFERROR(__xludf.DUMMYFUNCTION("""COMPUTED_VALUE"""),"TNI0239")</f>
        <v>TNI0239</v>
      </c>
    </row>
    <row r="352">
      <c r="A352" s="422">
        <f>IFERROR(__xludf.DUMMYFUNCTION("""COMPUTED_VALUE"""),350.0)</f>
        <v>350</v>
      </c>
      <c r="B352" s="422" t="str">
        <f>IFERROR(__xludf.DUMMYFUNCTION("""COMPUTED_VALUE"""),"PM")</f>
        <v>PM</v>
      </c>
      <c r="C352" s="422" t="str">
        <f>IFERROR(__xludf.DUMMYFUNCTION("""COMPUTED_VALUE"""),"Team 02")</f>
        <v>Team 02</v>
      </c>
      <c r="D352" s="422" t="str">
        <f>IFERROR(__xludf.DUMMYFUNCTION("""COMPUTED_VALUE"""),"100 point plan")</f>
        <v>100 point plan</v>
      </c>
      <c r="E352" s="422" t="str">
        <f>IFERROR(__xludf.DUMMYFUNCTION("""COMPUTED_VALUE"""),"TNI0258 100 point plan need to clean site overview inside and outeside and make to neatly patchord cable.")</f>
        <v>TNI0258 100 point plan need to clean site overview inside and outeside and make to neatly patchord cable.</v>
      </c>
      <c r="F352" s="424">
        <f>IFERROR(__xludf.DUMMYFUNCTION("""COMPUTED_VALUE"""),46091.0)</f>
        <v>46091</v>
      </c>
      <c r="G352" s="424">
        <f>IFERROR(__xludf.DUMMYFUNCTION("""COMPUTED_VALUE"""),46112.0)</f>
        <v>46112</v>
      </c>
      <c r="H352" s="422"/>
      <c r="I352" s="422"/>
      <c r="J352" s="422"/>
      <c r="K352" s="422"/>
      <c r="L352" s="422"/>
      <c r="M352" s="422"/>
      <c r="N352" s="422"/>
      <c r="O352" s="422">
        <f>IFERROR(__xludf.DUMMYFUNCTION("""COMPUTED_VALUE"""),0.0)</f>
        <v>0</v>
      </c>
      <c r="P352" s="422"/>
      <c r="Q352" s="422"/>
      <c r="R352" s="98"/>
      <c r="S352" s="98" t="str">
        <f>IFERROR(__xludf.DUMMYFUNCTION("""COMPUTED_VALUE"""),"myt_maung.maung11")</f>
        <v>myt_maung.maung11</v>
      </c>
      <c r="T352" s="98" t="str">
        <f>IFERROR(__xludf.DUMMYFUNCTION("""COMPUTED_VALUE"""),"TNI0258")</f>
        <v>TNI0258</v>
      </c>
    </row>
    <row r="353">
      <c r="A353" s="422">
        <f>IFERROR(__xludf.DUMMYFUNCTION("""COMPUTED_VALUE"""),351.0)</f>
        <v>351</v>
      </c>
      <c r="B353" s="422" t="str">
        <f>IFERROR(__xludf.DUMMYFUNCTION("""COMPUTED_VALUE"""),"PM")</f>
        <v>PM</v>
      </c>
      <c r="C353" s="422" t="str">
        <f>IFERROR(__xludf.DUMMYFUNCTION("""COMPUTED_VALUE"""),"Team 02")</f>
        <v>Team 02</v>
      </c>
      <c r="D353" s="422" t="str">
        <f>IFERROR(__xludf.DUMMYFUNCTION("""COMPUTED_VALUE"""),"100 point plan")</f>
        <v>100 point plan</v>
      </c>
      <c r="E353" s="422" t="str">
        <f>IFERROR(__xludf.DUMMYFUNCTION("""COMPUTED_VALUE"""),"TNI0277 100 point plan need to clean site overview inside and outeside and make to neatly patchord cable.")</f>
        <v>TNI0277 100 point plan need to clean site overview inside and outeside and make to neatly patchord cable.</v>
      </c>
      <c r="F353" s="424">
        <f>IFERROR(__xludf.DUMMYFUNCTION("""COMPUTED_VALUE"""),46091.0)</f>
        <v>46091</v>
      </c>
      <c r="G353" s="424">
        <f>IFERROR(__xludf.DUMMYFUNCTION("""COMPUTED_VALUE"""),46112.0)</f>
        <v>46112</v>
      </c>
      <c r="H353" s="422"/>
      <c r="I353" s="422"/>
      <c r="J353" s="422"/>
      <c r="K353" s="422"/>
      <c r="L353" s="422"/>
      <c r="M353" s="422"/>
      <c r="N353" s="422"/>
      <c r="O353" s="422">
        <f>IFERROR(__xludf.DUMMYFUNCTION("""COMPUTED_VALUE"""),0.0)</f>
        <v>0</v>
      </c>
      <c r="P353" s="422"/>
      <c r="Q353" s="422"/>
      <c r="R353" s="98"/>
      <c r="S353" s="98" t="str">
        <f>IFERROR(__xludf.DUMMYFUNCTION("""COMPUTED_VALUE"""),"myt_ye.lin22")</f>
        <v>myt_ye.lin22</v>
      </c>
      <c r="T353" s="98" t="str">
        <f>IFERROR(__xludf.DUMMYFUNCTION("""COMPUTED_VALUE"""),"TNI0277")</f>
        <v>TNI0277</v>
      </c>
    </row>
    <row r="354">
      <c r="A354" s="422">
        <f>IFERROR(__xludf.DUMMYFUNCTION("""COMPUTED_VALUE"""),352.0)</f>
        <v>352</v>
      </c>
      <c r="B354" s="422" t="str">
        <f>IFERROR(__xludf.DUMMYFUNCTION("""COMPUTED_VALUE"""),"PM")</f>
        <v>PM</v>
      </c>
      <c r="C354" s="422" t="str">
        <f>IFERROR(__xludf.DUMMYFUNCTION("""COMPUTED_VALUE"""),"Team 02")</f>
        <v>Team 02</v>
      </c>
      <c r="D354" s="422" t="str">
        <f>IFERROR(__xludf.DUMMYFUNCTION("""COMPUTED_VALUE"""),"100 point plan")</f>
        <v>100 point plan</v>
      </c>
      <c r="E354" s="422" t="str">
        <f>IFERROR(__xludf.DUMMYFUNCTION("""COMPUTED_VALUE"""),"TNI0279 100 point plan need to clean site overview inside and outeside and make to neatly patchord cable.")</f>
        <v>TNI0279 100 point plan need to clean site overview inside and outeside and make to neatly patchord cable.</v>
      </c>
      <c r="F354" s="424">
        <f>IFERROR(__xludf.DUMMYFUNCTION("""COMPUTED_VALUE"""),46091.0)</f>
        <v>46091</v>
      </c>
      <c r="G354" s="424">
        <f>IFERROR(__xludf.DUMMYFUNCTION("""COMPUTED_VALUE"""),46112.0)</f>
        <v>46112</v>
      </c>
      <c r="H354" s="422"/>
      <c r="I354" s="422"/>
      <c r="J354" s="422"/>
      <c r="K354" s="422"/>
      <c r="L354" s="422"/>
      <c r="M354" s="422"/>
      <c r="N354" s="422"/>
      <c r="O354" s="422">
        <f>IFERROR(__xludf.DUMMYFUNCTION("""COMPUTED_VALUE"""),0.0)</f>
        <v>0</v>
      </c>
      <c r="P354" s="422"/>
      <c r="Q354" s="422"/>
      <c r="R354" s="98"/>
      <c r="S354" s="98" t="str">
        <f>IFERROR(__xludf.DUMMYFUNCTION("""COMPUTED_VALUE"""),"myt_wanna.oo2")</f>
        <v>myt_wanna.oo2</v>
      </c>
      <c r="T354" s="98" t="str">
        <f>IFERROR(__xludf.DUMMYFUNCTION("""COMPUTED_VALUE"""),"TNI0279")</f>
        <v>TNI0279</v>
      </c>
    </row>
    <row r="355">
      <c r="A355" s="422">
        <f>IFERROR(__xludf.DUMMYFUNCTION("""COMPUTED_VALUE"""),353.0)</f>
        <v>353</v>
      </c>
      <c r="B355" s="422" t="str">
        <f>IFERROR(__xludf.DUMMYFUNCTION("""COMPUTED_VALUE"""),"PM")</f>
        <v>PM</v>
      </c>
      <c r="C355" s="422" t="str">
        <f>IFERROR(__xludf.DUMMYFUNCTION("""COMPUTED_VALUE"""),"Team 02")</f>
        <v>Team 02</v>
      </c>
      <c r="D355" s="422" t="str">
        <f>IFERROR(__xludf.DUMMYFUNCTION("""COMPUTED_VALUE"""),"100 point plan")</f>
        <v>100 point plan</v>
      </c>
      <c r="E355" s="422" t="str">
        <f>IFERROR(__xludf.DUMMYFUNCTION("""COMPUTED_VALUE"""),"TNI0280 100 point plan need to clean site overview inside and outeside and make to neatly patchord cable.")</f>
        <v>TNI0280 100 point plan need to clean site overview inside and outeside and make to neatly patchord cable.</v>
      </c>
      <c r="F355" s="424">
        <f>IFERROR(__xludf.DUMMYFUNCTION("""COMPUTED_VALUE"""),46091.0)</f>
        <v>46091</v>
      </c>
      <c r="G355" s="424">
        <f>IFERROR(__xludf.DUMMYFUNCTION("""COMPUTED_VALUE"""),46112.0)</f>
        <v>46112</v>
      </c>
      <c r="H355" s="422"/>
      <c r="I355" s="422"/>
      <c r="J355" s="422"/>
      <c r="K355" s="422"/>
      <c r="L355" s="422"/>
      <c r="M355" s="422"/>
      <c r="N355" s="422"/>
      <c r="O355" s="422">
        <f>IFERROR(__xludf.DUMMYFUNCTION("""COMPUTED_VALUE"""),0.0)</f>
        <v>0</v>
      </c>
      <c r="P355" s="422"/>
      <c r="Q355" s="422"/>
      <c r="R355" s="98"/>
      <c r="S355" s="98" t="str">
        <f>IFERROR(__xludf.DUMMYFUNCTION("""COMPUTED_VALUE"""),"myt_maung.maung11")</f>
        <v>myt_maung.maung11</v>
      </c>
      <c r="T355" s="98" t="str">
        <f>IFERROR(__xludf.DUMMYFUNCTION("""COMPUTED_VALUE"""),"TNI0280")</f>
        <v>TNI0280</v>
      </c>
    </row>
    <row r="356">
      <c r="A356" s="422">
        <f>IFERROR(__xludf.DUMMYFUNCTION("""COMPUTED_VALUE"""),354.0)</f>
        <v>354</v>
      </c>
      <c r="B356" s="422" t="str">
        <f>IFERROR(__xludf.DUMMYFUNCTION("""COMPUTED_VALUE"""),"PM")</f>
        <v>PM</v>
      </c>
      <c r="C356" s="422" t="str">
        <f>IFERROR(__xludf.DUMMYFUNCTION("""COMPUTED_VALUE"""),"Team 02")</f>
        <v>Team 02</v>
      </c>
      <c r="D356" s="422" t="str">
        <f>IFERROR(__xludf.DUMMYFUNCTION("""COMPUTED_VALUE"""),"100 point plan")</f>
        <v>100 point plan</v>
      </c>
      <c r="E356" s="422" t="str">
        <f>IFERROR(__xludf.DUMMYFUNCTION("""COMPUTED_VALUE"""),"TNI0281 100 point plan need to clean site overview inside and outeside and make to neatly patchord cable.")</f>
        <v>TNI0281 100 point plan need to clean site overview inside and outeside and make to neatly patchord cable.</v>
      </c>
      <c r="F356" s="424">
        <f>IFERROR(__xludf.DUMMYFUNCTION("""COMPUTED_VALUE"""),46091.0)</f>
        <v>46091</v>
      </c>
      <c r="G356" s="424">
        <f>IFERROR(__xludf.DUMMYFUNCTION("""COMPUTED_VALUE"""),46112.0)</f>
        <v>46112</v>
      </c>
      <c r="H356" s="422"/>
      <c r="I356" s="422"/>
      <c r="J356" s="422"/>
      <c r="K356" s="422"/>
      <c r="L356" s="422"/>
      <c r="M356" s="422"/>
      <c r="N356" s="422"/>
      <c r="O356" s="422">
        <f>IFERROR(__xludf.DUMMYFUNCTION("""COMPUTED_VALUE"""),0.0)</f>
        <v>0</v>
      </c>
      <c r="P356" s="422"/>
      <c r="Q356" s="422"/>
      <c r="R356" s="98"/>
      <c r="S356" s="98" t="str">
        <f>IFERROR(__xludf.DUMMYFUNCTION("""COMPUTED_VALUE"""),"myt_zinmin.shein")</f>
        <v>myt_zinmin.shein</v>
      </c>
      <c r="T356" s="98" t="str">
        <f>IFERROR(__xludf.DUMMYFUNCTION("""COMPUTED_VALUE"""),"TNI0281")</f>
        <v>TNI0281</v>
      </c>
    </row>
    <row r="357">
      <c r="A357" s="422">
        <f>IFERROR(__xludf.DUMMYFUNCTION("""COMPUTED_VALUE"""),355.0)</f>
        <v>355</v>
      </c>
      <c r="B357" s="422" t="str">
        <f>IFERROR(__xludf.DUMMYFUNCTION("""COMPUTED_VALUE"""),"PM")</f>
        <v>PM</v>
      </c>
      <c r="C357" s="422" t="str">
        <f>IFERROR(__xludf.DUMMYFUNCTION("""COMPUTED_VALUE"""),"Team 02")</f>
        <v>Team 02</v>
      </c>
      <c r="D357" s="422" t="str">
        <f>IFERROR(__xludf.DUMMYFUNCTION("""COMPUTED_VALUE"""),"100 point plan")</f>
        <v>100 point plan</v>
      </c>
      <c r="E357" s="422" t="str">
        <f>IFERROR(__xludf.DUMMYFUNCTION("""COMPUTED_VALUE"""),"TNI0324 100 point plan need to clean site overview inside and outeside and make to neatly patchord cable.")</f>
        <v>TNI0324 100 point plan need to clean site overview inside and outeside and make to neatly patchord cable.</v>
      </c>
      <c r="F357" s="424">
        <f>IFERROR(__xludf.DUMMYFUNCTION("""COMPUTED_VALUE"""),46091.0)</f>
        <v>46091</v>
      </c>
      <c r="G357" s="424">
        <f>IFERROR(__xludf.DUMMYFUNCTION("""COMPUTED_VALUE"""),46112.0)</f>
        <v>46112</v>
      </c>
      <c r="H357" s="422"/>
      <c r="I357" s="425">
        <f>IFERROR(__xludf.DUMMYFUNCTION("""COMPUTED_VALUE"""),46112.0)</f>
        <v>46112</v>
      </c>
      <c r="J357" s="424">
        <f>IFERROR(__xludf.DUMMYFUNCTION("""COMPUTED_VALUE"""),46112.0)</f>
        <v>46112</v>
      </c>
      <c r="K357" s="422"/>
      <c r="L357" s="422"/>
      <c r="M357" s="422"/>
      <c r="N357" s="422"/>
      <c r="O357" s="422">
        <f>IFERROR(__xludf.DUMMYFUNCTION("""COMPUTED_VALUE"""),0.0)</f>
        <v>0</v>
      </c>
      <c r="P357" s="422"/>
      <c r="Q357" s="422"/>
      <c r="R357" s="98"/>
      <c r="S357" s="98" t="str">
        <f>IFERROR(__xludf.DUMMYFUNCTION("""COMPUTED_VALUE"""),"myt_maung.maung11")</f>
        <v>myt_maung.maung11</v>
      </c>
      <c r="T357" s="98" t="str">
        <f>IFERROR(__xludf.DUMMYFUNCTION("""COMPUTED_VALUE"""),"TNI0324")</f>
        <v>TNI0324</v>
      </c>
    </row>
    <row r="358">
      <c r="A358" s="422">
        <f>IFERROR(__xludf.DUMMYFUNCTION("""COMPUTED_VALUE"""),356.0)</f>
        <v>356</v>
      </c>
      <c r="B358" s="422" t="str">
        <f>IFERROR(__xludf.DUMMYFUNCTION("""COMPUTED_VALUE"""),"PM")</f>
        <v>PM</v>
      </c>
      <c r="C358" s="422" t="str">
        <f>IFERROR(__xludf.DUMMYFUNCTION("""COMPUTED_VALUE"""),"Team 02")</f>
        <v>Team 02</v>
      </c>
      <c r="D358" s="422" t="str">
        <f>IFERROR(__xludf.DUMMYFUNCTION("""COMPUTED_VALUE"""),"100 point plan")</f>
        <v>100 point plan</v>
      </c>
      <c r="E358" s="422" t="str">
        <f>IFERROR(__xludf.DUMMYFUNCTION("""COMPUTED_VALUE"""),"TNI0346 100 point plan need to clean site overview inside and outeside and make to neatly patchord cable.")</f>
        <v>TNI0346 100 point plan need to clean site overview inside and outeside and make to neatly patchord cable.</v>
      </c>
      <c r="F358" s="424">
        <f>IFERROR(__xludf.DUMMYFUNCTION("""COMPUTED_VALUE"""),46091.0)</f>
        <v>46091</v>
      </c>
      <c r="G358" s="424">
        <f>IFERROR(__xludf.DUMMYFUNCTION("""COMPUTED_VALUE"""),46112.0)</f>
        <v>46112</v>
      </c>
      <c r="H358" s="422"/>
      <c r="I358" s="422"/>
      <c r="J358" s="422"/>
      <c r="K358" s="422"/>
      <c r="L358" s="422"/>
      <c r="M358" s="422"/>
      <c r="N358" s="422"/>
      <c r="O358" s="422">
        <f>IFERROR(__xludf.DUMMYFUNCTION("""COMPUTED_VALUE"""),0.0)</f>
        <v>0</v>
      </c>
      <c r="P358" s="422"/>
      <c r="Q358" s="422"/>
      <c r="R358" s="98"/>
      <c r="S358" s="98" t="str">
        <f>IFERROR(__xludf.DUMMYFUNCTION("""COMPUTED_VALUE"""),"myt_zinmin.shein")</f>
        <v>myt_zinmin.shein</v>
      </c>
      <c r="T358" s="98" t="str">
        <f>IFERROR(__xludf.DUMMYFUNCTION("""COMPUTED_VALUE"""),"TNI0346")</f>
        <v>TNI0346</v>
      </c>
    </row>
    <row r="359">
      <c r="A359" s="422">
        <f>IFERROR(__xludf.DUMMYFUNCTION("""COMPUTED_VALUE"""),357.0)</f>
        <v>357</v>
      </c>
      <c r="B359" s="422" t="str">
        <f>IFERROR(__xludf.DUMMYFUNCTION("""COMPUTED_VALUE"""),"PM")</f>
        <v>PM</v>
      </c>
      <c r="C359" s="422" t="str">
        <f>IFERROR(__xludf.DUMMYFUNCTION("""COMPUTED_VALUE"""),"Team 02")</f>
        <v>Team 02</v>
      </c>
      <c r="D359" s="422" t="str">
        <f>IFERROR(__xludf.DUMMYFUNCTION("""COMPUTED_VALUE"""),"100 point plan")</f>
        <v>100 point plan</v>
      </c>
      <c r="E359" s="422" t="str">
        <f>IFERROR(__xludf.DUMMYFUNCTION("""COMPUTED_VALUE"""),"TNI0379 100 point plan need to clean site overview inside and outeside and make to neatly patchord cable.")</f>
        <v>TNI0379 100 point plan need to clean site overview inside and outeside and make to neatly patchord cable.</v>
      </c>
      <c r="F359" s="424">
        <f>IFERROR(__xludf.DUMMYFUNCTION("""COMPUTED_VALUE"""),46091.0)</f>
        <v>46091</v>
      </c>
      <c r="G359" s="424">
        <f>IFERROR(__xludf.DUMMYFUNCTION("""COMPUTED_VALUE"""),46112.0)</f>
        <v>46112</v>
      </c>
      <c r="H359" s="422"/>
      <c r="I359" s="425">
        <f>IFERROR(__xludf.DUMMYFUNCTION("""COMPUTED_VALUE"""),46112.0)</f>
        <v>46112</v>
      </c>
      <c r="J359" s="424">
        <f>IFERROR(__xludf.DUMMYFUNCTION("""COMPUTED_VALUE"""),46112.0)</f>
        <v>46112</v>
      </c>
      <c r="K359" s="422"/>
      <c r="L359" s="422"/>
      <c r="M359" s="422"/>
      <c r="N359" s="422"/>
      <c r="O359" s="422">
        <f>IFERROR(__xludf.DUMMYFUNCTION("""COMPUTED_VALUE"""),0.0)</f>
        <v>0</v>
      </c>
      <c r="P359" s="422"/>
      <c r="Q359" s="422"/>
      <c r="R359" s="98"/>
      <c r="S359" s="98" t="str">
        <f>IFERROR(__xludf.DUMMYFUNCTION("""COMPUTED_VALUE"""),"myt_zinmin.shein")</f>
        <v>myt_zinmin.shein</v>
      </c>
      <c r="T359" s="98" t="str">
        <f>IFERROR(__xludf.DUMMYFUNCTION("""COMPUTED_VALUE"""),"TNI0379")</f>
        <v>TNI0379</v>
      </c>
    </row>
    <row r="360">
      <c r="A360" s="422">
        <f>IFERROR(__xludf.DUMMYFUNCTION("""COMPUTED_VALUE"""),358.0)</f>
        <v>358</v>
      </c>
      <c r="B360" s="422" t="str">
        <f>IFERROR(__xludf.DUMMYFUNCTION("""COMPUTED_VALUE"""),"PM")</f>
        <v>PM</v>
      </c>
      <c r="C360" s="422" t="str">
        <f>IFERROR(__xludf.DUMMYFUNCTION("""COMPUTED_VALUE"""),"Team 02")</f>
        <v>Team 02</v>
      </c>
      <c r="D360" s="422" t="str">
        <f>IFERROR(__xludf.DUMMYFUNCTION("""COMPUTED_VALUE"""),"100 point plan")</f>
        <v>100 point plan</v>
      </c>
      <c r="E360" s="422" t="str">
        <f>IFERROR(__xludf.DUMMYFUNCTION("""COMPUTED_VALUE"""),"TNI0381 100 point plan need to clean site overview inside and outeside and make to neatly patchord cable.")</f>
        <v>TNI0381 100 point plan need to clean site overview inside and outeside and make to neatly patchord cable.</v>
      </c>
      <c r="F360" s="424">
        <f>IFERROR(__xludf.DUMMYFUNCTION("""COMPUTED_VALUE"""),46091.0)</f>
        <v>46091</v>
      </c>
      <c r="G360" s="424">
        <f>IFERROR(__xludf.DUMMYFUNCTION("""COMPUTED_VALUE"""),46112.0)</f>
        <v>46112</v>
      </c>
      <c r="H360" s="422"/>
      <c r="I360" s="422"/>
      <c r="J360" s="422"/>
      <c r="K360" s="422"/>
      <c r="L360" s="422"/>
      <c r="M360" s="422"/>
      <c r="N360" s="422"/>
      <c r="O360" s="422">
        <f>IFERROR(__xludf.DUMMYFUNCTION("""COMPUTED_VALUE"""),0.0)</f>
        <v>0</v>
      </c>
      <c r="P360" s="422"/>
      <c r="Q360" s="422"/>
      <c r="R360" s="98"/>
      <c r="S360" s="98" t="str">
        <f>IFERROR(__xludf.DUMMYFUNCTION("""COMPUTED_VALUE"""),"myt_ye.lin22")</f>
        <v>myt_ye.lin22</v>
      </c>
      <c r="T360" s="98" t="str">
        <f>IFERROR(__xludf.DUMMYFUNCTION("""COMPUTED_VALUE"""),"TNI0381")</f>
        <v>TNI0381</v>
      </c>
    </row>
    <row r="361">
      <c r="A361" s="422">
        <f>IFERROR(__xludf.DUMMYFUNCTION("""COMPUTED_VALUE"""),359.0)</f>
        <v>359</v>
      </c>
      <c r="B361" s="422" t="str">
        <f>IFERROR(__xludf.DUMMYFUNCTION("""COMPUTED_VALUE"""),"PM")</f>
        <v>PM</v>
      </c>
      <c r="C361" s="422" t="str">
        <f>IFERROR(__xludf.DUMMYFUNCTION("""COMPUTED_VALUE"""),"Team 02")</f>
        <v>Team 02</v>
      </c>
      <c r="D361" s="422" t="str">
        <f>IFERROR(__xludf.DUMMYFUNCTION("""COMPUTED_VALUE"""),"100 point plan")</f>
        <v>100 point plan</v>
      </c>
      <c r="E361" s="422" t="str">
        <f>IFERROR(__xludf.DUMMYFUNCTION("""COMPUTED_VALUE"""),"TNI0382 100 point plan need to clean site overview inside and outeside and make to neatly patchord cable.")</f>
        <v>TNI0382 100 point plan need to clean site overview inside and outeside and make to neatly patchord cable.</v>
      </c>
      <c r="F361" s="424">
        <f>IFERROR(__xludf.DUMMYFUNCTION("""COMPUTED_VALUE"""),46091.0)</f>
        <v>46091</v>
      </c>
      <c r="G361" s="424">
        <f>IFERROR(__xludf.DUMMYFUNCTION("""COMPUTED_VALUE"""),46112.0)</f>
        <v>46112</v>
      </c>
      <c r="H361" s="422"/>
      <c r="I361" s="422"/>
      <c r="J361" s="422"/>
      <c r="K361" s="422"/>
      <c r="L361" s="422"/>
      <c r="M361" s="422"/>
      <c r="N361" s="422"/>
      <c r="O361" s="422">
        <f>IFERROR(__xludf.DUMMYFUNCTION("""COMPUTED_VALUE"""),0.0)</f>
        <v>0</v>
      </c>
      <c r="P361" s="422"/>
      <c r="Q361" s="422"/>
      <c r="R361" s="98"/>
      <c r="S361" s="98" t="str">
        <f>IFERROR(__xludf.DUMMYFUNCTION("""COMPUTED_VALUE"""),"myt_pyikyaw.aung")</f>
        <v>myt_pyikyaw.aung</v>
      </c>
      <c r="T361" s="98" t="str">
        <f>IFERROR(__xludf.DUMMYFUNCTION("""COMPUTED_VALUE"""),"TNI0382")</f>
        <v>TNI0382</v>
      </c>
    </row>
    <row r="362">
      <c r="A362" s="422">
        <f>IFERROR(__xludf.DUMMYFUNCTION("""COMPUTED_VALUE"""),360.0)</f>
        <v>360</v>
      </c>
      <c r="B362" s="422" t="str">
        <f>IFERROR(__xludf.DUMMYFUNCTION("""COMPUTED_VALUE"""),"PM")</f>
        <v>PM</v>
      </c>
      <c r="C362" s="422" t="str">
        <f>IFERROR(__xludf.DUMMYFUNCTION("""COMPUTED_VALUE"""),"Team 02")</f>
        <v>Team 02</v>
      </c>
      <c r="D362" s="422" t="str">
        <f>IFERROR(__xludf.DUMMYFUNCTION("""COMPUTED_VALUE"""),"100 point plan")</f>
        <v>100 point plan</v>
      </c>
      <c r="E362" s="422" t="str">
        <f>IFERROR(__xludf.DUMMYFUNCTION("""COMPUTED_VALUE"""),"TNI0384 100 point plan need to clean site overview inside and outeside and make to neatly patchord cable.")</f>
        <v>TNI0384 100 point plan need to clean site overview inside and outeside and make to neatly patchord cable.</v>
      </c>
      <c r="F362" s="424">
        <f>IFERROR(__xludf.DUMMYFUNCTION("""COMPUTED_VALUE"""),46091.0)</f>
        <v>46091</v>
      </c>
      <c r="G362" s="424">
        <f>IFERROR(__xludf.DUMMYFUNCTION("""COMPUTED_VALUE"""),46112.0)</f>
        <v>46112</v>
      </c>
      <c r="H362" s="422"/>
      <c r="I362" s="422"/>
      <c r="J362" s="422"/>
      <c r="K362" s="422"/>
      <c r="L362" s="422"/>
      <c r="M362" s="422"/>
      <c r="N362" s="422"/>
      <c r="O362" s="422">
        <f>IFERROR(__xludf.DUMMYFUNCTION("""COMPUTED_VALUE"""),0.0)</f>
        <v>0</v>
      </c>
      <c r="P362" s="422"/>
      <c r="Q362" s="422"/>
      <c r="R362" s="98"/>
      <c r="S362" s="98" t="str">
        <f>IFERROR(__xludf.DUMMYFUNCTION("""COMPUTED_VALUE"""),"myt_ye.lin22")</f>
        <v>myt_ye.lin22</v>
      </c>
      <c r="T362" s="98" t="str">
        <f>IFERROR(__xludf.DUMMYFUNCTION("""COMPUTED_VALUE"""),"TNI0384")</f>
        <v>TNI0384</v>
      </c>
    </row>
    <row r="363">
      <c r="A363" s="422">
        <f>IFERROR(__xludf.DUMMYFUNCTION("""COMPUTED_VALUE"""),361.0)</f>
        <v>361</v>
      </c>
      <c r="B363" s="422" t="str">
        <f>IFERROR(__xludf.DUMMYFUNCTION("""COMPUTED_VALUE"""),"PM")</f>
        <v>PM</v>
      </c>
      <c r="C363" s="422" t="str">
        <f>IFERROR(__xludf.DUMMYFUNCTION("""COMPUTED_VALUE"""),"Team 02")</f>
        <v>Team 02</v>
      </c>
      <c r="D363" s="422" t="str">
        <f>IFERROR(__xludf.DUMMYFUNCTION("""COMPUTED_VALUE"""),"100 point plan")</f>
        <v>100 point plan</v>
      </c>
      <c r="E363" s="422" t="str">
        <f>IFERROR(__xludf.DUMMYFUNCTION("""COMPUTED_VALUE"""),"TNI0385 100 point plan need to clean site overview inside and outeside and make to neatly patchord cable.")</f>
        <v>TNI0385 100 point plan need to clean site overview inside and outeside and make to neatly patchord cable.</v>
      </c>
      <c r="F363" s="424">
        <f>IFERROR(__xludf.DUMMYFUNCTION("""COMPUTED_VALUE"""),46091.0)</f>
        <v>46091</v>
      </c>
      <c r="G363" s="424">
        <f>IFERROR(__xludf.DUMMYFUNCTION("""COMPUTED_VALUE"""),46112.0)</f>
        <v>46112</v>
      </c>
      <c r="H363" s="422"/>
      <c r="I363" s="425">
        <f>IFERROR(__xludf.DUMMYFUNCTION("""COMPUTED_VALUE"""),46112.0)</f>
        <v>46112</v>
      </c>
      <c r="J363" s="424">
        <f>IFERROR(__xludf.DUMMYFUNCTION("""COMPUTED_VALUE"""),46112.0)</f>
        <v>46112</v>
      </c>
      <c r="K363" s="422"/>
      <c r="L363" s="422"/>
      <c r="M363" s="422"/>
      <c r="N363" s="422"/>
      <c r="O363" s="422">
        <f>IFERROR(__xludf.DUMMYFUNCTION("""COMPUTED_VALUE"""),0.0)</f>
        <v>0</v>
      </c>
      <c r="P363" s="422"/>
      <c r="Q363" s="422"/>
      <c r="R363" s="98"/>
      <c r="S363" s="98" t="str">
        <f>IFERROR(__xludf.DUMMYFUNCTION("""COMPUTED_VALUE"""),"myt_ye.lin22")</f>
        <v>myt_ye.lin22</v>
      </c>
      <c r="T363" s="98" t="str">
        <f>IFERROR(__xludf.DUMMYFUNCTION("""COMPUTED_VALUE"""),"TNI0385")</f>
        <v>TNI0385</v>
      </c>
    </row>
    <row r="364">
      <c r="A364" s="422">
        <f>IFERROR(__xludf.DUMMYFUNCTION("""COMPUTED_VALUE"""),362.0)</f>
        <v>362</v>
      </c>
      <c r="B364" s="422" t="str">
        <f>IFERROR(__xludf.DUMMYFUNCTION("""COMPUTED_VALUE"""),"PM")</f>
        <v>PM</v>
      </c>
      <c r="C364" s="422" t="str">
        <f>IFERROR(__xludf.DUMMYFUNCTION("""COMPUTED_VALUE"""),"Team 02")</f>
        <v>Team 02</v>
      </c>
      <c r="D364" s="422" t="str">
        <f>IFERROR(__xludf.DUMMYFUNCTION("""COMPUTED_VALUE"""),"100 point plan")</f>
        <v>100 point plan</v>
      </c>
      <c r="E364" s="422" t="str">
        <f>IFERROR(__xludf.DUMMYFUNCTION("""COMPUTED_VALUE"""),"TNI0423 100 point plan need to clean site overview inside and outeside and make to neatly patchord cable.")</f>
        <v>TNI0423 100 point plan need to clean site overview inside and outeside and make to neatly patchord cable.</v>
      </c>
      <c r="F364" s="424">
        <f>IFERROR(__xludf.DUMMYFUNCTION("""COMPUTED_VALUE"""),46091.0)</f>
        <v>46091</v>
      </c>
      <c r="G364" s="424">
        <f>IFERROR(__xludf.DUMMYFUNCTION("""COMPUTED_VALUE"""),46112.0)</f>
        <v>46112</v>
      </c>
      <c r="H364" s="422"/>
      <c r="I364" s="422"/>
      <c r="J364" s="422"/>
      <c r="K364" s="422"/>
      <c r="L364" s="422"/>
      <c r="M364" s="422"/>
      <c r="N364" s="422"/>
      <c r="O364" s="422">
        <f>IFERROR(__xludf.DUMMYFUNCTION("""COMPUTED_VALUE"""),0.0)</f>
        <v>0</v>
      </c>
      <c r="P364" s="422"/>
      <c r="Q364" s="422"/>
      <c r="R364" s="98"/>
      <c r="S364" s="98" t="str">
        <f>IFERROR(__xludf.DUMMYFUNCTION("""COMPUTED_VALUE"""),"myt_ye.lin22")</f>
        <v>myt_ye.lin22</v>
      </c>
      <c r="T364" s="98" t="str">
        <f>IFERROR(__xludf.DUMMYFUNCTION("""COMPUTED_VALUE"""),"TNI0423")</f>
        <v>TNI0423</v>
      </c>
    </row>
    <row r="365">
      <c r="A365" s="422">
        <f>IFERROR(__xludf.DUMMYFUNCTION("""COMPUTED_VALUE"""),363.0)</f>
        <v>363</v>
      </c>
      <c r="B365" s="422" t="str">
        <f>IFERROR(__xludf.DUMMYFUNCTION("""COMPUTED_VALUE"""),"PM")</f>
        <v>PM</v>
      </c>
      <c r="C365" s="422" t="str">
        <f>IFERROR(__xludf.DUMMYFUNCTION("""COMPUTED_VALUE"""),"Team 02")</f>
        <v>Team 02</v>
      </c>
      <c r="D365" s="422" t="str">
        <f>IFERROR(__xludf.DUMMYFUNCTION("""COMPUTED_VALUE"""),"100 point plan")</f>
        <v>100 point plan</v>
      </c>
      <c r="E365" s="422" t="str">
        <f>IFERROR(__xludf.DUMMYFUNCTION("""COMPUTED_VALUE"""),"TNI0411 100 point plan need to clean site overview inside and outeside and make to neatly patchord cable.")</f>
        <v>TNI0411 100 point plan need to clean site overview inside and outeside and make to neatly patchord cable.</v>
      </c>
      <c r="F365" s="424">
        <f>IFERROR(__xludf.DUMMYFUNCTION("""COMPUTED_VALUE"""),46091.0)</f>
        <v>46091</v>
      </c>
      <c r="G365" s="424">
        <f>IFERROR(__xludf.DUMMYFUNCTION("""COMPUTED_VALUE"""),46112.0)</f>
        <v>46112</v>
      </c>
      <c r="H365" s="422"/>
      <c r="I365" s="425">
        <f>IFERROR(__xludf.DUMMYFUNCTION("""COMPUTED_VALUE"""),46112.0)</f>
        <v>46112</v>
      </c>
      <c r="J365" s="424">
        <f>IFERROR(__xludf.DUMMYFUNCTION("""COMPUTED_VALUE"""),46112.0)</f>
        <v>46112</v>
      </c>
      <c r="K365" s="422"/>
      <c r="L365" s="422"/>
      <c r="M365" s="422"/>
      <c r="N365" s="422"/>
      <c r="O365" s="422">
        <f>IFERROR(__xludf.DUMMYFUNCTION("""COMPUTED_VALUE"""),0.0)</f>
        <v>0</v>
      </c>
      <c r="P365" s="422"/>
      <c r="Q365" s="422"/>
      <c r="R365" s="98"/>
      <c r="S365" s="98" t="str">
        <f>IFERROR(__xludf.DUMMYFUNCTION("""COMPUTED_VALUE"""),"myt_wanna.oo2")</f>
        <v>myt_wanna.oo2</v>
      </c>
      <c r="T365" s="98" t="str">
        <f>IFERROR(__xludf.DUMMYFUNCTION("""COMPUTED_VALUE"""),"TNI0411")</f>
        <v>TNI0411</v>
      </c>
    </row>
    <row r="366">
      <c r="A366" s="422">
        <f>IFERROR(__xludf.DUMMYFUNCTION("""COMPUTED_VALUE"""),364.0)</f>
        <v>364</v>
      </c>
      <c r="B366" s="422" t="str">
        <f>IFERROR(__xludf.DUMMYFUNCTION("""COMPUTED_VALUE"""),"PM")</f>
        <v>PM</v>
      </c>
      <c r="C366" s="422" t="str">
        <f>IFERROR(__xludf.DUMMYFUNCTION("""COMPUTED_VALUE"""),"Team 02")</f>
        <v>Team 02</v>
      </c>
      <c r="D366" s="422" t="str">
        <f>IFERROR(__xludf.DUMMYFUNCTION("""COMPUTED_VALUE"""),"100 point plan")</f>
        <v>100 point plan</v>
      </c>
      <c r="E366" s="422" t="str">
        <f>IFERROR(__xludf.DUMMYFUNCTION("""COMPUTED_VALUE"""),"TNI0399 100 point plan need to clean site overview inside and outeside and make to neatly patchord cable.")</f>
        <v>TNI0399 100 point plan need to clean site overview inside and outeside and make to neatly patchord cable.</v>
      </c>
      <c r="F366" s="424">
        <f>IFERROR(__xludf.DUMMYFUNCTION("""COMPUTED_VALUE"""),46091.0)</f>
        <v>46091</v>
      </c>
      <c r="G366" s="424">
        <f>IFERROR(__xludf.DUMMYFUNCTION("""COMPUTED_VALUE"""),46112.0)</f>
        <v>46112</v>
      </c>
      <c r="H366" s="422"/>
      <c r="I366" s="422"/>
      <c r="J366" s="422"/>
      <c r="K366" s="422"/>
      <c r="L366" s="422"/>
      <c r="M366" s="422"/>
      <c r="N366" s="422"/>
      <c r="O366" s="422">
        <f>IFERROR(__xludf.DUMMYFUNCTION("""COMPUTED_VALUE"""),0.0)</f>
        <v>0</v>
      </c>
      <c r="P366" s="422"/>
      <c r="Q366" s="422"/>
      <c r="R366" s="98"/>
      <c r="S366" s="98" t="str">
        <f>IFERROR(__xludf.DUMMYFUNCTION("""COMPUTED_VALUE"""),"myt_maung.maung11")</f>
        <v>myt_maung.maung11</v>
      </c>
      <c r="T366" s="98" t="str">
        <f>IFERROR(__xludf.DUMMYFUNCTION("""COMPUTED_VALUE"""),"TNI0399")</f>
        <v>TNI0399</v>
      </c>
    </row>
    <row r="367">
      <c r="A367" s="422">
        <f>IFERROR(__xludf.DUMMYFUNCTION("""COMPUTED_VALUE"""),365.0)</f>
        <v>365</v>
      </c>
      <c r="B367" s="422" t="str">
        <f>IFERROR(__xludf.DUMMYFUNCTION("""COMPUTED_VALUE"""),"PM")</f>
        <v>PM</v>
      </c>
      <c r="C367" s="422" t="str">
        <f>IFERROR(__xludf.DUMMYFUNCTION("""COMPUTED_VALUE"""),"Team 02")</f>
        <v>Team 02</v>
      </c>
      <c r="D367" s="422" t="str">
        <f>IFERROR(__xludf.DUMMYFUNCTION("""COMPUTED_VALUE"""),"100 point plan")</f>
        <v>100 point plan</v>
      </c>
      <c r="E367" s="422" t="str">
        <f>IFERROR(__xludf.DUMMYFUNCTION("""COMPUTED_VALUE"""),"TNI0406 100 point plan need to clean site overview inside and outeside and make to neatly patchord cable.")</f>
        <v>TNI0406 100 point plan need to clean site overview inside and outeside and make to neatly patchord cable.</v>
      </c>
      <c r="F367" s="424">
        <f>IFERROR(__xludf.DUMMYFUNCTION("""COMPUTED_VALUE"""),46091.0)</f>
        <v>46091</v>
      </c>
      <c r="G367" s="424">
        <f>IFERROR(__xludf.DUMMYFUNCTION("""COMPUTED_VALUE"""),46112.0)</f>
        <v>46112</v>
      </c>
      <c r="H367" s="422"/>
      <c r="I367" s="422"/>
      <c r="J367" s="422"/>
      <c r="K367" s="422"/>
      <c r="L367" s="422"/>
      <c r="M367" s="422"/>
      <c r="N367" s="422"/>
      <c r="O367" s="422">
        <f>IFERROR(__xludf.DUMMYFUNCTION("""COMPUTED_VALUE"""),0.0)</f>
        <v>0</v>
      </c>
      <c r="P367" s="422"/>
      <c r="Q367" s="422"/>
      <c r="R367" s="98"/>
      <c r="S367" s="98" t="str">
        <f>IFERROR(__xludf.DUMMYFUNCTION("""COMPUTED_VALUE"""),"myt_zinmin.shein")</f>
        <v>myt_zinmin.shein</v>
      </c>
      <c r="T367" s="98" t="str">
        <f>IFERROR(__xludf.DUMMYFUNCTION("""COMPUTED_VALUE"""),"TNI0406")</f>
        <v>TNI0406</v>
      </c>
    </row>
    <row r="368">
      <c r="A368" s="422">
        <f>IFERROR(__xludf.DUMMYFUNCTION("""COMPUTED_VALUE"""),366.0)</f>
        <v>366</v>
      </c>
      <c r="B368" s="422" t="str">
        <f>IFERROR(__xludf.DUMMYFUNCTION("""COMPUTED_VALUE"""),"PM")</f>
        <v>PM</v>
      </c>
      <c r="C368" s="422" t="str">
        <f>IFERROR(__xludf.DUMMYFUNCTION("""COMPUTED_VALUE"""),"Team 02")</f>
        <v>Team 02</v>
      </c>
      <c r="D368" s="422" t="str">
        <f>IFERROR(__xludf.DUMMYFUNCTION("""COMPUTED_VALUE"""),"100 point plan")</f>
        <v>100 point plan</v>
      </c>
      <c r="E368" s="422" t="str">
        <f>IFERROR(__xludf.DUMMYFUNCTION("""COMPUTED_VALUE"""),"TNI0398 100 point plan need to clean site overview inside and outeside and make to neatly patchord cable.")</f>
        <v>TNI0398 100 point plan need to clean site overview inside and outeside and make to neatly patchord cable.</v>
      </c>
      <c r="F368" s="424">
        <f>IFERROR(__xludf.DUMMYFUNCTION("""COMPUTED_VALUE"""),46091.0)</f>
        <v>46091</v>
      </c>
      <c r="G368" s="424">
        <f>IFERROR(__xludf.DUMMYFUNCTION("""COMPUTED_VALUE"""),46112.0)</f>
        <v>46112</v>
      </c>
      <c r="H368" s="422"/>
      <c r="I368" s="425">
        <f>IFERROR(__xludf.DUMMYFUNCTION("""COMPUTED_VALUE"""),46112.0)</f>
        <v>46112</v>
      </c>
      <c r="J368" s="424">
        <f>IFERROR(__xludf.DUMMYFUNCTION("""COMPUTED_VALUE"""),46112.0)</f>
        <v>46112</v>
      </c>
      <c r="K368" s="422"/>
      <c r="L368" s="422"/>
      <c r="M368" s="422"/>
      <c r="N368" s="422"/>
      <c r="O368" s="422">
        <f>IFERROR(__xludf.DUMMYFUNCTION("""COMPUTED_VALUE"""),0.0)</f>
        <v>0</v>
      </c>
      <c r="P368" s="422"/>
      <c r="Q368" s="422"/>
      <c r="R368" s="98"/>
      <c r="S368" s="98" t="str">
        <f>IFERROR(__xludf.DUMMYFUNCTION("""COMPUTED_VALUE"""),"myt_maung.maung11")</f>
        <v>myt_maung.maung11</v>
      </c>
      <c r="T368" s="98" t="str">
        <f>IFERROR(__xludf.DUMMYFUNCTION("""COMPUTED_VALUE"""),"TNI0398")</f>
        <v>TNI0398</v>
      </c>
    </row>
    <row r="369">
      <c r="A369" s="422">
        <f>IFERROR(__xludf.DUMMYFUNCTION("""COMPUTED_VALUE"""),367.0)</f>
        <v>367</v>
      </c>
      <c r="B369" s="422" t="str">
        <f>IFERROR(__xludf.DUMMYFUNCTION("""COMPUTED_VALUE"""),"PM")</f>
        <v>PM</v>
      </c>
      <c r="C369" s="422" t="str">
        <f>IFERROR(__xludf.DUMMYFUNCTION("""COMPUTED_VALUE"""),"Team 02")</f>
        <v>Team 02</v>
      </c>
      <c r="D369" s="422" t="str">
        <f>IFERROR(__xludf.DUMMYFUNCTION("""COMPUTED_VALUE"""),"100 point plan")</f>
        <v>100 point plan</v>
      </c>
      <c r="E369" s="422" t="str">
        <f>IFERROR(__xludf.DUMMYFUNCTION("""COMPUTED_VALUE"""),"TNI0440 100 point plan need to clean site overview inside and outeside and make to neatly patchord cable.")</f>
        <v>TNI0440 100 point plan need to clean site overview inside and outeside and make to neatly patchord cable.</v>
      </c>
      <c r="F369" s="424">
        <f>IFERROR(__xludf.DUMMYFUNCTION("""COMPUTED_VALUE"""),46091.0)</f>
        <v>46091</v>
      </c>
      <c r="G369" s="424">
        <f>IFERROR(__xludf.DUMMYFUNCTION("""COMPUTED_VALUE"""),46112.0)</f>
        <v>46112</v>
      </c>
      <c r="H369" s="422"/>
      <c r="I369" s="422"/>
      <c r="J369" s="422"/>
      <c r="K369" s="422"/>
      <c r="L369" s="422"/>
      <c r="M369" s="422"/>
      <c r="N369" s="422"/>
      <c r="O369" s="422">
        <f>IFERROR(__xludf.DUMMYFUNCTION("""COMPUTED_VALUE"""),0.0)</f>
        <v>0</v>
      </c>
      <c r="P369" s="422"/>
      <c r="Q369" s="422"/>
      <c r="R369" s="98"/>
      <c r="S369" s="98" t="str">
        <f>IFERROR(__xludf.DUMMYFUNCTION("""COMPUTED_VALUE"""),"myt_wanna.oo2")</f>
        <v>myt_wanna.oo2</v>
      </c>
      <c r="T369" s="98" t="str">
        <f>IFERROR(__xludf.DUMMYFUNCTION("""COMPUTED_VALUE"""),"TNI0440")</f>
        <v>TNI0440</v>
      </c>
    </row>
    <row r="370">
      <c r="A370" s="422">
        <f>IFERROR(__xludf.DUMMYFUNCTION("""COMPUTED_VALUE"""),368.0)</f>
        <v>368</v>
      </c>
      <c r="B370" s="422" t="str">
        <f>IFERROR(__xludf.DUMMYFUNCTION("""COMPUTED_VALUE"""),"PM")</f>
        <v>PM</v>
      </c>
      <c r="C370" s="422" t="str">
        <f>IFERROR(__xludf.DUMMYFUNCTION("""COMPUTED_VALUE"""),"Team 02")</f>
        <v>Team 02</v>
      </c>
      <c r="D370" s="422" t="str">
        <f>IFERROR(__xludf.DUMMYFUNCTION("""COMPUTED_VALUE"""),"100 point plan")</f>
        <v>100 point plan</v>
      </c>
      <c r="E370" s="422" t="str">
        <f>IFERROR(__xludf.DUMMYFUNCTION("""COMPUTED_VALUE"""),"TNI0388 100 point plan need to clean site overview inside and outeside and make to neatly patchord cable.")</f>
        <v>TNI0388 100 point plan need to clean site overview inside and outeside and make to neatly patchord cable.</v>
      </c>
      <c r="F370" s="424">
        <f>IFERROR(__xludf.DUMMYFUNCTION("""COMPUTED_VALUE"""),46091.0)</f>
        <v>46091</v>
      </c>
      <c r="G370" s="424">
        <f>IFERROR(__xludf.DUMMYFUNCTION("""COMPUTED_VALUE"""),46112.0)</f>
        <v>46112</v>
      </c>
      <c r="H370" s="422"/>
      <c r="I370" s="422"/>
      <c r="J370" s="422"/>
      <c r="K370" s="422"/>
      <c r="L370" s="422"/>
      <c r="M370" s="422"/>
      <c r="N370" s="422"/>
      <c r="O370" s="422">
        <f>IFERROR(__xludf.DUMMYFUNCTION("""COMPUTED_VALUE"""),0.0)</f>
        <v>0</v>
      </c>
      <c r="P370" s="422"/>
      <c r="Q370" s="422"/>
      <c r="R370" s="98"/>
      <c r="S370" s="98" t="str">
        <f>IFERROR(__xludf.DUMMYFUNCTION("""COMPUTED_VALUE"""),"myt_minpaing.oo")</f>
        <v>myt_minpaing.oo</v>
      </c>
      <c r="T370" s="98" t="str">
        <f>IFERROR(__xludf.DUMMYFUNCTION("""COMPUTED_VALUE"""),"TNI0388")</f>
        <v>TNI0388</v>
      </c>
    </row>
    <row r="371">
      <c r="A371" s="422">
        <f>IFERROR(__xludf.DUMMYFUNCTION("""COMPUTED_VALUE"""),369.0)</f>
        <v>369</v>
      </c>
      <c r="B371" s="422" t="str">
        <f>IFERROR(__xludf.DUMMYFUNCTION("""COMPUTED_VALUE"""),"PM")</f>
        <v>PM</v>
      </c>
      <c r="C371" s="422" t="str">
        <f>IFERROR(__xludf.DUMMYFUNCTION("""COMPUTED_VALUE"""),"Team 02")</f>
        <v>Team 02</v>
      </c>
      <c r="D371" s="422" t="str">
        <f>IFERROR(__xludf.DUMMYFUNCTION("""COMPUTED_VALUE"""),"100 point plan")</f>
        <v>100 point plan</v>
      </c>
      <c r="E371" s="422" t="str">
        <f>IFERROR(__xludf.DUMMYFUNCTION("""COMPUTED_VALUE"""),"TNI0520 100 point plan need to clean site overview inside and outeside and make to neatly patchord cable.")</f>
        <v>TNI0520 100 point plan need to clean site overview inside and outeside and make to neatly patchord cable.</v>
      </c>
      <c r="F371" s="424">
        <f>IFERROR(__xludf.DUMMYFUNCTION("""COMPUTED_VALUE"""),46091.0)</f>
        <v>46091</v>
      </c>
      <c r="G371" s="424">
        <f>IFERROR(__xludf.DUMMYFUNCTION("""COMPUTED_VALUE"""),46112.0)</f>
        <v>46112</v>
      </c>
      <c r="H371" s="422"/>
      <c r="I371" s="422"/>
      <c r="J371" s="422"/>
      <c r="K371" s="422"/>
      <c r="L371" s="422"/>
      <c r="M371" s="422"/>
      <c r="N371" s="422"/>
      <c r="O371" s="422">
        <f>IFERROR(__xludf.DUMMYFUNCTION("""COMPUTED_VALUE"""),0.0)</f>
        <v>0</v>
      </c>
      <c r="P371" s="422"/>
      <c r="Q371" s="422"/>
      <c r="R371" s="98"/>
      <c r="S371" s="98" t="str">
        <f>IFERROR(__xludf.DUMMYFUNCTION("""COMPUTED_VALUE"""),"myt_maung.maung11")</f>
        <v>myt_maung.maung11</v>
      </c>
      <c r="T371" s="98" t="str">
        <f>IFERROR(__xludf.DUMMYFUNCTION("""COMPUTED_VALUE"""),"TNI0520")</f>
        <v>TNI0520</v>
      </c>
    </row>
    <row r="372">
      <c r="A372" s="422">
        <f>IFERROR(__xludf.DUMMYFUNCTION("""COMPUTED_VALUE"""),370.0)</f>
        <v>370</v>
      </c>
      <c r="B372" s="422" t="str">
        <f>IFERROR(__xludf.DUMMYFUNCTION("""COMPUTED_VALUE"""),"PM")</f>
        <v>PM</v>
      </c>
      <c r="C372" s="422" t="str">
        <f>IFERROR(__xludf.DUMMYFUNCTION("""COMPUTED_VALUE"""),"Team 02")</f>
        <v>Team 02</v>
      </c>
      <c r="D372" s="422" t="str">
        <f>IFERROR(__xludf.DUMMYFUNCTION("""COMPUTED_VALUE"""),"PVC PLAN")</f>
        <v>PVC PLAN</v>
      </c>
      <c r="E372" s="422" t="str">
        <f>IFERROR(__xludf.DUMMYFUNCTION("""COMPUTED_VALUE"""),"TNI0519 need to cover pvc pipe")</f>
        <v>TNI0519 need to cover pvc pipe</v>
      </c>
      <c r="F372" s="424">
        <f>IFERROR(__xludf.DUMMYFUNCTION("""COMPUTED_VALUE"""),46133.0)</f>
        <v>46133</v>
      </c>
      <c r="G372" s="424">
        <f>IFERROR(__xludf.DUMMYFUNCTION("""COMPUTED_VALUE"""),46142.0)</f>
        <v>46142</v>
      </c>
      <c r="H372" s="422" t="str">
        <f>IFERROR(__xludf.DUMMYFUNCTION("""COMPUTED_VALUE"""),"VCM860513-Win Htet Aung")</f>
        <v>VCM860513-Win Htet Aung</v>
      </c>
      <c r="I372" s="422"/>
      <c r="J372" s="422"/>
      <c r="K372" s="422"/>
      <c r="L372" s="422"/>
      <c r="M372" s="422"/>
      <c r="N372" s="422"/>
      <c r="O372" s="422">
        <f>IFERROR(__xludf.DUMMYFUNCTION("""COMPUTED_VALUE"""),0.0)</f>
        <v>0</v>
      </c>
      <c r="P372" s="422"/>
      <c r="Q372" s="422"/>
      <c r="R372" s="98"/>
      <c r="S372" s="98" t="str">
        <f>IFERROR(__xludf.DUMMYFUNCTION("""COMPUTED_VALUE"""),"myt_zinmin.shein")</f>
        <v>myt_zinmin.shein</v>
      </c>
      <c r="T372" s="98" t="str">
        <f>IFERROR(__xludf.DUMMYFUNCTION("""COMPUTED_VALUE"""),"TNI0519")</f>
        <v>TNI0519</v>
      </c>
    </row>
    <row r="373">
      <c r="A373" s="422">
        <f>IFERROR(__xludf.DUMMYFUNCTION("""COMPUTED_VALUE"""),371.0)</f>
        <v>371</v>
      </c>
      <c r="B373" s="422" t="str">
        <f>IFERROR(__xludf.DUMMYFUNCTION("""COMPUTED_VALUE"""),"PM")</f>
        <v>PM</v>
      </c>
      <c r="C373" s="422" t="str">
        <f>IFERROR(__xludf.DUMMYFUNCTION("""COMPUTED_VALUE"""),"Team 02")</f>
        <v>Team 02</v>
      </c>
      <c r="D373" s="422" t="str">
        <f>IFERROR(__xludf.DUMMYFUNCTION("""COMPUTED_VALUE"""),"PVC PLAN")</f>
        <v>PVC PLAN</v>
      </c>
      <c r="E373" s="422" t="str">
        <f>IFERROR(__xludf.DUMMYFUNCTION("""COMPUTED_VALUE"""),"TNI0228 need to cover pvc pipe")</f>
        <v>TNI0228 need to cover pvc pipe</v>
      </c>
      <c r="F373" s="424">
        <f>IFERROR(__xludf.DUMMYFUNCTION("""COMPUTED_VALUE"""),46133.0)</f>
        <v>46133</v>
      </c>
      <c r="G373" s="424">
        <f>IFERROR(__xludf.DUMMYFUNCTION("""COMPUTED_VALUE"""),46142.0)</f>
        <v>46142</v>
      </c>
      <c r="H373" s="422"/>
      <c r="I373" s="422"/>
      <c r="J373" s="422"/>
      <c r="K373" s="422"/>
      <c r="L373" s="422"/>
      <c r="M373" s="422"/>
      <c r="N373" s="422"/>
      <c r="O373" s="422">
        <f>IFERROR(__xludf.DUMMYFUNCTION("""COMPUTED_VALUE"""),0.0)</f>
        <v>0</v>
      </c>
      <c r="P373" s="422"/>
      <c r="Q373" s="422"/>
      <c r="R373" s="98"/>
      <c r="S373" s="98" t="str">
        <f>IFERROR(__xludf.DUMMYFUNCTION("""COMPUTED_VALUE"""),"myt_pyikyaw.aung")</f>
        <v>myt_pyikyaw.aung</v>
      </c>
      <c r="T373" s="98" t="str">
        <f>IFERROR(__xludf.DUMMYFUNCTION("""COMPUTED_VALUE"""),"TNI0228")</f>
        <v>TNI0228</v>
      </c>
    </row>
    <row r="374">
      <c r="A374" s="422">
        <f>IFERROR(__xludf.DUMMYFUNCTION("""COMPUTED_VALUE"""),372.0)</f>
        <v>372</v>
      </c>
      <c r="B374" s="422" t="str">
        <f>IFERROR(__xludf.DUMMYFUNCTION("""COMPUTED_VALUE"""),"PM")</f>
        <v>PM</v>
      </c>
      <c r="C374" s="422" t="str">
        <f>IFERROR(__xludf.DUMMYFUNCTION("""COMPUTED_VALUE"""),"Team 02")</f>
        <v>Team 02</v>
      </c>
      <c r="D374" s="422" t="str">
        <f>IFERROR(__xludf.DUMMYFUNCTION("""COMPUTED_VALUE"""),"PVC PLAN")</f>
        <v>PVC PLAN</v>
      </c>
      <c r="E374" s="422" t="str">
        <f>IFERROR(__xludf.DUMMYFUNCTION("""COMPUTED_VALUE"""),"TNI0413 need to cover pvc pipe")</f>
        <v>TNI0413 need to cover pvc pipe</v>
      </c>
      <c r="F374" s="424">
        <f>IFERROR(__xludf.DUMMYFUNCTION("""COMPUTED_VALUE"""),46133.0)</f>
        <v>46133</v>
      </c>
      <c r="G374" s="424">
        <f>IFERROR(__xludf.DUMMYFUNCTION("""COMPUTED_VALUE"""),46142.0)</f>
        <v>46142</v>
      </c>
      <c r="H374" s="422"/>
      <c r="I374" s="422"/>
      <c r="J374" s="422"/>
      <c r="K374" s="422"/>
      <c r="L374" s="422"/>
      <c r="M374" s="422"/>
      <c r="N374" s="422"/>
      <c r="O374" s="422">
        <f>IFERROR(__xludf.DUMMYFUNCTION("""COMPUTED_VALUE"""),0.0)</f>
        <v>0</v>
      </c>
      <c r="P374" s="422"/>
      <c r="Q374" s="422"/>
      <c r="R374" s="98"/>
      <c r="S374" s="98" t="str">
        <f>IFERROR(__xludf.DUMMYFUNCTION("""COMPUTED_VALUE"""),"myt_pyikyaw.aung")</f>
        <v>myt_pyikyaw.aung</v>
      </c>
      <c r="T374" s="98" t="str">
        <f>IFERROR(__xludf.DUMMYFUNCTION("""COMPUTED_VALUE"""),"TNI0413")</f>
        <v>TNI0413</v>
      </c>
    </row>
    <row r="375">
      <c r="A375" s="422">
        <f>IFERROR(__xludf.DUMMYFUNCTION("""COMPUTED_VALUE"""),373.0)</f>
        <v>373</v>
      </c>
      <c r="B375" s="422" t="str">
        <f>IFERROR(__xludf.DUMMYFUNCTION("""COMPUTED_VALUE"""),"PM")</f>
        <v>PM</v>
      </c>
      <c r="C375" s="422" t="str">
        <f>IFERROR(__xludf.DUMMYFUNCTION("""COMPUTED_VALUE"""),"Team 02")</f>
        <v>Team 02</v>
      </c>
      <c r="D375" s="422" t="str">
        <f>IFERROR(__xludf.DUMMYFUNCTION("""COMPUTED_VALUE"""),"PVC PLAN")</f>
        <v>PVC PLAN</v>
      </c>
      <c r="E375" s="422" t="str">
        <f>IFERROR(__xludf.DUMMYFUNCTION("""COMPUTED_VALUE"""),"TNI0261 need to cover pvc pipe")</f>
        <v>TNI0261 need to cover pvc pipe</v>
      </c>
      <c r="F375" s="424">
        <f>IFERROR(__xludf.DUMMYFUNCTION("""COMPUTED_VALUE"""),46133.0)</f>
        <v>46133</v>
      </c>
      <c r="G375" s="424">
        <f>IFERROR(__xludf.DUMMYFUNCTION("""COMPUTED_VALUE"""),46142.0)</f>
        <v>46142</v>
      </c>
      <c r="H375" s="422"/>
      <c r="I375" s="422"/>
      <c r="J375" s="422"/>
      <c r="K375" s="422"/>
      <c r="L375" s="422"/>
      <c r="M375" s="422"/>
      <c r="N375" s="422"/>
      <c r="O375" s="422">
        <f>IFERROR(__xludf.DUMMYFUNCTION("""COMPUTED_VALUE"""),0.0)</f>
        <v>0</v>
      </c>
      <c r="P375" s="422"/>
      <c r="Q375" s="422"/>
      <c r="R375" s="98"/>
      <c r="S375" s="98" t="str">
        <f>IFERROR(__xludf.DUMMYFUNCTION("""COMPUTED_VALUE"""),"myt_maung.maung11")</f>
        <v>myt_maung.maung11</v>
      </c>
      <c r="T375" s="98" t="str">
        <f>IFERROR(__xludf.DUMMYFUNCTION("""COMPUTED_VALUE"""),"TNI0261")</f>
        <v>TNI0261</v>
      </c>
    </row>
    <row r="376">
      <c r="A376" s="422">
        <f>IFERROR(__xludf.DUMMYFUNCTION("""COMPUTED_VALUE"""),374.0)</f>
        <v>374</v>
      </c>
      <c r="B376" s="422" t="str">
        <f>IFERROR(__xludf.DUMMYFUNCTION("""COMPUTED_VALUE"""),"PM")</f>
        <v>PM</v>
      </c>
      <c r="C376" s="422" t="str">
        <f>IFERROR(__xludf.DUMMYFUNCTION("""COMPUTED_VALUE"""),"Team 02")</f>
        <v>Team 02</v>
      </c>
      <c r="D376" s="422" t="str">
        <f>IFERROR(__xludf.DUMMYFUNCTION("""COMPUTED_VALUE"""),"PVC PLAN")</f>
        <v>PVC PLAN</v>
      </c>
      <c r="E376" s="422" t="str">
        <f>IFERROR(__xludf.DUMMYFUNCTION("""COMPUTED_VALUE"""),"TNI0240 need to cover pvc pipe")</f>
        <v>TNI0240 need to cover pvc pipe</v>
      </c>
      <c r="F376" s="424">
        <f>IFERROR(__xludf.DUMMYFUNCTION("""COMPUTED_VALUE"""),46133.0)</f>
        <v>46133</v>
      </c>
      <c r="G376" s="424">
        <f>IFERROR(__xludf.DUMMYFUNCTION("""COMPUTED_VALUE"""),46142.0)</f>
        <v>46142</v>
      </c>
      <c r="H376" s="422" t="str">
        <f>IFERROR(__xludf.DUMMYFUNCTION("""COMPUTED_VALUE"""),"VCM818129-Ye Lin, VCM856046-Zin Min Shein")</f>
        <v>VCM818129-Ye Lin, VCM856046-Zin Min Shein</v>
      </c>
      <c r="I376" s="425">
        <f>IFERROR(__xludf.DUMMYFUNCTION("""COMPUTED_VALUE"""),46142.0)</f>
        <v>46142</v>
      </c>
      <c r="J376" s="424">
        <f>IFERROR(__xludf.DUMMYFUNCTION("""COMPUTED_VALUE"""),46142.0)</f>
        <v>46142</v>
      </c>
      <c r="K376" s="422"/>
      <c r="L376" s="422"/>
      <c r="M376" s="422"/>
      <c r="N376" s="422"/>
      <c r="O376" s="422">
        <f>IFERROR(__xludf.DUMMYFUNCTION("""COMPUTED_VALUE"""),0.0)</f>
        <v>0</v>
      </c>
      <c r="P376" s="422"/>
      <c r="Q376" s="422"/>
      <c r="R376" s="98"/>
      <c r="S376" s="98" t="str">
        <f>IFERROR(__xludf.DUMMYFUNCTION("""COMPUTED_VALUE"""),"myt_wanna.oo2")</f>
        <v>myt_wanna.oo2</v>
      </c>
      <c r="T376" s="98" t="str">
        <f>IFERROR(__xludf.DUMMYFUNCTION("""COMPUTED_VALUE"""),"TNI0240")</f>
        <v>TNI0240</v>
      </c>
    </row>
    <row r="377">
      <c r="A377" s="422">
        <f>IFERROR(__xludf.DUMMYFUNCTION("""COMPUTED_VALUE"""),375.0)</f>
        <v>375</v>
      </c>
      <c r="B377" s="422" t="str">
        <f>IFERROR(__xludf.DUMMYFUNCTION("""COMPUTED_VALUE"""),"PM")</f>
        <v>PM</v>
      </c>
      <c r="C377" s="422" t="str">
        <f>IFERROR(__xludf.DUMMYFUNCTION("""COMPUTED_VALUE"""),"Team 02")</f>
        <v>Team 02</v>
      </c>
      <c r="D377" s="422" t="str">
        <f>IFERROR(__xludf.DUMMYFUNCTION("""COMPUTED_VALUE"""),"PVC PLAN")</f>
        <v>PVC PLAN</v>
      </c>
      <c r="E377" s="422" t="str">
        <f>IFERROR(__xludf.DUMMYFUNCTION("""COMPUTED_VALUE"""),"TNI0268 need to cover pvc pipe")</f>
        <v>TNI0268 need to cover pvc pipe</v>
      </c>
      <c r="F377" s="424">
        <f>IFERROR(__xludf.DUMMYFUNCTION("""COMPUTED_VALUE"""),46133.0)</f>
        <v>46133</v>
      </c>
      <c r="G377" s="424">
        <f>IFERROR(__xludf.DUMMYFUNCTION("""COMPUTED_VALUE"""),46142.0)</f>
        <v>46142</v>
      </c>
      <c r="H377" s="422" t="str">
        <f>IFERROR(__xludf.DUMMYFUNCTION("""COMPUTED_VALUE"""),"VCM856046-Zin Min Shein, VCM818129-Ye Lin")</f>
        <v>VCM856046-Zin Min Shein, VCM818129-Ye Lin</v>
      </c>
      <c r="I377" s="425">
        <f>IFERROR(__xludf.DUMMYFUNCTION("""COMPUTED_VALUE"""),46142.0)</f>
        <v>46142</v>
      </c>
      <c r="J377" s="424">
        <f>IFERROR(__xludf.DUMMYFUNCTION("""COMPUTED_VALUE"""),46142.0)</f>
        <v>46142</v>
      </c>
      <c r="K377" s="422"/>
      <c r="L377" s="422"/>
      <c r="M377" s="422"/>
      <c r="N377" s="422"/>
      <c r="O377" s="422">
        <f>IFERROR(__xludf.DUMMYFUNCTION("""COMPUTED_VALUE"""),0.0)</f>
        <v>0</v>
      </c>
      <c r="P377" s="422"/>
      <c r="Q377" s="422"/>
      <c r="R377" s="98"/>
      <c r="S377" s="98" t="str">
        <f>IFERROR(__xludf.DUMMYFUNCTION("""COMPUTED_VALUE"""),"myt_zinmin.shein")</f>
        <v>myt_zinmin.shein</v>
      </c>
      <c r="T377" s="98" t="str">
        <f>IFERROR(__xludf.DUMMYFUNCTION("""COMPUTED_VALUE"""),"TNI0268")</f>
        <v>TNI0268</v>
      </c>
    </row>
    <row r="378">
      <c r="A378" s="422">
        <f>IFERROR(__xludf.DUMMYFUNCTION("""COMPUTED_VALUE"""),376.0)</f>
        <v>376</v>
      </c>
      <c r="B378" s="422" t="str">
        <f>IFERROR(__xludf.DUMMYFUNCTION("""COMPUTED_VALUE"""),"PM")</f>
        <v>PM</v>
      </c>
      <c r="C378" s="422" t="str">
        <f>IFERROR(__xludf.DUMMYFUNCTION("""COMPUTED_VALUE"""),"Team 02")</f>
        <v>Team 02</v>
      </c>
      <c r="D378" s="422" t="str">
        <f>IFERROR(__xludf.DUMMYFUNCTION("""COMPUTED_VALUE"""),"PVC PLAN")</f>
        <v>PVC PLAN</v>
      </c>
      <c r="E378" s="422" t="str">
        <f>IFERROR(__xludf.DUMMYFUNCTION("""COMPUTED_VALUE"""),"TNI0294 need to cover pvc pipe")</f>
        <v>TNI0294 need to cover pvc pipe</v>
      </c>
      <c r="F378" s="424">
        <f>IFERROR(__xludf.DUMMYFUNCTION("""COMPUTED_VALUE"""),46133.0)</f>
        <v>46133</v>
      </c>
      <c r="G378" s="424">
        <f>IFERROR(__xludf.DUMMYFUNCTION("""COMPUTED_VALUE"""),46142.0)</f>
        <v>46142</v>
      </c>
      <c r="H378" s="422" t="str">
        <f>IFERROR(__xludf.DUMMYFUNCTION("""COMPUTED_VALUE"""),"VCM856046-Zin Min Shein, VCM818129-Ye Lin")</f>
        <v>VCM856046-Zin Min Shein, VCM818129-Ye Lin</v>
      </c>
      <c r="I378" s="425">
        <f>IFERROR(__xludf.DUMMYFUNCTION("""COMPUTED_VALUE"""),46142.0)</f>
        <v>46142</v>
      </c>
      <c r="J378" s="424">
        <f>IFERROR(__xludf.DUMMYFUNCTION("""COMPUTED_VALUE"""),46142.0)</f>
        <v>46142</v>
      </c>
      <c r="K378" s="422"/>
      <c r="L378" s="422"/>
      <c r="M378" s="422"/>
      <c r="N378" s="422"/>
      <c r="O378" s="422">
        <f>IFERROR(__xludf.DUMMYFUNCTION("""COMPUTED_VALUE"""),0.0)</f>
        <v>0</v>
      </c>
      <c r="P378" s="422"/>
      <c r="Q378" s="422"/>
      <c r="R378" s="98"/>
      <c r="S378" s="98" t="str">
        <f>IFERROR(__xludf.DUMMYFUNCTION("""COMPUTED_VALUE"""),"myt_pyikyaw.aung")</f>
        <v>myt_pyikyaw.aung</v>
      </c>
      <c r="T378" s="98" t="str">
        <f>IFERROR(__xludf.DUMMYFUNCTION("""COMPUTED_VALUE"""),"TNI0294")</f>
        <v>TNI0294</v>
      </c>
    </row>
    <row r="379">
      <c r="A379" s="422">
        <f>IFERROR(__xludf.DUMMYFUNCTION("""COMPUTED_VALUE"""),377.0)</f>
        <v>377</v>
      </c>
      <c r="B379" s="422" t="str">
        <f>IFERROR(__xludf.DUMMYFUNCTION("""COMPUTED_VALUE"""),"PM")</f>
        <v>PM</v>
      </c>
      <c r="C379" s="422" t="str">
        <f>IFERROR(__xludf.DUMMYFUNCTION("""COMPUTED_VALUE"""),"Team 02")</f>
        <v>Team 02</v>
      </c>
      <c r="D379" s="422" t="str">
        <f>IFERROR(__xludf.DUMMYFUNCTION("""COMPUTED_VALUE"""),"PVC PLAN")</f>
        <v>PVC PLAN</v>
      </c>
      <c r="E379" s="422" t="str">
        <f>IFERROR(__xludf.DUMMYFUNCTION("""COMPUTED_VALUE"""),"TNI0242 need to cover pvc pipe")</f>
        <v>TNI0242 need to cover pvc pipe</v>
      </c>
      <c r="F379" s="424">
        <f>IFERROR(__xludf.DUMMYFUNCTION("""COMPUTED_VALUE"""),46133.0)</f>
        <v>46133</v>
      </c>
      <c r="G379" s="424">
        <f>IFERROR(__xludf.DUMMYFUNCTION("""COMPUTED_VALUE"""),46142.0)</f>
        <v>46142</v>
      </c>
      <c r="H379" s="422" t="str">
        <f>IFERROR(__xludf.DUMMYFUNCTION("""COMPUTED_VALUE"""),"VCM856046-Zin Min Shein, VCM818129-Ye Lin")</f>
        <v>VCM856046-Zin Min Shein, VCM818129-Ye Lin</v>
      </c>
      <c r="I379" s="425">
        <f>IFERROR(__xludf.DUMMYFUNCTION("""COMPUTED_VALUE"""),46142.0)</f>
        <v>46142</v>
      </c>
      <c r="J379" s="424">
        <f>IFERROR(__xludf.DUMMYFUNCTION("""COMPUTED_VALUE"""),46142.0)</f>
        <v>46142</v>
      </c>
      <c r="K379" s="422"/>
      <c r="L379" s="422"/>
      <c r="M379" s="422" t="str">
        <f>IFERROR(__xludf.DUMMYFUNCTION("""COMPUTED_VALUE"""),"Dep Confirm completion")</f>
        <v>Dep Confirm completion</v>
      </c>
      <c r="N379" s="422"/>
      <c r="O379" s="422">
        <f>IFERROR(__xludf.DUMMYFUNCTION("""COMPUTED_VALUE"""),1.0)</f>
        <v>1</v>
      </c>
      <c r="P379" s="422"/>
      <c r="Q379" s="422"/>
      <c r="R379" s="98"/>
      <c r="S379" s="98" t="str">
        <f>IFERROR(__xludf.DUMMYFUNCTION("""COMPUTED_VALUE"""),"myt_pyikyaw.aung")</f>
        <v>myt_pyikyaw.aung</v>
      </c>
      <c r="T379" s="98" t="str">
        <f>IFERROR(__xludf.DUMMYFUNCTION("""COMPUTED_VALUE"""),"TNI0242")</f>
        <v>TNI0242</v>
      </c>
    </row>
    <row r="380">
      <c r="A380" s="422">
        <f>IFERROR(__xludf.DUMMYFUNCTION("""COMPUTED_VALUE"""),378.0)</f>
        <v>378</v>
      </c>
      <c r="B380" s="422" t="str">
        <f>IFERROR(__xludf.DUMMYFUNCTION("""COMPUTED_VALUE"""),"PM")</f>
        <v>PM</v>
      </c>
      <c r="C380" s="422" t="str">
        <f>IFERROR(__xludf.DUMMYFUNCTION("""COMPUTED_VALUE"""),"Team 02")</f>
        <v>Team 02</v>
      </c>
      <c r="D380" s="422" t="str">
        <f>IFERROR(__xludf.DUMMYFUNCTION("""COMPUTED_VALUE"""),"PVC PLAN")</f>
        <v>PVC PLAN</v>
      </c>
      <c r="E380" s="422" t="str">
        <f>IFERROR(__xludf.DUMMYFUNCTION("""COMPUTED_VALUE"""),"TNI0248 need to cover pvc pipe")</f>
        <v>TNI0248 need to cover pvc pipe</v>
      </c>
      <c r="F380" s="424">
        <f>IFERROR(__xludf.DUMMYFUNCTION("""COMPUTED_VALUE"""),46133.0)</f>
        <v>46133</v>
      </c>
      <c r="G380" s="424">
        <f>IFERROR(__xludf.DUMMYFUNCTION("""COMPUTED_VALUE"""),46142.0)</f>
        <v>46142</v>
      </c>
      <c r="H380" s="422" t="str">
        <f>IFERROR(__xludf.DUMMYFUNCTION("""COMPUTED_VALUE"""),"VCM846818-Wanna Oo, VCM289631-Maung Maung")</f>
        <v>VCM846818-Wanna Oo, VCM289631-Maung Maung</v>
      </c>
      <c r="I380" s="425">
        <f>IFERROR(__xludf.DUMMYFUNCTION("""COMPUTED_VALUE"""),46133.0)</f>
        <v>46133</v>
      </c>
      <c r="J380" s="424">
        <f>IFERROR(__xludf.DUMMYFUNCTION("""COMPUTED_VALUE"""),46133.0)</f>
        <v>46133</v>
      </c>
      <c r="K380" s="422"/>
      <c r="L380" s="422"/>
      <c r="M380" s="422"/>
      <c r="N380" s="422"/>
      <c r="O380" s="422">
        <f>IFERROR(__xludf.DUMMYFUNCTION("""COMPUTED_VALUE"""),0.0)</f>
        <v>0</v>
      </c>
      <c r="P380" s="422"/>
      <c r="Q380" s="422"/>
      <c r="R380" s="98"/>
      <c r="S380" s="98" t="str">
        <f>IFERROR(__xludf.DUMMYFUNCTION("""COMPUTED_VALUE"""),"myt_pyikyaw.aung")</f>
        <v>myt_pyikyaw.aung</v>
      </c>
      <c r="T380" s="98" t="str">
        <f>IFERROR(__xludf.DUMMYFUNCTION("""COMPUTED_VALUE"""),"TNI0248")</f>
        <v>TNI0248</v>
      </c>
    </row>
    <row r="381">
      <c r="A381" s="422">
        <f>IFERROR(__xludf.DUMMYFUNCTION("""COMPUTED_VALUE"""),379.0)</f>
        <v>379</v>
      </c>
      <c r="B381" s="422" t="str">
        <f>IFERROR(__xludf.DUMMYFUNCTION("""COMPUTED_VALUE"""),"PM")</f>
        <v>PM</v>
      </c>
      <c r="C381" s="422" t="str">
        <f>IFERROR(__xludf.DUMMYFUNCTION("""COMPUTED_VALUE"""),"Team 02")</f>
        <v>Team 02</v>
      </c>
      <c r="D381" s="422" t="str">
        <f>IFERROR(__xludf.DUMMYFUNCTION("""COMPUTED_VALUE"""),"PVC PLAN")</f>
        <v>PVC PLAN</v>
      </c>
      <c r="E381" s="422" t="str">
        <f>IFERROR(__xludf.DUMMYFUNCTION("""COMPUTED_VALUE"""),"TNI0200 need to cover pvc pipe")</f>
        <v>TNI0200 need to cover pvc pipe</v>
      </c>
      <c r="F381" s="424">
        <f>IFERROR(__xludf.DUMMYFUNCTION("""COMPUTED_VALUE"""),46133.0)</f>
        <v>46133</v>
      </c>
      <c r="G381" s="424">
        <f>IFERROR(__xludf.DUMMYFUNCTION("""COMPUTED_VALUE"""),46142.0)</f>
        <v>46142</v>
      </c>
      <c r="H381" s="422"/>
      <c r="I381" s="422"/>
      <c r="J381" s="422"/>
      <c r="K381" s="422"/>
      <c r="L381" s="422"/>
      <c r="M381" s="422"/>
      <c r="N381" s="422"/>
      <c r="O381" s="422">
        <f>IFERROR(__xludf.DUMMYFUNCTION("""COMPUTED_VALUE"""),0.0)</f>
        <v>0</v>
      </c>
      <c r="P381" s="422"/>
      <c r="Q381" s="422"/>
      <c r="R381" s="98"/>
      <c r="S381" s="98" t="str">
        <f>IFERROR(__xludf.DUMMYFUNCTION("""COMPUTED_VALUE"""),"myt_wanna.oo2")</f>
        <v>myt_wanna.oo2</v>
      </c>
      <c r="T381" s="98" t="str">
        <f>IFERROR(__xludf.DUMMYFUNCTION("""COMPUTED_VALUE"""),"TNI0200")</f>
        <v>TNI0200</v>
      </c>
    </row>
    <row r="382">
      <c r="A382" s="422">
        <f>IFERROR(__xludf.DUMMYFUNCTION("""COMPUTED_VALUE"""),380.0)</f>
        <v>380</v>
      </c>
      <c r="B382" s="422" t="str">
        <f>IFERROR(__xludf.DUMMYFUNCTION("""COMPUTED_VALUE"""),"PM")</f>
        <v>PM</v>
      </c>
      <c r="C382" s="422" t="str">
        <f>IFERROR(__xludf.DUMMYFUNCTION("""COMPUTED_VALUE"""),"Team 02")</f>
        <v>Team 02</v>
      </c>
      <c r="D382" s="422" t="str">
        <f>IFERROR(__xludf.DUMMYFUNCTION("""COMPUTED_VALUE"""),"PVC PLAN")</f>
        <v>PVC PLAN</v>
      </c>
      <c r="E382" s="422" t="str">
        <f>IFERROR(__xludf.DUMMYFUNCTION("""COMPUTED_VALUE"""),"TNI0262 need to cover pvc pipe")</f>
        <v>TNI0262 need to cover pvc pipe</v>
      </c>
      <c r="F382" s="424">
        <f>IFERROR(__xludf.DUMMYFUNCTION("""COMPUTED_VALUE"""),46133.0)</f>
        <v>46133</v>
      </c>
      <c r="G382" s="424">
        <f>IFERROR(__xludf.DUMMYFUNCTION("""COMPUTED_VALUE"""),46142.0)</f>
        <v>46142</v>
      </c>
      <c r="H382" s="422"/>
      <c r="I382" s="422"/>
      <c r="J382" s="422"/>
      <c r="K382" s="422"/>
      <c r="L382" s="422"/>
      <c r="M382" s="422"/>
      <c r="N382" s="422"/>
      <c r="O382" s="422">
        <f>IFERROR(__xludf.DUMMYFUNCTION("""COMPUTED_VALUE"""),0.0)</f>
        <v>0</v>
      </c>
      <c r="P382" s="422"/>
      <c r="Q382" s="422"/>
      <c r="R382" s="98"/>
      <c r="S382" s="98" t="str">
        <f>IFERROR(__xludf.DUMMYFUNCTION("""COMPUTED_VALUE"""),"myt_zinmin.shein")</f>
        <v>myt_zinmin.shein</v>
      </c>
      <c r="T382" s="98" t="str">
        <f>IFERROR(__xludf.DUMMYFUNCTION("""COMPUTED_VALUE"""),"TNI0262")</f>
        <v>TNI0262</v>
      </c>
    </row>
    <row r="383">
      <c r="A383" s="422">
        <f>IFERROR(__xludf.DUMMYFUNCTION("""COMPUTED_VALUE"""),381.0)</f>
        <v>381</v>
      </c>
      <c r="B383" s="422" t="str">
        <f>IFERROR(__xludf.DUMMYFUNCTION("""COMPUTED_VALUE"""),"PM")</f>
        <v>PM</v>
      </c>
      <c r="C383" s="422" t="str">
        <f>IFERROR(__xludf.DUMMYFUNCTION("""COMPUTED_VALUE"""),"Team 02")</f>
        <v>Team 02</v>
      </c>
      <c r="D383" s="422" t="str">
        <f>IFERROR(__xludf.DUMMYFUNCTION("""COMPUTED_VALUE"""),"PVC PLAN")</f>
        <v>PVC PLAN</v>
      </c>
      <c r="E383" s="422" t="str">
        <f>IFERROR(__xludf.DUMMYFUNCTION("""COMPUTED_VALUE"""),"TNI0267 need to cover pvc pipe")</f>
        <v>TNI0267 need to cover pvc pipe</v>
      </c>
      <c r="F383" s="424">
        <f>IFERROR(__xludf.DUMMYFUNCTION("""COMPUTED_VALUE"""),46133.0)</f>
        <v>46133</v>
      </c>
      <c r="G383" s="424">
        <f>IFERROR(__xludf.DUMMYFUNCTION("""COMPUTED_VALUE"""),46142.0)</f>
        <v>46142</v>
      </c>
      <c r="H383" s="422"/>
      <c r="I383" s="422"/>
      <c r="J383" s="422"/>
      <c r="K383" s="422"/>
      <c r="L383" s="422"/>
      <c r="M383" s="422"/>
      <c r="N383" s="422"/>
      <c r="O383" s="422">
        <f>IFERROR(__xludf.DUMMYFUNCTION("""COMPUTED_VALUE"""),0.0)</f>
        <v>0</v>
      </c>
      <c r="P383" s="422"/>
      <c r="Q383" s="422"/>
      <c r="R383" s="98"/>
      <c r="S383" s="98" t="str">
        <f>IFERROR(__xludf.DUMMYFUNCTION("""COMPUTED_VALUE"""),"myt_zinmin.shein")</f>
        <v>myt_zinmin.shein</v>
      </c>
      <c r="T383" s="98" t="str">
        <f>IFERROR(__xludf.DUMMYFUNCTION("""COMPUTED_VALUE"""),"TNI0267")</f>
        <v>TNI0267</v>
      </c>
    </row>
    <row r="384">
      <c r="A384" s="422">
        <f>IFERROR(__xludf.DUMMYFUNCTION("""COMPUTED_VALUE"""),382.0)</f>
        <v>382</v>
      </c>
      <c r="B384" s="422" t="str">
        <f>IFERROR(__xludf.DUMMYFUNCTION("""COMPUTED_VALUE"""),"PM")</f>
        <v>PM</v>
      </c>
      <c r="C384" s="422" t="str">
        <f>IFERROR(__xludf.DUMMYFUNCTION("""COMPUTED_VALUE"""),"Team 02")</f>
        <v>Team 02</v>
      </c>
      <c r="D384" s="422" t="str">
        <f>IFERROR(__xludf.DUMMYFUNCTION("""COMPUTED_VALUE"""),"PVC PLAN")</f>
        <v>PVC PLAN</v>
      </c>
      <c r="E384" s="422" t="str">
        <f>IFERROR(__xludf.DUMMYFUNCTION("""COMPUTED_VALUE"""),"TNI0241 need to cover pvc pipe")</f>
        <v>TNI0241 need to cover pvc pipe</v>
      </c>
      <c r="F384" s="424">
        <f>IFERROR(__xludf.DUMMYFUNCTION("""COMPUTED_VALUE"""),46133.0)</f>
        <v>46133</v>
      </c>
      <c r="G384" s="424">
        <f>IFERROR(__xludf.DUMMYFUNCTION("""COMPUTED_VALUE"""),46142.0)</f>
        <v>46142</v>
      </c>
      <c r="H384" s="422" t="str">
        <f>IFERROR(__xludf.DUMMYFUNCTION("""COMPUTED_VALUE"""),"VCM856046-Zin Min Shein, VCM818129-Ye Lin")</f>
        <v>VCM856046-Zin Min Shein, VCM818129-Ye Lin</v>
      </c>
      <c r="I384" s="422"/>
      <c r="J384" s="422"/>
      <c r="K384" s="422"/>
      <c r="L384" s="422"/>
      <c r="M384" s="422"/>
      <c r="N384" s="422"/>
      <c r="O384" s="422">
        <f>IFERROR(__xludf.DUMMYFUNCTION("""COMPUTED_VALUE"""),0.0)</f>
        <v>0</v>
      </c>
      <c r="P384" s="422"/>
      <c r="Q384" s="422"/>
      <c r="R384" s="98"/>
      <c r="S384" s="98" t="str">
        <f>IFERROR(__xludf.DUMMYFUNCTION("""COMPUTED_VALUE"""),"myt_zinmin.shein")</f>
        <v>myt_zinmin.shein</v>
      </c>
      <c r="T384" s="98" t="str">
        <f>IFERROR(__xludf.DUMMYFUNCTION("""COMPUTED_VALUE"""),"TNI0241")</f>
        <v>TNI0241</v>
      </c>
    </row>
    <row r="385">
      <c r="A385" s="422">
        <f>IFERROR(__xludf.DUMMYFUNCTION("""COMPUTED_VALUE"""),383.0)</f>
        <v>383</v>
      </c>
      <c r="B385" s="422" t="str">
        <f>IFERROR(__xludf.DUMMYFUNCTION("""COMPUTED_VALUE"""),"PM")</f>
        <v>PM</v>
      </c>
      <c r="C385" s="422" t="str">
        <f>IFERROR(__xludf.DUMMYFUNCTION("""COMPUTED_VALUE"""),"Team 02")</f>
        <v>Team 02</v>
      </c>
      <c r="D385" s="422" t="str">
        <f>IFERROR(__xludf.DUMMYFUNCTION("""COMPUTED_VALUE"""),"PVC PLAN")</f>
        <v>PVC PLAN</v>
      </c>
      <c r="E385" s="422" t="str">
        <f>IFERROR(__xludf.DUMMYFUNCTION("""COMPUTED_VALUE"""),"TNI0252 need to cover pvc pipe")</f>
        <v>TNI0252 need to cover pvc pipe</v>
      </c>
      <c r="F385" s="424">
        <f>IFERROR(__xludf.DUMMYFUNCTION("""COMPUTED_VALUE"""),46133.0)</f>
        <v>46133</v>
      </c>
      <c r="G385" s="424">
        <f>IFERROR(__xludf.DUMMYFUNCTION("""COMPUTED_VALUE"""),46142.0)</f>
        <v>46142</v>
      </c>
      <c r="H385" s="422" t="str">
        <f>IFERROR(__xludf.DUMMYFUNCTION("""COMPUTED_VALUE"""),"VCM846818-Wanna Oo, VCM818105-Pyi Kyaw Aung")</f>
        <v>VCM846818-Wanna Oo, VCM818105-Pyi Kyaw Aung</v>
      </c>
      <c r="I385" s="422"/>
      <c r="J385" s="422"/>
      <c r="K385" s="422"/>
      <c r="L385" s="422"/>
      <c r="M385" s="422"/>
      <c r="N385" s="422"/>
      <c r="O385" s="422">
        <f>IFERROR(__xludf.DUMMYFUNCTION("""COMPUTED_VALUE"""),0.0)</f>
        <v>0</v>
      </c>
      <c r="P385" s="422"/>
      <c r="Q385" s="422"/>
      <c r="R385" s="98"/>
      <c r="S385" s="98" t="str">
        <f>IFERROR(__xludf.DUMMYFUNCTION("""COMPUTED_VALUE"""),"myt_wanna.oo2")</f>
        <v>myt_wanna.oo2</v>
      </c>
      <c r="T385" s="98" t="str">
        <f>IFERROR(__xludf.DUMMYFUNCTION("""COMPUTED_VALUE"""),"TNI0252")</f>
        <v>TNI0252</v>
      </c>
    </row>
    <row r="386">
      <c r="A386" s="422">
        <f>IFERROR(__xludf.DUMMYFUNCTION("""COMPUTED_VALUE"""),384.0)</f>
        <v>384</v>
      </c>
      <c r="B386" s="422" t="str">
        <f>IFERROR(__xludf.DUMMYFUNCTION("""COMPUTED_VALUE"""),"PM")</f>
        <v>PM</v>
      </c>
      <c r="C386" s="422" t="str">
        <f>IFERROR(__xludf.DUMMYFUNCTION("""COMPUTED_VALUE"""),"Team 02")</f>
        <v>Team 02</v>
      </c>
      <c r="D386" s="422" t="str">
        <f>IFERROR(__xludf.DUMMYFUNCTION("""COMPUTED_VALUE"""),"PVC PLAN")</f>
        <v>PVC PLAN</v>
      </c>
      <c r="E386" s="422" t="str">
        <f>IFERROR(__xludf.DUMMYFUNCTION("""COMPUTED_VALUE"""),"TNI0260 need to cover pvc pipe")</f>
        <v>TNI0260 need to cover pvc pipe</v>
      </c>
      <c r="F386" s="424">
        <f>IFERROR(__xludf.DUMMYFUNCTION("""COMPUTED_VALUE"""),46133.0)</f>
        <v>46133</v>
      </c>
      <c r="G386" s="424">
        <f>IFERROR(__xludf.DUMMYFUNCTION("""COMPUTED_VALUE"""),46142.0)</f>
        <v>46142</v>
      </c>
      <c r="H386" s="422" t="str">
        <f>IFERROR(__xludf.DUMMYFUNCTION("""COMPUTED_VALUE"""),"VCM856046-Zin Min Shein, VCM818129-Ye Lin")</f>
        <v>VCM856046-Zin Min Shein, VCM818129-Ye Lin</v>
      </c>
      <c r="I386" s="425">
        <f>IFERROR(__xludf.DUMMYFUNCTION("""COMPUTED_VALUE"""),46142.0)</f>
        <v>46142</v>
      </c>
      <c r="J386" s="424">
        <f>IFERROR(__xludf.DUMMYFUNCTION("""COMPUTED_VALUE"""),46142.0)</f>
        <v>46142</v>
      </c>
      <c r="K386" s="422"/>
      <c r="L386" s="422"/>
      <c r="M386" s="422" t="str">
        <f>IFERROR(__xludf.DUMMYFUNCTION("""COMPUTED_VALUE"""),"Dep Confirm completion")</f>
        <v>Dep Confirm completion</v>
      </c>
      <c r="N386" s="422"/>
      <c r="O386" s="422">
        <f>IFERROR(__xludf.DUMMYFUNCTION("""COMPUTED_VALUE"""),1.0)</f>
        <v>1</v>
      </c>
      <c r="P386" s="422"/>
      <c r="Q386" s="422"/>
      <c r="R386" s="98"/>
      <c r="S386" s="98" t="str">
        <f>IFERROR(__xludf.DUMMYFUNCTION("""COMPUTED_VALUE"""),"myt_ye.lin22")</f>
        <v>myt_ye.lin22</v>
      </c>
      <c r="T386" s="98" t="str">
        <f>IFERROR(__xludf.DUMMYFUNCTION("""COMPUTED_VALUE"""),"TNI0260")</f>
        <v>TNI0260</v>
      </c>
    </row>
    <row r="387">
      <c r="A387" s="422">
        <f>IFERROR(__xludf.DUMMYFUNCTION("""COMPUTED_VALUE"""),385.0)</f>
        <v>385</v>
      </c>
      <c r="B387" s="422" t="str">
        <f>IFERROR(__xludf.DUMMYFUNCTION("""COMPUTED_VALUE"""),"PM")</f>
        <v>PM</v>
      </c>
      <c r="C387" s="422" t="str">
        <f>IFERROR(__xludf.DUMMYFUNCTION("""COMPUTED_VALUE"""),"Team 03")</f>
        <v>Team 03</v>
      </c>
      <c r="D387" s="422" t="str">
        <f>IFERROR(__xludf.DUMMYFUNCTION("""COMPUTED_VALUE"""),"100 point plan")</f>
        <v>100 point plan</v>
      </c>
      <c r="E387" s="422" t="str">
        <f>IFERROR(__xludf.DUMMYFUNCTION("""COMPUTED_VALUE"""),"TNI0004 100 point plan need to clean site overview inside and outeside and make to neatly patchord cable.")</f>
        <v>TNI0004 100 point plan need to clean site overview inside and outeside and make to neatly patchord cable.</v>
      </c>
      <c r="F387" s="424">
        <f>IFERROR(__xludf.DUMMYFUNCTION("""COMPUTED_VALUE"""),46091.0)</f>
        <v>46091</v>
      </c>
      <c r="G387" s="424">
        <f>IFERROR(__xludf.DUMMYFUNCTION("""COMPUTED_VALUE"""),46112.0)</f>
        <v>46112</v>
      </c>
      <c r="H387" s="422" t="str">
        <f>IFERROR(__xludf.DUMMYFUNCTION("""COMPUTED_VALUE"""),"VCM852892-Tin Naing Lin")</f>
        <v>VCM852892-Tin Naing Lin</v>
      </c>
      <c r="I387" s="425">
        <f>IFERROR(__xludf.DUMMYFUNCTION("""COMPUTED_VALUE"""),46111.0)</f>
        <v>46111</v>
      </c>
      <c r="J387" s="424">
        <f>IFERROR(__xludf.DUMMYFUNCTION("""COMPUTED_VALUE"""),46111.0)</f>
        <v>46111</v>
      </c>
      <c r="K387" s="422"/>
      <c r="L387" s="422"/>
      <c r="M387" s="422"/>
      <c r="N387" s="422"/>
      <c r="O387" s="422">
        <f>IFERROR(__xludf.DUMMYFUNCTION("""COMPUTED_VALUE"""),0.0)</f>
        <v>0</v>
      </c>
      <c r="P387" s="422"/>
      <c r="Q387" s="422"/>
      <c r="R387" s="98"/>
      <c r="S387" s="98" t="str">
        <f>IFERROR(__xludf.DUMMYFUNCTION("""COMPUTED_VALUE"""),"myt_myintkoko.aung")</f>
        <v>myt_myintkoko.aung</v>
      </c>
      <c r="T387" s="98" t="str">
        <f>IFERROR(__xludf.DUMMYFUNCTION("""COMPUTED_VALUE"""),"TNI0004")</f>
        <v>TNI0004</v>
      </c>
    </row>
    <row r="388">
      <c r="A388" s="422">
        <f>IFERROR(__xludf.DUMMYFUNCTION("""COMPUTED_VALUE"""),386.0)</f>
        <v>386</v>
      </c>
      <c r="B388" s="422" t="str">
        <f>IFERROR(__xludf.DUMMYFUNCTION("""COMPUTED_VALUE"""),"PM")</f>
        <v>PM</v>
      </c>
      <c r="C388" s="422" t="str">
        <f>IFERROR(__xludf.DUMMYFUNCTION("""COMPUTED_VALUE"""),"Team 03")</f>
        <v>Team 03</v>
      </c>
      <c r="D388" s="422" t="str">
        <f>IFERROR(__xludf.DUMMYFUNCTION("""COMPUTED_VALUE"""),"100 point plan")</f>
        <v>100 point plan</v>
      </c>
      <c r="E388" s="422" t="str">
        <f>IFERROR(__xludf.DUMMYFUNCTION("""COMPUTED_VALUE"""),"TNI0008 100 point plan need to clean site overview inside and outeside and make to neatly patchord cable.")</f>
        <v>TNI0008 100 point plan need to clean site overview inside and outeside and make to neatly patchord cable.</v>
      </c>
      <c r="F388" s="424">
        <f>IFERROR(__xludf.DUMMYFUNCTION("""COMPUTED_VALUE"""),46091.0)</f>
        <v>46091</v>
      </c>
      <c r="G388" s="424">
        <f>IFERROR(__xludf.DUMMYFUNCTION("""COMPUTED_VALUE"""),46112.0)</f>
        <v>46112</v>
      </c>
      <c r="H388" s="422" t="str">
        <f>IFERROR(__xludf.DUMMYFUNCTION("""COMPUTED_VALUE"""),"VCM852892-Tin Naing Lin")</f>
        <v>VCM852892-Tin Naing Lin</v>
      </c>
      <c r="I388" s="425">
        <f>IFERROR(__xludf.DUMMYFUNCTION("""COMPUTED_VALUE"""),46086.0)</f>
        <v>46086</v>
      </c>
      <c r="J388" s="424">
        <f>IFERROR(__xludf.DUMMYFUNCTION("""COMPUTED_VALUE"""),46086.0)</f>
        <v>46086</v>
      </c>
      <c r="K388" s="422"/>
      <c r="L388" s="422"/>
      <c r="M388" s="422"/>
      <c r="N388" s="422"/>
      <c r="O388" s="422">
        <f>IFERROR(__xludf.DUMMYFUNCTION("""COMPUTED_VALUE"""),0.0)</f>
        <v>0</v>
      </c>
      <c r="P388" s="422"/>
      <c r="Q388" s="422"/>
      <c r="R388" s="98"/>
      <c r="S388" s="98" t="str">
        <f>IFERROR(__xludf.DUMMYFUNCTION("""COMPUTED_VALUE"""),"myt_tinnaing.lin11")</f>
        <v>myt_tinnaing.lin11</v>
      </c>
      <c r="T388" s="98" t="str">
        <f>IFERROR(__xludf.DUMMYFUNCTION("""COMPUTED_VALUE"""),"TNI0008")</f>
        <v>TNI0008</v>
      </c>
    </row>
    <row r="389">
      <c r="A389" s="422">
        <f>IFERROR(__xludf.DUMMYFUNCTION("""COMPUTED_VALUE"""),387.0)</f>
        <v>387</v>
      </c>
      <c r="B389" s="422" t="str">
        <f>IFERROR(__xludf.DUMMYFUNCTION("""COMPUTED_VALUE"""),"PM")</f>
        <v>PM</v>
      </c>
      <c r="C389" s="422" t="str">
        <f>IFERROR(__xludf.DUMMYFUNCTION("""COMPUTED_VALUE"""),"Team 03")</f>
        <v>Team 03</v>
      </c>
      <c r="D389" s="422" t="str">
        <f>IFERROR(__xludf.DUMMYFUNCTION("""COMPUTED_VALUE"""),"100 point plan")</f>
        <v>100 point plan</v>
      </c>
      <c r="E389" s="422" t="str">
        <f>IFERROR(__xludf.DUMMYFUNCTION("""COMPUTED_VALUE"""),"TNI0079 100 point plan need to clean site overview inside and outeside and make to neatly patchord cable.")</f>
        <v>TNI0079 100 point plan need to clean site overview inside and outeside and make to neatly patchord cable.</v>
      </c>
      <c r="F389" s="424">
        <f>IFERROR(__xludf.DUMMYFUNCTION("""COMPUTED_VALUE"""),46091.0)</f>
        <v>46091</v>
      </c>
      <c r="G389" s="424">
        <f>IFERROR(__xludf.DUMMYFUNCTION("""COMPUTED_VALUE"""),46112.0)</f>
        <v>46112</v>
      </c>
      <c r="H389" s="422" t="str">
        <f>IFERROR(__xludf.DUMMYFUNCTION("""COMPUTED_VALUE"""),"VCM852892-Tin Naing Lin")</f>
        <v>VCM852892-Tin Naing Lin</v>
      </c>
      <c r="I389" s="425">
        <f>IFERROR(__xludf.DUMMYFUNCTION("""COMPUTED_VALUE"""),46098.0)</f>
        <v>46098</v>
      </c>
      <c r="J389" s="424">
        <f>IFERROR(__xludf.DUMMYFUNCTION("""COMPUTED_VALUE"""),46098.0)</f>
        <v>46098</v>
      </c>
      <c r="K389" s="422"/>
      <c r="L389" s="422"/>
      <c r="M389" s="422"/>
      <c r="N389" s="422"/>
      <c r="O389" s="422">
        <f>IFERROR(__xludf.DUMMYFUNCTION("""COMPUTED_VALUE"""),0.0)</f>
        <v>0</v>
      </c>
      <c r="P389" s="422"/>
      <c r="Q389" s="422"/>
      <c r="R389" s="98"/>
      <c r="S389" s="98" t="str">
        <f>IFERROR(__xludf.DUMMYFUNCTION("""COMPUTED_VALUE"""),"myt_myintkoko.aung")</f>
        <v>myt_myintkoko.aung</v>
      </c>
      <c r="T389" s="98" t="str">
        <f>IFERROR(__xludf.DUMMYFUNCTION("""COMPUTED_VALUE"""),"TNI0079")</f>
        <v>TNI0079</v>
      </c>
    </row>
    <row r="390">
      <c r="A390" s="422">
        <f>IFERROR(__xludf.DUMMYFUNCTION("""COMPUTED_VALUE"""),388.0)</f>
        <v>388</v>
      </c>
      <c r="B390" s="422" t="str">
        <f>IFERROR(__xludf.DUMMYFUNCTION("""COMPUTED_VALUE"""),"PM")</f>
        <v>PM</v>
      </c>
      <c r="C390" s="422" t="str">
        <f>IFERROR(__xludf.DUMMYFUNCTION("""COMPUTED_VALUE"""),"Team 03")</f>
        <v>Team 03</v>
      </c>
      <c r="D390" s="422" t="str">
        <f>IFERROR(__xludf.DUMMYFUNCTION("""COMPUTED_VALUE"""),"100 point plan")</f>
        <v>100 point plan</v>
      </c>
      <c r="E390" s="422" t="str">
        <f>IFERROR(__xludf.DUMMYFUNCTION("""COMPUTED_VALUE"""),"TNI0103 100 point plan need to clean site overview inside and outeside and make to neatly patchord cable.")</f>
        <v>TNI0103 100 point plan need to clean site overview inside and outeside and make to neatly patchord cable.</v>
      </c>
      <c r="F390" s="424">
        <f>IFERROR(__xludf.DUMMYFUNCTION("""COMPUTED_VALUE"""),46091.0)</f>
        <v>46091</v>
      </c>
      <c r="G390" s="424">
        <f>IFERROR(__xludf.DUMMYFUNCTION("""COMPUTED_VALUE"""),46112.0)</f>
        <v>46112</v>
      </c>
      <c r="H390" s="422" t="str">
        <f>IFERROR(__xludf.DUMMYFUNCTION("""COMPUTED_VALUE"""),"VCM289635-Si Thu Htun")</f>
        <v>VCM289635-Si Thu Htun</v>
      </c>
      <c r="I390" s="425">
        <f>IFERROR(__xludf.DUMMYFUNCTION("""COMPUTED_VALUE"""),46099.0)</f>
        <v>46099</v>
      </c>
      <c r="J390" s="424">
        <f>IFERROR(__xludf.DUMMYFUNCTION("""COMPUTED_VALUE"""),46099.0)</f>
        <v>46099</v>
      </c>
      <c r="K390" s="422"/>
      <c r="L390" s="422"/>
      <c r="M390" s="422"/>
      <c r="N390" s="422"/>
      <c r="O390" s="422">
        <f>IFERROR(__xludf.DUMMYFUNCTION("""COMPUTED_VALUE"""),0.0)</f>
        <v>0</v>
      </c>
      <c r="P390" s="422"/>
      <c r="Q390" s="422"/>
      <c r="R390" s="98"/>
      <c r="S390" s="98" t="str">
        <f>IFERROR(__xludf.DUMMYFUNCTION("""COMPUTED_VALUE"""),"myt_tinnaing.lin11")</f>
        <v>myt_tinnaing.lin11</v>
      </c>
      <c r="T390" s="98" t="str">
        <f>IFERROR(__xludf.DUMMYFUNCTION("""COMPUTED_VALUE"""),"TNI0103")</f>
        <v>TNI0103</v>
      </c>
    </row>
    <row r="391">
      <c r="A391" s="422">
        <f>IFERROR(__xludf.DUMMYFUNCTION("""COMPUTED_VALUE"""),389.0)</f>
        <v>389</v>
      </c>
      <c r="B391" s="422" t="str">
        <f>IFERROR(__xludf.DUMMYFUNCTION("""COMPUTED_VALUE"""),"PM")</f>
        <v>PM</v>
      </c>
      <c r="C391" s="422" t="str">
        <f>IFERROR(__xludf.DUMMYFUNCTION("""COMPUTED_VALUE"""),"Team 03")</f>
        <v>Team 03</v>
      </c>
      <c r="D391" s="422" t="str">
        <f>IFERROR(__xludf.DUMMYFUNCTION("""COMPUTED_VALUE"""),"100 point plan")</f>
        <v>100 point plan</v>
      </c>
      <c r="E391" s="422" t="str">
        <f>IFERROR(__xludf.DUMMYFUNCTION("""COMPUTED_VALUE"""),"TNI0116 100 point plan need to clean site overview inside and outeside and make to neatly patchord cable.")</f>
        <v>TNI0116 100 point plan need to clean site overview inside and outeside and make to neatly patchord cable.</v>
      </c>
      <c r="F391" s="424">
        <f>IFERROR(__xludf.DUMMYFUNCTION("""COMPUTED_VALUE"""),46091.0)</f>
        <v>46091</v>
      </c>
      <c r="G391" s="424">
        <f>IFERROR(__xludf.DUMMYFUNCTION("""COMPUTED_VALUE"""),46112.0)</f>
        <v>46112</v>
      </c>
      <c r="H391" s="422" t="str">
        <f>IFERROR(__xludf.DUMMYFUNCTION("""COMPUTED_VALUE"""),"VCM852892-Tin Naing Lin")</f>
        <v>VCM852892-Tin Naing Lin</v>
      </c>
      <c r="I391" s="425">
        <f>IFERROR(__xludf.DUMMYFUNCTION("""COMPUTED_VALUE"""),46103.0)</f>
        <v>46103</v>
      </c>
      <c r="J391" s="424">
        <f>IFERROR(__xludf.DUMMYFUNCTION("""COMPUTED_VALUE"""),46103.0)</f>
        <v>46103</v>
      </c>
      <c r="K391" s="422"/>
      <c r="L391" s="422"/>
      <c r="M391" s="422"/>
      <c r="N391" s="422"/>
      <c r="O391" s="422">
        <f>IFERROR(__xludf.DUMMYFUNCTION("""COMPUTED_VALUE"""),0.0)</f>
        <v>0</v>
      </c>
      <c r="P391" s="422"/>
      <c r="Q391" s="422"/>
      <c r="R391" s="98"/>
      <c r="S391" s="98" t="str">
        <f>IFERROR(__xludf.DUMMYFUNCTION("""COMPUTED_VALUE"""),"myt_myintkoko.aung")</f>
        <v>myt_myintkoko.aung</v>
      </c>
      <c r="T391" s="98" t="str">
        <f>IFERROR(__xludf.DUMMYFUNCTION("""COMPUTED_VALUE"""),"TNI0116")</f>
        <v>TNI0116</v>
      </c>
    </row>
    <row r="392">
      <c r="A392" s="422">
        <f>IFERROR(__xludf.DUMMYFUNCTION("""COMPUTED_VALUE"""),390.0)</f>
        <v>390</v>
      </c>
      <c r="B392" s="422" t="str">
        <f>IFERROR(__xludf.DUMMYFUNCTION("""COMPUTED_VALUE"""),"PM")</f>
        <v>PM</v>
      </c>
      <c r="C392" s="422" t="str">
        <f>IFERROR(__xludf.DUMMYFUNCTION("""COMPUTED_VALUE"""),"Team 03")</f>
        <v>Team 03</v>
      </c>
      <c r="D392" s="422" t="str">
        <f>IFERROR(__xludf.DUMMYFUNCTION("""COMPUTED_VALUE"""),"100 point plan")</f>
        <v>100 point plan</v>
      </c>
      <c r="E392" s="422" t="str">
        <f>IFERROR(__xludf.DUMMYFUNCTION("""COMPUTED_VALUE"""),"TNI0118 100 point plan need to clean site overview inside and outeside and make to neatly patchord cable.")</f>
        <v>TNI0118 100 point plan need to clean site overview inside and outeside and make to neatly patchord cable.</v>
      </c>
      <c r="F392" s="424">
        <f>IFERROR(__xludf.DUMMYFUNCTION("""COMPUTED_VALUE"""),46091.0)</f>
        <v>46091</v>
      </c>
      <c r="G392" s="424">
        <f>IFERROR(__xludf.DUMMYFUNCTION("""COMPUTED_VALUE"""),46112.0)</f>
        <v>46112</v>
      </c>
      <c r="H392" s="422" t="str">
        <f>IFERROR(__xludf.DUMMYFUNCTION("""COMPUTED_VALUE"""),"VCM852892-Tin Naing Lin")</f>
        <v>VCM852892-Tin Naing Lin</v>
      </c>
      <c r="I392" s="422"/>
      <c r="J392" s="422"/>
      <c r="K392" s="422"/>
      <c r="L392" s="422"/>
      <c r="M392" s="422"/>
      <c r="N392" s="422"/>
      <c r="O392" s="422">
        <f>IFERROR(__xludf.DUMMYFUNCTION("""COMPUTED_VALUE"""),0.0)</f>
        <v>0</v>
      </c>
      <c r="P392" s="422"/>
      <c r="Q392" s="422"/>
      <c r="R392" s="98"/>
      <c r="S392" s="98" t="str">
        <f>IFERROR(__xludf.DUMMYFUNCTION("""COMPUTED_VALUE"""),"myt_tinnaing.lin11")</f>
        <v>myt_tinnaing.lin11</v>
      </c>
      <c r="T392" s="98" t="str">
        <f>IFERROR(__xludf.DUMMYFUNCTION("""COMPUTED_VALUE"""),"TNI0118")</f>
        <v>TNI0118</v>
      </c>
    </row>
    <row r="393">
      <c r="A393" s="422">
        <f>IFERROR(__xludf.DUMMYFUNCTION("""COMPUTED_VALUE"""),391.0)</f>
        <v>391</v>
      </c>
      <c r="B393" s="422" t="str">
        <f>IFERROR(__xludf.DUMMYFUNCTION("""COMPUTED_VALUE"""),"PM")</f>
        <v>PM</v>
      </c>
      <c r="C393" s="422" t="str">
        <f>IFERROR(__xludf.DUMMYFUNCTION("""COMPUTED_VALUE"""),"Team 03")</f>
        <v>Team 03</v>
      </c>
      <c r="D393" s="422" t="str">
        <f>IFERROR(__xludf.DUMMYFUNCTION("""COMPUTED_VALUE"""),"100 point plan")</f>
        <v>100 point plan</v>
      </c>
      <c r="E393" s="422" t="str">
        <f>IFERROR(__xludf.DUMMYFUNCTION("""COMPUTED_VALUE"""),"TNI0156 100 point plan need to clean site overview inside and outeside and make to neatly patchord cable.")</f>
        <v>TNI0156 100 point plan need to clean site overview inside and outeside and make to neatly patchord cable.</v>
      </c>
      <c r="F393" s="424">
        <f>IFERROR(__xludf.DUMMYFUNCTION("""COMPUTED_VALUE"""),46091.0)</f>
        <v>46091</v>
      </c>
      <c r="G393" s="424">
        <f>IFERROR(__xludf.DUMMYFUNCTION("""COMPUTED_VALUE"""),46112.0)</f>
        <v>46112</v>
      </c>
      <c r="H393" s="422" t="str">
        <f>IFERROR(__xludf.DUMMYFUNCTION("""COMPUTED_VALUE"""),"VCM276675-Pyae Phyo Zaw")</f>
        <v>VCM276675-Pyae Phyo Zaw</v>
      </c>
      <c r="I393" s="422"/>
      <c r="J393" s="422"/>
      <c r="K393" s="422"/>
      <c r="L393" s="422"/>
      <c r="M393" s="422"/>
      <c r="N393" s="422"/>
      <c r="O393" s="422">
        <f>IFERROR(__xludf.DUMMYFUNCTION("""COMPUTED_VALUE"""),0.0)</f>
        <v>0</v>
      </c>
      <c r="P393" s="422"/>
      <c r="Q393" s="422"/>
      <c r="R393" s="98"/>
      <c r="S393" s="98" t="str">
        <f>IFERROR(__xludf.DUMMYFUNCTION("""COMPUTED_VALUE"""),"myt_myintkoko.aung")</f>
        <v>myt_myintkoko.aung</v>
      </c>
      <c r="T393" s="98" t="str">
        <f>IFERROR(__xludf.DUMMYFUNCTION("""COMPUTED_VALUE"""),"TNI0156")</f>
        <v>TNI0156</v>
      </c>
    </row>
    <row r="394">
      <c r="A394" s="422">
        <f>IFERROR(__xludf.DUMMYFUNCTION("""COMPUTED_VALUE"""),392.0)</f>
        <v>392</v>
      </c>
      <c r="B394" s="422" t="str">
        <f>IFERROR(__xludf.DUMMYFUNCTION("""COMPUTED_VALUE"""),"PM")</f>
        <v>PM</v>
      </c>
      <c r="C394" s="422" t="str">
        <f>IFERROR(__xludf.DUMMYFUNCTION("""COMPUTED_VALUE"""),"Team 03")</f>
        <v>Team 03</v>
      </c>
      <c r="D394" s="422" t="str">
        <f>IFERROR(__xludf.DUMMYFUNCTION("""COMPUTED_VALUE"""),"100 point plan")</f>
        <v>100 point plan</v>
      </c>
      <c r="E394" s="422" t="str">
        <f>IFERROR(__xludf.DUMMYFUNCTION("""COMPUTED_VALUE"""),"TNI0173 100 point plan need to clean site overview inside and outeside and make to neatly patchord cable.")</f>
        <v>TNI0173 100 point plan need to clean site overview inside and outeside and make to neatly patchord cable.</v>
      </c>
      <c r="F394" s="424">
        <f>IFERROR(__xludf.DUMMYFUNCTION("""COMPUTED_VALUE"""),46091.0)</f>
        <v>46091</v>
      </c>
      <c r="G394" s="424">
        <f>IFERROR(__xludf.DUMMYFUNCTION("""COMPUTED_VALUE"""),46112.0)</f>
        <v>46112</v>
      </c>
      <c r="H394" s="422" t="str">
        <f>IFERROR(__xludf.DUMMYFUNCTION("""COMPUTED_VALUE"""),"VCM276675-Pyae Phyo Zaw")</f>
        <v>VCM276675-Pyae Phyo Zaw</v>
      </c>
      <c r="I394" s="422"/>
      <c r="J394" s="422"/>
      <c r="K394" s="422"/>
      <c r="L394" s="422"/>
      <c r="M394" s="422"/>
      <c r="N394" s="422"/>
      <c r="O394" s="422">
        <f>IFERROR(__xludf.DUMMYFUNCTION("""COMPUTED_VALUE"""),0.0)</f>
        <v>0</v>
      </c>
      <c r="P394" s="422"/>
      <c r="Q394" s="422"/>
      <c r="R394" s="98"/>
      <c r="S394" s="98" t="str">
        <f>IFERROR(__xludf.DUMMYFUNCTION("""COMPUTED_VALUE"""),"myt_myintkoko.aung")</f>
        <v>myt_myintkoko.aung</v>
      </c>
      <c r="T394" s="98" t="str">
        <f>IFERROR(__xludf.DUMMYFUNCTION("""COMPUTED_VALUE"""),"TNI0173")</f>
        <v>TNI0173</v>
      </c>
    </row>
    <row r="395">
      <c r="A395" s="422">
        <f>IFERROR(__xludf.DUMMYFUNCTION("""COMPUTED_VALUE"""),393.0)</f>
        <v>393</v>
      </c>
      <c r="B395" s="422" t="str">
        <f>IFERROR(__xludf.DUMMYFUNCTION("""COMPUTED_VALUE"""),"PM")</f>
        <v>PM</v>
      </c>
      <c r="C395" s="422" t="str">
        <f>IFERROR(__xludf.DUMMYFUNCTION("""COMPUTED_VALUE"""),"Team 03")</f>
        <v>Team 03</v>
      </c>
      <c r="D395" s="422" t="str">
        <f>IFERROR(__xludf.DUMMYFUNCTION("""COMPUTED_VALUE"""),"100 point plan")</f>
        <v>100 point plan</v>
      </c>
      <c r="E395" s="422" t="str">
        <f>IFERROR(__xludf.DUMMYFUNCTION("""COMPUTED_VALUE"""),"TNI0212 100 point plan need to clean site overview inside and outeside and make to neatly patchord cable.")</f>
        <v>TNI0212 100 point plan need to clean site overview inside and outeside and make to neatly patchord cable.</v>
      </c>
      <c r="F395" s="424">
        <f>IFERROR(__xludf.DUMMYFUNCTION("""COMPUTED_VALUE"""),46091.0)</f>
        <v>46091</v>
      </c>
      <c r="G395" s="424">
        <f>IFERROR(__xludf.DUMMYFUNCTION("""COMPUTED_VALUE"""),46112.0)</f>
        <v>46112</v>
      </c>
      <c r="H395" s="422" t="str">
        <f>IFERROR(__xludf.DUMMYFUNCTION("""COMPUTED_VALUE"""),"VCM276675-Pyae Phyo Zaw")</f>
        <v>VCM276675-Pyae Phyo Zaw</v>
      </c>
      <c r="I395" s="422"/>
      <c r="J395" s="422"/>
      <c r="K395" s="422"/>
      <c r="L395" s="422"/>
      <c r="M395" s="422"/>
      <c r="N395" s="422"/>
      <c r="O395" s="422">
        <f>IFERROR(__xludf.DUMMYFUNCTION("""COMPUTED_VALUE"""),0.0)</f>
        <v>0</v>
      </c>
      <c r="P395" s="422"/>
      <c r="Q395" s="422"/>
      <c r="R395" s="98"/>
      <c r="S395" s="98" t="str">
        <f>IFERROR(__xludf.DUMMYFUNCTION("""COMPUTED_VALUE"""),"myt_myintkoko.aung")</f>
        <v>myt_myintkoko.aung</v>
      </c>
      <c r="T395" s="98" t="str">
        <f>IFERROR(__xludf.DUMMYFUNCTION("""COMPUTED_VALUE"""),"TNI0212")</f>
        <v>TNI0212</v>
      </c>
    </row>
    <row r="396">
      <c r="A396" s="422">
        <f>IFERROR(__xludf.DUMMYFUNCTION("""COMPUTED_VALUE"""),394.0)</f>
        <v>394</v>
      </c>
      <c r="B396" s="422" t="str">
        <f>IFERROR(__xludf.DUMMYFUNCTION("""COMPUTED_VALUE"""),"PM")</f>
        <v>PM</v>
      </c>
      <c r="C396" s="422" t="str">
        <f>IFERROR(__xludf.DUMMYFUNCTION("""COMPUTED_VALUE"""),"Team 03")</f>
        <v>Team 03</v>
      </c>
      <c r="D396" s="422" t="str">
        <f>IFERROR(__xludf.DUMMYFUNCTION("""COMPUTED_VALUE"""),"100 point plan")</f>
        <v>100 point plan</v>
      </c>
      <c r="E396" s="422" t="str">
        <f>IFERROR(__xludf.DUMMYFUNCTION("""COMPUTED_VALUE"""),"TNI0341 100 point plan need to clean site overview inside and outeside and make to neatly patchord cable.")</f>
        <v>TNI0341 100 point plan need to clean site overview inside and outeside and make to neatly patchord cable.</v>
      </c>
      <c r="F396" s="424">
        <f>IFERROR(__xludf.DUMMYFUNCTION("""COMPUTED_VALUE"""),46091.0)</f>
        <v>46091</v>
      </c>
      <c r="G396" s="424">
        <f>IFERROR(__xludf.DUMMYFUNCTION("""COMPUTED_VALUE"""),46112.0)</f>
        <v>46112</v>
      </c>
      <c r="H396" s="422" t="str">
        <f>IFERROR(__xludf.DUMMYFUNCTION("""COMPUTED_VALUE"""),"VCM852892-Tin Naing Lin")</f>
        <v>VCM852892-Tin Naing Lin</v>
      </c>
      <c r="I396" s="425">
        <f>IFERROR(__xludf.DUMMYFUNCTION("""COMPUTED_VALUE"""),46106.0)</f>
        <v>46106</v>
      </c>
      <c r="J396" s="424">
        <f>IFERROR(__xludf.DUMMYFUNCTION("""COMPUTED_VALUE"""),46106.0)</f>
        <v>46106</v>
      </c>
      <c r="K396" s="422"/>
      <c r="L396" s="422"/>
      <c r="M396" s="422"/>
      <c r="N396" s="422"/>
      <c r="O396" s="422">
        <f>IFERROR(__xludf.DUMMYFUNCTION("""COMPUTED_VALUE"""),0.0)</f>
        <v>0</v>
      </c>
      <c r="P396" s="422"/>
      <c r="Q396" s="422"/>
      <c r="R396" s="98"/>
      <c r="S396" s="98" t="str">
        <f>IFERROR(__xludf.DUMMYFUNCTION("""COMPUTED_VALUE"""),"myt_tinnaing.lin11")</f>
        <v>myt_tinnaing.lin11</v>
      </c>
      <c r="T396" s="98" t="str">
        <f>IFERROR(__xludf.DUMMYFUNCTION("""COMPUTED_VALUE"""),"TNI0341")</f>
        <v>TNI0341</v>
      </c>
    </row>
    <row r="397">
      <c r="A397" s="422">
        <f>IFERROR(__xludf.DUMMYFUNCTION("""COMPUTED_VALUE"""),395.0)</f>
        <v>395</v>
      </c>
      <c r="B397" s="422" t="str">
        <f>IFERROR(__xludf.DUMMYFUNCTION("""COMPUTED_VALUE"""),"PM")</f>
        <v>PM</v>
      </c>
      <c r="C397" s="422" t="str">
        <f>IFERROR(__xludf.DUMMYFUNCTION("""COMPUTED_VALUE"""),"Team 03")</f>
        <v>Team 03</v>
      </c>
      <c r="D397" s="422" t="str">
        <f>IFERROR(__xludf.DUMMYFUNCTION("""COMPUTED_VALUE"""),"100 point plan")</f>
        <v>100 point plan</v>
      </c>
      <c r="E397" s="422" t="str">
        <f>IFERROR(__xludf.DUMMYFUNCTION("""COMPUTED_VALUE"""),"TNI0343 100 point plan need to clean site overview inside and outeside and make to neatly patchord cable.")</f>
        <v>TNI0343 100 point plan need to clean site overview inside and outeside and make to neatly patchord cable.</v>
      </c>
      <c r="F397" s="424">
        <f>IFERROR(__xludf.DUMMYFUNCTION("""COMPUTED_VALUE"""),46091.0)</f>
        <v>46091</v>
      </c>
      <c r="G397" s="424">
        <f>IFERROR(__xludf.DUMMYFUNCTION("""COMPUTED_VALUE"""),46112.0)</f>
        <v>46112</v>
      </c>
      <c r="H397" s="422" t="str">
        <f>IFERROR(__xludf.DUMMYFUNCTION("""COMPUTED_VALUE"""),"VCM289635-Si Thu Htun")</f>
        <v>VCM289635-Si Thu Htun</v>
      </c>
      <c r="I397" s="422"/>
      <c r="J397" s="422"/>
      <c r="K397" s="422"/>
      <c r="L397" s="422"/>
      <c r="M397" s="422"/>
      <c r="N397" s="422"/>
      <c r="O397" s="422">
        <f>IFERROR(__xludf.DUMMYFUNCTION("""COMPUTED_VALUE"""),0.0)</f>
        <v>0</v>
      </c>
      <c r="P397" s="422"/>
      <c r="Q397" s="422"/>
      <c r="R397" s="98"/>
      <c r="S397" s="98" t="str">
        <f>IFERROR(__xludf.DUMMYFUNCTION("""COMPUTED_VALUE"""),"myt_sithu.htun")</f>
        <v>myt_sithu.htun</v>
      </c>
      <c r="T397" s="98" t="str">
        <f>IFERROR(__xludf.DUMMYFUNCTION("""COMPUTED_VALUE"""),"TNI0343")</f>
        <v>TNI0343</v>
      </c>
    </row>
    <row r="398">
      <c r="A398" s="422">
        <f>IFERROR(__xludf.DUMMYFUNCTION("""COMPUTED_VALUE"""),396.0)</f>
        <v>396</v>
      </c>
      <c r="B398" s="422" t="str">
        <f>IFERROR(__xludf.DUMMYFUNCTION("""COMPUTED_VALUE"""),"PM")</f>
        <v>PM</v>
      </c>
      <c r="C398" s="422" t="str">
        <f>IFERROR(__xludf.DUMMYFUNCTION("""COMPUTED_VALUE"""),"Team 03")</f>
        <v>Team 03</v>
      </c>
      <c r="D398" s="422" t="str">
        <f>IFERROR(__xludf.DUMMYFUNCTION("""COMPUTED_VALUE"""),"100 point plan")</f>
        <v>100 point plan</v>
      </c>
      <c r="E398" s="422" t="str">
        <f>IFERROR(__xludf.DUMMYFUNCTION("""COMPUTED_VALUE"""),"TNI0383 100 point plan need to clean site overview inside and outeside and make to neatly patchord cable.")</f>
        <v>TNI0383 100 point plan need to clean site overview inside and outeside and make to neatly patchord cable.</v>
      </c>
      <c r="F398" s="424">
        <f>IFERROR(__xludf.DUMMYFUNCTION("""COMPUTED_VALUE"""),46091.0)</f>
        <v>46091</v>
      </c>
      <c r="G398" s="424">
        <f>IFERROR(__xludf.DUMMYFUNCTION("""COMPUTED_VALUE"""),46112.0)</f>
        <v>46112</v>
      </c>
      <c r="H398" s="422" t="str">
        <f>IFERROR(__xludf.DUMMYFUNCTION("""COMPUTED_VALUE"""),"VCM852892-Tin Naing Lin")</f>
        <v>VCM852892-Tin Naing Lin</v>
      </c>
      <c r="I398" s="425">
        <f>IFERROR(__xludf.DUMMYFUNCTION("""COMPUTED_VALUE"""),46105.0)</f>
        <v>46105</v>
      </c>
      <c r="J398" s="424">
        <f>IFERROR(__xludf.DUMMYFUNCTION("""COMPUTED_VALUE"""),46105.0)</f>
        <v>46105</v>
      </c>
      <c r="K398" s="422"/>
      <c r="L398" s="422"/>
      <c r="M398" s="422"/>
      <c r="N398" s="422"/>
      <c r="O398" s="422">
        <f>IFERROR(__xludf.DUMMYFUNCTION("""COMPUTED_VALUE"""),0.0)</f>
        <v>0</v>
      </c>
      <c r="P398" s="422"/>
      <c r="Q398" s="422"/>
      <c r="R398" s="98"/>
      <c r="S398" s="98" t="str">
        <f>IFERROR(__xludf.DUMMYFUNCTION("""COMPUTED_VALUE"""),"Khant Si Thu")</f>
        <v>Khant Si Thu</v>
      </c>
      <c r="T398" s="98" t="str">
        <f>IFERROR(__xludf.DUMMYFUNCTION("""COMPUTED_VALUE"""),"TNI0383")</f>
        <v>TNI0383</v>
      </c>
    </row>
    <row r="399">
      <c r="A399" s="422">
        <f>IFERROR(__xludf.DUMMYFUNCTION("""COMPUTED_VALUE"""),397.0)</f>
        <v>397</v>
      </c>
      <c r="B399" s="422" t="str">
        <f>IFERROR(__xludf.DUMMYFUNCTION("""COMPUTED_VALUE"""),"PM")</f>
        <v>PM</v>
      </c>
      <c r="C399" s="422" t="str">
        <f>IFERROR(__xludf.DUMMYFUNCTION("""COMPUTED_VALUE"""),"Team 03")</f>
        <v>Team 03</v>
      </c>
      <c r="D399" s="422" t="str">
        <f>IFERROR(__xludf.DUMMYFUNCTION("""COMPUTED_VALUE"""),"100 point plan")</f>
        <v>100 point plan</v>
      </c>
      <c r="E399" s="422" t="str">
        <f>IFERROR(__xludf.DUMMYFUNCTION("""COMPUTED_VALUE"""),"TNI0425 100 point plan need to clean site overview inside and outeside and make to neatly patchord cable.")</f>
        <v>TNI0425 100 point plan need to clean site overview inside and outeside and make to neatly patchord cable.</v>
      </c>
      <c r="F399" s="424">
        <f>IFERROR(__xludf.DUMMYFUNCTION("""COMPUTED_VALUE"""),46091.0)</f>
        <v>46091</v>
      </c>
      <c r="G399" s="424">
        <f>IFERROR(__xludf.DUMMYFUNCTION("""COMPUTED_VALUE"""),46112.0)</f>
        <v>46112</v>
      </c>
      <c r="H399" s="422" t="str">
        <f>IFERROR(__xludf.DUMMYFUNCTION("""COMPUTED_VALUE"""),"VCM289635-Si Thu Htun")</f>
        <v>VCM289635-Si Thu Htun</v>
      </c>
      <c r="I399" s="425">
        <f>IFERROR(__xludf.DUMMYFUNCTION("""COMPUTED_VALUE"""),46106.0)</f>
        <v>46106</v>
      </c>
      <c r="J399" s="424">
        <f>IFERROR(__xludf.DUMMYFUNCTION("""COMPUTED_VALUE"""),46106.0)</f>
        <v>46106</v>
      </c>
      <c r="K399" s="422"/>
      <c r="L399" s="422"/>
      <c r="M399" s="422"/>
      <c r="N399" s="422"/>
      <c r="O399" s="422">
        <f>IFERROR(__xludf.DUMMYFUNCTION("""COMPUTED_VALUE"""),0.0)</f>
        <v>0</v>
      </c>
      <c r="P399" s="422"/>
      <c r="Q399" s="422"/>
      <c r="R399" s="98"/>
      <c r="S399" s="98" t="str">
        <f>IFERROR(__xludf.DUMMYFUNCTION("""COMPUTED_VALUE"""),"Khant Si Thu")</f>
        <v>Khant Si Thu</v>
      </c>
      <c r="T399" s="98" t="str">
        <f>IFERROR(__xludf.DUMMYFUNCTION("""COMPUTED_VALUE"""),"TNI0425")</f>
        <v>TNI0425</v>
      </c>
    </row>
    <row r="400">
      <c r="A400" s="422">
        <f>IFERROR(__xludf.DUMMYFUNCTION("""COMPUTED_VALUE"""),398.0)</f>
        <v>398</v>
      </c>
      <c r="B400" s="422" t="str">
        <f>IFERROR(__xludf.DUMMYFUNCTION("""COMPUTED_VALUE"""),"PM")</f>
        <v>PM</v>
      </c>
      <c r="C400" s="422" t="str">
        <f>IFERROR(__xludf.DUMMYFUNCTION("""COMPUTED_VALUE"""),"Team 03")</f>
        <v>Team 03</v>
      </c>
      <c r="D400" s="422" t="str">
        <f>IFERROR(__xludf.DUMMYFUNCTION("""COMPUTED_VALUE"""),"100 point plan")</f>
        <v>100 point plan</v>
      </c>
      <c r="E400" s="422" t="str">
        <f>IFERROR(__xludf.DUMMYFUNCTION("""COMPUTED_VALUE"""),"TNI0417 100 point plan need to clean site overview inside and outeside and make to neatly patchord cable.")</f>
        <v>TNI0417 100 point plan need to clean site overview inside and outeside and make to neatly patchord cable.</v>
      </c>
      <c r="F400" s="424">
        <f>IFERROR(__xludf.DUMMYFUNCTION("""COMPUTED_VALUE"""),46091.0)</f>
        <v>46091</v>
      </c>
      <c r="G400" s="424">
        <f>IFERROR(__xludf.DUMMYFUNCTION("""COMPUTED_VALUE"""),46112.0)</f>
        <v>46112</v>
      </c>
      <c r="H400" s="422" t="str">
        <f>IFERROR(__xludf.DUMMYFUNCTION("""COMPUTED_VALUE"""),"VCM852892-Tin Naing Lin")</f>
        <v>VCM852892-Tin Naing Lin</v>
      </c>
      <c r="I400" s="425">
        <f>IFERROR(__xludf.DUMMYFUNCTION("""COMPUTED_VALUE"""),46102.0)</f>
        <v>46102</v>
      </c>
      <c r="J400" s="424">
        <f>IFERROR(__xludf.DUMMYFUNCTION("""COMPUTED_VALUE"""),46102.0)</f>
        <v>46102</v>
      </c>
      <c r="K400" s="422"/>
      <c r="L400" s="422"/>
      <c r="M400" s="422"/>
      <c r="N400" s="422"/>
      <c r="O400" s="422">
        <f>IFERROR(__xludf.DUMMYFUNCTION("""COMPUTED_VALUE"""),0.0)</f>
        <v>0</v>
      </c>
      <c r="P400" s="422"/>
      <c r="Q400" s="422"/>
      <c r="R400" s="98"/>
      <c r="S400" s="98" t="str">
        <f>IFERROR(__xludf.DUMMYFUNCTION("""COMPUTED_VALUE"""),"Khant Si Thu")</f>
        <v>Khant Si Thu</v>
      </c>
      <c r="T400" s="98" t="str">
        <f>IFERROR(__xludf.DUMMYFUNCTION("""COMPUTED_VALUE"""),"TNI0417")</f>
        <v>TNI0417</v>
      </c>
    </row>
    <row r="401">
      <c r="A401" s="422">
        <f>IFERROR(__xludf.DUMMYFUNCTION("""COMPUTED_VALUE"""),399.0)</f>
        <v>399</v>
      </c>
      <c r="B401" s="422" t="str">
        <f>IFERROR(__xludf.DUMMYFUNCTION("""COMPUTED_VALUE"""),"PM")</f>
        <v>PM</v>
      </c>
      <c r="C401" s="422" t="str">
        <f>IFERROR(__xludf.DUMMYFUNCTION("""COMPUTED_VALUE"""),"Team 03")</f>
        <v>Team 03</v>
      </c>
      <c r="D401" s="422" t="str">
        <f>IFERROR(__xludf.DUMMYFUNCTION("""COMPUTED_VALUE"""),"100 point plan")</f>
        <v>100 point plan</v>
      </c>
      <c r="E401" s="422" t="str">
        <f>IFERROR(__xludf.DUMMYFUNCTION("""COMPUTED_VALUE"""),"TNI0416 100 point plan need to clean site overview inside and outeside and make to neatly patchord cable.")</f>
        <v>TNI0416 100 point plan need to clean site overview inside and outeside and make to neatly patchord cable.</v>
      </c>
      <c r="F401" s="424">
        <f>IFERROR(__xludf.DUMMYFUNCTION("""COMPUTED_VALUE"""),46091.0)</f>
        <v>46091</v>
      </c>
      <c r="G401" s="424">
        <f>IFERROR(__xludf.DUMMYFUNCTION("""COMPUTED_VALUE"""),46112.0)</f>
        <v>46112</v>
      </c>
      <c r="H401" s="422" t="str">
        <f>IFERROR(__xludf.DUMMYFUNCTION("""COMPUTED_VALUE"""),"VCM289635-Si Thu Htun")</f>
        <v>VCM289635-Si Thu Htun</v>
      </c>
      <c r="I401" s="425">
        <f>IFERROR(__xludf.DUMMYFUNCTION("""COMPUTED_VALUE"""),46090.0)</f>
        <v>46090</v>
      </c>
      <c r="J401" s="424">
        <f>IFERROR(__xludf.DUMMYFUNCTION("""COMPUTED_VALUE"""),46090.0)</f>
        <v>46090</v>
      </c>
      <c r="K401" s="422"/>
      <c r="L401" s="422"/>
      <c r="M401" s="422"/>
      <c r="N401" s="422"/>
      <c r="O401" s="422">
        <f>IFERROR(__xludf.DUMMYFUNCTION("""COMPUTED_VALUE"""),0.0)</f>
        <v>0</v>
      </c>
      <c r="P401" s="422"/>
      <c r="Q401" s="422"/>
      <c r="R401" s="98"/>
      <c r="S401" s="98" t="str">
        <f>IFERROR(__xludf.DUMMYFUNCTION("""COMPUTED_VALUE"""),"Khant Si Thu")</f>
        <v>Khant Si Thu</v>
      </c>
      <c r="T401" s="98" t="str">
        <f>IFERROR(__xludf.DUMMYFUNCTION("""COMPUTED_VALUE"""),"TNI0416")</f>
        <v>TNI0416</v>
      </c>
    </row>
    <row r="402">
      <c r="A402" s="422">
        <f>IFERROR(__xludf.DUMMYFUNCTION("""COMPUTED_VALUE"""),400.0)</f>
        <v>400</v>
      </c>
      <c r="B402" s="422" t="str">
        <f>IFERROR(__xludf.DUMMYFUNCTION("""COMPUTED_VALUE"""),"PM")</f>
        <v>PM</v>
      </c>
      <c r="C402" s="422" t="str">
        <f>IFERROR(__xludf.DUMMYFUNCTION("""COMPUTED_VALUE"""),"Team 03")</f>
        <v>Team 03</v>
      </c>
      <c r="D402" s="422" t="str">
        <f>IFERROR(__xludf.DUMMYFUNCTION("""COMPUTED_VALUE"""),"100 point plan")</f>
        <v>100 point plan</v>
      </c>
      <c r="E402" s="422" t="str">
        <f>IFERROR(__xludf.DUMMYFUNCTION("""COMPUTED_VALUE"""),"TNI0507 100 point plan need to clean site overview inside and outeside and make to neatly patchord cable.")</f>
        <v>TNI0507 100 point plan need to clean site overview inside and outeside and make to neatly patchord cable.</v>
      </c>
      <c r="F402" s="424">
        <f>IFERROR(__xludf.DUMMYFUNCTION("""COMPUTED_VALUE"""),46091.0)</f>
        <v>46091</v>
      </c>
      <c r="G402" s="424">
        <f>IFERROR(__xludf.DUMMYFUNCTION("""COMPUTED_VALUE"""),46112.0)</f>
        <v>46112</v>
      </c>
      <c r="H402" s="422" t="str">
        <f>IFERROR(__xludf.DUMMYFUNCTION("""COMPUTED_VALUE"""),"VCM852892-Tin Naing Lin")</f>
        <v>VCM852892-Tin Naing Lin</v>
      </c>
      <c r="I402" s="425">
        <f>IFERROR(__xludf.DUMMYFUNCTION("""COMPUTED_VALUE"""),46101.0)</f>
        <v>46101</v>
      </c>
      <c r="J402" s="424">
        <f>IFERROR(__xludf.DUMMYFUNCTION("""COMPUTED_VALUE"""),46101.0)</f>
        <v>46101</v>
      </c>
      <c r="K402" s="422"/>
      <c r="L402" s="422"/>
      <c r="M402" s="422"/>
      <c r="N402" s="422"/>
      <c r="O402" s="422">
        <f>IFERROR(__xludf.DUMMYFUNCTION("""COMPUTED_VALUE"""),0.0)</f>
        <v>0</v>
      </c>
      <c r="P402" s="422"/>
      <c r="Q402" s="422"/>
      <c r="R402" s="98"/>
      <c r="S402" s="98" t="str">
        <f>IFERROR(__xludf.DUMMYFUNCTION("""COMPUTED_VALUE"""),"Khant Si Thu")</f>
        <v>Khant Si Thu</v>
      </c>
      <c r="T402" s="98" t="str">
        <f>IFERROR(__xludf.DUMMYFUNCTION("""COMPUTED_VALUE"""),"TNI0507")</f>
        <v>TNI0507</v>
      </c>
    </row>
    <row r="403">
      <c r="A403" s="422">
        <f>IFERROR(__xludf.DUMMYFUNCTION("""COMPUTED_VALUE"""),401.0)</f>
        <v>401</v>
      </c>
      <c r="B403" s="422" t="str">
        <f>IFERROR(__xludf.DUMMYFUNCTION("""COMPUTED_VALUE"""),"PM")</f>
        <v>PM</v>
      </c>
      <c r="C403" s="422" t="str">
        <f>IFERROR(__xludf.DUMMYFUNCTION("""COMPUTED_VALUE"""),"Team 03")</f>
        <v>Team 03</v>
      </c>
      <c r="D403" s="422" t="str">
        <f>IFERROR(__xludf.DUMMYFUNCTION("""COMPUTED_VALUE"""),"100 point plan")</f>
        <v>100 point plan</v>
      </c>
      <c r="E403" s="422" t="str">
        <f>IFERROR(__xludf.DUMMYFUNCTION("""COMPUTED_VALUE"""),"TNI0505 100 point plan need to clean site overview inside and outeside and make to neatly patchord cable.")</f>
        <v>TNI0505 100 point plan need to clean site overview inside and outeside and make to neatly patchord cable.</v>
      </c>
      <c r="F403" s="424">
        <f>IFERROR(__xludf.DUMMYFUNCTION("""COMPUTED_VALUE"""),46091.0)</f>
        <v>46091</v>
      </c>
      <c r="G403" s="424">
        <f>IFERROR(__xludf.DUMMYFUNCTION("""COMPUTED_VALUE"""),46112.0)</f>
        <v>46112</v>
      </c>
      <c r="H403" s="422" t="str">
        <f>IFERROR(__xludf.DUMMYFUNCTION("""COMPUTED_VALUE"""),"VCM276675-Pyae Phyo Zaw")</f>
        <v>VCM276675-Pyae Phyo Zaw</v>
      </c>
      <c r="I403" s="422"/>
      <c r="J403" s="422"/>
      <c r="K403" s="422"/>
      <c r="L403" s="422"/>
      <c r="M403" s="422"/>
      <c r="N403" s="422"/>
      <c r="O403" s="422">
        <f>IFERROR(__xludf.DUMMYFUNCTION("""COMPUTED_VALUE"""),0.0)</f>
        <v>0</v>
      </c>
      <c r="P403" s="422"/>
      <c r="Q403" s="422"/>
      <c r="R403" s="98"/>
      <c r="S403" s="98" t="str">
        <f>IFERROR(__xludf.DUMMYFUNCTION("""COMPUTED_VALUE"""),"myt_myintkoko.aung")</f>
        <v>myt_myintkoko.aung</v>
      </c>
      <c r="T403" s="98" t="str">
        <f>IFERROR(__xludf.DUMMYFUNCTION("""COMPUTED_VALUE"""),"TNI0505")</f>
        <v>TNI0505</v>
      </c>
    </row>
    <row r="404">
      <c r="A404" s="422">
        <f>IFERROR(__xludf.DUMMYFUNCTION("""COMPUTED_VALUE"""),402.0)</f>
        <v>402</v>
      </c>
      <c r="B404" s="422" t="str">
        <f>IFERROR(__xludf.DUMMYFUNCTION("""COMPUTED_VALUE"""),"PM")</f>
        <v>PM</v>
      </c>
      <c r="C404" s="422" t="str">
        <f>IFERROR(__xludf.DUMMYFUNCTION("""COMPUTED_VALUE"""),"Team 03")</f>
        <v>Team 03</v>
      </c>
      <c r="D404" s="422" t="str">
        <f>IFERROR(__xludf.DUMMYFUNCTION("""COMPUTED_VALUE"""),"100 point plan")</f>
        <v>100 point plan</v>
      </c>
      <c r="E404" s="422" t="str">
        <f>IFERROR(__xludf.DUMMYFUNCTION("""COMPUTED_VALUE"""),"TNI0418 100 point plan need to clean site overview inside and outeside and make to neatly patchord cable.")</f>
        <v>TNI0418 100 point plan need to clean site overview inside and outeside and make to neatly patchord cable.</v>
      </c>
      <c r="F404" s="424">
        <f>IFERROR(__xludf.DUMMYFUNCTION("""COMPUTED_VALUE"""),46091.0)</f>
        <v>46091</v>
      </c>
      <c r="G404" s="424">
        <f>IFERROR(__xludf.DUMMYFUNCTION("""COMPUTED_VALUE"""),46112.0)</f>
        <v>46112</v>
      </c>
      <c r="H404" s="422" t="str">
        <f>IFERROR(__xludf.DUMMYFUNCTION("""COMPUTED_VALUE"""),"VCM289635-Si Thu Htun")</f>
        <v>VCM289635-Si Thu Htun</v>
      </c>
      <c r="I404" s="422"/>
      <c r="J404" s="422"/>
      <c r="K404" s="422"/>
      <c r="L404" s="422"/>
      <c r="M404" s="422"/>
      <c r="N404" s="422"/>
      <c r="O404" s="422">
        <f>IFERROR(__xludf.DUMMYFUNCTION("""COMPUTED_VALUE"""),0.0)</f>
        <v>0</v>
      </c>
      <c r="P404" s="422"/>
      <c r="Q404" s="422"/>
      <c r="R404" s="98"/>
      <c r="S404" s="98" t="str">
        <f>IFERROR(__xludf.DUMMYFUNCTION("""COMPUTED_VALUE"""),"myt_myintkoko.aung")</f>
        <v>myt_myintkoko.aung</v>
      </c>
      <c r="T404" s="98" t="str">
        <f>IFERROR(__xludf.DUMMYFUNCTION("""COMPUTED_VALUE"""),"TNI0418")</f>
        <v>TNI0418</v>
      </c>
    </row>
    <row r="405">
      <c r="A405" s="422">
        <f>IFERROR(__xludf.DUMMYFUNCTION("""COMPUTED_VALUE"""),403.0)</f>
        <v>403</v>
      </c>
      <c r="B405" s="422" t="str">
        <f>IFERROR(__xludf.DUMMYFUNCTION("""COMPUTED_VALUE"""),"PM")</f>
        <v>PM</v>
      </c>
      <c r="C405" s="422" t="str">
        <f>IFERROR(__xludf.DUMMYFUNCTION("""COMPUTED_VALUE"""),"Team 03")</f>
        <v>Team 03</v>
      </c>
      <c r="D405" s="422" t="str">
        <f>IFERROR(__xludf.DUMMYFUNCTION("""COMPUTED_VALUE"""),"100 point plan")</f>
        <v>100 point plan</v>
      </c>
      <c r="E405" s="422" t="str">
        <f>IFERROR(__xludf.DUMMYFUNCTION("""COMPUTED_VALUE"""),"TNI0004-01 100 point plan need to clean site overview inside and outeside and make to neatly patchord cable.")</f>
        <v>TNI0004-01 100 point plan need to clean site overview inside and outeside and make to neatly patchord cable.</v>
      </c>
      <c r="F405" s="424">
        <f>IFERROR(__xludf.DUMMYFUNCTION("""COMPUTED_VALUE"""),46091.0)</f>
        <v>46091</v>
      </c>
      <c r="G405" s="424">
        <f>IFERROR(__xludf.DUMMYFUNCTION("""COMPUTED_VALUE"""),46112.0)</f>
        <v>46112</v>
      </c>
      <c r="H405" s="422" t="str">
        <f>IFERROR(__xludf.DUMMYFUNCTION("""COMPUTED_VALUE"""),"VCM852892-Tin Naing Lin")</f>
        <v>VCM852892-Tin Naing Lin</v>
      </c>
      <c r="I405" s="422"/>
      <c r="J405" s="422"/>
      <c r="K405" s="422"/>
      <c r="L405" s="422"/>
      <c r="M405" s="422"/>
      <c r="N405" s="422"/>
      <c r="O405" s="422">
        <f>IFERROR(__xludf.DUMMYFUNCTION("""COMPUTED_VALUE"""),0.0)</f>
        <v>0</v>
      </c>
      <c r="P405" s="422"/>
      <c r="Q405" s="422"/>
      <c r="R405" s="98"/>
      <c r="S405" s="98" t="str">
        <f>IFERROR(__xludf.DUMMYFUNCTION("""COMPUTED_VALUE"""),"myt_myintkoko.aung")</f>
        <v>myt_myintkoko.aung</v>
      </c>
      <c r="T405" s="98" t="str">
        <f>IFERROR(__xludf.DUMMYFUNCTION("""COMPUTED_VALUE"""),"TNI0004")</f>
        <v>TNI0004</v>
      </c>
    </row>
    <row r="406">
      <c r="A406" s="422">
        <f>IFERROR(__xludf.DUMMYFUNCTION("""COMPUTED_VALUE"""),404.0)</f>
        <v>404</v>
      </c>
      <c r="B406" s="422" t="str">
        <f>IFERROR(__xludf.DUMMYFUNCTION("""COMPUTED_VALUE"""),"PM")</f>
        <v>PM</v>
      </c>
      <c r="C406" s="422" t="str">
        <f>IFERROR(__xludf.DUMMYFUNCTION("""COMPUTED_VALUE"""),"Team 03")</f>
        <v>Team 03</v>
      </c>
      <c r="D406" s="422" t="str">
        <f>IFERROR(__xludf.DUMMYFUNCTION("""COMPUTED_VALUE"""),"PVC PLAN")</f>
        <v>PVC PLAN</v>
      </c>
      <c r="E406" s="422" t="str">
        <f>IFERROR(__xludf.DUMMYFUNCTION("""COMPUTED_VALUE"""),"TNI0310 need to cover pvc pipe")</f>
        <v>TNI0310 need to cover pvc pipe</v>
      </c>
      <c r="F406" s="424">
        <f>IFERROR(__xludf.DUMMYFUNCTION("""COMPUTED_VALUE"""),46133.0)</f>
        <v>46133</v>
      </c>
      <c r="G406" s="424">
        <f>IFERROR(__xludf.DUMMYFUNCTION("""COMPUTED_VALUE"""),46142.0)</f>
        <v>46142</v>
      </c>
      <c r="H406" s="422" t="str">
        <f>IFERROR(__xludf.DUMMYFUNCTION("""COMPUTED_VALUE"""),"VCM289635-Si Thu Htun")</f>
        <v>VCM289635-Si Thu Htun</v>
      </c>
      <c r="I406" s="422"/>
      <c r="J406" s="424">
        <f>IFERROR(__xludf.DUMMYFUNCTION("""COMPUTED_VALUE"""),0.0)</f>
        <v>0</v>
      </c>
      <c r="K406" s="422"/>
      <c r="L406" s="422"/>
      <c r="M406" s="422"/>
      <c r="N406" s="422"/>
      <c r="O406" s="422">
        <f>IFERROR(__xludf.DUMMYFUNCTION("""COMPUTED_VALUE"""),0.0)</f>
        <v>0</v>
      </c>
      <c r="P406" s="422"/>
      <c r="Q406" s="422"/>
      <c r="R406" s="98"/>
      <c r="S406" s="98" t="str">
        <f>IFERROR(__xludf.DUMMYFUNCTION("""COMPUTED_VALUE"""),"myt_sithu.htun")</f>
        <v>myt_sithu.htun</v>
      </c>
      <c r="T406" s="98" t="str">
        <f>IFERROR(__xludf.DUMMYFUNCTION("""COMPUTED_VALUE"""),"TNI0310")</f>
        <v>TNI0310</v>
      </c>
    </row>
    <row r="407">
      <c r="A407" s="422">
        <f>IFERROR(__xludf.DUMMYFUNCTION("""COMPUTED_VALUE"""),405.0)</f>
        <v>405</v>
      </c>
      <c r="B407" s="422" t="str">
        <f>IFERROR(__xludf.DUMMYFUNCTION("""COMPUTED_VALUE"""),"PM")</f>
        <v>PM</v>
      </c>
      <c r="C407" s="422" t="str">
        <f>IFERROR(__xludf.DUMMYFUNCTION("""COMPUTED_VALUE"""),"Team 04")</f>
        <v>Team 04</v>
      </c>
      <c r="D407" s="422" t="str">
        <f>IFERROR(__xludf.DUMMYFUNCTION("""COMPUTED_VALUE"""),"100 point plan")</f>
        <v>100 point plan</v>
      </c>
      <c r="E407" s="422" t="str">
        <f>IFERROR(__xludf.DUMMYFUNCTION("""COMPUTED_VALUE"""),"TNI0057  100 point plan need to clean site overview inside and outeside and make to neatly patchord cable.")</f>
        <v>TNI0057  100 point plan need to clean site overview inside and outeside and make to neatly patchord cable.</v>
      </c>
      <c r="F407" s="424">
        <f>IFERROR(__xludf.DUMMYFUNCTION("""COMPUTED_VALUE"""),46091.0)</f>
        <v>46091</v>
      </c>
      <c r="G407" s="424">
        <f>IFERROR(__xludf.DUMMYFUNCTION("""COMPUTED_VALUE"""),46112.0)</f>
        <v>46112</v>
      </c>
      <c r="H407" s="422" t="str">
        <f>IFERROR(__xludf.DUMMYFUNCTION("""COMPUTED_VALUE"""),"VCM818134-Tin Maung Win, VCM859716-Khant Chaw Nyo")</f>
        <v>VCM818134-Tin Maung Win, VCM859716-Khant Chaw Nyo</v>
      </c>
      <c r="I407" s="425">
        <f>IFERROR(__xludf.DUMMYFUNCTION("""COMPUTED_VALUE"""),46101.0)</f>
        <v>46101</v>
      </c>
      <c r="J407" s="422"/>
      <c r="K407" s="422"/>
      <c r="L407" s="422"/>
      <c r="M407" s="422"/>
      <c r="N407" s="422"/>
      <c r="O407" s="422">
        <f>IFERROR(__xludf.DUMMYFUNCTION("""COMPUTED_VALUE"""),0.0)</f>
        <v>0</v>
      </c>
      <c r="P407" s="422"/>
      <c r="Q407" s="422"/>
      <c r="R407" s="98"/>
      <c r="S407" s="98" t="str">
        <f>IFERROR(__xludf.DUMMYFUNCTION("""COMPUTED_VALUE"""),"myt_aungkyaw.latt")</f>
        <v>myt_aungkyaw.latt</v>
      </c>
      <c r="T407" s="98" t="str">
        <f>IFERROR(__xludf.DUMMYFUNCTION("""COMPUTED_VALUE"""),"TNI0057")</f>
        <v>TNI0057</v>
      </c>
    </row>
    <row r="408">
      <c r="A408" s="422">
        <f>IFERROR(__xludf.DUMMYFUNCTION("""COMPUTED_VALUE"""),406.0)</f>
        <v>406</v>
      </c>
      <c r="B408" s="422" t="str">
        <f>IFERROR(__xludf.DUMMYFUNCTION("""COMPUTED_VALUE"""),"PM")</f>
        <v>PM</v>
      </c>
      <c r="C408" s="422" t="str">
        <f>IFERROR(__xludf.DUMMYFUNCTION("""COMPUTED_VALUE"""),"Team 04")</f>
        <v>Team 04</v>
      </c>
      <c r="D408" s="422" t="str">
        <f>IFERROR(__xludf.DUMMYFUNCTION("""COMPUTED_VALUE"""),"100 point plan")</f>
        <v>100 point plan</v>
      </c>
      <c r="E408" s="422" t="str">
        <f>IFERROR(__xludf.DUMMYFUNCTION("""COMPUTED_VALUE"""),"TNI0243 100 point plan need to clean site overview inside and outeside and make to neatly patchord cable.")</f>
        <v>TNI0243 100 point plan need to clean site overview inside and outeside and make to neatly patchord cable.</v>
      </c>
      <c r="F408" s="424">
        <f>IFERROR(__xludf.DUMMYFUNCTION("""COMPUTED_VALUE"""),46091.0)</f>
        <v>46091</v>
      </c>
      <c r="G408" s="424">
        <f>IFERROR(__xludf.DUMMYFUNCTION("""COMPUTED_VALUE"""),46112.0)</f>
        <v>46112</v>
      </c>
      <c r="H408" s="422" t="str">
        <f>IFERROR(__xludf.DUMMYFUNCTION("""COMPUTED_VALUE"""),"VCM818134-Tin Maung Win, VCM859716-Khant Chaw Nyo")</f>
        <v>VCM818134-Tin Maung Win, VCM859716-Khant Chaw Nyo</v>
      </c>
      <c r="I408" s="425">
        <f>IFERROR(__xludf.DUMMYFUNCTION("""COMPUTED_VALUE"""),46101.0)</f>
        <v>46101</v>
      </c>
      <c r="J408" s="422"/>
      <c r="K408" s="422"/>
      <c r="L408" s="422"/>
      <c r="M408" s="422"/>
      <c r="N408" s="422"/>
      <c r="O408" s="422">
        <f>IFERROR(__xludf.DUMMYFUNCTION("""COMPUTED_VALUE"""),0.0)</f>
        <v>0</v>
      </c>
      <c r="P408" s="422"/>
      <c r="Q408" s="422"/>
      <c r="R408" s="98"/>
      <c r="S408" s="98" t="str">
        <f>IFERROR(__xludf.DUMMYFUNCTION("""COMPUTED_VALUE"""),"myt_tinmaung.win")</f>
        <v>myt_tinmaung.win</v>
      </c>
      <c r="T408" s="98" t="str">
        <f>IFERROR(__xludf.DUMMYFUNCTION("""COMPUTED_VALUE"""),"TNI0243")</f>
        <v>TNI0243</v>
      </c>
    </row>
    <row r="409">
      <c r="A409" s="422">
        <f>IFERROR(__xludf.DUMMYFUNCTION("""COMPUTED_VALUE"""),407.0)</f>
        <v>407</v>
      </c>
      <c r="B409" s="422" t="str">
        <f>IFERROR(__xludf.DUMMYFUNCTION("""COMPUTED_VALUE"""),"PM")</f>
        <v>PM</v>
      </c>
      <c r="C409" s="422" t="str">
        <f>IFERROR(__xludf.DUMMYFUNCTION("""COMPUTED_VALUE"""),"Team 04")</f>
        <v>Team 04</v>
      </c>
      <c r="D409" s="422" t="str">
        <f>IFERROR(__xludf.DUMMYFUNCTION("""COMPUTED_VALUE"""),"100 point plan")</f>
        <v>100 point plan</v>
      </c>
      <c r="E409" s="422" t="str">
        <f>IFERROR(__xludf.DUMMYFUNCTION("""COMPUTED_VALUE"""),"TNI0392  100 point plan need to clean site overview inside and outeside and make to neatly patchord cable.")</f>
        <v>TNI0392  100 point plan need to clean site overview inside and outeside and make to neatly patchord cable.</v>
      </c>
      <c r="F409" s="424">
        <f>IFERROR(__xludf.DUMMYFUNCTION("""COMPUTED_VALUE"""),46091.0)</f>
        <v>46091</v>
      </c>
      <c r="G409" s="424">
        <f>IFERROR(__xludf.DUMMYFUNCTION("""COMPUTED_VALUE"""),46112.0)</f>
        <v>46112</v>
      </c>
      <c r="H409" s="422" t="str">
        <f>IFERROR(__xludf.DUMMYFUNCTION("""COMPUTED_VALUE"""),"VCM818134-Tin Maung Win, VCM859716-Khant Chaw Nyo")</f>
        <v>VCM818134-Tin Maung Win, VCM859716-Khant Chaw Nyo</v>
      </c>
      <c r="I409" s="425">
        <f>IFERROR(__xludf.DUMMYFUNCTION("""COMPUTED_VALUE"""),46101.0)</f>
        <v>46101</v>
      </c>
      <c r="J409" s="422"/>
      <c r="K409" s="422"/>
      <c r="L409" s="422"/>
      <c r="M409" s="422"/>
      <c r="N409" s="422"/>
      <c r="O409" s="422">
        <f>IFERROR(__xludf.DUMMYFUNCTION("""COMPUTED_VALUE"""),0.0)</f>
        <v>0</v>
      </c>
      <c r="P409" s="422"/>
      <c r="Q409" s="422"/>
      <c r="R409" s="98"/>
      <c r="S409" s="98" t="str">
        <f>IFERROR(__xludf.DUMMYFUNCTION("""COMPUTED_VALUE"""),"myt_tinmaung.win")</f>
        <v>myt_tinmaung.win</v>
      </c>
      <c r="T409" s="98" t="str">
        <f>IFERROR(__xludf.DUMMYFUNCTION("""COMPUTED_VALUE"""),"TNI0392")</f>
        <v>TNI0392</v>
      </c>
    </row>
    <row r="410">
      <c r="A410" s="422">
        <f>IFERROR(__xludf.DUMMYFUNCTION("""COMPUTED_VALUE"""),408.0)</f>
        <v>408</v>
      </c>
      <c r="B410" s="422" t="str">
        <f>IFERROR(__xludf.DUMMYFUNCTION("""COMPUTED_VALUE"""),"PM")</f>
        <v>PM</v>
      </c>
      <c r="C410" s="422" t="str">
        <f>IFERROR(__xludf.DUMMYFUNCTION("""COMPUTED_VALUE"""),"Team 04")</f>
        <v>Team 04</v>
      </c>
      <c r="D410" s="422" t="str">
        <f>IFERROR(__xludf.DUMMYFUNCTION("""COMPUTED_VALUE"""),"100 point plan")</f>
        <v>100 point plan</v>
      </c>
      <c r="E410" s="422" t="str">
        <f>IFERROR(__xludf.DUMMYFUNCTION("""COMPUTED_VALUE"""),"TNI0434  100 point plan need to clean site overview inside and outeside and make to neatly patchord cable.")</f>
        <v>TNI0434  100 point plan need to clean site overview inside and outeside and make to neatly patchord cable.</v>
      </c>
      <c r="F410" s="424">
        <f>IFERROR(__xludf.DUMMYFUNCTION("""COMPUTED_VALUE"""),46091.0)</f>
        <v>46091</v>
      </c>
      <c r="G410" s="424">
        <f>IFERROR(__xludf.DUMMYFUNCTION("""COMPUTED_VALUE"""),46112.0)</f>
        <v>46112</v>
      </c>
      <c r="H410" s="422" t="str">
        <f>IFERROR(__xludf.DUMMYFUNCTION("""COMPUTED_VALUE"""),"VCM818134-Tin Maung Win, VCM859716-Khant Chaw Nyo")</f>
        <v>VCM818134-Tin Maung Win, VCM859716-Khant Chaw Nyo</v>
      </c>
      <c r="I410" s="425">
        <f>IFERROR(__xludf.DUMMYFUNCTION("""COMPUTED_VALUE"""),46101.0)</f>
        <v>46101</v>
      </c>
      <c r="J410" s="422"/>
      <c r="K410" s="422"/>
      <c r="L410" s="422"/>
      <c r="M410" s="422"/>
      <c r="N410" s="422"/>
      <c r="O410" s="422">
        <f>IFERROR(__xludf.DUMMYFUNCTION("""COMPUTED_VALUE"""),0.0)</f>
        <v>0</v>
      </c>
      <c r="P410" s="422"/>
      <c r="Q410" s="422"/>
      <c r="R410" s="98"/>
      <c r="S410" s="98" t="str">
        <f>IFERROR(__xludf.DUMMYFUNCTION("""COMPUTED_VALUE"""),"myt_tinmaung.win")</f>
        <v>myt_tinmaung.win</v>
      </c>
      <c r="T410" s="98" t="str">
        <f>IFERROR(__xludf.DUMMYFUNCTION("""COMPUTED_VALUE"""),"TNI0434")</f>
        <v>TNI0434</v>
      </c>
    </row>
    <row r="411">
      <c r="A411" s="422">
        <f>IFERROR(__xludf.DUMMYFUNCTION("""COMPUTED_VALUE"""),409.0)</f>
        <v>409</v>
      </c>
      <c r="B411" s="422" t="str">
        <f>IFERROR(__xludf.DUMMYFUNCTION("""COMPUTED_VALUE"""),"PM")</f>
        <v>PM</v>
      </c>
      <c r="C411" s="422" t="str">
        <f>IFERROR(__xludf.DUMMYFUNCTION("""COMPUTED_VALUE"""),"Team 04")</f>
        <v>Team 04</v>
      </c>
      <c r="D411" s="422" t="str">
        <f>IFERROR(__xludf.DUMMYFUNCTION("""COMPUTED_VALUE"""),"100 point plan")</f>
        <v>100 point plan</v>
      </c>
      <c r="E411" s="422" t="str">
        <f>IFERROR(__xludf.DUMMYFUNCTION("""COMPUTED_VALUE"""),"TNI0435  100 point plan need to clean site overview inside and outeside and make to neatly patchord cable.")</f>
        <v>TNI0435  100 point plan need to clean site overview inside and outeside and make to neatly patchord cable.</v>
      </c>
      <c r="F411" s="424">
        <f>IFERROR(__xludf.DUMMYFUNCTION("""COMPUTED_VALUE"""),46091.0)</f>
        <v>46091</v>
      </c>
      <c r="G411" s="424">
        <f>IFERROR(__xludf.DUMMYFUNCTION("""COMPUTED_VALUE"""),46112.0)</f>
        <v>46112</v>
      </c>
      <c r="H411" s="422" t="str">
        <f>IFERROR(__xludf.DUMMYFUNCTION("""COMPUTED_VALUE"""),"VCM818134-Tin Maung Win, VCM859716-Khant Chaw Nyo")</f>
        <v>VCM818134-Tin Maung Win, VCM859716-Khant Chaw Nyo</v>
      </c>
      <c r="I411" s="425">
        <f>IFERROR(__xludf.DUMMYFUNCTION("""COMPUTED_VALUE"""),46101.0)</f>
        <v>46101</v>
      </c>
      <c r="J411" s="422"/>
      <c r="K411" s="422"/>
      <c r="L411" s="422"/>
      <c r="M411" s="422"/>
      <c r="N411" s="422"/>
      <c r="O411" s="422">
        <f>IFERROR(__xludf.DUMMYFUNCTION("""COMPUTED_VALUE"""),0.0)</f>
        <v>0</v>
      </c>
      <c r="P411" s="422"/>
      <c r="Q411" s="422"/>
      <c r="R411" s="98"/>
      <c r="S411" s="98" t="str">
        <f>IFERROR(__xludf.DUMMYFUNCTION("""COMPUTED_VALUE"""),"myt_tinmaung.win")</f>
        <v>myt_tinmaung.win</v>
      </c>
      <c r="T411" s="98" t="str">
        <f>IFERROR(__xludf.DUMMYFUNCTION("""COMPUTED_VALUE"""),"TNI0435")</f>
        <v>TNI0435</v>
      </c>
    </row>
    <row r="412">
      <c r="A412" s="422">
        <f>IFERROR(__xludf.DUMMYFUNCTION("""COMPUTED_VALUE"""),410.0)</f>
        <v>410</v>
      </c>
      <c r="B412" s="422" t="str">
        <f>IFERROR(__xludf.DUMMYFUNCTION("""COMPUTED_VALUE"""),"PM")</f>
        <v>PM</v>
      </c>
      <c r="C412" s="422" t="str">
        <f>IFERROR(__xludf.DUMMYFUNCTION("""COMPUTED_VALUE"""),"Team 04")</f>
        <v>Team 04</v>
      </c>
      <c r="D412" s="422" t="str">
        <f>IFERROR(__xludf.DUMMYFUNCTION("""COMPUTED_VALUE"""),"PVC PLAN")</f>
        <v>PVC PLAN</v>
      </c>
      <c r="E412" s="422" t="str">
        <f>IFERROR(__xludf.DUMMYFUNCTION("""COMPUTED_VALUE"""),"TNI0011 need to cover pvc pipe")</f>
        <v>TNI0011 need to cover pvc pipe</v>
      </c>
      <c r="F412" s="424">
        <f>IFERROR(__xludf.DUMMYFUNCTION("""COMPUTED_VALUE"""),46133.0)</f>
        <v>46133</v>
      </c>
      <c r="G412" s="424">
        <f>IFERROR(__xludf.DUMMYFUNCTION("""COMPUTED_VALUE"""),46142.0)</f>
        <v>46142</v>
      </c>
      <c r="H412" s="422"/>
      <c r="I412" s="422"/>
      <c r="J412" s="422"/>
      <c r="K412" s="422"/>
      <c r="L412" s="422"/>
      <c r="M412" s="422"/>
      <c r="N412" s="422"/>
      <c r="O412" s="422">
        <f>IFERROR(__xludf.DUMMYFUNCTION("""COMPUTED_VALUE"""),0.0)</f>
        <v>0</v>
      </c>
      <c r="P412" s="422"/>
      <c r="Q412" s="422"/>
      <c r="R412" s="98"/>
      <c r="S412" s="98" t="str">
        <f>IFERROR(__xludf.DUMMYFUNCTION("""COMPUTED_VALUE"""),"myt_tinmaung.win")</f>
        <v>myt_tinmaung.win</v>
      </c>
      <c r="T412" s="98" t="str">
        <f>IFERROR(__xludf.DUMMYFUNCTION("""COMPUTED_VALUE"""),"TNI0011")</f>
        <v>TNI0011</v>
      </c>
    </row>
    <row r="413">
      <c r="A413" s="422">
        <f>IFERROR(__xludf.DUMMYFUNCTION("""COMPUTED_VALUE"""),411.0)</f>
        <v>411</v>
      </c>
      <c r="B413" s="422" t="str">
        <f>IFERROR(__xludf.DUMMYFUNCTION("""COMPUTED_VALUE"""),"PM")</f>
        <v>PM</v>
      </c>
      <c r="C413" s="422" t="str">
        <f>IFERROR(__xludf.DUMMYFUNCTION("""COMPUTED_VALUE"""),"Team 04")</f>
        <v>Team 04</v>
      </c>
      <c r="D413" s="422" t="str">
        <f>IFERROR(__xludf.DUMMYFUNCTION("""COMPUTED_VALUE"""),"PVC PLAN")</f>
        <v>PVC PLAN</v>
      </c>
      <c r="E413" s="422" t="str">
        <f>IFERROR(__xludf.DUMMYFUNCTION("""COMPUTED_VALUE"""),"TNI0227 need to cover pvc pipe")</f>
        <v>TNI0227 need to cover pvc pipe</v>
      </c>
      <c r="F413" s="424">
        <f>IFERROR(__xludf.DUMMYFUNCTION("""COMPUTED_VALUE"""),46133.0)</f>
        <v>46133</v>
      </c>
      <c r="G413" s="424">
        <f>IFERROR(__xludf.DUMMYFUNCTION("""COMPUTED_VALUE"""),46142.0)</f>
        <v>46142</v>
      </c>
      <c r="H413" s="422"/>
      <c r="I413" s="422"/>
      <c r="J413" s="422"/>
      <c r="K413" s="422"/>
      <c r="L413" s="422"/>
      <c r="M413" s="422"/>
      <c r="N413" s="422"/>
      <c r="O413" s="422">
        <f>IFERROR(__xludf.DUMMYFUNCTION("""COMPUTED_VALUE"""),0.0)</f>
        <v>0</v>
      </c>
      <c r="P413" s="422"/>
      <c r="Q413" s="422"/>
      <c r="R413" s="98"/>
      <c r="S413" s="98" t="str">
        <f>IFERROR(__xludf.DUMMYFUNCTION("""COMPUTED_VALUE"""),"myt_aungkyaw.latt")</f>
        <v>myt_aungkyaw.latt</v>
      </c>
      <c r="T413" s="98" t="str">
        <f>IFERROR(__xludf.DUMMYFUNCTION("""COMPUTED_VALUE"""),"TNI0227")</f>
        <v>TNI0227</v>
      </c>
    </row>
    <row r="414">
      <c r="A414" s="422">
        <f>IFERROR(__xludf.DUMMYFUNCTION("""COMPUTED_VALUE"""),412.0)</f>
        <v>412</v>
      </c>
      <c r="B414" s="422" t="str">
        <f>IFERROR(__xludf.DUMMYFUNCTION("""COMPUTED_VALUE"""),"PM")</f>
        <v>PM</v>
      </c>
      <c r="C414" s="422" t="str">
        <f>IFERROR(__xludf.DUMMYFUNCTION("""COMPUTED_VALUE"""),"Team 04")</f>
        <v>Team 04</v>
      </c>
      <c r="D414" s="422" t="str">
        <f>IFERROR(__xludf.DUMMYFUNCTION("""COMPUTED_VALUE"""),"PVC PLAN")</f>
        <v>PVC PLAN</v>
      </c>
      <c r="E414" s="422" t="str">
        <f>IFERROR(__xludf.DUMMYFUNCTION("""COMPUTED_VALUE"""),"TNI0355 need to cover pvc pipe")</f>
        <v>TNI0355 need to cover pvc pipe</v>
      </c>
      <c r="F414" s="424">
        <f>IFERROR(__xludf.DUMMYFUNCTION("""COMPUTED_VALUE"""),46133.0)</f>
        <v>46133</v>
      </c>
      <c r="G414" s="424">
        <f>IFERROR(__xludf.DUMMYFUNCTION("""COMPUTED_VALUE"""),46142.0)</f>
        <v>46142</v>
      </c>
      <c r="H414" s="422"/>
      <c r="I414" s="422"/>
      <c r="J414" s="422"/>
      <c r="K414" s="422"/>
      <c r="L414" s="422"/>
      <c r="M414" s="422"/>
      <c r="N414" s="422"/>
      <c r="O414" s="422">
        <f>IFERROR(__xludf.DUMMYFUNCTION("""COMPUTED_VALUE"""),0.0)</f>
        <v>0</v>
      </c>
      <c r="P414" s="422"/>
      <c r="Q414" s="422"/>
      <c r="R414" s="98"/>
      <c r="S414" s="98" t="str">
        <f>IFERROR(__xludf.DUMMYFUNCTION("""COMPUTED_VALUE"""),"myt_aungkyaw.latt")</f>
        <v>myt_aungkyaw.latt</v>
      </c>
      <c r="T414" s="98" t="str">
        <f>IFERROR(__xludf.DUMMYFUNCTION("""COMPUTED_VALUE"""),"TNI0355")</f>
        <v>TNI0355</v>
      </c>
    </row>
    <row r="415">
      <c r="A415" s="422">
        <f>IFERROR(__xludf.DUMMYFUNCTION("""COMPUTED_VALUE"""),413.0)</f>
        <v>413</v>
      </c>
      <c r="B415" s="422" t="str">
        <f>IFERROR(__xludf.DUMMYFUNCTION("""COMPUTED_VALUE"""),"PM")</f>
        <v>PM</v>
      </c>
      <c r="C415" s="422" t="str">
        <f>IFERROR(__xludf.DUMMYFUNCTION("""COMPUTED_VALUE"""),"Team 04")</f>
        <v>Team 04</v>
      </c>
      <c r="D415" s="422" t="str">
        <f>IFERROR(__xludf.DUMMYFUNCTION("""COMPUTED_VALUE"""),"PVC PLAN")</f>
        <v>PVC PLAN</v>
      </c>
      <c r="E415" s="422" t="str">
        <f>IFERROR(__xludf.DUMMYFUNCTION("""COMPUTED_VALUE"""),"TNI0120 need to cover pvc pipe")</f>
        <v>TNI0120 need to cover pvc pipe</v>
      </c>
      <c r="F415" s="424">
        <f>IFERROR(__xludf.DUMMYFUNCTION("""COMPUTED_VALUE"""),46133.0)</f>
        <v>46133</v>
      </c>
      <c r="G415" s="424">
        <f>IFERROR(__xludf.DUMMYFUNCTION("""COMPUTED_VALUE"""),46142.0)</f>
        <v>46142</v>
      </c>
      <c r="H415" s="422"/>
      <c r="I415" s="422"/>
      <c r="J415" s="422"/>
      <c r="K415" s="422"/>
      <c r="L415" s="422"/>
      <c r="M415" s="422"/>
      <c r="N415" s="422"/>
      <c r="O415" s="422">
        <f>IFERROR(__xludf.DUMMYFUNCTION("""COMPUTED_VALUE"""),0.0)</f>
        <v>0</v>
      </c>
      <c r="P415" s="422"/>
      <c r="Q415" s="422"/>
      <c r="R415" s="98"/>
      <c r="S415" s="98" t="str">
        <f>IFERROR(__xludf.DUMMYFUNCTION("""COMPUTED_VALUE"""),"myt_tinmaung.win")</f>
        <v>myt_tinmaung.win</v>
      </c>
      <c r="T415" s="98" t="str">
        <f>IFERROR(__xludf.DUMMYFUNCTION("""COMPUTED_VALUE"""),"TNI0120")</f>
        <v>TNI0120</v>
      </c>
    </row>
    <row r="416">
      <c r="A416" s="422">
        <f>IFERROR(__xludf.DUMMYFUNCTION("""COMPUTED_VALUE"""),414.0)</f>
        <v>414</v>
      </c>
      <c r="B416" s="422" t="str">
        <f>IFERROR(__xludf.DUMMYFUNCTION("""COMPUTED_VALUE"""),"PM")</f>
        <v>PM</v>
      </c>
      <c r="C416" s="422" t="str">
        <f>IFERROR(__xludf.DUMMYFUNCTION("""COMPUTED_VALUE"""),"Team 04")</f>
        <v>Team 04</v>
      </c>
      <c r="D416" s="422" t="str">
        <f>IFERROR(__xludf.DUMMYFUNCTION("""COMPUTED_VALUE"""),"PVC PLAN")</f>
        <v>PVC PLAN</v>
      </c>
      <c r="E416" s="422" t="str">
        <f>IFERROR(__xludf.DUMMYFUNCTION("""COMPUTED_VALUE"""),"TNI0392 need to cover pvc pipe")</f>
        <v>TNI0392 need to cover pvc pipe</v>
      </c>
      <c r="F416" s="424">
        <f>IFERROR(__xludf.DUMMYFUNCTION("""COMPUTED_VALUE"""),46133.0)</f>
        <v>46133</v>
      </c>
      <c r="G416" s="424">
        <f>IFERROR(__xludf.DUMMYFUNCTION("""COMPUTED_VALUE"""),46142.0)</f>
        <v>46142</v>
      </c>
      <c r="H416" s="422"/>
      <c r="I416" s="422"/>
      <c r="J416" s="422"/>
      <c r="K416" s="422"/>
      <c r="L416" s="422"/>
      <c r="M416" s="422"/>
      <c r="N416" s="422"/>
      <c r="O416" s="422">
        <f>IFERROR(__xludf.DUMMYFUNCTION("""COMPUTED_VALUE"""),0.0)</f>
        <v>0</v>
      </c>
      <c r="P416" s="422"/>
      <c r="Q416" s="422"/>
      <c r="R416" s="98"/>
      <c r="S416" s="98" t="str">
        <f>IFERROR(__xludf.DUMMYFUNCTION("""COMPUTED_VALUE"""),"myt_tinmaung.win")</f>
        <v>myt_tinmaung.win</v>
      </c>
      <c r="T416" s="98" t="str">
        <f>IFERROR(__xludf.DUMMYFUNCTION("""COMPUTED_VALUE"""),"TNI0392")</f>
        <v>TNI0392</v>
      </c>
    </row>
    <row r="417">
      <c r="A417" s="422">
        <f>IFERROR(__xludf.DUMMYFUNCTION("""COMPUTED_VALUE"""),415.0)</f>
        <v>415</v>
      </c>
      <c r="B417" s="422" t="str">
        <f>IFERROR(__xludf.DUMMYFUNCTION("""COMPUTED_VALUE"""),"PM")</f>
        <v>PM</v>
      </c>
      <c r="C417" s="422" t="str">
        <f>IFERROR(__xludf.DUMMYFUNCTION("""COMPUTED_VALUE"""),"Team 04")</f>
        <v>Team 04</v>
      </c>
      <c r="D417" s="422" t="str">
        <f>IFERROR(__xludf.DUMMYFUNCTION("""COMPUTED_VALUE"""),"PVC PLAN")</f>
        <v>PVC PLAN</v>
      </c>
      <c r="E417" s="422" t="str">
        <f>IFERROR(__xludf.DUMMYFUNCTION("""COMPUTED_VALUE"""),"TNI0012 need to cover pvc pipe")</f>
        <v>TNI0012 need to cover pvc pipe</v>
      </c>
      <c r="F417" s="424">
        <f>IFERROR(__xludf.DUMMYFUNCTION("""COMPUTED_VALUE"""),46133.0)</f>
        <v>46133</v>
      </c>
      <c r="G417" s="424">
        <f>IFERROR(__xludf.DUMMYFUNCTION("""COMPUTED_VALUE"""),46142.0)</f>
        <v>46142</v>
      </c>
      <c r="H417" s="422"/>
      <c r="I417" s="422"/>
      <c r="J417" s="422"/>
      <c r="K417" s="422"/>
      <c r="L417" s="422"/>
      <c r="M417" s="422"/>
      <c r="N417" s="422"/>
      <c r="O417" s="422">
        <f>IFERROR(__xludf.DUMMYFUNCTION("""COMPUTED_VALUE"""),0.0)</f>
        <v>0</v>
      </c>
      <c r="P417" s="422"/>
      <c r="Q417" s="422"/>
      <c r="R417" s="98"/>
      <c r="S417" s="98" t="str">
        <f>IFERROR(__xludf.DUMMYFUNCTION("""COMPUTED_VALUE"""),"myt_khantchaw.nyo")</f>
        <v>myt_khantchaw.nyo</v>
      </c>
      <c r="T417" s="98" t="str">
        <f>IFERROR(__xludf.DUMMYFUNCTION("""COMPUTED_VALUE"""),"TNI0012")</f>
        <v>TNI0012</v>
      </c>
    </row>
    <row r="418">
      <c r="A418" s="422">
        <f>IFERROR(__xludf.DUMMYFUNCTION("""COMPUTED_VALUE"""),416.0)</f>
        <v>416</v>
      </c>
      <c r="B418" s="422" t="str">
        <f>IFERROR(__xludf.DUMMYFUNCTION("""COMPUTED_VALUE"""),"PM")</f>
        <v>PM</v>
      </c>
      <c r="C418" s="422" t="str">
        <f>IFERROR(__xludf.DUMMYFUNCTION("""COMPUTED_VALUE"""),"Team 04")</f>
        <v>Team 04</v>
      </c>
      <c r="D418" s="422" t="str">
        <f>IFERROR(__xludf.DUMMYFUNCTION("""COMPUTED_VALUE"""),"PVC PLAN")</f>
        <v>PVC PLAN</v>
      </c>
      <c r="E418" s="422" t="str">
        <f>IFERROR(__xludf.DUMMYFUNCTION("""COMPUTED_VALUE"""),"TNI0404 need to cover pvc pipe")</f>
        <v>TNI0404 need to cover pvc pipe</v>
      </c>
      <c r="F418" s="424">
        <f>IFERROR(__xludf.DUMMYFUNCTION("""COMPUTED_VALUE"""),46133.0)</f>
        <v>46133</v>
      </c>
      <c r="G418" s="424">
        <f>IFERROR(__xludf.DUMMYFUNCTION("""COMPUTED_VALUE"""),46142.0)</f>
        <v>46142</v>
      </c>
      <c r="H418" s="422"/>
      <c r="I418" s="422"/>
      <c r="J418" s="422"/>
      <c r="K418" s="422"/>
      <c r="L418" s="422"/>
      <c r="M418" s="422"/>
      <c r="N418" s="422"/>
      <c r="O418" s="422">
        <f>IFERROR(__xludf.DUMMYFUNCTION("""COMPUTED_VALUE"""),0.0)</f>
        <v>0</v>
      </c>
      <c r="P418" s="422"/>
      <c r="Q418" s="422"/>
      <c r="R418" s="98"/>
      <c r="S418" s="98" t="str">
        <f>IFERROR(__xludf.DUMMYFUNCTION("""COMPUTED_VALUE"""),"myt_tinmaung.win")</f>
        <v>myt_tinmaung.win</v>
      </c>
      <c r="T418" s="98" t="str">
        <f>IFERROR(__xludf.DUMMYFUNCTION("""COMPUTED_VALUE"""),"TNI0404")</f>
        <v>TNI0404</v>
      </c>
    </row>
    <row r="419">
      <c r="A419" s="422">
        <f>IFERROR(__xludf.DUMMYFUNCTION("""COMPUTED_VALUE"""),417.0)</f>
        <v>417</v>
      </c>
      <c r="B419" s="422" t="str">
        <f>IFERROR(__xludf.DUMMYFUNCTION("""COMPUTED_VALUE"""),"PM")</f>
        <v>PM</v>
      </c>
      <c r="C419" s="422" t="str">
        <f>IFERROR(__xludf.DUMMYFUNCTION("""COMPUTED_VALUE"""),"Team 04")</f>
        <v>Team 04</v>
      </c>
      <c r="D419" s="422" t="str">
        <f>IFERROR(__xludf.DUMMYFUNCTION("""COMPUTED_VALUE"""),"PVC PLAN")</f>
        <v>PVC PLAN</v>
      </c>
      <c r="E419" s="422" t="str">
        <f>IFERROR(__xludf.DUMMYFUNCTION("""COMPUTED_VALUE"""),"TNI0154 need to cover pvc pipe")</f>
        <v>TNI0154 need to cover pvc pipe</v>
      </c>
      <c r="F419" s="424">
        <f>IFERROR(__xludf.DUMMYFUNCTION("""COMPUTED_VALUE"""),46133.0)</f>
        <v>46133</v>
      </c>
      <c r="G419" s="424">
        <f>IFERROR(__xludf.DUMMYFUNCTION("""COMPUTED_VALUE"""),46142.0)</f>
        <v>46142</v>
      </c>
      <c r="H419" s="422"/>
      <c r="I419" s="422"/>
      <c r="J419" s="422"/>
      <c r="K419" s="422"/>
      <c r="L419" s="422"/>
      <c r="M419" s="422"/>
      <c r="N419" s="422"/>
      <c r="O419" s="422">
        <f>IFERROR(__xludf.DUMMYFUNCTION("""COMPUTED_VALUE"""),0.0)</f>
        <v>0</v>
      </c>
      <c r="P419" s="422"/>
      <c r="Q419" s="422"/>
      <c r="R419" s="98"/>
      <c r="S419" s="98" t="str">
        <f>IFERROR(__xludf.DUMMYFUNCTION("""COMPUTED_VALUE"""),"myt_khantchaw.nyo")</f>
        <v>myt_khantchaw.nyo</v>
      </c>
      <c r="T419" s="98" t="str">
        <f>IFERROR(__xludf.DUMMYFUNCTION("""COMPUTED_VALUE"""),"TNI0154")</f>
        <v>TNI0154</v>
      </c>
    </row>
    <row r="420">
      <c r="A420" s="422">
        <f>IFERROR(__xludf.DUMMYFUNCTION("""COMPUTED_VALUE"""),418.0)</f>
        <v>418</v>
      </c>
      <c r="B420" s="422" t="str">
        <f>IFERROR(__xludf.DUMMYFUNCTION("""COMPUTED_VALUE"""),"PM")</f>
        <v>PM</v>
      </c>
      <c r="C420" s="422" t="str">
        <f>IFERROR(__xludf.DUMMYFUNCTION("""COMPUTED_VALUE"""),"Team 04")</f>
        <v>Team 04</v>
      </c>
      <c r="D420" s="422" t="str">
        <f>IFERROR(__xludf.DUMMYFUNCTION("""COMPUTED_VALUE"""),"PVC PLAN")</f>
        <v>PVC PLAN</v>
      </c>
      <c r="E420" s="422" t="str">
        <f>IFERROR(__xludf.DUMMYFUNCTION("""COMPUTED_VALUE"""),"TNI0202 need to cover pvc pipe")</f>
        <v>TNI0202 need to cover pvc pipe</v>
      </c>
      <c r="F420" s="424">
        <f>IFERROR(__xludf.DUMMYFUNCTION("""COMPUTED_VALUE"""),46133.0)</f>
        <v>46133</v>
      </c>
      <c r="G420" s="424">
        <f>IFERROR(__xludf.DUMMYFUNCTION("""COMPUTED_VALUE"""),46142.0)</f>
        <v>46142</v>
      </c>
      <c r="H420" s="422"/>
      <c r="I420" s="422"/>
      <c r="J420" s="422"/>
      <c r="K420" s="422"/>
      <c r="L420" s="422"/>
      <c r="M420" s="422"/>
      <c r="N420" s="422"/>
      <c r="O420" s="422">
        <f>IFERROR(__xludf.DUMMYFUNCTION("""COMPUTED_VALUE"""),0.0)</f>
        <v>0</v>
      </c>
      <c r="P420" s="422"/>
      <c r="Q420" s="422"/>
      <c r="R420" s="98"/>
      <c r="S420" s="98" t="str">
        <f>IFERROR(__xludf.DUMMYFUNCTION("""COMPUTED_VALUE"""),"myt_tinmaung.win")</f>
        <v>myt_tinmaung.win</v>
      </c>
      <c r="T420" s="98" t="str">
        <f>IFERROR(__xludf.DUMMYFUNCTION("""COMPUTED_VALUE"""),"TNI0202")</f>
        <v>TNI0202</v>
      </c>
    </row>
    <row r="421">
      <c r="A421" s="422">
        <f>IFERROR(__xludf.DUMMYFUNCTION("""COMPUTED_VALUE"""),419.0)</f>
        <v>419</v>
      </c>
      <c r="B421" s="422" t="str">
        <f>IFERROR(__xludf.DUMMYFUNCTION("""COMPUTED_VALUE"""),"PM")</f>
        <v>PM</v>
      </c>
      <c r="C421" s="422" t="str">
        <f>IFERROR(__xludf.DUMMYFUNCTION("""COMPUTED_VALUE"""),"Team 04")</f>
        <v>Team 04</v>
      </c>
      <c r="D421" s="422" t="str">
        <f>IFERROR(__xludf.DUMMYFUNCTION("""COMPUTED_VALUE"""),"PVC PLAN")</f>
        <v>PVC PLAN</v>
      </c>
      <c r="E421" s="422" t="str">
        <f>IFERROR(__xludf.DUMMYFUNCTION("""COMPUTED_VALUE"""),"TNI0233 need to cover pvc pipe")</f>
        <v>TNI0233 need to cover pvc pipe</v>
      </c>
      <c r="F421" s="424">
        <f>IFERROR(__xludf.DUMMYFUNCTION("""COMPUTED_VALUE"""),46133.0)</f>
        <v>46133</v>
      </c>
      <c r="G421" s="424">
        <f>IFERROR(__xludf.DUMMYFUNCTION("""COMPUTED_VALUE"""),46142.0)</f>
        <v>46142</v>
      </c>
      <c r="H421" s="422"/>
      <c r="I421" s="422"/>
      <c r="J421" s="422"/>
      <c r="K421" s="422"/>
      <c r="L421" s="422"/>
      <c r="M421" s="422"/>
      <c r="N421" s="422"/>
      <c r="O421" s="422">
        <f>IFERROR(__xludf.DUMMYFUNCTION("""COMPUTED_VALUE"""),0.0)</f>
        <v>0</v>
      </c>
      <c r="P421" s="422"/>
      <c r="Q421" s="422"/>
      <c r="R421" s="98"/>
      <c r="S421" s="98" t="str">
        <f>IFERROR(__xludf.DUMMYFUNCTION("""COMPUTED_VALUE"""),"myt_tinmaung.win")</f>
        <v>myt_tinmaung.win</v>
      </c>
      <c r="T421" s="98" t="str">
        <f>IFERROR(__xludf.DUMMYFUNCTION("""COMPUTED_VALUE"""),"TNI0233")</f>
        <v>TNI0233</v>
      </c>
    </row>
    <row r="422">
      <c r="A422" s="422">
        <f>IFERROR(__xludf.DUMMYFUNCTION("""COMPUTED_VALUE"""),420.0)</f>
        <v>420</v>
      </c>
      <c r="B422" s="422" t="str">
        <f>IFERROR(__xludf.DUMMYFUNCTION("""COMPUTED_VALUE"""),"PM")</f>
        <v>PM</v>
      </c>
      <c r="C422" s="422" t="str">
        <f>IFERROR(__xludf.DUMMYFUNCTION("""COMPUTED_VALUE"""),"Team 04")</f>
        <v>Team 04</v>
      </c>
      <c r="D422" s="422" t="str">
        <f>IFERROR(__xludf.DUMMYFUNCTION("""COMPUTED_VALUE"""),"PVC PLAN")</f>
        <v>PVC PLAN</v>
      </c>
      <c r="E422" s="422" t="str">
        <f>IFERROR(__xludf.DUMMYFUNCTION("""COMPUTED_VALUE"""),"TNI0064 need to cover pvc pipe")</f>
        <v>TNI0064 need to cover pvc pipe</v>
      </c>
      <c r="F422" s="424">
        <f>IFERROR(__xludf.DUMMYFUNCTION("""COMPUTED_VALUE"""),46133.0)</f>
        <v>46133</v>
      </c>
      <c r="G422" s="424">
        <f>IFERROR(__xludf.DUMMYFUNCTION("""COMPUTED_VALUE"""),46142.0)</f>
        <v>46142</v>
      </c>
      <c r="H422" s="422"/>
      <c r="I422" s="422"/>
      <c r="J422" s="422"/>
      <c r="K422" s="422"/>
      <c r="L422" s="422"/>
      <c r="M422" s="422"/>
      <c r="N422" s="422"/>
      <c r="O422" s="422">
        <f>IFERROR(__xludf.DUMMYFUNCTION("""COMPUTED_VALUE"""),0.0)</f>
        <v>0</v>
      </c>
      <c r="P422" s="422"/>
      <c r="Q422" s="422"/>
      <c r="R422" s="98"/>
      <c r="S422" s="98" t="str">
        <f>IFERROR(__xludf.DUMMYFUNCTION("""COMPUTED_VALUE"""),"myt_khantchaw.nyo")</f>
        <v>myt_khantchaw.nyo</v>
      </c>
      <c r="T422" s="98" t="str">
        <f>IFERROR(__xludf.DUMMYFUNCTION("""COMPUTED_VALUE"""),"TNI0064")</f>
        <v>TNI0064</v>
      </c>
    </row>
    <row r="423">
      <c r="A423" s="422">
        <f>IFERROR(__xludf.DUMMYFUNCTION("""COMPUTED_VALUE"""),421.0)</f>
        <v>421</v>
      </c>
      <c r="B423" s="422" t="str">
        <f>IFERROR(__xludf.DUMMYFUNCTION("""COMPUTED_VALUE"""),"Transmission")</f>
        <v>Transmission</v>
      </c>
      <c r="C423" s="422" t="str">
        <f>IFERROR(__xludf.DUMMYFUNCTION("""COMPUTED_VALUE"""),"Team 01")</f>
        <v>Team 01</v>
      </c>
      <c r="D423" s="422" t="str">
        <f>IFERROR(__xludf.DUMMYFUNCTION("""COMPUTED_VALUE"""),"Deploy cable")</f>
        <v>Deploy cable</v>
      </c>
      <c r="E423" s="422" t="str">
        <f>IFERROR(__xludf.DUMMYFUNCTION("""COMPUTED_VALUE"""),"TNI0006-TNI0220 need survey point change cable new")</f>
        <v>TNI0006-TNI0220 need survey point change cable new</v>
      </c>
      <c r="F423" s="424">
        <f>IFERROR(__xludf.DUMMYFUNCTION("""COMPUTED_VALUE"""),46163.0)</f>
        <v>46163</v>
      </c>
      <c r="G423" s="424">
        <f>IFERROR(__xludf.DUMMYFUNCTION("""COMPUTED_VALUE"""),46167.0)</f>
        <v>46167</v>
      </c>
      <c r="H423" s="422"/>
      <c r="I423" s="422"/>
      <c r="J423" s="422"/>
      <c r="K423" s="422"/>
      <c r="L423" s="422"/>
      <c r="M423" s="422"/>
      <c r="N423" s="422"/>
      <c r="O423" s="422">
        <f>IFERROR(__xludf.DUMMYFUNCTION("""COMPUTED_VALUE"""),0.0)</f>
        <v>0</v>
      </c>
      <c r="P423" s="422"/>
      <c r="Q423" s="422"/>
      <c r="R423" s="98"/>
      <c r="S423" s="98" t="str">
        <f>IFERROR(__xludf.DUMMYFUNCTION("""COMPUTED_VALUE"""),"Thu Rain Niang")</f>
        <v>Thu Rain Niang</v>
      </c>
      <c r="T423" s="98" t="str">
        <f>IFERROR(__xludf.DUMMYFUNCTION("""COMPUTED_VALUE"""),"TNI0006")</f>
        <v>TNI0006</v>
      </c>
    </row>
    <row r="424">
      <c r="A424" s="422">
        <f>IFERROR(__xludf.DUMMYFUNCTION("""COMPUTED_VALUE"""),422.0)</f>
        <v>422</v>
      </c>
      <c r="B424" s="422" t="str">
        <f>IFERROR(__xludf.DUMMYFUNCTION("""COMPUTED_VALUE"""),"Transmission")</f>
        <v>Transmission</v>
      </c>
      <c r="C424" s="422" t="str">
        <f>IFERROR(__xludf.DUMMYFUNCTION("""COMPUTED_VALUE"""),"Team 01")</f>
        <v>Team 01</v>
      </c>
      <c r="D424" s="422" t="str">
        <f>IFERROR(__xludf.DUMMYFUNCTION("""COMPUTED_VALUE"""),"Deploy cable")</f>
        <v>Deploy cable</v>
      </c>
      <c r="E424" s="422" t="str">
        <f>IFERROR(__xludf.DUMMYFUNCTION("""COMPUTED_VALUE"""),"TNI0013-TNI394 need survey point change cable new")</f>
        <v>TNI0013-TNI394 need survey point change cable new</v>
      </c>
      <c r="F424" s="424">
        <f>IFERROR(__xludf.DUMMYFUNCTION("""COMPUTED_VALUE"""),46163.0)</f>
        <v>46163</v>
      </c>
      <c r="G424" s="424">
        <f>IFERROR(__xludf.DUMMYFUNCTION("""COMPUTED_VALUE"""),46167.0)</f>
        <v>46167</v>
      </c>
      <c r="H424" s="422"/>
      <c r="I424" s="422"/>
      <c r="J424" s="422"/>
      <c r="K424" s="422"/>
      <c r="L424" s="422"/>
      <c r="M424" s="422"/>
      <c r="N424" s="422"/>
      <c r="O424" s="422">
        <f>IFERROR(__xludf.DUMMYFUNCTION("""COMPUTED_VALUE"""),0.0)</f>
        <v>0</v>
      </c>
      <c r="P424" s="422"/>
      <c r="Q424" s="422"/>
      <c r="R424" s="98"/>
      <c r="S424" s="98" t="str">
        <f>IFERROR(__xludf.DUMMYFUNCTION("""COMPUTED_VALUE"""),"myt_bonemyat.naing1")</f>
        <v>myt_bonemyat.naing1</v>
      </c>
      <c r="T424" s="98" t="str">
        <f>IFERROR(__xludf.DUMMYFUNCTION("""COMPUTED_VALUE"""),"TNI0013")</f>
        <v>TNI0013</v>
      </c>
    </row>
    <row r="425">
      <c r="A425" s="422">
        <f>IFERROR(__xludf.DUMMYFUNCTION("""COMPUTED_VALUE"""),423.0)</f>
        <v>423</v>
      </c>
      <c r="B425" s="422" t="str">
        <f>IFERROR(__xludf.DUMMYFUNCTION("""COMPUTED_VALUE"""),"Transmission")</f>
        <v>Transmission</v>
      </c>
      <c r="C425" s="422" t="str">
        <f>IFERROR(__xludf.DUMMYFUNCTION("""COMPUTED_VALUE"""),"Team 01")</f>
        <v>Team 01</v>
      </c>
      <c r="D425" s="422" t="str">
        <f>IFERROR(__xludf.DUMMYFUNCTION("""COMPUTED_VALUE"""),"Export Materials")</f>
        <v>Export Materials</v>
      </c>
      <c r="E425" s="422" t="str">
        <f>IFERROR(__xludf.DUMMYFUNCTION("""COMPUTED_VALUE"""),"TNI0129-TNIM043 &gt;&gt;&gt;F8 cable 100metet,2closure")</f>
        <v>TNI0129-TNIM043 &gt;&gt;&gt;F8 cable 100metet,2closure</v>
      </c>
      <c r="F425" s="424">
        <f>IFERROR(__xludf.DUMMYFUNCTION("""COMPUTED_VALUE"""),46184.0)</f>
        <v>46184</v>
      </c>
      <c r="G425" s="424">
        <f>IFERROR(__xludf.DUMMYFUNCTION("""COMPUTED_VALUE"""),46188.0)</f>
        <v>46188</v>
      </c>
      <c r="H425" s="422"/>
      <c r="I425" s="422"/>
      <c r="J425" s="422"/>
      <c r="K425" s="422"/>
      <c r="L425" s="422"/>
      <c r="M425" s="422"/>
      <c r="N425" s="422"/>
      <c r="O425" s="422">
        <f>IFERROR(__xludf.DUMMYFUNCTION("""COMPUTED_VALUE"""),0.0)</f>
        <v>0</v>
      </c>
      <c r="P425" s="422"/>
      <c r="Q425" s="422"/>
      <c r="R425" s="98"/>
      <c r="S425" s="98" t="str">
        <f>IFERROR(__xludf.DUMMYFUNCTION("""COMPUTED_VALUE"""),"Thu Rain Niang")</f>
        <v>Thu Rain Niang</v>
      </c>
      <c r="T425" s="98" t="str">
        <f>IFERROR(__xludf.DUMMYFUNCTION("""COMPUTED_VALUE"""),"TNI0129")</f>
        <v>TNI0129</v>
      </c>
    </row>
    <row r="426">
      <c r="A426" s="422">
        <f>IFERROR(__xludf.DUMMYFUNCTION("""COMPUTED_VALUE"""),424.0)</f>
        <v>424</v>
      </c>
      <c r="B426" s="422" t="str">
        <f>IFERROR(__xludf.DUMMYFUNCTION("""COMPUTED_VALUE"""),"Transmission")</f>
        <v>Transmission</v>
      </c>
      <c r="C426" s="422" t="str">
        <f>IFERROR(__xludf.DUMMYFUNCTION("""COMPUTED_VALUE"""),"Team 01")</f>
        <v>Team 01</v>
      </c>
      <c r="D426" s="422" t="str">
        <f>IFERROR(__xludf.DUMMYFUNCTION("""COMPUTED_VALUE"""),"Export Materials")</f>
        <v>Export Materials</v>
      </c>
      <c r="E426" s="422" t="str">
        <f>IFERROR(__xludf.DUMMYFUNCTION("""COMPUTED_VALUE"""),"TNI0006-TNIM009 &gt;&gt;&gt;F8 cable 600meter, closure 3pcs, tension 1pcs")</f>
        <v>TNI0006-TNIM009 &gt;&gt;&gt;F8 cable 600meter, closure 3pcs, tension 1pcs</v>
      </c>
      <c r="F426" s="424">
        <f>IFERROR(__xludf.DUMMYFUNCTION("""COMPUTED_VALUE"""),46184.0)</f>
        <v>46184</v>
      </c>
      <c r="G426" s="424">
        <f>IFERROR(__xludf.DUMMYFUNCTION("""COMPUTED_VALUE"""),46188.0)</f>
        <v>46188</v>
      </c>
      <c r="H426" s="422"/>
      <c r="I426" s="422"/>
      <c r="J426" s="422"/>
      <c r="K426" s="422"/>
      <c r="L426" s="422"/>
      <c r="M426" s="422"/>
      <c r="N426" s="422"/>
      <c r="O426" s="422">
        <f>IFERROR(__xludf.DUMMYFUNCTION("""COMPUTED_VALUE"""),0.0)</f>
        <v>0</v>
      </c>
      <c r="P426" s="422"/>
      <c r="Q426" s="422"/>
      <c r="R426" s="98"/>
      <c r="S426" s="98" t="str">
        <f>IFERROR(__xludf.DUMMYFUNCTION("""COMPUTED_VALUE"""),"Thu Rain Niang")</f>
        <v>Thu Rain Niang</v>
      </c>
      <c r="T426" s="98" t="str">
        <f>IFERROR(__xludf.DUMMYFUNCTION("""COMPUTED_VALUE"""),"TNI0006")</f>
        <v>TNI0006</v>
      </c>
    </row>
    <row r="427">
      <c r="A427" s="422">
        <f>IFERROR(__xludf.DUMMYFUNCTION("""COMPUTED_VALUE"""),425.0)</f>
        <v>425</v>
      </c>
      <c r="B427" s="422" t="str">
        <f>IFERROR(__xludf.DUMMYFUNCTION("""COMPUTED_VALUE"""),"Transmission")</f>
        <v>Transmission</v>
      </c>
      <c r="C427" s="422" t="str">
        <f>IFERROR(__xludf.DUMMYFUNCTION("""COMPUTED_VALUE"""),"Team 01")</f>
        <v>Team 01</v>
      </c>
      <c r="D427" s="422" t="str">
        <f>IFERROR(__xludf.DUMMYFUNCTION("""COMPUTED_VALUE"""),"Export Materials")</f>
        <v>Export Materials</v>
      </c>
      <c r="E427" s="422" t="str">
        <f>IFERROR(__xludf.DUMMYFUNCTION("""COMPUTED_VALUE"""),"TNI0046-TNIM028&gt;&gt;Closure 2")</f>
        <v>TNI0046-TNIM028&gt;&gt;Closure 2</v>
      </c>
      <c r="F427" s="424">
        <f>IFERROR(__xludf.DUMMYFUNCTION("""COMPUTED_VALUE"""),46184.0)</f>
        <v>46184</v>
      </c>
      <c r="G427" s="424">
        <f>IFERROR(__xludf.DUMMYFUNCTION("""COMPUTED_VALUE"""),46188.0)</f>
        <v>46188</v>
      </c>
      <c r="H427" s="422"/>
      <c r="I427" s="422"/>
      <c r="J427" s="422"/>
      <c r="K427" s="422"/>
      <c r="L427" s="422"/>
      <c r="M427" s="422"/>
      <c r="N427" s="422"/>
      <c r="O427" s="422">
        <f>IFERROR(__xludf.DUMMYFUNCTION("""COMPUTED_VALUE"""),0.0)</f>
        <v>0</v>
      </c>
      <c r="P427" s="422"/>
      <c r="Q427" s="422"/>
      <c r="R427" s="98"/>
      <c r="S427" s="98" t="str">
        <f>IFERROR(__xludf.DUMMYFUNCTION("""COMPUTED_VALUE"""),"myt_aunglwin.phyo")</f>
        <v>myt_aunglwin.phyo</v>
      </c>
      <c r="T427" s="98" t="str">
        <f>IFERROR(__xludf.DUMMYFUNCTION("""COMPUTED_VALUE"""),"TNI0046")</f>
        <v>TNI0046</v>
      </c>
    </row>
    <row r="428">
      <c r="A428" s="422">
        <f>IFERROR(__xludf.DUMMYFUNCTION("""COMPUTED_VALUE"""),426.0)</f>
        <v>426</v>
      </c>
      <c r="B428" s="422" t="str">
        <f>IFERROR(__xludf.DUMMYFUNCTION("""COMPUTED_VALUE"""),"Transmission")</f>
        <v>Transmission</v>
      </c>
      <c r="C428" s="422" t="str">
        <f>IFERROR(__xludf.DUMMYFUNCTION("""COMPUTED_VALUE"""),"Team 01")</f>
        <v>Team 01</v>
      </c>
      <c r="D428" s="422" t="str">
        <f>IFERROR(__xludf.DUMMYFUNCTION("""COMPUTED_VALUE"""),"Export Materials")</f>
        <v>Export Materials</v>
      </c>
      <c r="E428" s="422" t="str">
        <f>IFERROR(__xludf.DUMMYFUNCTION("""COMPUTED_VALUE"""),"TNI0356-JB(TNI0147-TNI0170)&gt;&gt;Closure 2")</f>
        <v>TNI0356-JB(TNI0147-TNI0170)&gt;&gt;Closure 2</v>
      </c>
      <c r="F428" s="424">
        <f>IFERROR(__xludf.DUMMYFUNCTION("""COMPUTED_VALUE"""),46184.0)</f>
        <v>46184</v>
      </c>
      <c r="G428" s="424">
        <f>IFERROR(__xludf.DUMMYFUNCTION("""COMPUTED_VALUE"""),46188.0)</f>
        <v>46188</v>
      </c>
      <c r="H428" s="422"/>
      <c r="I428" s="422"/>
      <c r="J428" s="422"/>
      <c r="K428" s="422"/>
      <c r="L428" s="422"/>
      <c r="M428" s="422"/>
      <c r="N428" s="422"/>
      <c r="O428" s="422">
        <f>IFERROR(__xludf.DUMMYFUNCTION("""COMPUTED_VALUE"""),0.0)</f>
        <v>0</v>
      </c>
      <c r="P428" s="422"/>
      <c r="Q428" s="422"/>
      <c r="R428" s="98"/>
      <c r="S428" s="98" t="str">
        <f>IFERROR(__xludf.DUMMYFUNCTION("""COMPUTED_VALUE"""),"myt_bonemyat.naing1")</f>
        <v>myt_bonemyat.naing1</v>
      </c>
      <c r="T428" s="98" t="str">
        <f>IFERROR(__xludf.DUMMYFUNCTION("""COMPUTED_VALUE"""),"TNI0356")</f>
        <v>TNI0356</v>
      </c>
    </row>
    <row r="429">
      <c r="A429" s="422">
        <f>IFERROR(__xludf.DUMMYFUNCTION("""COMPUTED_VALUE"""),427.0)</f>
        <v>427</v>
      </c>
      <c r="B429" s="422" t="str">
        <f>IFERROR(__xludf.DUMMYFUNCTION("""COMPUTED_VALUE"""),"Transmission")</f>
        <v>Transmission</v>
      </c>
      <c r="C429" s="422" t="str">
        <f>IFERROR(__xludf.DUMMYFUNCTION("""COMPUTED_VALUE"""),"Team 01")</f>
        <v>Team 01</v>
      </c>
      <c r="D429" s="422" t="str">
        <f>IFERROR(__xludf.DUMMYFUNCTION("""COMPUTED_VALUE"""),"Export Materials")</f>
        <v>Export Materials</v>
      </c>
      <c r="E429" s="422" t="str">
        <f>IFERROR(__xludf.DUMMYFUNCTION("""COMPUTED_VALUE"""),"TNI0146-JB(TNI0147-TNI0170)&gt;&gt;Closure.2")</f>
        <v>TNI0146-JB(TNI0147-TNI0170)&gt;&gt;Closure.2</v>
      </c>
      <c r="F429" s="424">
        <f>IFERROR(__xludf.DUMMYFUNCTION("""COMPUTED_VALUE"""),46184.0)</f>
        <v>46184</v>
      </c>
      <c r="G429" s="424">
        <f>IFERROR(__xludf.DUMMYFUNCTION("""COMPUTED_VALUE"""),46188.0)</f>
        <v>46188</v>
      </c>
      <c r="H429" s="422"/>
      <c r="I429" s="422"/>
      <c r="J429" s="422"/>
      <c r="K429" s="422"/>
      <c r="L429" s="422"/>
      <c r="M429" s="422"/>
      <c r="N429" s="422"/>
      <c r="O429" s="422">
        <f>IFERROR(__xludf.DUMMYFUNCTION("""COMPUTED_VALUE"""),0.0)</f>
        <v>0</v>
      </c>
      <c r="P429" s="422"/>
      <c r="Q429" s="422"/>
      <c r="R429" s="98"/>
      <c r="S429" s="98" t="str">
        <f>IFERROR(__xludf.DUMMYFUNCTION("""COMPUTED_VALUE"""),"myt_myothant.htoo")</f>
        <v>myt_myothant.htoo</v>
      </c>
      <c r="T429" s="98" t="str">
        <f>IFERROR(__xludf.DUMMYFUNCTION("""COMPUTED_VALUE"""),"TNI0146")</f>
        <v>TNI0146</v>
      </c>
    </row>
    <row r="430">
      <c r="A430" s="422">
        <f>IFERROR(__xludf.DUMMYFUNCTION("""COMPUTED_VALUE"""),428.0)</f>
        <v>428</v>
      </c>
      <c r="B430" s="422" t="str">
        <f>IFERROR(__xludf.DUMMYFUNCTION("""COMPUTED_VALUE"""),"Transmission")</f>
        <v>Transmission</v>
      </c>
      <c r="C430" s="422" t="str">
        <f>IFERROR(__xludf.DUMMYFUNCTION("""COMPUTED_VALUE"""),"Team 01")</f>
        <v>Team 01</v>
      </c>
      <c r="D430" s="422" t="str">
        <f>IFERROR(__xludf.DUMMYFUNCTION("""COMPUTED_VALUE"""),"Export Materials")</f>
        <v>Export Materials</v>
      </c>
      <c r="E430" s="422" t="str">
        <f>IFERROR(__xludf.DUMMYFUNCTION("""COMPUTED_VALUE"""),"TNI0213-TNI0213_01&gt;&gt;closure 1pcs, Tension 1pcs")</f>
        <v>TNI0213-TNI0213_01&gt;&gt;closure 1pcs, Tension 1pcs</v>
      </c>
      <c r="F430" s="424">
        <f>IFERROR(__xludf.DUMMYFUNCTION("""COMPUTED_VALUE"""),46184.0)</f>
        <v>46184</v>
      </c>
      <c r="G430" s="424">
        <f>IFERROR(__xludf.DUMMYFUNCTION("""COMPUTED_VALUE"""),46188.0)</f>
        <v>46188</v>
      </c>
      <c r="H430" s="422"/>
      <c r="I430" s="422"/>
      <c r="J430" s="422"/>
      <c r="K430" s="422"/>
      <c r="L430" s="422"/>
      <c r="M430" s="422"/>
      <c r="N430" s="422"/>
      <c r="O430" s="422">
        <f>IFERROR(__xludf.DUMMYFUNCTION("""COMPUTED_VALUE"""),0.0)</f>
        <v>0</v>
      </c>
      <c r="P430" s="422"/>
      <c r="Q430" s="422"/>
      <c r="R430" s="98"/>
      <c r="S430" s="98" t="str">
        <f>IFERROR(__xludf.DUMMYFUNCTION("""COMPUTED_VALUE"""),"Thu Rain Niang")</f>
        <v>Thu Rain Niang</v>
      </c>
      <c r="T430" s="98" t="str">
        <f>IFERROR(__xludf.DUMMYFUNCTION("""COMPUTED_VALUE"""),"TNI0213")</f>
        <v>TNI0213</v>
      </c>
    </row>
    <row r="431">
      <c r="A431" s="422">
        <f>IFERROR(__xludf.DUMMYFUNCTION("""COMPUTED_VALUE"""),429.0)</f>
        <v>429</v>
      </c>
      <c r="B431" s="422" t="str">
        <f>IFERROR(__xludf.DUMMYFUNCTION("""COMPUTED_VALUE"""),"Transmission")</f>
        <v>Transmission</v>
      </c>
      <c r="C431" s="422" t="str">
        <f>IFERROR(__xludf.DUMMYFUNCTION("""COMPUTED_VALUE"""),"Team 01")</f>
        <v>Team 01</v>
      </c>
      <c r="D431" s="422" t="str">
        <f>IFERROR(__xludf.DUMMYFUNCTION("""COMPUTED_VALUE"""),"Export Materials")</f>
        <v>Export Materials</v>
      </c>
      <c r="E431" s="422" t="str">
        <f>IFERROR(__xludf.DUMMYFUNCTION("""COMPUTED_VALUE"""),"TNI0188-JB(MON0002-TNI0006)&gt;&gt;48F8 cable 150meter, Closure 2pcs")</f>
        <v>TNI0188-JB(MON0002-TNI0006)&gt;&gt;48F8 cable 150meter, Closure 2pcs</v>
      </c>
      <c r="F431" s="424">
        <f>IFERROR(__xludf.DUMMYFUNCTION("""COMPUTED_VALUE"""),46184.0)</f>
        <v>46184</v>
      </c>
      <c r="G431" s="424">
        <f>IFERROR(__xludf.DUMMYFUNCTION("""COMPUTED_VALUE"""),46188.0)</f>
        <v>46188</v>
      </c>
      <c r="H431" s="422"/>
      <c r="I431" s="422"/>
      <c r="J431" s="422"/>
      <c r="K431" s="422"/>
      <c r="L431" s="422"/>
      <c r="M431" s="422"/>
      <c r="N431" s="422"/>
      <c r="O431" s="422">
        <f>IFERROR(__xludf.DUMMYFUNCTION("""COMPUTED_VALUE"""),0.0)</f>
        <v>0</v>
      </c>
      <c r="P431" s="422"/>
      <c r="Q431" s="422"/>
      <c r="R431" s="98"/>
      <c r="S431" s="98" t="str">
        <f>IFERROR(__xludf.DUMMYFUNCTION("""COMPUTED_VALUE"""),"Thu Rain Niang")</f>
        <v>Thu Rain Niang</v>
      </c>
      <c r="T431" s="98" t="str">
        <f>IFERROR(__xludf.DUMMYFUNCTION("""COMPUTED_VALUE"""),"TNI0188")</f>
        <v>TNI0188</v>
      </c>
    </row>
    <row r="432">
      <c r="A432" s="422">
        <f>IFERROR(__xludf.DUMMYFUNCTION("""COMPUTED_VALUE"""),430.0)</f>
        <v>430</v>
      </c>
      <c r="B432" s="422" t="str">
        <f>IFERROR(__xludf.DUMMYFUNCTION("""COMPUTED_VALUE"""),"Transmission")</f>
        <v>Transmission</v>
      </c>
      <c r="C432" s="422" t="str">
        <f>IFERROR(__xludf.DUMMYFUNCTION("""COMPUTED_VALUE"""),"Team 01")</f>
        <v>Team 01</v>
      </c>
      <c r="D432" s="422" t="str">
        <f>IFERROR(__xludf.DUMMYFUNCTION("""COMPUTED_VALUE"""),"Export Materials")</f>
        <v>Export Materials</v>
      </c>
      <c r="E432" s="422" t="str">
        <f>IFERROR(__xludf.DUMMYFUNCTION("""COMPUTED_VALUE"""),"TNI0206-TNI0150 &gt;&gt;Closure 2 pcs, 24FO 50m")</f>
        <v>TNI0206-TNI0150 &gt;&gt;Closure 2 pcs, 24FO 50m</v>
      </c>
      <c r="F432" s="424">
        <f>IFERROR(__xludf.DUMMYFUNCTION("""COMPUTED_VALUE"""),46184.0)</f>
        <v>46184</v>
      </c>
      <c r="G432" s="424">
        <f>IFERROR(__xludf.DUMMYFUNCTION("""COMPUTED_VALUE"""),46188.0)</f>
        <v>46188</v>
      </c>
      <c r="H432" s="422"/>
      <c r="I432" s="422"/>
      <c r="J432" s="422"/>
      <c r="K432" s="422"/>
      <c r="L432" s="422"/>
      <c r="M432" s="422"/>
      <c r="N432" s="422"/>
      <c r="O432" s="422">
        <f>IFERROR(__xludf.DUMMYFUNCTION("""COMPUTED_VALUE"""),0.0)</f>
        <v>0</v>
      </c>
      <c r="P432" s="422"/>
      <c r="Q432" s="422"/>
      <c r="R432" s="98"/>
      <c r="S432" s="98" t="str">
        <f>IFERROR(__xludf.DUMMYFUNCTION("""COMPUTED_VALUE"""),"Thu Rain Niang")</f>
        <v>Thu Rain Niang</v>
      </c>
      <c r="T432" s="98" t="str">
        <f>IFERROR(__xludf.DUMMYFUNCTION("""COMPUTED_VALUE"""),"TNI0206")</f>
        <v>TNI0206</v>
      </c>
    </row>
    <row r="433">
      <c r="A433" s="422">
        <f>IFERROR(__xludf.DUMMYFUNCTION("""COMPUTED_VALUE"""),431.0)</f>
        <v>431</v>
      </c>
      <c r="B433" s="422" t="str">
        <f>IFERROR(__xludf.DUMMYFUNCTION("""COMPUTED_VALUE"""),"Transmission")</f>
        <v>Transmission</v>
      </c>
      <c r="C433" s="422" t="str">
        <f>IFERROR(__xludf.DUMMYFUNCTION("""COMPUTED_VALUE"""),"Team 01")</f>
        <v>Team 01</v>
      </c>
      <c r="D433" s="422" t="str">
        <f>IFERROR(__xludf.DUMMYFUNCTION("""COMPUTED_VALUE"""),"Export Materials")</f>
        <v>Export Materials</v>
      </c>
      <c r="E433" s="422" t="str">
        <f>IFERROR(__xludf.DUMMYFUNCTION("""COMPUTED_VALUE"""),"TNI0031-TNI0333 &gt;&gt;F8 24FO - 200m,closure - 2pcs and F8 accessory")</f>
        <v>TNI0031-TNI0333 &gt;&gt;F8 24FO - 200m,closure - 2pcs and F8 accessory</v>
      </c>
      <c r="F433" s="424">
        <f>IFERROR(__xludf.DUMMYFUNCTION("""COMPUTED_VALUE"""),46184.0)</f>
        <v>46184</v>
      </c>
      <c r="G433" s="424">
        <f>IFERROR(__xludf.DUMMYFUNCTION("""COMPUTED_VALUE"""),46188.0)</f>
        <v>46188</v>
      </c>
      <c r="H433" s="422"/>
      <c r="I433" s="422"/>
      <c r="J433" s="422"/>
      <c r="K433" s="422"/>
      <c r="L433" s="422"/>
      <c r="M433" s="422"/>
      <c r="N433" s="422"/>
      <c r="O433" s="422">
        <f>IFERROR(__xludf.DUMMYFUNCTION("""COMPUTED_VALUE"""),0.0)</f>
        <v>0</v>
      </c>
      <c r="P433" s="422"/>
      <c r="Q433" s="422"/>
      <c r="R433" s="98"/>
      <c r="S433" s="98" t="str">
        <f>IFERROR(__xludf.DUMMYFUNCTION("""COMPUTED_VALUE"""),"myt_bonemyat.naing1")</f>
        <v>myt_bonemyat.naing1</v>
      </c>
      <c r="T433" s="98" t="str">
        <f>IFERROR(__xludf.DUMMYFUNCTION("""COMPUTED_VALUE"""),"TNI0031")</f>
        <v>TNI0031</v>
      </c>
    </row>
    <row r="434">
      <c r="A434" s="422">
        <f>IFERROR(__xludf.DUMMYFUNCTION("""COMPUTED_VALUE"""),432.0)</f>
        <v>432</v>
      </c>
      <c r="B434" s="422" t="str">
        <f>IFERROR(__xludf.DUMMYFUNCTION("""COMPUTED_VALUE"""),"Transmission")</f>
        <v>Transmission</v>
      </c>
      <c r="C434" s="422" t="str">
        <f>IFERROR(__xludf.DUMMYFUNCTION("""COMPUTED_VALUE"""),"Team 01")</f>
        <v>Team 01</v>
      </c>
      <c r="D434" s="422" t="str">
        <f>IFERROR(__xludf.DUMMYFUNCTION("""COMPUTED_VALUE"""),"Export Materials")</f>
        <v>Export Materials</v>
      </c>
      <c r="E434" s="422" t="str">
        <f>IFERROR(__xludf.DUMMYFUNCTION("""COMPUTED_VALUE"""),"TNI0006-TNI0013 &gt;&gt;Closure 1 pcs,")</f>
        <v>TNI0006-TNI0013 &gt;&gt;Closure 1 pcs,</v>
      </c>
      <c r="F434" s="424">
        <f>IFERROR(__xludf.DUMMYFUNCTION("""COMPUTED_VALUE"""),46184.0)</f>
        <v>46184</v>
      </c>
      <c r="G434" s="424">
        <f>IFERROR(__xludf.DUMMYFUNCTION("""COMPUTED_VALUE"""),46188.0)</f>
        <v>46188</v>
      </c>
      <c r="H434" s="422"/>
      <c r="I434" s="422"/>
      <c r="J434" s="422"/>
      <c r="K434" s="422"/>
      <c r="L434" s="422"/>
      <c r="M434" s="422"/>
      <c r="N434" s="422"/>
      <c r="O434" s="422">
        <f>IFERROR(__xludf.DUMMYFUNCTION("""COMPUTED_VALUE"""),0.0)</f>
        <v>0</v>
      </c>
      <c r="P434" s="422"/>
      <c r="Q434" s="422"/>
      <c r="R434" s="98"/>
      <c r="S434" s="98" t="str">
        <f>IFERROR(__xludf.DUMMYFUNCTION("""COMPUTED_VALUE"""),"Thu Rain Niang")</f>
        <v>Thu Rain Niang</v>
      </c>
      <c r="T434" s="98" t="str">
        <f>IFERROR(__xludf.DUMMYFUNCTION("""COMPUTED_VALUE"""),"TNI0006")</f>
        <v>TNI0006</v>
      </c>
    </row>
    <row r="435">
      <c r="A435" s="422">
        <f>IFERROR(__xludf.DUMMYFUNCTION("""COMPUTED_VALUE"""),433.0)</f>
        <v>433</v>
      </c>
      <c r="B435" s="422" t="str">
        <f>IFERROR(__xludf.DUMMYFUNCTION("""COMPUTED_VALUE"""),"Transmission")</f>
        <v>Transmission</v>
      </c>
      <c r="C435" s="422" t="str">
        <f>IFERROR(__xludf.DUMMYFUNCTION("""COMPUTED_VALUE"""),"Team 01")</f>
        <v>Team 01</v>
      </c>
      <c r="D435" s="422" t="str">
        <f>IFERROR(__xludf.DUMMYFUNCTION("""COMPUTED_VALUE"""),"Export Materials")</f>
        <v>Export Materials</v>
      </c>
      <c r="E435" s="422" t="str">
        <f>IFERROR(__xludf.DUMMYFUNCTION("""COMPUTED_VALUE"""),"TNI0146-JB(TNI0147-TNI0170) &gt;&gt;48 FO M100 and JB 2pcs")</f>
        <v>TNI0146-JB(TNI0147-TNI0170) &gt;&gt;48 FO M100 and JB 2pcs</v>
      </c>
      <c r="F435" s="424">
        <f>IFERROR(__xludf.DUMMYFUNCTION("""COMPUTED_VALUE"""),46185.0)</f>
        <v>46185</v>
      </c>
      <c r="G435" s="424">
        <f>IFERROR(__xludf.DUMMYFUNCTION("""COMPUTED_VALUE"""),46189.0)</f>
        <v>46189</v>
      </c>
      <c r="H435" s="422"/>
      <c r="I435" s="422"/>
      <c r="J435" s="422"/>
      <c r="K435" s="422"/>
      <c r="L435" s="422"/>
      <c r="M435" s="422"/>
      <c r="N435" s="422"/>
      <c r="O435" s="422">
        <f>IFERROR(__xludf.DUMMYFUNCTION("""COMPUTED_VALUE"""),0.0)</f>
        <v>0</v>
      </c>
      <c r="P435" s="422"/>
      <c r="Q435" s="422"/>
      <c r="R435" s="98"/>
      <c r="S435" s="98" t="str">
        <f>IFERROR(__xludf.DUMMYFUNCTION("""COMPUTED_VALUE"""),"myt_myothant.htoo")</f>
        <v>myt_myothant.htoo</v>
      </c>
      <c r="T435" s="98" t="str">
        <f>IFERROR(__xludf.DUMMYFUNCTION("""COMPUTED_VALUE"""),"TNI0146")</f>
        <v>TNI0146</v>
      </c>
    </row>
    <row r="436">
      <c r="A436" s="422">
        <f>IFERROR(__xludf.DUMMYFUNCTION("""COMPUTED_VALUE"""),434.0)</f>
        <v>434</v>
      </c>
      <c r="B436" s="422" t="str">
        <f>IFERROR(__xludf.DUMMYFUNCTION("""COMPUTED_VALUE"""),"Transmission")</f>
        <v>Transmission</v>
      </c>
      <c r="C436" s="422" t="str">
        <f>IFERROR(__xludf.DUMMYFUNCTION("""COMPUTED_VALUE"""),"Team 01")</f>
        <v>Team 01</v>
      </c>
      <c r="D436" s="422" t="str">
        <f>IFERROR(__xludf.DUMMYFUNCTION("""COMPUTED_VALUE"""),"Surrvey Cable update form")</f>
        <v>Surrvey Cable update form</v>
      </c>
      <c r="E436" s="422" t="str">
        <f>IFERROR(__xludf.DUMMYFUNCTION("""COMPUTED_VALUE"""),"TNI0213-TNIM059 Cable Broken many time, Check buy mapsme and sent kmz file and need to repair point and repair deploy new cable")</f>
        <v>TNI0213-TNIM059 Cable Broken many time, Check buy mapsme and sent kmz file and need to repair point and repair deploy new cable</v>
      </c>
      <c r="F436" s="424">
        <f>IFERROR(__xludf.DUMMYFUNCTION("""COMPUTED_VALUE"""),46186.0)</f>
        <v>46186</v>
      </c>
      <c r="G436" s="424">
        <f>IFERROR(__xludf.DUMMYFUNCTION("""COMPUTED_VALUE"""),46193.0)</f>
        <v>46193</v>
      </c>
      <c r="H436" s="422"/>
      <c r="I436" s="422"/>
      <c r="J436" s="422"/>
      <c r="K436" s="422"/>
      <c r="L436" s="422"/>
      <c r="M436" s="422"/>
      <c r="N436" s="422"/>
      <c r="O436" s="422">
        <f>IFERROR(__xludf.DUMMYFUNCTION("""COMPUTED_VALUE"""),0.0)</f>
        <v>0</v>
      </c>
      <c r="P436" s="422"/>
      <c r="Q436" s="422"/>
      <c r="R436" s="98"/>
      <c r="S436" s="98" t="str">
        <f>IFERROR(__xludf.DUMMYFUNCTION("""COMPUTED_VALUE"""),"Thu Rain Niang")</f>
        <v>Thu Rain Niang</v>
      </c>
      <c r="T436" s="98" t="str">
        <f>IFERROR(__xludf.DUMMYFUNCTION("""COMPUTED_VALUE"""),"TNI0213")</f>
        <v>TNI0213</v>
      </c>
    </row>
    <row r="437">
      <c r="A437" s="422">
        <f>IFERROR(__xludf.DUMMYFUNCTION("""COMPUTED_VALUE"""),435.0)</f>
        <v>435</v>
      </c>
      <c r="B437" s="422" t="str">
        <f>IFERROR(__xludf.DUMMYFUNCTION("""COMPUTED_VALUE"""),"Transmission")</f>
        <v>Transmission</v>
      </c>
      <c r="C437" s="422" t="str">
        <f>IFERROR(__xludf.DUMMYFUNCTION("""COMPUTED_VALUE"""),"Team 02")</f>
        <v>Team 02</v>
      </c>
      <c r="D437" s="422" t="str">
        <f>IFERROR(__xludf.DUMMYFUNCTION("""COMPUTED_VALUE"""),"Export Materials")</f>
        <v>Export Materials</v>
      </c>
      <c r="E437" s="422" t="str">
        <f>IFERROR(__xludf.DUMMYFUNCTION("""COMPUTED_VALUE"""),"TNI0323-TNI0339 &gt;&gt;24FX cable - 120 M, Closure - 2 pcs")</f>
        <v>TNI0323-TNI0339 &gt;&gt;24FX cable - 120 M, Closure - 2 pcs</v>
      </c>
      <c r="F437" s="424">
        <f>IFERROR(__xludf.DUMMYFUNCTION("""COMPUTED_VALUE"""),46184.0)</f>
        <v>46184</v>
      </c>
      <c r="G437" s="424">
        <f>IFERROR(__xludf.DUMMYFUNCTION("""COMPUTED_VALUE"""),46188.0)</f>
        <v>46188</v>
      </c>
      <c r="H437" s="422"/>
      <c r="I437" s="422"/>
      <c r="J437" s="422"/>
      <c r="K437" s="422"/>
      <c r="L437" s="422"/>
      <c r="M437" s="422"/>
      <c r="N437" s="422"/>
      <c r="O437" s="422">
        <f>IFERROR(__xludf.DUMMYFUNCTION("""COMPUTED_VALUE"""),0.0)</f>
        <v>0</v>
      </c>
      <c r="P437" s="422"/>
      <c r="Q437" s="422"/>
      <c r="R437" s="98"/>
      <c r="S437" s="98" t="str">
        <f>IFERROR(__xludf.DUMMYFUNCTION("""COMPUTED_VALUE"""),"myt_minpaing.oo")</f>
        <v>myt_minpaing.oo</v>
      </c>
      <c r="T437" s="98" t="str">
        <f>IFERROR(__xludf.DUMMYFUNCTION("""COMPUTED_VALUE"""),"TNI0323")</f>
        <v>TNI0323</v>
      </c>
    </row>
    <row r="438">
      <c r="A438" s="422">
        <f>IFERROR(__xludf.DUMMYFUNCTION("""COMPUTED_VALUE"""),436.0)</f>
        <v>436</v>
      </c>
      <c r="B438" s="422" t="str">
        <f>IFERROR(__xludf.DUMMYFUNCTION("""COMPUTED_VALUE"""),"Transmission")</f>
        <v>Transmission</v>
      </c>
      <c r="C438" s="422" t="str">
        <f>IFERROR(__xludf.DUMMYFUNCTION("""COMPUTED_VALUE"""),"Team 02")</f>
        <v>Team 02</v>
      </c>
      <c r="D438" s="422" t="str">
        <f>IFERROR(__xludf.DUMMYFUNCTION("""COMPUTED_VALUE"""),"Export Materials")</f>
        <v>Export Materials</v>
      </c>
      <c r="E438" s="422" t="str">
        <f>IFERROR(__xludf.DUMMYFUNCTION("""COMPUTED_VALUE"""),"AU2(TNI0004-TNI0008)-UA2(TNI0004-TNI0008) &gt;&gt; closure 1 pcs")</f>
        <v>AU2(TNI0004-TNI0008)-UA2(TNI0004-TNI0008) &gt;&gt; closure 1 pcs</v>
      </c>
      <c r="F438" s="424">
        <f>IFERROR(__xludf.DUMMYFUNCTION("""COMPUTED_VALUE"""),46184.0)</f>
        <v>46184</v>
      </c>
      <c r="G438" s="424">
        <f>IFERROR(__xludf.DUMMYFUNCTION("""COMPUTED_VALUE"""),46188.0)</f>
        <v>46188</v>
      </c>
      <c r="H438" s="422"/>
      <c r="I438" s="422"/>
      <c r="J438" s="422"/>
      <c r="K438" s="422"/>
      <c r="L438" s="422"/>
      <c r="M438" s="422"/>
      <c r="N438" s="422"/>
      <c r="O438" s="422">
        <f>IFERROR(__xludf.DUMMYFUNCTION("""COMPUTED_VALUE"""),0.0)</f>
        <v>0</v>
      </c>
      <c r="P438" s="422"/>
      <c r="Q438" s="422"/>
      <c r="R438" s="98"/>
      <c r="S438" s="98" t="str">
        <f>IFERROR(__xludf.DUMMYFUNCTION("""COMPUTED_VALUE"""),"myt_myintkoko.aung")</f>
        <v>myt_myintkoko.aung</v>
      </c>
      <c r="T438" s="98" t="str">
        <f>IFERROR(__xludf.DUMMYFUNCTION("""COMPUTED_VALUE"""),"TNI0004")</f>
        <v>TNI0004</v>
      </c>
    </row>
    <row r="439">
      <c r="A439" s="422">
        <f>IFERROR(__xludf.DUMMYFUNCTION("""COMPUTED_VALUE"""),437.0)</f>
        <v>437</v>
      </c>
      <c r="B439" s="422" t="str">
        <f>IFERROR(__xludf.DUMMYFUNCTION("""COMPUTED_VALUE"""),"Transmission")</f>
        <v>Transmission</v>
      </c>
      <c r="C439" s="422" t="str">
        <f>IFERROR(__xludf.DUMMYFUNCTION("""COMPUTED_VALUE"""),"Team 03")</f>
        <v>Team 03</v>
      </c>
      <c r="D439" s="422" t="str">
        <f>IFERROR(__xludf.DUMMYFUNCTION("""COMPUTED_VALUE"""),"Deploy cable")</f>
        <v>Deploy cable</v>
      </c>
      <c r="E439" s="422" t="str">
        <f>IFERROR(__xludf.DUMMYFUNCTION("""COMPUTED_VALUE"""),"TNI0004-TNI0008 need to check  cable 1km form TNI0004 fix all and solution")</f>
        <v>TNI0004-TNI0008 need to check  cable 1km form TNI0004 fix all and solution</v>
      </c>
      <c r="F439" s="424">
        <f>IFERROR(__xludf.DUMMYFUNCTION("""COMPUTED_VALUE"""),46171.0)</f>
        <v>46171</v>
      </c>
      <c r="G439" s="424">
        <f>IFERROR(__xludf.DUMMYFUNCTION("""COMPUTED_VALUE"""),46183.0)</f>
        <v>46183</v>
      </c>
      <c r="H439" s="422" t="str">
        <f>IFERROR(__xludf.DUMMYFUNCTION("""COMPUTED_VALUE"""),"VCM289635-Si Thu Htun, VCM816540-Myint Ko Ko Aung")</f>
        <v>VCM289635-Si Thu Htun, VCM816540-Myint Ko Ko Aung</v>
      </c>
      <c r="I439" s="425">
        <f>IFERROR(__xludf.DUMMYFUNCTION("""COMPUTED_VALUE"""),46171.0)</f>
        <v>46171</v>
      </c>
      <c r="J439" s="424">
        <f>IFERROR(__xludf.DUMMYFUNCTION("""COMPUTED_VALUE"""),46175.0)</f>
        <v>46175</v>
      </c>
      <c r="K439" s="422"/>
      <c r="L439" s="422"/>
      <c r="M439" s="422" t="str">
        <f>IFERROR(__xludf.DUMMYFUNCTION("""COMPUTED_VALUE"""),"Dep Confirm completion")</f>
        <v>Dep Confirm completion</v>
      </c>
      <c r="N439" s="422"/>
      <c r="O439" s="422">
        <f>IFERROR(__xludf.DUMMYFUNCTION("""COMPUTED_VALUE"""),3.0)</f>
        <v>3</v>
      </c>
      <c r="P439" s="422"/>
      <c r="Q439" s="422"/>
      <c r="R439" s="98"/>
      <c r="S439" s="98" t="str">
        <f>IFERROR(__xludf.DUMMYFUNCTION("""COMPUTED_VALUE"""),"myt_myintkoko.aung")</f>
        <v>myt_myintkoko.aung</v>
      </c>
      <c r="T439" s="98" t="str">
        <f>IFERROR(__xludf.DUMMYFUNCTION("""COMPUTED_VALUE"""),"TNI0004")</f>
        <v>TNI0004</v>
      </c>
    </row>
    <row r="440">
      <c r="A440" s="422">
        <f>IFERROR(__xludf.DUMMYFUNCTION("""COMPUTED_VALUE"""),438.0)</f>
        <v>438</v>
      </c>
      <c r="B440" s="422" t="str">
        <f>IFERROR(__xludf.DUMMYFUNCTION("""COMPUTED_VALUE"""),"Transmission")</f>
        <v>Transmission</v>
      </c>
      <c r="C440" s="422" t="str">
        <f>IFERROR(__xludf.DUMMYFUNCTION("""COMPUTED_VALUE"""),"Team 03")</f>
        <v>Team 03</v>
      </c>
      <c r="D440" s="422" t="str">
        <f>IFERROR(__xludf.DUMMYFUNCTION("""COMPUTED_VALUE"""),"Export Materials")</f>
        <v>Export Materials</v>
      </c>
      <c r="E440" s="422" t="str">
        <f>IFERROR(__xludf.DUMMYFUNCTION("""COMPUTED_VALUE"""),"TNI0009-TNI0015 &gt;&gt;F8 cable(120m), Closure (2), G7 (  2)")</f>
        <v>TNI0009-TNI0015 &gt;&gt;F8 cable(120m), Closure (2), G7 (  2)</v>
      </c>
      <c r="F440" s="424">
        <f>IFERROR(__xludf.DUMMYFUNCTION("""COMPUTED_VALUE"""),46184.0)</f>
        <v>46184</v>
      </c>
      <c r="G440" s="424">
        <f>IFERROR(__xludf.DUMMYFUNCTION("""COMPUTED_VALUE"""),46188.0)</f>
        <v>46188</v>
      </c>
      <c r="H440" s="422"/>
      <c r="I440" s="422"/>
      <c r="J440" s="422"/>
      <c r="K440" s="422"/>
      <c r="L440" s="422"/>
      <c r="M440" s="422"/>
      <c r="N440" s="422"/>
      <c r="O440" s="422">
        <f>IFERROR(__xludf.DUMMYFUNCTION("""COMPUTED_VALUE"""),0.0)</f>
        <v>0</v>
      </c>
      <c r="P440" s="422"/>
      <c r="Q440" s="422"/>
      <c r="R440" s="98"/>
      <c r="S440" s="98" t="str">
        <f>IFERROR(__xludf.DUMMYFUNCTION("""COMPUTED_VALUE"""),"myt_sithu.htun")</f>
        <v>myt_sithu.htun</v>
      </c>
      <c r="T440" s="98" t="str">
        <f>IFERROR(__xludf.DUMMYFUNCTION("""COMPUTED_VALUE"""),"TNI0009")</f>
        <v>TNI0009</v>
      </c>
    </row>
    <row r="441">
      <c r="A441" s="422">
        <f>IFERROR(__xludf.DUMMYFUNCTION("""COMPUTED_VALUE"""),439.0)</f>
        <v>439</v>
      </c>
      <c r="B441" s="422" t="str">
        <f>IFERROR(__xludf.DUMMYFUNCTION("""COMPUTED_VALUE"""),"Transmission")</f>
        <v>Transmission</v>
      </c>
      <c r="C441" s="422" t="str">
        <f>IFERROR(__xludf.DUMMYFUNCTION("""COMPUTED_VALUE"""),"Team 03")</f>
        <v>Team 03</v>
      </c>
      <c r="D441" s="422" t="str">
        <f>IFERROR(__xludf.DUMMYFUNCTION("""COMPUTED_VALUE"""),"Export Materials")</f>
        <v>Export Materials</v>
      </c>
      <c r="E441" s="422" t="str">
        <f>IFERROR(__xludf.DUMMYFUNCTION("""COMPUTED_VALUE"""),"TNI0212-TNIM058&gt;&gt;closure 1 pcs ")</f>
        <v>TNI0212-TNIM058&gt;&gt;closure 1 pcs </v>
      </c>
      <c r="F441" s="424">
        <f>IFERROR(__xludf.DUMMYFUNCTION("""COMPUTED_VALUE"""),46184.0)</f>
        <v>46184</v>
      </c>
      <c r="G441" s="424">
        <f>IFERROR(__xludf.DUMMYFUNCTION("""COMPUTED_VALUE"""),46188.0)</f>
        <v>46188</v>
      </c>
      <c r="H441" s="422"/>
      <c r="I441" s="422"/>
      <c r="J441" s="422"/>
      <c r="K441" s="422"/>
      <c r="L441" s="422"/>
      <c r="M441" s="422"/>
      <c r="N441" s="422"/>
      <c r="O441" s="422">
        <f>IFERROR(__xludf.DUMMYFUNCTION("""COMPUTED_VALUE"""),0.0)</f>
        <v>0</v>
      </c>
      <c r="P441" s="422"/>
      <c r="Q441" s="422"/>
      <c r="R441" s="98"/>
      <c r="S441" s="98" t="str">
        <f>IFERROR(__xludf.DUMMYFUNCTION("""COMPUTED_VALUE"""),"myt_myintkoko.aung")</f>
        <v>myt_myintkoko.aung</v>
      </c>
      <c r="T441" s="98" t="str">
        <f>IFERROR(__xludf.DUMMYFUNCTION("""COMPUTED_VALUE"""),"TNI0212")</f>
        <v>TNI0212</v>
      </c>
    </row>
    <row r="442">
      <c r="A442" s="422">
        <f>IFERROR(__xludf.DUMMYFUNCTION("""COMPUTED_VALUE"""),440.0)</f>
        <v>440</v>
      </c>
      <c r="B442" s="422" t="str">
        <f>IFERROR(__xludf.DUMMYFUNCTION("""COMPUTED_VALUE"""),"Transmission")</f>
        <v>Transmission</v>
      </c>
      <c r="C442" s="422" t="str">
        <f>IFERROR(__xludf.DUMMYFUNCTION("""COMPUTED_VALUE"""),"Team 03")</f>
        <v>Team 03</v>
      </c>
      <c r="D442" s="422" t="str">
        <f>IFERROR(__xludf.DUMMYFUNCTION("""COMPUTED_VALUE"""),"Export Materials")</f>
        <v>Export Materials</v>
      </c>
      <c r="E442" s="422" t="str">
        <f>IFERROR(__xludf.DUMMYFUNCTION("""COMPUTED_VALUE"""),"TNI0009-TNI0015&gt;&gt;24 F8 150m, Crouse 2pcs, ")</f>
        <v>TNI0009-TNI0015&gt;&gt;24 F8 150m, Crouse 2pcs, </v>
      </c>
      <c r="F442" s="424">
        <f>IFERROR(__xludf.DUMMYFUNCTION("""COMPUTED_VALUE"""),46184.0)</f>
        <v>46184</v>
      </c>
      <c r="G442" s="424">
        <f>IFERROR(__xludf.DUMMYFUNCTION("""COMPUTED_VALUE"""),46188.0)</f>
        <v>46188</v>
      </c>
      <c r="H442" s="422"/>
      <c r="I442" s="422"/>
      <c r="J442" s="422"/>
      <c r="K442" s="422"/>
      <c r="L442" s="422"/>
      <c r="M442" s="422"/>
      <c r="N442" s="422"/>
      <c r="O442" s="422">
        <f>IFERROR(__xludf.DUMMYFUNCTION("""COMPUTED_VALUE"""),0.0)</f>
        <v>0</v>
      </c>
      <c r="P442" s="422"/>
      <c r="Q442" s="422"/>
      <c r="R442" s="98"/>
      <c r="S442" s="98" t="str">
        <f>IFERROR(__xludf.DUMMYFUNCTION("""COMPUTED_VALUE"""),"myt_sithu.htun")</f>
        <v>myt_sithu.htun</v>
      </c>
      <c r="T442" s="98" t="str">
        <f>IFERROR(__xludf.DUMMYFUNCTION("""COMPUTED_VALUE"""),"TNI0009")</f>
        <v>TNI0009</v>
      </c>
    </row>
    <row r="443">
      <c r="A443" s="422">
        <f>IFERROR(__xludf.DUMMYFUNCTION("""COMPUTED_VALUE"""),441.0)</f>
        <v>441</v>
      </c>
      <c r="B443" s="422" t="str">
        <f>IFERROR(__xludf.DUMMYFUNCTION("""COMPUTED_VALUE"""),"Transmission")</f>
        <v>Transmission</v>
      </c>
      <c r="C443" s="422" t="str">
        <f>IFERROR(__xludf.DUMMYFUNCTION("""COMPUTED_VALUE"""),"Team 03")</f>
        <v>Team 03</v>
      </c>
      <c r="D443" s="422" t="str">
        <f>IFERROR(__xludf.DUMMYFUNCTION("""COMPUTED_VALUE"""),"Export Materials")</f>
        <v>Export Materials</v>
      </c>
      <c r="E443" s="422" t="str">
        <f>IFERROR(__xludf.DUMMYFUNCTION("""COMPUTED_VALUE"""),"TNI0009-TNI0015&gt;&gt;&gt;Crouse 1pcs, ")</f>
        <v>TNI0009-TNI0015&gt;&gt;&gt;Crouse 1pcs, </v>
      </c>
      <c r="F443" s="424">
        <f>IFERROR(__xludf.DUMMYFUNCTION("""COMPUTED_VALUE"""),46184.0)</f>
        <v>46184</v>
      </c>
      <c r="G443" s="424">
        <f>IFERROR(__xludf.DUMMYFUNCTION("""COMPUTED_VALUE"""),46188.0)</f>
        <v>46188</v>
      </c>
      <c r="H443" s="422"/>
      <c r="I443" s="422"/>
      <c r="J443" s="422"/>
      <c r="K443" s="422"/>
      <c r="L443" s="422"/>
      <c r="M443" s="422"/>
      <c r="N443" s="422"/>
      <c r="O443" s="422">
        <f>IFERROR(__xludf.DUMMYFUNCTION("""COMPUTED_VALUE"""),0.0)</f>
        <v>0</v>
      </c>
      <c r="P443" s="422"/>
      <c r="Q443" s="422"/>
      <c r="R443" s="98"/>
      <c r="S443" s="98" t="str">
        <f>IFERROR(__xludf.DUMMYFUNCTION("""COMPUTED_VALUE"""),"myt_sithu.htun")</f>
        <v>myt_sithu.htun</v>
      </c>
      <c r="T443" s="98" t="str">
        <f>IFERROR(__xludf.DUMMYFUNCTION("""COMPUTED_VALUE"""),"TNI0009")</f>
        <v>TNI0009</v>
      </c>
    </row>
    <row r="444">
      <c r="A444" s="422">
        <f>IFERROR(__xludf.DUMMYFUNCTION("""COMPUTED_VALUE"""),442.0)</f>
        <v>442</v>
      </c>
      <c r="B444" s="422" t="str">
        <f>IFERROR(__xludf.DUMMYFUNCTION("""COMPUTED_VALUE"""),"Transmission")</f>
        <v>Transmission</v>
      </c>
      <c r="C444" s="422" t="str">
        <f>IFERROR(__xludf.DUMMYFUNCTION("""COMPUTED_VALUE"""),"Team 03")</f>
        <v>Team 03</v>
      </c>
      <c r="D444" s="422" t="str">
        <f>IFERROR(__xludf.DUMMYFUNCTION("""COMPUTED_VALUE"""),"Export Materials")</f>
        <v>Export Materials</v>
      </c>
      <c r="E444" s="422" t="str">
        <f>IFERROR(__xludf.DUMMYFUNCTION("""COMPUTED_VALUE"""),"TNI0212-TNIM058&gt;&gt; closure 1 pcs ")</f>
        <v>TNI0212-TNIM058&gt;&gt; closure 1 pcs </v>
      </c>
      <c r="F444" s="424">
        <f>IFERROR(__xludf.DUMMYFUNCTION("""COMPUTED_VALUE"""),46184.0)</f>
        <v>46184</v>
      </c>
      <c r="G444" s="424">
        <f>IFERROR(__xludf.DUMMYFUNCTION("""COMPUTED_VALUE"""),46188.0)</f>
        <v>46188</v>
      </c>
      <c r="H444" s="422"/>
      <c r="I444" s="422"/>
      <c r="J444" s="422"/>
      <c r="K444" s="422"/>
      <c r="L444" s="422"/>
      <c r="M444" s="422"/>
      <c r="N444" s="422"/>
      <c r="O444" s="422">
        <f>IFERROR(__xludf.DUMMYFUNCTION("""COMPUTED_VALUE"""),0.0)</f>
        <v>0</v>
      </c>
      <c r="P444" s="422"/>
      <c r="Q444" s="422"/>
      <c r="R444" s="98"/>
      <c r="S444" s="98" t="str">
        <f>IFERROR(__xludf.DUMMYFUNCTION("""COMPUTED_VALUE"""),"myt_myintkoko.aung")</f>
        <v>myt_myintkoko.aung</v>
      </c>
      <c r="T444" s="98" t="str">
        <f>IFERROR(__xludf.DUMMYFUNCTION("""COMPUTED_VALUE"""),"TNI0212")</f>
        <v>TNI0212</v>
      </c>
    </row>
    <row r="445">
      <c r="A445" s="422">
        <f>IFERROR(__xludf.DUMMYFUNCTION("""COMPUTED_VALUE"""),443.0)</f>
        <v>443</v>
      </c>
      <c r="B445" s="422" t="str">
        <f>IFERROR(__xludf.DUMMYFUNCTION("""COMPUTED_VALUE"""),"Transmission")</f>
        <v>Transmission</v>
      </c>
      <c r="C445" s="422" t="str">
        <f>IFERROR(__xludf.DUMMYFUNCTION("""COMPUTED_VALUE"""),"Team 03")</f>
        <v>Team 03</v>
      </c>
      <c r="D445" s="422" t="str">
        <f>IFERROR(__xludf.DUMMYFUNCTION("""COMPUTED_VALUE"""),"Export Materials")</f>
        <v>Export Materials</v>
      </c>
      <c r="E445" s="422" t="str">
        <f>IFERROR(__xludf.DUMMYFUNCTION("""COMPUTED_VALUE"""),"TNI0004-TNI0008&gt;&gt;&gt;F8 cable 200m closure 1pcs")</f>
        <v>TNI0004-TNI0008&gt;&gt;&gt;F8 cable 200m closure 1pcs</v>
      </c>
      <c r="F445" s="424">
        <f>IFERROR(__xludf.DUMMYFUNCTION("""COMPUTED_VALUE"""),46184.0)</f>
        <v>46184</v>
      </c>
      <c r="G445" s="424">
        <f>IFERROR(__xludf.DUMMYFUNCTION("""COMPUTED_VALUE"""),46188.0)</f>
        <v>46188</v>
      </c>
      <c r="H445" s="422"/>
      <c r="I445" s="422"/>
      <c r="J445" s="422"/>
      <c r="K445" s="422"/>
      <c r="L445" s="422"/>
      <c r="M445" s="422"/>
      <c r="N445" s="422"/>
      <c r="O445" s="422">
        <f>IFERROR(__xludf.DUMMYFUNCTION("""COMPUTED_VALUE"""),0.0)</f>
        <v>0</v>
      </c>
      <c r="P445" s="422"/>
      <c r="Q445" s="422"/>
      <c r="R445" s="98"/>
      <c r="S445" s="98" t="str">
        <f>IFERROR(__xludf.DUMMYFUNCTION("""COMPUTED_VALUE"""),"myt_myintkoko.aung")</f>
        <v>myt_myintkoko.aung</v>
      </c>
      <c r="T445" s="98" t="str">
        <f>IFERROR(__xludf.DUMMYFUNCTION("""COMPUTED_VALUE"""),"TNI0004")</f>
        <v>TNI0004</v>
      </c>
    </row>
    <row r="446">
      <c r="A446" s="422">
        <f>IFERROR(__xludf.DUMMYFUNCTION("""COMPUTED_VALUE"""),444.0)</f>
        <v>444</v>
      </c>
      <c r="B446" s="422" t="str">
        <f>IFERROR(__xludf.DUMMYFUNCTION("""COMPUTED_VALUE"""),"Transmission")</f>
        <v>Transmission</v>
      </c>
      <c r="C446" s="422" t="str">
        <f>IFERROR(__xludf.DUMMYFUNCTION("""COMPUTED_VALUE"""),"Team 03")</f>
        <v>Team 03</v>
      </c>
      <c r="D446" s="422" t="str">
        <f>IFERROR(__xludf.DUMMYFUNCTION("""COMPUTED_VALUE"""),"Export Materials")</f>
        <v>Export Materials</v>
      </c>
      <c r="E446" s="422" t="str">
        <f>IFERROR(__xludf.DUMMYFUNCTION("""COMPUTED_VALUE"""),"TNI0507-JB(TNI0004-TNI0008) &gt;&gt; F8 cable 120m")</f>
        <v>TNI0507-JB(TNI0004-TNI0008) &gt;&gt; F8 cable 120m</v>
      </c>
      <c r="F446" s="424">
        <f>IFERROR(__xludf.DUMMYFUNCTION("""COMPUTED_VALUE"""),46184.0)</f>
        <v>46184</v>
      </c>
      <c r="G446" s="424">
        <f>IFERROR(__xludf.DUMMYFUNCTION("""COMPUTED_VALUE"""),46188.0)</f>
        <v>46188</v>
      </c>
      <c r="H446" s="422"/>
      <c r="I446" s="422"/>
      <c r="J446" s="422"/>
      <c r="K446" s="422"/>
      <c r="L446" s="422"/>
      <c r="M446" s="422"/>
      <c r="N446" s="422"/>
      <c r="O446" s="422">
        <f>IFERROR(__xludf.DUMMYFUNCTION("""COMPUTED_VALUE"""),0.0)</f>
        <v>0</v>
      </c>
      <c r="P446" s="422"/>
      <c r="Q446" s="422"/>
      <c r="R446" s="98"/>
      <c r="S446" s="98" t="str">
        <f>IFERROR(__xludf.DUMMYFUNCTION("""COMPUTED_VALUE"""),"Khant Si Thu")</f>
        <v>Khant Si Thu</v>
      </c>
      <c r="T446" s="98" t="str">
        <f>IFERROR(__xludf.DUMMYFUNCTION("""COMPUTED_VALUE"""),"TNI0507")</f>
        <v>TNI0507</v>
      </c>
    </row>
    <row r="447">
      <c r="A447" s="422">
        <f>IFERROR(__xludf.DUMMYFUNCTION("""COMPUTED_VALUE"""),445.0)</f>
        <v>445</v>
      </c>
      <c r="B447" s="422" t="str">
        <f>IFERROR(__xludf.DUMMYFUNCTION("""COMPUTED_VALUE"""),"Transmission")</f>
        <v>Transmission</v>
      </c>
      <c r="C447" s="422" t="str">
        <f>IFERROR(__xludf.DUMMYFUNCTION("""COMPUTED_VALUE"""),"Team 03")</f>
        <v>Team 03</v>
      </c>
      <c r="D447" s="422" t="str">
        <f>IFERROR(__xludf.DUMMYFUNCTION("""COMPUTED_VALUE"""),"Export Materials")</f>
        <v>Export Materials</v>
      </c>
      <c r="E447" s="422" t="str">
        <f>IFERROR(__xludf.DUMMYFUNCTION("""COMPUTED_VALUE"""),"TNI0103-TNIM082 &gt;&gt; Closure 1pcs")</f>
        <v>TNI0103-TNIM082 &gt;&gt; Closure 1pcs</v>
      </c>
      <c r="F447" s="424">
        <f>IFERROR(__xludf.DUMMYFUNCTION("""COMPUTED_VALUE"""),46184.0)</f>
        <v>46184</v>
      </c>
      <c r="G447" s="424">
        <f>IFERROR(__xludf.DUMMYFUNCTION("""COMPUTED_VALUE"""),46188.0)</f>
        <v>46188</v>
      </c>
      <c r="H447" s="422"/>
      <c r="I447" s="422"/>
      <c r="J447" s="422"/>
      <c r="K447" s="422"/>
      <c r="L447" s="422"/>
      <c r="M447" s="422"/>
      <c r="N447" s="422"/>
      <c r="O447" s="422">
        <f>IFERROR(__xludf.DUMMYFUNCTION("""COMPUTED_VALUE"""),0.0)</f>
        <v>0</v>
      </c>
      <c r="P447" s="422"/>
      <c r="Q447" s="422"/>
      <c r="R447" s="98"/>
      <c r="S447" s="98" t="str">
        <f>IFERROR(__xludf.DUMMYFUNCTION("""COMPUTED_VALUE"""),"myt_tinnaing.lin11")</f>
        <v>myt_tinnaing.lin11</v>
      </c>
      <c r="T447" s="98" t="str">
        <f>IFERROR(__xludf.DUMMYFUNCTION("""COMPUTED_VALUE"""),"TNI0103")</f>
        <v>TNI0103</v>
      </c>
    </row>
    <row r="448">
      <c r="A448" s="422">
        <f>IFERROR(__xludf.DUMMYFUNCTION("""COMPUTED_VALUE"""),446.0)</f>
        <v>446</v>
      </c>
      <c r="B448" s="422" t="str">
        <f>IFERROR(__xludf.DUMMYFUNCTION("""COMPUTED_VALUE"""),"Transmission")</f>
        <v>Transmission</v>
      </c>
      <c r="C448" s="422" t="str">
        <f>IFERROR(__xludf.DUMMYFUNCTION("""COMPUTED_VALUE"""),"Team 03")</f>
        <v>Team 03</v>
      </c>
      <c r="D448" s="422" t="str">
        <f>IFERROR(__xludf.DUMMYFUNCTION("""COMPUTED_VALUE"""),"Export Materials")</f>
        <v>Export Materials</v>
      </c>
      <c r="E448" s="422" t="str">
        <f>IFERROR(__xludf.DUMMYFUNCTION("""COMPUTED_VALUE"""),"TNI0401-JB(TNI0012-TNI0015)&gt;&gt;Closure 1")</f>
        <v>TNI0401-JB(TNI0012-TNI0015)&gt;&gt;Closure 1</v>
      </c>
      <c r="F448" s="424">
        <f>IFERROR(__xludf.DUMMYFUNCTION("""COMPUTED_VALUE"""),46185.0)</f>
        <v>46185</v>
      </c>
      <c r="G448" s="424">
        <f>IFERROR(__xludf.DUMMYFUNCTION("""COMPUTED_VALUE"""),46189.0)</f>
        <v>46189</v>
      </c>
      <c r="H448" s="422" t="str">
        <f>IFERROR(__xludf.DUMMYFUNCTION("""COMPUTED_VALUE"""),"#REF!")</f>
        <v>#REF!</v>
      </c>
      <c r="I448" s="422"/>
      <c r="J448" s="422"/>
      <c r="K448" s="422"/>
      <c r="L448" s="422"/>
      <c r="M448" s="422"/>
      <c r="N448" s="422"/>
      <c r="O448" s="422">
        <f>IFERROR(__xludf.DUMMYFUNCTION("""COMPUTED_VALUE"""),0.0)</f>
        <v>0</v>
      </c>
      <c r="P448" s="422"/>
      <c r="Q448" s="422"/>
      <c r="R448" s="98"/>
      <c r="S448" s="98" t="str">
        <f>IFERROR(__xludf.DUMMYFUNCTION("""COMPUTED_VALUE"""),"myt_aungkyaw.latt")</f>
        <v>myt_aungkyaw.latt</v>
      </c>
      <c r="T448" s="98" t="str">
        <f>IFERROR(__xludf.DUMMYFUNCTION("""COMPUTED_VALUE"""),"TNI0401")</f>
        <v>TNI0401</v>
      </c>
    </row>
    <row r="449">
      <c r="A449" s="422">
        <f>IFERROR(__xludf.DUMMYFUNCTION("""COMPUTED_VALUE"""),447.0)</f>
        <v>447</v>
      </c>
      <c r="B449" s="422" t="str">
        <f>IFERROR(__xludf.DUMMYFUNCTION("""COMPUTED_VALUE"""),"Transmission")</f>
        <v>Transmission</v>
      </c>
      <c r="C449" s="422" t="str">
        <f>IFERROR(__xludf.DUMMYFUNCTION("""COMPUTED_VALUE"""),"Team 03")</f>
        <v>Team 03</v>
      </c>
      <c r="D449" s="422" t="str">
        <f>IFERROR(__xludf.DUMMYFUNCTION("""COMPUTED_VALUE"""),"Surrvey Cable update form")</f>
        <v>Surrvey Cable update form</v>
      </c>
      <c r="E449" s="422" t="str">
        <f>IFERROR(__xludf.DUMMYFUNCTION("""COMPUTED_VALUE"""),"TNI0212-TNIM058 Cable Broken many time, Check buy mapsme and sent kmz file and need to repair point and repair deploy new cable")</f>
        <v>TNI0212-TNIM058 Cable Broken many time, Check buy mapsme and sent kmz file and need to repair point and repair deploy new cable</v>
      </c>
      <c r="F449" s="424">
        <f>IFERROR(__xludf.DUMMYFUNCTION("""COMPUTED_VALUE"""),46186.0)</f>
        <v>46186</v>
      </c>
      <c r="G449" s="424">
        <f>IFERROR(__xludf.DUMMYFUNCTION("""COMPUTED_VALUE"""),46193.0)</f>
        <v>46193</v>
      </c>
      <c r="H449" s="422"/>
      <c r="I449" s="422"/>
      <c r="J449" s="422"/>
      <c r="K449" s="422"/>
      <c r="L449" s="422"/>
      <c r="M449" s="422"/>
      <c r="N449" s="422"/>
      <c r="O449" s="422">
        <f>IFERROR(__xludf.DUMMYFUNCTION("""COMPUTED_VALUE"""),0.0)</f>
        <v>0</v>
      </c>
      <c r="P449" s="422"/>
      <c r="Q449" s="422"/>
      <c r="R449" s="98"/>
      <c r="S449" s="98" t="str">
        <f>IFERROR(__xludf.DUMMYFUNCTION("""COMPUTED_VALUE"""),"myt_myintkoko.aung")</f>
        <v>myt_myintkoko.aung</v>
      </c>
      <c r="T449" s="98" t="str">
        <f>IFERROR(__xludf.DUMMYFUNCTION("""COMPUTED_VALUE"""),"TNI0212")</f>
        <v>TNI0212</v>
      </c>
    </row>
    <row r="450">
      <c r="A450" s="422">
        <f>IFERROR(__xludf.DUMMYFUNCTION("""COMPUTED_VALUE"""),448.0)</f>
        <v>448</v>
      </c>
      <c r="B450" s="422" t="str">
        <f>IFERROR(__xludf.DUMMYFUNCTION("""COMPUTED_VALUE"""),"Transmission")</f>
        <v>Transmission</v>
      </c>
      <c r="C450" s="422" t="str">
        <f>IFERROR(__xludf.DUMMYFUNCTION("""COMPUTED_VALUE"""),"Team 03")</f>
        <v>Team 03</v>
      </c>
      <c r="D450" s="422" t="str">
        <f>IFERROR(__xludf.DUMMYFUNCTION("""COMPUTED_VALUE"""),"Surrvey Cable update form")</f>
        <v>Surrvey Cable update form</v>
      </c>
      <c r="E450" s="422" t="str">
        <f>IFERROR(__xludf.DUMMYFUNCTION("""COMPUTED_VALUE"""),"TNI0009-TNI0015 Cable Broken many time, Check buy mapsme and sent kmz file and need to repair point and repair deploy new cable")</f>
        <v>TNI0009-TNI0015 Cable Broken many time, Check buy mapsme and sent kmz file and need to repair point and repair deploy new cable</v>
      </c>
      <c r="F450" s="424">
        <f>IFERROR(__xludf.DUMMYFUNCTION("""COMPUTED_VALUE"""),46186.0)</f>
        <v>46186</v>
      </c>
      <c r="G450" s="424">
        <f>IFERROR(__xludf.DUMMYFUNCTION("""COMPUTED_VALUE"""),46193.0)</f>
        <v>46193</v>
      </c>
      <c r="H450" s="422"/>
      <c r="I450" s="422"/>
      <c r="J450" s="422"/>
      <c r="K450" s="422"/>
      <c r="L450" s="422"/>
      <c r="M450" s="422"/>
      <c r="N450" s="422"/>
      <c r="O450" s="422">
        <f>IFERROR(__xludf.DUMMYFUNCTION("""COMPUTED_VALUE"""),0.0)</f>
        <v>0</v>
      </c>
      <c r="P450" s="422"/>
      <c r="Q450" s="422"/>
      <c r="R450" s="98"/>
      <c r="S450" s="98" t="str">
        <f>IFERROR(__xludf.DUMMYFUNCTION("""COMPUTED_VALUE"""),"myt_sithu.htun")</f>
        <v>myt_sithu.htun</v>
      </c>
      <c r="T450" s="98" t="str">
        <f>IFERROR(__xludf.DUMMYFUNCTION("""COMPUTED_VALUE"""),"TNI0009")</f>
        <v>TNI0009</v>
      </c>
    </row>
    <row r="451">
      <c r="A451" s="422">
        <f>IFERROR(__xludf.DUMMYFUNCTION("""COMPUTED_VALUE"""),449.0)</f>
        <v>449</v>
      </c>
      <c r="B451" s="422" t="str">
        <f>IFERROR(__xludf.DUMMYFUNCTION("""COMPUTED_VALUE"""),"Transmission")</f>
        <v>Transmission</v>
      </c>
      <c r="C451" s="422" t="str">
        <f>IFERROR(__xludf.DUMMYFUNCTION("""COMPUTED_VALUE"""),"Team 04")</f>
        <v>Team 04</v>
      </c>
      <c r="D451" s="422" t="str">
        <f>IFERROR(__xludf.DUMMYFUNCTION("""COMPUTED_VALUE"""),"Export Materials")</f>
        <v>Export Materials</v>
      </c>
      <c r="E451" s="422" t="str">
        <f>IFERROR(__xludf.DUMMYFUNCTION("""COMPUTED_VALUE"""),"TNI0401-JB(TNI0012-TNI0015)&gt;&gt;Closure 1")</f>
        <v>TNI0401-JB(TNI0012-TNI0015)&gt;&gt;Closure 1</v>
      </c>
      <c r="F451" s="424">
        <f>IFERROR(__xludf.DUMMYFUNCTION("""COMPUTED_VALUE"""),46184.0)</f>
        <v>46184</v>
      </c>
      <c r="G451" s="424">
        <f>IFERROR(__xludf.DUMMYFUNCTION("""COMPUTED_VALUE"""),46188.0)</f>
        <v>46188</v>
      </c>
      <c r="H451" s="422" t="str">
        <f>IFERROR(__xludf.DUMMYFUNCTION("""COMPUTED_VALUE"""),"#REF!")</f>
        <v>#REF!</v>
      </c>
      <c r="I451" s="422"/>
      <c r="J451" s="422"/>
      <c r="K451" s="422"/>
      <c r="L451" s="422"/>
      <c r="M451" s="422"/>
      <c r="N451" s="422"/>
      <c r="O451" s="422">
        <f>IFERROR(__xludf.DUMMYFUNCTION("""COMPUTED_VALUE"""),0.0)</f>
        <v>0</v>
      </c>
      <c r="P451" s="422"/>
      <c r="Q451" s="422"/>
      <c r="R451" s="98"/>
      <c r="S451" s="98" t="str">
        <f>IFERROR(__xludf.DUMMYFUNCTION("""COMPUTED_VALUE"""),"myt_aungkyaw.latt")</f>
        <v>myt_aungkyaw.latt</v>
      </c>
      <c r="T451" s="98" t="str">
        <f>IFERROR(__xludf.DUMMYFUNCTION("""COMPUTED_VALUE"""),"TNI0401")</f>
        <v>TNI0401</v>
      </c>
    </row>
    <row r="452">
      <c r="A452" s="422">
        <f>IFERROR(__xludf.DUMMYFUNCTION("""COMPUTED_VALUE"""),450.0)</f>
        <v>450</v>
      </c>
      <c r="B452" s="422" t="str">
        <f>IFERROR(__xludf.DUMMYFUNCTION("""COMPUTED_VALUE"""),"Transmission")</f>
        <v>Transmission</v>
      </c>
      <c r="C452" s="422" t="str">
        <f>IFERROR(__xludf.DUMMYFUNCTION("""COMPUTED_VALUE"""),"Team 04")</f>
        <v>Team 04</v>
      </c>
      <c r="D452" s="422" t="str">
        <f>IFERROR(__xludf.DUMMYFUNCTION("""COMPUTED_VALUE"""),"Export Materials")</f>
        <v>Export Materials</v>
      </c>
      <c r="E452" s="422" t="str">
        <f>IFERROR(__xludf.DUMMYFUNCTION("""COMPUTED_VALUE"""),"TNI0032-TNI0233 &gt;&gt;Closure 1")</f>
        <v>TNI0032-TNI0233 &gt;&gt;Closure 1</v>
      </c>
      <c r="F452" s="424">
        <f>IFERROR(__xludf.DUMMYFUNCTION("""COMPUTED_VALUE"""),46185.0)</f>
        <v>46185</v>
      </c>
      <c r="G452" s="424">
        <f>IFERROR(__xludf.DUMMYFUNCTION("""COMPUTED_VALUE"""),46189.0)</f>
        <v>46189</v>
      </c>
      <c r="H452" s="422"/>
      <c r="I452" s="422"/>
      <c r="J452" s="422"/>
      <c r="K452" s="422"/>
      <c r="L452" s="422"/>
      <c r="M452" s="422"/>
      <c r="N452" s="422"/>
      <c r="O452" s="422">
        <f>IFERROR(__xludf.DUMMYFUNCTION("""COMPUTED_VALUE"""),0.0)</f>
        <v>0</v>
      </c>
      <c r="P452" s="422"/>
      <c r="Q452" s="422"/>
      <c r="R452" s="98"/>
      <c r="S452" s="98" t="str">
        <f>IFERROR(__xludf.DUMMYFUNCTION("""COMPUTED_VALUE"""),"myt_khantchaw.nyo")</f>
        <v>myt_khantchaw.nyo</v>
      </c>
      <c r="T452" s="98" t="str">
        <f>IFERROR(__xludf.DUMMYFUNCTION("""COMPUTED_VALUE"""),"TNI0032")</f>
        <v>TNI0032</v>
      </c>
    </row>
    <row r="453">
      <c r="A453" s="422">
        <f>IFERROR(__xludf.DUMMYFUNCTION("""COMPUTED_VALUE"""),451.0)</f>
        <v>451</v>
      </c>
      <c r="B453" s="422" t="str">
        <f>IFERROR(__xludf.DUMMYFUNCTION("""COMPUTED_VALUE"""),"Transmission")</f>
        <v>Transmission</v>
      </c>
      <c r="C453" s="422" t="str">
        <f>IFERROR(__xludf.DUMMYFUNCTION("""COMPUTED_VALUE"""),"Team 04")</f>
        <v>Team 04</v>
      </c>
      <c r="D453" s="422" t="str">
        <f>IFERROR(__xludf.DUMMYFUNCTION("""COMPUTED_VALUE"""),"Surrvey Cable update form")</f>
        <v>Surrvey Cable update form</v>
      </c>
      <c r="E453" s="422" t="str">
        <f>IFERROR(__xludf.DUMMYFUNCTION("""COMPUTED_VALUE"""),"TNI0015-TNI0012 Cable Broken many time, Check buy mapsme and sent kmz file and need to repair point and repair deploy new cable")</f>
        <v>TNI0015-TNI0012 Cable Broken many time, Check buy mapsme and sent kmz file and need to repair point and repair deploy new cable</v>
      </c>
      <c r="F453" s="424">
        <f>IFERROR(__xludf.DUMMYFUNCTION("""COMPUTED_VALUE"""),46190.0)</f>
        <v>46190</v>
      </c>
      <c r="G453" s="424">
        <f>IFERROR(__xludf.DUMMYFUNCTION("""COMPUTED_VALUE"""),46198.0)</f>
        <v>46198</v>
      </c>
      <c r="H453" s="422"/>
      <c r="I453" s="422"/>
      <c r="J453" s="422"/>
      <c r="K453" s="422"/>
      <c r="L453" s="422"/>
      <c r="M453" s="422"/>
      <c r="N453" s="422"/>
      <c r="O453" s="422">
        <f>IFERROR(__xludf.DUMMYFUNCTION("""COMPUTED_VALUE"""),0.0)</f>
        <v>0</v>
      </c>
      <c r="P453" s="422"/>
      <c r="Q453" s="422"/>
      <c r="R453" s="98"/>
      <c r="S453" s="98" t="str">
        <f>IFERROR(__xludf.DUMMYFUNCTION("""COMPUTED_VALUE"""),"myt_tinmaung.win")</f>
        <v>myt_tinmaung.win</v>
      </c>
      <c r="T453" s="98" t="str">
        <f>IFERROR(__xludf.DUMMYFUNCTION("""COMPUTED_VALUE"""),"TNI0015")</f>
        <v>TNI0015</v>
      </c>
    </row>
    <row r="454">
      <c r="A454" s="422">
        <f>IFERROR(__xludf.DUMMYFUNCTION("""COMPUTED_VALUE"""),451.0)</f>
        <v>451</v>
      </c>
      <c r="B454" s="422"/>
      <c r="C454" s="422"/>
      <c r="D454" s="422"/>
      <c r="E454" s="422"/>
      <c r="F454" s="422"/>
      <c r="G454" s="422"/>
      <c r="H454" s="422"/>
      <c r="I454" s="422"/>
      <c r="J454" s="422"/>
      <c r="K454" s="422"/>
      <c r="L454" s="422"/>
      <c r="M454" s="422"/>
      <c r="N454" s="422"/>
      <c r="O454" s="422"/>
      <c r="P454" s="422"/>
      <c r="Q454" s="422"/>
      <c r="R454" s="98"/>
      <c r="S454" s="98" t="str">
        <f>IFERROR(__xludf.DUMMYFUNCTION("""COMPUTED_VALUE"""),"-")</f>
        <v>-</v>
      </c>
      <c r="T454" s="98"/>
    </row>
    <row r="455">
      <c r="A455" s="422">
        <f>IFERROR(__xludf.DUMMYFUNCTION("""COMPUTED_VALUE"""),451.0)</f>
        <v>451</v>
      </c>
      <c r="B455" s="422"/>
      <c r="C455" s="422"/>
      <c r="D455" s="422"/>
      <c r="E455" s="422"/>
      <c r="F455" s="422"/>
      <c r="G455" s="422"/>
      <c r="H455" s="422"/>
      <c r="I455" s="422"/>
      <c r="J455" s="422"/>
      <c r="K455" s="422"/>
      <c r="L455" s="422"/>
      <c r="M455" s="422"/>
      <c r="N455" s="422"/>
      <c r="O455" s="422"/>
      <c r="P455" s="422"/>
      <c r="Q455" s="422"/>
      <c r="R455" s="98"/>
      <c r="S455" s="98" t="str">
        <f>IFERROR(__xludf.DUMMYFUNCTION("""COMPUTED_VALUE"""),"-")</f>
        <v>-</v>
      </c>
      <c r="T455" s="98"/>
    </row>
    <row r="456">
      <c r="A456" s="422">
        <f>IFERROR(__xludf.DUMMYFUNCTION("""COMPUTED_VALUE"""),451.0)</f>
        <v>451</v>
      </c>
      <c r="B456" s="422"/>
      <c r="C456" s="422"/>
      <c r="D456" s="422"/>
      <c r="E456" s="422"/>
      <c r="F456" s="422"/>
      <c r="G456" s="422"/>
      <c r="H456" s="422"/>
      <c r="I456" s="422"/>
      <c r="J456" s="422"/>
      <c r="K456" s="422"/>
      <c r="L456" s="422"/>
      <c r="M456" s="422"/>
      <c r="N456" s="422"/>
      <c r="O456" s="422"/>
      <c r="P456" s="422"/>
      <c r="Q456" s="422"/>
      <c r="R456" s="98"/>
      <c r="S456" s="98" t="str">
        <f>IFERROR(__xludf.DUMMYFUNCTION("""COMPUTED_VALUE"""),"-")</f>
        <v>-</v>
      </c>
      <c r="T456" s="98"/>
    </row>
    <row r="457">
      <c r="A457" s="422">
        <f>IFERROR(__xludf.DUMMYFUNCTION("""COMPUTED_VALUE"""),451.0)</f>
        <v>451</v>
      </c>
      <c r="B457" s="422"/>
      <c r="C457" s="422"/>
      <c r="D457" s="422"/>
      <c r="E457" s="422"/>
      <c r="F457" s="422"/>
      <c r="G457" s="422"/>
      <c r="H457" s="422"/>
      <c r="I457" s="422"/>
      <c r="J457" s="422"/>
      <c r="K457" s="422"/>
      <c r="L457" s="422"/>
      <c r="M457" s="422"/>
      <c r="N457" s="422"/>
      <c r="O457" s="422"/>
      <c r="P457" s="422"/>
      <c r="Q457" s="422"/>
      <c r="R457" s="98"/>
      <c r="S457" s="98" t="str">
        <f>IFERROR(__xludf.DUMMYFUNCTION("""COMPUTED_VALUE"""),"-")</f>
        <v>-</v>
      </c>
      <c r="T457" s="98"/>
    </row>
    <row r="458">
      <c r="A458" s="422">
        <f>IFERROR(__xludf.DUMMYFUNCTION("""COMPUTED_VALUE"""),451.0)</f>
        <v>451</v>
      </c>
      <c r="B458" s="422"/>
      <c r="C458" s="422"/>
      <c r="D458" s="422"/>
      <c r="E458" s="422"/>
      <c r="F458" s="422"/>
      <c r="G458" s="422"/>
      <c r="H458" s="422"/>
      <c r="I458" s="422"/>
      <c r="J458" s="422"/>
      <c r="K458" s="422"/>
      <c r="L458" s="422"/>
      <c r="M458" s="422"/>
      <c r="N458" s="422"/>
      <c r="O458" s="422"/>
      <c r="P458" s="422"/>
      <c r="Q458" s="422"/>
      <c r="R458" s="98"/>
      <c r="S458" s="98" t="str">
        <f>IFERROR(__xludf.DUMMYFUNCTION("""COMPUTED_VALUE"""),"-")</f>
        <v>-</v>
      </c>
      <c r="T458" s="98"/>
    </row>
    <row r="459">
      <c r="A459" s="422">
        <f>IFERROR(__xludf.DUMMYFUNCTION("""COMPUTED_VALUE"""),451.0)</f>
        <v>451</v>
      </c>
      <c r="B459" s="422"/>
      <c r="C459" s="422"/>
      <c r="D459" s="422"/>
      <c r="E459" s="422"/>
      <c r="F459" s="422"/>
      <c r="G459" s="422"/>
      <c r="H459" s="422"/>
      <c r="I459" s="422"/>
      <c r="J459" s="422"/>
      <c r="K459" s="422"/>
      <c r="L459" s="422"/>
      <c r="M459" s="422"/>
      <c r="N459" s="422"/>
      <c r="O459" s="422"/>
      <c r="P459" s="422"/>
      <c r="Q459" s="422"/>
      <c r="R459" s="98"/>
      <c r="S459" s="98" t="str">
        <f>IFERROR(__xludf.DUMMYFUNCTION("""COMPUTED_VALUE"""),"-")</f>
        <v>-</v>
      </c>
      <c r="T459" s="98"/>
    </row>
    <row r="460">
      <c r="A460" s="422">
        <f>IFERROR(__xludf.DUMMYFUNCTION("""COMPUTED_VALUE"""),451.0)</f>
        <v>451</v>
      </c>
      <c r="B460" s="422"/>
      <c r="C460" s="422"/>
      <c r="D460" s="422"/>
      <c r="E460" s="422"/>
      <c r="F460" s="422"/>
      <c r="G460" s="422"/>
      <c r="H460" s="422"/>
      <c r="I460" s="422"/>
      <c r="J460" s="422"/>
      <c r="K460" s="422"/>
      <c r="L460" s="422"/>
      <c r="M460" s="422"/>
      <c r="N460" s="422"/>
      <c r="O460" s="422"/>
      <c r="P460" s="422"/>
      <c r="Q460" s="422"/>
      <c r="R460" s="98"/>
      <c r="S460" s="98" t="str">
        <f>IFERROR(__xludf.DUMMYFUNCTION("""COMPUTED_VALUE"""),"-")</f>
        <v>-</v>
      </c>
      <c r="T460" s="98"/>
    </row>
    <row r="461">
      <c r="A461" s="422">
        <f>IFERROR(__xludf.DUMMYFUNCTION("""COMPUTED_VALUE"""),451.0)</f>
        <v>451</v>
      </c>
      <c r="B461" s="422"/>
      <c r="C461" s="422"/>
      <c r="D461" s="422"/>
      <c r="E461" s="422"/>
      <c r="F461" s="422"/>
      <c r="G461" s="422"/>
      <c r="H461" s="422"/>
      <c r="I461" s="422"/>
      <c r="J461" s="422"/>
      <c r="K461" s="422"/>
      <c r="L461" s="422"/>
      <c r="M461" s="422"/>
      <c r="N461" s="422"/>
      <c r="O461" s="422"/>
      <c r="P461" s="422"/>
      <c r="Q461" s="422"/>
      <c r="R461" s="98"/>
      <c r="S461" s="98" t="str">
        <f>IFERROR(__xludf.DUMMYFUNCTION("""COMPUTED_VALUE"""),"-")</f>
        <v>-</v>
      </c>
      <c r="T461" s="98"/>
    </row>
    <row r="462">
      <c r="A462" s="422">
        <f>IFERROR(__xludf.DUMMYFUNCTION("""COMPUTED_VALUE"""),451.0)</f>
        <v>451</v>
      </c>
      <c r="B462" s="422"/>
      <c r="C462" s="422"/>
      <c r="D462" s="422"/>
      <c r="E462" s="422"/>
      <c r="F462" s="422"/>
      <c r="G462" s="422"/>
      <c r="H462" s="422"/>
      <c r="I462" s="422"/>
      <c r="J462" s="422"/>
      <c r="K462" s="422"/>
      <c r="L462" s="422"/>
      <c r="M462" s="422"/>
      <c r="N462" s="422"/>
      <c r="O462" s="422"/>
      <c r="P462" s="422"/>
      <c r="Q462" s="422"/>
      <c r="R462" s="98"/>
      <c r="S462" s="98" t="str">
        <f>IFERROR(__xludf.DUMMYFUNCTION("""COMPUTED_VALUE"""),"-")</f>
        <v>-</v>
      </c>
      <c r="T462" s="98"/>
    </row>
    <row r="463">
      <c r="A463" s="422">
        <f>IFERROR(__xludf.DUMMYFUNCTION("""COMPUTED_VALUE"""),451.0)</f>
        <v>451</v>
      </c>
      <c r="B463" s="422"/>
      <c r="C463" s="422"/>
      <c r="D463" s="422"/>
      <c r="E463" s="422"/>
      <c r="F463" s="422"/>
      <c r="G463" s="422"/>
      <c r="H463" s="422"/>
      <c r="I463" s="422"/>
      <c r="J463" s="422"/>
      <c r="K463" s="422"/>
      <c r="L463" s="422"/>
      <c r="M463" s="422"/>
      <c r="N463" s="422"/>
      <c r="O463" s="422"/>
      <c r="P463" s="422"/>
      <c r="Q463" s="422"/>
      <c r="R463" s="98"/>
      <c r="S463" s="98" t="str">
        <f>IFERROR(__xludf.DUMMYFUNCTION("""COMPUTED_VALUE"""),"-")</f>
        <v>-</v>
      </c>
      <c r="T463" s="98"/>
    </row>
    <row r="464">
      <c r="A464" s="422">
        <f>IFERROR(__xludf.DUMMYFUNCTION("""COMPUTED_VALUE"""),451.0)</f>
        <v>451</v>
      </c>
      <c r="B464" s="422"/>
      <c r="C464" s="422"/>
      <c r="D464" s="422"/>
      <c r="E464" s="422"/>
      <c r="F464" s="422"/>
      <c r="G464" s="422"/>
      <c r="H464" s="422"/>
      <c r="I464" s="422"/>
      <c r="J464" s="422"/>
      <c r="K464" s="422"/>
      <c r="L464" s="422"/>
      <c r="M464" s="422"/>
      <c r="N464" s="422"/>
      <c r="O464" s="422"/>
      <c r="P464" s="422"/>
      <c r="Q464" s="422"/>
      <c r="R464" s="98"/>
      <c r="S464" s="98" t="str">
        <f>IFERROR(__xludf.DUMMYFUNCTION("""COMPUTED_VALUE"""),"-")</f>
        <v>-</v>
      </c>
      <c r="T464" s="98"/>
    </row>
    <row r="465">
      <c r="A465" s="422">
        <f>IFERROR(__xludf.DUMMYFUNCTION("""COMPUTED_VALUE"""),451.0)</f>
        <v>451</v>
      </c>
      <c r="B465" s="422"/>
      <c r="C465" s="422"/>
      <c r="D465" s="422"/>
      <c r="E465" s="422"/>
      <c r="F465" s="422"/>
      <c r="G465" s="422"/>
      <c r="H465" s="422"/>
      <c r="I465" s="422"/>
      <c r="J465" s="422"/>
      <c r="K465" s="422"/>
      <c r="L465" s="422"/>
      <c r="M465" s="422"/>
      <c r="N465" s="422"/>
      <c r="O465" s="422"/>
      <c r="P465" s="422"/>
      <c r="Q465" s="422"/>
      <c r="R465" s="98"/>
      <c r="S465" s="98" t="str">
        <f>IFERROR(__xludf.DUMMYFUNCTION("""COMPUTED_VALUE"""),"-")</f>
        <v>-</v>
      </c>
      <c r="T465" s="98"/>
    </row>
    <row r="466">
      <c r="A466" s="422">
        <f>IFERROR(__xludf.DUMMYFUNCTION("""COMPUTED_VALUE"""),451.0)</f>
        <v>451</v>
      </c>
      <c r="B466" s="422"/>
      <c r="C466" s="422"/>
      <c r="D466" s="422"/>
      <c r="E466" s="422"/>
      <c r="F466" s="422"/>
      <c r="G466" s="422"/>
      <c r="H466" s="422"/>
      <c r="I466" s="422"/>
      <c r="J466" s="422"/>
      <c r="K466" s="422"/>
      <c r="L466" s="422"/>
      <c r="M466" s="422"/>
      <c r="N466" s="422"/>
      <c r="O466" s="422"/>
      <c r="P466" s="422"/>
      <c r="Q466" s="422"/>
      <c r="R466" s="98"/>
      <c r="S466" s="98" t="str">
        <f>IFERROR(__xludf.DUMMYFUNCTION("""COMPUTED_VALUE"""),"-")</f>
        <v>-</v>
      </c>
      <c r="T466" s="98"/>
    </row>
    <row r="467">
      <c r="A467" s="422">
        <f>IFERROR(__xludf.DUMMYFUNCTION("""COMPUTED_VALUE"""),451.0)</f>
        <v>451</v>
      </c>
      <c r="B467" s="422"/>
      <c r="C467" s="422"/>
      <c r="D467" s="422"/>
      <c r="E467" s="422"/>
      <c r="F467" s="422"/>
      <c r="G467" s="422"/>
      <c r="H467" s="422"/>
      <c r="I467" s="422"/>
      <c r="J467" s="422"/>
      <c r="K467" s="422"/>
      <c r="L467" s="422"/>
      <c r="M467" s="422"/>
      <c r="N467" s="422"/>
      <c r="O467" s="422"/>
      <c r="P467" s="422"/>
      <c r="Q467" s="422"/>
      <c r="R467" s="98"/>
      <c r="S467" s="98" t="str">
        <f>IFERROR(__xludf.DUMMYFUNCTION("""COMPUTED_VALUE"""),"-")</f>
        <v>-</v>
      </c>
      <c r="T467" s="98"/>
    </row>
    <row r="468">
      <c r="A468" s="422">
        <f>IFERROR(__xludf.DUMMYFUNCTION("""COMPUTED_VALUE"""),451.0)</f>
        <v>451</v>
      </c>
      <c r="B468" s="422"/>
      <c r="C468" s="422"/>
      <c r="D468" s="422"/>
      <c r="E468" s="422"/>
      <c r="F468" s="422"/>
      <c r="G468" s="422"/>
      <c r="H468" s="422"/>
      <c r="I468" s="422"/>
      <c r="J468" s="422"/>
      <c r="K468" s="422"/>
      <c r="L468" s="422"/>
      <c r="M468" s="422"/>
      <c r="N468" s="422"/>
      <c r="O468" s="422"/>
      <c r="P468" s="422"/>
      <c r="Q468" s="422"/>
      <c r="R468" s="98"/>
      <c r="S468" s="98" t="str">
        <f>IFERROR(__xludf.DUMMYFUNCTION("""COMPUTED_VALUE"""),"-")</f>
        <v>-</v>
      </c>
      <c r="T468" s="98"/>
    </row>
    <row r="469">
      <c r="A469" s="422">
        <f>IFERROR(__xludf.DUMMYFUNCTION("""COMPUTED_VALUE"""),451.0)</f>
        <v>451</v>
      </c>
      <c r="B469" s="422"/>
      <c r="C469" s="422"/>
      <c r="D469" s="422"/>
      <c r="E469" s="422"/>
      <c r="F469" s="422"/>
      <c r="G469" s="422"/>
      <c r="H469" s="422"/>
      <c r="I469" s="422"/>
      <c r="J469" s="422"/>
      <c r="K469" s="422"/>
      <c r="L469" s="422"/>
      <c r="M469" s="422"/>
      <c r="N469" s="422"/>
      <c r="O469" s="422"/>
      <c r="P469" s="422"/>
      <c r="Q469" s="422"/>
      <c r="R469" s="98"/>
      <c r="S469" s="98" t="str">
        <f>IFERROR(__xludf.DUMMYFUNCTION("""COMPUTED_VALUE"""),"-")</f>
        <v>-</v>
      </c>
      <c r="T469" s="98"/>
    </row>
    <row r="470">
      <c r="A470" s="422">
        <f>IFERROR(__xludf.DUMMYFUNCTION("""COMPUTED_VALUE"""),451.0)</f>
        <v>451</v>
      </c>
      <c r="B470" s="422"/>
      <c r="C470" s="422"/>
      <c r="D470" s="422"/>
      <c r="E470" s="422"/>
      <c r="F470" s="422"/>
      <c r="G470" s="422"/>
      <c r="H470" s="422"/>
      <c r="I470" s="422"/>
      <c r="J470" s="422"/>
      <c r="K470" s="422"/>
      <c r="L470" s="422"/>
      <c r="M470" s="422"/>
      <c r="N470" s="422"/>
      <c r="O470" s="422"/>
      <c r="P470" s="422"/>
      <c r="Q470" s="422"/>
      <c r="R470" s="98"/>
      <c r="S470" s="98" t="str">
        <f>IFERROR(__xludf.DUMMYFUNCTION("""COMPUTED_VALUE"""),"-")</f>
        <v>-</v>
      </c>
      <c r="T470" s="98"/>
    </row>
    <row r="471">
      <c r="A471" s="422">
        <f>IFERROR(__xludf.DUMMYFUNCTION("""COMPUTED_VALUE"""),451.0)</f>
        <v>451</v>
      </c>
      <c r="B471" s="422"/>
      <c r="C471" s="422"/>
      <c r="D471" s="422"/>
      <c r="E471" s="422"/>
      <c r="F471" s="422"/>
      <c r="G471" s="422"/>
      <c r="H471" s="422"/>
      <c r="I471" s="422"/>
      <c r="J471" s="422"/>
      <c r="K471" s="422"/>
      <c r="L471" s="422"/>
      <c r="M471" s="422"/>
      <c r="N471" s="422"/>
      <c r="O471" s="422"/>
      <c r="P471" s="422"/>
      <c r="Q471" s="422"/>
      <c r="R471" s="98"/>
      <c r="S471" s="98" t="str">
        <f>IFERROR(__xludf.DUMMYFUNCTION("""COMPUTED_VALUE"""),"-")</f>
        <v>-</v>
      </c>
      <c r="T471" s="98"/>
    </row>
    <row r="472">
      <c r="A472" s="422">
        <f>IFERROR(__xludf.DUMMYFUNCTION("""COMPUTED_VALUE"""),451.0)</f>
        <v>451</v>
      </c>
      <c r="B472" s="422"/>
      <c r="C472" s="422"/>
      <c r="D472" s="422"/>
      <c r="E472" s="422"/>
      <c r="F472" s="422"/>
      <c r="G472" s="422"/>
      <c r="H472" s="422"/>
      <c r="I472" s="422"/>
      <c r="J472" s="422"/>
      <c r="K472" s="422"/>
      <c r="L472" s="422"/>
      <c r="M472" s="422"/>
      <c r="N472" s="422"/>
      <c r="O472" s="422"/>
      <c r="P472" s="422"/>
      <c r="Q472" s="422"/>
      <c r="R472" s="98"/>
      <c r="S472" s="98" t="str">
        <f>IFERROR(__xludf.DUMMYFUNCTION("""COMPUTED_VALUE"""),"-")</f>
        <v>-</v>
      </c>
      <c r="T472" s="98"/>
    </row>
    <row r="473">
      <c r="A473" s="422">
        <f>IFERROR(__xludf.DUMMYFUNCTION("""COMPUTED_VALUE"""),451.0)</f>
        <v>451</v>
      </c>
      <c r="B473" s="422"/>
      <c r="C473" s="422"/>
      <c r="D473" s="422"/>
      <c r="E473" s="422"/>
      <c r="F473" s="422"/>
      <c r="G473" s="422"/>
      <c r="H473" s="422"/>
      <c r="I473" s="422"/>
      <c r="J473" s="422"/>
      <c r="K473" s="422"/>
      <c r="L473" s="422"/>
      <c r="M473" s="422"/>
      <c r="N473" s="422"/>
      <c r="O473" s="422"/>
      <c r="P473" s="422"/>
      <c r="Q473" s="422"/>
      <c r="R473" s="98"/>
      <c r="S473" s="98" t="str">
        <f>IFERROR(__xludf.DUMMYFUNCTION("""COMPUTED_VALUE"""),"-")</f>
        <v>-</v>
      </c>
      <c r="T473" s="98"/>
    </row>
    <row r="474">
      <c r="A474" s="422">
        <f>IFERROR(__xludf.DUMMYFUNCTION("""COMPUTED_VALUE"""),451.0)</f>
        <v>451</v>
      </c>
      <c r="B474" s="422"/>
      <c r="C474" s="422"/>
      <c r="D474" s="422"/>
      <c r="E474" s="422"/>
      <c r="F474" s="422"/>
      <c r="G474" s="422"/>
      <c r="H474" s="422"/>
      <c r="I474" s="422"/>
      <c r="J474" s="422"/>
      <c r="K474" s="422"/>
      <c r="L474" s="422"/>
      <c r="M474" s="422"/>
      <c r="N474" s="422"/>
      <c r="O474" s="422"/>
      <c r="P474" s="422"/>
      <c r="Q474" s="422"/>
      <c r="R474" s="98"/>
      <c r="S474" s="98" t="str">
        <f>IFERROR(__xludf.DUMMYFUNCTION("""COMPUTED_VALUE"""),"-")</f>
        <v>-</v>
      </c>
      <c r="T474" s="98"/>
    </row>
    <row r="475">
      <c r="A475" s="422">
        <f>IFERROR(__xludf.DUMMYFUNCTION("""COMPUTED_VALUE"""),451.0)</f>
        <v>451</v>
      </c>
      <c r="B475" s="422"/>
      <c r="C475" s="422"/>
      <c r="D475" s="422"/>
      <c r="E475" s="422"/>
      <c r="F475" s="422"/>
      <c r="G475" s="422"/>
      <c r="H475" s="422"/>
      <c r="I475" s="422"/>
      <c r="J475" s="422"/>
      <c r="K475" s="422"/>
      <c r="L475" s="422"/>
      <c r="M475" s="422"/>
      <c r="N475" s="422"/>
      <c r="O475" s="422"/>
      <c r="P475" s="422"/>
      <c r="Q475" s="422"/>
      <c r="R475" s="98"/>
      <c r="S475" s="98" t="str">
        <f>IFERROR(__xludf.DUMMYFUNCTION("""COMPUTED_VALUE"""),"-")</f>
        <v>-</v>
      </c>
      <c r="T475" s="98"/>
    </row>
    <row r="476">
      <c r="A476" s="422">
        <f>IFERROR(__xludf.DUMMYFUNCTION("""COMPUTED_VALUE"""),451.0)</f>
        <v>451</v>
      </c>
      <c r="B476" s="422"/>
      <c r="C476" s="422"/>
      <c r="D476" s="422"/>
      <c r="E476" s="422"/>
      <c r="F476" s="422"/>
      <c r="G476" s="422"/>
      <c r="H476" s="422"/>
      <c r="I476" s="422"/>
      <c r="J476" s="422"/>
      <c r="K476" s="422"/>
      <c r="L476" s="422"/>
      <c r="M476" s="422"/>
      <c r="N476" s="422"/>
      <c r="O476" s="422"/>
      <c r="P476" s="422"/>
      <c r="Q476" s="422"/>
      <c r="R476" s="98"/>
      <c r="S476" s="98" t="str">
        <f>IFERROR(__xludf.DUMMYFUNCTION("""COMPUTED_VALUE"""),"-")</f>
        <v>-</v>
      </c>
      <c r="T476" s="98"/>
    </row>
    <row r="477">
      <c r="A477" s="422">
        <f>IFERROR(__xludf.DUMMYFUNCTION("""COMPUTED_VALUE"""),451.0)</f>
        <v>451</v>
      </c>
      <c r="B477" s="422"/>
      <c r="C477" s="422"/>
      <c r="D477" s="422"/>
      <c r="E477" s="422"/>
      <c r="F477" s="422"/>
      <c r="G477" s="422"/>
      <c r="H477" s="422"/>
      <c r="I477" s="422"/>
      <c r="J477" s="422"/>
      <c r="K477" s="422"/>
      <c r="L477" s="422"/>
      <c r="M477" s="422"/>
      <c r="N477" s="422"/>
      <c r="O477" s="422"/>
      <c r="P477" s="422"/>
      <c r="Q477" s="422"/>
      <c r="R477" s="98"/>
      <c r="S477" s="98" t="str">
        <f>IFERROR(__xludf.DUMMYFUNCTION("""COMPUTED_VALUE"""),"-")</f>
        <v>-</v>
      </c>
      <c r="T477" s="98"/>
    </row>
    <row r="478">
      <c r="A478" s="422">
        <f>IFERROR(__xludf.DUMMYFUNCTION("""COMPUTED_VALUE"""),451.0)</f>
        <v>451</v>
      </c>
      <c r="B478" s="422"/>
      <c r="C478" s="422"/>
      <c r="D478" s="422"/>
      <c r="E478" s="422"/>
      <c r="F478" s="422"/>
      <c r="G478" s="422"/>
      <c r="H478" s="422"/>
      <c r="I478" s="422"/>
      <c r="J478" s="422"/>
      <c r="K478" s="422"/>
      <c r="L478" s="422"/>
      <c r="M478" s="422"/>
      <c r="N478" s="422"/>
      <c r="O478" s="422"/>
      <c r="P478" s="422"/>
      <c r="Q478" s="422"/>
      <c r="R478" s="98"/>
      <c r="S478" s="98" t="str">
        <f>IFERROR(__xludf.DUMMYFUNCTION("""COMPUTED_VALUE"""),"-")</f>
        <v>-</v>
      </c>
      <c r="T478" s="98"/>
    </row>
    <row r="479">
      <c r="A479" s="422">
        <f>IFERROR(__xludf.DUMMYFUNCTION("""COMPUTED_VALUE"""),451.0)</f>
        <v>451</v>
      </c>
      <c r="B479" s="422"/>
      <c r="C479" s="422"/>
      <c r="D479" s="422"/>
      <c r="E479" s="422"/>
      <c r="F479" s="422"/>
      <c r="G479" s="422"/>
      <c r="H479" s="422"/>
      <c r="I479" s="422"/>
      <c r="J479" s="422"/>
      <c r="K479" s="422"/>
      <c r="L479" s="422"/>
      <c r="M479" s="422"/>
      <c r="N479" s="422"/>
      <c r="O479" s="422"/>
      <c r="P479" s="422"/>
      <c r="Q479" s="422"/>
      <c r="R479" s="98"/>
      <c r="S479" s="98" t="str">
        <f>IFERROR(__xludf.DUMMYFUNCTION("""COMPUTED_VALUE"""),"-")</f>
        <v>-</v>
      </c>
      <c r="T479" s="98"/>
    </row>
    <row r="480">
      <c r="A480" s="422">
        <f>IFERROR(__xludf.DUMMYFUNCTION("""COMPUTED_VALUE"""),451.0)</f>
        <v>451</v>
      </c>
      <c r="B480" s="422"/>
      <c r="C480" s="422"/>
      <c r="D480" s="422"/>
      <c r="E480" s="422"/>
      <c r="F480" s="422"/>
      <c r="G480" s="422"/>
      <c r="H480" s="422"/>
      <c r="I480" s="422"/>
      <c r="J480" s="422"/>
      <c r="K480" s="422"/>
      <c r="L480" s="422"/>
      <c r="M480" s="422"/>
      <c r="N480" s="422"/>
      <c r="O480" s="422"/>
      <c r="P480" s="422"/>
      <c r="Q480" s="422"/>
      <c r="R480" s="98"/>
      <c r="S480" s="98" t="str">
        <f>IFERROR(__xludf.DUMMYFUNCTION("""COMPUTED_VALUE"""),"-")</f>
        <v>-</v>
      </c>
      <c r="T480" s="98"/>
    </row>
    <row r="481">
      <c r="A481" s="422">
        <f>IFERROR(__xludf.DUMMYFUNCTION("""COMPUTED_VALUE"""),451.0)</f>
        <v>451</v>
      </c>
      <c r="B481" s="422"/>
      <c r="C481" s="422"/>
      <c r="D481" s="422"/>
      <c r="E481" s="422"/>
      <c r="F481" s="422"/>
      <c r="G481" s="422"/>
      <c r="H481" s="422"/>
      <c r="I481" s="422"/>
      <c r="J481" s="422"/>
      <c r="K481" s="422"/>
      <c r="L481" s="422"/>
      <c r="M481" s="422"/>
      <c r="N481" s="422"/>
      <c r="O481" s="422"/>
      <c r="P481" s="422"/>
      <c r="Q481" s="422"/>
      <c r="R481" s="98"/>
      <c r="S481" s="98" t="str">
        <f>IFERROR(__xludf.DUMMYFUNCTION("""COMPUTED_VALUE"""),"-")</f>
        <v>-</v>
      </c>
      <c r="T481" s="98"/>
    </row>
    <row r="482">
      <c r="A482" s="422">
        <f>IFERROR(__xludf.DUMMYFUNCTION("""COMPUTED_VALUE"""),451.0)</f>
        <v>451</v>
      </c>
      <c r="B482" s="422"/>
      <c r="C482" s="422"/>
      <c r="D482" s="422"/>
      <c r="E482" s="422"/>
      <c r="F482" s="422"/>
      <c r="G482" s="422"/>
      <c r="H482" s="422"/>
      <c r="I482" s="422"/>
      <c r="J482" s="422"/>
      <c r="K482" s="422"/>
      <c r="L482" s="422"/>
      <c r="M482" s="422"/>
      <c r="N482" s="422"/>
      <c r="O482" s="422"/>
      <c r="P482" s="422"/>
      <c r="Q482" s="422"/>
      <c r="R482" s="98"/>
      <c r="S482" s="98" t="str">
        <f>IFERROR(__xludf.DUMMYFUNCTION("""COMPUTED_VALUE"""),"-")</f>
        <v>-</v>
      </c>
      <c r="T482" s="98"/>
    </row>
    <row r="483">
      <c r="A483" s="422">
        <f>IFERROR(__xludf.DUMMYFUNCTION("""COMPUTED_VALUE"""),451.0)</f>
        <v>451</v>
      </c>
      <c r="B483" s="422"/>
      <c r="C483" s="422"/>
      <c r="D483" s="422"/>
      <c r="E483" s="422"/>
      <c r="F483" s="422"/>
      <c r="G483" s="422"/>
      <c r="H483" s="422"/>
      <c r="I483" s="422"/>
      <c r="J483" s="422"/>
      <c r="K483" s="422"/>
      <c r="L483" s="422"/>
      <c r="M483" s="422"/>
      <c r="N483" s="422"/>
      <c r="O483" s="422"/>
      <c r="P483" s="422"/>
      <c r="Q483" s="422"/>
      <c r="R483" s="98"/>
      <c r="S483" s="98" t="str">
        <f>IFERROR(__xludf.DUMMYFUNCTION("""COMPUTED_VALUE"""),"-")</f>
        <v>-</v>
      </c>
      <c r="T483" s="98"/>
    </row>
    <row r="484">
      <c r="A484" s="422">
        <f>IFERROR(__xludf.DUMMYFUNCTION("""COMPUTED_VALUE"""),451.0)</f>
        <v>451</v>
      </c>
      <c r="B484" s="422"/>
      <c r="C484" s="422"/>
      <c r="D484" s="422"/>
      <c r="E484" s="422"/>
      <c r="F484" s="422"/>
      <c r="G484" s="422"/>
      <c r="H484" s="422"/>
      <c r="I484" s="422"/>
      <c r="J484" s="422"/>
      <c r="K484" s="422"/>
      <c r="L484" s="422"/>
      <c r="M484" s="422"/>
      <c r="N484" s="422"/>
      <c r="O484" s="422"/>
      <c r="P484" s="422"/>
      <c r="Q484" s="422"/>
      <c r="R484" s="98"/>
      <c r="S484" s="98" t="str">
        <f>IFERROR(__xludf.DUMMYFUNCTION("""COMPUTED_VALUE"""),"-")</f>
        <v>-</v>
      </c>
      <c r="T484" s="98"/>
    </row>
    <row r="485">
      <c r="A485" s="422">
        <f>IFERROR(__xludf.DUMMYFUNCTION("""COMPUTED_VALUE"""),451.0)</f>
        <v>451</v>
      </c>
      <c r="B485" s="422"/>
      <c r="C485" s="422"/>
      <c r="D485" s="422"/>
      <c r="E485" s="422"/>
      <c r="F485" s="422"/>
      <c r="G485" s="422"/>
      <c r="H485" s="422"/>
      <c r="I485" s="422"/>
      <c r="J485" s="422"/>
      <c r="K485" s="422"/>
      <c r="L485" s="422"/>
      <c r="M485" s="422"/>
      <c r="N485" s="422"/>
      <c r="O485" s="422"/>
      <c r="P485" s="422"/>
      <c r="Q485" s="422"/>
      <c r="R485" s="98"/>
      <c r="S485" s="98" t="str">
        <f>IFERROR(__xludf.DUMMYFUNCTION("""COMPUTED_VALUE"""),"-")</f>
        <v>-</v>
      </c>
      <c r="T485" s="98"/>
    </row>
    <row r="486">
      <c r="A486" s="422">
        <f>IFERROR(__xludf.DUMMYFUNCTION("""COMPUTED_VALUE"""),451.0)</f>
        <v>451</v>
      </c>
      <c r="B486" s="422"/>
      <c r="C486" s="422"/>
      <c r="D486" s="422"/>
      <c r="E486" s="422"/>
      <c r="F486" s="422"/>
      <c r="G486" s="422"/>
      <c r="H486" s="422"/>
      <c r="I486" s="422"/>
      <c r="J486" s="422"/>
      <c r="K486" s="422"/>
      <c r="L486" s="422"/>
      <c r="M486" s="422"/>
      <c r="N486" s="422"/>
      <c r="O486" s="422"/>
      <c r="P486" s="422"/>
      <c r="Q486" s="422"/>
      <c r="R486" s="98"/>
      <c r="S486" s="98" t="str">
        <f>IFERROR(__xludf.DUMMYFUNCTION("""COMPUTED_VALUE"""),"-")</f>
        <v>-</v>
      </c>
      <c r="T486" s="98"/>
    </row>
    <row r="487">
      <c r="A487" s="422">
        <f>IFERROR(__xludf.DUMMYFUNCTION("""COMPUTED_VALUE"""),451.0)</f>
        <v>451</v>
      </c>
      <c r="B487" s="422"/>
      <c r="C487" s="422"/>
      <c r="D487" s="422"/>
      <c r="E487" s="422"/>
      <c r="F487" s="422"/>
      <c r="G487" s="422"/>
      <c r="H487" s="422"/>
      <c r="I487" s="422"/>
      <c r="J487" s="422"/>
      <c r="K487" s="422"/>
      <c r="L487" s="422"/>
      <c r="M487" s="422"/>
      <c r="N487" s="422"/>
      <c r="O487" s="422"/>
      <c r="P487" s="422"/>
      <c r="Q487" s="422"/>
      <c r="R487" s="98"/>
      <c r="S487" s="98" t="str">
        <f>IFERROR(__xludf.DUMMYFUNCTION("""COMPUTED_VALUE"""),"-")</f>
        <v>-</v>
      </c>
      <c r="T487" s="98"/>
    </row>
    <row r="488">
      <c r="A488" s="422">
        <f>IFERROR(__xludf.DUMMYFUNCTION("""COMPUTED_VALUE"""),451.0)</f>
        <v>451</v>
      </c>
      <c r="B488" s="422"/>
      <c r="C488" s="422"/>
      <c r="D488" s="422"/>
      <c r="E488" s="422"/>
      <c r="F488" s="422"/>
      <c r="G488" s="422"/>
      <c r="H488" s="422"/>
      <c r="I488" s="422"/>
      <c r="J488" s="422"/>
      <c r="K488" s="422"/>
      <c r="L488" s="422"/>
      <c r="M488" s="422"/>
      <c r="N488" s="422"/>
      <c r="O488" s="422"/>
      <c r="P488" s="422"/>
      <c r="Q488" s="422"/>
      <c r="R488" s="98"/>
      <c r="S488" s="98" t="str">
        <f>IFERROR(__xludf.DUMMYFUNCTION("""COMPUTED_VALUE"""),"-")</f>
        <v>-</v>
      </c>
      <c r="T488" s="98"/>
    </row>
    <row r="489">
      <c r="A489" s="422">
        <f>IFERROR(__xludf.DUMMYFUNCTION("""COMPUTED_VALUE"""),451.0)</f>
        <v>451</v>
      </c>
      <c r="B489" s="422"/>
      <c r="C489" s="422"/>
      <c r="D489" s="422"/>
      <c r="E489" s="422"/>
      <c r="F489" s="422"/>
      <c r="G489" s="422"/>
      <c r="H489" s="422"/>
      <c r="I489" s="422"/>
      <c r="J489" s="422"/>
      <c r="K489" s="422"/>
      <c r="L489" s="422"/>
      <c r="M489" s="422"/>
      <c r="N489" s="422"/>
      <c r="O489" s="422"/>
      <c r="P489" s="422"/>
      <c r="Q489" s="422"/>
      <c r="R489" s="98"/>
      <c r="S489" s="98" t="str">
        <f>IFERROR(__xludf.DUMMYFUNCTION("""COMPUTED_VALUE"""),"-")</f>
        <v>-</v>
      </c>
      <c r="T489" s="98"/>
    </row>
    <row r="490">
      <c r="A490" s="422">
        <f>IFERROR(__xludf.DUMMYFUNCTION("""COMPUTED_VALUE"""),451.0)</f>
        <v>451</v>
      </c>
      <c r="B490" s="422"/>
      <c r="C490" s="422"/>
      <c r="D490" s="422"/>
      <c r="E490" s="422"/>
      <c r="F490" s="422"/>
      <c r="G490" s="422"/>
      <c r="H490" s="422"/>
      <c r="I490" s="422"/>
      <c r="J490" s="422"/>
      <c r="K490" s="422"/>
      <c r="L490" s="422"/>
      <c r="M490" s="422"/>
      <c r="N490" s="422"/>
      <c r="O490" s="422"/>
      <c r="P490" s="422"/>
      <c r="Q490" s="422"/>
      <c r="R490" s="98"/>
      <c r="S490" s="98" t="str">
        <f>IFERROR(__xludf.DUMMYFUNCTION("""COMPUTED_VALUE"""),"-")</f>
        <v>-</v>
      </c>
      <c r="T490" s="98"/>
    </row>
    <row r="491">
      <c r="A491" s="422">
        <f>IFERROR(__xludf.DUMMYFUNCTION("""COMPUTED_VALUE"""),451.0)</f>
        <v>451</v>
      </c>
      <c r="B491" s="422"/>
      <c r="C491" s="422"/>
      <c r="D491" s="422"/>
      <c r="E491" s="422"/>
      <c r="F491" s="422"/>
      <c r="G491" s="422"/>
      <c r="H491" s="422"/>
      <c r="I491" s="422"/>
      <c r="J491" s="422"/>
      <c r="K491" s="422"/>
      <c r="L491" s="422"/>
      <c r="M491" s="422"/>
      <c r="N491" s="422"/>
      <c r="O491" s="422"/>
      <c r="P491" s="422"/>
      <c r="Q491" s="422"/>
      <c r="R491" s="98"/>
      <c r="S491" s="98" t="str">
        <f>IFERROR(__xludf.DUMMYFUNCTION("""COMPUTED_VALUE"""),"-")</f>
        <v>-</v>
      </c>
      <c r="T491" s="98"/>
    </row>
    <row r="492">
      <c r="A492" s="422">
        <f>IFERROR(__xludf.DUMMYFUNCTION("""COMPUTED_VALUE"""),451.0)</f>
        <v>451</v>
      </c>
      <c r="B492" s="422"/>
      <c r="C492" s="422"/>
      <c r="D492" s="422"/>
      <c r="E492" s="422"/>
      <c r="F492" s="422"/>
      <c r="G492" s="422"/>
      <c r="H492" s="422"/>
      <c r="I492" s="422"/>
      <c r="J492" s="422"/>
      <c r="K492" s="422"/>
      <c r="L492" s="422"/>
      <c r="M492" s="422"/>
      <c r="N492" s="422"/>
      <c r="O492" s="422"/>
      <c r="P492" s="422"/>
      <c r="Q492" s="422"/>
      <c r="R492" s="98"/>
      <c r="S492" s="98" t="str">
        <f>IFERROR(__xludf.DUMMYFUNCTION("""COMPUTED_VALUE"""),"-")</f>
        <v>-</v>
      </c>
      <c r="T492" s="98"/>
    </row>
    <row r="493">
      <c r="A493" s="422">
        <f>IFERROR(__xludf.DUMMYFUNCTION("""COMPUTED_VALUE"""),451.0)</f>
        <v>451</v>
      </c>
      <c r="B493" s="422"/>
      <c r="C493" s="422"/>
      <c r="D493" s="422"/>
      <c r="E493" s="422"/>
      <c r="F493" s="422"/>
      <c r="G493" s="422"/>
      <c r="H493" s="422"/>
      <c r="I493" s="422"/>
      <c r="J493" s="422"/>
      <c r="K493" s="422"/>
      <c r="L493" s="422"/>
      <c r="M493" s="422"/>
      <c r="N493" s="422"/>
      <c r="O493" s="422"/>
      <c r="P493" s="422"/>
      <c r="Q493" s="422"/>
      <c r="R493" s="98"/>
      <c r="S493" s="98" t="str">
        <f>IFERROR(__xludf.DUMMYFUNCTION("""COMPUTED_VALUE"""),"-")</f>
        <v>-</v>
      </c>
      <c r="T493" s="98"/>
    </row>
    <row r="494">
      <c r="A494" s="422">
        <f>IFERROR(__xludf.DUMMYFUNCTION("""COMPUTED_VALUE"""),451.0)</f>
        <v>451</v>
      </c>
      <c r="B494" s="422"/>
      <c r="C494" s="422"/>
      <c r="D494" s="422"/>
      <c r="E494" s="422"/>
      <c r="F494" s="422"/>
      <c r="G494" s="422"/>
      <c r="H494" s="422"/>
      <c r="I494" s="422"/>
      <c r="J494" s="422"/>
      <c r="K494" s="422"/>
      <c r="L494" s="422"/>
      <c r="M494" s="422"/>
      <c r="N494" s="422"/>
      <c r="O494" s="422"/>
      <c r="P494" s="422"/>
      <c r="Q494" s="422"/>
      <c r="R494" s="98"/>
      <c r="S494" s="98" t="str">
        <f>IFERROR(__xludf.DUMMYFUNCTION("""COMPUTED_VALUE"""),"-")</f>
        <v>-</v>
      </c>
      <c r="T494" s="98"/>
    </row>
    <row r="495">
      <c r="A495" s="422">
        <f>IFERROR(__xludf.DUMMYFUNCTION("""COMPUTED_VALUE"""),451.0)</f>
        <v>451</v>
      </c>
      <c r="B495" s="422"/>
      <c r="C495" s="422"/>
      <c r="D495" s="422"/>
      <c r="E495" s="422"/>
      <c r="F495" s="422"/>
      <c r="G495" s="422"/>
      <c r="H495" s="422"/>
      <c r="I495" s="422"/>
      <c r="J495" s="422"/>
      <c r="K495" s="422"/>
      <c r="L495" s="422"/>
      <c r="M495" s="422"/>
      <c r="N495" s="422"/>
      <c r="O495" s="422"/>
      <c r="P495" s="422"/>
      <c r="Q495" s="422"/>
      <c r="R495" s="98"/>
      <c r="S495" s="98" t="str">
        <f>IFERROR(__xludf.DUMMYFUNCTION("""COMPUTED_VALUE"""),"-")</f>
        <v>-</v>
      </c>
      <c r="T495" s="98"/>
    </row>
    <row r="496">
      <c r="A496" s="422">
        <f>IFERROR(__xludf.DUMMYFUNCTION("""COMPUTED_VALUE"""),451.0)</f>
        <v>451</v>
      </c>
      <c r="B496" s="422"/>
      <c r="C496" s="422"/>
      <c r="D496" s="422"/>
      <c r="E496" s="422"/>
      <c r="F496" s="422"/>
      <c r="G496" s="422"/>
      <c r="H496" s="422"/>
      <c r="I496" s="422"/>
      <c r="J496" s="422"/>
      <c r="K496" s="422"/>
      <c r="L496" s="422"/>
      <c r="M496" s="422"/>
      <c r="N496" s="422"/>
      <c r="O496" s="422"/>
      <c r="P496" s="422"/>
      <c r="Q496" s="422"/>
      <c r="R496" s="98"/>
      <c r="S496" s="98" t="str">
        <f>IFERROR(__xludf.DUMMYFUNCTION("""COMPUTED_VALUE"""),"-")</f>
        <v>-</v>
      </c>
      <c r="T496" s="98"/>
    </row>
    <row r="497">
      <c r="A497" s="422">
        <f>IFERROR(__xludf.DUMMYFUNCTION("""COMPUTED_VALUE"""),451.0)</f>
        <v>451</v>
      </c>
      <c r="B497" s="422"/>
      <c r="C497" s="422"/>
      <c r="D497" s="422"/>
      <c r="E497" s="422"/>
      <c r="F497" s="422"/>
      <c r="G497" s="422"/>
      <c r="H497" s="422"/>
      <c r="I497" s="422"/>
      <c r="J497" s="422"/>
      <c r="K497" s="422"/>
      <c r="L497" s="422"/>
      <c r="M497" s="422"/>
      <c r="N497" s="422"/>
      <c r="O497" s="422"/>
      <c r="P497" s="422"/>
      <c r="Q497" s="422"/>
      <c r="R497" s="98"/>
      <c r="S497" s="98" t="str">
        <f>IFERROR(__xludf.DUMMYFUNCTION("""COMPUTED_VALUE"""),"-")</f>
        <v>-</v>
      </c>
      <c r="T497" s="98"/>
    </row>
    <row r="498">
      <c r="A498" s="422">
        <f>IFERROR(__xludf.DUMMYFUNCTION("""COMPUTED_VALUE"""),451.0)</f>
        <v>451</v>
      </c>
      <c r="B498" s="422"/>
      <c r="C498" s="422"/>
      <c r="D498" s="422"/>
      <c r="E498" s="422"/>
      <c r="F498" s="422"/>
      <c r="G498" s="422"/>
      <c r="H498" s="422"/>
      <c r="I498" s="422"/>
      <c r="J498" s="422"/>
      <c r="K498" s="422"/>
      <c r="L498" s="422"/>
      <c r="M498" s="422"/>
      <c r="N498" s="422"/>
      <c r="O498" s="422"/>
      <c r="P498" s="422"/>
      <c r="Q498" s="422"/>
      <c r="R498" s="98"/>
      <c r="S498" s="98" t="str">
        <f>IFERROR(__xludf.DUMMYFUNCTION("""COMPUTED_VALUE"""),"-")</f>
        <v>-</v>
      </c>
      <c r="T498" s="98"/>
    </row>
    <row r="499">
      <c r="A499" s="422">
        <f>IFERROR(__xludf.DUMMYFUNCTION("""COMPUTED_VALUE"""),451.0)</f>
        <v>451</v>
      </c>
      <c r="B499" s="422"/>
      <c r="C499" s="422"/>
      <c r="D499" s="422"/>
      <c r="E499" s="422"/>
      <c r="F499" s="422"/>
      <c r="G499" s="422"/>
      <c r="H499" s="422"/>
      <c r="I499" s="422"/>
      <c r="J499" s="422"/>
      <c r="K499" s="422"/>
      <c r="L499" s="422"/>
      <c r="M499" s="422"/>
      <c r="N499" s="422"/>
      <c r="O499" s="422"/>
      <c r="P499" s="422"/>
      <c r="Q499" s="422"/>
      <c r="R499" s="98"/>
      <c r="S499" s="98" t="str">
        <f>IFERROR(__xludf.DUMMYFUNCTION("""COMPUTED_VALUE"""),"-")</f>
        <v>-</v>
      </c>
      <c r="T499" s="98"/>
    </row>
    <row r="500">
      <c r="A500" s="422">
        <f>IFERROR(__xludf.DUMMYFUNCTION("""COMPUTED_VALUE"""),451.0)</f>
        <v>451</v>
      </c>
      <c r="B500" s="422"/>
      <c r="C500" s="422"/>
      <c r="D500" s="422"/>
      <c r="E500" s="422"/>
      <c r="F500" s="422"/>
      <c r="G500" s="422"/>
      <c r="H500" s="422"/>
      <c r="I500" s="422"/>
      <c r="J500" s="422"/>
      <c r="K500" s="422"/>
      <c r="L500" s="422"/>
      <c r="M500" s="422"/>
      <c r="N500" s="422"/>
      <c r="O500" s="422"/>
      <c r="P500" s="422"/>
      <c r="Q500" s="422"/>
      <c r="R500" s="98"/>
      <c r="S500" s="98" t="str">
        <f>IFERROR(__xludf.DUMMYFUNCTION("""COMPUTED_VALUE"""),"-")</f>
        <v>-</v>
      </c>
      <c r="T500" s="98"/>
    </row>
    <row r="501">
      <c r="A501" s="422">
        <f>IFERROR(__xludf.DUMMYFUNCTION("""COMPUTED_VALUE"""),451.0)</f>
        <v>451</v>
      </c>
      <c r="B501" s="422"/>
      <c r="C501" s="422"/>
      <c r="D501" s="422"/>
      <c r="E501" s="422"/>
      <c r="F501" s="422"/>
      <c r="G501" s="422"/>
      <c r="H501" s="422"/>
      <c r="I501" s="422"/>
      <c r="J501" s="422"/>
      <c r="K501" s="422"/>
      <c r="L501" s="422"/>
      <c r="M501" s="422"/>
      <c r="N501" s="422"/>
      <c r="O501" s="422"/>
      <c r="P501" s="422"/>
      <c r="Q501" s="422"/>
      <c r="R501" s="98"/>
      <c r="S501" s="98" t="str">
        <f>IFERROR(__xludf.DUMMYFUNCTION("""COMPUTED_VALUE"""),"-")</f>
        <v>-</v>
      </c>
      <c r="T501" s="98"/>
    </row>
    <row r="502">
      <c r="A502" s="422">
        <f>IFERROR(__xludf.DUMMYFUNCTION("""COMPUTED_VALUE"""),451.0)</f>
        <v>451</v>
      </c>
      <c r="B502" s="422"/>
      <c r="C502" s="422"/>
      <c r="D502" s="422"/>
      <c r="E502" s="422"/>
      <c r="F502" s="422"/>
      <c r="G502" s="422"/>
      <c r="H502" s="422"/>
      <c r="I502" s="422"/>
      <c r="J502" s="422"/>
      <c r="K502" s="422"/>
      <c r="L502" s="422"/>
      <c r="M502" s="422"/>
      <c r="N502" s="422"/>
      <c r="O502" s="422"/>
      <c r="P502" s="422"/>
      <c r="Q502" s="422"/>
      <c r="R502" s="98"/>
      <c r="S502" s="98" t="str">
        <f>IFERROR(__xludf.DUMMYFUNCTION("""COMPUTED_VALUE"""),"-")</f>
        <v>-</v>
      </c>
      <c r="T502" s="98"/>
    </row>
    <row r="503">
      <c r="A503" s="422">
        <f>IFERROR(__xludf.DUMMYFUNCTION("""COMPUTED_VALUE"""),451.0)</f>
        <v>451</v>
      </c>
      <c r="B503" s="422"/>
      <c r="C503" s="422"/>
      <c r="D503" s="422"/>
      <c r="E503" s="422"/>
      <c r="F503" s="422"/>
      <c r="G503" s="422"/>
      <c r="H503" s="422"/>
      <c r="I503" s="422"/>
      <c r="J503" s="422"/>
      <c r="K503" s="422"/>
      <c r="L503" s="422"/>
      <c r="M503" s="422"/>
      <c r="N503" s="422"/>
      <c r="O503" s="422"/>
      <c r="P503" s="422"/>
      <c r="Q503" s="422"/>
      <c r="R503" s="98"/>
      <c r="S503" s="98" t="str">
        <f>IFERROR(__xludf.DUMMYFUNCTION("""COMPUTED_VALUE"""),"-")</f>
        <v>-</v>
      </c>
      <c r="T503" s="98"/>
    </row>
    <row r="504">
      <c r="A504" s="422">
        <f>IFERROR(__xludf.DUMMYFUNCTION("""COMPUTED_VALUE"""),451.0)</f>
        <v>451</v>
      </c>
      <c r="B504" s="422"/>
      <c r="C504" s="422"/>
      <c r="D504" s="422"/>
      <c r="E504" s="422"/>
      <c r="F504" s="422"/>
      <c r="G504" s="422"/>
      <c r="H504" s="422"/>
      <c r="I504" s="422"/>
      <c r="J504" s="422"/>
      <c r="K504" s="422"/>
      <c r="L504" s="422"/>
      <c r="M504" s="422"/>
      <c r="N504" s="422"/>
      <c r="O504" s="422"/>
      <c r="P504" s="422"/>
      <c r="Q504" s="422"/>
      <c r="R504" s="98"/>
      <c r="S504" s="98" t="str">
        <f>IFERROR(__xludf.DUMMYFUNCTION("""COMPUTED_VALUE"""),"-")</f>
        <v>-</v>
      </c>
      <c r="T504" s="98"/>
    </row>
    <row r="505">
      <c r="A505" s="422">
        <f>IFERROR(__xludf.DUMMYFUNCTION("""COMPUTED_VALUE"""),451.0)</f>
        <v>451</v>
      </c>
      <c r="B505" s="422"/>
      <c r="C505" s="422"/>
      <c r="D505" s="422"/>
      <c r="E505" s="422"/>
      <c r="F505" s="422"/>
      <c r="G505" s="422"/>
      <c r="H505" s="422"/>
      <c r="I505" s="422"/>
      <c r="J505" s="422"/>
      <c r="K505" s="422"/>
      <c r="L505" s="422"/>
      <c r="M505" s="422"/>
      <c r="N505" s="422"/>
      <c r="O505" s="422"/>
      <c r="P505" s="422"/>
      <c r="Q505" s="422"/>
      <c r="R505" s="98"/>
      <c r="S505" s="98" t="str">
        <f>IFERROR(__xludf.DUMMYFUNCTION("""COMPUTED_VALUE"""),"-")</f>
        <v>-</v>
      </c>
      <c r="T505" s="98"/>
    </row>
    <row r="506">
      <c r="A506" s="422">
        <f>IFERROR(__xludf.DUMMYFUNCTION("""COMPUTED_VALUE"""),451.0)</f>
        <v>451</v>
      </c>
      <c r="B506" s="422"/>
      <c r="C506" s="422"/>
      <c r="D506" s="422"/>
      <c r="E506" s="422"/>
      <c r="F506" s="422"/>
      <c r="G506" s="422"/>
      <c r="H506" s="422"/>
      <c r="I506" s="422"/>
      <c r="J506" s="422"/>
      <c r="K506" s="422"/>
      <c r="L506" s="422"/>
      <c r="M506" s="422"/>
      <c r="N506" s="422"/>
      <c r="O506" s="422"/>
      <c r="P506" s="422"/>
      <c r="Q506" s="422"/>
      <c r="R506" s="98"/>
      <c r="S506" s="98" t="str">
        <f>IFERROR(__xludf.DUMMYFUNCTION("""COMPUTED_VALUE"""),"-")</f>
        <v>-</v>
      </c>
      <c r="T506" s="98"/>
    </row>
    <row r="507">
      <c r="A507" s="422">
        <f>IFERROR(__xludf.DUMMYFUNCTION("""COMPUTED_VALUE"""),451.0)</f>
        <v>451</v>
      </c>
      <c r="B507" s="422"/>
      <c r="C507" s="422"/>
      <c r="D507" s="422"/>
      <c r="E507" s="422"/>
      <c r="F507" s="422"/>
      <c r="G507" s="422"/>
      <c r="H507" s="422"/>
      <c r="I507" s="422"/>
      <c r="J507" s="422"/>
      <c r="K507" s="422"/>
      <c r="L507" s="422"/>
      <c r="M507" s="422"/>
      <c r="N507" s="422"/>
      <c r="O507" s="422"/>
      <c r="P507" s="422"/>
      <c r="Q507" s="422"/>
      <c r="R507" s="98"/>
      <c r="S507" s="98" t="str">
        <f>IFERROR(__xludf.DUMMYFUNCTION("""COMPUTED_VALUE"""),"-")</f>
        <v>-</v>
      </c>
      <c r="T507" s="98"/>
    </row>
    <row r="508">
      <c r="A508" s="422">
        <f>IFERROR(__xludf.DUMMYFUNCTION("""COMPUTED_VALUE"""),451.0)</f>
        <v>451</v>
      </c>
      <c r="B508" s="422"/>
      <c r="C508" s="422"/>
      <c r="D508" s="422"/>
      <c r="E508" s="422"/>
      <c r="F508" s="422"/>
      <c r="G508" s="422"/>
      <c r="H508" s="422"/>
      <c r="I508" s="422"/>
      <c r="J508" s="422"/>
      <c r="K508" s="422"/>
      <c r="L508" s="422"/>
      <c r="M508" s="422"/>
      <c r="N508" s="422"/>
      <c r="O508" s="422"/>
      <c r="P508" s="422"/>
      <c r="Q508" s="422"/>
      <c r="R508" s="98"/>
      <c r="S508" s="98" t="str">
        <f>IFERROR(__xludf.DUMMYFUNCTION("""COMPUTED_VALUE"""),"-")</f>
        <v>-</v>
      </c>
      <c r="T508" s="98"/>
    </row>
    <row r="509">
      <c r="A509" s="422">
        <f>IFERROR(__xludf.DUMMYFUNCTION("""COMPUTED_VALUE"""),451.0)</f>
        <v>451</v>
      </c>
      <c r="B509" s="422"/>
      <c r="C509" s="422"/>
      <c r="D509" s="422"/>
      <c r="E509" s="422"/>
      <c r="F509" s="422"/>
      <c r="G509" s="422"/>
      <c r="H509" s="422"/>
      <c r="I509" s="422"/>
      <c r="J509" s="422"/>
      <c r="K509" s="422"/>
      <c r="L509" s="422"/>
      <c r="M509" s="422"/>
      <c r="N509" s="422"/>
      <c r="O509" s="422"/>
      <c r="P509" s="422"/>
      <c r="Q509" s="422"/>
      <c r="R509" s="98"/>
      <c r="S509" s="98" t="str">
        <f>IFERROR(__xludf.DUMMYFUNCTION("""COMPUTED_VALUE"""),"-")</f>
        <v>-</v>
      </c>
      <c r="T509" s="98"/>
    </row>
    <row r="510">
      <c r="A510" s="422">
        <f>IFERROR(__xludf.DUMMYFUNCTION("""COMPUTED_VALUE"""),451.0)</f>
        <v>451</v>
      </c>
      <c r="B510" s="422"/>
      <c r="C510" s="422"/>
      <c r="D510" s="422"/>
      <c r="E510" s="422"/>
      <c r="F510" s="422"/>
      <c r="G510" s="422"/>
      <c r="H510" s="422"/>
      <c r="I510" s="422"/>
      <c r="J510" s="422"/>
      <c r="K510" s="422"/>
      <c r="L510" s="422"/>
      <c r="M510" s="422"/>
      <c r="N510" s="422"/>
      <c r="O510" s="422"/>
      <c r="P510" s="422"/>
      <c r="Q510" s="422"/>
      <c r="R510" s="98"/>
      <c r="S510" s="98" t="str">
        <f>IFERROR(__xludf.DUMMYFUNCTION("""COMPUTED_VALUE"""),"-")</f>
        <v>-</v>
      </c>
      <c r="T510" s="98"/>
    </row>
    <row r="511">
      <c r="A511" s="422">
        <f>IFERROR(__xludf.DUMMYFUNCTION("""COMPUTED_VALUE"""),451.0)</f>
        <v>451</v>
      </c>
      <c r="B511" s="422"/>
      <c r="C511" s="422"/>
      <c r="D511" s="422"/>
      <c r="E511" s="422"/>
      <c r="F511" s="422"/>
      <c r="G511" s="422"/>
      <c r="H511" s="422"/>
      <c r="I511" s="422"/>
      <c r="J511" s="422"/>
      <c r="K511" s="422"/>
      <c r="L511" s="422"/>
      <c r="M511" s="422"/>
      <c r="N511" s="422"/>
      <c r="O511" s="422"/>
      <c r="P511" s="422"/>
      <c r="Q511" s="422"/>
      <c r="R511" s="98"/>
      <c r="S511" s="98" t="str">
        <f>IFERROR(__xludf.DUMMYFUNCTION("""COMPUTED_VALUE"""),"-")</f>
        <v>-</v>
      </c>
      <c r="T511" s="98"/>
    </row>
    <row r="512">
      <c r="A512" s="422">
        <f>IFERROR(__xludf.DUMMYFUNCTION("""COMPUTED_VALUE"""),451.0)</f>
        <v>451</v>
      </c>
      <c r="B512" s="422"/>
      <c r="C512" s="422"/>
      <c r="D512" s="422"/>
      <c r="E512" s="422"/>
      <c r="F512" s="422"/>
      <c r="G512" s="422"/>
      <c r="H512" s="422"/>
      <c r="I512" s="422"/>
      <c r="J512" s="422"/>
      <c r="K512" s="422"/>
      <c r="L512" s="422"/>
      <c r="M512" s="422"/>
      <c r="N512" s="422"/>
      <c r="O512" s="422"/>
      <c r="P512" s="422"/>
      <c r="Q512" s="422"/>
      <c r="R512" s="98"/>
      <c r="S512" s="98" t="str">
        <f>IFERROR(__xludf.DUMMYFUNCTION("""COMPUTED_VALUE"""),"-")</f>
        <v>-</v>
      </c>
      <c r="T512" s="98"/>
    </row>
    <row r="513">
      <c r="A513" s="422">
        <f>IFERROR(__xludf.DUMMYFUNCTION("""COMPUTED_VALUE"""),451.0)</f>
        <v>451</v>
      </c>
      <c r="B513" s="422"/>
      <c r="C513" s="422"/>
      <c r="D513" s="422"/>
      <c r="E513" s="422"/>
      <c r="F513" s="422"/>
      <c r="G513" s="422"/>
      <c r="H513" s="422"/>
      <c r="I513" s="422"/>
      <c r="J513" s="422"/>
      <c r="K513" s="422"/>
      <c r="L513" s="422"/>
      <c r="M513" s="422"/>
      <c r="N513" s="422"/>
      <c r="O513" s="422"/>
      <c r="P513" s="422"/>
      <c r="Q513" s="422"/>
      <c r="R513" s="98"/>
      <c r="S513" s="98" t="str">
        <f>IFERROR(__xludf.DUMMYFUNCTION("""COMPUTED_VALUE"""),"-")</f>
        <v>-</v>
      </c>
      <c r="T513" s="98"/>
    </row>
    <row r="514">
      <c r="A514" s="422">
        <f>IFERROR(__xludf.DUMMYFUNCTION("""COMPUTED_VALUE"""),451.0)</f>
        <v>451</v>
      </c>
      <c r="B514" s="422"/>
      <c r="C514" s="422"/>
      <c r="D514" s="422"/>
      <c r="E514" s="422"/>
      <c r="F514" s="422"/>
      <c r="G514" s="422"/>
      <c r="H514" s="422"/>
      <c r="I514" s="422"/>
      <c r="J514" s="422"/>
      <c r="K514" s="422"/>
      <c r="L514" s="422"/>
      <c r="M514" s="422"/>
      <c r="N514" s="422"/>
      <c r="O514" s="422"/>
      <c r="P514" s="422"/>
      <c r="Q514" s="422"/>
      <c r="R514" s="98"/>
      <c r="S514" s="98" t="str">
        <f>IFERROR(__xludf.DUMMYFUNCTION("""COMPUTED_VALUE"""),"-")</f>
        <v>-</v>
      </c>
      <c r="T514" s="98"/>
    </row>
    <row r="515">
      <c r="A515" s="422">
        <f>IFERROR(__xludf.DUMMYFUNCTION("""COMPUTED_VALUE"""),451.0)</f>
        <v>451</v>
      </c>
      <c r="B515" s="422"/>
      <c r="C515" s="422"/>
      <c r="D515" s="422"/>
      <c r="E515" s="422"/>
      <c r="F515" s="422"/>
      <c r="G515" s="422"/>
      <c r="H515" s="422"/>
      <c r="I515" s="422"/>
      <c r="J515" s="422"/>
      <c r="K515" s="422"/>
      <c r="L515" s="422"/>
      <c r="M515" s="422"/>
      <c r="N515" s="422"/>
      <c r="O515" s="422"/>
      <c r="P515" s="422"/>
      <c r="Q515" s="422"/>
      <c r="R515" s="98"/>
      <c r="S515" s="98" t="str">
        <f>IFERROR(__xludf.DUMMYFUNCTION("""COMPUTED_VALUE"""),"-")</f>
        <v>-</v>
      </c>
      <c r="T515" s="98"/>
    </row>
    <row r="516">
      <c r="A516" s="422">
        <f>IFERROR(__xludf.DUMMYFUNCTION("""COMPUTED_VALUE"""),451.0)</f>
        <v>451</v>
      </c>
      <c r="B516" s="422"/>
      <c r="C516" s="422"/>
      <c r="D516" s="422"/>
      <c r="E516" s="422"/>
      <c r="F516" s="422"/>
      <c r="G516" s="422"/>
      <c r="H516" s="422"/>
      <c r="I516" s="422"/>
      <c r="J516" s="422"/>
      <c r="K516" s="422"/>
      <c r="L516" s="422"/>
      <c r="M516" s="422"/>
      <c r="N516" s="422"/>
      <c r="O516" s="422"/>
      <c r="P516" s="422"/>
      <c r="Q516" s="422"/>
      <c r="R516" s="98"/>
      <c r="S516" s="98" t="str">
        <f>IFERROR(__xludf.DUMMYFUNCTION("""COMPUTED_VALUE"""),"-")</f>
        <v>-</v>
      </c>
      <c r="T516" s="98"/>
    </row>
    <row r="517">
      <c r="A517" s="422">
        <f>IFERROR(__xludf.DUMMYFUNCTION("""COMPUTED_VALUE"""),451.0)</f>
        <v>451</v>
      </c>
      <c r="B517" s="422"/>
      <c r="C517" s="422"/>
      <c r="D517" s="422"/>
      <c r="E517" s="422"/>
      <c r="F517" s="422"/>
      <c r="G517" s="422"/>
      <c r="H517" s="422"/>
      <c r="I517" s="422"/>
      <c r="J517" s="422"/>
      <c r="K517" s="422"/>
      <c r="L517" s="422"/>
      <c r="M517" s="422"/>
      <c r="N517" s="422"/>
      <c r="O517" s="422"/>
      <c r="P517" s="422"/>
      <c r="Q517" s="422"/>
      <c r="R517" s="98"/>
      <c r="S517" s="98" t="str">
        <f>IFERROR(__xludf.DUMMYFUNCTION("""COMPUTED_VALUE"""),"-")</f>
        <v>-</v>
      </c>
      <c r="T517" s="98"/>
    </row>
    <row r="518">
      <c r="A518" s="422"/>
      <c r="B518" s="422"/>
      <c r="C518" s="422"/>
      <c r="D518" s="422"/>
      <c r="E518" s="422"/>
      <c r="F518" s="422"/>
      <c r="G518" s="422"/>
      <c r="H518" s="422"/>
      <c r="I518" s="422"/>
      <c r="J518" s="422"/>
      <c r="K518" s="422"/>
      <c r="L518" s="422"/>
      <c r="M518" s="422"/>
      <c r="N518" s="422"/>
      <c r="O518" s="422"/>
      <c r="P518" s="422"/>
      <c r="Q518" s="422"/>
      <c r="R518" s="98"/>
      <c r="S518" s="98" t="str">
        <f>IFERROR(__xludf.DUMMYFUNCTION("""COMPUTED_VALUE"""),"-")</f>
        <v>-</v>
      </c>
      <c r="T518" s="98"/>
    </row>
    <row r="519">
      <c r="A519" s="422"/>
      <c r="B519" s="422"/>
      <c r="C519" s="422"/>
      <c r="D519" s="422"/>
      <c r="E519" s="422"/>
      <c r="F519" s="422"/>
      <c r="G519" s="422"/>
      <c r="H519" s="422"/>
      <c r="I519" s="422"/>
      <c r="J519" s="422"/>
      <c r="K519" s="422"/>
      <c r="L519" s="422"/>
      <c r="M519" s="422"/>
      <c r="N519" s="422"/>
      <c r="O519" s="422"/>
      <c r="P519" s="422"/>
      <c r="Q519" s="422"/>
      <c r="R519" s="98"/>
      <c r="S519" s="98" t="str">
        <f>IFERROR(__xludf.DUMMYFUNCTION("""COMPUTED_VALUE"""),"-")</f>
        <v>-</v>
      </c>
      <c r="T519" s="98"/>
    </row>
    <row r="520">
      <c r="A520" s="422"/>
      <c r="B520" s="422"/>
      <c r="C520" s="422"/>
      <c r="D520" s="422"/>
      <c r="E520" s="422"/>
      <c r="F520" s="422"/>
      <c r="G520" s="422"/>
      <c r="H520" s="422"/>
      <c r="I520" s="422"/>
      <c r="J520" s="422"/>
      <c r="K520" s="422"/>
      <c r="L520" s="422"/>
      <c r="M520" s="422"/>
      <c r="N520" s="422"/>
      <c r="O520" s="422"/>
      <c r="P520" s="422"/>
      <c r="Q520" s="422"/>
      <c r="R520" s="98"/>
      <c r="S520" s="98" t="str">
        <f>IFERROR(__xludf.DUMMYFUNCTION("""COMPUTED_VALUE"""),"-")</f>
        <v>-</v>
      </c>
      <c r="T520" s="98"/>
    </row>
    <row r="521">
      <c r="A521" s="422"/>
      <c r="B521" s="422"/>
      <c r="C521" s="422"/>
      <c r="D521" s="422"/>
      <c r="E521" s="422"/>
      <c r="F521" s="422"/>
      <c r="G521" s="422"/>
      <c r="H521" s="422"/>
      <c r="I521" s="422"/>
      <c r="J521" s="422"/>
      <c r="K521" s="422"/>
      <c r="L521" s="422"/>
      <c r="M521" s="422"/>
      <c r="N521" s="422"/>
      <c r="O521" s="422"/>
      <c r="P521" s="422"/>
      <c r="Q521" s="422"/>
      <c r="R521" s="98"/>
      <c r="S521" s="98" t="str">
        <f>IFERROR(__xludf.DUMMYFUNCTION("""COMPUTED_VALUE"""),"-")</f>
        <v>-</v>
      </c>
      <c r="T521" s="98"/>
    </row>
    <row r="522">
      <c r="A522" s="422"/>
      <c r="B522" s="422"/>
      <c r="C522" s="422"/>
      <c r="D522" s="422"/>
      <c r="E522" s="422"/>
      <c r="F522" s="422"/>
      <c r="G522" s="422"/>
      <c r="H522" s="422"/>
      <c r="I522" s="422"/>
      <c r="J522" s="422"/>
      <c r="K522" s="422"/>
      <c r="L522" s="422"/>
      <c r="M522" s="422"/>
      <c r="N522" s="422"/>
      <c r="O522" s="422"/>
      <c r="P522" s="422"/>
      <c r="Q522" s="422"/>
      <c r="R522" s="98"/>
      <c r="S522" s="98" t="str">
        <f>IFERROR(__xludf.DUMMYFUNCTION("""COMPUTED_VALUE"""),"-")</f>
        <v>-</v>
      </c>
      <c r="T522" s="98"/>
    </row>
    <row r="523">
      <c r="A523" s="422"/>
      <c r="B523" s="422"/>
      <c r="C523" s="422"/>
      <c r="D523" s="422"/>
      <c r="E523" s="422"/>
      <c r="F523" s="422"/>
      <c r="G523" s="422"/>
      <c r="H523" s="422"/>
      <c r="I523" s="422"/>
      <c r="J523" s="422"/>
      <c r="K523" s="422"/>
      <c r="L523" s="422"/>
      <c r="M523" s="422"/>
      <c r="N523" s="422"/>
      <c r="O523" s="422"/>
      <c r="P523" s="422"/>
      <c r="Q523" s="422"/>
      <c r="R523" s="98"/>
      <c r="S523" s="98" t="str">
        <f>IFERROR(__xludf.DUMMYFUNCTION("""COMPUTED_VALUE"""),"-")</f>
        <v>-</v>
      </c>
      <c r="T523" s="98"/>
    </row>
    <row r="524">
      <c r="A524" s="422"/>
      <c r="B524" s="422"/>
      <c r="C524" s="422"/>
      <c r="D524" s="422"/>
      <c r="E524" s="422"/>
      <c r="F524" s="422"/>
      <c r="G524" s="422"/>
      <c r="H524" s="422"/>
      <c r="I524" s="422"/>
      <c r="J524" s="422"/>
      <c r="K524" s="422"/>
      <c r="L524" s="422"/>
      <c r="M524" s="422"/>
      <c r="N524" s="422"/>
      <c r="O524" s="422"/>
      <c r="P524" s="422"/>
      <c r="Q524" s="422"/>
      <c r="R524" s="98"/>
      <c r="S524" s="98" t="str">
        <f>IFERROR(__xludf.DUMMYFUNCTION("""COMPUTED_VALUE"""),"-")</f>
        <v>-</v>
      </c>
      <c r="T524" s="98"/>
    </row>
    <row r="525">
      <c r="A525" s="422"/>
      <c r="B525" s="422"/>
      <c r="C525" s="422"/>
      <c r="D525" s="422"/>
      <c r="E525" s="422"/>
      <c r="F525" s="422"/>
      <c r="G525" s="422"/>
      <c r="H525" s="422"/>
      <c r="I525" s="422"/>
      <c r="J525" s="422"/>
      <c r="K525" s="422"/>
      <c r="L525" s="422"/>
      <c r="M525" s="422"/>
      <c r="N525" s="422"/>
      <c r="O525" s="422"/>
      <c r="P525" s="422"/>
      <c r="Q525" s="422"/>
      <c r="R525" s="98"/>
      <c r="S525" s="98" t="str">
        <f>IFERROR(__xludf.DUMMYFUNCTION("""COMPUTED_VALUE"""),"-")</f>
        <v>-</v>
      </c>
      <c r="T525" s="98"/>
    </row>
    <row r="526">
      <c r="A526" s="422"/>
      <c r="B526" s="422"/>
      <c r="C526" s="422"/>
      <c r="D526" s="422"/>
      <c r="E526" s="422"/>
      <c r="F526" s="422"/>
      <c r="G526" s="422"/>
      <c r="H526" s="422"/>
      <c r="I526" s="422"/>
      <c r="J526" s="422"/>
      <c r="K526" s="422"/>
      <c r="L526" s="422"/>
      <c r="M526" s="422"/>
      <c r="N526" s="422"/>
      <c r="O526" s="422"/>
      <c r="P526" s="422"/>
      <c r="Q526" s="422"/>
      <c r="R526" s="98"/>
      <c r="S526" s="98" t="str">
        <f>IFERROR(__xludf.DUMMYFUNCTION("""COMPUTED_VALUE"""),"-")</f>
        <v>-</v>
      </c>
      <c r="T526" s="98"/>
    </row>
    <row r="527">
      <c r="A527" s="422"/>
      <c r="B527" s="422"/>
      <c r="C527" s="422"/>
      <c r="D527" s="422"/>
      <c r="E527" s="422"/>
      <c r="F527" s="422"/>
      <c r="G527" s="422"/>
      <c r="H527" s="422"/>
      <c r="I527" s="422"/>
      <c r="J527" s="422"/>
      <c r="K527" s="422"/>
      <c r="L527" s="422"/>
      <c r="M527" s="422"/>
      <c r="N527" s="422"/>
      <c r="O527" s="422"/>
      <c r="P527" s="422"/>
      <c r="Q527" s="422"/>
      <c r="R527" s="98"/>
      <c r="S527" s="98" t="str">
        <f>IFERROR(__xludf.DUMMYFUNCTION("""COMPUTED_VALUE"""),"-")</f>
        <v>-</v>
      </c>
      <c r="T527" s="98"/>
    </row>
    <row r="528">
      <c r="A528" s="422"/>
      <c r="B528" s="422"/>
      <c r="C528" s="422"/>
      <c r="D528" s="422"/>
      <c r="E528" s="422"/>
      <c r="F528" s="422"/>
      <c r="G528" s="422"/>
      <c r="H528" s="422"/>
      <c r="I528" s="422"/>
      <c r="J528" s="422"/>
      <c r="K528" s="422"/>
      <c r="L528" s="422"/>
      <c r="M528" s="422"/>
      <c r="N528" s="422"/>
      <c r="O528" s="422"/>
      <c r="P528" s="422"/>
      <c r="Q528" s="422"/>
      <c r="R528" s="98"/>
      <c r="S528" s="98" t="str">
        <f>IFERROR(__xludf.DUMMYFUNCTION("""COMPUTED_VALUE"""),"-")</f>
        <v>-</v>
      </c>
      <c r="T528" s="98"/>
    </row>
    <row r="529">
      <c r="A529" s="422"/>
      <c r="B529" s="422"/>
      <c r="C529" s="422"/>
      <c r="D529" s="422"/>
      <c r="E529" s="422"/>
      <c r="F529" s="422"/>
      <c r="G529" s="422"/>
      <c r="H529" s="422"/>
      <c r="I529" s="422"/>
      <c r="J529" s="422"/>
      <c r="K529" s="422"/>
      <c r="L529" s="422"/>
      <c r="M529" s="422"/>
      <c r="N529" s="422"/>
      <c r="O529" s="422"/>
      <c r="P529" s="422"/>
      <c r="Q529" s="422"/>
      <c r="R529" s="98"/>
      <c r="S529" s="98" t="str">
        <f>IFERROR(__xludf.DUMMYFUNCTION("""COMPUTED_VALUE"""),"-")</f>
        <v>-</v>
      </c>
      <c r="T529" s="98"/>
    </row>
    <row r="530">
      <c r="A530" s="422"/>
      <c r="B530" s="422"/>
      <c r="C530" s="422"/>
      <c r="D530" s="422"/>
      <c r="E530" s="422"/>
      <c r="F530" s="422"/>
      <c r="G530" s="422"/>
      <c r="H530" s="422"/>
      <c r="I530" s="422"/>
      <c r="J530" s="422"/>
      <c r="K530" s="422"/>
      <c r="L530" s="422"/>
      <c r="M530" s="422"/>
      <c r="N530" s="422"/>
      <c r="O530" s="422"/>
      <c r="P530" s="422"/>
      <c r="Q530" s="422"/>
      <c r="R530" s="98"/>
      <c r="S530" s="98" t="str">
        <f>IFERROR(__xludf.DUMMYFUNCTION("""COMPUTED_VALUE"""),"-")</f>
        <v>-</v>
      </c>
      <c r="T530" s="98"/>
    </row>
    <row r="531">
      <c r="A531" s="422"/>
      <c r="B531" s="422"/>
      <c r="C531" s="422"/>
      <c r="D531" s="422"/>
      <c r="E531" s="422"/>
      <c r="F531" s="422"/>
      <c r="G531" s="422"/>
      <c r="H531" s="422"/>
      <c r="I531" s="422"/>
      <c r="J531" s="422"/>
      <c r="K531" s="422"/>
      <c r="L531" s="422"/>
      <c r="M531" s="422"/>
      <c r="N531" s="422"/>
      <c r="O531" s="422"/>
      <c r="P531" s="422"/>
      <c r="Q531" s="422"/>
      <c r="R531" s="98"/>
      <c r="S531" s="98" t="str">
        <f>IFERROR(__xludf.DUMMYFUNCTION("""COMPUTED_VALUE"""),"-")</f>
        <v>-</v>
      </c>
      <c r="T531" s="98"/>
    </row>
    <row r="532">
      <c r="A532" s="422"/>
      <c r="B532" s="422"/>
      <c r="C532" s="422"/>
      <c r="D532" s="422"/>
      <c r="E532" s="422"/>
      <c r="F532" s="422"/>
      <c r="G532" s="422"/>
      <c r="H532" s="422"/>
      <c r="I532" s="422"/>
      <c r="J532" s="422"/>
      <c r="K532" s="422"/>
      <c r="L532" s="422"/>
      <c r="M532" s="422"/>
      <c r="N532" s="422"/>
      <c r="O532" s="422"/>
      <c r="P532" s="422"/>
      <c r="Q532" s="422"/>
      <c r="R532" s="98"/>
      <c r="S532" s="98" t="str">
        <f>IFERROR(__xludf.DUMMYFUNCTION("""COMPUTED_VALUE"""),"-")</f>
        <v>-</v>
      </c>
      <c r="T532" s="98"/>
    </row>
    <row r="533">
      <c r="A533" s="422"/>
      <c r="B533" s="422"/>
      <c r="C533" s="422"/>
      <c r="D533" s="422"/>
      <c r="E533" s="422"/>
      <c r="F533" s="422"/>
      <c r="G533" s="422"/>
      <c r="H533" s="422"/>
      <c r="I533" s="422"/>
      <c r="J533" s="422"/>
      <c r="K533" s="422"/>
      <c r="L533" s="422"/>
      <c r="M533" s="422"/>
      <c r="N533" s="422"/>
      <c r="O533" s="422"/>
      <c r="P533" s="422"/>
      <c r="Q533" s="422"/>
      <c r="R533" s="98"/>
      <c r="S533" s="98" t="str">
        <f>IFERROR(__xludf.DUMMYFUNCTION("""COMPUTED_VALUE"""),"-")</f>
        <v>-</v>
      </c>
      <c r="T533" s="98"/>
    </row>
    <row r="534">
      <c r="A534" s="422"/>
      <c r="B534" s="422"/>
      <c r="C534" s="422"/>
      <c r="D534" s="422"/>
      <c r="E534" s="422"/>
      <c r="F534" s="422"/>
      <c r="G534" s="422"/>
      <c r="H534" s="422"/>
      <c r="I534" s="422"/>
      <c r="J534" s="422"/>
      <c r="K534" s="422"/>
      <c r="L534" s="422"/>
      <c r="M534" s="422"/>
      <c r="N534" s="422"/>
      <c r="O534" s="422"/>
      <c r="P534" s="422"/>
      <c r="Q534" s="422"/>
      <c r="R534" s="98"/>
      <c r="S534" s="98" t="str">
        <f>IFERROR(__xludf.DUMMYFUNCTION("""COMPUTED_VALUE"""),"-")</f>
        <v>-</v>
      </c>
      <c r="T534" s="98"/>
    </row>
    <row r="535">
      <c r="A535" s="422"/>
      <c r="B535" s="422"/>
      <c r="C535" s="422"/>
      <c r="D535" s="422"/>
      <c r="E535" s="422"/>
      <c r="F535" s="422"/>
      <c r="G535" s="422"/>
      <c r="H535" s="422"/>
      <c r="I535" s="422"/>
      <c r="J535" s="422"/>
      <c r="K535" s="422"/>
      <c r="L535" s="422"/>
      <c r="M535" s="422"/>
      <c r="N535" s="422"/>
      <c r="O535" s="422"/>
      <c r="P535" s="422"/>
      <c r="Q535" s="422"/>
      <c r="R535" s="98"/>
      <c r="S535" s="98" t="str">
        <f>IFERROR(__xludf.DUMMYFUNCTION("""COMPUTED_VALUE"""),"-")</f>
        <v>-</v>
      </c>
      <c r="T535" s="98"/>
    </row>
    <row r="536">
      <c r="A536" s="422"/>
      <c r="B536" s="422"/>
      <c r="C536" s="422"/>
      <c r="D536" s="422"/>
      <c r="E536" s="422"/>
      <c r="F536" s="422"/>
      <c r="G536" s="422"/>
      <c r="H536" s="422"/>
      <c r="I536" s="422"/>
      <c r="J536" s="422"/>
      <c r="K536" s="422"/>
      <c r="L536" s="422"/>
      <c r="M536" s="422"/>
      <c r="N536" s="422"/>
      <c r="O536" s="422"/>
      <c r="P536" s="422"/>
      <c r="Q536" s="422"/>
      <c r="R536" s="98"/>
      <c r="S536" s="98" t="str">
        <f>IFERROR(__xludf.DUMMYFUNCTION("""COMPUTED_VALUE"""),"-")</f>
        <v>-</v>
      </c>
      <c r="T536" s="98"/>
    </row>
    <row r="537">
      <c r="A537" s="422"/>
      <c r="B537" s="422"/>
      <c r="C537" s="422"/>
      <c r="D537" s="422"/>
      <c r="E537" s="422"/>
      <c r="F537" s="422"/>
      <c r="G537" s="422"/>
      <c r="H537" s="422"/>
      <c r="I537" s="422"/>
      <c r="J537" s="422"/>
      <c r="K537" s="422"/>
      <c r="L537" s="422"/>
      <c r="M537" s="422"/>
      <c r="N537" s="422"/>
      <c r="O537" s="422"/>
      <c r="P537" s="422"/>
      <c r="Q537" s="422"/>
      <c r="R537" s="98"/>
      <c r="S537" s="98" t="str">
        <f>IFERROR(__xludf.DUMMYFUNCTION("""COMPUTED_VALUE"""),"-")</f>
        <v>-</v>
      </c>
      <c r="T537" s="98"/>
    </row>
    <row r="538">
      <c r="A538" s="422"/>
      <c r="B538" s="422"/>
      <c r="C538" s="422"/>
      <c r="D538" s="422"/>
      <c r="E538" s="422"/>
      <c r="F538" s="422"/>
      <c r="G538" s="422"/>
      <c r="H538" s="422"/>
      <c r="I538" s="422"/>
      <c r="J538" s="422"/>
      <c r="K538" s="422"/>
      <c r="L538" s="422"/>
      <c r="M538" s="422"/>
      <c r="N538" s="422"/>
      <c r="O538" s="422"/>
      <c r="P538" s="422"/>
      <c r="Q538" s="422"/>
      <c r="R538" s="98"/>
      <c r="S538" s="98" t="str">
        <f>IFERROR(__xludf.DUMMYFUNCTION("""COMPUTED_VALUE"""),"-")</f>
        <v>-</v>
      </c>
      <c r="T538" s="98"/>
    </row>
    <row r="539">
      <c r="A539" s="422"/>
      <c r="B539" s="422"/>
      <c r="C539" s="422"/>
      <c r="D539" s="422"/>
      <c r="E539" s="422"/>
      <c r="F539" s="422"/>
      <c r="G539" s="422"/>
      <c r="H539" s="422"/>
      <c r="I539" s="422"/>
      <c r="J539" s="422"/>
      <c r="K539" s="422"/>
      <c r="L539" s="422"/>
      <c r="M539" s="422"/>
      <c r="N539" s="422"/>
      <c r="O539" s="422"/>
      <c r="P539" s="422"/>
      <c r="Q539" s="422"/>
      <c r="R539" s="98"/>
      <c r="S539" s="98" t="str">
        <f>IFERROR(__xludf.DUMMYFUNCTION("""COMPUTED_VALUE"""),"-")</f>
        <v>-</v>
      </c>
      <c r="T539" s="98"/>
    </row>
    <row r="540">
      <c r="A540" s="422"/>
      <c r="B540" s="422"/>
      <c r="C540" s="422"/>
      <c r="D540" s="422"/>
      <c r="E540" s="422"/>
      <c r="F540" s="422"/>
      <c r="G540" s="422"/>
      <c r="H540" s="422"/>
      <c r="I540" s="422"/>
      <c r="J540" s="422"/>
      <c r="K540" s="422"/>
      <c r="L540" s="422"/>
      <c r="M540" s="422"/>
      <c r="N540" s="422"/>
      <c r="O540" s="422"/>
      <c r="P540" s="422"/>
      <c r="Q540" s="422"/>
      <c r="R540" s="98"/>
      <c r="S540" s="98" t="str">
        <f>IFERROR(__xludf.DUMMYFUNCTION("""COMPUTED_VALUE"""),"-")</f>
        <v>-</v>
      </c>
      <c r="T540" s="98"/>
    </row>
    <row r="541">
      <c r="A541" s="422"/>
      <c r="B541" s="422"/>
      <c r="C541" s="422"/>
      <c r="D541" s="422"/>
      <c r="E541" s="422"/>
      <c r="F541" s="422"/>
      <c r="G541" s="422"/>
      <c r="H541" s="422"/>
      <c r="I541" s="422"/>
      <c r="J541" s="422"/>
      <c r="K541" s="422"/>
      <c r="L541" s="422"/>
      <c r="M541" s="422"/>
      <c r="N541" s="422"/>
      <c r="O541" s="422"/>
      <c r="P541" s="422"/>
      <c r="Q541" s="422"/>
      <c r="R541" s="98"/>
      <c r="S541" s="98" t="str">
        <f>IFERROR(__xludf.DUMMYFUNCTION("""COMPUTED_VALUE"""),"-")</f>
        <v>-</v>
      </c>
      <c r="T541" s="98"/>
    </row>
    <row r="542">
      <c r="A542" s="422"/>
      <c r="B542" s="422"/>
      <c r="C542" s="422"/>
      <c r="D542" s="422"/>
      <c r="E542" s="422"/>
      <c r="F542" s="422"/>
      <c r="G542" s="422"/>
      <c r="H542" s="422"/>
      <c r="I542" s="422"/>
      <c r="J542" s="422"/>
      <c r="K542" s="422"/>
      <c r="L542" s="422"/>
      <c r="M542" s="422"/>
      <c r="N542" s="422"/>
      <c r="O542" s="422"/>
      <c r="P542" s="422"/>
      <c r="Q542" s="422"/>
      <c r="R542" s="98"/>
      <c r="S542" s="98" t="str">
        <f>IFERROR(__xludf.DUMMYFUNCTION("""COMPUTED_VALUE"""),"-")</f>
        <v>-</v>
      </c>
      <c r="T542" s="98"/>
    </row>
    <row r="543">
      <c r="A543" s="422"/>
      <c r="B543" s="422"/>
      <c r="C543" s="422"/>
      <c r="D543" s="422"/>
      <c r="E543" s="422"/>
      <c r="F543" s="422"/>
      <c r="G543" s="422"/>
      <c r="H543" s="422"/>
      <c r="I543" s="422"/>
      <c r="J543" s="422"/>
      <c r="K543" s="422"/>
      <c r="L543" s="422"/>
      <c r="M543" s="422"/>
      <c r="N543" s="422"/>
      <c r="O543" s="422"/>
      <c r="P543" s="422"/>
      <c r="Q543" s="422"/>
      <c r="R543" s="98"/>
      <c r="S543" s="98" t="str">
        <f>IFERROR(__xludf.DUMMYFUNCTION("""COMPUTED_VALUE"""),"-")</f>
        <v>-</v>
      </c>
      <c r="T543" s="98"/>
    </row>
    <row r="544">
      <c r="A544" s="422"/>
      <c r="B544" s="422"/>
      <c r="C544" s="422"/>
      <c r="D544" s="422"/>
      <c r="E544" s="422"/>
      <c r="F544" s="422"/>
      <c r="G544" s="422"/>
      <c r="H544" s="422"/>
      <c r="I544" s="422"/>
      <c r="J544" s="422"/>
      <c r="K544" s="422"/>
      <c r="L544" s="422"/>
      <c r="M544" s="422"/>
      <c r="N544" s="422"/>
      <c r="O544" s="422"/>
      <c r="P544" s="422"/>
      <c r="Q544" s="422"/>
      <c r="R544" s="98"/>
      <c r="S544" s="98" t="str">
        <f>IFERROR(__xludf.DUMMYFUNCTION("""COMPUTED_VALUE"""),"-")</f>
        <v>-</v>
      </c>
      <c r="T544" s="98"/>
    </row>
    <row r="545">
      <c r="A545" s="422"/>
      <c r="B545" s="422"/>
      <c r="C545" s="422"/>
      <c r="D545" s="422"/>
      <c r="E545" s="422"/>
      <c r="F545" s="422"/>
      <c r="G545" s="422"/>
      <c r="H545" s="422"/>
      <c r="I545" s="422"/>
      <c r="J545" s="422"/>
      <c r="K545" s="422"/>
      <c r="L545" s="422"/>
      <c r="M545" s="422"/>
      <c r="N545" s="422"/>
      <c r="O545" s="422"/>
      <c r="P545" s="422"/>
      <c r="Q545" s="422"/>
      <c r="R545" s="98"/>
      <c r="S545" s="98" t="str">
        <f>IFERROR(__xludf.DUMMYFUNCTION("""COMPUTED_VALUE"""),"-")</f>
        <v>-</v>
      </c>
      <c r="T545" s="98"/>
    </row>
    <row r="546">
      <c r="A546" s="422"/>
      <c r="B546" s="422"/>
      <c r="C546" s="422"/>
      <c r="D546" s="422"/>
      <c r="E546" s="422"/>
      <c r="F546" s="422"/>
      <c r="G546" s="422"/>
      <c r="H546" s="422"/>
      <c r="I546" s="422"/>
      <c r="J546" s="422"/>
      <c r="K546" s="422"/>
      <c r="L546" s="422"/>
      <c r="M546" s="422"/>
      <c r="N546" s="422"/>
      <c r="O546" s="422"/>
      <c r="P546" s="422"/>
      <c r="Q546" s="422"/>
      <c r="R546" s="98"/>
      <c r="S546" s="98" t="str">
        <f>IFERROR(__xludf.DUMMYFUNCTION("""COMPUTED_VALUE"""),"-")</f>
        <v>-</v>
      </c>
      <c r="T546" s="98"/>
    </row>
    <row r="547">
      <c r="A547" s="422"/>
      <c r="B547" s="422"/>
      <c r="C547" s="422"/>
      <c r="D547" s="422"/>
      <c r="E547" s="422"/>
      <c r="F547" s="422"/>
      <c r="G547" s="422"/>
      <c r="H547" s="422"/>
      <c r="I547" s="422"/>
      <c r="J547" s="422"/>
      <c r="K547" s="422"/>
      <c r="L547" s="422"/>
      <c r="M547" s="422"/>
      <c r="N547" s="422"/>
      <c r="O547" s="422"/>
      <c r="P547" s="422"/>
      <c r="Q547" s="422"/>
      <c r="R547" s="98"/>
      <c r="S547" s="98" t="str">
        <f>IFERROR(__xludf.DUMMYFUNCTION("""COMPUTED_VALUE"""),"-")</f>
        <v>-</v>
      </c>
      <c r="T547" s="98"/>
    </row>
    <row r="548">
      <c r="A548" s="422"/>
      <c r="B548" s="422"/>
      <c r="C548" s="422"/>
      <c r="D548" s="422"/>
      <c r="E548" s="422"/>
      <c r="F548" s="422"/>
      <c r="G548" s="422"/>
      <c r="H548" s="422"/>
      <c r="I548" s="422"/>
      <c r="J548" s="422"/>
      <c r="K548" s="422"/>
      <c r="L548" s="422"/>
      <c r="M548" s="422"/>
      <c r="N548" s="422"/>
      <c r="O548" s="422"/>
      <c r="P548" s="422"/>
      <c r="Q548" s="422"/>
      <c r="R548" s="98"/>
      <c r="S548" s="98" t="str">
        <f>IFERROR(__xludf.DUMMYFUNCTION("""COMPUTED_VALUE"""),"-")</f>
        <v>-</v>
      </c>
      <c r="T548" s="98"/>
    </row>
    <row r="549">
      <c r="A549" s="422"/>
      <c r="B549" s="422"/>
      <c r="C549" s="422"/>
      <c r="D549" s="422"/>
      <c r="E549" s="422"/>
      <c r="F549" s="422"/>
      <c r="G549" s="422"/>
      <c r="H549" s="422"/>
      <c r="I549" s="422"/>
      <c r="J549" s="422"/>
      <c r="K549" s="422"/>
      <c r="L549" s="422"/>
      <c r="M549" s="422"/>
      <c r="N549" s="422"/>
      <c r="O549" s="422"/>
      <c r="P549" s="422"/>
      <c r="Q549" s="422"/>
      <c r="R549" s="98"/>
      <c r="S549" s="98" t="str">
        <f>IFERROR(__xludf.DUMMYFUNCTION("""COMPUTED_VALUE"""),"-")</f>
        <v>-</v>
      </c>
      <c r="T549" s="98"/>
    </row>
    <row r="550">
      <c r="A550" s="422"/>
      <c r="B550" s="422"/>
      <c r="C550" s="422"/>
      <c r="D550" s="422"/>
      <c r="E550" s="422"/>
      <c r="F550" s="422"/>
      <c r="G550" s="422"/>
      <c r="H550" s="422"/>
      <c r="I550" s="422"/>
      <c r="J550" s="422"/>
      <c r="K550" s="422"/>
      <c r="L550" s="422"/>
      <c r="M550" s="422"/>
      <c r="N550" s="422"/>
      <c r="O550" s="422"/>
      <c r="P550" s="422"/>
      <c r="Q550" s="422"/>
      <c r="R550" s="98"/>
      <c r="S550" s="98" t="str">
        <f>IFERROR(__xludf.DUMMYFUNCTION("""COMPUTED_VALUE"""),"-")</f>
        <v>-</v>
      </c>
      <c r="T550" s="98"/>
    </row>
    <row r="551">
      <c r="A551" s="422"/>
      <c r="B551" s="422"/>
      <c r="C551" s="422"/>
      <c r="D551" s="422"/>
      <c r="E551" s="422"/>
      <c r="F551" s="422"/>
      <c r="G551" s="422"/>
      <c r="H551" s="422"/>
      <c r="I551" s="422"/>
      <c r="J551" s="422"/>
      <c r="K551" s="422"/>
      <c r="L551" s="422"/>
      <c r="M551" s="422"/>
      <c r="N551" s="422"/>
      <c r="O551" s="422"/>
      <c r="P551" s="422"/>
      <c r="Q551" s="422"/>
      <c r="R551" s="98"/>
      <c r="S551" s="98" t="str">
        <f>IFERROR(__xludf.DUMMYFUNCTION("""COMPUTED_VALUE"""),"-")</f>
        <v>-</v>
      </c>
      <c r="T551" s="98"/>
    </row>
    <row r="552">
      <c r="A552" s="422"/>
      <c r="B552" s="422"/>
      <c r="C552" s="422"/>
      <c r="D552" s="422"/>
      <c r="E552" s="422"/>
      <c r="F552" s="422"/>
      <c r="G552" s="422"/>
      <c r="H552" s="422"/>
      <c r="I552" s="422"/>
      <c r="J552" s="422"/>
      <c r="K552" s="422"/>
      <c r="L552" s="422"/>
      <c r="M552" s="422"/>
      <c r="N552" s="422"/>
      <c r="O552" s="422"/>
      <c r="P552" s="422"/>
      <c r="Q552" s="422"/>
      <c r="R552" s="98"/>
      <c r="S552" s="98" t="str">
        <f>IFERROR(__xludf.DUMMYFUNCTION("""COMPUTED_VALUE"""),"-")</f>
        <v>-</v>
      </c>
      <c r="T552" s="98"/>
    </row>
    <row r="553">
      <c r="A553" s="422"/>
      <c r="B553" s="422"/>
      <c r="C553" s="422"/>
      <c r="D553" s="422"/>
      <c r="E553" s="422"/>
      <c r="F553" s="422"/>
      <c r="G553" s="422"/>
      <c r="H553" s="422"/>
      <c r="I553" s="422"/>
      <c r="J553" s="422"/>
      <c r="K553" s="422"/>
      <c r="L553" s="422"/>
      <c r="M553" s="422"/>
      <c r="N553" s="422"/>
      <c r="O553" s="422"/>
      <c r="P553" s="422"/>
      <c r="Q553" s="422"/>
      <c r="R553" s="98"/>
      <c r="S553" s="98" t="str">
        <f>IFERROR(__xludf.DUMMYFUNCTION("""COMPUTED_VALUE"""),"-")</f>
        <v>-</v>
      </c>
      <c r="T553" s="98"/>
    </row>
    <row r="554">
      <c r="A554" s="422"/>
      <c r="B554" s="422"/>
      <c r="C554" s="422"/>
      <c r="D554" s="422"/>
      <c r="E554" s="422"/>
      <c r="F554" s="422"/>
      <c r="G554" s="422"/>
      <c r="H554" s="422"/>
      <c r="I554" s="422"/>
      <c r="J554" s="422"/>
      <c r="K554" s="422"/>
      <c r="L554" s="422"/>
      <c r="M554" s="422"/>
      <c r="N554" s="422"/>
      <c r="O554" s="422"/>
      <c r="P554" s="422"/>
      <c r="Q554" s="422"/>
      <c r="R554" s="98"/>
      <c r="S554" s="98" t="str">
        <f>IFERROR(__xludf.DUMMYFUNCTION("""COMPUTED_VALUE"""),"-")</f>
        <v>-</v>
      </c>
      <c r="T554" s="98"/>
    </row>
    <row r="555">
      <c r="A555" s="422"/>
      <c r="B555" s="422"/>
      <c r="C555" s="422"/>
      <c r="D555" s="422"/>
      <c r="E555" s="422"/>
      <c r="F555" s="422"/>
      <c r="G555" s="422"/>
      <c r="H555" s="422"/>
      <c r="I555" s="422"/>
      <c r="J555" s="422"/>
      <c r="K555" s="422"/>
      <c r="L555" s="422"/>
      <c r="M555" s="422"/>
      <c r="N555" s="422"/>
      <c r="O555" s="422"/>
      <c r="P555" s="422"/>
      <c r="Q555" s="422"/>
      <c r="R555" s="98"/>
      <c r="S555" s="98" t="str">
        <f>IFERROR(__xludf.DUMMYFUNCTION("""COMPUTED_VALUE"""),"-")</f>
        <v>-</v>
      </c>
      <c r="T555" s="98"/>
    </row>
    <row r="556">
      <c r="A556" s="422"/>
      <c r="B556" s="422"/>
      <c r="C556" s="422"/>
      <c r="D556" s="422"/>
      <c r="E556" s="422"/>
      <c r="F556" s="422"/>
      <c r="G556" s="422"/>
      <c r="H556" s="422"/>
      <c r="I556" s="422"/>
      <c r="J556" s="422"/>
      <c r="K556" s="422"/>
      <c r="L556" s="422"/>
      <c r="M556" s="422"/>
      <c r="N556" s="422"/>
      <c r="O556" s="422"/>
      <c r="P556" s="422"/>
      <c r="Q556" s="422"/>
      <c r="R556" s="98"/>
      <c r="S556" s="98" t="str">
        <f>IFERROR(__xludf.DUMMYFUNCTION("""COMPUTED_VALUE"""),"-")</f>
        <v>-</v>
      </c>
      <c r="T556" s="98"/>
    </row>
    <row r="557">
      <c r="A557" s="422"/>
      <c r="B557" s="422"/>
      <c r="C557" s="422"/>
      <c r="D557" s="422"/>
      <c r="E557" s="422"/>
      <c r="F557" s="422"/>
      <c r="G557" s="422"/>
      <c r="H557" s="422"/>
      <c r="I557" s="422"/>
      <c r="J557" s="422"/>
      <c r="K557" s="422"/>
      <c r="L557" s="422"/>
      <c r="M557" s="422"/>
      <c r="N557" s="422"/>
      <c r="O557" s="422"/>
      <c r="P557" s="422"/>
      <c r="Q557" s="422"/>
      <c r="R557" s="98"/>
      <c r="S557" s="98" t="str">
        <f>IFERROR(__xludf.DUMMYFUNCTION("""COMPUTED_VALUE"""),"-")</f>
        <v>-</v>
      </c>
      <c r="T557" s="98"/>
    </row>
    <row r="558">
      <c r="A558" s="422"/>
      <c r="B558" s="422"/>
      <c r="C558" s="422"/>
      <c r="D558" s="422"/>
      <c r="E558" s="422"/>
      <c r="F558" s="422"/>
      <c r="G558" s="422"/>
      <c r="H558" s="422"/>
      <c r="I558" s="422"/>
      <c r="J558" s="422"/>
      <c r="K558" s="422"/>
      <c r="L558" s="422"/>
      <c r="M558" s="422"/>
      <c r="N558" s="422"/>
      <c r="O558" s="422"/>
      <c r="P558" s="422"/>
      <c r="Q558" s="422"/>
      <c r="R558" s="98"/>
      <c r="S558" s="98" t="str">
        <f>IFERROR(__xludf.DUMMYFUNCTION("""COMPUTED_VALUE"""),"-")</f>
        <v>-</v>
      </c>
      <c r="T558" s="98"/>
    </row>
    <row r="559">
      <c r="A559" s="422"/>
      <c r="B559" s="422"/>
      <c r="C559" s="422"/>
      <c r="D559" s="422"/>
      <c r="E559" s="422"/>
      <c r="F559" s="422"/>
      <c r="G559" s="422"/>
      <c r="H559" s="422"/>
      <c r="I559" s="422"/>
      <c r="J559" s="422"/>
      <c r="K559" s="422"/>
      <c r="L559" s="422"/>
      <c r="M559" s="422"/>
      <c r="N559" s="422"/>
      <c r="O559" s="422"/>
      <c r="P559" s="422"/>
      <c r="Q559" s="422"/>
      <c r="R559" s="98"/>
      <c r="S559" s="98" t="str">
        <f>IFERROR(__xludf.DUMMYFUNCTION("""COMPUTED_VALUE"""),"-")</f>
        <v>-</v>
      </c>
      <c r="T559" s="98"/>
    </row>
    <row r="560">
      <c r="A560" s="422"/>
      <c r="B560" s="422"/>
      <c r="C560" s="422"/>
      <c r="D560" s="422"/>
      <c r="E560" s="422"/>
      <c r="F560" s="422"/>
      <c r="G560" s="422"/>
      <c r="H560" s="422"/>
      <c r="I560" s="422"/>
      <c r="J560" s="422"/>
      <c r="K560" s="422"/>
      <c r="L560" s="422"/>
      <c r="M560" s="422"/>
      <c r="N560" s="422"/>
      <c r="O560" s="422"/>
      <c r="P560" s="422"/>
      <c r="Q560" s="422"/>
      <c r="R560" s="98"/>
      <c r="S560" s="98" t="str">
        <f>IFERROR(__xludf.DUMMYFUNCTION("""COMPUTED_VALUE"""),"-")</f>
        <v>-</v>
      </c>
      <c r="T560" s="98"/>
    </row>
    <row r="561">
      <c r="A561" s="422"/>
      <c r="B561" s="422"/>
      <c r="C561" s="422"/>
      <c r="D561" s="422"/>
      <c r="E561" s="422"/>
      <c r="F561" s="422"/>
      <c r="G561" s="422"/>
      <c r="H561" s="422"/>
      <c r="I561" s="422"/>
      <c r="J561" s="422"/>
      <c r="K561" s="422"/>
      <c r="L561" s="422"/>
      <c r="M561" s="422"/>
      <c r="N561" s="422"/>
      <c r="O561" s="422"/>
      <c r="P561" s="422"/>
      <c r="Q561" s="422"/>
      <c r="R561" s="98"/>
      <c r="S561" s="98" t="str">
        <f>IFERROR(__xludf.DUMMYFUNCTION("""COMPUTED_VALUE"""),"-")</f>
        <v>-</v>
      </c>
      <c r="T561" s="98"/>
    </row>
    <row r="562">
      <c r="A562" s="422"/>
      <c r="B562" s="422"/>
      <c r="C562" s="422"/>
      <c r="D562" s="422"/>
      <c r="E562" s="422"/>
      <c r="F562" s="422"/>
      <c r="G562" s="422"/>
      <c r="H562" s="422"/>
      <c r="I562" s="422"/>
      <c r="J562" s="422"/>
      <c r="K562" s="422"/>
      <c r="L562" s="422"/>
      <c r="M562" s="422"/>
      <c r="N562" s="422"/>
      <c r="O562" s="422"/>
      <c r="P562" s="422"/>
      <c r="Q562" s="422"/>
      <c r="R562" s="98"/>
      <c r="S562" s="98" t="str">
        <f>IFERROR(__xludf.DUMMYFUNCTION("""COMPUTED_VALUE"""),"-")</f>
        <v>-</v>
      </c>
      <c r="T562" s="98"/>
    </row>
    <row r="563">
      <c r="A563" s="422"/>
      <c r="B563" s="422"/>
      <c r="C563" s="422"/>
      <c r="D563" s="422"/>
      <c r="E563" s="422"/>
      <c r="F563" s="422"/>
      <c r="G563" s="422"/>
      <c r="H563" s="422"/>
      <c r="I563" s="422"/>
      <c r="J563" s="422"/>
      <c r="K563" s="422"/>
      <c r="L563" s="422"/>
      <c r="M563" s="422"/>
      <c r="N563" s="422"/>
      <c r="O563" s="422"/>
      <c r="P563" s="422"/>
      <c r="Q563" s="422"/>
      <c r="R563" s="98"/>
      <c r="S563" s="98" t="str">
        <f>IFERROR(__xludf.DUMMYFUNCTION("""COMPUTED_VALUE"""),"-")</f>
        <v>-</v>
      </c>
      <c r="T563" s="98"/>
    </row>
    <row r="564">
      <c r="A564" s="422"/>
      <c r="B564" s="422"/>
      <c r="C564" s="422"/>
      <c r="D564" s="422"/>
      <c r="E564" s="422"/>
      <c r="F564" s="422"/>
      <c r="G564" s="422"/>
      <c r="H564" s="422"/>
      <c r="I564" s="422"/>
      <c r="J564" s="422"/>
      <c r="K564" s="422"/>
      <c r="L564" s="422"/>
      <c r="M564" s="422"/>
      <c r="N564" s="422"/>
      <c r="O564" s="422"/>
      <c r="P564" s="422"/>
      <c r="Q564" s="422"/>
      <c r="R564" s="98"/>
      <c r="S564" s="98" t="str">
        <f>IFERROR(__xludf.DUMMYFUNCTION("""COMPUTED_VALUE"""),"-")</f>
        <v>-</v>
      </c>
      <c r="T564" s="98"/>
    </row>
    <row r="565">
      <c r="A565" s="422"/>
      <c r="B565" s="422"/>
      <c r="C565" s="422"/>
      <c r="D565" s="422"/>
      <c r="E565" s="422"/>
      <c r="F565" s="422"/>
      <c r="G565" s="422"/>
      <c r="H565" s="422"/>
      <c r="I565" s="422"/>
      <c r="J565" s="422"/>
      <c r="K565" s="422"/>
      <c r="L565" s="422"/>
      <c r="M565" s="422"/>
      <c r="N565" s="422"/>
      <c r="O565" s="422"/>
      <c r="P565" s="422"/>
      <c r="Q565" s="422"/>
      <c r="R565" s="98"/>
      <c r="S565" s="98" t="str">
        <f>IFERROR(__xludf.DUMMYFUNCTION("""COMPUTED_VALUE"""),"-")</f>
        <v>-</v>
      </c>
      <c r="T565" s="98"/>
    </row>
    <row r="566">
      <c r="A566" s="422"/>
      <c r="B566" s="422"/>
      <c r="C566" s="422"/>
      <c r="D566" s="422"/>
      <c r="E566" s="422"/>
      <c r="F566" s="422"/>
      <c r="G566" s="422"/>
      <c r="H566" s="422"/>
      <c r="I566" s="422"/>
      <c r="J566" s="422"/>
      <c r="K566" s="422"/>
      <c r="L566" s="422"/>
      <c r="M566" s="422"/>
      <c r="N566" s="422"/>
      <c r="O566" s="422"/>
      <c r="P566" s="422"/>
      <c r="Q566" s="422"/>
      <c r="R566" s="98"/>
      <c r="S566" s="98" t="str">
        <f>IFERROR(__xludf.DUMMYFUNCTION("""COMPUTED_VALUE"""),"-")</f>
        <v>-</v>
      </c>
      <c r="T566" s="98"/>
    </row>
    <row r="567">
      <c r="A567" s="422"/>
      <c r="B567" s="422"/>
      <c r="C567" s="422"/>
      <c r="D567" s="422"/>
      <c r="E567" s="422"/>
      <c r="F567" s="422"/>
      <c r="G567" s="422"/>
      <c r="H567" s="422"/>
      <c r="I567" s="422"/>
      <c r="J567" s="422"/>
      <c r="K567" s="422"/>
      <c r="L567" s="422"/>
      <c r="M567" s="422"/>
      <c r="N567" s="422"/>
      <c r="O567" s="422"/>
      <c r="P567" s="422"/>
      <c r="Q567" s="422"/>
      <c r="R567" s="98"/>
      <c r="S567" s="98" t="str">
        <f>IFERROR(__xludf.DUMMYFUNCTION("""COMPUTED_VALUE"""),"-")</f>
        <v>-</v>
      </c>
      <c r="T567" s="98"/>
    </row>
    <row r="568">
      <c r="A568" s="422"/>
      <c r="B568" s="422"/>
      <c r="C568" s="422"/>
      <c r="D568" s="422"/>
      <c r="E568" s="422"/>
      <c r="F568" s="422"/>
      <c r="G568" s="422"/>
      <c r="H568" s="422"/>
      <c r="I568" s="422"/>
      <c r="J568" s="422"/>
      <c r="K568" s="422"/>
      <c r="L568" s="422"/>
      <c r="M568" s="422"/>
      <c r="N568" s="422"/>
      <c r="O568" s="422"/>
      <c r="P568" s="422"/>
      <c r="Q568" s="422"/>
      <c r="R568" s="98"/>
      <c r="S568" s="98" t="str">
        <f>IFERROR(__xludf.DUMMYFUNCTION("""COMPUTED_VALUE"""),"-")</f>
        <v>-</v>
      </c>
      <c r="T568" s="98"/>
    </row>
    <row r="569">
      <c r="A569" s="422"/>
      <c r="B569" s="422"/>
      <c r="C569" s="422"/>
      <c r="D569" s="422"/>
      <c r="E569" s="422"/>
      <c r="F569" s="422"/>
      <c r="G569" s="422"/>
      <c r="H569" s="422"/>
      <c r="I569" s="422"/>
      <c r="J569" s="422"/>
      <c r="K569" s="422"/>
      <c r="L569" s="422"/>
      <c r="M569" s="422"/>
      <c r="N569" s="422"/>
      <c r="O569" s="422"/>
      <c r="P569" s="422"/>
      <c r="Q569" s="422"/>
      <c r="R569" s="98"/>
      <c r="S569" s="98" t="str">
        <f>IFERROR(__xludf.DUMMYFUNCTION("""COMPUTED_VALUE"""),"-")</f>
        <v>-</v>
      </c>
      <c r="T569" s="98"/>
    </row>
    <row r="570">
      <c r="A570" s="422"/>
      <c r="B570" s="422"/>
      <c r="C570" s="422"/>
      <c r="D570" s="422"/>
      <c r="E570" s="422"/>
      <c r="F570" s="422"/>
      <c r="G570" s="422"/>
      <c r="H570" s="422"/>
      <c r="I570" s="422"/>
      <c r="J570" s="422"/>
      <c r="K570" s="422"/>
      <c r="L570" s="422"/>
      <c r="M570" s="422"/>
      <c r="N570" s="422"/>
      <c r="O570" s="422"/>
      <c r="P570" s="422"/>
      <c r="Q570" s="422"/>
      <c r="R570" s="98"/>
      <c r="S570" s="98" t="str">
        <f>IFERROR(__xludf.DUMMYFUNCTION("""COMPUTED_VALUE"""),"-")</f>
        <v>-</v>
      </c>
      <c r="T570" s="98"/>
    </row>
    <row r="571">
      <c r="A571" s="422"/>
      <c r="B571" s="422"/>
      <c r="C571" s="422"/>
      <c r="D571" s="422"/>
      <c r="E571" s="422"/>
      <c r="F571" s="422"/>
      <c r="G571" s="422"/>
      <c r="H571" s="422"/>
      <c r="I571" s="422"/>
      <c r="J571" s="422"/>
      <c r="K571" s="422"/>
      <c r="L571" s="422"/>
      <c r="M571" s="422"/>
      <c r="N571" s="422"/>
      <c r="O571" s="422"/>
      <c r="P571" s="422"/>
      <c r="Q571" s="422"/>
      <c r="R571" s="98"/>
      <c r="S571" s="98" t="str">
        <f>IFERROR(__xludf.DUMMYFUNCTION("""COMPUTED_VALUE"""),"-")</f>
        <v>-</v>
      </c>
      <c r="T571" s="98"/>
    </row>
    <row r="572">
      <c r="A572" s="422"/>
      <c r="B572" s="422"/>
      <c r="C572" s="422"/>
      <c r="D572" s="422"/>
      <c r="E572" s="422"/>
      <c r="F572" s="422"/>
      <c r="G572" s="422"/>
      <c r="H572" s="422"/>
      <c r="I572" s="422"/>
      <c r="J572" s="422"/>
      <c r="K572" s="422"/>
      <c r="L572" s="422"/>
      <c r="M572" s="422"/>
      <c r="N572" s="422"/>
      <c r="O572" s="422"/>
      <c r="P572" s="422"/>
      <c r="Q572" s="422"/>
      <c r="R572" s="98"/>
      <c r="S572" s="98" t="str">
        <f>IFERROR(__xludf.DUMMYFUNCTION("""COMPUTED_VALUE"""),"-")</f>
        <v>-</v>
      </c>
      <c r="T572" s="98"/>
    </row>
    <row r="573">
      <c r="A573" s="422"/>
      <c r="B573" s="422"/>
      <c r="C573" s="422"/>
      <c r="D573" s="422"/>
      <c r="E573" s="422"/>
      <c r="F573" s="422"/>
      <c r="G573" s="422"/>
      <c r="H573" s="422"/>
      <c r="I573" s="422"/>
      <c r="J573" s="422"/>
      <c r="K573" s="422"/>
      <c r="L573" s="422"/>
      <c r="M573" s="422"/>
      <c r="N573" s="422"/>
      <c r="O573" s="422"/>
      <c r="P573" s="422"/>
      <c r="Q573" s="422"/>
      <c r="R573" s="98"/>
      <c r="S573" s="98" t="str">
        <f>IFERROR(__xludf.DUMMYFUNCTION("""COMPUTED_VALUE"""),"-")</f>
        <v>-</v>
      </c>
      <c r="T573" s="98"/>
    </row>
    <row r="574">
      <c r="A574" s="422"/>
      <c r="B574" s="422"/>
      <c r="C574" s="422"/>
      <c r="D574" s="422"/>
      <c r="E574" s="422"/>
      <c r="F574" s="422"/>
      <c r="G574" s="422"/>
      <c r="H574" s="422"/>
      <c r="I574" s="422"/>
      <c r="J574" s="422"/>
      <c r="K574" s="422"/>
      <c r="L574" s="422"/>
      <c r="M574" s="422"/>
      <c r="N574" s="422"/>
      <c r="O574" s="422"/>
      <c r="P574" s="422"/>
      <c r="Q574" s="422"/>
      <c r="R574" s="98"/>
      <c r="S574" s="98" t="str">
        <f>IFERROR(__xludf.DUMMYFUNCTION("""COMPUTED_VALUE"""),"-")</f>
        <v>-</v>
      </c>
      <c r="T574" s="98"/>
    </row>
    <row r="575">
      <c r="A575" s="422"/>
      <c r="B575" s="422"/>
      <c r="C575" s="422"/>
      <c r="D575" s="422"/>
      <c r="E575" s="422"/>
      <c r="F575" s="422"/>
      <c r="G575" s="422"/>
      <c r="H575" s="422"/>
      <c r="I575" s="422"/>
      <c r="J575" s="422"/>
      <c r="K575" s="422"/>
      <c r="L575" s="422"/>
      <c r="M575" s="422"/>
      <c r="N575" s="422"/>
      <c r="O575" s="422"/>
      <c r="P575" s="422"/>
      <c r="Q575" s="422"/>
      <c r="R575" s="98"/>
      <c r="S575" s="98" t="str">
        <f>IFERROR(__xludf.DUMMYFUNCTION("""COMPUTED_VALUE"""),"-")</f>
        <v>-</v>
      </c>
      <c r="T575" s="98"/>
    </row>
    <row r="576">
      <c r="A576" s="422"/>
      <c r="B576" s="422"/>
      <c r="C576" s="422"/>
      <c r="D576" s="422"/>
      <c r="E576" s="422"/>
      <c r="F576" s="422"/>
      <c r="G576" s="422"/>
      <c r="H576" s="422"/>
      <c r="I576" s="422"/>
      <c r="J576" s="422"/>
      <c r="K576" s="422"/>
      <c r="L576" s="422"/>
      <c r="M576" s="422"/>
      <c r="N576" s="422"/>
      <c r="O576" s="422"/>
      <c r="P576" s="422"/>
      <c r="Q576" s="422"/>
      <c r="R576" s="98"/>
      <c r="S576" s="98" t="str">
        <f>IFERROR(__xludf.DUMMYFUNCTION("""COMPUTED_VALUE"""),"-")</f>
        <v>-</v>
      </c>
      <c r="T576" s="98"/>
    </row>
    <row r="577">
      <c r="A577" s="422"/>
      <c r="B577" s="422"/>
      <c r="C577" s="422"/>
      <c r="D577" s="422"/>
      <c r="E577" s="422"/>
      <c r="F577" s="422"/>
      <c r="G577" s="422"/>
      <c r="H577" s="422"/>
      <c r="I577" s="422"/>
      <c r="J577" s="422"/>
      <c r="K577" s="422"/>
      <c r="L577" s="422"/>
      <c r="M577" s="422"/>
      <c r="N577" s="422"/>
      <c r="O577" s="422"/>
      <c r="P577" s="422"/>
      <c r="Q577" s="422"/>
      <c r="R577" s="98"/>
      <c r="S577" s="98" t="str">
        <f>IFERROR(__xludf.DUMMYFUNCTION("""COMPUTED_VALUE"""),"-")</f>
        <v>-</v>
      </c>
      <c r="T577" s="98"/>
    </row>
    <row r="578">
      <c r="A578" s="422"/>
      <c r="B578" s="422"/>
      <c r="C578" s="422"/>
      <c r="D578" s="422"/>
      <c r="E578" s="422"/>
      <c r="F578" s="422"/>
      <c r="G578" s="422"/>
      <c r="H578" s="422"/>
      <c r="I578" s="422"/>
      <c r="J578" s="422"/>
      <c r="K578" s="422"/>
      <c r="L578" s="422"/>
      <c r="M578" s="422"/>
      <c r="N578" s="422"/>
      <c r="O578" s="422"/>
      <c r="P578" s="422"/>
      <c r="Q578" s="422"/>
      <c r="R578" s="98"/>
      <c r="S578" s="98" t="str">
        <f>IFERROR(__xludf.DUMMYFUNCTION("""COMPUTED_VALUE"""),"-")</f>
        <v>-</v>
      </c>
      <c r="T578" s="98"/>
    </row>
    <row r="579">
      <c r="A579" s="422"/>
      <c r="B579" s="422"/>
      <c r="C579" s="422"/>
      <c r="D579" s="422"/>
      <c r="E579" s="422"/>
      <c r="F579" s="422"/>
      <c r="G579" s="422"/>
      <c r="H579" s="422"/>
      <c r="I579" s="422"/>
      <c r="J579" s="422"/>
      <c r="K579" s="422"/>
      <c r="L579" s="422"/>
      <c r="M579" s="422"/>
      <c r="N579" s="422"/>
      <c r="O579" s="422"/>
      <c r="P579" s="422"/>
      <c r="Q579" s="422"/>
      <c r="R579" s="98"/>
      <c r="S579" s="98" t="str">
        <f>IFERROR(__xludf.DUMMYFUNCTION("""COMPUTED_VALUE"""),"-")</f>
        <v>-</v>
      </c>
      <c r="T579" s="98"/>
    </row>
    <row r="580">
      <c r="A580" s="422"/>
      <c r="B580" s="422"/>
      <c r="C580" s="422"/>
      <c r="D580" s="422"/>
      <c r="E580" s="422"/>
      <c r="F580" s="422"/>
      <c r="G580" s="422"/>
      <c r="H580" s="422"/>
      <c r="I580" s="422"/>
      <c r="J580" s="422"/>
      <c r="K580" s="422"/>
      <c r="L580" s="422"/>
      <c r="M580" s="422"/>
      <c r="N580" s="422"/>
      <c r="O580" s="422"/>
      <c r="P580" s="422"/>
      <c r="Q580" s="422"/>
      <c r="R580" s="98"/>
      <c r="S580" s="98" t="str">
        <f>IFERROR(__xludf.DUMMYFUNCTION("""COMPUTED_VALUE"""),"-")</f>
        <v>-</v>
      </c>
      <c r="T580" s="98"/>
    </row>
    <row r="581">
      <c r="A581" s="422"/>
      <c r="B581" s="422"/>
      <c r="C581" s="422"/>
      <c r="D581" s="422"/>
      <c r="E581" s="422"/>
      <c r="F581" s="422"/>
      <c r="G581" s="422"/>
      <c r="H581" s="422"/>
      <c r="I581" s="422"/>
      <c r="J581" s="422"/>
      <c r="K581" s="422"/>
      <c r="L581" s="422"/>
      <c r="M581" s="422"/>
      <c r="N581" s="422"/>
      <c r="O581" s="422"/>
      <c r="P581" s="422"/>
      <c r="Q581" s="422"/>
      <c r="R581" s="98"/>
      <c r="S581" s="98" t="str">
        <f>IFERROR(__xludf.DUMMYFUNCTION("""COMPUTED_VALUE"""),"-")</f>
        <v>-</v>
      </c>
      <c r="T581" s="98"/>
    </row>
    <row r="582">
      <c r="A582" s="422"/>
      <c r="B582" s="422"/>
      <c r="C582" s="422"/>
      <c r="D582" s="422"/>
      <c r="E582" s="422"/>
      <c r="F582" s="422"/>
      <c r="G582" s="422"/>
      <c r="H582" s="422"/>
      <c r="I582" s="422"/>
      <c r="J582" s="422"/>
      <c r="K582" s="422"/>
      <c r="L582" s="422"/>
      <c r="M582" s="422"/>
      <c r="N582" s="422"/>
      <c r="O582" s="422"/>
      <c r="P582" s="422"/>
      <c r="Q582" s="422"/>
      <c r="R582" s="98"/>
      <c r="S582" s="98" t="str">
        <f>IFERROR(__xludf.DUMMYFUNCTION("""COMPUTED_VALUE"""),"-")</f>
        <v>-</v>
      </c>
      <c r="T582" s="98"/>
    </row>
    <row r="583">
      <c r="A583" s="422"/>
      <c r="B583" s="422"/>
      <c r="C583" s="422"/>
      <c r="D583" s="422"/>
      <c r="E583" s="422"/>
      <c r="F583" s="422"/>
      <c r="G583" s="422"/>
      <c r="H583" s="422"/>
      <c r="I583" s="422"/>
      <c r="J583" s="422"/>
      <c r="K583" s="422"/>
      <c r="L583" s="422"/>
      <c r="M583" s="422"/>
      <c r="N583" s="422"/>
      <c r="O583" s="422"/>
      <c r="P583" s="422"/>
      <c r="Q583" s="422"/>
      <c r="R583" s="98"/>
      <c r="S583" s="98" t="str">
        <f>IFERROR(__xludf.DUMMYFUNCTION("""COMPUTED_VALUE"""),"-")</f>
        <v>-</v>
      </c>
      <c r="T583" s="98"/>
    </row>
    <row r="584">
      <c r="A584" s="422"/>
      <c r="B584" s="422"/>
      <c r="C584" s="422"/>
      <c r="D584" s="422"/>
      <c r="E584" s="422"/>
      <c r="F584" s="422"/>
      <c r="G584" s="422"/>
      <c r="H584" s="422"/>
      <c r="I584" s="422"/>
      <c r="J584" s="422"/>
      <c r="K584" s="422"/>
      <c r="L584" s="422"/>
      <c r="M584" s="422"/>
      <c r="N584" s="422"/>
      <c r="O584" s="422"/>
      <c r="P584" s="422"/>
      <c r="Q584" s="422"/>
      <c r="R584" s="98"/>
      <c r="S584" s="98" t="str">
        <f>IFERROR(__xludf.DUMMYFUNCTION("""COMPUTED_VALUE"""),"-")</f>
        <v>-</v>
      </c>
      <c r="T584" s="98"/>
    </row>
    <row r="585">
      <c r="A585" s="422"/>
      <c r="B585" s="422"/>
      <c r="C585" s="422"/>
      <c r="D585" s="422"/>
      <c r="E585" s="422"/>
      <c r="F585" s="422"/>
      <c r="G585" s="422"/>
      <c r="H585" s="422"/>
      <c r="I585" s="422"/>
      <c r="J585" s="422"/>
      <c r="K585" s="422"/>
      <c r="L585" s="422"/>
      <c r="M585" s="422"/>
      <c r="N585" s="422"/>
      <c r="O585" s="422"/>
      <c r="P585" s="422"/>
      <c r="Q585" s="422"/>
      <c r="R585" s="98"/>
      <c r="S585" s="98" t="str">
        <f>IFERROR(__xludf.DUMMYFUNCTION("""COMPUTED_VALUE"""),"-")</f>
        <v>-</v>
      </c>
      <c r="T585" s="98"/>
    </row>
    <row r="586">
      <c r="A586" s="422"/>
      <c r="B586" s="422"/>
      <c r="C586" s="422"/>
      <c r="D586" s="422"/>
      <c r="E586" s="422"/>
      <c r="F586" s="422"/>
      <c r="G586" s="422"/>
      <c r="H586" s="422"/>
      <c r="I586" s="422"/>
      <c r="J586" s="422"/>
      <c r="K586" s="422"/>
      <c r="L586" s="422"/>
      <c r="M586" s="422"/>
      <c r="N586" s="422"/>
      <c r="O586" s="422"/>
      <c r="P586" s="422"/>
      <c r="Q586" s="422"/>
      <c r="R586" s="98"/>
      <c r="S586" s="98" t="str">
        <f>IFERROR(__xludf.DUMMYFUNCTION("""COMPUTED_VALUE"""),"-")</f>
        <v>-</v>
      </c>
      <c r="T586" s="98"/>
    </row>
    <row r="587">
      <c r="A587" s="422"/>
      <c r="B587" s="422"/>
      <c r="C587" s="422"/>
      <c r="D587" s="422"/>
      <c r="E587" s="422"/>
      <c r="F587" s="422"/>
      <c r="G587" s="422"/>
      <c r="H587" s="422"/>
      <c r="I587" s="422"/>
      <c r="J587" s="422"/>
      <c r="K587" s="422"/>
      <c r="L587" s="422"/>
      <c r="M587" s="422"/>
      <c r="N587" s="422"/>
      <c r="O587" s="422"/>
      <c r="P587" s="422"/>
      <c r="Q587" s="422"/>
      <c r="R587" s="98"/>
      <c r="S587" s="98" t="str">
        <f>IFERROR(__xludf.DUMMYFUNCTION("""COMPUTED_VALUE"""),"-")</f>
        <v>-</v>
      </c>
      <c r="T587" s="98"/>
    </row>
    <row r="588">
      <c r="A588" s="422"/>
      <c r="B588" s="422"/>
      <c r="C588" s="422"/>
      <c r="D588" s="422"/>
      <c r="E588" s="422"/>
      <c r="F588" s="422"/>
      <c r="G588" s="422"/>
      <c r="H588" s="422"/>
      <c r="I588" s="422"/>
      <c r="J588" s="422"/>
      <c r="K588" s="422"/>
      <c r="L588" s="422"/>
      <c r="M588" s="422"/>
      <c r="N588" s="422"/>
      <c r="O588" s="422"/>
      <c r="P588" s="422"/>
      <c r="Q588" s="422"/>
      <c r="R588" s="98"/>
      <c r="S588" s="98" t="str">
        <f>IFERROR(__xludf.DUMMYFUNCTION("""COMPUTED_VALUE"""),"-")</f>
        <v>-</v>
      </c>
      <c r="T588" s="98"/>
    </row>
    <row r="589">
      <c r="A589" s="422"/>
      <c r="B589" s="422"/>
      <c r="C589" s="422"/>
      <c r="D589" s="422"/>
      <c r="E589" s="422"/>
      <c r="F589" s="422"/>
      <c r="G589" s="422"/>
      <c r="H589" s="422"/>
      <c r="I589" s="422"/>
      <c r="J589" s="422"/>
      <c r="K589" s="422"/>
      <c r="L589" s="422"/>
      <c r="M589" s="422"/>
      <c r="N589" s="422"/>
      <c r="O589" s="422"/>
      <c r="P589" s="422"/>
      <c r="Q589" s="422"/>
      <c r="R589" s="98"/>
      <c r="S589" s="98" t="str">
        <f>IFERROR(__xludf.DUMMYFUNCTION("""COMPUTED_VALUE"""),"-")</f>
        <v>-</v>
      </c>
      <c r="T589" s="98"/>
    </row>
    <row r="590">
      <c r="A590" s="422"/>
      <c r="B590" s="422"/>
      <c r="C590" s="422"/>
      <c r="D590" s="422"/>
      <c r="E590" s="422"/>
      <c r="F590" s="422"/>
      <c r="G590" s="422"/>
      <c r="H590" s="422"/>
      <c r="I590" s="422"/>
      <c r="J590" s="422"/>
      <c r="K590" s="422"/>
      <c r="L590" s="422"/>
      <c r="M590" s="422"/>
      <c r="N590" s="422"/>
      <c r="O590" s="422"/>
      <c r="P590" s="422"/>
      <c r="Q590" s="422"/>
      <c r="R590" s="98"/>
      <c r="S590" s="98" t="str">
        <f>IFERROR(__xludf.DUMMYFUNCTION("""COMPUTED_VALUE"""),"-")</f>
        <v>-</v>
      </c>
      <c r="T590" s="98"/>
    </row>
    <row r="591">
      <c r="A591" s="422"/>
      <c r="B591" s="422"/>
      <c r="C591" s="422"/>
      <c r="D591" s="422"/>
      <c r="E591" s="422"/>
      <c r="F591" s="422"/>
      <c r="G591" s="422"/>
      <c r="H591" s="422"/>
      <c r="I591" s="422"/>
      <c r="J591" s="422"/>
      <c r="K591" s="422"/>
      <c r="L591" s="422"/>
      <c r="M591" s="422"/>
      <c r="N591" s="422"/>
      <c r="O591" s="422"/>
      <c r="P591" s="422"/>
      <c r="Q591" s="422"/>
      <c r="R591" s="98"/>
      <c r="S591" s="98" t="str">
        <f>IFERROR(__xludf.DUMMYFUNCTION("""COMPUTED_VALUE"""),"-")</f>
        <v>-</v>
      </c>
      <c r="T591" s="98"/>
    </row>
    <row r="592">
      <c r="A592" s="422"/>
      <c r="B592" s="422"/>
      <c r="C592" s="422"/>
      <c r="D592" s="422"/>
      <c r="E592" s="422"/>
      <c r="F592" s="422"/>
      <c r="G592" s="422"/>
      <c r="H592" s="422"/>
      <c r="I592" s="422"/>
      <c r="J592" s="422"/>
      <c r="K592" s="422"/>
      <c r="L592" s="422"/>
      <c r="M592" s="422"/>
      <c r="N592" s="422"/>
      <c r="O592" s="422"/>
      <c r="P592" s="422"/>
      <c r="Q592" s="422"/>
      <c r="R592" s="98"/>
      <c r="S592" s="98" t="str">
        <f>IFERROR(__xludf.DUMMYFUNCTION("""COMPUTED_VALUE"""),"-")</f>
        <v>-</v>
      </c>
      <c r="T592" s="98"/>
    </row>
    <row r="593">
      <c r="A593" s="422"/>
      <c r="B593" s="422"/>
      <c r="C593" s="422"/>
      <c r="D593" s="422"/>
      <c r="E593" s="422"/>
      <c r="F593" s="422"/>
      <c r="G593" s="422"/>
      <c r="H593" s="422"/>
      <c r="I593" s="422"/>
      <c r="J593" s="422"/>
      <c r="K593" s="422"/>
      <c r="L593" s="422"/>
      <c r="M593" s="422"/>
      <c r="N593" s="422"/>
      <c r="O593" s="422"/>
      <c r="P593" s="422"/>
      <c r="Q593" s="422"/>
      <c r="R593" s="98"/>
      <c r="S593" s="98" t="str">
        <f>IFERROR(__xludf.DUMMYFUNCTION("""COMPUTED_VALUE"""),"-")</f>
        <v>-</v>
      </c>
      <c r="T593" s="98"/>
    </row>
    <row r="594">
      <c r="A594" s="422"/>
      <c r="B594" s="422"/>
      <c r="C594" s="422"/>
      <c r="D594" s="422"/>
      <c r="E594" s="422"/>
      <c r="F594" s="422"/>
      <c r="G594" s="422"/>
      <c r="H594" s="422"/>
      <c r="I594" s="422"/>
      <c r="J594" s="422"/>
      <c r="K594" s="422"/>
      <c r="L594" s="422"/>
      <c r="M594" s="422"/>
      <c r="N594" s="422"/>
      <c r="O594" s="422"/>
      <c r="P594" s="422"/>
      <c r="Q594" s="422"/>
      <c r="R594" s="98"/>
      <c r="S594" s="98" t="str">
        <f>IFERROR(__xludf.DUMMYFUNCTION("""COMPUTED_VALUE"""),"-")</f>
        <v>-</v>
      </c>
      <c r="T594" s="98"/>
    </row>
    <row r="595">
      <c r="A595" s="422"/>
      <c r="B595" s="422"/>
      <c r="C595" s="422"/>
      <c r="D595" s="422"/>
      <c r="E595" s="422"/>
      <c r="F595" s="422"/>
      <c r="G595" s="422"/>
      <c r="H595" s="422"/>
      <c r="I595" s="422"/>
      <c r="J595" s="422"/>
      <c r="K595" s="422"/>
      <c r="L595" s="422"/>
      <c r="M595" s="422"/>
      <c r="N595" s="422"/>
      <c r="O595" s="422"/>
      <c r="P595" s="422"/>
      <c r="Q595" s="422"/>
      <c r="R595" s="98"/>
      <c r="S595" s="98" t="str">
        <f>IFERROR(__xludf.DUMMYFUNCTION("""COMPUTED_VALUE"""),"-")</f>
        <v>-</v>
      </c>
      <c r="T595" s="98"/>
    </row>
    <row r="596">
      <c r="A596" s="422"/>
      <c r="B596" s="422"/>
      <c r="C596" s="422"/>
      <c r="D596" s="422"/>
      <c r="E596" s="422"/>
      <c r="F596" s="422"/>
      <c r="G596" s="422"/>
      <c r="H596" s="422"/>
      <c r="I596" s="422"/>
      <c r="J596" s="422"/>
      <c r="K596" s="422"/>
      <c r="L596" s="422"/>
      <c r="M596" s="422"/>
      <c r="N596" s="422"/>
      <c r="O596" s="422"/>
      <c r="P596" s="422"/>
      <c r="Q596" s="422"/>
      <c r="R596" s="98"/>
      <c r="S596" s="98" t="str">
        <f>IFERROR(__xludf.DUMMYFUNCTION("""COMPUTED_VALUE"""),"-")</f>
        <v>-</v>
      </c>
      <c r="T596" s="98"/>
    </row>
    <row r="597">
      <c r="A597" s="422"/>
      <c r="B597" s="422"/>
      <c r="C597" s="422"/>
      <c r="D597" s="422"/>
      <c r="E597" s="422"/>
      <c r="F597" s="422"/>
      <c r="G597" s="422"/>
      <c r="H597" s="422"/>
      <c r="I597" s="422"/>
      <c r="J597" s="422"/>
      <c r="K597" s="422"/>
      <c r="L597" s="422"/>
      <c r="M597" s="422"/>
      <c r="N597" s="422"/>
      <c r="O597" s="422"/>
      <c r="P597" s="422"/>
      <c r="Q597" s="422"/>
      <c r="R597" s="98"/>
      <c r="S597" s="98" t="str">
        <f>IFERROR(__xludf.DUMMYFUNCTION("""COMPUTED_VALUE"""),"-")</f>
        <v>-</v>
      </c>
      <c r="T597" s="98"/>
    </row>
    <row r="598">
      <c r="A598" s="422"/>
      <c r="B598" s="422"/>
      <c r="C598" s="422"/>
      <c r="D598" s="422"/>
      <c r="E598" s="422"/>
      <c r="F598" s="422"/>
      <c r="G598" s="422"/>
      <c r="H598" s="422"/>
      <c r="I598" s="422"/>
      <c r="J598" s="422"/>
      <c r="K598" s="422"/>
      <c r="L598" s="422"/>
      <c r="M598" s="422"/>
      <c r="N598" s="422"/>
      <c r="O598" s="422"/>
      <c r="P598" s="422"/>
      <c r="Q598" s="422"/>
      <c r="R598" s="98"/>
      <c r="S598" s="98" t="str">
        <f>IFERROR(__xludf.DUMMYFUNCTION("""COMPUTED_VALUE"""),"-")</f>
        <v>-</v>
      </c>
      <c r="T598" s="98"/>
    </row>
    <row r="599">
      <c r="A599" s="422"/>
      <c r="B599" s="422"/>
      <c r="C599" s="422"/>
      <c r="D599" s="422"/>
      <c r="E599" s="422"/>
      <c r="F599" s="422"/>
      <c r="G599" s="422"/>
      <c r="H599" s="422"/>
      <c r="I599" s="422"/>
      <c r="J599" s="422"/>
      <c r="K599" s="422"/>
      <c r="L599" s="422"/>
      <c r="M599" s="422"/>
      <c r="N599" s="422"/>
      <c r="O599" s="422"/>
      <c r="P599" s="422"/>
      <c r="Q599" s="422"/>
      <c r="R599" s="98"/>
      <c r="S599" s="98" t="str">
        <f>IFERROR(__xludf.DUMMYFUNCTION("""COMPUTED_VALUE"""),"-")</f>
        <v>-</v>
      </c>
      <c r="T599" s="98"/>
    </row>
    <row r="600">
      <c r="A600" s="422"/>
      <c r="B600" s="422"/>
      <c r="C600" s="422"/>
      <c r="D600" s="422"/>
      <c r="E600" s="422"/>
      <c r="F600" s="422"/>
      <c r="G600" s="422"/>
      <c r="H600" s="422"/>
      <c r="I600" s="422"/>
      <c r="J600" s="422"/>
      <c r="K600" s="422"/>
      <c r="L600" s="422"/>
      <c r="M600" s="422"/>
      <c r="N600" s="422"/>
      <c r="O600" s="422"/>
      <c r="P600" s="422"/>
      <c r="Q600" s="422"/>
      <c r="R600" s="98"/>
      <c r="S600" s="98" t="str">
        <f>IFERROR(__xludf.DUMMYFUNCTION("""COMPUTED_VALUE"""),"-")</f>
        <v>-</v>
      </c>
      <c r="T600" s="98"/>
    </row>
    <row r="601">
      <c r="A601" s="422"/>
      <c r="B601" s="422"/>
      <c r="C601" s="422"/>
      <c r="D601" s="422"/>
      <c r="E601" s="422"/>
      <c r="F601" s="422"/>
      <c r="G601" s="422"/>
      <c r="H601" s="422"/>
      <c r="I601" s="422"/>
      <c r="J601" s="422"/>
      <c r="K601" s="422"/>
      <c r="L601" s="422"/>
      <c r="M601" s="422"/>
      <c r="N601" s="422"/>
      <c r="O601" s="422"/>
      <c r="P601" s="422"/>
      <c r="Q601" s="422"/>
      <c r="R601" s="98"/>
      <c r="S601" s="98" t="str">
        <f>IFERROR(__xludf.DUMMYFUNCTION("""COMPUTED_VALUE"""),"-")</f>
        <v>-</v>
      </c>
      <c r="T601" s="98"/>
    </row>
    <row r="602">
      <c r="A602" s="422"/>
      <c r="B602" s="422"/>
      <c r="C602" s="422"/>
      <c r="D602" s="422"/>
      <c r="E602" s="422"/>
      <c r="F602" s="422"/>
      <c r="G602" s="422"/>
      <c r="H602" s="422"/>
      <c r="I602" s="422"/>
      <c r="J602" s="422"/>
      <c r="K602" s="422"/>
      <c r="L602" s="422"/>
      <c r="M602" s="422"/>
      <c r="N602" s="422"/>
      <c r="O602" s="422"/>
      <c r="P602" s="422"/>
      <c r="Q602" s="422"/>
      <c r="R602" s="98"/>
      <c r="S602" s="98" t="str">
        <f>IFERROR(__xludf.DUMMYFUNCTION("""COMPUTED_VALUE"""),"-")</f>
        <v>-</v>
      </c>
      <c r="T602" s="98"/>
    </row>
    <row r="603">
      <c r="A603" s="422"/>
      <c r="B603" s="422"/>
      <c r="C603" s="422"/>
      <c r="D603" s="422"/>
      <c r="E603" s="422"/>
      <c r="F603" s="422"/>
      <c r="G603" s="422"/>
      <c r="H603" s="422"/>
      <c r="I603" s="422"/>
      <c r="J603" s="422"/>
      <c r="K603" s="422"/>
      <c r="L603" s="422"/>
      <c r="M603" s="422"/>
      <c r="N603" s="422"/>
      <c r="O603" s="422"/>
      <c r="P603" s="422"/>
      <c r="Q603" s="422"/>
      <c r="R603" s="98"/>
      <c r="S603" s="98" t="str">
        <f>IFERROR(__xludf.DUMMYFUNCTION("""COMPUTED_VALUE"""),"-")</f>
        <v>-</v>
      </c>
      <c r="T603" s="98"/>
    </row>
    <row r="604">
      <c r="A604" s="422"/>
      <c r="B604" s="422"/>
      <c r="C604" s="422"/>
      <c r="D604" s="422"/>
      <c r="E604" s="422"/>
      <c r="F604" s="422"/>
      <c r="G604" s="422"/>
      <c r="H604" s="422"/>
      <c r="I604" s="422"/>
      <c r="J604" s="422"/>
      <c r="K604" s="422"/>
      <c r="L604" s="422"/>
      <c r="M604" s="422"/>
      <c r="N604" s="422"/>
      <c r="O604" s="422"/>
      <c r="P604" s="422"/>
      <c r="Q604" s="422"/>
      <c r="R604" s="98"/>
      <c r="S604" s="98" t="str">
        <f>IFERROR(__xludf.DUMMYFUNCTION("""COMPUTED_VALUE"""),"-")</f>
        <v>-</v>
      </c>
      <c r="T604" s="98"/>
    </row>
    <row r="605">
      <c r="A605" s="422"/>
      <c r="B605" s="422"/>
      <c r="C605" s="422"/>
      <c r="D605" s="422"/>
      <c r="E605" s="422"/>
      <c r="F605" s="422"/>
      <c r="G605" s="422"/>
      <c r="H605" s="422"/>
      <c r="I605" s="422"/>
      <c r="J605" s="422"/>
      <c r="K605" s="422"/>
      <c r="L605" s="422"/>
      <c r="M605" s="422"/>
      <c r="N605" s="422"/>
      <c r="O605" s="422"/>
      <c r="P605" s="422"/>
      <c r="Q605" s="422"/>
      <c r="R605" s="98"/>
      <c r="S605" s="98" t="str">
        <f>IFERROR(__xludf.DUMMYFUNCTION("""COMPUTED_VALUE"""),"-")</f>
        <v>-</v>
      </c>
      <c r="T605" s="98"/>
    </row>
    <row r="606">
      <c r="A606" s="422"/>
      <c r="B606" s="422"/>
      <c r="C606" s="422"/>
      <c r="D606" s="422"/>
      <c r="E606" s="422"/>
      <c r="F606" s="422"/>
      <c r="G606" s="422"/>
      <c r="H606" s="422"/>
      <c r="I606" s="422"/>
      <c r="J606" s="422"/>
      <c r="K606" s="422"/>
      <c r="L606" s="422"/>
      <c r="M606" s="422"/>
      <c r="N606" s="422"/>
      <c r="O606" s="422"/>
      <c r="P606" s="422"/>
      <c r="Q606" s="422"/>
      <c r="R606" s="98"/>
      <c r="S606" s="98" t="str">
        <f>IFERROR(__xludf.DUMMYFUNCTION("""COMPUTED_VALUE"""),"-")</f>
        <v>-</v>
      </c>
      <c r="T606" s="98"/>
    </row>
    <row r="607">
      <c r="A607" s="422"/>
      <c r="B607" s="422"/>
      <c r="C607" s="422"/>
      <c r="D607" s="422"/>
      <c r="E607" s="422"/>
      <c r="F607" s="422"/>
      <c r="G607" s="422"/>
      <c r="H607" s="422"/>
      <c r="I607" s="422"/>
      <c r="J607" s="422"/>
      <c r="K607" s="422"/>
      <c r="L607" s="422"/>
      <c r="M607" s="422"/>
      <c r="N607" s="422"/>
      <c r="O607" s="422"/>
      <c r="P607" s="422"/>
      <c r="Q607" s="422"/>
      <c r="R607" s="98"/>
      <c r="S607" s="98" t="str">
        <f>IFERROR(__xludf.DUMMYFUNCTION("""COMPUTED_VALUE"""),"-")</f>
        <v>-</v>
      </c>
      <c r="T607" s="98"/>
    </row>
    <row r="608">
      <c r="A608" s="422"/>
      <c r="B608" s="422"/>
      <c r="C608" s="422"/>
      <c r="D608" s="422"/>
      <c r="E608" s="422"/>
      <c r="F608" s="422"/>
      <c r="G608" s="422"/>
      <c r="H608" s="422"/>
      <c r="I608" s="422"/>
      <c r="J608" s="422"/>
      <c r="K608" s="422"/>
      <c r="L608" s="422"/>
      <c r="M608" s="422"/>
      <c r="N608" s="422"/>
      <c r="O608" s="422"/>
      <c r="P608" s="422"/>
      <c r="Q608" s="422"/>
      <c r="R608" s="98"/>
      <c r="S608" s="98" t="str">
        <f>IFERROR(__xludf.DUMMYFUNCTION("""COMPUTED_VALUE"""),"-")</f>
        <v>-</v>
      </c>
      <c r="T608" s="98"/>
    </row>
    <row r="609">
      <c r="A609" s="422"/>
      <c r="B609" s="422"/>
      <c r="C609" s="422"/>
      <c r="D609" s="422"/>
      <c r="E609" s="422"/>
      <c r="F609" s="422"/>
      <c r="G609" s="422"/>
      <c r="H609" s="422"/>
      <c r="I609" s="422"/>
      <c r="J609" s="422"/>
      <c r="K609" s="422"/>
      <c r="L609" s="422"/>
      <c r="M609" s="422"/>
      <c r="N609" s="422"/>
      <c r="O609" s="422"/>
      <c r="P609" s="422"/>
      <c r="Q609" s="422"/>
      <c r="R609" s="98"/>
      <c r="S609" s="98" t="str">
        <f>IFERROR(__xludf.DUMMYFUNCTION("""COMPUTED_VALUE"""),"-")</f>
        <v>-</v>
      </c>
      <c r="T609" s="98"/>
    </row>
    <row r="610">
      <c r="A610" s="422"/>
      <c r="B610" s="422"/>
      <c r="C610" s="422"/>
      <c r="D610" s="422"/>
      <c r="E610" s="422"/>
      <c r="F610" s="422"/>
      <c r="G610" s="422"/>
      <c r="H610" s="422"/>
      <c r="I610" s="422"/>
      <c r="J610" s="422"/>
      <c r="K610" s="422"/>
      <c r="L610" s="422"/>
      <c r="M610" s="422"/>
      <c r="N610" s="422"/>
      <c r="O610" s="422"/>
      <c r="P610" s="422"/>
      <c r="Q610" s="422"/>
      <c r="R610" s="98"/>
      <c r="S610" s="98" t="str">
        <f>IFERROR(__xludf.DUMMYFUNCTION("""COMPUTED_VALUE"""),"-")</f>
        <v>-</v>
      </c>
      <c r="T610" s="98"/>
    </row>
    <row r="611">
      <c r="A611" s="422"/>
      <c r="B611" s="422"/>
      <c r="C611" s="422"/>
      <c r="D611" s="422"/>
      <c r="E611" s="422"/>
      <c r="F611" s="422"/>
      <c r="G611" s="422"/>
      <c r="H611" s="422"/>
      <c r="I611" s="422"/>
      <c r="J611" s="422"/>
      <c r="K611" s="422"/>
      <c r="L611" s="422"/>
      <c r="M611" s="422"/>
      <c r="N611" s="422"/>
      <c r="O611" s="422"/>
      <c r="P611" s="422"/>
      <c r="Q611" s="422"/>
      <c r="R611" s="98"/>
      <c r="S611" s="98" t="str">
        <f>IFERROR(__xludf.DUMMYFUNCTION("""COMPUTED_VALUE"""),"-")</f>
        <v>-</v>
      </c>
      <c r="T611" s="98"/>
    </row>
    <row r="612">
      <c r="A612" s="422"/>
      <c r="B612" s="422"/>
      <c r="C612" s="422"/>
      <c r="D612" s="422"/>
      <c r="E612" s="422"/>
      <c r="F612" s="422"/>
      <c r="G612" s="422"/>
      <c r="H612" s="422"/>
      <c r="I612" s="422"/>
      <c r="J612" s="422"/>
      <c r="K612" s="422"/>
      <c r="L612" s="422"/>
      <c r="M612" s="422"/>
      <c r="N612" s="422"/>
      <c r="O612" s="422"/>
      <c r="P612" s="422"/>
      <c r="Q612" s="422"/>
      <c r="R612" s="98"/>
      <c r="S612" s="98" t="str">
        <f>IFERROR(__xludf.DUMMYFUNCTION("""COMPUTED_VALUE"""),"-")</f>
        <v>-</v>
      </c>
      <c r="T612" s="98"/>
    </row>
    <row r="613">
      <c r="A613" s="422"/>
      <c r="B613" s="422"/>
      <c r="C613" s="422"/>
      <c r="D613" s="422"/>
      <c r="E613" s="422"/>
      <c r="F613" s="422"/>
      <c r="G613" s="422"/>
      <c r="H613" s="422"/>
      <c r="I613" s="422"/>
      <c r="J613" s="422"/>
      <c r="K613" s="422"/>
      <c r="L613" s="422"/>
      <c r="M613" s="422"/>
      <c r="N613" s="422"/>
      <c r="O613" s="422"/>
      <c r="P613" s="422"/>
      <c r="Q613" s="422"/>
      <c r="R613" s="98"/>
      <c r="S613" s="98" t="str">
        <f>IFERROR(__xludf.DUMMYFUNCTION("""COMPUTED_VALUE"""),"-")</f>
        <v>-</v>
      </c>
      <c r="T613" s="98"/>
    </row>
    <row r="614">
      <c r="A614" s="422"/>
      <c r="B614" s="422"/>
      <c r="C614" s="422"/>
      <c r="D614" s="422"/>
      <c r="E614" s="422"/>
      <c r="F614" s="422"/>
      <c r="G614" s="422"/>
      <c r="H614" s="422"/>
      <c r="I614" s="422"/>
      <c r="J614" s="422"/>
      <c r="K614" s="422"/>
      <c r="L614" s="422"/>
      <c r="M614" s="422"/>
      <c r="N614" s="422"/>
      <c r="O614" s="422"/>
      <c r="P614" s="422"/>
      <c r="Q614" s="422"/>
      <c r="R614" s="98"/>
      <c r="S614" s="98" t="str">
        <f>IFERROR(__xludf.DUMMYFUNCTION("""COMPUTED_VALUE"""),"-")</f>
        <v>-</v>
      </c>
      <c r="T614" s="98"/>
    </row>
    <row r="615">
      <c r="A615" s="422"/>
      <c r="B615" s="422"/>
      <c r="C615" s="422"/>
      <c r="D615" s="422"/>
      <c r="E615" s="422"/>
      <c r="F615" s="422"/>
      <c r="G615" s="422"/>
      <c r="H615" s="422"/>
      <c r="I615" s="422"/>
      <c r="J615" s="422"/>
      <c r="K615" s="422"/>
      <c r="L615" s="422"/>
      <c r="M615" s="422"/>
      <c r="N615" s="422"/>
      <c r="O615" s="422"/>
      <c r="P615" s="422"/>
      <c r="Q615" s="422"/>
      <c r="R615" s="98"/>
      <c r="S615" s="98" t="str">
        <f>IFERROR(__xludf.DUMMYFUNCTION("""COMPUTED_VALUE"""),"-")</f>
        <v>-</v>
      </c>
      <c r="T615" s="98"/>
    </row>
    <row r="616">
      <c r="A616" s="422"/>
      <c r="B616" s="422"/>
      <c r="C616" s="422"/>
      <c r="D616" s="422"/>
      <c r="E616" s="422"/>
      <c r="F616" s="422"/>
      <c r="G616" s="422"/>
      <c r="H616" s="422"/>
      <c r="I616" s="422"/>
      <c r="J616" s="422"/>
      <c r="K616" s="422"/>
      <c r="L616" s="422"/>
      <c r="M616" s="422"/>
      <c r="N616" s="422"/>
      <c r="O616" s="422"/>
      <c r="P616" s="422"/>
      <c r="Q616" s="422"/>
      <c r="R616" s="98"/>
      <c r="S616" s="98" t="str">
        <f>IFERROR(__xludf.DUMMYFUNCTION("""COMPUTED_VALUE"""),"-")</f>
        <v>-</v>
      </c>
      <c r="T616" s="98"/>
    </row>
    <row r="617">
      <c r="A617" s="422"/>
      <c r="B617" s="422"/>
      <c r="C617" s="422"/>
      <c r="D617" s="422"/>
      <c r="E617" s="422"/>
      <c r="F617" s="422"/>
      <c r="G617" s="422"/>
      <c r="H617" s="422"/>
      <c r="I617" s="422"/>
      <c r="J617" s="422"/>
      <c r="K617" s="422"/>
      <c r="L617" s="422"/>
      <c r="M617" s="422"/>
      <c r="N617" s="422"/>
      <c r="O617" s="422"/>
      <c r="P617" s="422"/>
      <c r="Q617" s="422"/>
      <c r="R617" s="98"/>
      <c r="S617" s="98" t="str">
        <f>IFERROR(__xludf.DUMMYFUNCTION("""COMPUTED_VALUE"""),"-")</f>
        <v>-</v>
      </c>
      <c r="T617" s="98"/>
    </row>
    <row r="618">
      <c r="A618" s="422"/>
      <c r="B618" s="422"/>
      <c r="C618" s="422"/>
      <c r="D618" s="422"/>
      <c r="E618" s="422"/>
      <c r="F618" s="422"/>
      <c r="G618" s="422"/>
      <c r="H618" s="422"/>
      <c r="I618" s="422"/>
      <c r="J618" s="422"/>
      <c r="K618" s="422"/>
      <c r="L618" s="422"/>
      <c r="M618" s="422"/>
      <c r="N618" s="422"/>
      <c r="O618" s="422"/>
      <c r="P618" s="422"/>
      <c r="Q618" s="422"/>
      <c r="R618" s="98"/>
      <c r="S618" s="98" t="str">
        <f>IFERROR(__xludf.DUMMYFUNCTION("""COMPUTED_VALUE"""),"-")</f>
        <v>-</v>
      </c>
      <c r="T618" s="98"/>
    </row>
    <row r="619">
      <c r="A619" s="422"/>
      <c r="B619" s="422"/>
      <c r="C619" s="422"/>
      <c r="D619" s="422"/>
      <c r="E619" s="422"/>
      <c r="F619" s="422"/>
      <c r="G619" s="422"/>
      <c r="H619" s="422"/>
      <c r="I619" s="422"/>
      <c r="J619" s="422"/>
      <c r="K619" s="422"/>
      <c r="L619" s="422"/>
      <c r="M619" s="422"/>
      <c r="N619" s="422"/>
      <c r="O619" s="422"/>
      <c r="P619" s="422"/>
      <c r="Q619" s="422"/>
      <c r="R619" s="98"/>
      <c r="S619" s="98" t="str">
        <f>IFERROR(__xludf.DUMMYFUNCTION("""COMPUTED_VALUE"""),"-")</f>
        <v>-</v>
      </c>
      <c r="T619" s="98"/>
    </row>
    <row r="620">
      <c r="A620" s="422"/>
      <c r="B620" s="422"/>
      <c r="C620" s="422"/>
      <c r="D620" s="422"/>
      <c r="E620" s="422"/>
      <c r="F620" s="422"/>
      <c r="G620" s="422"/>
      <c r="H620" s="422"/>
      <c r="I620" s="422"/>
      <c r="J620" s="422"/>
      <c r="K620" s="422"/>
      <c r="L620" s="422"/>
      <c r="M620" s="422"/>
      <c r="N620" s="422"/>
      <c r="O620" s="422"/>
      <c r="P620" s="422"/>
      <c r="Q620" s="422"/>
      <c r="R620" s="98"/>
      <c r="S620" s="98" t="str">
        <f>IFERROR(__xludf.DUMMYFUNCTION("""COMPUTED_VALUE"""),"-")</f>
        <v>-</v>
      </c>
      <c r="T620" s="98"/>
    </row>
    <row r="621">
      <c r="A621" s="422"/>
      <c r="B621" s="422"/>
      <c r="C621" s="422"/>
      <c r="D621" s="422"/>
      <c r="E621" s="422"/>
      <c r="F621" s="422"/>
      <c r="G621" s="422"/>
      <c r="H621" s="422"/>
      <c r="I621" s="422"/>
      <c r="J621" s="422"/>
      <c r="K621" s="422"/>
      <c r="L621" s="422"/>
      <c r="M621" s="422"/>
      <c r="N621" s="422"/>
      <c r="O621" s="422"/>
      <c r="P621" s="422"/>
      <c r="Q621" s="422"/>
      <c r="R621" s="98"/>
      <c r="S621" s="98" t="str">
        <f>IFERROR(__xludf.DUMMYFUNCTION("""COMPUTED_VALUE"""),"-")</f>
        <v>-</v>
      </c>
      <c r="T621" s="98"/>
    </row>
    <row r="622">
      <c r="A622" s="422"/>
      <c r="B622" s="422"/>
      <c r="C622" s="422"/>
      <c r="D622" s="422"/>
      <c r="E622" s="422"/>
      <c r="F622" s="422"/>
      <c r="G622" s="422"/>
      <c r="H622" s="422"/>
      <c r="I622" s="422"/>
      <c r="J622" s="422"/>
      <c r="K622" s="422"/>
      <c r="L622" s="422"/>
      <c r="M622" s="422"/>
      <c r="N622" s="422"/>
      <c r="O622" s="422"/>
      <c r="P622" s="422"/>
      <c r="Q622" s="422"/>
      <c r="R622" s="98"/>
      <c r="S622" s="98" t="str">
        <f>IFERROR(__xludf.DUMMYFUNCTION("""COMPUTED_VALUE"""),"-")</f>
        <v>-</v>
      </c>
      <c r="T622" s="98"/>
    </row>
    <row r="623">
      <c r="A623" s="422"/>
      <c r="B623" s="422"/>
      <c r="C623" s="422"/>
      <c r="D623" s="422"/>
      <c r="E623" s="422"/>
      <c r="F623" s="422"/>
      <c r="G623" s="422"/>
      <c r="H623" s="422"/>
      <c r="I623" s="422"/>
      <c r="J623" s="422"/>
      <c r="K623" s="422"/>
      <c r="L623" s="422"/>
      <c r="M623" s="422"/>
      <c r="N623" s="422"/>
      <c r="O623" s="422"/>
      <c r="P623" s="422"/>
      <c r="Q623" s="422"/>
      <c r="R623" s="98"/>
      <c r="S623" s="98" t="str">
        <f>IFERROR(__xludf.DUMMYFUNCTION("""COMPUTED_VALUE"""),"-")</f>
        <v>-</v>
      </c>
      <c r="T623" s="98"/>
    </row>
    <row r="624">
      <c r="A624" s="422"/>
      <c r="B624" s="422"/>
      <c r="C624" s="422"/>
      <c r="D624" s="422"/>
      <c r="E624" s="422"/>
      <c r="F624" s="422"/>
      <c r="G624" s="422"/>
      <c r="H624" s="422"/>
      <c r="I624" s="422"/>
      <c r="J624" s="422"/>
      <c r="K624" s="422"/>
      <c r="L624" s="422"/>
      <c r="M624" s="422"/>
      <c r="N624" s="422"/>
      <c r="O624" s="422"/>
      <c r="P624" s="422"/>
      <c r="Q624" s="422"/>
      <c r="R624" s="98"/>
      <c r="S624" s="98" t="str">
        <f>IFERROR(__xludf.DUMMYFUNCTION("""COMPUTED_VALUE"""),"-")</f>
        <v>-</v>
      </c>
      <c r="T624" s="98"/>
    </row>
    <row r="625">
      <c r="A625" s="422"/>
      <c r="B625" s="422"/>
      <c r="C625" s="422"/>
      <c r="D625" s="422"/>
      <c r="E625" s="422"/>
      <c r="F625" s="422"/>
      <c r="G625" s="422"/>
      <c r="H625" s="422"/>
      <c r="I625" s="422"/>
      <c r="J625" s="422"/>
      <c r="K625" s="422"/>
      <c r="L625" s="422"/>
      <c r="M625" s="422"/>
      <c r="N625" s="422"/>
      <c r="O625" s="422"/>
      <c r="P625" s="422"/>
      <c r="Q625" s="422"/>
      <c r="R625" s="98"/>
      <c r="S625" s="98" t="str">
        <f>IFERROR(__xludf.DUMMYFUNCTION("""COMPUTED_VALUE"""),"-")</f>
        <v>-</v>
      </c>
      <c r="T625" s="98"/>
    </row>
    <row r="626">
      <c r="A626" s="422"/>
      <c r="B626" s="422"/>
      <c r="C626" s="422"/>
      <c r="D626" s="422"/>
      <c r="E626" s="422"/>
      <c r="F626" s="422"/>
      <c r="G626" s="422"/>
      <c r="H626" s="422"/>
      <c r="I626" s="422"/>
      <c r="J626" s="422"/>
      <c r="K626" s="422"/>
      <c r="L626" s="422"/>
      <c r="M626" s="422"/>
      <c r="N626" s="422"/>
      <c r="O626" s="422"/>
      <c r="P626" s="422"/>
      <c r="Q626" s="422"/>
      <c r="R626" s="98"/>
      <c r="S626" s="98" t="str">
        <f>IFERROR(__xludf.DUMMYFUNCTION("""COMPUTED_VALUE"""),"-")</f>
        <v>-</v>
      </c>
      <c r="T626" s="98"/>
    </row>
    <row r="627">
      <c r="A627" s="422"/>
      <c r="B627" s="422"/>
      <c r="C627" s="422"/>
      <c r="D627" s="422"/>
      <c r="E627" s="422"/>
      <c r="F627" s="422"/>
      <c r="G627" s="422"/>
      <c r="H627" s="422"/>
      <c r="I627" s="422"/>
      <c r="J627" s="422"/>
      <c r="K627" s="422"/>
      <c r="L627" s="422"/>
      <c r="M627" s="422"/>
      <c r="N627" s="422"/>
      <c r="O627" s="422"/>
      <c r="P627" s="422"/>
      <c r="Q627" s="422"/>
      <c r="R627" s="98"/>
      <c r="S627" s="98" t="str">
        <f>IFERROR(__xludf.DUMMYFUNCTION("""COMPUTED_VALUE"""),"-")</f>
        <v>-</v>
      </c>
      <c r="T627" s="98"/>
    </row>
    <row r="628">
      <c r="A628" s="422"/>
      <c r="B628" s="422"/>
      <c r="C628" s="422"/>
      <c r="D628" s="422"/>
      <c r="E628" s="422"/>
      <c r="F628" s="422"/>
      <c r="G628" s="422"/>
      <c r="H628" s="422"/>
      <c r="I628" s="422"/>
      <c r="J628" s="422"/>
      <c r="K628" s="422"/>
      <c r="L628" s="422"/>
      <c r="M628" s="422"/>
      <c r="N628" s="422"/>
      <c r="O628" s="422"/>
      <c r="P628" s="422"/>
      <c r="Q628" s="422"/>
      <c r="R628" s="98"/>
      <c r="S628" s="98" t="str">
        <f>IFERROR(__xludf.DUMMYFUNCTION("""COMPUTED_VALUE"""),"-")</f>
        <v>-</v>
      </c>
      <c r="T628" s="98"/>
    </row>
    <row r="629">
      <c r="A629" s="422"/>
      <c r="B629" s="422"/>
      <c r="C629" s="422"/>
      <c r="D629" s="422"/>
      <c r="E629" s="422"/>
      <c r="F629" s="422"/>
      <c r="G629" s="422"/>
      <c r="H629" s="422"/>
      <c r="I629" s="422"/>
      <c r="J629" s="422"/>
      <c r="K629" s="422"/>
      <c r="L629" s="422"/>
      <c r="M629" s="422"/>
      <c r="N629" s="422"/>
      <c r="O629" s="422"/>
      <c r="P629" s="422"/>
      <c r="Q629" s="422"/>
      <c r="R629" s="98"/>
      <c r="S629" s="98" t="str">
        <f>IFERROR(__xludf.DUMMYFUNCTION("""COMPUTED_VALUE"""),"-")</f>
        <v>-</v>
      </c>
      <c r="T629" s="98"/>
    </row>
    <row r="630">
      <c r="A630" s="422"/>
      <c r="B630" s="422"/>
      <c r="C630" s="422"/>
      <c r="D630" s="422"/>
      <c r="E630" s="422"/>
      <c r="F630" s="422"/>
      <c r="G630" s="422"/>
      <c r="H630" s="422"/>
      <c r="I630" s="422"/>
      <c r="J630" s="422"/>
      <c r="K630" s="422"/>
      <c r="L630" s="422"/>
      <c r="M630" s="422"/>
      <c r="N630" s="422"/>
      <c r="O630" s="422"/>
      <c r="P630" s="422"/>
      <c r="Q630" s="422"/>
      <c r="R630" s="98"/>
      <c r="S630" s="98" t="str">
        <f>IFERROR(__xludf.DUMMYFUNCTION("""COMPUTED_VALUE"""),"-")</f>
        <v>-</v>
      </c>
      <c r="T630" s="98"/>
    </row>
    <row r="631">
      <c r="A631" s="422"/>
      <c r="B631" s="422"/>
      <c r="C631" s="422"/>
      <c r="D631" s="422"/>
      <c r="E631" s="422"/>
      <c r="F631" s="422"/>
      <c r="G631" s="422"/>
      <c r="H631" s="422"/>
      <c r="I631" s="422"/>
      <c r="J631" s="422"/>
      <c r="K631" s="422"/>
      <c r="L631" s="422"/>
      <c r="M631" s="422"/>
      <c r="N631" s="422"/>
      <c r="O631" s="422"/>
      <c r="P631" s="422"/>
      <c r="Q631" s="422"/>
      <c r="R631" s="98"/>
      <c r="S631" s="98" t="str">
        <f>IFERROR(__xludf.DUMMYFUNCTION("""COMPUTED_VALUE"""),"-")</f>
        <v>-</v>
      </c>
      <c r="T631" s="98"/>
    </row>
    <row r="632">
      <c r="A632" s="422"/>
      <c r="B632" s="422"/>
      <c r="C632" s="422"/>
      <c r="D632" s="422"/>
      <c r="E632" s="422"/>
      <c r="F632" s="422"/>
      <c r="G632" s="422"/>
      <c r="H632" s="422"/>
      <c r="I632" s="422"/>
      <c r="J632" s="422"/>
      <c r="K632" s="422"/>
      <c r="L632" s="422"/>
      <c r="M632" s="422"/>
      <c r="N632" s="422"/>
      <c r="O632" s="422"/>
      <c r="P632" s="422"/>
      <c r="Q632" s="422"/>
      <c r="R632" s="98"/>
      <c r="S632" s="98" t="str">
        <f>IFERROR(__xludf.DUMMYFUNCTION("""COMPUTED_VALUE"""),"-")</f>
        <v>-</v>
      </c>
      <c r="T632" s="98"/>
    </row>
    <row r="633">
      <c r="A633" s="422"/>
      <c r="B633" s="422"/>
      <c r="C633" s="422"/>
      <c r="D633" s="422"/>
      <c r="E633" s="422"/>
      <c r="F633" s="422"/>
      <c r="G633" s="422"/>
      <c r="H633" s="422"/>
      <c r="I633" s="422"/>
      <c r="J633" s="422"/>
      <c r="K633" s="422"/>
      <c r="L633" s="422"/>
      <c r="M633" s="422"/>
      <c r="N633" s="422"/>
      <c r="O633" s="422"/>
      <c r="P633" s="422"/>
      <c r="Q633" s="422"/>
      <c r="R633" s="98"/>
      <c r="S633" s="98" t="str">
        <f>IFERROR(__xludf.DUMMYFUNCTION("""COMPUTED_VALUE"""),"-")</f>
        <v>-</v>
      </c>
      <c r="T633" s="98"/>
    </row>
    <row r="634">
      <c r="A634" s="422"/>
      <c r="B634" s="422"/>
      <c r="C634" s="422"/>
      <c r="D634" s="422"/>
      <c r="E634" s="422"/>
      <c r="F634" s="422"/>
      <c r="G634" s="422"/>
      <c r="H634" s="422"/>
      <c r="I634" s="422"/>
      <c r="J634" s="422"/>
      <c r="K634" s="422"/>
      <c r="L634" s="422"/>
      <c r="M634" s="422"/>
      <c r="N634" s="422"/>
      <c r="O634" s="422"/>
      <c r="P634" s="422"/>
      <c r="Q634" s="422"/>
      <c r="R634" s="98"/>
      <c r="S634" s="98" t="str">
        <f>IFERROR(__xludf.DUMMYFUNCTION("""COMPUTED_VALUE"""),"-")</f>
        <v>-</v>
      </c>
      <c r="T634" s="98"/>
    </row>
    <row r="635">
      <c r="A635" s="422"/>
      <c r="B635" s="422"/>
      <c r="C635" s="422"/>
      <c r="D635" s="422"/>
      <c r="E635" s="422"/>
      <c r="F635" s="422"/>
      <c r="G635" s="422"/>
      <c r="H635" s="422"/>
      <c r="I635" s="422"/>
      <c r="J635" s="422"/>
      <c r="K635" s="422"/>
      <c r="L635" s="422"/>
      <c r="M635" s="422"/>
      <c r="N635" s="422"/>
      <c r="O635" s="422"/>
      <c r="P635" s="422"/>
      <c r="Q635" s="422"/>
      <c r="R635" s="98"/>
      <c r="S635" s="98" t="str">
        <f>IFERROR(__xludf.DUMMYFUNCTION("""COMPUTED_VALUE"""),"-")</f>
        <v>-</v>
      </c>
      <c r="T635" s="98"/>
    </row>
    <row r="636">
      <c r="A636" s="422"/>
      <c r="B636" s="422"/>
      <c r="C636" s="422"/>
      <c r="D636" s="422"/>
      <c r="E636" s="422"/>
      <c r="F636" s="422"/>
      <c r="G636" s="422"/>
      <c r="H636" s="422"/>
      <c r="I636" s="422"/>
      <c r="J636" s="422"/>
      <c r="K636" s="422"/>
      <c r="L636" s="422"/>
      <c r="M636" s="422"/>
      <c r="N636" s="422"/>
      <c r="O636" s="422"/>
      <c r="P636" s="422"/>
      <c r="Q636" s="422"/>
      <c r="R636" s="98"/>
      <c r="S636" s="98" t="str">
        <f>IFERROR(__xludf.DUMMYFUNCTION("""COMPUTED_VALUE"""),"-")</f>
        <v>-</v>
      </c>
      <c r="T636" s="98"/>
    </row>
    <row r="637">
      <c r="A637" s="422"/>
      <c r="B637" s="422"/>
      <c r="C637" s="422"/>
      <c r="D637" s="422"/>
      <c r="E637" s="422"/>
      <c r="F637" s="422"/>
      <c r="G637" s="422"/>
      <c r="H637" s="422"/>
      <c r="I637" s="422"/>
      <c r="J637" s="422"/>
      <c r="K637" s="422"/>
      <c r="L637" s="422"/>
      <c r="M637" s="422"/>
      <c r="N637" s="422"/>
      <c r="O637" s="422"/>
      <c r="P637" s="422"/>
      <c r="Q637" s="422"/>
      <c r="R637" s="98"/>
      <c r="S637" s="98" t="str">
        <f>IFERROR(__xludf.DUMMYFUNCTION("""COMPUTED_VALUE"""),"-")</f>
        <v>-</v>
      </c>
      <c r="T637" s="98"/>
    </row>
    <row r="638">
      <c r="A638" s="422"/>
      <c r="B638" s="422"/>
      <c r="C638" s="422"/>
      <c r="D638" s="422"/>
      <c r="E638" s="422"/>
      <c r="F638" s="422"/>
      <c r="G638" s="422"/>
      <c r="H638" s="422"/>
      <c r="I638" s="422"/>
      <c r="J638" s="422"/>
      <c r="K638" s="422"/>
      <c r="L638" s="422"/>
      <c r="M638" s="422"/>
      <c r="N638" s="422"/>
      <c r="O638" s="422"/>
      <c r="P638" s="422"/>
      <c r="Q638" s="422"/>
      <c r="R638" s="98"/>
      <c r="S638" s="98" t="str">
        <f>IFERROR(__xludf.DUMMYFUNCTION("""COMPUTED_VALUE"""),"-")</f>
        <v>-</v>
      </c>
      <c r="T638" s="98"/>
    </row>
    <row r="639">
      <c r="A639" s="422"/>
      <c r="B639" s="422"/>
      <c r="C639" s="422"/>
      <c r="D639" s="422"/>
      <c r="E639" s="422"/>
      <c r="F639" s="422"/>
      <c r="G639" s="422"/>
      <c r="H639" s="422"/>
      <c r="I639" s="422"/>
      <c r="J639" s="422"/>
      <c r="K639" s="422"/>
      <c r="L639" s="422"/>
      <c r="M639" s="422"/>
      <c r="N639" s="422"/>
      <c r="O639" s="422"/>
      <c r="P639" s="422"/>
      <c r="Q639" s="422"/>
      <c r="R639" s="98"/>
      <c r="S639" s="98" t="str">
        <f>IFERROR(__xludf.DUMMYFUNCTION("""COMPUTED_VALUE"""),"-")</f>
        <v>-</v>
      </c>
      <c r="T639" s="98"/>
    </row>
    <row r="640">
      <c r="A640" s="422"/>
      <c r="B640" s="422"/>
      <c r="C640" s="422"/>
      <c r="D640" s="422"/>
      <c r="E640" s="422"/>
      <c r="F640" s="422"/>
      <c r="G640" s="422"/>
      <c r="H640" s="422"/>
      <c r="I640" s="422"/>
      <c r="J640" s="422"/>
      <c r="K640" s="422"/>
      <c r="L640" s="422"/>
      <c r="M640" s="422"/>
      <c r="N640" s="422"/>
      <c r="O640" s="422"/>
      <c r="P640" s="422"/>
      <c r="Q640" s="422"/>
      <c r="R640" s="98"/>
      <c r="S640" s="98" t="str">
        <f>IFERROR(__xludf.DUMMYFUNCTION("""COMPUTED_VALUE"""),"-")</f>
        <v>-</v>
      </c>
      <c r="T640" s="98"/>
    </row>
    <row r="641">
      <c r="A641" s="422"/>
      <c r="B641" s="422"/>
      <c r="C641" s="422"/>
      <c r="D641" s="422"/>
      <c r="E641" s="422"/>
      <c r="F641" s="422"/>
      <c r="G641" s="422"/>
      <c r="H641" s="422"/>
      <c r="I641" s="422"/>
      <c r="J641" s="422"/>
      <c r="K641" s="422"/>
      <c r="L641" s="422"/>
      <c r="M641" s="422"/>
      <c r="N641" s="422"/>
      <c r="O641" s="422"/>
      <c r="P641" s="422"/>
      <c r="Q641" s="422"/>
      <c r="R641" s="98"/>
      <c r="S641" s="98" t="str">
        <f>IFERROR(__xludf.DUMMYFUNCTION("""COMPUTED_VALUE"""),"-")</f>
        <v>-</v>
      </c>
      <c r="T641" s="98"/>
    </row>
    <row r="642">
      <c r="A642" s="422"/>
      <c r="B642" s="422"/>
      <c r="C642" s="422"/>
      <c r="D642" s="422"/>
      <c r="E642" s="422"/>
      <c r="F642" s="422"/>
      <c r="G642" s="422"/>
      <c r="H642" s="422"/>
      <c r="I642" s="422"/>
      <c r="J642" s="422"/>
      <c r="K642" s="422"/>
      <c r="L642" s="422"/>
      <c r="M642" s="422"/>
      <c r="N642" s="422"/>
      <c r="O642" s="422"/>
      <c r="P642" s="422"/>
      <c r="Q642" s="422"/>
      <c r="R642" s="98"/>
      <c r="S642" s="98" t="str">
        <f>IFERROR(__xludf.DUMMYFUNCTION("""COMPUTED_VALUE"""),"-")</f>
        <v>-</v>
      </c>
      <c r="T642" s="98"/>
    </row>
    <row r="643">
      <c r="A643" s="422"/>
      <c r="B643" s="422"/>
      <c r="C643" s="422"/>
      <c r="D643" s="422"/>
      <c r="E643" s="422"/>
      <c r="F643" s="422"/>
      <c r="G643" s="422"/>
      <c r="H643" s="422"/>
      <c r="I643" s="422"/>
      <c r="J643" s="422"/>
      <c r="K643" s="422"/>
      <c r="L643" s="422"/>
      <c r="M643" s="422"/>
      <c r="N643" s="422"/>
      <c r="O643" s="422"/>
      <c r="P643" s="422"/>
      <c r="Q643" s="422"/>
      <c r="R643" s="98"/>
      <c r="S643" s="98" t="str">
        <f>IFERROR(__xludf.DUMMYFUNCTION("""COMPUTED_VALUE"""),"-")</f>
        <v>-</v>
      </c>
      <c r="T643" s="98"/>
    </row>
    <row r="644">
      <c r="A644" s="422"/>
      <c r="B644" s="422"/>
      <c r="C644" s="422"/>
      <c r="D644" s="422"/>
      <c r="E644" s="422"/>
      <c r="F644" s="422"/>
      <c r="G644" s="422"/>
      <c r="H644" s="422"/>
      <c r="I644" s="422"/>
      <c r="J644" s="422"/>
      <c r="K644" s="422"/>
      <c r="L644" s="422"/>
      <c r="M644" s="422"/>
      <c r="N644" s="422"/>
      <c r="O644" s="422"/>
      <c r="P644" s="422"/>
      <c r="Q644" s="422"/>
      <c r="R644" s="98"/>
      <c r="S644" s="98" t="str">
        <f>IFERROR(__xludf.DUMMYFUNCTION("""COMPUTED_VALUE"""),"-")</f>
        <v>-</v>
      </c>
      <c r="T644" s="98"/>
    </row>
    <row r="645">
      <c r="A645" s="422"/>
      <c r="B645" s="422"/>
      <c r="C645" s="422"/>
      <c r="D645" s="422"/>
      <c r="E645" s="422"/>
      <c r="F645" s="422"/>
      <c r="G645" s="422"/>
      <c r="H645" s="422"/>
      <c r="I645" s="422"/>
      <c r="J645" s="422"/>
      <c r="K645" s="422"/>
      <c r="L645" s="422"/>
      <c r="M645" s="422"/>
      <c r="N645" s="422"/>
      <c r="O645" s="422"/>
      <c r="P645" s="422"/>
      <c r="Q645" s="422"/>
      <c r="R645" s="98"/>
      <c r="S645" s="98" t="str">
        <f>IFERROR(__xludf.DUMMYFUNCTION("""COMPUTED_VALUE"""),"-")</f>
        <v>-</v>
      </c>
      <c r="T645" s="98"/>
    </row>
    <row r="646">
      <c r="A646" s="422"/>
      <c r="B646" s="422"/>
      <c r="C646" s="422"/>
      <c r="D646" s="422"/>
      <c r="E646" s="422"/>
      <c r="F646" s="422"/>
      <c r="G646" s="422"/>
      <c r="H646" s="422"/>
      <c r="I646" s="422"/>
      <c r="J646" s="422"/>
      <c r="K646" s="422"/>
      <c r="L646" s="422"/>
      <c r="M646" s="422"/>
      <c r="N646" s="422"/>
      <c r="O646" s="422"/>
      <c r="P646" s="422"/>
      <c r="Q646" s="422"/>
      <c r="R646" s="98"/>
      <c r="S646" s="98" t="str">
        <f>IFERROR(__xludf.DUMMYFUNCTION("""COMPUTED_VALUE"""),"-")</f>
        <v>-</v>
      </c>
      <c r="T646" s="98"/>
    </row>
    <row r="647">
      <c r="A647" s="422"/>
      <c r="B647" s="422"/>
      <c r="C647" s="422"/>
      <c r="D647" s="422"/>
      <c r="E647" s="422"/>
      <c r="F647" s="422"/>
      <c r="G647" s="422"/>
      <c r="H647" s="422"/>
      <c r="I647" s="422"/>
      <c r="J647" s="422"/>
      <c r="K647" s="422"/>
      <c r="L647" s="422"/>
      <c r="M647" s="422"/>
      <c r="N647" s="422"/>
      <c r="O647" s="422"/>
      <c r="P647" s="422"/>
      <c r="Q647" s="422"/>
      <c r="R647" s="98"/>
      <c r="S647" s="98" t="str">
        <f>IFERROR(__xludf.DUMMYFUNCTION("""COMPUTED_VALUE"""),"-")</f>
        <v>-</v>
      </c>
      <c r="T647" s="98"/>
    </row>
    <row r="648">
      <c r="A648" s="422"/>
      <c r="B648" s="422"/>
      <c r="C648" s="422"/>
      <c r="D648" s="422"/>
      <c r="E648" s="422"/>
      <c r="F648" s="422"/>
      <c r="G648" s="422"/>
      <c r="H648" s="422"/>
      <c r="I648" s="422"/>
      <c r="J648" s="422"/>
      <c r="K648" s="422"/>
      <c r="L648" s="422"/>
      <c r="M648" s="422"/>
      <c r="N648" s="422"/>
      <c r="O648" s="422"/>
      <c r="P648" s="422"/>
      <c r="Q648" s="422"/>
      <c r="R648" s="98"/>
      <c r="S648" s="98" t="str">
        <f>IFERROR(__xludf.DUMMYFUNCTION("""COMPUTED_VALUE"""),"-")</f>
        <v>-</v>
      </c>
      <c r="T648" s="98"/>
    </row>
    <row r="649">
      <c r="A649" s="422"/>
      <c r="B649" s="422"/>
      <c r="C649" s="422"/>
      <c r="D649" s="422"/>
      <c r="E649" s="422"/>
      <c r="F649" s="422"/>
      <c r="G649" s="422"/>
      <c r="H649" s="422"/>
      <c r="I649" s="422"/>
      <c r="J649" s="422"/>
      <c r="K649" s="422"/>
      <c r="L649" s="422"/>
      <c r="M649" s="422"/>
      <c r="N649" s="422"/>
      <c r="O649" s="422"/>
      <c r="P649" s="422"/>
      <c r="Q649" s="422"/>
      <c r="R649" s="98"/>
      <c r="S649" s="98" t="str">
        <f>IFERROR(__xludf.DUMMYFUNCTION("""COMPUTED_VALUE"""),"-")</f>
        <v>-</v>
      </c>
      <c r="T649" s="98"/>
    </row>
    <row r="650">
      <c r="A650" s="422"/>
      <c r="B650" s="422"/>
      <c r="C650" s="422"/>
      <c r="D650" s="422"/>
      <c r="E650" s="422"/>
      <c r="F650" s="422"/>
      <c r="G650" s="422"/>
      <c r="H650" s="422"/>
      <c r="I650" s="422"/>
      <c r="J650" s="422"/>
      <c r="K650" s="422"/>
      <c r="L650" s="422"/>
      <c r="M650" s="422"/>
      <c r="N650" s="422"/>
      <c r="O650" s="422"/>
      <c r="P650" s="422"/>
      <c r="Q650" s="422"/>
      <c r="R650" s="98"/>
      <c r="S650" s="98" t="str">
        <f>IFERROR(__xludf.DUMMYFUNCTION("""COMPUTED_VALUE"""),"-")</f>
        <v>-</v>
      </c>
      <c r="T650" s="98"/>
    </row>
    <row r="651">
      <c r="A651" s="422"/>
      <c r="B651" s="422"/>
      <c r="C651" s="422"/>
      <c r="D651" s="422"/>
      <c r="E651" s="422"/>
      <c r="F651" s="422"/>
      <c r="G651" s="422"/>
      <c r="H651" s="422"/>
      <c r="I651" s="422"/>
      <c r="J651" s="422"/>
      <c r="K651" s="422"/>
      <c r="L651" s="422"/>
      <c r="M651" s="422"/>
      <c r="N651" s="422"/>
      <c r="O651" s="422"/>
      <c r="P651" s="422"/>
      <c r="Q651" s="422"/>
      <c r="R651" s="98"/>
      <c r="S651" s="98" t="str">
        <f>IFERROR(__xludf.DUMMYFUNCTION("""COMPUTED_VALUE"""),"-")</f>
        <v>-</v>
      </c>
      <c r="T651" s="98"/>
    </row>
    <row r="652">
      <c r="A652" s="422"/>
      <c r="B652" s="422"/>
      <c r="C652" s="422"/>
      <c r="D652" s="422"/>
      <c r="E652" s="422"/>
      <c r="F652" s="422"/>
      <c r="G652" s="422"/>
      <c r="H652" s="422"/>
      <c r="I652" s="422"/>
      <c r="J652" s="422"/>
      <c r="K652" s="422"/>
      <c r="L652" s="422"/>
      <c r="M652" s="422"/>
      <c r="N652" s="422"/>
      <c r="O652" s="422"/>
      <c r="P652" s="422"/>
      <c r="Q652" s="422"/>
      <c r="R652" s="98"/>
      <c r="S652" s="98" t="str">
        <f>IFERROR(__xludf.DUMMYFUNCTION("""COMPUTED_VALUE"""),"-")</f>
        <v>-</v>
      </c>
      <c r="T652" s="98"/>
    </row>
    <row r="653">
      <c r="A653" s="422"/>
      <c r="B653" s="422"/>
      <c r="C653" s="422"/>
      <c r="D653" s="422"/>
      <c r="E653" s="422"/>
      <c r="F653" s="422"/>
      <c r="G653" s="422"/>
      <c r="H653" s="422"/>
      <c r="I653" s="422"/>
      <c r="J653" s="422"/>
      <c r="K653" s="422"/>
      <c r="L653" s="422"/>
      <c r="M653" s="422"/>
      <c r="N653" s="422"/>
      <c r="O653" s="422"/>
      <c r="P653" s="422"/>
      <c r="Q653" s="422"/>
      <c r="R653" s="98"/>
      <c r="S653" s="98" t="str">
        <f>IFERROR(__xludf.DUMMYFUNCTION("""COMPUTED_VALUE"""),"-")</f>
        <v>-</v>
      </c>
      <c r="T653" s="98"/>
    </row>
    <row r="654">
      <c r="A654" s="422"/>
      <c r="B654" s="422"/>
      <c r="C654" s="422"/>
      <c r="D654" s="422"/>
      <c r="E654" s="422"/>
      <c r="F654" s="422"/>
      <c r="G654" s="422"/>
      <c r="H654" s="422"/>
      <c r="I654" s="422"/>
      <c r="J654" s="422"/>
      <c r="K654" s="422"/>
      <c r="L654" s="422"/>
      <c r="M654" s="422"/>
      <c r="N654" s="422"/>
      <c r="O654" s="422"/>
      <c r="P654" s="422"/>
      <c r="Q654" s="422"/>
      <c r="R654" s="98"/>
      <c r="S654" s="98" t="str">
        <f>IFERROR(__xludf.DUMMYFUNCTION("""COMPUTED_VALUE"""),"-")</f>
        <v>-</v>
      </c>
      <c r="T654" s="98"/>
    </row>
    <row r="655">
      <c r="A655" s="422"/>
      <c r="B655" s="422"/>
      <c r="C655" s="422"/>
      <c r="D655" s="422"/>
      <c r="E655" s="422"/>
      <c r="F655" s="422"/>
      <c r="G655" s="422"/>
      <c r="H655" s="422"/>
      <c r="I655" s="422"/>
      <c r="J655" s="422"/>
      <c r="K655" s="422"/>
      <c r="L655" s="422"/>
      <c r="M655" s="422"/>
      <c r="N655" s="422"/>
      <c r="O655" s="422"/>
      <c r="P655" s="422"/>
      <c r="Q655" s="422"/>
      <c r="R655" s="98"/>
      <c r="S655" s="98" t="str">
        <f>IFERROR(__xludf.DUMMYFUNCTION("""COMPUTED_VALUE"""),"-")</f>
        <v>-</v>
      </c>
      <c r="T655" s="98"/>
    </row>
    <row r="656">
      <c r="A656" s="422"/>
      <c r="B656" s="422"/>
      <c r="C656" s="422"/>
      <c r="D656" s="422"/>
      <c r="E656" s="422"/>
      <c r="F656" s="422"/>
      <c r="G656" s="422"/>
      <c r="H656" s="422"/>
      <c r="I656" s="422"/>
      <c r="J656" s="422"/>
      <c r="K656" s="422"/>
      <c r="L656" s="422"/>
      <c r="M656" s="422"/>
      <c r="N656" s="422"/>
      <c r="O656" s="422"/>
      <c r="P656" s="422"/>
      <c r="Q656" s="422"/>
      <c r="R656" s="98"/>
      <c r="S656" s="98" t="str">
        <f>IFERROR(__xludf.DUMMYFUNCTION("""COMPUTED_VALUE"""),"-")</f>
        <v>-</v>
      </c>
      <c r="T656" s="98"/>
    </row>
    <row r="657">
      <c r="A657" s="422"/>
      <c r="B657" s="422"/>
      <c r="C657" s="422"/>
      <c r="D657" s="422"/>
      <c r="E657" s="422"/>
      <c r="F657" s="422"/>
      <c r="G657" s="422"/>
      <c r="H657" s="422"/>
      <c r="I657" s="422"/>
      <c r="J657" s="422"/>
      <c r="K657" s="422"/>
      <c r="L657" s="422"/>
      <c r="M657" s="422"/>
      <c r="N657" s="422"/>
      <c r="O657" s="422"/>
      <c r="P657" s="422"/>
      <c r="Q657" s="422"/>
      <c r="R657" s="98"/>
      <c r="S657" s="98" t="str">
        <f>IFERROR(__xludf.DUMMYFUNCTION("""COMPUTED_VALUE"""),"-")</f>
        <v>-</v>
      </c>
      <c r="T657" s="98"/>
    </row>
    <row r="658">
      <c r="A658" s="422"/>
      <c r="B658" s="422"/>
      <c r="C658" s="422"/>
      <c r="D658" s="422"/>
      <c r="E658" s="422"/>
      <c r="F658" s="422"/>
      <c r="G658" s="422"/>
      <c r="H658" s="422"/>
      <c r="I658" s="422"/>
      <c r="J658" s="422"/>
      <c r="K658" s="422"/>
      <c r="L658" s="422"/>
      <c r="M658" s="422"/>
      <c r="N658" s="422"/>
      <c r="O658" s="422"/>
      <c r="P658" s="422"/>
      <c r="Q658" s="422"/>
      <c r="R658" s="98"/>
      <c r="S658" s="98" t="str">
        <f>IFERROR(__xludf.DUMMYFUNCTION("""COMPUTED_VALUE"""),"-")</f>
        <v>-</v>
      </c>
      <c r="T658" s="98"/>
    </row>
    <row r="659">
      <c r="A659" s="422"/>
      <c r="B659" s="422"/>
      <c r="C659" s="422"/>
      <c r="D659" s="422"/>
      <c r="E659" s="422"/>
      <c r="F659" s="422"/>
      <c r="G659" s="422"/>
      <c r="H659" s="422"/>
      <c r="I659" s="422"/>
      <c r="J659" s="422"/>
      <c r="K659" s="422"/>
      <c r="L659" s="422"/>
      <c r="M659" s="422"/>
      <c r="N659" s="422"/>
      <c r="O659" s="422"/>
      <c r="P659" s="422"/>
      <c r="Q659" s="422"/>
      <c r="R659" s="98"/>
      <c r="S659" s="98" t="str">
        <f>IFERROR(__xludf.DUMMYFUNCTION("""COMPUTED_VALUE"""),"-")</f>
        <v>-</v>
      </c>
      <c r="T659" s="98"/>
    </row>
    <row r="660">
      <c r="A660" s="422"/>
      <c r="B660" s="422"/>
      <c r="C660" s="422"/>
      <c r="D660" s="422"/>
      <c r="E660" s="422"/>
      <c r="F660" s="422"/>
      <c r="G660" s="422"/>
      <c r="H660" s="422"/>
      <c r="I660" s="422"/>
      <c r="J660" s="422"/>
      <c r="K660" s="422"/>
      <c r="L660" s="422"/>
      <c r="M660" s="422"/>
      <c r="N660" s="422"/>
      <c r="O660" s="422"/>
      <c r="P660" s="422"/>
      <c r="Q660" s="422"/>
      <c r="R660" s="98"/>
      <c r="S660" s="98" t="str">
        <f>IFERROR(__xludf.DUMMYFUNCTION("""COMPUTED_VALUE"""),"-")</f>
        <v>-</v>
      </c>
      <c r="T660" s="98"/>
    </row>
    <row r="661">
      <c r="A661" s="422"/>
      <c r="B661" s="422"/>
      <c r="C661" s="422"/>
      <c r="D661" s="422"/>
      <c r="E661" s="422"/>
      <c r="F661" s="422"/>
      <c r="G661" s="422"/>
      <c r="H661" s="422"/>
      <c r="I661" s="422"/>
      <c r="J661" s="422"/>
      <c r="K661" s="422"/>
      <c r="L661" s="422"/>
      <c r="M661" s="422"/>
      <c r="N661" s="422"/>
      <c r="O661" s="422"/>
      <c r="P661" s="422"/>
      <c r="Q661" s="422"/>
      <c r="R661" s="98"/>
      <c r="S661" s="98" t="str">
        <f>IFERROR(__xludf.DUMMYFUNCTION("""COMPUTED_VALUE"""),"-")</f>
        <v>-</v>
      </c>
      <c r="T661" s="98"/>
    </row>
    <row r="662">
      <c r="A662" s="422"/>
      <c r="B662" s="422"/>
      <c r="C662" s="422"/>
      <c r="D662" s="422"/>
      <c r="E662" s="422"/>
      <c r="F662" s="422"/>
      <c r="G662" s="422"/>
      <c r="H662" s="422"/>
      <c r="I662" s="422"/>
      <c r="J662" s="422"/>
      <c r="K662" s="422"/>
      <c r="L662" s="422"/>
      <c r="M662" s="422"/>
      <c r="N662" s="422"/>
      <c r="O662" s="422"/>
      <c r="P662" s="422"/>
      <c r="Q662" s="422"/>
      <c r="R662" s="98"/>
      <c r="S662" s="98" t="str">
        <f>IFERROR(__xludf.DUMMYFUNCTION("""COMPUTED_VALUE"""),"-")</f>
        <v>-</v>
      </c>
      <c r="T662" s="98"/>
    </row>
    <row r="663">
      <c r="A663" s="422"/>
      <c r="B663" s="422"/>
      <c r="C663" s="422"/>
      <c r="D663" s="422"/>
      <c r="E663" s="422"/>
      <c r="F663" s="422"/>
      <c r="G663" s="422"/>
      <c r="H663" s="422"/>
      <c r="I663" s="422"/>
      <c r="J663" s="422"/>
      <c r="K663" s="422"/>
      <c r="L663" s="422"/>
      <c r="M663" s="422"/>
      <c r="N663" s="422"/>
      <c r="O663" s="422"/>
      <c r="P663" s="422"/>
      <c r="Q663" s="422"/>
      <c r="R663" s="98"/>
      <c r="S663" s="98" t="str">
        <f>IFERROR(__xludf.DUMMYFUNCTION("""COMPUTED_VALUE"""),"-")</f>
        <v>-</v>
      </c>
      <c r="T663" s="98"/>
    </row>
    <row r="664">
      <c r="A664" s="422"/>
      <c r="B664" s="422"/>
      <c r="C664" s="422"/>
      <c r="D664" s="422"/>
      <c r="E664" s="422"/>
      <c r="F664" s="422"/>
      <c r="G664" s="422"/>
      <c r="H664" s="422"/>
      <c r="I664" s="422"/>
      <c r="J664" s="422"/>
      <c r="K664" s="422"/>
      <c r="L664" s="422"/>
      <c r="M664" s="422"/>
      <c r="N664" s="422"/>
      <c r="O664" s="422"/>
      <c r="P664" s="422"/>
      <c r="Q664" s="422"/>
      <c r="R664" s="98"/>
      <c r="S664" s="98" t="str">
        <f>IFERROR(__xludf.DUMMYFUNCTION("""COMPUTED_VALUE"""),"-")</f>
        <v>-</v>
      </c>
      <c r="T664" s="98"/>
    </row>
    <row r="665">
      <c r="A665" s="422"/>
      <c r="B665" s="422"/>
      <c r="C665" s="422"/>
      <c r="D665" s="422"/>
      <c r="E665" s="422"/>
      <c r="F665" s="422"/>
      <c r="G665" s="422"/>
      <c r="H665" s="422"/>
      <c r="I665" s="422"/>
      <c r="J665" s="422"/>
      <c r="K665" s="422"/>
      <c r="L665" s="422"/>
      <c r="M665" s="422"/>
      <c r="N665" s="422"/>
      <c r="O665" s="422"/>
      <c r="P665" s="422"/>
      <c r="Q665" s="422"/>
      <c r="R665" s="98"/>
      <c r="S665" s="98" t="str">
        <f>IFERROR(__xludf.DUMMYFUNCTION("""COMPUTED_VALUE"""),"-")</f>
        <v>-</v>
      </c>
      <c r="T665" s="98"/>
    </row>
    <row r="666">
      <c r="A666" s="422"/>
      <c r="B666" s="422"/>
      <c r="C666" s="422"/>
      <c r="D666" s="422"/>
      <c r="E666" s="422"/>
      <c r="F666" s="422"/>
      <c r="G666" s="422"/>
      <c r="H666" s="422"/>
      <c r="I666" s="422"/>
      <c r="J666" s="422"/>
      <c r="K666" s="422"/>
      <c r="L666" s="422"/>
      <c r="M666" s="422"/>
      <c r="N666" s="422"/>
      <c r="O666" s="422"/>
      <c r="P666" s="422"/>
      <c r="Q666" s="422"/>
      <c r="R666" s="98"/>
      <c r="S666" s="98" t="str">
        <f>IFERROR(__xludf.DUMMYFUNCTION("""COMPUTED_VALUE"""),"-")</f>
        <v>-</v>
      </c>
      <c r="T666" s="98"/>
    </row>
    <row r="667">
      <c r="A667" s="422"/>
      <c r="B667" s="422"/>
      <c r="C667" s="422"/>
      <c r="D667" s="422"/>
      <c r="E667" s="422"/>
      <c r="F667" s="422"/>
      <c r="G667" s="422"/>
      <c r="H667" s="422"/>
      <c r="I667" s="422"/>
      <c r="J667" s="422"/>
      <c r="K667" s="422"/>
      <c r="L667" s="422"/>
      <c r="M667" s="422"/>
      <c r="N667" s="422"/>
      <c r="O667" s="422"/>
      <c r="P667" s="422"/>
      <c r="Q667" s="422"/>
      <c r="R667" s="98"/>
      <c r="S667" s="98" t="str">
        <f>IFERROR(__xludf.DUMMYFUNCTION("""COMPUTED_VALUE"""),"-")</f>
        <v>-</v>
      </c>
      <c r="T667" s="98"/>
    </row>
    <row r="668">
      <c r="A668" s="422"/>
      <c r="B668" s="422"/>
      <c r="C668" s="422"/>
      <c r="D668" s="422"/>
      <c r="E668" s="422"/>
      <c r="F668" s="422"/>
      <c r="G668" s="422"/>
      <c r="H668" s="422"/>
      <c r="I668" s="422"/>
      <c r="J668" s="422"/>
      <c r="K668" s="422"/>
      <c r="L668" s="422"/>
      <c r="M668" s="422"/>
      <c r="N668" s="422"/>
      <c r="O668" s="422"/>
      <c r="P668" s="422"/>
      <c r="Q668" s="422"/>
      <c r="R668" s="98"/>
      <c r="S668" s="98" t="str">
        <f>IFERROR(__xludf.DUMMYFUNCTION("""COMPUTED_VALUE"""),"-")</f>
        <v>-</v>
      </c>
      <c r="T668" s="98"/>
    </row>
    <row r="669">
      <c r="A669" s="422"/>
      <c r="B669" s="422"/>
      <c r="C669" s="422"/>
      <c r="D669" s="422"/>
      <c r="E669" s="422"/>
      <c r="F669" s="422"/>
      <c r="G669" s="422"/>
      <c r="H669" s="422"/>
      <c r="I669" s="422"/>
      <c r="J669" s="422"/>
      <c r="K669" s="422"/>
      <c r="L669" s="422"/>
      <c r="M669" s="422"/>
      <c r="N669" s="422"/>
      <c r="O669" s="422"/>
      <c r="P669" s="422"/>
      <c r="Q669" s="422"/>
      <c r="R669" s="98"/>
      <c r="S669" s="98" t="str">
        <f>IFERROR(__xludf.DUMMYFUNCTION("""COMPUTED_VALUE"""),"-")</f>
        <v>-</v>
      </c>
      <c r="T669" s="98"/>
    </row>
    <row r="670">
      <c r="A670" s="422"/>
      <c r="B670" s="422"/>
      <c r="C670" s="422"/>
      <c r="D670" s="422"/>
      <c r="E670" s="422"/>
      <c r="F670" s="422"/>
      <c r="G670" s="422"/>
      <c r="H670" s="422"/>
      <c r="I670" s="422"/>
      <c r="J670" s="422"/>
      <c r="K670" s="422"/>
      <c r="L670" s="422"/>
      <c r="M670" s="422"/>
      <c r="N670" s="422"/>
      <c r="O670" s="422"/>
      <c r="P670" s="422"/>
      <c r="Q670" s="422"/>
      <c r="R670" s="98"/>
      <c r="S670" s="98" t="str">
        <f>IFERROR(__xludf.DUMMYFUNCTION("""COMPUTED_VALUE"""),"-")</f>
        <v>-</v>
      </c>
      <c r="T670" s="98"/>
    </row>
    <row r="671">
      <c r="A671" s="422"/>
      <c r="B671" s="422"/>
      <c r="C671" s="422"/>
      <c r="D671" s="422"/>
      <c r="E671" s="422"/>
      <c r="F671" s="422"/>
      <c r="G671" s="422"/>
      <c r="H671" s="422"/>
      <c r="I671" s="422"/>
      <c r="J671" s="422"/>
      <c r="K671" s="422"/>
      <c r="L671" s="422"/>
      <c r="M671" s="422"/>
      <c r="N671" s="422"/>
      <c r="O671" s="422"/>
      <c r="P671" s="422"/>
      <c r="Q671" s="422"/>
      <c r="R671" s="98"/>
      <c r="S671" s="98" t="str">
        <f>IFERROR(__xludf.DUMMYFUNCTION("""COMPUTED_VALUE"""),"-")</f>
        <v>-</v>
      </c>
      <c r="T671" s="98"/>
    </row>
    <row r="672">
      <c r="A672" s="422"/>
      <c r="B672" s="422"/>
      <c r="C672" s="422"/>
      <c r="D672" s="422"/>
      <c r="E672" s="422"/>
      <c r="F672" s="422"/>
      <c r="G672" s="422"/>
      <c r="H672" s="422"/>
      <c r="I672" s="422"/>
      <c r="J672" s="422"/>
      <c r="K672" s="422"/>
      <c r="L672" s="422"/>
      <c r="M672" s="422"/>
      <c r="N672" s="422"/>
      <c r="O672" s="422"/>
      <c r="P672" s="422"/>
      <c r="Q672" s="422"/>
      <c r="R672" s="98"/>
      <c r="S672" s="98" t="str">
        <f>IFERROR(__xludf.DUMMYFUNCTION("""COMPUTED_VALUE"""),"-")</f>
        <v>-</v>
      </c>
      <c r="T672" s="98"/>
    </row>
    <row r="673">
      <c r="A673" s="422"/>
      <c r="B673" s="422"/>
      <c r="C673" s="422"/>
      <c r="D673" s="422"/>
      <c r="E673" s="422"/>
      <c r="F673" s="422"/>
      <c r="G673" s="422"/>
      <c r="H673" s="422"/>
      <c r="I673" s="422"/>
      <c r="J673" s="422"/>
      <c r="K673" s="422"/>
      <c r="L673" s="422"/>
      <c r="M673" s="422"/>
      <c r="N673" s="422"/>
      <c r="O673" s="422"/>
      <c r="P673" s="422"/>
      <c r="Q673" s="422"/>
      <c r="R673" s="98"/>
      <c r="S673" s="98" t="str">
        <f>IFERROR(__xludf.DUMMYFUNCTION("""COMPUTED_VALUE"""),"-")</f>
        <v>-</v>
      </c>
      <c r="T673" s="98"/>
    </row>
    <row r="674">
      <c r="A674" s="422"/>
      <c r="B674" s="422"/>
      <c r="C674" s="422"/>
      <c r="D674" s="422"/>
      <c r="E674" s="422"/>
      <c r="F674" s="422"/>
      <c r="G674" s="422"/>
      <c r="H674" s="422"/>
      <c r="I674" s="422"/>
      <c r="J674" s="422"/>
      <c r="K674" s="422"/>
      <c r="L674" s="422"/>
      <c r="M674" s="422"/>
      <c r="N674" s="422"/>
      <c r="O674" s="422"/>
      <c r="P674" s="422"/>
      <c r="Q674" s="422"/>
      <c r="R674" s="98"/>
      <c r="S674" s="98" t="str">
        <f>IFERROR(__xludf.DUMMYFUNCTION("""COMPUTED_VALUE"""),"-")</f>
        <v>-</v>
      </c>
      <c r="T674" s="98"/>
    </row>
    <row r="675">
      <c r="A675" s="422"/>
      <c r="B675" s="422"/>
      <c r="C675" s="422"/>
      <c r="D675" s="422"/>
      <c r="E675" s="422"/>
      <c r="F675" s="422"/>
      <c r="G675" s="422"/>
      <c r="H675" s="422"/>
      <c r="I675" s="422"/>
      <c r="J675" s="422"/>
      <c r="K675" s="422"/>
      <c r="L675" s="422"/>
      <c r="M675" s="422"/>
      <c r="N675" s="422"/>
      <c r="O675" s="422"/>
      <c r="P675" s="422"/>
      <c r="Q675" s="422"/>
      <c r="R675" s="98"/>
      <c r="S675" s="98" t="str">
        <f>IFERROR(__xludf.DUMMYFUNCTION("""COMPUTED_VALUE"""),"-")</f>
        <v>-</v>
      </c>
      <c r="T675" s="98"/>
    </row>
    <row r="676">
      <c r="A676" s="422"/>
      <c r="B676" s="422"/>
      <c r="C676" s="422"/>
      <c r="D676" s="422"/>
      <c r="E676" s="422"/>
      <c r="F676" s="422"/>
      <c r="G676" s="422"/>
      <c r="H676" s="422"/>
      <c r="I676" s="422"/>
      <c r="J676" s="422"/>
      <c r="K676" s="422"/>
      <c r="L676" s="422"/>
      <c r="M676" s="422"/>
      <c r="N676" s="422"/>
      <c r="O676" s="422"/>
      <c r="P676" s="422"/>
      <c r="Q676" s="422"/>
      <c r="R676" s="98"/>
      <c r="S676" s="98" t="str">
        <f>IFERROR(__xludf.DUMMYFUNCTION("""COMPUTED_VALUE"""),"-")</f>
        <v>-</v>
      </c>
      <c r="T676" s="98"/>
    </row>
    <row r="677">
      <c r="A677" s="422"/>
      <c r="B677" s="422"/>
      <c r="C677" s="422"/>
      <c r="D677" s="422"/>
      <c r="E677" s="422"/>
      <c r="F677" s="422"/>
      <c r="G677" s="422"/>
      <c r="H677" s="422"/>
      <c r="I677" s="422"/>
      <c r="J677" s="422"/>
      <c r="K677" s="422"/>
      <c r="L677" s="422"/>
      <c r="M677" s="422"/>
      <c r="N677" s="422"/>
      <c r="O677" s="422"/>
      <c r="P677" s="422"/>
      <c r="Q677" s="422"/>
      <c r="R677" s="98"/>
      <c r="S677" s="98" t="str">
        <f>IFERROR(__xludf.DUMMYFUNCTION("""COMPUTED_VALUE"""),"-")</f>
        <v>-</v>
      </c>
      <c r="T677" s="98"/>
    </row>
    <row r="678">
      <c r="A678" s="422"/>
      <c r="B678" s="422"/>
      <c r="C678" s="422"/>
      <c r="D678" s="422"/>
      <c r="E678" s="422"/>
      <c r="F678" s="422"/>
      <c r="G678" s="422"/>
      <c r="H678" s="422"/>
      <c r="I678" s="422"/>
      <c r="J678" s="422"/>
      <c r="K678" s="422"/>
      <c r="L678" s="422"/>
      <c r="M678" s="422"/>
      <c r="N678" s="422"/>
      <c r="O678" s="422"/>
      <c r="P678" s="422"/>
      <c r="Q678" s="422"/>
      <c r="R678" s="98"/>
      <c r="S678" s="98" t="str">
        <f>IFERROR(__xludf.DUMMYFUNCTION("""COMPUTED_VALUE"""),"-")</f>
        <v>-</v>
      </c>
      <c r="T678" s="98"/>
    </row>
    <row r="679">
      <c r="A679" s="422"/>
      <c r="B679" s="422"/>
      <c r="C679" s="422"/>
      <c r="D679" s="422"/>
      <c r="E679" s="422"/>
      <c r="F679" s="422"/>
      <c r="G679" s="422"/>
      <c r="H679" s="422"/>
      <c r="I679" s="422"/>
      <c r="J679" s="422"/>
      <c r="K679" s="422"/>
      <c r="L679" s="422"/>
      <c r="M679" s="422"/>
      <c r="N679" s="422"/>
      <c r="O679" s="422"/>
      <c r="P679" s="422"/>
      <c r="Q679" s="422"/>
      <c r="R679" s="98"/>
      <c r="S679" s="98" t="str">
        <f>IFERROR(__xludf.DUMMYFUNCTION("""COMPUTED_VALUE"""),"-")</f>
        <v>-</v>
      </c>
      <c r="T679" s="98"/>
    </row>
    <row r="680">
      <c r="A680" s="422"/>
      <c r="B680" s="422"/>
      <c r="C680" s="422"/>
      <c r="D680" s="422"/>
      <c r="E680" s="422"/>
      <c r="F680" s="422"/>
      <c r="G680" s="422"/>
      <c r="H680" s="422"/>
      <c r="I680" s="422"/>
      <c r="J680" s="422"/>
      <c r="K680" s="422"/>
      <c r="L680" s="422"/>
      <c r="M680" s="422"/>
      <c r="N680" s="422"/>
      <c r="O680" s="422"/>
      <c r="P680" s="422"/>
      <c r="Q680" s="422"/>
      <c r="R680" s="98"/>
      <c r="S680" s="98" t="str">
        <f>IFERROR(__xludf.DUMMYFUNCTION("""COMPUTED_VALUE"""),"-")</f>
        <v>-</v>
      </c>
      <c r="T680" s="98"/>
    </row>
    <row r="681">
      <c r="A681" s="422"/>
      <c r="B681" s="422"/>
      <c r="C681" s="422"/>
      <c r="D681" s="422"/>
      <c r="E681" s="422"/>
      <c r="F681" s="422"/>
      <c r="G681" s="422"/>
      <c r="H681" s="422"/>
      <c r="I681" s="422"/>
      <c r="J681" s="422"/>
      <c r="K681" s="422"/>
      <c r="L681" s="422"/>
      <c r="M681" s="422"/>
      <c r="N681" s="422"/>
      <c r="O681" s="422"/>
      <c r="P681" s="422"/>
      <c r="Q681" s="422"/>
      <c r="R681" s="98"/>
      <c r="S681" s="98" t="str">
        <f>IFERROR(__xludf.DUMMYFUNCTION("""COMPUTED_VALUE"""),"-")</f>
        <v>-</v>
      </c>
      <c r="T681" s="98"/>
    </row>
    <row r="682">
      <c r="A682" s="422"/>
      <c r="B682" s="422"/>
      <c r="C682" s="422"/>
      <c r="D682" s="422"/>
      <c r="E682" s="422"/>
      <c r="F682" s="422"/>
      <c r="G682" s="422"/>
      <c r="H682" s="422"/>
      <c r="I682" s="422"/>
      <c r="J682" s="422"/>
      <c r="K682" s="422"/>
      <c r="L682" s="422"/>
      <c r="M682" s="422"/>
      <c r="N682" s="422"/>
      <c r="O682" s="422"/>
      <c r="P682" s="422"/>
      <c r="Q682" s="422"/>
      <c r="R682" s="98"/>
      <c r="S682" s="98" t="str">
        <f>IFERROR(__xludf.DUMMYFUNCTION("""COMPUTED_VALUE"""),"-")</f>
        <v>-</v>
      </c>
      <c r="T682" s="98"/>
    </row>
    <row r="683">
      <c r="A683" s="422"/>
      <c r="B683" s="422"/>
      <c r="C683" s="422"/>
      <c r="D683" s="422"/>
      <c r="E683" s="422"/>
      <c r="F683" s="422"/>
      <c r="G683" s="422"/>
      <c r="H683" s="422"/>
      <c r="I683" s="422"/>
      <c r="J683" s="422"/>
      <c r="K683" s="422"/>
      <c r="L683" s="422"/>
      <c r="M683" s="422"/>
      <c r="N683" s="422"/>
      <c r="O683" s="422"/>
      <c r="P683" s="422"/>
      <c r="Q683" s="422"/>
      <c r="R683" s="98"/>
      <c r="S683" s="98" t="str">
        <f>IFERROR(__xludf.DUMMYFUNCTION("""COMPUTED_VALUE"""),"-")</f>
        <v>-</v>
      </c>
      <c r="T683" s="98"/>
    </row>
    <row r="684">
      <c r="A684" s="422"/>
      <c r="B684" s="422"/>
      <c r="C684" s="422"/>
      <c r="D684" s="422"/>
      <c r="E684" s="422"/>
      <c r="F684" s="422"/>
      <c r="G684" s="422"/>
      <c r="H684" s="422"/>
      <c r="I684" s="422"/>
      <c r="J684" s="422"/>
      <c r="K684" s="422"/>
      <c r="L684" s="422"/>
      <c r="M684" s="422"/>
      <c r="N684" s="422"/>
      <c r="O684" s="422"/>
      <c r="P684" s="422"/>
      <c r="Q684" s="422"/>
      <c r="R684" s="98"/>
      <c r="S684" s="98" t="str">
        <f>IFERROR(__xludf.DUMMYFUNCTION("""COMPUTED_VALUE"""),"-")</f>
        <v>-</v>
      </c>
      <c r="T684" s="98"/>
    </row>
    <row r="685">
      <c r="A685" s="422"/>
      <c r="B685" s="422"/>
      <c r="C685" s="422"/>
      <c r="D685" s="422"/>
      <c r="E685" s="422"/>
      <c r="F685" s="422"/>
      <c r="G685" s="422"/>
      <c r="H685" s="422"/>
      <c r="I685" s="422"/>
      <c r="J685" s="422"/>
      <c r="K685" s="422"/>
      <c r="L685" s="422"/>
      <c r="M685" s="422"/>
      <c r="N685" s="422"/>
      <c r="O685" s="422"/>
      <c r="P685" s="422"/>
      <c r="Q685" s="422"/>
      <c r="R685" s="98"/>
      <c r="S685" s="98" t="str">
        <f>IFERROR(__xludf.DUMMYFUNCTION("""COMPUTED_VALUE"""),"-")</f>
        <v>-</v>
      </c>
      <c r="T685" s="98"/>
    </row>
    <row r="686">
      <c r="A686" s="422"/>
      <c r="B686" s="422"/>
      <c r="C686" s="422"/>
      <c r="D686" s="422"/>
      <c r="E686" s="422"/>
      <c r="F686" s="422"/>
      <c r="G686" s="422"/>
      <c r="H686" s="422"/>
      <c r="I686" s="422"/>
      <c r="J686" s="422"/>
      <c r="K686" s="422"/>
      <c r="L686" s="422"/>
      <c r="M686" s="422"/>
      <c r="N686" s="422"/>
      <c r="O686" s="422"/>
      <c r="P686" s="422"/>
      <c r="Q686" s="422"/>
      <c r="R686" s="98"/>
      <c r="S686" s="98" t="str">
        <f>IFERROR(__xludf.DUMMYFUNCTION("""COMPUTED_VALUE"""),"-")</f>
        <v>-</v>
      </c>
      <c r="T686" s="98"/>
    </row>
    <row r="687">
      <c r="A687" s="422"/>
      <c r="B687" s="422"/>
      <c r="C687" s="422"/>
      <c r="D687" s="422"/>
      <c r="E687" s="422"/>
      <c r="F687" s="422"/>
      <c r="G687" s="422"/>
      <c r="H687" s="422"/>
      <c r="I687" s="422"/>
      <c r="J687" s="422"/>
      <c r="K687" s="422"/>
      <c r="L687" s="422"/>
      <c r="M687" s="422"/>
      <c r="N687" s="422"/>
      <c r="O687" s="422"/>
      <c r="P687" s="422"/>
      <c r="Q687" s="422"/>
      <c r="R687" s="98"/>
      <c r="S687" s="98" t="str">
        <f>IFERROR(__xludf.DUMMYFUNCTION("""COMPUTED_VALUE"""),"-")</f>
        <v>-</v>
      </c>
      <c r="T687" s="98"/>
    </row>
    <row r="688">
      <c r="A688" s="422"/>
      <c r="B688" s="422"/>
      <c r="C688" s="422"/>
      <c r="D688" s="422"/>
      <c r="E688" s="422"/>
      <c r="F688" s="422"/>
      <c r="G688" s="422"/>
      <c r="H688" s="422"/>
      <c r="I688" s="422"/>
      <c r="J688" s="422"/>
      <c r="K688" s="422"/>
      <c r="L688" s="422"/>
      <c r="M688" s="422"/>
      <c r="N688" s="422"/>
      <c r="O688" s="422"/>
      <c r="P688" s="422"/>
      <c r="Q688" s="422"/>
      <c r="R688" s="98"/>
      <c r="S688" s="98" t="str">
        <f>IFERROR(__xludf.DUMMYFUNCTION("""COMPUTED_VALUE"""),"-")</f>
        <v>-</v>
      </c>
      <c r="T688" s="98"/>
    </row>
    <row r="689">
      <c r="A689" s="422"/>
      <c r="B689" s="422"/>
      <c r="C689" s="422"/>
      <c r="D689" s="422"/>
      <c r="E689" s="422"/>
      <c r="F689" s="422"/>
      <c r="G689" s="422"/>
      <c r="H689" s="422"/>
      <c r="I689" s="422"/>
      <c r="J689" s="422"/>
      <c r="K689" s="422"/>
      <c r="L689" s="422"/>
      <c r="M689" s="422"/>
      <c r="N689" s="422"/>
      <c r="O689" s="422"/>
      <c r="P689" s="422"/>
      <c r="Q689" s="422"/>
      <c r="R689" s="98"/>
      <c r="S689" s="98" t="str">
        <f>IFERROR(__xludf.DUMMYFUNCTION("""COMPUTED_VALUE"""),"-")</f>
        <v>-</v>
      </c>
      <c r="T689" s="98"/>
    </row>
    <row r="690">
      <c r="A690" s="422"/>
      <c r="B690" s="422"/>
      <c r="C690" s="422"/>
      <c r="D690" s="422"/>
      <c r="E690" s="422"/>
      <c r="F690" s="422"/>
      <c r="G690" s="422"/>
      <c r="H690" s="422"/>
      <c r="I690" s="422"/>
      <c r="J690" s="422"/>
      <c r="K690" s="422"/>
      <c r="L690" s="422"/>
      <c r="M690" s="422"/>
      <c r="N690" s="422"/>
      <c r="O690" s="422"/>
      <c r="P690" s="422"/>
      <c r="Q690" s="422"/>
      <c r="R690" s="98"/>
      <c r="S690" s="98" t="str">
        <f>IFERROR(__xludf.DUMMYFUNCTION("""COMPUTED_VALUE"""),"-")</f>
        <v>-</v>
      </c>
      <c r="T690" s="98"/>
    </row>
    <row r="691">
      <c r="A691" s="422"/>
      <c r="B691" s="422"/>
      <c r="C691" s="422"/>
      <c r="D691" s="422"/>
      <c r="E691" s="422"/>
      <c r="F691" s="422"/>
      <c r="G691" s="422"/>
      <c r="H691" s="422"/>
      <c r="I691" s="422"/>
      <c r="J691" s="422"/>
      <c r="K691" s="422"/>
      <c r="L691" s="422"/>
      <c r="M691" s="422"/>
      <c r="N691" s="422"/>
      <c r="O691" s="422"/>
      <c r="P691" s="422"/>
      <c r="Q691" s="422"/>
      <c r="R691" s="98"/>
      <c r="S691" s="98" t="str">
        <f>IFERROR(__xludf.DUMMYFUNCTION("""COMPUTED_VALUE"""),"-")</f>
        <v>-</v>
      </c>
      <c r="T691" s="98"/>
    </row>
    <row r="692">
      <c r="A692" s="422"/>
      <c r="B692" s="422"/>
      <c r="C692" s="422"/>
      <c r="D692" s="422"/>
      <c r="E692" s="422"/>
      <c r="F692" s="422"/>
      <c r="G692" s="422"/>
      <c r="H692" s="422"/>
      <c r="I692" s="422"/>
      <c r="J692" s="422"/>
      <c r="K692" s="422"/>
      <c r="L692" s="422"/>
      <c r="M692" s="422"/>
      <c r="N692" s="422"/>
      <c r="O692" s="422"/>
      <c r="P692" s="422"/>
      <c r="Q692" s="422"/>
      <c r="R692" s="98"/>
      <c r="S692" s="98" t="str">
        <f>IFERROR(__xludf.DUMMYFUNCTION("""COMPUTED_VALUE"""),"-")</f>
        <v>-</v>
      </c>
      <c r="T692" s="98"/>
    </row>
    <row r="693">
      <c r="A693" s="422"/>
      <c r="B693" s="422"/>
      <c r="C693" s="422"/>
      <c r="D693" s="422"/>
      <c r="E693" s="422"/>
      <c r="F693" s="422"/>
      <c r="G693" s="422"/>
      <c r="H693" s="422"/>
      <c r="I693" s="422"/>
      <c r="J693" s="422"/>
      <c r="K693" s="422"/>
      <c r="L693" s="422"/>
      <c r="M693" s="422"/>
      <c r="N693" s="422"/>
      <c r="O693" s="422"/>
      <c r="P693" s="422"/>
      <c r="Q693" s="422"/>
      <c r="R693" s="98"/>
      <c r="S693" s="98" t="str">
        <f>IFERROR(__xludf.DUMMYFUNCTION("""COMPUTED_VALUE"""),"-")</f>
        <v>-</v>
      </c>
      <c r="T693" s="98"/>
    </row>
    <row r="694">
      <c r="A694" s="422"/>
      <c r="B694" s="422"/>
      <c r="C694" s="422"/>
      <c r="D694" s="422"/>
      <c r="E694" s="422"/>
      <c r="F694" s="422"/>
      <c r="G694" s="422"/>
      <c r="H694" s="422"/>
      <c r="I694" s="422"/>
      <c r="J694" s="422"/>
      <c r="K694" s="422"/>
      <c r="L694" s="422"/>
      <c r="M694" s="422"/>
      <c r="N694" s="422"/>
      <c r="O694" s="422"/>
      <c r="P694" s="422"/>
      <c r="Q694" s="422"/>
      <c r="R694" s="98"/>
      <c r="S694" s="98" t="str">
        <f>IFERROR(__xludf.DUMMYFUNCTION("""COMPUTED_VALUE"""),"-")</f>
        <v>-</v>
      </c>
      <c r="T694" s="98"/>
    </row>
    <row r="695">
      <c r="A695" s="422"/>
      <c r="B695" s="422"/>
      <c r="C695" s="422"/>
      <c r="D695" s="422"/>
      <c r="E695" s="422"/>
      <c r="F695" s="422"/>
      <c r="G695" s="422"/>
      <c r="H695" s="422"/>
      <c r="I695" s="422"/>
      <c r="J695" s="422"/>
      <c r="K695" s="422"/>
      <c r="L695" s="422"/>
      <c r="M695" s="422"/>
      <c r="N695" s="422"/>
      <c r="O695" s="422"/>
      <c r="P695" s="422"/>
      <c r="Q695" s="422"/>
      <c r="R695" s="98"/>
      <c r="S695" s="98" t="str">
        <f>IFERROR(__xludf.DUMMYFUNCTION("""COMPUTED_VALUE"""),"-")</f>
        <v>-</v>
      </c>
      <c r="T695" s="98"/>
    </row>
    <row r="696">
      <c r="A696" s="422"/>
      <c r="B696" s="422"/>
      <c r="C696" s="422"/>
      <c r="D696" s="422"/>
      <c r="E696" s="422"/>
      <c r="F696" s="422"/>
      <c r="G696" s="422"/>
      <c r="H696" s="422"/>
      <c r="I696" s="422"/>
      <c r="J696" s="422"/>
      <c r="K696" s="422"/>
      <c r="L696" s="422"/>
      <c r="M696" s="422"/>
      <c r="N696" s="422"/>
      <c r="O696" s="422"/>
      <c r="P696" s="422"/>
      <c r="Q696" s="422"/>
      <c r="R696" s="98"/>
      <c r="S696" s="98" t="str">
        <f>IFERROR(__xludf.DUMMYFUNCTION("""COMPUTED_VALUE"""),"-")</f>
        <v>-</v>
      </c>
      <c r="T696" s="98"/>
    </row>
    <row r="697">
      <c r="A697" s="422"/>
      <c r="B697" s="422"/>
      <c r="C697" s="422"/>
      <c r="D697" s="422"/>
      <c r="E697" s="422"/>
      <c r="F697" s="422"/>
      <c r="G697" s="422"/>
      <c r="H697" s="422"/>
      <c r="I697" s="422"/>
      <c r="J697" s="422"/>
      <c r="K697" s="422"/>
      <c r="L697" s="422"/>
      <c r="M697" s="422"/>
      <c r="N697" s="422"/>
      <c r="O697" s="422"/>
      <c r="P697" s="422"/>
      <c r="Q697" s="422"/>
      <c r="R697" s="98"/>
      <c r="S697" s="98" t="str">
        <f>IFERROR(__xludf.DUMMYFUNCTION("""COMPUTED_VALUE"""),"-")</f>
        <v>-</v>
      </c>
      <c r="T697" s="98"/>
    </row>
    <row r="698">
      <c r="A698" s="422"/>
      <c r="B698" s="422"/>
      <c r="C698" s="422"/>
      <c r="D698" s="422"/>
      <c r="E698" s="422"/>
      <c r="F698" s="422"/>
      <c r="G698" s="422"/>
      <c r="H698" s="422"/>
      <c r="I698" s="422"/>
      <c r="J698" s="422"/>
      <c r="K698" s="422"/>
      <c r="L698" s="422"/>
      <c r="M698" s="422"/>
      <c r="N698" s="422"/>
      <c r="O698" s="422"/>
      <c r="P698" s="422"/>
      <c r="Q698" s="422"/>
      <c r="R698" s="98"/>
      <c r="S698" s="98" t="str">
        <f>IFERROR(__xludf.DUMMYFUNCTION("""COMPUTED_VALUE"""),"-")</f>
        <v>-</v>
      </c>
      <c r="T698" s="98"/>
    </row>
    <row r="699">
      <c r="A699" s="422"/>
      <c r="B699" s="422"/>
      <c r="C699" s="422"/>
      <c r="D699" s="422"/>
      <c r="E699" s="422"/>
      <c r="F699" s="422"/>
      <c r="G699" s="422"/>
      <c r="H699" s="422"/>
      <c r="I699" s="422"/>
      <c r="J699" s="422"/>
      <c r="K699" s="422"/>
      <c r="L699" s="422"/>
      <c r="M699" s="422"/>
      <c r="N699" s="422"/>
      <c r="O699" s="422"/>
      <c r="P699" s="422"/>
      <c r="Q699" s="422"/>
      <c r="R699" s="98"/>
      <c r="S699" s="98" t="str">
        <f>IFERROR(__xludf.DUMMYFUNCTION("""COMPUTED_VALUE"""),"-")</f>
        <v>-</v>
      </c>
      <c r="T699" s="98"/>
    </row>
    <row r="700">
      <c r="A700" s="422"/>
      <c r="B700" s="422"/>
      <c r="C700" s="422"/>
      <c r="D700" s="422"/>
      <c r="E700" s="422"/>
      <c r="F700" s="422"/>
      <c r="G700" s="422"/>
      <c r="H700" s="422"/>
      <c r="I700" s="422"/>
      <c r="J700" s="422"/>
      <c r="K700" s="422"/>
      <c r="L700" s="422"/>
      <c r="M700" s="422"/>
      <c r="N700" s="422"/>
      <c r="O700" s="422"/>
      <c r="P700" s="422"/>
      <c r="Q700" s="422"/>
      <c r="R700" s="98"/>
      <c r="S700" s="98" t="str">
        <f>IFERROR(__xludf.DUMMYFUNCTION("""COMPUTED_VALUE"""),"-")</f>
        <v>-</v>
      </c>
      <c r="T700" s="98"/>
    </row>
    <row r="701">
      <c r="A701" s="422"/>
      <c r="B701" s="422"/>
      <c r="C701" s="422"/>
      <c r="D701" s="422"/>
      <c r="E701" s="422"/>
      <c r="F701" s="422"/>
      <c r="G701" s="422"/>
      <c r="H701" s="422"/>
      <c r="I701" s="422"/>
      <c r="J701" s="422"/>
      <c r="K701" s="422"/>
      <c r="L701" s="422"/>
      <c r="M701" s="422"/>
      <c r="N701" s="422"/>
      <c r="O701" s="422"/>
      <c r="P701" s="422"/>
      <c r="Q701" s="422"/>
      <c r="R701" s="98"/>
      <c r="S701" s="98" t="str">
        <f>IFERROR(__xludf.DUMMYFUNCTION("""COMPUTED_VALUE"""),"-")</f>
        <v>-</v>
      </c>
      <c r="T701" s="98"/>
    </row>
    <row r="702">
      <c r="A702" s="422"/>
      <c r="B702" s="422"/>
      <c r="C702" s="422"/>
      <c r="D702" s="422"/>
      <c r="E702" s="422"/>
      <c r="F702" s="422"/>
      <c r="G702" s="422"/>
      <c r="H702" s="422"/>
      <c r="I702" s="422"/>
      <c r="J702" s="422"/>
      <c r="K702" s="422"/>
      <c r="L702" s="422"/>
      <c r="M702" s="422"/>
      <c r="N702" s="422"/>
      <c r="O702" s="422"/>
      <c r="P702" s="422"/>
      <c r="Q702" s="422"/>
      <c r="R702" s="98"/>
      <c r="S702" s="98" t="str">
        <f>IFERROR(__xludf.DUMMYFUNCTION("""COMPUTED_VALUE"""),"-")</f>
        <v>-</v>
      </c>
      <c r="T702" s="98"/>
    </row>
    <row r="703">
      <c r="A703" s="422"/>
      <c r="B703" s="422"/>
      <c r="C703" s="422"/>
      <c r="D703" s="422"/>
      <c r="E703" s="422"/>
      <c r="F703" s="422"/>
      <c r="G703" s="422"/>
      <c r="H703" s="422"/>
      <c r="I703" s="422"/>
      <c r="J703" s="422"/>
      <c r="K703" s="422"/>
      <c r="L703" s="422"/>
      <c r="M703" s="422"/>
      <c r="N703" s="422"/>
      <c r="O703" s="422"/>
      <c r="P703" s="422"/>
      <c r="Q703" s="422"/>
      <c r="R703" s="98"/>
      <c r="S703" s="98" t="str">
        <f>IFERROR(__xludf.DUMMYFUNCTION("""COMPUTED_VALUE"""),"-")</f>
        <v>-</v>
      </c>
      <c r="T703" s="98"/>
    </row>
    <row r="704">
      <c r="A704" s="422"/>
      <c r="B704" s="422"/>
      <c r="C704" s="422"/>
      <c r="D704" s="422"/>
      <c r="E704" s="422"/>
      <c r="F704" s="422"/>
      <c r="G704" s="422"/>
      <c r="H704" s="422"/>
      <c r="I704" s="422"/>
      <c r="J704" s="422"/>
      <c r="K704" s="422"/>
      <c r="L704" s="422"/>
      <c r="M704" s="422"/>
      <c r="N704" s="422"/>
      <c r="O704" s="422"/>
      <c r="P704" s="422"/>
      <c r="Q704" s="422"/>
      <c r="R704" s="98"/>
      <c r="S704" s="98" t="str">
        <f>IFERROR(__xludf.DUMMYFUNCTION("""COMPUTED_VALUE"""),"-")</f>
        <v>-</v>
      </c>
      <c r="T704" s="98"/>
    </row>
    <row r="705">
      <c r="A705" s="422"/>
      <c r="B705" s="422"/>
      <c r="C705" s="422"/>
      <c r="D705" s="422"/>
      <c r="E705" s="422"/>
      <c r="F705" s="422"/>
      <c r="G705" s="422"/>
      <c r="H705" s="422"/>
      <c r="I705" s="422"/>
      <c r="J705" s="422"/>
      <c r="K705" s="422"/>
      <c r="L705" s="422"/>
      <c r="M705" s="422"/>
      <c r="N705" s="422"/>
      <c r="O705" s="422"/>
      <c r="P705" s="422"/>
      <c r="Q705" s="422"/>
      <c r="R705" s="98"/>
      <c r="S705" s="98" t="str">
        <f>IFERROR(__xludf.DUMMYFUNCTION("""COMPUTED_VALUE"""),"-")</f>
        <v>-</v>
      </c>
      <c r="T705" s="98"/>
    </row>
    <row r="706">
      <c r="A706" s="422"/>
      <c r="B706" s="422"/>
      <c r="C706" s="422"/>
      <c r="D706" s="422"/>
      <c r="E706" s="422"/>
      <c r="F706" s="422"/>
      <c r="G706" s="422"/>
      <c r="H706" s="422"/>
      <c r="I706" s="422"/>
      <c r="J706" s="422"/>
      <c r="K706" s="422"/>
      <c r="L706" s="422"/>
      <c r="M706" s="422"/>
      <c r="N706" s="422"/>
      <c r="O706" s="422"/>
      <c r="P706" s="422"/>
      <c r="Q706" s="422"/>
      <c r="R706" s="98"/>
      <c r="S706" s="98" t="str">
        <f>IFERROR(__xludf.DUMMYFUNCTION("""COMPUTED_VALUE"""),"-")</f>
        <v>-</v>
      </c>
      <c r="T706" s="98"/>
    </row>
    <row r="707">
      <c r="A707" s="422"/>
      <c r="B707" s="422"/>
      <c r="C707" s="422"/>
      <c r="D707" s="422"/>
      <c r="E707" s="422"/>
      <c r="F707" s="422"/>
      <c r="G707" s="422"/>
      <c r="H707" s="422"/>
      <c r="I707" s="422"/>
      <c r="J707" s="422"/>
      <c r="K707" s="422"/>
      <c r="L707" s="422"/>
      <c r="M707" s="422"/>
      <c r="N707" s="422"/>
      <c r="O707" s="422"/>
      <c r="P707" s="422"/>
      <c r="Q707" s="422"/>
      <c r="R707" s="98"/>
      <c r="S707" s="98" t="str">
        <f>IFERROR(__xludf.DUMMYFUNCTION("""COMPUTED_VALUE"""),"-")</f>
        <v>-</v>
      </c>
      <c r="T707" s="98"/>
    </row>
    <row r="708">
      <c r="A708" s="422"/>
      <c r="B708" s="422"/>
      <c r="C708" s="422"/>
      <c r="D708" s="422"/>
      <c r="E708" s="422"/>
      <c r="F708" s="422"/>
      <c r="G708" s="422"/>
      <c r="H708" s="422"/>
      <c r="I708" s="422"/>
      <c r="J708" s="422"/>
      <c r="K708" s="422"/>
      <c r="L708" s="422"/>
      <c r="M708" s="422"/>
      <c r="N708" s="422"/>
      <c r="O708" s="422"/>
      <c r="P708" s="422"/>
      <c r="Q708" s="422"/>
      <c r="R708" s="98"/>
      <c r="S708" s="98" t="str">
        <f>IFERROR(__xludf.DUMMYFUNCTION("""COMPUTED_VALUE"""),"-")</f>
        <v>-</v>
      </c>
      <c r="T708" s="98"/>
    </row>
    <row r="709">
      <c r="A709" s="422"/>
      <c r="B709" s="422"/>
      <c r="C709" s="422"/>
      <c r="D709" s="422"/>
      <c r="E709" s="422"/>
      <c r="F709" s="422"/>
      <c r="G709" s="422"/>
      <c r="H709" s="422"/>
      <c r="I709" s="422"/>
      <c r="J709" s="422"/>
      <c r="K709" s="422"/>
      <c r="L709" s="422"/>
      <c r="M709" s="422"/>
      <c r="N709" s="422"/>
      <c r="O709" s="422"/>
      <c r="P709" s="422"/>
      <c r="Q709" s="422"/>
      <c r="R709" s="98"/>
      <c r="S709" s="98" t="str">
        <f>IFERROR(__xludf.DUMMYFUNCTION("""COMPUTED_VALUE"""),"-")</f>
        <v>-</v>
      </c>
      <c r="T709" s="98"/>
    </row>
    <row r="710">
      <c r="A710" s="422"/>
      <c r="B710" s="422"/>
      <c r="C710" s="422"/>
      <c r="D710" s="422"/>
      <c r="E710" s="422"/>
      <c r="F710" s="422"/>
      <c r="G710" s="422"/>
      <c r="H710" s="422"/>
      <c r="I710" s="422"/>
      <c r="J710" s="422"/>
      <c r="K710" s="422"/>
      <c r="L710" s="422"/>
      <c r="M710" s="422"/>
      <c r="N710" s="422"/>
      <c r="O710" s="422"/>
      <c r="P710" s="422"/>
      <c r="Q710" s="422"/>
      <c r="R710" s="98"/>
      <c r="S710" s="98" t="str">
        <f>IFERROR(__xludf.DUMMYFUNCTION("""COMPUTED_VALUE"""),"-")</f>
        <v>-</v>
      </c>
      <c r="T710" s="98"/>
    </row>
    <row r="711">
      <c r="A711" s="422"/>
      <c r="B711" s="422"/>
      <c r="C711" s="422"/>
      <c r="D711" s="422"/>
      <c r="E711" s="422"/>
      <c r="F711" s="422"/>
      <c r="G711" s="422"/>
      <c r="H711" s="422"/>
      <c r="I711" s="422"/>
      <c r="J711" s="422"/>
      <c r="K711" s="422"/>
      <c r="L711" s="422"/>
      <c r="M711" s="422"/>
      <c r="N711" s="422"/>
      <c r="O711" s="422"/>
      <c r="P711" s="422"/>
      <c r="Q711" s="422"/>
      <c r="R711" s="98"/>
      <c r="S711" s="98" t="str">
        <f>IFERROR(__xludf.DUMMYFUNCTION("""COMPUTED_VALUE"""),"-")</f>
        <v>-</v>
      </c>
      <c r="T711" s="98"/>
    </row>
    <row r="712">
      <c r="A712" s="422"/>
      <c r="B712" s="422"/>
      <c r="C712" s="422"/>
      <c r="D712" s="422"/>
      <c r="E712" s="422"/>
      <c r="F712" s="422"/>
      <c r="G712" s="422"/>
      <c r="H712" s="422"/>
      <c r="I712" s="422"/>
      <c r="J712" s="422"/>
      <c r="K712" s="422"/>
      <c r="L712" s="422"/>
      <c r="M712" s="422"/>
      <c r="N712" s="422"/>
      <c r="O712" s="422"/>
      <c r="P712" s="422"/>
      <c r="Q712" s="422"/>
      <c r="R712" s="98"/>
      <c r="S712" s="98" t="str">
        <f>IFERROR(__xludf.DUMMYFUNCTION("""COMPUTED_VALUE"""),"-")</f>
        <v>-</v>
      </c>
      <c r="T712" s="98"/>
    </row>
    <row r="713">
      <c r="A713" s="422"/>
      <c r="B713" s="422"/>
      <c r="C713" s="422"/>
      <c r="D713" s="422"/>
      <c r="E713" s="422"/>
      <c r="F713" s="422"/>
      <c r="G713" s="422"/>
      <c r="H713" s="422"/>
      <c r="I713" s="422"/>
      <c r="J713" s="422"/>
      <c r="K713" s="422"/>
      <c r="L713" s="422"/>
      <c r="M713" s="422"/>
      <c r="N713" s="422"/>
      <c r="O713" s="422"/>
      <c r="P713" s="422"/>
      <c r="Q713" s="422"/>
      <c r="R713" s="98"/>
      <c r="S713" s="98" t="str">
        <f>IFERROR(__xludf.DUMMYFUNCTION("""COMPUTED_VALUE"""),"-")</f>
        <v>-</v>
      </c>
      <c r="T713" s="98"/>
    </row>
    <row r="714">
      <c r="A714" s="422"/>
      <c r="B714" s="422"/>
      <c r="C714" s="422"/>
      <c r="D714" s="422"/>
      <c r="E714" s="422"/>
      <c r="F714" s="422"/>
      <c r="G714" s="422"/>
      <c r="H714" s="422"/>
      <c r="I714" s="422"/>
      <c r="J714" s="422"/>
      <c r="K714" s="422"/>
      <c r="L714" s="422"/>
      <c r="M714" s="422"/>
      <c r="N714" s="422"/>
      <c r="O714" s="422"/>
      <c r="P714" s="422"/>
      <c r="Q714" s="422"/>
      <c r="R714" s="98"/>
      <c r="S714" s="98" t="str">
        <f>IFERROR(__xludf.DUMMYFUNCTION("""COMPUTED_VALUE"""),"-")</f>
        <v>-</v>
      </c>
      <c r="T714" s="98"/>
    </row>
    <row r="715">
      <c r="A715" s="422"/>
      <c r="B715" s="422"/>
      <c r="C715" s="422"/>
      <c r="D715" s="422"/>
      <c r="E715" s="422"/>
      <c r="F715" s="422"/>
      <c r="G715" s="422"/>
      <c r="H715" s="422"/>
      <c r="I715" s="422"/>
      <c r="J715" s="422"/>
      <c r="K715" s="422"/>
      <c r="L715" s="422"/>
      <c r="M715" s="422"/>
      <c r="N715" s="422"/>
      <c r="O715" s="422"/>
      <c r="P715" s="422"/>
      <c r="Q715" s="422"/>
      <c r="R715" s="98"/>
      <c r="S715" s="98" t="str">
        <f>IFERROR(__xludf.DUMMYFUNCTION("""COMPUTED_VALUE"""),"-")</f>
        <v>-</v>
      </c>
      <c r="T715" s="98"/>
    </row>
    <row r="716">
      <c r="A716" s="422"/>
      <c r="B716" s="422"/>
      <c r="C716" s="422"/>
      <c r="D716" s="422"/>
      <c r="E716" s="422"/>
      <c r="F716" s="422"/>
      <c r="G716" s="422"/>
      <c r="H716" s="422"/>
      <c r="I716" s="422"/>
      <c r="J716" s="422"/>
      <c r="K716" s="422"/>
      <c r="L716" s="422"/>
      <c r="M716" s="422"/>
      <c r="N716" s="422"/>
      <c r="O716" s="422"/>
      <c r="P716" s="422"/>
      <c r="Q716" s="422"/>
      <c r="R716" s="98"/>
      <c r="S716" s="98" t="str">
        <f>IFERROR(__xludf.DUMMYFUNCTION("""COMPUTED_VALUE"""),"-")</f>
        <v>-</v>
      </c>
      <c r="T716" s="98"/>
    </row>
    <row r="717">
      <c r="A717" s="422"/>
      <c r="B717" s="422"/>
      <c r="C717" s="422"/>
      <c r="D717" s="422"/>
      <c r="E717" s="422"/>
      <c r="F717" s="422"/>
      <c r="G717" s="422"/>
      <c r="H717" s="422"/>
      <c r="I717" s="422"/>
      <c r="J717" s="422"/>
      <c r="K717" s="422"/>
      <c r="L717" s="422"/>
      <c r="M717" s="422"/>
      <c r="N717" s="422"/>
      <c r="O717" s="422"/>
      <c r="P717" s="422"/>
      <c r="Q717" s="422"/>
      <c r="R717" s="98"/>
      <c r="S717" s="98" t="str">
        <f>IFERROR(__xludf.DUMMYFUNCTION("""COMPUTED_VALUE"""),"-")</f>
        <v>-</v>
      </c>
      <c r="T717" s="98"/>
    </row>
    <row r="718">
      <c r="A718" s="422"/>
      <c r="B718" s="422"/>
      <c r="C718" s="422"/>
      <c r="D718" s="422"/>
      <c r="E718" s="422"/>
      <c r="F718" s="422"/>
      <c r="G718" s="422"/>
      <c r="H718" s="422"/>
      <c r="I718" s="422"/>
      <c r="J718" s="422"/>
      <c r="K718" s="422"/>
      <c r="L718" s="422"/>
      <c r="M718" s="422"/>
      <c r="N718" s="422"/>
      <c r="O718" s="422"/>
      <c r="P718" s="422"/>
      <c r="Q718" s="422"/>
      <c r="R718" s="98"/>
      <c r="S718" s="98" t="str">
        <f>IFERROR(__xludf.DUMMYFUNCTION("""COMPUTED_VALUE"""),"-")</f>
        <v>-</v>
      </c>
      <c r="T718" s="98"/>
    </row>
    <row r="719">
      <c r="A719" s="422"/>
      <c r="B719" s="422"/>
      <c r="C719" s="422"/>
      <c r="D719" s="422"/>
      <c r="E719" s="422"/>
      <c r="F719" s="422"/>
      <c r="G719" s="422"/>
      <c r="H719" s="422"/>
      <c r="I719" s="422"/>
      <c r="J719" s="422"/>
      <c r="K719" s="422"/>
      <c r="L719" s="422"/>
      <c r="M719" s="422"/>
      <c r="N719" s="422"/>
      <c r="O719" s="422"/>
      <c r="P719" s="422"/>
      <c r="Q719" s="422"/>
      <c r="R719" s="98"/>
      <c r="S719" s="98" t="str">
        <f>IFERROR(__xludf.DUMMYFUNCTION("""COMPUTED_VALUE"""),"-")</f>
        <v>-</v>
      </c>
      <c r="T719" s="98"/>
    </row>
    <row r="720">
      <c r="A720" s="422"/>
      <c r="B720" s="422"/>
      <c r="C720" s="422"/>
      <c r="D720" s="422"/>
      <c r="E720" s="422"/>
      <c r="F720" s="422"/>
      <c r="G720" s="422"/>
      <c r="H720" s="422"/>
      <c r="I720" s="422"/>
      <c r="J720" s="422"/>
      <c r="K720" s="422"/>
      <c r="L720" s="422"/>
      <c r="M720" s="422"/>
      <c r="N720" s="422"/>
      <c r="O720" s="422"/>
      <c r="P720" s="422"/>
      <c r="Q720" s="422"/>
      <c r="R720" s="98"/>
      <c r="S720" s="98" t="str">
        <f>IFERROR(__xludf.DUMMYFUNCTION("""COMPUTED_VALUE"""),"-")</f>
        <v>-</v>
      </c>
      <c r="T720" s="98"/>
    </row>
    <row r="721">
      <c r="A721" s="422"/>
      <c r="B721" s="422"/>
      <c r="C721" s="422"/>
      <c r="D721" s="422"/>
      <c r="E721" s="422"/>
      <c r="F721" s="422"/>
      <c r="G721" s="422"/>
      <c r="H721" s="422"/>
      <c r="I721" s="422"/>
      <c r="J721" s="422"/>
      <c r="K721" s="422"/>
      <c r="L721" s="422"/>
      <c r="M721" s="422"/>
      <c r="N721" s="422"/>
      <c r="O721" s="422"/>
      <c r="P721" s="422"/>
      <c r="Q721" s="422"/>
      <c r="R721" s="98"/>
      <c r="S721" s="98" t="str">
        <f>IFERROR(__xludf.DUMMYFUNCTION("""COMPUTED_VALUE"""),"-")</f>
        <v>-</v>
      </c>
      <c r="T721" s="98"/>
    </row>
    <row r="722">
      <c r="A722" s="422"/>
      <c r="B722" s="422"/>
      <c r="C722" s="422"/>
      <c r="D722" s="422"/>
      <c r="E722" s="422"/>
      <c r="F722" s="422"/>
      <c r="G722" s="422"/>
      <c r="H722" s="422"/>
      <c r="I722" s="422"/>
      <c r="J722" s="422"/>
      <c r="K722" s="422"/>
      <c r="L722" s="422"/>
      <c r="M722" s="422"/>
      <c r="N722" s="422"/>
      <c r="O722" s="422"/>
      <c r="P722" s="422"/>
      <c r="Q722" s="422"/>
      <c r="R722" s="98"/>
      <c r="S722" s="98" t="str">
        <f>IFERROR(__xludf.DUMMYFUNCTION("""COMPUTED_VALUE"""),"-")</f>
        <v>-</v>
      </c>
      <c r="T722" s="98"/>
    </row>
    <row r="723">
      <c r="A723" s="422"/>
      <c r="B723" s="422"/>
      <c r="C723" s="422"/>
      <c r="D723" s="422"/>
      <c r="E723" s="422"/>
      <c r="F723" s="422"/>
      <c r="G723" s="422"/>
      <c r="H723" s="422"/>
      <c r="I723" s="422"/>
      <c r="J723" s="422"/>
      <c r="K723" s="422"/>
      <c r="L723" s="422"/>
      <c r="M723" s="422"/>
      <c r="N723" s="422"/>
      <c r="O723" s="422"/>
      <c r="P723" s="422"/>
      <c r="Q723" s="422"/>
      <c r="R723" s="98"/>
      <c r="S723" s="98" t="str">
        <f>IFERROR(__xludf.DUMMYFUNCTION("""COMPUTED_VALUE"""),"-")</f>
        <v>-</v>
      </c>
      <c r="T723" s="98"/>
    </row>
    <row r="724">
      <c r="A724" s="422"/>
      <c r="B724" s="422"/>
      <c r="C724" s="422"/>
      <c r="D724" s="422"/>
      <c r="E724" s="422"/>
      <c r="F724" s="422"/>
      <c r="G724" s="422"/>
      <c r="H724" s="422"/>
      <c r="I724" s="422"/>
      <c r="J724" s="422"/>
      <c r="K724" s="422"/>
      <c r="L724" s="422"/>
      <c r="M724" s="422"/>
      <c r="N724" s="422"/>
      <c r="O724" s="422"/>
      <c r="P724" s="422"/>
      <c r="Q724" s="422"/>
      <c r="R724" s="98"/>
      <c r="S724" s="98" t="str">
        <f>IFERROR(__xludf.DUMMYFUNCTION("""COMPUTED_VALUE"""),"-")</f>
        <v>-</v>
      </c>
      <c r="T724" s="98"/>
    </row>
    <row r="725">
      <c r="A725" s="422"/>
      <c r="B725" s="422"/>
      <c r="C725" s="422"/>
      <c r="D725" s="422"/>
      <c r="E725" s="422"/>
      <c r="F725" s="422"/>
      <c r="G725" s="422"/>
      <c r="H725" s="422"/>
      <c r="I725" s="422"/>
      <c r="J725" s="422"/>
      <c r="K725" s="422"/>
      <c r="L725" s="422"/>
      <c r="M725" s="422"/>
      <c r="N725" s="422"/>
      <c r="O725" s="422"/>
      <c r="P725" s="422"/>
      <c r="Q725" s="422"/>
      <c r="R725" s="98"/>
      <c r="S725" s="98" t="str">
        <f>IFERROR(__xludf.DUMMYFUNCTION("""COMPUTED_VALUE"""),"-")</f>
        <v>-</v>
      </c>
      <c r="T725" s="98"/>
    </row>
    <row r="726">
      <c r="A726" s="422"/>
      <c r="B726" s="422"/>
      <c r="C726" s="422"/>
      <c r="D726" s="422"/>
      <c r="E726" s="422"/>
      <c r="F726" s="422"/>
      <c r="G726" s="422"/>
      <c r="H726" s="422"/>
      <c r="I726" s="422"/>
      <c r="J726" s="422"/>
      <c r="K726" s="422"/>
      <c r="L726" s="422"/>
      <c r="M726" s="422"/>
      <c r="N726" s="422"/>
      <c r="O726" s="422"/>
      <c r="P726" s="422"/>
      <c r="Q726" s="422"/>
      <c r="R726" s="98"/>
      <c r="S726" s="98" t="str">
        <f>IFERROR(__xludf.DUMMYFUNCTION("""COMPUTED_VALUE"""),"-")</f>
        <v>-</v>
      </c>
      <c r="T726" s="98"/>
    </row>
    <row r="727">
      <c r="A727" s="422"/>
      <c r="B727" s="422"/>
      <c r="C727" s="422"/>
      <c r="D727" s="422"/>
      <c r="E727" s="422"/>
      <c r="F727" s="422"/>
      <c r="G727" s="422"/>
      <c r="H727" s="422"/>
      <c r="I727" s="422"/>
      <c r="J727" s="422"/>
      <c r="K727" s="422"/>
      <c r="L727" s="422"/>
      <c r="M727" s="422"/>
      <c r="N727" s="422"/>
      <c r="O727" s="422"/>
      <c r="P727" s="422"/>
      <c r="Q727" s="422"/>
      <c r="R727" s="98"/>
      <c r="S727" s="98" t="str">
        <f>IFERROR(__xludf.DUMMYFUNCTION("""COMPUTED_VALUE"""),"-")</f>
        <v>-</v>
      </c>
      <c r="T727" s="98"/>
    </row>
    <row r="728">
      <c r="A728" s="422"/>
      <c r="B728" s="422"/>
      <c r="C728" s="422"/>
      <c r="D728" s="422"/>
      <c r="E728" s="422"/>
      <c r="F728" s="422"/>
      <c r="G728" s="422"/>
      <c r="H728" s="422"/>
      <c r="I728" s="422"/>
      <c r="J728" s="422"/>
      <c r="K728" s="422"/>
      <c r="L728" s="422"/>
      <c r="M728" s="422"/>
      <c r="N728" s="422"/>
      <c r="O728" s="422"/>
      <c r="P728" s="422"/>
      <c r="Q728" s="422"/>
      <c r="R728" s="98"/>
      <c r="S728" s="98" t="str">
        <f>IFERROR(__xludf.DUMMYFUNCTION("""COMPUTED_VALUE"""),"-")</f>
        <v>-</v>
      </c>
      <c r="T728" s="98"/>
    </row>
    <row r="729">
      <c r="A729" s="422"/>
      <c r="B729" s="422"/>
      <c r="C729" s="422"/>
      <c r="D729" s="422"/>
      <c r="E729" s="422"/>
      <c r="F729" s="422"/>
      <c r="G729" s="422"/>
      <c r="H729" s="422"/>
      <c r="I729" s="422"/>
      <c r="J729" s="422"/>
      <c r="K729" s="422"/>
      <c r="L729" s="422"/>
      <c r="M729" s="422"/>
      <c r="N729" s="422"/>
      <c r="O729" s="422"/>
      <c r="P729" s="422"/>
      <c r="Q729" s="422"/>
      <c r="R729" s="98"/>
      <c r="S729" s="98" t="str">
        <f>IFERROR(__xludf.DUMMYFUNCTION("""COMPUTED_VALUE"""),"-")</f>
        <v>-</v>
      </c>
      <c r="T729" s="98"/>
    </row>
    <row r="730">
      <c r="A730" s="422"/>
      <c r="B730" s="422"/>
      <c r="C730" s="422"/>
      <c r="D730" s="422"/>
      <c r="E730" s="422"/>
      <c r="F730" s="422"/>
      <c r="G730" s="422"/>
      <c r="H730" s="422"/>
      <c r="I730" s="422"/>
      <c r="J730" s="422"/>
      <c r="K730" s="422"/>
      <c r="L730" s="422"/>
      <c r="M730" s="422"/>
      <c r="N730" s="422"/>
      <c r="O730" s="422"/>
      <c r="P730" s="422"/>
      <c r="Q730" s="422"/>
      <c r="R730" s="98"/>
      <c r="S730" s="98" t="str">
        <f>IFERROR(__xludf.DUMMYFUNCTION("""COMPUTED_VALUE"""),"-")</f>
        <v>-</v>
      </c>
      <c r="T730" s="98"/>
    </row>
    <row r="731">
      <c r="A731" s="422"/>
      <c r="B731" s="422"/>
      <c r="C731" s="422"/>
      <c r="D731" s="422"/>
      <c r="E731" s="422"/>
      <c r="F731" s="422"/>
      <c r="G731" s="422"/>
      <c r="H731" s="422"/>
      <c r="I731" s="422"/>
      <c r="J731" s="422"/>
      <c r="K731" s="422"/>
      <c r="L731" s="422"/>
      <c r="M731" s="422"/>
      <c r="N731" s="422"/>
      <c r="O731" s="422"/>
      <c r="P731" s="422"/>
      <c r="Q731" s="422"/>
      <c r="R731" s="98"/>
      <c r="S731" s="98" t="str">
        <f>IFERROR(__xludf.DUMMYFUNCTION("""COMPUTED_VALUE"""),"-")</f>
        <v>-</v>
      </c>
      <c r="T731" s="98"/>
    </row>
    <row r="732">
      <c r="A732" s="422"/>
      <c r="B732" s="422"/>
      <c r="C732" s="422"/>
      <c r="D732" s="422"/>
      <c r="E732" s="422"/>
      <c r="F732" s="422"/>
      <c r="G732" s="422"/>
      <c r="H732" s="422"/>
      <c r="I732" s="422"/>
      <c r="J732" s="422"/>
      <c r="K732" s="422"/>
      <c r="L732" s="422"/>
      <c r="M732" s="422"/>
      <c r="N732" s="422"/>
      <c r="O732" s="422"/>
      <c r="P732" s="422"/>
      <c r="Q732" s="422"/>
      <c r="R732" s="98"/>
      <c r="S732" s="98" t="str">
        <f>IFERROR(__xludf.DUMMYFUNCTION("""COMPUTED_VALUE"""),"-")</f>
        <v>-</v>
      </c>
      <c r="T732" s="98"/>
    </row>
    <row r="733">
      <c r="A733" s="422"/>
      <c r="B733" s="422"/>
      <c r="C733" s="422"/>
      <c r="D733" s="422"/>
      <c r="E733" s="422"/>
      <c r="F733" s="422"/>
      <c r="G733" s="422"/>
      <c r="H733" s="422"/>
      <c r="I733" s="422"/>
      <c r="J733" s="422"/>
      <c r="K733" s="422"/>
      <c r="L733" s="422"/>
      <c r="M733" s="422"/>
      <c r="N733" s="422"/>
      <c r="O733" s="422"/>
      <c r="P733" s="422"/>
      <c r="Q733" s="422"/>
      <c r="R733" s="98"/>
      <c r="S733" s="98" t="str">
        <f>IFERROR(__xludf.DUMMYFUNCTION("""COMPUTED_VALUE"""),"-")</f>
        <v>-</v>
      </c>
      <c r="T733" s="98"/>
    </row>
    <row r="734">
      <c r="A734" s="422"/>
      <c r="B734" s="422"/>
      <c r="C734" s="422"/>
      <c r="D734" s="422"/>
      <c r="E734" s="422"/>
      <c r="F734" s="422"/>
      <c r="G734" s="422"/>
      <c r="H734" s="422"/>
      <c r="I734" s="422"/>
      <c r="J734" s="422"/>
      <c r="K734" s="422"/>
      <c r="L734" s="422"/>
      <c r="M734" s="422"/>
      <c r="N734" s="422"/>
      <c r="O734" s="422"/>
      <c r="P734" s="422"/>
      <c r="Q734" s="422"/>
      <c r="R734" s="98"/>
      <c r="S734" s="98" t="str">
        <f>IFERROR(__xludf.DUMMYFUNCTION("""COMPUTED_VALUE"""),"-")</f>
        <v>-</v>
      </c>
      <c r="T734" s="98"/>
    </row>
    <row r="735">
      <c r="A735" s="422"/>
      <c r="B735" s="422"/>
      <c r="C735" s="422"/>
      <c r="D735" s="422"/>
      <c r="E735" s="422"/>
      <c r="F735" s="422"/>
      <c r="G735" s="422"/>
      <c r="H735" s="422"/>
      <c r="I735" s="422"/>
      <c r="J735" s="422"/>
      <c r="K735" s="422"/>
      <c r="L735" s="422"/>
      <c r="M735" s="422"/>
      <c r="N735" s="422"/>
      <c r="O735" s="422"/>
      <c r="P735" s="422"/>
      <c r="Q735" s="422"/>
      <c r="R735" s="98"/>
      <c r="S735" s="98" t="str">
        <f>IFERROR(__xludf.DUMMYFUNCTION("""COMPUTED_VALUE"""),"-")</f>
        <v>-</v>
      </c>
      <c r="T735" s="98"/>
    </row>
    <row r="736">
      <c r="A736" s="422"/>
      <c r="B736" s="422"/>
      <c r="C736" s="422"/>
      <c r="D736" s="422"/>
      <c r="E736" s="422"/>
      <c r="F736" s="422"/>
      <c r="G736" s="422"/>
      <c r="H736" s="422"/>
      <c r="I736" s="422"/>
      <c r="J736" s="422"/>
      <c r="K736" s="422"/>
      <c r="L736" s="422"/>
      <c r="M736" s="422"/>
      <c r="N736" s="422"/>
      <c r="O736" s="422"/>
      <c r="P736" s="422"/>
      <c r="Q736" s="422"/>
      <c r="R736" s="98"/>
      <c r="S736" s="98" t="str">
        <f>IFERROR(__xludf.DUMMYFUNCTION("""COMPUTED_VALUE"""),"-")</f>
        <v>-</v>
      </c>
      <c r="T736" s="98"/>
    </row>
    <row r="737">
      <c r="A737" s="422"/>
      <c r="B737" s="422"/>
      <c r="C737" s="422"/>
      <c r="D737" s="422"/>
      <c r="E737" s="422"/>
      <c r="F737" s="422"/>
      <c r="G737" s="422"/>
      <c r="H737" s="422"/>
      <c r="I737" s="422"/>
      <c r="J737" s="422"/>
      <c r="K737" s="422"/>
      <c r="L737" s="422"/>
      <c r="M737" s="422"/>
      <c r="N737" s="422"/>
      <c r="O737" s="422"/>
      <c r="P737" s="422"/>
      <c r="Q737" s="422"/>
      <c r="R737" s="98"/>
      <c r="S737" s="98" t="str">
        <f>IFERROR(__xludf.DUMMYFUNCTION("""COMPUTED_VALUE"""),"-")</f>
        <v>-</v>
      </c>
      <c r="T737" s="98"/>
    </row>
    <row r="738">
      <c r="A738" s="422"/>
      <c r="B738" s="422"/>
      <c r="C738" s="422"/>
      <c r="D738" s="422"/>
      <c r="E738" s="422"/>
      <c r="F738" s="422"/>
      <c r="G738" s="422"/>
      <c r="H738" s="422"/>
      <c r="I738" s="422"/>
      <c r="J738" s="422"/>
      <c r="K738" s="422"/>
      <c r="L738" s="422"/>
      <c r="M738" s="422"/>
      <c r="N738" s="422"/>
      <c r="O738" s="422"/>
      <c r="P738" s="422"/>
      <c r="Q738" s="422"/>
      <c r="R738" s="98"/>
      <c r="S738" s="98" t="str">
        <f>IFERROR(__xludf.DUMMYFUNCTION("""COMPUTED_VALUE"""),"-")</f>
        <v>-</v>
      </c>
      <c r="T738" s="98"/>
    </row>
    <row r="739">
      <c r="A739" s="422"/>
      <c r="B739" s="422"/>
      <c r="C739" s="422"/>
      <c r="D739" s="422"/>
      <c r="E739" s="422"/>
      <c r="F739" s="422"/>
      <c r="G739" s="422"/>
      <c r="H739" s="422"/>
      <c r="I739" s="422"/>
      <c r="J739" s="422"/>
      <c r="K739" s="422"/>
      <c r="L739" s="422"/>
      <c r="M739" s="422"/>
      <c r="N739" s="422"/>
      <c r="O739" s="422"/>
      <c r="P739" s="422"/>
      <c r="Q739" s="422"/>
      <c r="R739" s="98"/>
      <c r="S739" s="98" t="str">
        <f>IFERROR(__xludf.DUMMYFUNCTION("""COMPUTED_VALUE"""),"-")</f>
        <v>-</v>
      </c>
      <c r="T739" s="98"/>
    </row>
    <row r="740">
      <c r="A740" s="422"/>
      <c r="B740" s="422"/>
      <c r="C740" s="422"/>
      <c r="D740" s="422"/>
      <c r="E740" s="422"/>
      <c r="F740" s="422"/>
      <c r="G740" s="422"/>
      <c r="H740" s="422"/>
      <c r="I740" s="422"/>
      <c r="J740" s="422"/>
      <c r="K740" s="422"/>
      <c r="L740" s="422"/>
      <c r="M740" s="422"/>
      <c r="N740" s="422"/>
      <c r="O740" s="422"/>
      <c r="P740" s="422"/>
      <c r="Q740" s="422"/>
      <c r="R740" s="98"/>
      <c r="S740" s="98" t="str">
        <f>IFERROR(__xludf.DUMMYFUNCTION("""COMPUTED_VALUE"""),"-")</f>
        <v>-</v>
      </c>
      <c r="T740" s="98"/>
    </row>
    <row r="741">
      <c r="A741" s="422"/>
      <c r="B741" s="422"/>
      <c r="C741" s="422"/>
      <c r="D741" s="422"/>
      <c r="E741" s="422"/>
      <c r="F741" s="422"/>
      <c r="G741" s="422"/>
      <c r="H741" s="422"/>
      <c r="I741" s="422"/>
      <c r="J741" s="422"/>
      <c r="K741" s="422"/>
      <c r="L741" s="422"/>
      <c r="M741" s="422"/>
      <c r="N741" s="422"/>
      <c r="O741" s="422"/>
      <c r="P741" s="422"/>
      <c r="Q741" s="422"/>
      <c r="R741" s="98"/>
      <c r="S741" s="98" t="str">
        <f>IFERROR(__xludf.DUMMYFUNCTION("""COMPUTED_VALUE"""),"-")</f>
        <v>-</v>
      </c>
      <c r="T741" s="98"/>
    </row>
    <row r="742">
      <c r="A742" s="422"/>
      <c r="B742" s="422"/>
      <c r="C742" s="422"/>
      <c r="D742" s="422"/>
      <c r="E742" s="422"/>
      <c r="F742" s="422"/>
      <c r="G742" s="422"/>
      <c r="H742" s="422"/>
      <c r="I742" s="422"/>
      <c r="J742" s="422"/>
      <c r="K742" s="422"/>
      <c r="L742" s="422"/>
      <c r="M742" s="422"/>
      <c r="N742" s="422"/>
      <c r="O742" s="422"/>
      <c r="P742" s="422"/>
      <c r="Q742" s="422"/>
      <c r="R742" s="98"/>
      <c r="S742" s="98" t="str">
        <f>IFERROR(__xludf.DUMMYFUNCTION("""COMPUTED_VALUE"""),"-")</f>
        <v>-</v>
      </c>
      <c r="T742" s="98"/>
    </row>
    <row r="743">
      <c r="A743" s="422"/>
      <c r="B743" s="422"/>
      <c r="C743" s="422"/>
      <c r="D743" s="422"/>
      <c r="E743" s="422"/>
      <c r="F743" s="422"/>
      <c r="G743" s="422"/>
      <c r="H743" s="422"/>
      <c r="I743" s="422"/>
      <c r="J743" s="422"/>
      <c r="K743" s="422"/>
      <c r="L743" s="422"/>
      <c r="M743" s="422"/>
      <c r="N743" s="422"/>
      <c r="O743" s="422"/>
      <c r="P743" s="422"/>
      <c r="Q743" s="422"/>
      <c r="R743" s="98"/>
      <c r="S743" s="98" t="str">
        <f>IFERROR(__xludf.DUMMYFUNCTION("""COMPUTED_VALUE"""),"-")</f>
        <v>-</v>
      </c>
      <c r="T743" s="98"/>
    </row>
    <row r="744">
      <c r="A744" s="422"/>
      <c r="B744" s="422"/>
      <c r="C744" s="422"/>
      <c r="D744" s="422"/>
      <c r="E744" s="422"/>
      <c r="F744" s="422"/>
      <c r="G744" s="422"/>
      <c r="H744" s="422"/>
      <c r="I744" s="422"/>
      <c r="J744" s="422"/>
      <c r="K744" s="422"/>
      <c r="L744" s="422"/>
      <c r="M744" s="422"/>
      <c r="N744" s="422"/>
      <c r="O744" s="422"/>
      <c r="P744" s="422"/>
      <c r="Q744" s="422"/>
      <c r="R744" s="98"/>
      <c r="S744" s="98" t="str">
        <f>IFERROR(__xludf.DUMMYFUNCTION("""COMPUTED_VALUE"""),"-")</f>
        <v>-</v>
      </c>
      <c r="T744" s="98"/>
    </row>
    <row r="745">
      <c r="A745" s="422"/>
      <c r="B745" s="422"/>
      <c r="C745" s="422"/>
      <c r="D745" s="422"/>
      <c r="E745" s="422"/>
      <c r="F745" s="422"/>
      <c r="G745" s="422"/>
      <c r="H745" s="422"/>
      <c r="I745" s="422"/>
      <c r="J745" s="422"/>
      <c r="K745" s="422"/>
      <c r="L745" s="422"/>
      <c r="M745" s="422"/>
      <c r="N745" s="422"/>
      <c r="O745" s="422"/>
      <c r="P745" s="422"/>
      <c r="Q745" s="422"/>
      <c r="R745" s="98"/>
      <c r="S745" s="98" t="str">
        <f>IFERROR(__xludf.DUMMYFUNCTION("""COMPUTED_VALUE"""),"-")</f>
        <v>-</v>
      </c>
      <c r="T745" s="98"/>
    </row>
    <row r="746">
      <c r="A746" s="422"/>
      <c r="B746" s="422"/>
      <c r="C746" s="422"/>
      <c r="D746" s="422"/>
      <c r="E746" s="422"/>
      <c r="F746" s="422"/>
      <c r="G746" s="422"/>
      <c r="H746" s="422"/>
      <c r="I746" s="422"/>
      <c r="J746" s="422"/>
      <c r="K746" s="422"/>
      <c r="L746" s="422"/>
      <c r="M746" s="422"/>
      <c r="N746" s="422"/>
      <c r="O746" s="422"/>
      <c r="P746" s="422"/>
      <c r="Q746" s="422"/>
      <c r="R746" s="98"/>
      <c r="S746" s="98" t="str">
        <f>IFERROR(__xludf.DUMMYFUNCTION("""COMPUTED_VALUE"""),"-")</f>
        <v>-</v>
      </c>
      <c r="T746" s="98"/>
    </row>
    <row r="747">
      <c r="A747" s="422"/>
      <c r="B747" s="422"/>
      <c r="C747" s="422"/>
      <c r="D747" s="422"/>
      <c r="E747" s="422"/>
      <c r="F747" s="422"/>
      <c r="G747" s="422"/>
      <c r="H747" s="422"/>
      <c r="I747" s="422"/>
      <c r="J747" s="422"/>
      <c r="K747" s="422"/>
      <c r="L747" s="422"/>
      <c r="M747" s="422"/>
      <c r="N747" s="422"/>
      <c r="O747" s="422"/>
      <c r="P747" s="422"/>
      <c r="Q747" s="422"/>
      <c r="R747" s="98"/>
      <c r="S747" s="98" t="str">
        <f>IFERROR(__xludf.DUMMYFUNCTION("""COMPUTED_VALUE"""),"-")</f>
        <v>-</v>
      </c>
      <c r="T747" s="98"/>
    </row>
    <row r="748">
      <c r="A748" s="422"/>
      <c r="B748" s="422"/>
      <c r="C748" s="422"/>
      <c r="D748" s="422"/>
      <c r="E748" s="422"/>
      <c r="F748" s="422"/>
      <c r="G748" s="422"/>
      <c r="H748" s="422"/>
      <c r="I748" s="422"/>
      <c r="J748" s="422"/>
      <c r="K748" s="422"/>
      <c r="L748" s="422"/>
      <c r="M748" s="422"/>
      <c r="N748" s="422"/>
      <c r="O748" s="422"/>
      <c r="P748" s="422"/>
      <c r="Q748" s="422"/>
      <c r="R748" s="98"/>
      <c r="S748" s="98" t="str">
        <f>IFERROR(__xludf.DUMMYFUNCTION("""COMPUTED_VALUE"""),"-")</f>
        <v>-</v>
      </c>
      <c r="T748" s="98"/>
    </row>
    <row r="749">
      <c r="A749" s="422"/>
      <c r="B749" s="422"/>
      <c r="C749" s="422"/>
      <c r="D749" s="422"/>
      <c r="E749" s="422"/>
      <c r="F749" s="422"/>
      <c r="G749" s="422"/>
      <c r="H749" s="422"/>
      <c r="I749" s="422"/>
      <c r="J749" s="422"/>
      <c r="K749" s="422"/>
      <c r="L749" s="422"/>
      <c r="M749" s="422"/>
      <c r="N749" s="422"/>
      <c r="O749" s="422"/>
      <c r="P749" s="422"/>
      <c r="Q749" s="422"/>
      <c r="R749" s="98"/>
      <c r="S749" s="98" t="str">
        <f>IFERROR(__xludf.DUMMYFUNCTION("""COMPUTED_VALUE"""),"-")</f>
        <v>-</v>
      </c>
      <c r="T749" s="98"/>
    </row>
    <row r="750">
      <c r="A750" s="422"/>
      <c r="B750" s="422"/>
      <c r="C750" s="422"/>
      <c r="D750" s="422"/>
      <c r="E750" s="422"/>
      <c r="F750" s="422"/>
      <c r="G750" s="422"/>
      <c r="H750" s="422"/>
      <c r="I750" s="422"/>
      <c r="J750" s="422"/>
      <c r="K750" s="422"/>
      <c r="L750" s="422"/>
      <c r="M750" s="422"/>
      <c r="N750" s="422"/>
      <c r="O750" s="422"/>
      <c r="P750" s="422"/>
      <c r="Q750" s="422"/>
      <c r="R750" s="98"/>
      <c r="S750" s="98" t="str">
        <f>IFERROR(__xludf.DUMMYFUNCTION("""COMPUTED_VALUE"""),"-")</f>
        <v>-</v>
      </c>
      <c r="T750" s="98"/>
    </row>
    <row r="751">
      <c r="A751" s="422"/>
      <c r="B751" s="422"/>
      <c r="C751" s="422"/>
      <c r="D751" s="422"/>
      <c r="E751" s="422"/>
      <c r="F751" s="422"/>
      <c r="G751" s="422"/>
      <c r="H751" s="422"/>
      <c r="I751" s="422"/>
      <c r="J751" s="422"/>
      <c r="K751" s="422"/>
      <c r="L751" s="422"/>
      <c r="M751" s="422"/>
      <c r="N751" s="422"/>
      <c r="O751" s="422"/>
      <c r="P751" s="422"/>
      <c r="Q751" s="422"/>
      <c r="R751" s="98"/>
      <c r="S751" s="98" t="str">
        <f>IFERROR(__xludf.DUMMYFUNCTION("""COMPUTED_VALUE"""),"-")</f>
        <v>-</v>
      </c>
      <c r="T751" s="98"/>
    </row>
    <row r="752">
      <c r="A752" s="422"/>
      <c r="B752" s="422"/>
      <c r="C752" s="422"/>
      <c r="D752" s="422"/>
      <c r="E752" s="422"/>
      <c r="F752" s="422"/>
      <c r="G752" s="422"/>
      <c r="H752" s="422"/>
      <c r="I752" s="422"/>
      <c r="J752" s="422"/>
      <c r="K752" s="422"/>
      <c r="L752" s="422"/>
      <c r="M752" s="422"/>
      <c r="N752" s="422"/>
      <c r="O752" s="422"/>
      <c r="P752" s="422"/>
      <c r="Q752" s="422"/>
      <c r="R752" s="98"/>
      <c r="S752" s="98" t="str">
        <f>IFERROR(__xludf.DUMMYFUNCTION("""COMPUTED_VALUE"""),"-")</f>
        <v>-</v>
      </c>
      <c r="T752" s="98"/>
    </row>
    <row r="753">
      <c r="A753" s="422"/>
      <c r="B753" s="422"/>
      <c r="C753" s="422"/>
      <c r="D753" s="422"/>
      <c r="E753" s="422"/>
      <c r="F753" s="422"/>
      <c r="G753" s="422"/>
      <c r="H753" s="422"/>
      <c r="I753" s="422"/>
      <c r="J753" s="422"/>
      <c r="K753" s="422"/>
      <c r="L753" s="422"/>
      <c r="M753" s="422"/>
      <c r="N753" s="422"/>
      <c r="O753" s="422"/>
      <c r="P753" s="422"/>
      <c r="Q753" s="422"/>
      <c r="R753" s="98"/>
      <c r="S753" s="98" t="str">
        <f>IFERROR(__xludf.DUMMYFUNCTION("""COMPUTED_VALUE"""),"-")</f>
        <v>-</v>
      </c>
      <c r="T753" s="98"/>
    </row>
    <row r="754">
      <c r="A754" s="422"/>
      <c r="B754" s="422"/>
      <c r="C754" s="422"/>
      <c r="D754" s="422"/>
      <c r="E754" s="422"/>
      <c r="F754" s="422"/>
      <c r="G754" s="422"/>
      <c r="H754" s="422"/>
      <c r="I754" s="422"/>
      <c r="J754" s="422"/>
      <c r="K754" s="422"/>
      <c r="L754" s="422"/>
      <c r="M754" s="422"/>
      <c r="N754" s="422"/>
      <c r="O754" s="422"/>
      <c r="P754" s="422"/>
      <c r="Q754" s="422"/>
      <c r="R754" s="98"/>
      <c r="S754" s="98" t="str">
        <f>IFERROR(__xludf.DUMMYFUNCTION("""COMPUTED_VALUE"""),"-")</f>
        <v>-</v>
      </c>
      <c r="T754" s="98"/>
    </row>
    <row r="755">
      <c r="A755" s="422"/>
      <c r="B755" s="422"/>
      <c r="C755" s="422"/>
      <c r="D755" s="422"/>
      <c r="E755" s="422"/>
      <c r="F755" s="422"/>
      <c r="G755" s="422"/>
      <c r="H755" s="422"/>
      <c r="I755" s="422"/>
      <c r="J755" s="422"/>
      <c r="K755" s="422"/>
      <c r="L755" s="422"/>
      <c r="M755" s="422"/>
      <c r="N755" s="422"/>
      <c r="O755" s="422"/>
      <c r="P755" s="422"/>
      <c r="Q755" s="422"/>
      <c r="R755" s="98"/>
      <c r="S755" s="98" t="str">
        <f>IFERROR(__xludf.DUMMYFUNCTION("""COMPUTED_VALUE"""),"-")</f>
        <v>-</v>
      </c>
      <c r="T755" s="98"/>
    </row>
    <row r="756">
      <c r="A756" s="422"/>
      <c r="B756" s="422"/>
      <c r="C756" s="422"/>
      <c r="D756" s="422"/>
      <c r="E756" s="422"/>
      <c r="F756" s="422"/>
      <c r="G756" s="422"/>
      <c r="H756" s="422"/>
      <c r="I756" s="422"/>
      <c r="J756" s="422"/>
      <c r="K756" s="422"/>
      <c r="L756" s="422"/>
      <c r="M756" s="422"/>
      <c r="N756" s="422"/>
      <c r="O756" s="422"/>
      <c r="P756" s="422"/>
      <c r="Q756" s="422"/>
      <c r="R756" s="98"/>
      <c r="S756" s="98" t="str">
        <f>IFERROR(__xludf.DUMMYFUNCTION("""COMPUTED_VALUE"""),"-")</f>
        <v>-</v>
      </c>
      <c r="T756" s="98"/>
    </row>
    <row r="757">
      <c r="A757" s="422"/>
      <c r="B757" s="422"/>
      <c r="C757" s="422"/>
      <c r="D757" s="422"/>
      <c r="E757" s="422"/>
      <c r="F757" s="422"/>
      <c r="G757" s="422"/>
      <c r="H757" s="422"/>
      <c r="I757" s="422"/>
      <c r="J757" s="422"/>
      <c r="K757" s="422"/>
      <c r="L757" s="422"/>
      <c r="M757" s="422"/>
      <c r="N757" s="422"/>
      <c r="O757" s="422"/>
      <c r="P757" s="422"/>
      <c r="Q757" s="422"/>
      <c r="R757" s="98"/>
      <c r="S757" s="98" t="str">
        <f>IFERROR(__xludf.DUMMYFUNCTION("""COMPUTED_VALUE"""),"-")</f>
        <v>-</v>
      </c>
      <c r="T757" s="98"/>
    </row>
    <row r="758">
      <c r="A758" s="422"/>
      <c r="B758" s="422"/>
      <c r="C758" s="422"/>
      <c r="D758" s="422"/>
      <c r="E758" s="422"/>
      <c r="F758" s="422"/>
      <c r="G758" s="422"/>
      <c r="H758" s="422"/>
      <c r="I758" s="422"/>
      <c r="J758" s="422"/>
      <c r="K758" s="422"/>
      <c r="L758" s="422"/>
      <c r="M758" s="422"/>
      <c r="N758" s="422"/>
      <c r="O758" s="422"/>
      <c r="P758" s="422"/>
      <c r="Q758" s="422"/>
      <c r="R758" s="98"/>
      <c r="S758" s="98" t="str">
        <f>IFERROR(__xludf.DUMMYFUNCTION("""COMPUTED_VALUE"""),"-")</f>
        <v>-</v>
      </c>
      <c r="T758" s="98"/>
    </row>
    <row r="759">
      <c r="A759" s="422"/>
      <c r="B759" s="422"/>
      <c r="C759" s="422"/>
      <c r="D759" s="422"/>
      <c r="E759" s="422"/>
      <c r="F759" s="422"/>
      <c r="G759" s="422"/>
      <c r="H759" s="422"/>
      <c r="I759" s="422"/>
      <c r="J759" s="422"/>
      <c r="K759" s="422"/>
      <c r="L759" s="422"/>
      <c r="M759" s="422"/>
      <c r="N759" s="422"/>
      <c r="O759" s="422"/>
      <c r="P759" s="422"/>
      <c r="Q759" s="422"/>
      <c r="R759" s="98"/>
      <c r="S759" s="98" t="str">
        <f>IFERROR(__xludf.DUMMYFUNCTION("""COMPUTED_VALUE"""),"-")</f>
        <v>-</v>
      </c>
      <c r="T759" s="98"/>
    </row>
    <row r="760">
      <c r="A760" s="422"/>
      <c r="B760" s="422"/>
      <c r="C760" s="422"/>
      <c r="D760" s="422"/>
      <c r="E760" s="422"/>
      <c r="F760" s="422"/>
      <c r="G760" s="422"/>
      <c r="H760" s="422"/>
      <c r="I760" s="422"/>
      <c r="J760" s="422"/>
      <c r="K760" s="422"/>
      <c r="L760" s="422"/>
      <c r="M760" s="422"/>
      <c r="N760" s="422"/>
      <c r="O760" s="422"/>
      <c r="P760" s="422"/>
      <c r="Q760" s="422"/>
      <c r="R760" s="98"/>
      <c r="S760" s="98" t="str">
        <f>IFERROR(__xludf.DUMMYFUNCTION("""COMPUTED_VALUE"""),"-")</f>
        <v>-</v>
      </c>
      <c r="T760" s="98"/>
    </row>
    <row r="761">
      <c r="A761" s="422"/>
      <c r="B761" s="422"/>
      <c r="C761" s="422"/>
      <c r="D761" s="422"/>
      <c r="E761" s="422"/>
      <c r="F761" s="422"/>
      <c r="G761" s="422"/>
      <c r="H761" s="422"/>
      <c r="I761" s="422"/>
      <c r="J761" s="422"/>
      <c r="K761" s="422"/>
      <c r="L761" s="422"/>
      <c r="M761" s="422"/>
      <c r="N761" s="422"/>
      <c r="O761" s="422"/>
      <c r="P761" s="422"/>
      <c r="Q761" s="422"/>
      <c r="R761" s="98"/>
      <c r="S761" s="98" t="str">
        <f>IFERROR(__xludf.DUMMYFUNCTION("""COMPUTED_VALUE"""),"-")</f>
        <v>-</v>
      </c>
      <c r="T761" s="98"/>
    </row>
    <row r="762">
      <c r="A762" s="422"/>
      <c r="B762" s="422"/>
      <c r="C762" s="422"/>
      <c r="D762" s="422"/>
      <c r="E762" s="422"/>
      <c r="F762" s="422"/>
      <c r="G762" s="422"/>
      <c r="H762" s="422"/>
      <c r="I762" s="422"/>
      <c r="J762" s="422"/>
      <c r="K762" s="422"/>
      <c r="L762" s="422"/>
      <c r="M762" s="422"/>
      <c r="N762" s="422"/>
      <c r="O762" s="422"/>
      <c r="P762" s="422"/>
      <c r="Q762" s="422"/>
      <c r="R762" s="98"/>
      <c r="S762" s="98" t="str">
        <f>IFERROR(__xludf.DUMMYFUNCTION("""COMPUTED_VALUE"""),"-")</f>
        <v>-</v>
      </c>
      <c r="T762" s="98"/>
    </row>
    <row r="763">
      <c r="A763" s="422"/>
      <c r="B763" s="422"/>
      <c r="C763" s="422"/>
      <c r="D763" s="422"/>
      <c r="E763" s="422"/>
      <c r="F763" s="422"/>
      <c r="G763" s="422"/>
      <c r="H763" s="422"/>
      <c r="I763" s="422"/>
      <c r="J763" s="422"/>
      <c r="K763" s="422"/>
      <c r="L763" s="422"/>
      <c r="M763" s="422"/>
      <c r="N763" s="422"/>
      <c r="O763" s="422"/>
      <c r="P763" s="422"/>
      <c r="Q763" s="422"/>
      <c r="R763" s="98"/>
      <c r="S763" s="98" t="str">
        <f>IFERROR(__xludf.DUMMYFUNCTION("""COMPUTED_VALUE"""),"-")</f>
        <v>-</v>
      </c>
      <c r="T763" s="98"/>
    </row>
    <row r="764">
      <c r="A764" s="422"/>
      <c r="B764" s="422"/>
      <c r="C764" s="422"/>
      <c r="D764" s="422"/>
      <c r="E764" s="422"/>
      <c r="F764" s="422"/>
      <c r="G764" s="422"/>
      <c r="H764" s="422"/>
      <c r="I764" s="422"/>
      <c r="J764" s="422"/>
      <c r="K764" s="422"/>
      <c r="L764" s="422"/>
      <c r="M764" s="422"/>
      <c r="N764" s="422"/>
      <c r="O764" s="422"/>
      <c r="P764" s="422"/>
      <c r="Q764" s="422"/>
      <c r="R764" s="98"/>
      <c r="S764" s="98" t="str">
        <f>IFERROR(__xludf.DUMMYFUNCTION("""COMPUTED_VALUE"""),"-")</f>
        <v>-</v>
      </c>
      <c r="T764" s="98"/>
    </row>
    <row r="765">
      <c r="A765" s="422"/>
      <c r="B765" s="422"/>
      <c r="C765" s="422"/>
      <c r="D765" s="422"/>
      <c r="E765" s="422"/>
      <c r="F765" s="422"/>
      <c r="G765" s="422"/>
      <c r="H765" s="422"/>
      <c r="I765" s="422"/>
      <c r="J765" s="422"/>
      <c r="K765" s="422"/>
      <c r="L765" s="422"/>
      <c r="M765" s="422"/>
      <c r="N765" s="422"/>
      <c r="O765" s="422"/>
      <c r="P765" s="422"/>
      <c r="Q765" s="422"/>
      <c r="R765" s="98"/>
      <c r="S765" s="98" t="str">
        <f>IFERROR(__xludf.DUMMYFUNCTION("""COMPUTED_VALUE"""),"-")</f>
        <v>-</v>
      </c>
      <c r="T765" s="98"/>
    </row>
    <row r="766">
      <c r="A766" s="422"/>
      <c r="B766" s="422"/>
      <c r="C766" s="422"/>
      <c r="D766" s="422"/>
      <c r="E766" s="422"/>
      <c r="F766" s="422"/>
      <c r="G766" s="422"/>
      <c r="H766" s="422"/>
      <c r="I766" s="422"/>
      <c r="J766" s="422"/>
      <c r="K766" s="422"/>
      <c r="L766" s="422"/>
      <c r="M766" s="422"/>
      <c r="N766" s="422"/>
      <c r="O766" s="422"/>
      <c r="P766" s="422"/>
      <c r="Q766" s="422"/>
      <c r="R766" s="98"/>
      <c r="S766" s="98" t="str">
        <f>IFERROR(__xludf.DUMMYFUNCTION("""COMPUTED_VALUE"""),"-")</f>
        <v>-</v>
      </c>
      <c r="T766" s="98"/>
    </row>
    <row r="767">
      <c r="A767" s="422"/>
      <c r="B767" s="422"/>
      <c r="C767" s="422"/>
      <c r="D767" s="422"/>
      <c r="E767" s="422"/>
      <c r="F767" s="422"/>
      <c r="G767" s="422"/>
      <c r="H767" s="422"/>
      <c r="I767" s="422"/>
      <c r="J767" s="422"/>
      <c r="K767" s="422"/>
      <c r="L767" s="422"/>
      <c r="M767" s="422"/>
      <c r="N767" s="422"/>
      <c r="O767" s="422"/>
      <c r="P767" s="422"/>
      <c r="Q767" s="422"/>
      <c r="R767" s="98"/>
      <c r="S767" s="98" t="str">
        <f>IFERROR(__xludf.DUMMYFUNCTION("""COMPUTED_VALUE"""),"-")</f>
        <v>-</v>
      </c>
      <c r="T767" s="98"/>
    </row>
    <row r="768">
      <c r="A768" s="422"/>
      <c r="B768" s="422"/>
      <c r="C768" s="422"/>
      <c r="D768" s="422"/>
      <c r="E768" s="422"/>
      <c r="F768" s="422"/>
      <c r="G768" s="422"/>
      <c r="H768" s="422"/>
      <c r="I768" s="422"/>
      <c r="J768" s="422"/>
      <c r="K768" s="422"/>
      <c r="L768" s="422"/>
      <c r="M768" s="422"/>
      <c r="N768" s="422"/>
      <c r="O768" s="422"/>
      <c r="P768" s="422"/>
      <c r="Q768" s="422"/>
      <c r="R768" s="98"/>
      <c r="S768" s="98" t="str">
        <f>IFERROR(__xludf.DUMMYFUNCTION("""COMPUTED_VALUE"""),"-")</f>
        <v>-</v>
      </c>
      <c r="T768" s="98"/>
    </row>
    <row r="769">
      <c r="A769" s="422"/>
      <c r="B769" s="422"/>
      <c r="C769" s="422"/>
      <c r="D769" s="422"/>
      <c r="E769" s="422"/>
      <c r="F769" s="422"/>
      <c r="G769" s="422"/>
      <c r="H769" s="422"/>
      <c r="I769" s="422"/>
      <c r="J769" s="422"/>
      <c r="K769" s="422"/>
      <c r="L769" s="422"/>
      <c r="M769" s="422"/>
      <c r="N769" s="422"/>
      <c r="O769" s="422"/>
      <c r="P769" s="422"/>
      <c r="Q769" s="422"/>
      <c r="R769" s="98"/>
      <c r="S769" s="98" t="str">
        <f>IFERROR(__xludf.DUMMYFUNCTION("""COMPUTED_VALUE"""),"-")</f>
        <v>-</v>
      </c>
      <c r="T769" s="98"/>
    </row>
    <row r="770">
      <c r="A770" s="422"/>
      <c r="B770" s="422"/>
      <c r="C770" s="422"/>
      <c r="D770" s="422"/>
      <c r="E770" s="422"/>
      <c r="F770" s="422"/>
      <c r="G770" s="422"/>
      <c r="H770" s="422"/>
      <c r="I770" s="422"/>
      <c r="J770" s="422"/>
      <c r="K770" s="422"/>
      <c r="L770" s="422"/>
      <c r="M770" s="422"/>
      <c r="N770" s="422"/>
      <c r="O770" s="422"/>
      <c r="P770" s="422"/>
      <c r="Q770" s="422"/>
      <c r="R770" s="98"/>
      <c r="S770" s="98" t="str">
        <f>IFERROR(__xludf.DUMMYFUNCTION("""COMPUTED_VALUE"""),"-")</f>
        <v>-</v>
      </c>
      <c r="T770" s="98"/>
    </row>
    <row r="771">
      <c r="A771" s="422"/>
      <c r="B771" s="422"/>
      <c r="C771" s="422"/>
      <c r="D771" s="422"/>
      <c r="E771" s="422"/>
      <c r="F771" s="422"/>
      <c r="G771" s="422"/>
      <c r="H771" s="422"/>
      <c r="I771" s="422"/>
      <c r="J771" s="422"/>
      <c r="K771" s="422"/>
      <c r="L771" s="422"/>
      <c r="M771" s="422"/>
      <c r="N771" s="422"/>
      <c r="O771" s="422"/>
      <c r="P771" s="422"/>
      <c r="Q771" s="422"/>
      <c r="R771" s="98"/>
      <c r="S771" s="98" t="str">
        <f>IFERROR(__xludf.DUMMYFUNCTION("""COMPUTED_VALUE"""),"-")</f>
        <v>-</v>
      </c>
      <c r="T771" s="98"/>
    </row>
    <row r="772">
      <c r="A772" s="422"/>
      <c r="B772" s="422"/>
      <c r="C772" s="422"/>
      <c r="D772" s="422"/>
      <c r="E772" s="422"/>
      <c r="F772" s="422"/>
      <c r="G772" s="422"/>
      <c r="H772" s="422"/>
      <c r="I772" s="422"/>
      <c r="J772" s="422"/>
      <c r="K772" s="422"/>
      <c r="L772" s="422"/>
      <c r="M772" s="422"/>
      <c r="N772" s="422"/>
      <c r="O772" s="422"/>
      <c r="P772" s="422"/>
      <c r="Q772" s="422"/>
      <c r="R772" s="98"/>
      <c r="S772" s="98" t="str">
        <f>IFERROR(__xludf.DUMMYFUNCTION("""COMPUTED_VALUE"""),"-")</f>
        <v>-</v>
      </c>
      <c r="T772" s="98"/>
    </row>
    <row r="773">
      <c r="A773" s="422"/>
      <c r="B773" s="422"/>
      <c r="C773" s="422"/>
      <c r="D773" s="422"/>
      <c r="E773" s="422"/>
      <c r="F773" s="422"/>
      <c r="G773" s="422"/>
      <c r="H773" s="422"/>
      <c r="I773" s="422"/>
      <c r="J773" s="422"/>
      <c r="K773" s="422"/>
      <c r="L773" s="422"/>
      <c r="M773" s="422"/>
      <c r="N773" s="422"/>
      <c r="O773" s="422"/>
      <c r="P773" s="422"/>
      <c r="Q773" s="422"/>
      <c r="R773" s="98"/>
      <c r="S773" s="98" t="str">
        <f>IFERROR(__xludf.DUMMYFUNCTION("""COMPUTED_VALUE"""),"-")</f>
        <v>-</v>
      </c>
      <c r="T773" s="98"/>
    </row>
    <row r="774">
      <c r="A774" s="422"/>
      <c r="B774" s="422"/>
      <c r="C774" s="422"/>
      <c r="D774" s="422"/>
      <c r="E774" s="422"/>
      <c r="F774" s="422"/>
      <c r="G774" s="422"/>
      <c r="H774" s="422"/>
      <c r="I774" s="422"/>
      <c r="J774" s="422"/>
      <c r="K774" s="422"/>
      <c r="L774" s="422"/>
      <c r="M774" s="422"/>
      <c r="N774" s="422"/>
      <c r="O774" s="422"/>
      <c r="P774" s="422"/>
      <c r="Q774" s="422"/>
      <c r="R774" s="98"/>
      <c r="S774" s="98" t="str">
        <f>IFERROR(__xludf.DUMMYFUNCTION("""COMPUTED_VALUE"""),"-")</f>
        <v>-</v>
      </c>
      <c r="T774" s="98"/>
    </row>
    <row r="775">
      <c r="A775" s="422"/>
      <c r="B775" s="422"/>
      <c r="C775" s="422"/>
      <c r="D775" s="422"/>
      <c r="E775" s="422"/>
      <c r="F775" s="422"/>
      <c r="G775" s="422"/>
      <c r="H775" s="422"/>
      <c r="I775" s="422"/>
      <c r="J775" s="422"/>
      <c r="K775" s="422"/>
      <c r="L775" s="422"/>
      <c r="M775" s="422"/>
      <c r="N775" s="422"/>
      <c r="O775" s="422"/>
      <c r="P775" s="422"/>
      <c r="Q775" s="422"/>
      <c r="R775" s="98"/>
      <c r="S775" s="98" t="str">
        <f>IFERROR(__xludf.DUMMYFUNCTION("""COMPUTED_VALUE"""),"-")</f>
        <v>-</v>
      </c>
      <c r="T775" s="98"/>
    </row>
    <row r="776">
      <c r="A776" s="422"/>
      <c r="B776" s="422"/>
      <c r="C776" s="422"/>
      <c r="D776" s="422"/>
      <c r="E776" s="422"/>
      <c r="F776" s="422"/>
      <c r="G776" s="422"/>
      <c r="H776" s="422"/>
      <c r="I776" s="422"/>
      <c r="J776" s="422"/>
      <c r="K776" s="422"/>
      <c r="L776" s="422"/>
      <c r="M776" s="422"/>
      <c r="N776" s="422"/>
      <c r="O776" s="422"/>
      <c r="P776" s="422"/>
      <c r="Q776" s="422"/>
      <c r="R776" s="98"/>
      <c r="S776" s="98" t="str">
        <f>IFERROR(__xludf.DUMMYFUNCTION("""COMPUTED_VALUE"""),"-")</f>
        <v>-</v>
      </c>
      <c r="T776" s="98"/>
    </row>
    <row r="777">
      <c r="A777" s="422"/>
      <c r="B777" s="422"/>
      <c r="C777" s="422"/>
      <c r="D777" s="422"/>
      <c r="E777" s="422"/>
      <c r="F777" s="422"/>
      <c r="G777" s="422"/>
      <c r="H777" s="422"/>
      <c r="I777" s="422"/>
      <c r="J777" s="422"/>
      <c r="K777" s="422"/>
      <c r="L777" s="422"/>
      <c r="M777" s="422"/>
      <c r="N777" s="422"/>
      <c r="O777" s="422"/>
      <c r="P777" s="422"/>
      <c r="Q777" s="422"/>
      <c r="R777" s="98"/>
      <c r="S777" s="98" t="str">
        <f>IFERROR(__xludf.DUMMYFUNCTION("""COMPUTED_VALUE"""),"-")</f>
        <v>-</v>
      </c>
      <c r="T777" s="98"/>
    </row>
    <row r="778">
      <c r="A778" s="422"/>
      <c r="B778" s="422"/>
      <c r="C778" s="422"/>
      <c r="D778" s="422"/>
      <c r="E778" s="422"/>
      <c r="F778" s="422"/>
      <c r="G778" s="422"/>
      <c r="H778" s="422"/>
      <c r="I778" s="422"/>
      <c r="J778" s="422"/>
      <c r="K778" s="422"/>
      <c r="L778" s="422"/>
      <c r="M778" s="422"/>
      <c r="N778" s="422"/>
      <c r="O778" s="422"/>
      <c r="P778" s="422"/>
      <c r="Q778" s="422"/>
      <c r="R778" s="98"/>
      <c r="S778" s="98" t="str">
        <f>IFERROR(__xludf.DUMMYFUNCTION("""COMPUTED_VALUE"""),"-")</f>
        <v>-</v>
      </c>
      <c r="T778" s="98"/>
    </row>
    <row r="779">
      <c r="A779" s="422"/>
      <c r="B779" s="422"/>
      <c r="C779" s="422"/>
      <c r="D779" s="422"/>
      <c r="E779" s="422"/>
      <c r="F779" s="422"/>
      <c r="G779" s="422"/>
      <c r="H779" s="422"/>
      <c r="I779" s="422"/>
      <c r="J779" s="422"/>
      <c r="K779" s="422"/>
      <c r="L779" s="422"/>
      <c r="M779" s="422"/>
      <c r="N779" s="422"/>
      <c r="O779" s="422"/>
      <c r="P779" s="422"/>
      <c r="Q779" s="422"/>
      <c r="R779" s="98"/>
      <c r="S779" s="98" t="str">
        <f>IFERROR(__xludf.DUMMYFUNCTION("""COMPUTED_VALUE"""),"-")</f>
        <v>-</v>
      </c>
      <c r="T779" s="98"/>
    </row>
    <row r="780">
      <c r="A780" s="422"/>
      <c r="B780" s="422"/>
      <c r="C780" s="422"/>
      <c r="D780" s="422"/>
      <c r="E780" s="422"/>
      <c r="F780" s="422"/>
      <c r="G780" s="422"/>
      <c r="H780" s="422"/>
      <c r="I780" s="422"/>
      <c r="J780" s="422"/>
      <c r="K780" s="422"/>
      <c r="L780" s="422"/>
      <c r="M780" s="422"/>
      <c r="N780" s="422"/>
      <c r="O780" s="422"/>
      <c r="P780" s="422"/>
      <c r="Q780" s="422"/>
      <c r="R780" s="98"/>
      <c r="S780" s="98" t="str">
        <f>IFERROR(__xludf.DUMMYFUNCTION("""COMPUTED_VALUE"""),"-")</f>
        <v>-</v>
      </c>
      <c r="T780" s="98"/>
    </row>
    <row r="781">
      <c r="A781" s="422"/>
      <c r="B781" s="422"/>
      <c r="C781" s="422"/>
      <c r="D781" s="422"/>
      <c r="E781" s="422"/>
      <c r="F781" s="422"/>
      <c r="G781" s="422"/>
      <c r="H781" s="422"/>
      <c r="I781" s="422"/>
      <c r="J781" s="422"/>
      <c r="K781" s="422"/>
      <c r="L781" s="422"/>
      <c r="M781" s="422"/>
      <c r="N781" s="422"/>
      <c r="O781" s="422"/>
      <c r="P781" s="422"/>
      <c r="Q781" s="422"/>
      <c r="R781" s="98"/>
      <c r="S781" s="98" t="str">
        <f>IFERROR(__xludf.DUMMYFUNCTION("""COMPUTED_VALUE"""),"-")</f>
        <v>-</v>
      </c>
      <c r="T781" s="98"/>
    </row>
    <row r="782">
      <c r="A782" s="422"/>
      <c r="B782" s="422"/>
      <c r="C782" s="422"/>
      <c r="D782" s="422"/>
      <c r="E782" s="422"/>
      <c r="F782" s="422"/>
      <c r="G782" s="422"/>
      <c r="H782" s="422"/>
      <c r="I782" s="422"/>
      <c r="J782" s="422"/>
      <c r="K782" s="422"/>
      <c r="L782" s="422"/>
      <c r="M782" s="422"/>
      <c r="N782" s="422"/>
      <c r="O782" s="422"/>
      <c r="P782" s="422"/>
      <c r="Q782" s="422"/>
      <c r="R782" s="98"/>
      <c r="S782" s="98" t="str">
        <f>IFERROR(__xludf.DUMMYFUNCTION("""COMPUTED_VALUE"""),"-")</f>
        <v>-</v>
      </c>
      <c r="T782" s="98"/>
    </row>
    <row r="783">
      <c r="A783" s="422"/>
      <c r="B783" s="422"/>
      <c r="C783" s="422"/>
      <c r="D783" s="422"/>
      <c r="E783" s="422"/>
      <c r="F783" s="422"/>
      <c r="G783" s="422"/>
      <c r="H783" s="422"/>
      <c r="I783" s="422"/>
      <c r="J783" s="422"/>
      <c r="K783" s="422"/>
      <c r="L783" s="422"/>
      <c r="M783" s="422"/>
      <c r="N783" s="422"/>
      <c r="O783" s="422"/>
      <c r="P783" s="422"/>
      <c r="Q783" s="422"/>
      <c r="R783" s="98"/>
      <c r="S783" s="98" t="str">
        <f>IFERROR(__xludf.DUMMYFUNCTION("""COMPUTED_VALUE"""),"-")</f>
        <v>-</v>
      </c>
      <c r="T783" s="98"/>
    </row>
    <row r="784">
      <c r="A784" s="422"/>
      <c r="B784" s="422"/>
      <c r="C784" s="422"/>
      <c r="D784" s="422"/>
      <c r="E784" s="422"/>
      <c r="F784" s="422"/>
      <c r="G784" s="422"/>
      <c r="H784" s="422"/>
      <c r="I784" s="422"/>
      <c r="J784" s="422"/>
      <c r="K784" s="422"/>
      <c r="L784" s="422"/>
      <c r="M784" s="422"/>
      <c r="N784" s="422"/>
      <c r="O784" s="422"/>
      <c r="P784" s="422"/>
      <c r="Q784" s="422"/>
      <c r="R784" s="98"/>
      <c r="S784" s="98" t="str">
        <f>IFERROR(__xludf.DUMMYFUNCTION("""COMPUTED_VALUE"""),"-")</f>
        <v>-</v>
      </c>
      <c r="T784" s="98"/>
    </row>
    <row r="785">
      <c r="A785" s="422"/>
      <c r="B785" s="422"/>
      <c r="C785" s="422"/>
      <c r="D785" s="422"/>
      <c r="E785" s="422"/>
      <c r="F785" s="422"/>
      <c r="G785" s="422"/>
      <c r="H785" s="422"/>
      <c r="I785" s="422"/>
      <c r="J785" s="422"/>
      <c r="K785" s="422"/>
      <c r="L785" s="422"/>
      <c r="M785" s="422"/>
      <c r="N785" s="422"/>
      <c r="O785" s="422"/>
      <c r="P785" s="422"/>
      <c r="Q785" s="422"/>
      <c r="R785" s="98"/>
      <c r="S785" s="98" t="str">
        <f>IFERROR(__xludf.DUMMYFUNCTION("""COMPUTED_VALUE"""),"-")</f>
        <v>-</v>
      </c>
      <c r="T785" s="98"/>
    </row>
    <row r="786">
      <c r="A786" s="422"/>
      <c r="B786" s="422"/>
      <c r="C786" s="422"/>
      <c r="D786" s="422"/>
      <c r="E786" s="422"/>
      <c r="F786" s="422"/>
      <c r="G786" s="422"/>
      <c r="H786" s="422"/>
      <c r="I786" s="422"/>
      <c r="J786" s="422"/>
      <c r="K786" s="422"/>
      <c r="L786" s="422"/>
      <c r="M786" s="422"/>
      <c r="N786" s="422"/>
      <c r="O786" s="422"/>
      <c r="P786" s="422"/>
      <c r="Q786" s="422"/>
      <c r="R786" s="98"/>
      <c r="S786" s="98" t="str">
        <f>IFERROR(__xludf.DUMMYFUNCTION("""COMPUTED_VALUE"""),"-")</f>
        <v>-</v>
      </c>
      <c r="T786" s="98"/>
    </row>
    <row r="787">
      <c r="A787" s="422"/>
      <c r="B787" s="422"/>
      <c r="C787" s="422"/>
      <c r="D787" s="422"/>
      <c r="E787" s="422"/>
      <c r="F787" s="422"/>
      <c r="G787" s="422"/>
      <c r="H787" s="422"/>
      <c r="I787" s="422"/>
      <c r="J787" s="422"/>
      <c r="K787" s="422"/>
      <c r="L787" s="422"/>
      <c r="M787" s="422"/>
      <c r="N787" s="422"/>
      <c r="O787" s="422"/>
      <c r="P787" s="422"/>
      <c r="Q787" s="422"/>
      <c r="R787" s="98"/>
      <c r="S787" s="98" t="str">
        <f>IFERROR(__xludf.DUMMYFUNCTION("""COMPUTED_VALUE"""),"-")</f>
        <v>-</v>
      </c>
      <c r="T787" s="98"/>
    </row>
    <row r="788">
      <c r="A788" s="422"/>
      <c r="B788" s="422"/>
      <c r="C788" s="422"/>
      <c r="D788" s="422"/>
      <c r="E788" s="422"/>
      <c r="F788" s="422"/>
      <c r="G788" s="422"/>
      <c r="H788" s="422"/>
      <c r="I788" s="422"/>
      <c r="J788" s="422"/>
      <c r="K788" s="422"/>
      <c r="L788" s="422"/>
      <c r="M788" s="422"/>
      <c r="N788" s="422"/>
      <c r="O788" s="422"/>
      <c r="P788" s="422"/>
      <c r="Q788" s="422"/>
      <c r="R788" s="98"/>
      <c r="S788" s="98" t="str">
        <f>IFERROR(__xludf.DUMMYFUNCTION("""COMPUTED_VALUE"""),"-")</f>
        <v>-</v>
      </c>
      <c r="T788" s="98"/>
    </row>
    <row r="789">
      <c r="A789" s="422"/>
      <c r="B789" s="422"/>
      <c r="C789" s="422"/>
      <c r="D789" s="422"/>
      <c r="E789" s="422"/>
      <c r="F789" s="422"/>
      <c r="G789" s="422"/>
      <c r="H789" s="422"/>
      <c r="I789" s="422"/>
      <c r="J789" s="422"/>
      <c r="K789" s="422"/>
      <c r="L789" s="422"/>
      <c r="M789" s="422"/>
      <c r="N789" s="422"/>
      <c r="O789" s="422"/>
      <c r="P789" s="422"/>
      <c r="Q789" s="422"/>
      <c r="R789" s="98"/>
      <c r="S789" s="98" t="str">
        <f>IFERROR(__xludf.DUMMYFUNCTION("""COMPUTED_VALUE"""),"-")</f>
        <v>-</v>
      </c>
      <c r="T789" s="98"/>
    </row>
    <row r="790">
      <c r="A790" s="422"/>
      <c r="B790" s="422"/>
      <c r="C790" s="422"/>
      <c r="D790" s="422"/>
      <c r="E790" s="422"/>
      <c r="F790" s="422"/>
      <c r="G790" s="422"/>
      <c r="H790" s="422"/>
      <c r="I790" s="422"/>
      <c r="J790" s="422"/>
      <c r="K790" s="422"/>
      <c r="L790" s="422"/>
      <c r="M790" s="422"/>
      <c r="N790" s="422"/>
      <c r="O790" s="422"/>
      <c r="P790" s="422"/>
      <c r="Q790" s="422"/>
      <c r="R790" s="98"/>
      <c r="S790" s="98" t="str">
        <f>IFERROR(__xludf.DUMMYFUNCTION("""COMPUTED_VALUE"""),"-")</f>
        <v>-</v>
      </c>
      <c r="T790" s="98"/>
    </row>
    <row r="791">
      <c r="A791" s="422"/>
      <c r="B791" s="422"/>
      <c r="C791" s="422"/>
      <c r="D791" s="422"/>
      <c r="E791" s="422"/>
      <c r="F791" s="422"/>
      <c r="G791" s="422"/>
      <c r="H791" s="422"/>
      <c r="I791" s="422"/>
      <c r="J791" s="422"/>
      <c r="K791" s="422"/>
      <c r="L791" s="422"/>
      <c r="M791" s="422"/>
      <c r="N791" s="422"/>
      <c r="O791" s="422"/>
      <c r="P791" s="422"/>
      <c r="Q791" s="422"/>
      <c r="R791" s="98"/>
      <c r="S791" s="98" t="str">
        <f>IFERROR(__xludf.DUMMYFUNCTION("""COMPUTED_VALUE"""),"-")</f>
        <v>-</v>
      </c>
      <c r="T791" s="98"/>
    </row>
    <row r="792">
      <c r="A792" s="422"/>
      <c r="B792" s="422"/>
      <c r="C792" s="422"/>
      <c r="D792" s="422"/>
      <c r="E792" s="422"/>
      <c r="F792" s="422"/>
      <c r="G792" s="422"/>
      <c r="H792" s="422"/>
      <c r="I792" s="422"/>
      <c r="J792" s="422"/>
      <c r="K792" s="422"/>
      <c r="L792" s="422"/>
      <c r="M792" s="422"/>
      <c r="N792" s="422"/>
      <c r="O792" s="422"/>
      <c r="P792" s="422"/>
      <c r="Q792" s="422"/>
      <c r="R792" s="98"/>
      <c r="S792" s="98" t="str">
        <f>IFERROR(__xludf.DUMMYFUNCTION("""COMPUTED_VALUE"""),"-")</f>
        <v>-</v>
      </c>
      <c r="T792" s="98"/>
    </row>
    <row r="793">
      <c r="A793" s="422"/>
      <c r="B793" s="422"/>
      <c r="C793" s="422"/>
      <c r="D793" s="422"/>
      <c r="E793" s="422"/>
      <c r="F793" s="422"/>
      <c r="G793" s="422"/>
      <c r="H793" s="422"/>
      <c r="I793" s="422"/>
      <c r="J793" s="422"/>
      <c r="K793" s="422"/>
      <c r="L793" s="422"/>
      <c r="M793" s="422"/>
      <c r="N793" s="422"/>
      <c r="O793" s="422"/>
      <c r="P793" s="422"/>
      <c r="Q793" s="422"/>
      <c r="R793" s="98"/>
      <c r="S793" s="98" t="str">
        <f>IFERROR(__xludf.DUMMYFUNCTION("""COMPUTED_VALUE"""),"-")</f>
        <v>-</v>
      </c>
      <c r="T793" s="98"/>
    </row>
    <row r="794">
      <c r="A794" s="422"/>
      <c r="B794" s="422"/>
      <c r="C794" s="422"/>
      <c r="D794" s="422"/>
      <c r="E794" s="422"/>
      <c r="F794" s="422"/>
      <c r="G794" s="422"/>
      <c r="H794" s="422"/>
      <c r="I794" s="422"/>
      <c r="J794" s="422"/>
      <c r="K794" s="422"/>
      <c r="L794" s="422"/>
      <c r="M794" s="422"/>
      <c r="N794" s="422"/>
      <c r="O794" s="422"/>
      <c r="P794" s="422"/>
      <c r="Q794" s="422"/>
      <c r="R794" s="98"/>
      <c r="S794" s="98" t="str">
        <f>IFERROR(__xludf.DUMMYFUNCTION("""COMPUTED_VALUE"""),"-")</f>
        <v>-</v>
      </c>
      <c r="T794" s="98"/>
    </row>
    <row r="795">
      <c r="A795" s="422"/>
      <c r="B795" s="422"/>
      <c r="C795" s="422"/>
      <c r="D795" s="422"/>
      <c r="E795" s="422"/>
      <c r="F795" s="422"/>
      <c r="G795" s="422"/>
      <c r="H795" s="422"/>
      <c r="I795" s="422"/>
      <c r="J795" s="422"/>
      <c r="K795" s="422"/>
      <c r="L795" s="422"/>
      <c r="M795" s="422"/>
      <c r="N795" s="422"/>
      <c r="O795" s="422"/>
      <c r="P795" s="422"/>
      <c r="Q795" s="422"/>
      <c r="R795" s="98"/>
      <c r="S795" s="98" t="str">
        <f>IFERROR(__xludf.DUMMYFUNCTION("""COMPUTED_VALUE"""),"-")</f>
        <v>-</v>
      </c>
      <c r="T795" s="98"/>
    </row>
    <row r="796">
      <c r="A796" s="422"/>
      <c r="B796" s="422"/>
      <c r="C796" s="422"/>
      <c r="D796" s="422"/>
      <c r="E796" s="422"/>
      <c r="F796" s="422"/>
      <c r="G796" s="422"/>
      <c r="H796" s="422"/>
      <c r="I796" s="422"/>
      <c r="J796" s="422"/>
      <c r="K796" s="422"/>
      <c r="L796" s="422"/>
      <c r="M796" s="422"/>
      <c r="N796" s="422"/>
      <c r="O796" s="422"/>
      <c r="P796" s="422"/>
      <c r="Q796" s="422"/>
      <c r="R796" s="98"/>
      <c r="S796" s="98" t="str">
        <f>IFERROR(__xludf.DUMMYFUNCTION("""COMPUTED_VALUE"""),"-")</f>
        <v>-</v>
      </c>
      <c r="T796" s="98"/>
    </row>
    <row r="797">
      <c r="A797" s="422"/>
      <c r="B797" s="422"/>
      <c r="C797" s="422"/>
      <c r="D797" s="422"/>
      <c r="E797" s="422"/>
      <c r="F797" s="422"/>
      <c r="G797" s="422"/>
      <c r="H797" s="422"/>
      <c r="I797" s="422"/>
      <c r="J797" s="422"/>
      <c r="K797" s="422"/>
      <c r="L797" s="422"/>
      <c r="M797" s="422"/>
      <c r="N797" s="422"/>
      <c r="O797" s="422"/>
      <c r="P797" s="422"/>
      <c r="Q797" s="422"/>
      <c r="R797" s="98"/>
      <c r="S797" s="98" t="str">
        <f>IFERROR(__xludf.DUMMYFUNCTION("""COMPUTED_VALUE"""),"-")</f>
        <v>-</v>
      </c>
      <c r="T797" s="98"/>
    </row>
    <row r="798">
      <c r="A798" s="422"/>
      <c r="B798" s="422"/>
      <c r="C798" s="422"/>
      <c r="D798" s="422"/>
      <c r="E798" s="422"/>
      <c r="F798" s="422"/>
      <c r="G798" s="422"/>
      <c r="H798" s="422"/>
      <c r="I798" s="422"/>
      <c r="J798" s="422"/>
      <c r="K798" s="422"/>
      <c r="L798" s="422"/>
      <c r="M798" s="422"/>
      <c r="N798" s="422"/>
      <c r="O798" s="422"/>
      <c r="P798" s="422"/>
      <c r="Q798" s="422"/>
      <c r="R798" s="98"/>
      <c r="S798" s="98" t="str">
        <f>IFERROR(__xludf.DUMMYFUNCTION("""COMPUTED_VALUE"""),"-")</f>
        <v>-</v>
      </c>
      <c r="T798" s="98"/>
    </row>
    <row r="799">
      <c r="A799" s="422"/>
      <c r="B799" s="422"/>
      <c r="C799" s="422"/>
      <c r="D799" s="422"/>
      <c r="E799" s="422"/>
      <c r="F799" s="422"/>
      <c r="G799" s="422"/>
      <c r="H799" s="422"/>
      <c r="I799" s="422"/>
      <c r="J799" s="422"/>
      <c r="K799" s="422"/>
      <c r="L799" s="422"/>
      <c r="M799" s="422"/>
      <c r="N799" s="422"/>
      <c r="O799" s="422"/>
      <c r="P799" s="422"/>
      <c r="Q799" s="422"/>
      <c r="R799" s="98"/>
      <c r="S799" s="98" t="str">
        <f>IFERROR(__xludf.DUMMYFUNCTION("""COMPUTED_VALUE"""),"-")</f>
        <v>-</v>
      </c>
      <c r="T799" s="98"/>
    </row>
    <row r="800">
      <c r="A800" s="422"/>
      <c r="B800" s="422"/>
      <c r="C800" s="422"/>
      <c r="D800" s="422"/>
      <c r="E800" s="422"/>
      <c r="F800" s="422"/>
      <c r="G800" s="422"/>
      <c r="H800" s="422"/>
      <c r="I800" s="422"/>
      <c r="J800" s="422"/>
      <c r="K800" s="422"/>
      <c r="L800" s="422"/>
      <c r="M800" s="422"/>
      <c r="N800" s="422"/>
      <c r="O800" s="422"/>
      <c r="P800" s="422"/>
      <c r="Q800" s="422"/>
      <c r="R800" s="98"/>
      <c r="S800" s="98" t="str">
        <f>IFERROR(__xludf.DUMMYFUNCTION("""COMPUTED_VALUE"""),"-")</f>
        <v>-</v>
      </c>
      <c r="T800" s="98"/>
    </row>
    <row r="801">
      <c r="A801" s="422"/>
      <c r="B801" s="422"/>
      <c r="C801" s="422"/>
      <c r="D801" s="422"/>
      <c r="E801" s="422"/>
      <c r="F801" s="422"/>
      <c r="G801" s="422"/>
      <c r="H801" s="422"/>
      <c r="I801" s="422"/>
      <c r="J801" s="422"/>
      <c r="K801" s="422"/>
      <c r="L801" s="422"/>
      <c r="M801" s="422"/>
      <c r="N801" s="422"/>
      <c r="O801" s="422"/>
      <c r="P801" s="422"/>
      <c r="Q801" s="422"/>
      <c r="R801" s="98"/>
      <c r="S801" s="98" t="str">
        <f>IFERROR(__xludf.DUMMYFUNCTION("""COMPUTED_VALUE"""),"-")</f>
        <v>-</v>
      </c>
      <c r="T801" s="98"/>
    </row>
    <row r="802">
      <c r="A802" s="422"/>
      <c r="B802" s="422"/>
      <c r="C802" s="422"/>
      <c r="D802" s="422"/>
      <c r="E802" s="422"/>
      <c r="F802" s="422"/>
      <c r="G802" s="422"/>
      <c r="H802" s="422"/>
      <c r="I802" s="422"/>
      <c r="J802" s="422"/>
      <c r="K802" s="422"/>
      <c r="L802" s="422"/>
      <c r="M802" s="422"/>
      <c r="N802" s="422"/>
      <c r="O802" s="422"/>
      <c r="P802" s="422"/>
      <c r="Q802" s="422"/>
      <c r="R802" s="98"/>
      <c r="S802" s="98" t="str">
        <f>IFERROR(__xludf.DUMMYFUNCTION("""COMPUTED_VALUE"""),"-")</f>
        <v>-</v>
      </c>
      <c r="T802" s="98"/>
    </row>
    <row r="803">
      <c r="A803" s="422"/>
      <c r="B803" s="422"/>
      <c r="C803" s="422"/>
      <c r="D803" s="422"/>
      <c r="E803" s="422"/>
      <c r="F803" s="422"/>
      <c r="G803" s="422"/>
      <c r="H803" s="422"/>
      <c r="I803" s="422"/>
      <c r="J803" s="422"/>
      <c r="K803" s="422"/>
      <c r="L803" s="422"/>
      <c r="M803" s="422"/>
      <c r="N803" s="422"/>
      <c r="O803" s="422"/>
      <c r="P803" s="422"/>
      <c r="Q803" s="422"/>
      <c r="R803" s="98"/>
      <c r="S803" s="98" t="str">
        <f>IFERROR(__xludf.DUMMYFUNCTION("""COMPUTED_VALUE"""),"-")</f>
        <v>-</v>
      </c>
      <c r="T803" s="98"/>
    </row>
    <row r="804">
      <c r="A804" s="422"/>
      <c r="B804" s="422"/>
      <c r="C804" s="422"/>
      <c r="D804" s="422"/>
      <c r="E804" s="422"/>
      <c r="F804" s="422"/>
      <c r="G804" s="422"/>
      <c r="H804" s="422"/>
      <c r="I804" s="422"/>
      <c r="J804" s="422"/>
      <c r="K804" s="422"/>
      <c r="L804" s="422"/>
      <c r="M804" s="422"/>
      <c r="N804" s="422"/>
      <c r="O804" s="422"/>
      <c r="P804" s="422"/>
      <c r="Q804" s="422"/>
      <c r="R804" s="98"/>
      <c r="S804" s="98" t="str">
        <f>IFERROR(__xludf.DUMMYFUNCTION("""COMPUTED_VALUE"""),"-")</f>
        <v>-</v>
      </c>
      <c r="T804" s="98"/>
    </row>
    <row r="805">
      <c r="A805" s="422"/>
      <c r="B805" s="422"/>
      <c r="C805" s="422"/>
      <c r="D805" s="422"/>
      <c r="E805" s="422"/>
      <c r="F805" s="422"/>
      <c r="G805" s="422"/>
      <c r="H805" s="422"/>
      <c r="I805" s="422"/>
      <c r="J805" s="422"/>
      <c r="K805" s="422"/>
      <c r="L805" s="422"/>
      <c r="M805" s="422"/>
      <c r="N805" s="422"/>
      <c r="O805" s="422"/>
      <c r="P805" s="422"/>
      <c r="Q805" s="422"/>
      <c r="R805" s="98"/>
      <c r="S805" s="98" t="str">
        <f>IFERROR(__xludf.DUMMYFUNCTION("""COMPUTED_VALUE"""),"-")</f>
        <v>-</v>
      </c>
      <c r="T805" s="98"/>
    </row>
    <row r="806">
      <c r="A806" s="422"/>
      <c r="B806" s="422"/>
      <c r="C806" s="422"/>
      <c r="D806" s="422"/>
      <c r="E806" s="422"/>
      <c r="F806" s="422"/>
      <c r="G806" s="422"/>
      <c r="H806" s="422"/>
      <c r="I806" s="422"/>
      <c r="J806" s="422"/>
      <c r="K806" s="422"/>
      <c r="L806" s="422"/>
      <c r="M806" s="422"/>
      <c r="N806" s="422"/>
      <c r="O806" s="422"/>
      <c r="P806" s="422"/>
      <c r="Q806" s="422"/>
      <c r="R806" s="98"/>
      <c r="S806" s="98" t="str">
        <f>IFERROR(__xludf.DUMMYFUNCTION("""COMPUTED_VALUE"""),"-")</f>
        <v>-</v>
      </c>
      <c r="T806" s="98"/>
    </row>
    <row r="807">
      <c r="A807" s="422"/>
      <c r="B807" s="422"/>
      <c r="C807" s="422"/>
      <c r="D807" s="422"/>
      <c r="E807" s="422"/>
      <c r="F807" s="422"/>
      <c r="G807" s="422"/>
      <c r="H807" s="422"/>
      <c r="I807" s="422"/>
      <c r="J807" s="422"/>
      <c r="K807" s="422"/>
      <c r="L807" s="422"/>
      <c r="M807" s="422"/>
      <c r="N807" s="422"/>
      <c r="O807" s="422"/>
      <c r="P807" s="422"/>
      <c r="Q807" s="422"/>
      <c r="R807" s="98"/>
      <c r="S807" s="98" t="str">
        <f>IFERROR(__xludf.DUMMYFUNCTION("""COMPUTED_VALUE"""),"-")</f>
        <v>-</v>
      </c>
      <c r="T807" s="98"/>
    </row>
    <row r="808">
      <c r="A808" s="422"/>
      <c r="B808" s="422"/>
      <c r="C808" s="422"/>
      <c r="D808" s="422"/>
      <c r="E808" s="422"/>
      <c r="F808" s="422"/>
      <c r="G808" s="422"/>
      <c r="H808" s="422"/>
      <c r="I808" s="422"/>
      <c r="J808" s="422"/>
      <c r="K808" s="422"/>
      <c r="L808" s="422"/>
      <c r="M808" s="422"/>
      <c r="N808" s="422"/>
      <c r="O808" s="422"/>
      <c r="P808" s="422"/>
      <c r="Q808" s="422"/>
      <c r="R808" s="98"/>
      <c r="S808" s="98" t="str">
        <f>IFERROR(__xludf.DUMMYFUNCTION("""COMPUTED_VALUE"""),"-")</f>
        <v>-</v>
      </c>
      <c r="T808" s="98"/>
    </row>
    <row r="809">
      <c r="A809" s="422"/>
      <c r="B809" s="422"/>
      <c r="C809" s="422"/>
      <c r="D809" s="422"/>
      <c r="E809" s="422"/>
      <c r="F809" s="422"/>
      <c r="G809" s="422"/>
      <c r="H809" s="422"/>
      <c r="I809" s="422"/>
      <c r="J809" s="422"/>
      <c r="K809" s="422"/>
      <c r="L809" s="422"/>
      <c r="M809" s="422"/>
      <c r="N809" s="422"/>
      <c r="O809" s="422"/>
      <c r="P809" s="422"/>
      <c r="Q809" s="422"/>
      <c r="R809" s="98"/>
      <c r="S809" s="98" t="str">
        <f>IFERROR(__xludf.DUMMYFUNCTION("""COMPUTED_VALUE"""),"-")</f>
        <v>-</v>
      </c>
      <c r="T809" s="98"/>
    </row>
    <row r="810">
      <c r="A810" s="422"/>
      <c r="B810" s="422"/>
      <c r="C810" s="422"/>
      <c r="D810" s="422"/>
      <c r="E810" s="422"/>
      <c r="F810" s="422"/>
      <c r="G810" s="422"/>
      <c r="H810" s="422"/>
      <c r="I810" s="422"/>
      <c r="J810" s="422"/>
      <c r="K810" s="422"/>
      <c r="L810" s="422"/>
      <c r="M810" s="422"/>
      <c r="N810" s="422"/>
      <c r="O810" s="422"/>
      <c r="P810" s="422"/>
      <c r="Q810" s="422"/>
      <c r="R810" s="98"/>
      <c r="S810" s="98" t="str">
        <f>IFERROR(__xludf.DUMMYFUNCTION("""COMPUTED_VALUE"""),"-")</f>
        <v>-</v>
      </c>
      <c r="T810" s="98"/>
    </row>
    <row r="811">
      <c r="A811" s="422"/>
      <c r="B811" s="422"/>
      <c r="C811" s="422"/>
      <c r="D811" s="422"/>
      <c r="E811" s="422"/>
      <c r="F811" s="422"/>
      <c r="G811" s="422"/>
      <c r="H811" s="422"/>
      <c r="I811" s="422"/>
      <c r="J811" s="422"/>
      <c r="K811" s="422"/>
      <c r="L811" s="422"/>
      <c r="M811" s="422"/>
      <c r="N811" s="422"/>
      <c r="O811" s="422"/>
      <c r="P811" s="422"/>
      <c r="Q811" s="422"/>
      <c r="R811" s="98"/>
      <c r="S811" s="98" t="str">
        <f>IFERROR(__xludf.DUMMYFUNCTION("""COMPUTED_VALUE"""),"-")</f>
        <v>-</v>
      </c>
      <c r="T811" s="98"/>
    </row>
    <row r="812">
      <c r="A812" s="422"/>
      <c r="B812" s="422"/>
      <c r="C812" s="422"/>
      <c r="D812" s="422"/>
      <c r="E812" s="422"/>
      <c r="F812" s="422"/>
      <c r="G812" s="422"/>
      <c r="H812" s="422"/>
      <c r="I812" s="422"/>
      <c r="J812" s="422"/>
      <c r="K812" s="422"/>
      <c r="L812" s="422"/>
      <c r="M812" s="422"/>
      <c r="N812" s="422"/>
      <c r="O812" s="422"/>
      <c r="P812" s="422"/>
      <c r="Q812" s="422"/>
      <c r="R812" s="98"/>
      <c r="S812" s="98" t="str">
        <f>IFERROR(__xludf.DUMMYFUNCTION("""COMPUTED_VALUE"""),"-")</f>
        <v>-</v>
      </c>
      <c r="T812" s="98"/>
    </row>
    <row r="813">
      <c r="A813" s="422"/>
      <c r="B813" s="422"/>
      <c r="C813" s="422"/>
      <c r="D813" s="422"/>
      <c r="E813" s="422"/>
      <c r="F813" s="422"/>
      <c r="G813" s="422"/>
      <c r="H813" s="422"/>
      <c r="I813" s="422"/>
      <c r="J813" s="422"/>
      <c r="K813" s="422"/>
      <c r="L813" s="422"/>
      <c r="M813" s="422"/>
      <c r="N813" s="422"/>
      <c r="O813" s="422"/>
      <c r="P813" s="422"/>
      <c r="Q813" s="422"/>
      <c r="R813" s="98"/>
      <c r="S813" s="98" t="str">
        <f>IFERROR(__xludf.DUMMYFUNCTION("""COMPUTED_VALUE"""),"-")</f>
        <v>-</v>
      </c>
      <c r="T813" s="98"/>
    </row>
    <row r="814">
      <c r="A814" s="422"/>
      <c r="B814" s="422"/>
      <c r="C814" s="422"/>
      <c r="D814" s="422"/>
      <c r="E814" s="422"/>
      <c r="F814" s="422"/>
      <c r="G814" s="422"/>
      <c r="H814" s="422"/>
      <c r="I814" s="422"/>
      <c r="J814" s="422"/>
      <c r="K814" s="422"/>
      <c r="L814" s="422"/>
      <c r="M814" s="422"/>
      <c r="N814" s="422"/>
      <c r="O814" s="422"/>
      <c r="P814" s="422"/>
      <c r="Q814" s="422"/>
      <c r="R814" s="98"/>
      <c r="S814" s="98" t="str">
        <f>IFERROR(__xludf.DUMMYFUNCTION("""COMPUTED_VALUE"""),"-")</f>
        <v>-</v>
      </c>
      <c r="T814" s="98"/>
    </row>
    <row r="815">
      <c r="A815" s="422"/>
      <c r="B815" s="422"/>
      <c r="C815" s="422"/>
      <c r="D815" s="422"/>
      <c r="E815" s="422"/>
      <c r="F815" s="422"/>
      <c r="G815" s="422"/>
      <c r="H815" s="422"/>
      <c r="I815" s="422"/>
      <c r="J815" s="422"/>
      <c r="K815" s="422"/>
      <c r="L815" s="422"/>
      <c r="M815" s="422"/>
      <c r="N815" s="422"/>
      <c r="O815" s="422"/>
      <c r="P815" s="422"/>
      <c r="Q815" s="422"/>
      <c r="R815" s="98"/>
      <c r="S815" s="98" t="str">
        <f>IFERROR(__xludf.DUMMYFUNCTION("""COMPUTED_VALUE"""),"-")</f>
        <v>-</v>
      </c>
      <c r="T815" s="98"/>
    </row>
    <row r="816">
      <c r="A816" s="422"/>
      <c r="B816" s="422"/>
      <c r="C816" s="422"/>
      <c r="D816" s="422"/>
      <c r="E816" s="422"/>
      <c r="F816" s="422"/>
      <c r="G816" s="422"/>
      <c r="H816" s="422"/>
      <c r="I816" s="422"/>
      <c r="J816" s="422"/>
      <c r="K816" s="422"/>
      <c r="L816" s="422"/>
      <c r="M816" s="422"/>
      <c r="N816" s="422"/>
      <c r="O816" s="422"/>
      <c r="P816" s="422"/>
      <c r="Q816" s="422"/>
      <c r="R816" s="98"/>
      <c r="S816" s="98" t="str">
        <f>IFERROR(__xludf.DUMMYFUNCTION("""COMPUTED_VALUE"""),"-")</f>
        <v>-</v>
      </c>
      <c r="T816" s="98"/>
    </row>
    <row r="817">
      <c r="A817" s="422"/>
      <c r="B817" s="422"/>
      <c r="C817" s="422"/>
      <c r="D817" s="422"/>
      <c r="E817" s="422"/>
      <c r="F817" s="422"/>
      <c r="G817" s="422"/>
      <c r="H817" s="422"/>
      <c r="I817" s="422"/>
      <c r="J817" s="422"/>
      <c r="K817" s="422"/>
      <c r="L817" s="422"/>
      <c r="M817" s="422"/>
      <c r="N817" s="422"/>
      <c r="O817" s="422"/>
      <c r="P817" s="422"/>
      <c r="Q817" s="422"/>
      <c r="R817" s="98"/>
      <c r="S817" s="98" t="str">
        <f>IFERROR(__xludf.DUMMYFUNCTION("""COMPUTED_VALUE"""),"-")</f>
        <v>-</v>
      </c>
      <c r="T817" s="98"/>
    </row>
    <row r="818">
      <c r="A818" s="422"/>
      <c r="B818" s="422"/>
      <c r="C818" s="422"/>
      <c r="D818" s="422"/>
      <c r="E818" s="422"/>
      <c r="F818" s="422"/>
      <c r="G818" s="422"/>
      <c r="H818" s="422"/>
      <c r="I818" s="422"/>
      <c r="J818" s="422"/>
      <c r="K818" s="422"/>
      <c r="L818" s="422"/>
      <c r="M818" s="422"/>
      <c r="N818" s="422"/>
      <c r="O818" s="422"/>
      <c r="P818" s="422"/>
      <c r="Q818" s="422"/>
      <c r="R818" s="98"/>
      <c r="S818" s="98" t="str">
        <f>IFERROR(__xludf.DUMMYFUNCTION("""COMPUTED_VALUE"""),"-")</f>
        <v>-</v>
      </c>
      <c r="T818" s="98"/>
    </row>
    <row r="819">
      <c r="A819" s="422"/>
      <c r="B819" s="422"/>
      <c r="C819" s="422"/>
      <c r="D819" s="422"/>
      <c r="E819" s="422"/>
      <c r="F819" s="422"/>
      <c r="G819" s="422"/>
      <c r="H819" s="422"/>
      <c r="I819" s="422"/>
      <c r="J819" s="422"/>
      <c r="K819" s="422"/>
      <c r="L819" s="422"/>
      <c r="M819" s="422"/>
      <c r="N819" s="422"/>
      <c r="O819" s="422"/>
      <c r="P819" s="422"/>
      <c r="Q819" s="422"/>
      <c r="R819" s="98"/>
      <c r="S819" s="98" t="str">
        <f>IFERROR(__xludf.DUMMYFUNCTION("""COMPUTED_VALUE"""),"-")</f>
        <v>-</v>
      </c>
      <c r="T819" s="98"/>
    </row>
    <row r="820">
      <c r="A820" s="422"/>
      <c r="B820" s="422"/>
      <c r="C820" s="422"/>
      <c r="D820" s="422"/>
      <c r="E820" s="422"/>
      <c r="F820" s="422"/>
      <c r="G820" s="422"/>
      <c r="H820" s="422"/>
      <c r="I820" s="422"/>
      <c r="J820" s="422"/>
      <c r="K820" s="422"/>
      <c r="L820" s="422"/>
      <c r="M820" s="422"/>
      <c r="N820" s="422"/>
      <c r="O820" s="422"/>
      <c r="P820" s="422"/>
      <c r="Q820" s="422"/>
      <c r="R820" s="98"/>
      <c r="S820" s="98" t="str">
        <f>IFERROR(__xludf.DUMMYFUNCTION("""COMPUTED_VALUE"""),"-")</f>
        <v>-</v>
      </c>
      <c r="T820" s="98"/>
    </row>
    <row r="821">
      <c r="A821" s="422"/>
      <c r="B821" s="422"/>
      <c r="C821" s="422"/>
      <c r="D821" s="422"/>
      <c r="E821" s="422"/>
      <c r="F821" s="422"/>
      <c r="G821" s="422"/>
      <c r="H821" s="422"/>
      <c r="I821" s="422"/>
      <c r="J821" s="422"/>
      <c r="K821" s="422"/>
      <c r="L821" s="422"/>
      <c r="M821" s="422"/>
      <c r="N821" s="422"/>
      <c r="O821" s="422"/>
      <c r="P821" s="422"/>
      <c r="Q821" s="422"/>
      <c r="R821" s="98"/>
      <c r="S821" s="98" t="str">
        <f>IFERROR(__xludf.DUMMYFUNCTION("""COMPUTED_VALUE"""),"-")</f>
        <v>-</v>
      </c>
      <c r="T821" s="98"/>
    </row>
    <row r="822">
      <c r="A822" s="422"/>
      <c r="B822" s="422"/>
      <c r="C822" s="422"/>
      <c r="D822" s="422"/>
      <c r="E822" s="422"/>
      <c r="F822" s="422"/>
      <c r="G822" s="422"/>
      <c r="H822" s="422"/>
      <c r="I822" s="422"/>
      <c r="J822" s="422"/>
      <c r="K822" s="422"/>
      <c r="L822" s="422"/>
      <c r="M822" s="422"/>
      <c r="N822" s="422"/>
      <c r="O822" s="422"/>
      <c r="P822" s="422"/>
      <c r="Q822" s="422"/>
      <c r="R822" s="98"/>
      <c r="S822" s="98" t="str">
        <f>IFERROR(__xludf.DUMMYFUNCTION("""COMPUTED_VALUE"""),"-")</f>
        <v>-</v>
      </c>
      <c r="T822" s="98"/>
    </row>
    <row r="823">
      <c r="A823" s="422"/>
      <c r="B823" s="422"/>
      <c r="C823" s="422"/>
      <c r="D823" s="422"/>
      <c r="E823" s="422"/>
      <c r="F823" s="422"/>
      <c r="G823" s="422"/>
      <c r="H823" s="422"/>
      <c r="I823" s="422"/>
      <c r="J823" s="422"/>
      <c r="K823" s="422"/>
      <c r="L823" s="422"/>
      <c r="M823" s="422"/>
      <c r="N823" s="422"/>
      <c r="O823" s="422"/>
      <c r="P823" s="422"/>
      <c r="Q823" s="422"/>
      <c r="R823" s="98"/>
      <c r="S823" s="98" t="str">
        <f>IFERROR(__xludf.DUMMYFUNCTION("""COMPUTED_VALUE"""),"-")</f>
        <v>-</v>
      </c>
      <c r="T823" s="98"/>
    </row>
    <row r="824">
      <c r="A824" s="422"/>
      <c r="B824" s="422"/>
      <c r="C824" s="422"/>
      <c r="D824" s="422"/>
      <c r="E824" s="422"/>
      <c r="F824" s="422"/>
      <c r="G824" s="422"/>
      <c r="H824" s="422"/>
      <c r="I824" s="422"/>
      <c r="J824" s="422"/>
      <c r="K824" s="422"/>
      <c r="L824" s="422"/>
      <c r="M824" s="422"/>
      <c r="N824" s="422"/>
      <c r="O824" s="422"/>
      <c r="P824" s="422"/>
      <c r="Q824" s="422"/>
      <c r="R824" s="98"/>
      <c r="S824" s="98" t="str">
        <f>IFERROR(__xludf.DUMMYFUNCTION("""COMPUTED_VALUE"""),"-")</f>
        <v>-</v>
      </c>
      <c r="T824" s="98"/>
    </row>
    <row r="825">
      <c r="A825" s="422"/>
      <c r="B825" s="422"/>
      <c r="C825" s="422"/>
      <c r="D825" s="422"/>
      <c r="E825" s="422"/>
      <c r="F825" s="422"/>
      <c r="G825" s="422"/>
      <c r="H825" s="422"/>
      <c r="I825" s="422"/>
      <c r="J825" s="422"/>
      <c r="K825" s="422"/>
      <c r="L825" s="422"/>
      <c r="M825" s="422"/>
      <c r="N825" s="422"/>
      <c r="O825" s="422"/>
      <c r="P825" s="422"/>
      <c r="Q825" s="422"/>
      <c r="R825" s="98"/>
      <c r="S825" s="98" t="str">
        <f>IFERROR(__xludf.DUMMYFUNCTION("""COMPUTED_VALUE"""),"-")</f>
        <v>-</v>
      </c>
      <c r="T825" s="98"/>
    </row>
    <row r="826">
      <c r="A826" s="422"/>
      <c r="B826" s="422"/>
      <c r="C826" s="422"/>
      <c r="D826" s="422"/>
      <c r="E826" s="422"/>
      <c r="F826" s="422"/>
      <c r="G826" s="422"/>
      <c r="H826" s="422"/>
      <c r="I826" s="422"/>
      <c r="J826" s="422"/>
      <c r="K826" s="422"/>
      <c r="L826" s="422"/>
      <c r="M826" s="422"/>
      <c r="N826" s="422"/>
      <c r="O826" s="422"/>
      <c r="P826" s="422"/>
      <c r="Q826" s="422"/>
      <c r="R826" s="98"/>
      <c r="S826" s="98" t="str">
        <f>IFERROR(__xludf.DUMMYFUNCTION("""COMPUTED_VALUE"""),"-")</f>
        <v>-</v>
      </c>
      <c r="T826" s="98"/>
    </row>
    <row r="827">
      <c r="A827" s="422"/>
      <c r="B827" s="422"/>
      <c r="C827" s="422"/>
      <c r="D827" s="422"/>
      <c r="E827" s="422"/>
      <c r="F827" s="422"/>
      <c r="G827" s="422"/>
      <c r="H827" s="422"/>
      <c r="I827" s="422"/>
      <c r="J827" s="422"/>
      <c r="K827" s="422"/>
      <c r="L827" s="422"/>
      <c r="M827" s="422"/>
      <c r="N827" s="422"/>
      <c r="O827" s="422"/>
      <c r="P827" s="422"/>
      <c r="Q827" s="422"/>
      <c r="R827" s="98"/>
      <c r="S827" s="98" t="str">
        <f>IFERROR(__xludf.DUMMYFUNCTION("""COMPUTED_VALUE"""),"-")</f>
        <v>-</v>
      </c>
      <c r="T827" s="98"/>
    </row>
    <row r="828">
      <c r="A828" s="422"/>
      <c r="B828" s="422"/>
      <c r="C828" s="422"/>
      <c r="D828" s="422"/>
      <c r="E828" s="422"/>
      <c r="F828" s="422"/>
      <c r="G828" s="422"/>
      <c r="H828" s="422"/>
      <c r="I828" s="422"/>
      <c r="J828" s="422"/>
      <c r="K828" s="422"/>
      <c r="L828" s="422"/>
      <c r="M828" s="422"/>
      <c r="N828" s="422"/>
      <c r="O828" s="422"/>
      <c r="P828" s="422"/>
      <c r="Q828" s="422"/>
      <c r="R828" s="98"/>
      <c r="S828" s="98" t="str">
        <f>IFERROR(__xludf.DUMMYFUNCTION("""COMPUTED_VALUE"""),"-")</f>
        <v>-</v>
      </c>
      <c r="T828" s="98"/>
    </row>
    <row r="829">
      <c r="A829" s="422"/>
      <c r="B829" s="422"/>
      <c r="C829" s="422"/>
      <c r="D829" s="422"/>
      <c r="E829" s="422"/>
      <c r="F829" s="422"/>
      <c r="G829" s="422"/>
      <c r="H829" s="422"/>
      <c r="I829" s="422"/>
      <c r="J829" s="422"/>
      <c r="K829" s="422"/>
      <c r="L829" s="422"/>
      <c r="M829" s="422"/>
      <c r="N829" s="422"/>
      <c r="O829" s="422"/>
      <c r="P829" s="422"/>
      <c r="Q829" s="422"/>
      <c r="R829" s="98"/>
      <c r="S829" s="98" t="str">
        <f>IFERROR(__xludf.DUMMYFUNCTION("""COMPUTED_VALUE"""),"-")</f>
        <v>-</v>
      </c>
      <c r="T829" s="98"/>
    </row>
    <row r="830">
      <c r="A830" s="422"/>
      <c r="B830" s="422"/>
      <c r="C830" s="422"/>
      <c r="D830" s="422"/>
      <c r="E830" s="422"/>
      <c r="F830" s="422"/>
      <c r="G830" s="422"/>
      <c r="H830" s="422"/>
      <c r="I830" s="422"/>
      <c r="J830" s="422"/>
      <c r="K830" s="422"/>
      <c r="L830" s="422"/>
      <c r="M830" s="422"/>
      <c r="N830" s="422"/>
      <c r="O830" s="422"/>
      <c r="P830" s="422"/>
      <c r="Q830" s="422"/>
      <c r="R830" s="98"/>
      <c r="S830" s="98" t="str">
        <f>IFERROR(__xludf.DUMMYFUNCTION("""COMPUTED_VALUE"""),"-")</f>
        <v>-</v>
      </c>
      <c r="T830" s="98"/>
    </row>
    <row r="831">
      <c r="A831" s="422"/>
      <c r="B831" s="422"/>
      <c r="C831" s="422"/>
      <c r="D831" s="422"/>
      <c r="E831" s="422"/>
      <c r="F831" s="422"/>
      <c r="G831" s="422"/>
      <c r="H831" s="422"/>
      <c r="I831" s="422"/>
      <c r="J831" s="422"/>
      <c r="K831" s="422"/>
      <c r="L831" s="422"/>
      <c r="M831" s="422"/>
      <c r="N831" s="422"/>
      <c r="O831" s="422"/>
      <c r="P831" s="422"/>
      <c r="Q831" s="422"/>
      <c r="R831" s="98"/>
      <c r="S831" s="98" t="str">
        <f>IFERROR(__xludf.DUMMYFUNCTION("""COMPUTED_VALUE"""),"-")</f>
        <v>-</v>
      </c>
      <c r="T831" s="98"/>
    </row>
    <row r="832">
      <c r="A832" s="422"/>
      <c r="B832" s="422"/>
      <c r="C832" s="422"/>
      <c r="D832" s="422"/>
      <c r="E832" s="422"/>
      <c r="F832" s="422"/>
      <c r="G832" s="422"/>
      <c r="H832" s="422"/>
      <c r="I832" s="422"/>
      <c r="J832" s="422"/>
      <c r="K832" s="422"/>
      <c r="L832" s="422"/>
      <c r="M832" s="422"/>
      <c r="N832" s="422"/>
      <c r="O832" s="422"/>
      <c r="P832" s="422"/>
      <c r="Q832" s="422"/>
      <c r="R832" s="98"/>
      <c r="S832" s="98" t="str">
        <f>IFERROR(__xludf.DUMMYFUNCTION("""COMPUTED_VALUE"""),"-")</f>
        <v>-</v>
      </c>
      <c r="T832" s="98"/>
    </row>
    <row r="833">
      <c r="A833" s="422"/>
      <c r="B833" s="422"/>
      <c r="C833" s="422"/>
      <c r="D833" s="422"/>
      <c r="E833" s="422"/>
      <c r="F833" s="422"/>
      <c r="G833" s="422"/>
      <c r="H833" s="422"/>
      <c r="I833" s="422"/>
      <c r="J833" s="422"/>
      <c r="K833" s="422"/>
      <c r="L833" s="422"/>
      <c r="M833" s="422"/>
      <c r="N833" s="422"/>
      <c r="O833" s="422"/>
      <c r="P833" s="422"/>
      <c r="Q833" s="422"/>
      <c r="R833" s="98"/>
      <c r="S833" s="98" t="str">
        <f>IFERROR(__xludf.DUMMYFUNCTION("""COMPUTED_VALUE"""),"-")</f>
        <v>-</v>
      </c>
      <c r="T833" s="98"/>
    </row>
    <row r="834">
      <c r="A834" s="422"/>
      <c r="B834" s="422"/>
      <c r="C834" s="422"/>
      <c r="D834" s="422"/>
      <c r="E834" s="422"/>
      <c r="F834" s="422"/>
      <c r="G834" s="422"/>
      <c r="H834" s="422"/>
      <c r="I834" s="422"/>
      <c r="J834" s="422"/>
      <c r="K834" s="422"/>
      <c r="L834" s="422"/>
      <c r="M834" s="422"/>
      <c r="N834" s="422"/>
      <c r="O834" s="422"/>
      <c r="P834" s="422"/>
      <c r="Q834" s="422"/>
      <c r="R834" s="98"/>
      <c r="S834" s="98" t="str">
        <f>IFERROR(__xludf.DUMMYFUNCTION("""COMPUTED_VALUE"""),"-")</f>
        <v>-</v>
      </c>
      <c r="T834" s="98"/>
    </row>
    <row r="835">
      <c r="A835" s="422"/>
      <c r="B835" s="422"/>
      <c r="C835" s="422"/>
      <c r="D835" s="422"/>
      <c r="E835" s="422"/>
      <c r="F835" s="422"/>
      <c r="G835" s="422"/>
      <c r="H835" s="422"/>
      <c r="I835" s="422"/>
      <c r="J835" s="422"/>
      <c r="K835" s="422"/>
      <c r="L835" s="422"/>
      <c r="M835" s="422"/>
      <c r="N835" s="422"/>
      <c r="O835" s="422"/>
      <c r="P835" s="422"/>
      <c r="Q835" s="422"/>
      <c r="R835" s="98"/>
      <c r="S835" s="98" t="str">
        <f>IFERROR(__xludf.DUMMYFUNCTION("""COMPUTED_VALUE"""),"-")</f>
        <v>-</v>
      </c>
      <c r="T835" s="98"/>
    </row>
    <row r="836">
      <c r="A836" s="422"/>
      <c r="B836" s="422"/>
      <c r="C836" s="422"/>
      <c r="D836" s="422"/>
      <c r="E836" s="422"/>
      <c r="F836" s="422"/>
      <c r="G836" s="422"/>
      <c r="H836" s="422"/>
      <c r="I836" s="422"/>
      <c r="J836" s="422"/>
      <c r="K836" s="422"/>
      <c r="L836" s="422"/>
      <c r="M836" s="422"/>
      <c r="N836" s="422"/>
      <c r="O836" s="422"/>
      <c r="P836" s="422"/>
      <c r="Q836" s="422"/>
      <c r="R836" s="98"/>
      <c r="S836" s="98" t="str">
        <f>IFERROR(__xludf.DUMMYFUNCTION("""COMPUTED_VALUE"""),"-")</f>
        <v>-</v>
      </c>
      <c r="T836" s="98"/>
    </row>
    <row r="837">
      <c r="A837" s="422"/>
      <c r="B837" s="422"/>
      <c r="C837" s="422"/>
      <c r="D837" s="422"/>
      <c r="E837" s="422"/>
      <c r="F837" s="422"/>
      <c r="G837" s="422"/>
      <c r="H837" s="422"/>
      <c r="I837" s="422"/>
      <c r="J837" s="422"/>
      <c r="K837" s="422"/>
      <c r="L837" s="422"/>
      <c r="M837" s="422"/>
      <c r="N837" s="422"/>
      <c r="O837" s="422"/>
      <c r="P837" s="422"/>
      <c r="Q837" s="422"/>
      <c r="R837" s="98"/>
      <c r="S837" s="98" t="str">
        <f>IFERROR(__xludf.DUMMYFUNCTION("""COMPUTED_VALUE"""),"-")</f>
        <v>-</v>
      </c>
      <c r="T837" s="98"/>
    </row>
    <row r="838">
      <c r="A838" s="422"/>
      <c r="B838" s="422"/>
      <c r="C838" s="422"/>
      <c r="D838" s="422"/>
      <c r="E838" s="422"/>
      <c r="F838" s="422"/>
      <c r="G838" s="422"/>
      <c r="H838" s="422"/>
      <c r="I838" s="422"/>
      <c r="J838" s="422"/>
      <c r="K838" s="422"/>
      <c r="L838" s="422"/>
      <c r="M838" s="422"/>
      <c r="N838" s="422"/>
      <c r="O838" s="422"/>
      <c r="P838" s="422"/>
      <c r="Q838" s="422"/>
      <c r="R838" s="98"/>
      <c r="S838" s="98" t="str">
        <f>IFERROR(__xludf.DUMMYFUNCTION("""COMPUTED_VALUE"""),"-")</f>
        <v>-</v>
      </c>
      <c r="T838" s="98"/>
    </row>
    <row r="839">
      <c r="A839" s="422"/>
      <c r="B839" s="422"/>
      <c r="C839" s="422"/>
      <c r="D839" s="422"/>
      <c r="E839" s="422"/>
      <c r="F839" s="422"/>
      <c r="G839" s="422"/>
      <c r="H839" s="422"/>
      <c r="I839" s="422"/>
      <c r="J839" s="422"/>
      <c r="K839" s="422"/>
      <c r="L839" s="422"/>
      <c r="M839" s="422"/>
      <c r="N839" s="422"/>
      <c r="O839" s="422"/>
      <c r="P839" s="422"/>
      <c r="Q839" s="422"/>
      <c r="R839" s="98"/>
      <c r="S839" s="98" t="str">
        <f>IFERROR(__xludf.DUMMYFUNCTION("""COMPUTED_VALUE"""),"-")</f>
        <v>-</v>
      </c>
      <c r="T839" s="98"/>
    </row>
    <row r="840">
      <c r="A840" s="422"/>
      <c r="B840" s="422"/>
      <c r="C840" s="422"/>
      <c r="D840" s="422"/>
      <c r="E840" s="422"/>
      <c r="F840" s="422"/>
      <c r="G840" s="422"/>
      <c r="H840" s="422"/>
      <c r="I840" s="422"/>
      <c r="J840" s="422"/>
      <c r="K840" s="422"/>
      <c r="L840" s="422"/>
      <c r="M840" s="422"/>
      <c r="N840" s="422"/>
      <c r="O840" s="422"/>
      <c r="P840" s="422"/>
      <c r="Q840" s="422"/>
      <c r="R840" s="98"/>
      <c r="S840" s="98" t="str">
        <f>IFERROR(__xludf.DUMMYFUNCTION("""COMPUTED_VALUE"""),"-")</f>
        <v>-</v>
      </c>
      <c r="T840" s="98"/>
    </row>
    <row r="841">
      <c r="A841" s="422"/>
      <c r="B841" s="422"/>
      <c r="C841" s="422"/>
      <c r="D841" s="422"/>
      <c r="E841" s="422"/>
      <c r="F841" s="422"/>
      <c r="G841" s="422"/>
      <c r="H841" s="422"/>
      <c r="I841" s="422"/>
      <c r="J841" s="422"/>
      <c r="K841" s="422"/>
      <c r="L841" s="422"/>
      <c r="M841" s="422"/>
      <c r="N841" s="422"/>
      <c r="O841" s="422"/>
      <c r="P841" s="422"/>
      <c r="Q841" s="422"/>
      <c r="R841" s="98"/>
      <c r="S841" s="98" t="str">
        <f>IFERROR(__xludf.DUMMYFUNCTION("""COMPUTED_VALUE"""),"-")</f>
        <v>-</v>
      </c>
      <c r="T841" s="98"/>
    </row>
    <row r="842">
      <c r="A842" s="422"/>
      <c r="B842" s="422"/>
      <c r="C842" s="422"/>
      <c r="D842" s="422"/>
      <c r="E842" s="422"/>
      <c r="F842" s="422"/>
      <c r="G842" s="422"/>
      <c r="H842" s="422"/>
      <c r="I842" s="422"/>
      <c r="J842" s="422"/>
      <c r="K842" s="422"/>
      <c r="L842" s="422"/>
      <c r="M842" s="422"/>
      <c r="N842" s="422"/>
      <c r="O842" s="422"/>
      <c r="P842" s="422"/>
      <c r="Q842" s="422"/>
      <c r="R842" s="98"/>
      <c r="S842" s="98" t="str">
        <f>IFERROR(__xludf.DUMMYFUNCTION("""COMPUTED_VALUE"""),"-")</f>
        <v>-</v>
      </c>
      <c r="T842" s="98"/>
    </row>
    <row r="843">
      <c r="A843" s="422"/>
      <c r="B843" s="422"/>
      <c r="C843" s="422"/>
      <c r="D843" s="422"/>
      <c r="E843" s="422"/>
      <c r="F843" s="422"/>
      <c r="G843" s="422"/>
      <c r="H843" s="422"/>
      <c r="I843" s="422"/>
      <c r="J843" s="422"/>
      <c r="K843" s="422"/>
      <c r="L843" s="422"/>
      <c r="M843" s="422"/>
      <c r="N843" s="422"/>
      <c r="O843" s="422"/>
      <c r="P843" s="422"/>
      <c r="Q843" s="422"/>
      <c r="R843" s="98"/>
      <c r="S843" s="98" t="str">
        <f>IFERROR(__xludf.DUMMYFUNCTION("""COMPUTED_VALUE"""),"-")</f>
        <v>-</v>
      </c>
      <c r="T843" s="98"/>
    </row>
    <row r="844">
      <c r="A844" s="422"/>
      <c r="B844" s="422"/>
      <c r="C844" s="422"/>
      <c r="D844" s="422"/>
      <c r="E844" s="422"/>
      <c r="F844" s="422"/>
      <c r="G844" s="422"/>
      <c r="H844" s="422"/>
      <c r="I844" s="422"/>
      <c r="J844" s="422"/>
      <c r="K844" s="422"/>
      <c r="L844" s="422"/>
      <c r="M844" s="422"/>
      <c r="N844" s="422"/>
      <c r="O844" s="422"/>
      <c r="P844" s="422"/>
      <c r="Q844" s="422"/>
      <c r="R844" s="98"/>
      <c r="S844" s="98" t="str">
        <f>IFERROR(__xludf.DUMMYFUNCTION("""COMPUTED_VALUE"""),"-")</f>
        <v>-</v>
      </c>
      <c r="T844" s="98"/>
    </row>
    <row r="845">
      <c r="A845" s="422"/>
      <c r="B845" s="422"/>
      <c r="C845" s="422"/>
      <c r="D845" s="422"/>
      <c r="E845" s="422"/>
      <c r="F845" s="422"/>
      <c r="G845" s="422"/>
      <c r="H845" s="422"/>
      <c r="I845" s="422"/>
      <c r="J845" s="422"/>
      <c r="K845" s="422"/>
      <c r="L845" s="422"/>
      <c r="M845" s="422"/>
      <c r="N845" s="422"/>
      <c r="O845" s="422"/>
      <c r="P845" s="422"/>
      <c r="Q845" s="422"/>
      <c r="R845" s="98"/>
      <c r="S845" s="98" t="str">
        <f>IFERROR(__xludf.DUMMYFUNCTION("""COMPUTED_VALUE"""),"-")</f>
        <v>-</v>
      </c>
      <c r="T845" s="98"/>
    </row>
    <row r="846">
      <c r="A846" s="422"/>
      <c r="B846" s="422"/>
      <c r="C846" s="422"/>
      <c r="D846" s="422"/>
      <c r="E846" s="422"/>
      <c r="F846" s="422"/>
      <c r="G846" s="422"/>
      <c r="H846" s="422"/>
      <c r="I846" s="422"/>
      <c r="J846" s="422"/>
      <c r="K846" s="422"/>
      <c r="L846" s="422"/>
      <c r="M846" s="422"/>
      <c r="N846" s="422"/>
      <c r="O846" s="422"/>
      <c r="P846" s="422"/>
      <c r="Q846" s="422"/>
      <c r="R846" s="98"/>
      <c r="S846" s="98" t="str">
        <f>IFERROR(__xludf.DUMMYFUNCTION("""COMPUTED_VALUE"""),"-")</f>
        <v>-</v>
      </c>
      <c r="T846" s="98"/>
    </row>
    <row r="847">
      <c r="A847" s="422"/>
      <c r="B847" s="422"/>
      <c r="C847" s="422"/>
      <c r="D847" s="422"/>
      <c r="E847" s="422"/>
      <c r="F847" s="422"/>
      <c r="G847" s="422"/>
      <c r="H847" s="422"/>
      <c r="I847" s="422"/>
      <c r="J847" s="422"/>
      <c r="K847" s="422"/>
      <c r="L847" s="422"/>
      <c r="M847" s="422"/>
      <c r="N847" s="422"/>
      <c r="O847" s="422"/>
      <c r="P847" s="422"/>
      <c r="Q847" s="422"/>
      <c r="R847" s="98"/>
      <c r="S847" s="98" t="str">
        <f>IFERROR(__xludf.DUMMYFUNCTION("""COMPUTED_VALUE"""),"-")</f>
        <v>-</v>
      </c>
      <c r="T847" s="98"/>
    </row>
    <row r="848">
      <c r="A848" s="422"/>
      <c r="B848" s="422"/>
      <c r="C848" s="422"/>
      <c r="D848" s="422"/>
      <c r="E848" s="422"/>
      <c r="F848" s="422"/>
      <c r="G848" s="422"/>
      <c r="H848" s="422"/>
      <c r="I848" s="422"/>
      <c r="J848" s="422"/>
      <c r="K848" s="422"/>
      <c r="L848" s="422"/>
      <c r="M848" s="422"/>
      <c r="N848" s="422"/>
      <c r="O848" s="422"/>
      <c r="P848" s="422"/>
      <c r="Q848" s="422"/>
      <c r="R848" s="98"/>
      <c r="S848" s="98" t="str">
        <f>IFERROR(__xludf.DUMMYFUNCTION("""COMPUTED_VALUE"""),"-")</f>
        <v>-</v>
      </c>
      <c r="T848" s="98"/>
    </row>
    <row r="849">
      <c r="A849" s="422"/>
      <c r="B849" s="422"/>
      <c r="C849" s="422"/>
      <c r="D849" s="422"/>
      <c r="E849" s="422"/>
      <c r="F849" s="422"/>
      <c r="G849" s="422"/>
      <c r="H849" s="422"/>
      <c r="I849" s="422"/>
      <c r="J849" s="422"/>
      <c r="K849" s="422"/>
      <c r="L849" s="422"/>
      <c r="M849" s="422"/>
      <c r="N849" s="422"/>
      <c r="O849" s="422"/>
      <c r="P849" s="422"/>
      <c r="Q849" s="422"/>
      <c r="R849" s="98"/>
      <c r="S849" s="98" t="str">
        <f>IFERROR(__xludf.DUMMYFUNCTION("""COMPUTED_VALUE"""),"-")</f>
        <v>-</v>
      </c>
      <c r="T849" s="98"/>
    </row>
    <row r="850">
      <c r="A850" s="422"/>
      <c r="B850" s="422"/>
      <c r="C850" s="422"/>
      <c r="D850" s="422"/>
      <c r="E850" s="422"/>
      <c r="F850" s="422"/>
      <c r="G850" s="422"/>
      <c r="H850" s="422"/>
      <c r="I850" s="422"/>
      <c r="J850" s="422"/>
      <c r="K850" s="422"/>
      <c r="L850" s="422"/>
      <c r="M850" s="422"/>
      <c r="N850" s="422"/>
      <c r="O850" s="422"/>
      <c r="P850" s="422"/>
      <c r="Q850" s="422"/>
      <c r="R850" s="98"/>
      <c r="S850" s="98" t="str">
        <f>IFERROR(__xludf.DUMMYFUNCTION("""COMPUTED_VALUE"""),"-")</f>
        <v>-</v>
      </c>
      <c r="T850" s="98"/>
    </row>
    <row r="851">
      <c r="A851" s="422"/>
      <c r="B851" s="422"/>
      <c r="C851" s="422"/>
      <c r="D851" s="422"/>
      <c r="E851" s="422"/>
      <c r="F851" s="422"/>
      <c r="G851" s="422"/>
      <c r="H851" s="422"/>
      <c r="I851" s="422"/>
      <c r="J851" s="422"/>
      <c r="K851" s="422"/>
      <c r="L851" s="422"/>
      <c r="M851" s="422"/>
      <c r="N851" s="422"/>
      <c r="O851" s="422"/>
      <c r="P851" s="422"/>
      <c r="Q851" s="422"/>
      <c r="R851" s="98"/>
      <c r="S851" s="98" t="str">
        <f>IFERROR(__xludf.DUMMYFUNCTION("""COMPUTED_VALUE"""),"-")</f>
        <v>-</v>
      </c>
      <c r="T851" s="98"/>
    </row>
    <row r="852">
      <c r="A852" s="422"/>
      <c r="B852" s="422"/>
      <c r="C852" s="422"/>
      <c r="D852" s="422"/>
      <c r="E852" s="422"/>
      <c r="F852" s="422"/>
      <c r="G852" s="422"/>
      <c r="H852" s="422"/>
      <c r="I852" s="422"/>
      <c r="J852" s="422"/>
      <c r="K852" s="422"/>
      <c r="L852" s="422"/>
      <c r="M852" s="422"/>
      <c r="N852" s="422"/>
      <c r="O852" s="422"/>
      <c r="P852" s="422"/>
      <c r="Q852" s="422"/>
      <c r="R852" s="98"/>
      <c r="S852" s="98" t="str">
        <f>IFERROR(__xludf.DUMMYFUNCTION("""COMPUTED_VALUE"""),"-")</f>
        <v>-</v>
      </c>
      <c r="T852" s="98"/>
    </row>
    <row r="853">
      <c r="A853" s="422"/>
      <c r="B853" s="422"/>
      <c r="C853" s="422"/>
      <c r="D853" s="422"/>
      <c r="E853" s="422"/>
      <c r="F853" s="422"/>
      <c r="G853" s="422"/>
      <c r="H853" s="422"/>
      <c r="I853" s="422"/>
      <c r="J853" s="422"/>
      <c r="K853" s="422"/>
      <c r="L853" s="422"/>
      <c r="M853" s="422"/>
      <c r="N853" s="422"/>
      <c r="O853" s="422"/>
      <c r="P853" s="422"/>
      <c r="Q853" s="422"/>
      <c r="R853" s="98"/>
      <c r="S853" s="98" t="str">
        <f>IFERROR(__xludf.DUMMYFUNCTION("""COMPUTED_VALUE"""),"-")</f>
        <v>-</v>
      </c>
      <c r="T853" s="98"/>
    </row>
    <row r="854">
      <c r="A854" s="422"/>
      <c r="B854" s="422"/>
      <c r="C854" s="422"/>
      <c r="D854" s="422"/>
      <c r="E854" s="422"/>
      <c r="F854" s="422"/>
      <c r="G854" s="422"/>
      <c r="H854" s="422"/>
      <c r="I854" s="422"/>
      <c r="J854" s="422"/>
      <c r="K854" s="422"/>
      <c r="L854" s="422"/>
      <c r="M854" s="422"/>
      <c r="N854" s="422"/>
      <c r="O854" s="422"/>
      <c r="P854" s="422"/>
      <c r="Q854" s="422"/>
      <c r="R854" s="98"/>
      <c r="S854" s="98" t="str">
        <f>IFERROR(__xludf.DUMMYFUNCTION("""COMPUTED_VALUE"""),"-")</f>
        <v>-</v>
      </c>
      <c r="T854" s="98"/>
    </row>
    <row r="855">
      <c r="A855" s="422"/>
      <c r="B855" s="422"/>
      <c r="C855" s="422"/>
      <c r="D855" s="422"/>
      <c r="E855" s="422"/>
      <c r="F855" s="422"/>
      <c r="G855" s="422"/>
      <c r="H855" s="422"/>
      <c r="I855" s="422"/>
      <c r="J855" s="422"/>
      <c r="K855" s="422"/>
      <c r="L855" s="422"/>
      <c r="M855" s="422"/>
      <c r="N855" s="422"/>
      <c r="O855" s="422"/>
      <c r="P855" s="422"/>
      <c r="Q855" s="422"/>
      <c r="R855" s="98"/>
      <c r="S855" s="98" t="str">
        <f>IFERROR(__xludf.DUMMYFUNCTION("""COMPUTED_VALUE"""),"-")</f>
        <v>-</v>
      </c>
      <c r="T855" s="98"/>
    </row>
    <row r="856">
      <c r="A856" s="422"/>
      <c r="B856" s="422"/>
      <c r="C856" s="422"/>
      <c r="D856" s="422"/>
      <c r="E856" s="422"/>
      <c r="F856" s="422"/>
      <c r="G856" s="422"/>
      <c r="H856" s="422"/>
      <c r="I856" s="422"/>
      <c r="J856" s="422"/>
      <c r="K856" s="422"/>
      <c r="L856" s="422"/>
      <c r="M856" s="422"/>
      <c r="N856" s="422"/>
      <c r="O856" s="422"/>
      <c r="P856" s="422"/>
      <c r="Q856" s="422"/>
      <c r="R856" s="98"/>
      <c r="S856" s="98" t="str">
        <f>IFERROR(__xludf.DUMMYFUNCTION("""COMPUTED_VALUE"""),"-")</f>
        <v>-</v>
      </c>
      <c r="T856" s="98"/>
    </row>
    <row r="857">
      <c r="A857" s="422"/>
      <c r="B857" s="422"/>
      <c r="C857" s="422"/>
      <c r="D857" s="422"/>
      <c r="E857" s="422"/>
      <c r="F857" s="422"/>
      <c r="G857" s="422"/>
      <c r="H857" s="422"/>
      <c r="I857" s="422"/>
      <c r="J857" s="422"/>
      <c r="K857" s="422"/>
      <c r="L857" s="422"/>
      <c r="M857" s="422"/>
      <c r="N857" s="422"/>
      <c r="O857" s="422"/>
      <c r="P857" s="422"/>
      <c r="Q857" s="422"/>
      <c r="R857" s="98"/>
      <c r="S857" s="98" t="str">
        <f>IFERROR(__xludf.DUMMYFUNCTION("""COMPUTED_VALUE"""),"-")</f>
        <v>-</v>
      </c>
      <c r="T857" s="98"/>
    </row>
    <row r="858">
      <c r="A858" s="422"/>
      <c r="B858" s="422"/>
      <c r="C858" s="422"/>
      <c r="D858" s="422"/>
      <c r="E858" s="422"/>
      <c r="F858" s="422"/>
      <c r="G858" s="422"/>
      <c r="H858" s="422"/>
      <c r="I858" s="422"/>
      <c r="J858" s="422"/>
      <c r="K858" s="422"/>
      <c r="L858" s="422"/>
      <c r="M858" s="422"/>
      <c r="N858" s="422"/>
      <c r="O858" s="422"/>
      <c r="P858" s="422"/>
      <c r="Q858" s="422"/>
      <c r="R858" s="98"/>
      <c r="S858" s="98" t="str">
        <f>IFERROR(__xludf.DUMMYFUNCTION("""COMPUTED_VALUE"""),"-")</f>
        <v>-</v>
      </c>
      <c r="T858" s="98"/>
    </row>
    <row r="859">
      <c r="A859" s="422"/>
      <c r="B859" s="422"/>
      <c r="C859" s="422"/>
      <c r="D859" s="422"/>
      <c r="E859" s="422"/>
      <c r="F859" s="422"/>
      <c r="G859" s="422"/>
      <c r="H859" s="422"/>
      <c r="I859" s="422"/>
      <c r="J859" s="422"/>
      <c r="K859" s="422"/>
      <c r="L859" s="422"/>
      <c r="M859" s="422"/>
      <c r="N859" s="422"/>
      <c r="O859" s="422"/>
      <c r="P859" s="422"/>
      <c r="Q859" s="422"/>
      <c r="R859" s="98"/>
      <c r="S859" s="98" t="str">
        <f>IFERROR(__xludf.DUMMYFUNCTION("""COMPUTED_VALUE"""),"-")</f>
        <v>-</v>
      </c>
      <c r="T859" s="98"/>
    </row>
    <row r="860">
      <c r="A860" s="422"/>
      <c r="B860" s="422"/>
      <c r="C860" s="422"/>
      <c r="D860" s="422"/>
      <c r="E860" s="422"/>
      <c r="F860" s="422"/>
      <c r="G860" s="422"/>
      <c r="H860" s="422"/>
      <c r="I860" s="422"/>
      <c r="J860" s="422"/>
      <c r="K860" s="422"/>
      <c r="L860" s="422"/>
      <c r="M860" s="422"/>
      <c r="N860" s="422"/>
      <c r="O860" s="422"/>
      <c r="P860" s="422"/>
      <c r="Q860" s="422"/>
      <c r="R860" s="98"/>
      <c r="S860" s="98" t="str">
        <f>IFERROR(__xludf.DUMMYFUNCTION("""COMPUTED_VALUE"""),"-")</f>
        <v>-</v>
      </c>
      <c r="T860" s="98"/>
    </row>
    <row r="861">
      <c r="A861" s="422"/>
      <c r="B861" s="422"/>
      <c r="C861" s="422"/>
      <c r="D861" s="422"/>
      <c r="E861" s="422"/>
      <c r="F861" s="422"/>
      <c r="G861" s="422"/>
      <c r="H861" s="422"/>
      <c r="I861" s="422"/>
      <c r="J861" s="422"/>
      <c r="K861" s="422"/>
      <c r="L861" s="422"/>
      <c r="M861" s="422"/>
      <c r="N861" s="422"/>
      <c r="O861" s="422"/>
      <c r="P861" s="422"/>
      <c r="Q861" s="422"/>
      <c r="R861" s="98"/>
      <c r="S861" s="98" t="str">
        <f>IFERROR(__xludf.DUMMYFUNCTION("""COMPUTED_VALUE"""),"-")</f>
        <v>-</v>
      </c>
      <c r="T861" s="98"/>
    </row>
    <row r="862">
      <c r="A862" s="422"/>
      <c r="B862" s="422"/>
      <c r="C862" s="422"/>
      <c r="D862" s="422"/>
      <c r="E862" s="422"/>
      <c r="F862" s="422"/>
      <c r="G862" s="422"/>
      <c r="H862" s="422"/>
      <c r="I862" s="422"/>
      <c r="J862" s="422"/>
      <c r="K862" s="422"/>
      <c r="L862" s="422"/>
      <c r="M862" s="422"/>
      <c r="N862" s="422"/>
      <c r="O862" s="422"/>
      <c r="P862" s="422"/>
      <c r="Q862" s="422"/>
      <c r="R862" s="98"/>
      <c r="S862" s="98" t="str">
        <f>IFERROR(__xludf.DUMMYFUNCTION("""COMPUTED_VALUE"""),"-")</f>
        <v>-</v>
      </c>
      <c r="T862" s="98"/>
    </row>
    <row r="863">
      <c r="A863" s="422"/>
      <c r="B863" s="422"/>
      <c r="C863" s="422"/>
      <c r="D863" s="422"/>
      <c r="E863" s="422"/>
      <c r="F863" s="422"/>
      <c r="G863" s="422"/>
      <c r="H863" s="422"/>
      <c r="I863" s="422"/>
      <c r="J863" s="422"/>
      <c r="K863" s="422"/>
      <c r="L863" s="422"/>
      <c r="M863" s="422"/>
      <c r="N863" s="422"/>
      <c r="O863" s="422"/>
      <c r="P863" s="422"/>
      <c r="Q863" s="422"/>
      <c r="R863" s="98"/>
      <c r="S863" s="98" t="str">
        <f>IFERROR(__xludf.DUMMYFUNCTION("""COMPUTED_VALUE"""),"-")</f>
        <v>-</v>
      </c>
      <c r="T863" s="98"/>
    </row>
    <row r="864">
      <c r="A864" s="422"/>
      <c r="B864" s="422"/>
      <c r="C864" s="422"/>
      <c r="D864" s="422"/>
      <c r="E864" s="422"/>
      <c r="F864" s="422"/>
      <c r="G864" s="422"/>
      <c r="H864" s="422"/>
      <c r="I864" s="422"/>
      <c r="J864" s="422"/>
      <c r="K864" s="422"/>
      <c r="L864" s="422"/>
      <c r="M864" s="422"/>
      <c r="N864" s="422"/>
      <c r="O864" s="422"/>
      <c r="P864" s="422"/>
      <c r="Q864" s="422"/>
      <c r="R864" s="98"/>
      <c r="S864" s="98" t="str">
        <f>IFERROR(__xludf.DUMMYFUNCTION("""COMPUTED_VALUE"""),"-")</f>
        <v>-</v>
      </c>
      <c r="T864" s="98"/>
    </row>
    <row r="865">
      <c r="A865" s="422"/>
      <c r="B865" s="422"/>
      <c r="C865" s="422"/>
      <c r="D865" s="422"/>
      <c r="E865" s="422"/>
      <c r="F865" s="422"/>
      <c r="G865" s="422"/>
      <c r="H865" s="422"/>
      <c r="I865" s="422"/>
      <c r="J865" s="422"/>
      <c r="K865" s="422"/>
      <c r="L865" s="422"/>
      <c r="M865" s="422"/>
      <c r="N865" s="422"/>
      <c r="O865" s="422"/>
      <c r="P865" s="422"/>
      <c r="Q865" s="422"/>
      <c r="R865" s="98"/>
      <c r="S865" s="98" t="str">
        <f>IFERROR(__xludf.DUMMYFUNCTION("""COMPUTED_VALUE"""),"-")</f>
        <v>-</v>
      </c>
      <c r="T865" s="98"/>
    </row>
    <row r="866">
      <c r="A866" s="422"/>
      <c r="B866" s="422"/>
      <c r="C866" s="422"/>
      <c r="D866" s="422"/>
      <c r="E866" s="422"/>
      <c r="F866" s="422"/>
      <c r="G866" s="422"/>
      <c r="H866" s="422"/>
      <c r="I866" s="422"/>
      <c r="J866" s="422"/>
      <c r="K866" s="422"/>
      <c r="L866" s="422"/>
      <c r="M866" s="422"/>
      <c r="N866" s="422"/>
      <c r="O866" s="422"/>
      <c r="P866" s="422"/>
      <c r="Q866" s="422"/>
      <c r="R866" s="98"/>
      <c r="S866" s="98" t="str">
        <f>IFERROR(__xludf.DUMMYFUNCTION("""COMPUTED_VALUE"""),"-")</f>
        <v>-</v>
      </c>
      <c r="T866" s="98"/>
    </row>
    <row r="867">
      <c r="A867" s="422"/>
      <c r="B867" s="422"/>
      <c r="C867" s="422"/>
      <c r="D867" s="422"/>
      <c r="E867" s="422"/>
      <c r="F867" s="422"/>
      <c r="G867" s="422"/>
      <c r="H867" s="422"/>
      <c r="I867" s="422"/>
      <c r="J867" s="422"/>
      <c r="K867" s="422"/>
      <c r="L867" s="422"/>
      <c r="M867" s="422"/>
      <c r="N867" s="422"/>
      <c r="O867" s="422"/>
      <c r="P867" s="422"/>
      <c r="Q867" s="422"/>
      <c r="R867" s="98"/>
      <c r="S867" s="98" t="str">
        <f>IFERROR(__xludf.DUMMYFUNCTION("""COMPUTED_VALUE"""),"-")</f>
        <v>-</v>
      </c>
      <c r="T867" s="98"/>
    </row>
    <row r="868">
      <c r="A868" s="422"/>
      <c r="B868" s="422"/>
      <c r="C868" s="422"/>
      <c r="D868" s="422"/>
      <c r="E868" s="422"/>
      <c r="F868" s="422"/>
      <c r="G868" s="422"/>
      <c r="H868" s="422"/>
      <c r="I868" s="422"/>
      <c r="J868" s="422"/>
      <c r="K868" s="422"/>
      <c r="L868" s="422"/>
      <c r="M868" s="422"/>
      <c r="N868" s="422"/>
      <c r="O868" s="422"/>
      <c r="P868" s="422"/>
      <c r="Q868" s="422"/>
      <c r="R868" s="98"/>
      <c r="S868" s="98" t="str">
        <f>IFERROR(__xludf.DUMMYFUNCTION("""COMPUTED_VALUE"""),"-")</f>
        <v>-</v>
      </c>
      <c r="T868" s="98"/>
    </row>
    <row r="869">
      <c r="A869" s="422"/>
      <c r="B869" s="422"/>
      <c r="C869" s="422"/>
      <c r="D869" s="422"/>
      <c r="E869" s="422"/>
      <c r="F869" s="422"/>
      <c r="G869" s="422"/>
      <c r="H869" s="422"/>
      <c r="I869" s="422"/>
      <c r="J869" s="422"/>
      <c r="K869" s="422"/>
      <c r="L869" s="422"/>
      <c r="M869" s="422"/>
      <c r="N869" s="422"/>
      <c r="O869" s="422"/>
      <c r="P869" s="422"/>
      <c r="Q869" s="422"/>
      <c r="R869" s="98"/>
      <c r="S869" s="98" t="str">
        <f>IFERROR(__xludf.DUMMYFUNCTION("""COMPUTED_VALUE"""),"-")</f>
        <v>-</v>
      </c>
      <c r="T869" s="98"/>
    </row>
    <row r="870">
      <c r="A870" s="422"/>
      <c r="B870" s="422"/>
      <c r="C870" s="422"/>
      <c r="D870" s="422"/>
      <c r="E870" s="422"/>
      <c r="F870" s="422"/>
      <c r="G870" s="422"/>
      <c r="H870" s="422"/>
      <c r="I870" s="422"/>
      <c r="J870" s="422"/>
      <c r="K870" s="422"/>
      <c r="L870" s="422"/>
      <c r="M870" s="422"/>
      <c r="N870" s="422"/>
      <c r="O870" s="422"/>
      <c r="P870" s="422"/>
      <c r="Q870" s="422"/>
      <c r="R870" s="98"/>
      <c r="S870" s="98" t="str">
        <f>IFERROR(__xludf.DUMMYFUNCTION("""COMPUTED_VALUE"""),"-")</f>
        <v>-</v>
      </c>
      <c r="T870" s="98"/>
    </row>
    <row r="871">
      <c r="A871" s="422"/>
      <c r="B871" s="422"/>
      <c r="C871" s="422"/>
      <c r="D871" s="422"/>
      <c r="E871" s="422"/>
      <c r="F871" s="422"/>
      <c r="G871" s="422"/>
      <c r="H871" s="422"/>
      <c r="I871" s="422"/>
      <c r="J871" s="422"/>
      <c r="K871" s="422"/>
      <c r="L871" s="422"/>
      <c r="M871" s="422"/>
      <c r="N871" s="422"/>
      <c r="O871" s="422"/>
      <c r="P871" s="422"/>
      <c r="Q871" s="422"/>
      <c r="R871" s="98"/>
      <c r="S871" s="98" t="str">
        <f>IFERROR(__xludf.DUMMYFUNCTION("""COMPUTED_VALUE"""),"-")</f>
        <v>-</v>
      </c>
      <c r="T871" s="98"/>
    </row>
    <row r="872">
      <c r="A872" s="422"/>
      <c r="B872" s="422"/>
      <c r="C872" s="422"/>
      <c r="D872" s="422"/>
      <c r="E872" s="422"/>
      <c r="F872" s="422"/>
      <c r="G872" s="422"/>
      <c r="H872" s="422"/>
      <c r="I872" s="422"/>
      <c r="J872" s="422"/>
      <c r="K872" s="422"/>
      <c r="L872" s="422"/>
      <c r="M872" s="422"/>
      <c r="N872" s="422"/>
      <c r="O872" s="422"/>
      <c r="P872" s="422"/>
      <c r="Q872" s="422"/>
      <c r="R872" s="98"/>
      <c r="S872" s="98" t="str">
        <f>IFERROR(__xludf.DUMMYFUNCTION("""COMPUTED_VALUE"""),"-")</f>
        <v>-</v>
      </c>
      <c r="T872" s="98"/>
    </row>
    <row r="873">
      <c r="A873" s="422"/>
      <c r="B873" s="422"/>
      <c r="C873" s="422"/>
      <c r="D873" s="422"/>
      <c r="E873" s="422"/>
      <c r="F873" s="422"/>
      <c r="G873" s="422"/>
      <c r="H873" s="422"/>
      <c r="I873" s="422"/>
      <c r="J873" s="422"/>
      <c r="K873" s="422"/>
      <c r="L873" s="422"/>
      <c r="M873" s="422"/>
      <c r="N873" s="422"/>
      <c r="O873" s="422"/>
      <c r="P873" s="422"/>
      <c r="Q873" s="422"/>
      <c r="R873" s="98"/>
      <c r="S873" s="98" t="str">
        <f>IFERROR(__xludf.DUMMYFUNCTION("""COMPUTED_VALUE"""),"-")</f>
        <v>-</v>
      </c>
      <c r="T873" s="98"/>
    </row>
    <row r="874">
      <c r="A874" s="422"/>
      <c r="B874" s="422"/>
      <c r="C874" s="422"/>
      <c r="D874" s="422"/>
      <c r="E874" s="422"/>
      <c r="F874" s="422"/>
      <c r="G874" s="422"/>
      <c r="H874" s="422"/>
      <c r="I874" s="422"/>
      <c r="J874" s="422"/>
      <c r="K874" s="422"/>
      <c r="L874" s="422"/>
      <c r="M874" s="422"/>
      <c r="N874" s="422"/>
      <c r="O874" s="422"/>
      <c r="P874" s="422"/>
      <c r="Q874" s="422"/>
      <c r="R874" s="98"/>
      <c r="S874" s="98" t="str">
        <f>IFERROR(__xludf.DUMMYFUNCTION("""COMPUTED_VALUE"""),"-")</f>
        <v>-</v>
      </c>
      <c r="T874" s="98"/>
    </row>
    <row r="875">
      <c r="A875" s="422"/>
      <c r="B875" s="422"/>
      <c r="C875" s="422"/>
      <c r="D875" s="422"/>
      <c r="E875" s="422"/>
      <c r="F875" s="422"/>
      <c r="G875" s="422"/>
      <c r="H875" s="422"/>
      <c r="I875" s="422"/>
      <c r="J875" s="422"/>
      <c r="K875" s="422"/>
      <c r="L875" s="422"/>
      <c r="M875" s="422"/>
      <c r="N875" s="422"/>
      <c r="O875" s="422"/>
      <c r="P875" s="422"/>
      <c r="Q875" s="422"/>
      <c r="R875" s="98"/>
      <c r="S875" s="98" t="str">
        <f>IFERROR(__xludf.DUMMYFUNCTION("""COMPUTED_VALUE"""),"-")</f>
        <v>-</v>
      </c>
      <c r="T875" s="98"/>
    </row>
    <row r="876">
      <c r="A876" s="422"/>
      <c r="B876" s="422"/>
      <c r="C876" s="422"/>
      <c r="D876" s="422"/>
      <c r="E876" s="422"/>
      <c r="F876" s="422"/>
      <c r="G876" s="422"/>
      <c r="H876" s="422"/>
      <c r="I876" s="422"/>
      <c r="J876" s="422"/>
      <c r="K876" s="422"/>
      <c r="L876" s="422"/>
      <c r="M876" s="422"/>
      <c r="N876" s="422"/>
      <c r="O876" s="422"/>
      <c r="P876" s="422"/>
      <c r="Q876" s="422"/>
      <c r="R876" s="98"/>
      <c r="S876" s="98" t="str">
        <f>IFERROR(__xludf.DUMMYFUNCTION("""COMPUTED_VALUE"""),"-")</f>
        <v>-</v>
      </c>
      <c r="T876" s="98"/>
    </row>
    <row r="877">
      <c r="A877" s="422"/>
      <c r="B877" s="422"/>
      <c r="C877" s="422"/>
      <c r="D877" s="422"/>
      <c r="E877" s="422"/>
      <c r="F877" s="422"/>
      <c r="G877" s="422"/>
      <c r="H877" s="422"/>
      <c r="I877" s="422"/>
      <c r="J877" s="422"/>
      <c r="K877" s="422"/>
      <c r="L877" s="422"/>
      <c r="M877" s="422"/>
      <c r="N877" s="422"/>
      <c r="O877" s="422"/>
      <c r="P877" s="422"/>
      <c r="Q877" s="422"/>
      <c r="R877" s="98"/>
      <c r="S877" s="98" t="str">
        <f>IFERROR(__xludf.DUMMYFUNCTION("""COMPUTED_VALUE"""),"-")</f>
        <v>-</v>
      </c>
      <c r="T877" s="98"/>
    </row>
    <row r="878">
      <c r="A878" s="422"/>
      <c r="B878" s="422"/>
      <c r="C878" s="422"/>
      <c r="D878" s="422"/>
      <c r="E878" s="422"/>
      <c r="F878" s="422"/>
      <c r="G878" s="422"/>
      <c r="H878" s="422"/>
      <c r="I878" s="422"/>
      <c r="J878" s="422"/>
      <c r="K878" s="422"/>
      <c r="L878" s="422"/>
      <c r="M878" s="422"/>
      <c r="N878" s="422"/>
      <c r="O878" s="422"/>
      <c r="P878" s="422"/>
      <c r="Q878" s="422"/>
      <c r="R878" s="98"/>
      <c r="S878" s="98" t="str">
        <f>IFERROR(__xludf.DUMMYFUNCTION("""COMPUTED_VALUE"""),"-")</f>
        <v>-</v>
      </c>
      <c r="T878" s="98"/>
    </row>
    <row r="879">
      <c r="A879" s="422"/>
      <c r="B879" s="422"/>
      <c r="C879" s="422"/>
      <c r="D879" s="422"/>
      <c r="E879" s="422"/>
      <c r="F879" s="422"/>
      <c r="G879" s="422"/>
      <c r="H879" s="422"/>
      <c r="I879" s="422"/>
      <c r="J879" s="422"/>
      <c r="K879" s="422"/>
      <c r="L879" s="422"/>
      <c r="M879" s="422"/>
      <c r="N879" s="422"/>
      <c r="O879" s="422"/>
      <c r="P879" s="422"/>
      <c r="Q879" s="422"/>
      <c r="R879" s="98"/>
      <c r="S879" s="98" t="str">
        <f>IFERROR(__xludf.DUMMYFUNCTION("""COMPUTED_VALUE"""),"-")</f>
        <v>-</v>
      </c>
      <c r="T879" s="98"/>
    </row>
    <row r="880">
      <c r="A880" s="422"/>
      <c r="B880" s="422"/>
      <c r="C880" s="422"/>
      <c r="D880" s="422"/>
      <c r="E880" s="422"/>
      <c r="F880" s="422"/>
      <c r="G880" s="422"/>
      <c r="H880" s="422"/>
      <c r="I880" s="422"/>
      <c r="J880" s="422"/>
      <c r="K880" s="422"/>
      <c r="L880" s="422"/>
      <c r="M880" s="422"/>
      <c r="N880" s="422"/>
      <c r="O880" s="422"/>
      <c r="P880" s="422"/>
      <c r="Q880" s="422"/>
      <c r="R880" s="98"/>
      <c r="S880" s="98" t="str">
        <f>IFERROR(__xludf.DUMMYFUNCTION("""COMPUTED_VALUE"""),"-")</f>
        <v>-</v>
      </c>
      <c r="T880" s="98"/>
    </row>
    <row r="881">
      <c r="A881" s="422"/>
      <c r="B881" s="422"/>
      <c r="C881" s="422"/>
      <c r="D881" s="422"/>
      <c r="E881" s="422"/>
      <c r="F881" s="422"/>
      <c r="G881" s="422"/>
      <c r="H881" s="422"/>
      <c r="I881" s="422"/>
      <c r="J881" s="422"/>
      <c r="K881" s="422"/>
      <c r="L881" s="422"/>
      <c r="M881" s="422"/>
      <c r="N881" s="422"/>
      <c r="O881" s="422"/>
      <c r="P881" s="422"/>
      <c r="Q881" s="422"/>
      <c r="R881" s="98"/>
      <c r="S881" s="98" t="str">
        <f>IFERROR(__xludf.DUMMYFUNCTION("""COMPUTED_VALUE"""),"-")</f>
        <v>-</v>
      </c>
      <c r="T881" s="98"/>
    </row>
    <row r="882">
      <c r="A882" s="422"/>
      <c r="B882" s="422"/>
      <c r="C882" s="422"/>
      <c r="D882" s="422"/>
      <c r="E882" s="422"/>
      <c r="F882" s="422"/>
      <c r="G882" s="422"/>
      <c r="H882" s="422"/>
      <c r="I882" s="422"/>
      <c r="J882" s="422"/>
      <c r="K882" s="422"/>
      <c r="L882" s="422"/>
      <c r="M882" s="422"/>
      <c r="N882" s="422"/>
      <c r="O882" s="422"/>
      <c r="P882" s="422"/>
      <c r="Q882" s="422"/>
      <c r="R882" s="98"/>
      <c r="S882" s="98" t="str">
        <f>IFERROR(__xludf.DUMMYFUNCTION("""COMPUTED_VALUE"""),"-")</f>
        <v>-</v>
      </c>
      <c r="T882" s="98"/>
    </row>
    <row r="883">
      <c r="A883" s="422"/>
      <c r="B883" s="422"/>
      <c r="C883" s="422"/>
      <c r="D883" s="422"/>
      <c r="E883" s="422"/>
      <c r="F883" s="422"/>
      <c r="G883" s="422"/>
      <c r="H883" s="422"/>
      <c r="I883" s="422"/>
      <c r="J883" s="422"/>
      <c r="K883" s="422"/>
      <c r="L883" s="422"/>
      <c r="M883" s="422"/>
      <c r="N883" s="422"/>
      <c r="O883" s="422"/>
      <c r="P883" s="422"/>
      <c r="Q883" s="422"/>
      <c r="R883" s="98"/>
      <c r="S883" s="98" t="str">
        <f>IFERROR(__xludf.DUMMYFUNCTION("""COMPUTED_VALUE"""),"-")</f>
        <v>-</v>
      </c>
      <c r="T883" s="98"/>
    </row>
    <row r="884">
      <c r="A884" s="422"/>
      <c r="B884" s="422"/>
      <c r="C884" s="422"/>
      <c r="D884" s="422"/>
      <c r="E884" s="422"/>
      <c r="F884" s="422"/>
      <c r="G884" s="422"/>
      <c r="H884" s="422"/>
      <c r="I884" s="422"/>
      <c r="J884" s="422"/>
      <c r="K884" s="422"/>
      <c r="L884" s="422"/>
      <c r="M884" s="422"/>
      <c r="N884" s="422"/>
      <c r="O884" s="422"/>
      <c r="P884" s="422"/>
      <c r="Q884" s="422"/>
      <c r="R884" s="98"/>
      <c r="S884" s="98" t="str">
        <f>IFERROR(__xludf.DUMMYFUNCTION("""COMPUTED_VALUE"""),"-")</f>
        <v>-</v>
      </c>
      <c r="T884" s="98"/>
    </row>
    <row r="885">
      <c r="A885" s="422"/>
      <c r="B885" s="422"/>
      <c r="C885" s="422"/>
      <c r="D885" s="422"/>
      <c r="E885" s="422"/>
      <c r="F885" s="422"/>
      <c r="G885" s="422"/>
      <c r="H885" s="422"/>
      <c r="I885" s="422"/>
      <c r="J885" s="422"/>
      <c r="K885" s="422"/>
      <c r="L885" s="422"/>
      <c r="M885" s="422"/>
      <c r="N885" s="422"/>
      <c r="O885" s="422"/>
      <c r="P885" s="422"/>
      <c r="Q885" s="422"/>
      <c r="R885" s="98"/>
      <c r="S885" s="98" t="str">
        <f>IFERROR(__xludf.DUMMYFUNCTION("""COMPUTED_VALUE"""),"-")</f>
        <v>-</v>
      </c>
      <c r="T885" s="98"/>
    </row>
    <row r="886">
      <c r="A886" s="422"/>
      <c r="B886" s="422"/>
      <c r="C886" s="422"/>
      <c r="D886" s="422"/>
      <c r="E886" s="422"/>
      <c r="F886" s="422"/>
      <c r="G886" s="422"/>
      <c r="H886" s="422"/>
      <c r="I886" s="422"/>
      <c r="J886" s="422"/>
      <c r="K886" s="422"/>
      <c r="L886" s="422"/>
      <c r="M886" s="422"/>
      <c r="N886" s="422"/>
      <c r="O886" s="422"/>
      <c r="P886" s="422"/>
      <c r="Q886" s="422"/>
      <c r="R886" s="98"/>
      <c r="S886" s="98" t="str">
        <f>IFERROR(__xludf.DUMMYFUNCTION("""COMPUTED_VALUE"""),"-")</f>
        <v>-</v>
      </c>
      <c r="T886" s="98"/>
    </row>
    <row r="887">
      <c r="A887" s="422"/>
      <c r="B887" s="422"/>
      <c r="C887" s="422"/>
      <c r="D887" s="422"/>
      <c r="E887" s="422"/>
      <c r="F887" s="422"/>
      <c r="G887" s="422"/>
      <c r="H887" s="422"/>
      <c r="I887" s="422"/>
      <c r="J887" s="422"/>
      <c r="K887" s="422"/>
      <c r="L887" s="422"/>
      <c r="M887" s="422"/>
      <c r="N887" s="422"/>
      <c r="O887" s="422"/>
      <c r="P887" s="422"/>
      <c r="Q887" s="422"/>
      <c r="R887" s="98"/>
      <c r="S887" s="98" t="str">
        <f>IFERROR(__xludf.DUMMYFUNCTION("""COMPUTED_VALUE"""),"-")</f>
        <v>-</v>
      </c>
      <c r="T887" s="98"/>
    </row>
    <row r="888">
      <c r="A888" s="422"/>
      <c r="B888" s="422"/>
      <c r="C888" s="422"/>
      <c r="D888" s="422"/>
      <c r="E888" s="422"/>
      <c r="F888" s="422"/>
      <c r="G888" s="422"/>
      <c r="H888" s="422"/>
      <c r="I888" s="422"/>
      <c r="J888" s="422"/>
      <c r="K888" s="422"/>
      <c r="L888" s="422"/>
      <c r="M888" s="422"/>
      <c r="N888" s="422"/>
      <c r="O888" s="422"/>
      <c r="P888" s="422"/>
      <c r="Q888" s="422"/>
      <c r="R888" s="98"/>
      <c r="S888" s="98" t="str">
        <f>IFERROR(__xludf.DUMMYFUNCTION("""COMPUTED_VALUE"""),"-")</f>
        <v>-</v>
      </c>
      <c r="T888" s="98"/>
    </row>
    <row r="889">
      <c r="A889" s="422"/>
      <c r="B889" s="422"/>
      <c r="C889" s="422"/>
      <c r="D889" s="422"/>
      <c r="E889" s="422"/>
      <c r="F889" s="422"/>
      <c r="G889" s="422"/>
      <c r="H889" s="422"/>
      <c r="I889" s="422"/>
      <c r="J889" s="422"/>
      <c r="K889" s="422"/>
      <c r="L889" s="422"/>
      <c r="M889" s="422"/>
      <c r="N889" s="422"/>
      <c r="O889" s="422"/>
      <c r="P889" s="422"/>
      <c r="Q889" s="422"/>
      <c r="R889" s="98"/>
      <c r="S889" s="98" t="str">
        <f>IFERROR(__xludf.DUMMYFUNCTION("""COMPUTED_VALUE"""),"-")</f>
        <v>-</v>
      </c>
      <c r="T889" s="98"/>
    </row>
    <row r="890">
      <c r="A890" s="422"/>
      <c r="B890" s="422"/>
      <c r="C890" s="422"/>
      <c r="D890" s="422"/>
      <c r="E890" s="422"/>
      <c r="F890" s="422"/>
      <c r="G890" s="422"/>
      <c r="H890" s="422"/>
      <c r="I890" s="422"/>
      <c r="J890" s="422"/>
      <c r="K890" s="422"/>
      <c r="L890" s="422"/>
      <c r="M890" s="422"/>
      <c r="N890" s="422"/>
      <c r="O890" s="422"/>
      <c r="P890" s="422"/>
      <c r="Q890" s="422"/>
      <c r="R890" s="98"/>
      <c r="S890" s="98" t="str">
        <f>IFERROR(__xludf.DUMMYFUNCTION("""COMPUTED_VALUE"""),"-")</f>
        <v>-</v>
      </c>
      <c r="T890" s="98"/>
    </row>
    <row r="891">
      <c r="A891" s="422"/>
      <c r="B891" s="422"/>
      <c r="C891" s="422"/>
      <c r="D891" s="422"/>
      <c r="E891" s="422"/>
      <c r="F891" s="422"/>
      <c r="G891" s="422"/>
      <c r="H891" s="422"/>
      <c r="I891" s="422"/>
      <c r="J891" s="422"/>
      <c r="K891" s="422"/>
      <c r="L891" s="422"/>
      <c r="M891" s="422"/>
      <c r="N891" s="422"/>
      <c r="O891" s="422"/>
      <c r="P891" s="422"/>
      <c r="Q891" s="422"/>
      <c r="R891" s="98"/>
      <c r="S891" s="98" t="str">
        <f>IFERROR(__xludf.DUMMYFUNCTION("""COMPUTED_VALUE"""),"-")</f>
        <v>-</v>
      </c>
      <c r="T891" s="98"/>
    </row>
    <row r="892">
      <c r="A892" s="422"/>
      <c r="B892" s="422"/>
      <c r="C892" s="422"/>
      <c r="D892" s="422"/>
      <c r="E892" s="422"/>
      <c r="F892" s="422"/>
      <c r="G892" s="422"/>
      <c r="H892" s="422"/>
      <c r="I892" s="422"/>
      <c r="J892" s="422"/>
      <c r="K892" s="422"/>
      <c r="L892" s="422"/>
      <c r="M892" s="422"/>
      <c r="N892" s="422"/>
      <c r="O892" s="422"/>
      <c r="P892" s="422"/>
      <c r="Q892" s="422"/>
      <c r="R892" s="98"/>
      <c r="S892" s="98" t="str">
        <f>IFERROR(__xludf.DUMMYFUNCTION("""COMPUTED_VALUE"""),"-")</f>
        <v>-</v>
      </c>
      <c r="T892" s="98"/>
    </row>
    <row r="893">
      <c r="A893" s="422"/>
      <c r="B893" s="422"/>
      <c r="C893" s="422"/>
      <c r="D893" s="422"/>
      <c r="E893" s="422"/>
      <c r="F893" s="422"/>
      <c r="G893" s="422"/>
      <c r="H893" s="422"/>
      <c r="I893" s="422"/>
      <c r="J893" s="422"/>
      <c r="K893" s="422"/>
      <c r="L893" s="422"/>
      <c r="M893" s="422"/>
      <c r="N893" s="422"/>
      <c r="O893" s="422"/>
      <c r="P893" s="422"/>
      <c r="Q893" s="422"/>
      <c r="R893" s="98"/>
      <c r="S893" s="98" t="str">
        <f>IFERROR(__xludf.DUMMYFUNCTION("""COMPUTED_VALUE"""),"-")</f>
        <v>-</v>
      </c>
      <c r="T893" s="98"/>
    </row>
    <row r="894">
      <c r="A894" s="422"/>
      <c r="B894" s="422"/>
      <c r="C894" s="422"/>
      <c r="D894" s="422"/>
      <c r="E894" s="422"/>
      <c r="F894" s="422"/>
      <c r="G894" s="422"/>
      <c r="H894" s="422"/>
      <c r="I894" s="422"/>
      <c r="J894" s="422"/>
      <c r="K894" s="422"/>
      <c r="L894" s="422"/>
      <c r="M894" s="422"/>
      <c r="N894" s="422"/>
      <c r="O894" s="422"/>
      <c r="P894" s="422"/>
      <c r="Q894" s="422"/>
      <c r="R894" s="98"/>
      <c r="S894" s="98" t="str">
        <f>IFERROR(__xludf.DUMMYFUNCTION("""COMPUTED_VALUE"""),"-")</f>
        <v>-</v>
      </c>
      <c r="T894" s="98"/>
    </row>
    <row r="895">
      <c r="A895" s="422"/>
      <c r="B895" s="422"/>
      <c r="C895" s="422"/>
      <c r="D895" s="422"/>
      <c r="E895" s="422"/>
      <c r="F895" s="422"/>
      <c r="G895" s="422"/>
      <c r="H895" s="422"/>
      <c r="I895" s="422"/>
      <c r="J895" s="422"/>
      <c r="K895" s="422"/>
      <c r="L895" s="422"/>
      <c r="M895" s="422"/>
      <c r="N895" s="422"/>
      <c r="O895" s="422"/>
      <c r="P895" s="422"/>
      <c r="Q895" s="422"/>
      <c r="R895" s="98"/>
      <c r="S895" s="98" t="str">
        <f>IFERROR(__xludf.DUMMYFUNCTION("""COMPUTED_VALUE"""),"-")</f>
        <v>-</v>
      </c>
      <c r="T895" s="98"/>
    </row>
    <row r="896">
      <c r="A896" s="422"/>
      <c r="B896" s="422"/>
      <c r="C896" s="422"/>
      <c r="D896" s="422"/>
      <c r="E896" s="422"/>
      <c r="F896" s="422"/>
      <c r="G896" s="422"/>
      <c r="H896" s="422"/>
      <c r="I896" s="422"/>
      <c r="J896" s="422"/>
      <c r="K896" s="422"/>
      <c r="L896" s="422"/>
      <c r="M896" s="422"/>
      <c r="N896" s="422"/>
      <c r="O896" s="422"/>
      <c r="P896" s="422"/>
      <c r="Q896" s="422"/>
      <c r="R896" s="98"/>
      <c r="S896" s="98" t="str">
        <f>IFERROR(__xludf.DUMMYFUNCTION("""COMPUTED_VALUE"""),"-")</f>
        <v>-</v>
      </c>
      <c r="T896" s="98"/>
    </row>
    <row r="897">
      <c r="A897" s="422"/>
      <c r="B897" s="422"/>
      <c r="C897" s="422"/>
      <c r="D897" s="422"/>
      <c r="E897" s="422"/>
      <c r="F897" s="422"/>
      <c r="G897" s="422"/>
      <c r="H897" s="422"/>
      <c r="I897" s="422"/>
      <c r="J897" s="422"/>
      <c r="K897" s="422"/>
      <c r="L897" s="422"/>
      <c r="M897" s="422"/>
      <c r="N897" s="422"/>
      <c r="O897" s="422"/>
      <c r="P897" s="422"/>
      <c r="Q897" s="422"/>
      <c r="R897" s="98"/>
      <c r="S897" s="98" t="str">
        <f>IFERROR(__xludf.DUMMYFUNCTION("""COMPUTED_VALUE"""),"-")</f>
        <v>-</v>
      </c>
      <c r="T897" s="98"/>
    </row>
    <row r="898">
      <c r="A898" s="422"/>
      <c r="B898" s="422"/>
      <c r="C898" s="422"/>
      <c r="D898" s="422"/>
      <c r="E898" s="422"/>
      <c r="F898" s="422"/>
      <c r="G898" s="422"/>
      <c r="H898" s="422"/>
      <c r="I898" s="422"/>
      <c r="J898" s="422"/>
      <c r="K898" s="422"/>
      <c r="L898" s="422"/>
      <c r="M898" s="422"/>
      <c r="N898" s="422"/>
      <c r="O898" s="422"/>
      <c r="P898" s="422"/>
      <c r="Q898" s="422"/>
      <c r="R898" s="98"/>
      <c r="S898" s="98" t="str">
        <f>IFERROR(__xludf.DUMMYFUNCTION("""COMPUTED_VALUE"""),"-")</f>
        <v>-</v>
      </c>
      <c r="T898" s="98"/>
    </row>
    <row r="899">
      <c r="A899" s="422"/>
      <c r="B899" s="422"/>
      <c r="C899" s="422"/>
      <c r="D899" s="422"/>
      <c r="E899" s="422"/>
      <c r="F899" s="422"/>
      <c r="G899" s="422"/>
      <c r="H899" s="422"/>
      <c r="I899" s="422"/>
      <c r="J899" s="422"/>
      <c r="K899" s="422"/>
      <c r="L899" s="422"/>
      <c r="M899" s="422"/>
      <c r="N899" s="422"/>
      <c r="O899" s="422"/>
      <c r="P899" s="422"/>
      <c r="Q899" s="422"/>
      <c r="R899" s="98"/>
      <c r="S899" s="98" t="str">
        <f>IFERROR(__xludf.DUMMYFUNCTION("""COMPUTED_VALUE"""),"-")</f>
        <v>-</v>
      </c>
      <c r="T899" s="98"/>
    </row>
    <row r="900">
      <c r="A900" s="422"/>
      <c r="B900" s="422"/>
      <c r="C900" s="422"/>
      <c r="D900" s="422"/>
      <c r="E900" s="422"/>
      <c r="F900" s="422"/>
      <c r="G900" s="422"/>
      <c r="H900" s="422"/>
      <c r="I900" s="422"/>
      <c r="J900" s="422"/>
      <c r="K900" s="422"/>
      <c r="L900" s="422"/>
      <c r="M900" s="422"/>
      <c r="N900" s="422"/>
      <c r="O900" s="422"/>
      <c r="P900" s="422"/>
      <c r="Q900" s="422"/>
      <c r="R900" s="98"/>
      <c r="S900" s="98" t="str">
        <f>IFERROR(__xludf.DUMMYFUNCTION("""COMPUTED_VALUE"""),"-")</f>
        <v>-</v>
      </c>
      <c r="T900" s="98"/>
    </row>
    <row r="901">
      <c r="A901" s="422"/>
      <c r="B901" s="422"/>
      <c r="C901" s="422"/>
      <c r="D901" s="422"/>
      <c r="E901" s="422"/>
      <c r="F901" s="422"/>
      <c r="G901" s="422"/>
      <c r="H901" s="422"/>
      <c r="I901" s="422"/>
      <c r="J901" s="422"/>
      <c r="K901" s="422"/>
      <c r="L901" s="422"/>
      <c r="M901" s="422"/>
      <c r="N901" s="422"/>
      <c r="O901" s="422"/>
      <c r="P901" s="422"/>
      <c r="Q901" s="422"/>
      <c r="R901" s="98"/>
      <c r="S901" s="98" t="str">
        <f>IFERROR(__xludf.DUMMYFUNCTION("""COMPUTED_VALUE"""),"-")</f>
        <v>-</v>
      </c>
      <c r="T901" s="98"/>
    </row>
    <row r="902">
      <c r="A902" s="422"/>
      <c r="B902" s="422"/>
      <c r="C902" s="422"/>
      <c r="D902" s="422"/>
      <c r="E902" s="422"/>
      <c r="F902" s="422"/>
      <c r="G902" s="422"/>
      <c r="H902" s="422"/>
      <c r="I902" s="422"/>
      <c r="J902" s="422"/>
      <c r="K902" s="422"/>
      <c r="L902" s="422"/>
      <c r="M902" s="422"/>
      <c r="N902" s="422"/>
      <c r="O902" s="422"/>
      <c r="P902" s="422"/>
      <c r="Q902" s="422"/>
      <c r="R902" s="98"/>
      <c r="S902" s="98" t="str">
        <f>IFERROR(__xludf.DUMMYFUNCTION("""COMPUTED_VALUE"""),"-")</f>
        <v>-</v>
      </c>
      <c r="T902" s="98"/>
    </row>
    <row r="903">
      <c r="A903" s="422"/>
      <c r="B903" s="422"/>
      <c r="C903" s="422"/>
      <c r="D903" s="422"/>
      <c r="E903" s="422"/>
      <c r="F903" s="422"/>
      <c r="G903" s="422"/>
      <c r="H903" s="422"/>
      <c r="I903" s="422"/>
      <c r="J903" s="422"/>
      <c r="K903" s="422"/>
      <c r="L903" s="422"/>
      <c r="M903" s="422"/>
      <c r="N903" s="422"/>
      <c r="O903" s="422"/>
      <c r="P903" s="422"/>
      <c r="Q903" s="422"/>
      <c r="R903" s="98"/>
      <c r="S903" s="98" t="str">
        <f>IFERROR(__xludf.DUMMYFUNCTION("""COMPUTED_VALUE"""),"-")</f>
        <v>-</v>
      </c>
      <c r="T903" s="98"/>
    </row>
    <row r="904">
      <c r="A904" s="422"/>
      <c r="B904" s="422"/>
      <c r="C904" s="422"/>
      <c r="D904" s="422"/>
      <c r="E904" s="422"/>
      <c r="F904" s="422"/>
      <c r="G904" s="422"/>
      <c r="H904" s="422"/>
      <c r="I904" s="422"/>
      <c r="J904" s="422"/>
      <c r="K904" s="422"/>
      <c r="L904" s="422"/>
      <c r="M904" s="422"/>
      <c r="N904" s="422"/>
      <c r="O904" s="422"/>
      <c r="P904" s="422"/>
      <c r="Q904" s="422"/>
      <c r="R904" s="98"/>
      <c r="S904" s="98" t="str">
        <f>IFERROR(__xludf.DUMMYFUNCTION("""COMPUTED_VALUE"""),"-")</f>
        <v>-</v>
      </c>
      <c r="T904" s="98"/>
    </row>
    <row r="905">
      <c r="A905" s="422"/>
      <c r="B905" s="422"/>
      <c r="C905" s="422"/>
      <c r="D905" s="422"/>
      <c r="E905" s="422"/>
      <c r="F905" s="422"/>
      <c r="G905" s="422"/>
      <c r="H905" s="422"/>
      <c r="I905" s="422"/>
      <c r="J905" s="422"/>
      <c r="K905" s="422"/>
      <c r="L905" s="422"/>
      <c r="M905" s="422"/>
      <c r="N905" s="422"/>
      <c r="O905" s="422"/>
      <c r="P905" s="422"/>
      <c r="Q905" s="422"/>
      <c r="R905" s="98"/>
      <c r="S905" s="98" t="str">
        <f>IFERROR(__xludf.DUMMYFUNCTION("""COMPUTED_VALUE"""),"-")</f>
        <v>-</v>
      </c>
      <c r="T905" s="98"/>
    </row>
    <row r="906">
      <c r="A906" s="422"/>
      <c r="B906" s="422"/>
      <c r="C906" s="422"/>
      <c r="D906" s="422"/>
      <c r="E906" s="422"/>
      <c r="F906" s="422"/>
      <c r="G906" s="422"/>
      <c r="H906" s="422"/>
      <c r="I906" s="422"/>
      <c r="J906" s="422"/>
      <c r="K906" s="422"/>
      <c r="L906" s="422"/>
      <c r="M906" s="422"/>
      <c r="N906" s="422"/>
      <c r="O906" s="422"/>
      <c r="P906" s="422"/>
      <c r="Q906" s="422"/>
      <c r="R906" s="98"/>
      <c r="S906" s="98" t="str">
        <f>IFERROR(__xludf.DUMMYFUNCTION("""COMPUTED_VALUE"""),"-")</f>
        <v>-</v>
      </c>
      <c r="T906" s="98"/>
    </row>
    <row r="907">
      <c r="A907" s="422"/>
      <c r="B907" s="422"/>
      <c r="C907" s="422"/>
      <c r="D907" s="422"/>
      <c r="E907" s="422"/>
      <c r="F907" s="422"/>
      <c r="G907" s="422"/>
      <c r="H907" s="422"/>
      <c r="I907" s="422"/>
      <c r="J907" s="422"/>
      <c r="K907" s="422"/>
      <c r="L907" s="422"/>
      <c r="M907" s="422"/>
      <c r="N907" s="422"/>
      <c r="O907" s="422"/>
      <c r="P907" s="422"/>
      <c r="Q907" s="422"/>
      <c r="R907" s="98"/>
      <c r="S907" s="98" t="str">
        <f>IFERROR(__xludf.DUMMYFUNCTION("""COMPUTED_VALUE"""),"-")</f>
        <v>-</v>
      </c>
      <c r="T907" s="98"/>
    </row>
    <row r="908">
      <c r="A908" s="422"/>
      <c r="B908" s="422"/>
      <c r="C908" s="422"/>
      <c r="D908" s="422"/>
      <c r="E908" s="422"/>
      <c r="F908" s="422"/>
      <c r="G908" s="422"/>
      <c r="H908" s="422"/>
      <c r="I908" s="422"/>
      <c r="J908" s="422"/>
      <c r="K908" s="422"/>
      <c r="L908" s="422"/>
      <c r="M908" s="422"/>
      <c r="N908" s="422"/>
      <c r="O908" s="422"/>
      <c r="P908" s="422"/>
      <c r="Q908" s="422"/>
      <c r="R908" s="98"/>
      <c r="S908" s="98" t="str">
        <f>IFERROR(__xludf.DUMMYFUNCTION("""COMPUTED_VALUE"""),"-")</f>
        <v>-</v>
      </c>
      <c r="T908" s="98"/>
    </row>
    <row r="909">
      <c r="A909" s="422"/>
      <c r="B909" s="422"/>
      <c r="C909" s="422"/>
      <c r="D909" s="422"/>
      <c r="E909" s="422"/>
      <c r="F909" s="422"/>
      <c r="G909" s="422"/>
      <c r="H909" s="422"/>
      <c r="I909" s="422"/>
      <c r="J909" s="422"/>
      <c r="K909" s="422"/>
      <c r="L909" s="422"/>
      <c r="M909" s="422"/>
      <c r="N909" s="422"/>
      <c r="O909" s="422"/>
      <c r="P909" s="422"/>
      <c r="Q909" s="422"/>
      <c r="R909" s="98"/>
      <c r="S909" s="98" t="str">
        <f>IFERROR(__xludf.DUMMYFUNCTION("""COMPUTED_VALUE"""),"-")</f>
        <v>-</v>
      </c>
      <c r="T909" s="98"/>
    </row>
    <row r="910">
      <c r="A910" s="422"/>
      <c r="B910" s="422"/>
      <c r="C910" s="422"/>
      <c r="D910" s="422"/>
      <c r="E910" s="422"/>
      <c r="F910" s="422"/>
      <c r="G910" s="422"/>
      <c r="H910" s="422"/>
      <c r="I910" s="422"/>
      <c r="J910" s="422"/>
      <c r="K910" s="422"/>
      <c r="L910" s="422"/>
      <c r="M910" s="422"/>
      <c r="N910" s="422"/>
      <c r="O910" s="422"/>
      <c r="P910" s="422"/>
      <c r="Q910" s="422"/>
      <c r="R910" s="98"/>
      <c r="S910" s="98" t="str">
        <f>IFERROR(__xludf.DUMMYFUNCTION("""COMPUTED_VALUE"""),"-")</f>
        <v>-</v>
      </c>
      <c r="T910" s="98"/>
    </row>
    <row r="911">
      <c r="A911" s="422"/>
      <c r="B911" s="422"/>
      <c r="C911" s="422"/>
      <c r="D911" s="422"/>
      <c r="E911" s="422"/>
      <c r="F911" s="422"/>
      <c r="G911" s="422"/>
      <c r="H911" s="422"/>
      <c r="I911" s="422"/>
      <c r="J911" s="422"/>
      <c r="K911" s="422"/>
      <c r="L911" s="422"/>
      <c r="M911" s="422"/>
      <c r="N911" s="422"/>
      <c r="O911" s="422"/>
      <c r="P911" s="422"/>
      <c r="Q911" s="422"/>
      <c r="R911" s="98"/>
      <c r="S911" s="98" t="str">
        <f>IFERROR(__xludf.DUMMYFUNCTION("""COMPUTED_VALUE"""),"-")</f>
        <v>-</v>
      </c>
      <c r="T911" s="98"/>
    </row>
    <row r="912">
      <c r="A912" s="422"/>
      <c r="B912" s="422"/>
      <c r="C912" s="422"/>
      <c r="D912" s="422"/>
      <c r="E912" s="422"/>
      <c r="F912" s="422"/>
      <c r="G912" s="422"/>
      <c r="H912" s="422"/>
      <c r="I912" s="422"/>
      <c r="J912" s="422"/>
      <c r="K912" s="422"/>
      <c r="L912" s="422"/>
      <c r="M912" s="422"/>
      <c r="N912" s="422"/>
      <c r="O912" s="422"/>
      <c r="P912" s="422"/>
      <c r="Q912" s="422"/>
      <c r="R912" s="98"/>
      <c r="S912" s="98" t="str">
        <f>IFERROR(__xludf.DUMMYFUNCTION("""COMPUTED_VALUE"""),"-")</f>
        <v>-</v>
      </c>
      <c r="T912" s="98"/>
    </row>
    <row r="913">
      <c r="A913" s="422"/>
      <c r="B913" s="422"/>
      <c r="C913" s="422"/>
      <c r="D913" s="422"/>
      <c r="E913" s="422"/>
      <c r="F913" s="422"/>
      <c r="G913" s="422"/>
      <c r="H913" s="422"/>
      <c r="I913" s="422"/>
      <c r="J913" s="422"/>
      <c r="K913" s="422"/>
      <c r="L913" s="422"/>
      <c r="M913" s="422"/>
      <c r="N913" s="422"/>
      <c r="O913" s="422"/>
      <c r="P913" s="422"/>
      <c r="Q913" s="422"/>
      <c r="R913" s="98"/>
      <c r="S913" s="98" t="str">
        <f>IFERROR(__xludf.DUMMYFUNCTION("""COMPUTED_VALUE"""),"-")</f>
        <v>-</v>
      </c>
      <c r="T913" s="98"/>
    </row>
    <row r="914">
      <c r="A914" s="422"/>
      <c r="B914" s="422"/>
      <c r="C914" s="422"/>
      <c r="D914" s="422"/>
      <c r="E914" s="422"/>
      <c r="F914" s="422"/>
      <c r="G914" s="422"/>
      <c r="H914" s="422"/>
      <c r="I914" s="422"/>
      <c r="J914" s="422"/>
      <c r="K914" s="422"/>
      <c r="L914" s="422"/>
      <c r="M914" s="422"/>
      <c r="N914" s="422"/>
      <c r="O914" s="422"/>
      <c r="P914" s="422"/>
      <c r="Q914" s="422"/>
      <c r="R914" s="98"/>
      <c r="S914" s="98" t="str">
        <f>IFERROR(__xludf.DUMMYFUNCTION("""COMPUTED_VALUE"""),"-")</f>
        <v>-</v>
      </c>
      <c r="T914" s="98"/>
    </row>
    <row r="915">
      <c r="A915" s="422"/>
      <c r="B915" s="422"/>
      <c r="C915" s="422"/>
      <c r="D915" s="422"/>
      <c r="E915" s="422"/>
      <c r="F915" s="422"/>
      <c r="G915" s="422"/>
      <c r="H915" s="422"/>
      <c r="I915" s="422"/>
      <c r="J915" s="422"/>
      <c r="K915" s="422"/>
      <c r="L915" s="422"/>
      <c r="M915" s="422"/>
      <c r="N915" s="422"/>
      <c r="O915" s="422"/>
      <c r="P915" s="422"/>
      <c r="Q915" s="422"/>
      <c r="R915" s="98"/>
      <c r="S915" s="98" t="str">
        <f>IFERROR(__xludf.DUMMYFUNCTION("""COMPUTED_VALUE"""),"-")</f>
        <v>-</v>
      </c>
      <c r="T915" s="98"/>
    </row>
    <row r="916">
      <c r="A916" s="422"/>
      <c r="B916" s="422"/>
      <c r="C916" s="422"/>
      <c r="D916" s="422"/>
      <c r="E916" s="422"/>
      <c r="F916" s="422"/>
      <c r="G916" s="422"/>
      <c r="H916" s="422"/>
      <c r="I916" s="422"/>
      <c r="J916" s="422"/>
      <c r="K916" s="422"/>
      <c r="L916" s="422"/>
      <c r="M916" s="422"/>
      <c r="N916" s="422"/>
      <c r="O916" s="422"/>
      <c r="P916" s="422"/>
      <c r="Q916" s="422"/>
      <c r="R916" s="98"/>
      <c r="S916" s="98" t="str">
        <f>IFERROR(__xludf.DUMMYFUNCTION("""COMPUTED_VALUE"""),"-")</f>
        <v>-</v>
      </c>
      <c r="T916" s="98"/>
    </row>
    <row r="917">
      <c r="A917" s="422"/>
      <c r="B917" s="422"/>
      <c r="C917" s="422"/>
      <c r="D917" s="422"/>
      <c r="E917" s="422"/>
      <c r="F917" s="422"/>
      <c r="G917" s="422"/>
      <c r="H917" s="422"/>
      <c r="I917" s="422"/>
      <c r="J917" s="422"/>
      <c r="K917" s="422"/>
      <c r="L917" s="422"/>
      <c r="M917" s="422"/>
      <c r="N917" s="422"/>
      <c r="O917" s="422"/>
      <c r="P917" s="422"/>
      <c r="Q917" s="422"/>
      <c r="R917" s="98"/>
      <c r="S917" s="98" t="str">
        <f>IFERROR(__xludf.DUMMYFUNCTION("""COMPUTED_VALUE"""),"-")</f>
        <v>-</v>
      </c>
      <c r="T917" s="98"/>
    </row>
    <row r="918">
      <c r="A918" s="422"/>
      <c r="B918" s="422"/>
      <c r="C918" s="422"/>
      <c r="D918" s="422"/>
      <c r="E918" s="422"/>
      <c r="F918" s="422"/>
      <c r="G918" s="422"/>
      <c r="H918" s="422"/>
      <c r="I918" s="422"/>
      <c r="J918" s="422"/>
      <c r="K918" s="422"/>
      <c r="L918" s="422"/>
      <c r="M918" s="422"/>
      <c r="N918" s="422"/>
      <c r="O918" s="422"/>
      <c r="P918" s="422"/>
      <c r="Q918" s="422"/>
      <c r="R918" s="98"/>
      <c r="S918" s="98" t="str">
        <f>IFERROR(__xludf.DUMMYFUNCTION("""COMPUTED_VALUE"""),"-")</f>
        <v>-</v>
      </c>
      <c r="T918" s="98"/>
    </row>
    <row r="919">
      <c r="A919" s="422"/>
      <c r="B919" s="422"/>
      <c r="C919" s="422"/>
      <c r="D919" s="422"/>
      <c r="E919" s="422"/>
      <c r="F919" s="422"/>
      <c r="G919" s="422"/>
      <c r="H919" s="422"/>
      <c r="I919" s="422"/>
      <c r="J919" s="422"/>
      <c r="K919" s="422"/>
      <c r="L919" s="422"/>
      <c r="M919" s="422"/>
      <c r="N919" s="422"/>
      <c r="O919" s="422"/>
      <c r="P919" s="422"/>
      <c r="Q919" s="422"/>
      <c r="R919" s="98"/>
      <c r="S919" s="98" t="str">
        <f>IFERROR(__xludf.DUMMYFUNCTION("""COMPUTED_VALUE"""),"-")</f>
        <v>-</v>
      </c>
      <c r="T919" s="98"/>
    </row>
    <row r="920">
      <c r="A920" s="422"/>
      <c r="B920" s="422"/>
      <c r="C920" s="422"/>
      <c r="D920" s="422"/>
      <c r="E920" s="422"/>
      <c r="F920" s="422"/>
      <c r="G920" s="422"/>
      <c r="H920" s="422"/>
      <c r="I920" s="422"/>
      <c r="J920" s="422"/>
      <c r="K920" s="422"/>
      <c r="L920" s="422"/>
      <c r="M920" s="422"/>
      <c r="N920" s="422"/>
      <c r="O920" s="422"/>
      <c r="P920" s="422"/>
      <c r="Q920" s="422"/>
      <c r="R920" s="98"/>
      <c r="S920" s="98" t="str">
        <f>IFERROR(__xludf.DUMMYFUNCTION("""COMPUTED_VALUE"""),"-")</f>
        <v>-</v>
      </c>
      <c r="T920" s="98"/>
    </row>
    <row r="921">
      <c r="A921" s="422"/>
      <c r="B921" s="422"/>
      <c r="C921" s="422"/>
      <c r="D921" s="422"/>
      <c r="E921" s="422"/>
      <c r="F921" s="422"/>
      <c r="G921" s="422"/>
      <c r="H921" s="422"/>
      <c r="I921" s="422"/>
      <c r="J921" s="422"/>
      <c r="K921" s="422"/>
      <c r="L921" s="422"/>
      <c r="M921" s="422"/>
      <c r="N921" s="422"/>
      <c r="O921" s="422"/>
      <c r="P921" s="422"/>
      <c r="Q921" s="422"/>
      <c r="R921" s="98"/>
      <c r="S921" s="98" t="str">
        <f>IFERROR(__xludf.DUMMYFUNCTION("""COMPUTED_VALUE"""),"-")</f>
        <v>-</v>
      </c>
      <c r="T921" s="98"/>
    </row>
    <row r="922">
      <c r="A922" s="422"/>
      <c r="B922" s="422"/>
      <c r="C922" s="422"/>
      <c r="D922" s="422"/>
      <c r="E922" s="422"/>
      <c r="F922" s="422"/>
      <c r="G922" s="422"/>
      <c r="H922" s="422"/>
      <c r="I922" s="422"/>
      <c r="J922" s="422"/>
      <c r="K922" s="422"/>
      <c r="L922" s="422"/>
      <c r="M922" s="422"/>
      <c r="N922" s="422"/>
      <c r="O922" s="422"/>
      <c r="P922" s="422"/>
      <c r="Q922" s="422"/>
      <c r="R922" s="98"/>
      <c r="S922" s="98" t="str">
        <f>IFERROR(__xludf.DUMMYFUNCTION("""COMPUTED_VALUE"""),"-")</f>
        <v>-</v>
      </c>
      <c r="T922" s="98"/>
    </row>
    <row r="923">
      <c r="A923" s="422"/>
      <c r="B923" s="422"/>
      <c r="C923" s="422"/>
      <c r="D923" s="422"/>
      <c r="E923" s="422"/>
      <c r="F923" s="422"/>
      <c r="G923" s="422"/>
      <c r="H923" s="422"/>
      <c r="I923" s="422"/>
      <c r="J923" s="422"/>
      <c r="K923" s="422"/>
      <c r="L923" s="422"/>
      <c r="M923" s="422"/>
      <c r="N923" s="422"/>
      <c r="O923" s="422"/>
      <c r="P923" s="422"/>
      <c r="Q923" s="422"/>
      <c r="R923" s="98"/>
      <c r="S923" s="98" t="str">
        <f>IFERROR(__xludf.DUMMYFUNCTION("""COMPUTED_VALUE"""),"-")</f>
        <v>-</v>
      </c>
      <c r="T923" s="98"/>
    </row>
    <row r="924">
      <c r="A924" s="422"/>
      <c r="B924" s="422"/>
      <c r="C924" s="422"/>
      <c r="D924" s="422"/>
      <c r="E924" s="422"/>
      <c r="F924" s="422"/>
      <c r="G924" s="422"/>
      <c r="H924" s="422"/>
      <c r="I924" s="422"/>
      <c r="J924" s="422"/>
      <c r="K924" s="422"/>
      <c r="L924" s="422"/>
      <c r="M924" s="422"/>
      <c r="N924" s="422"/>
      <c r="O924" s="422"/>
      <c r="P924" s="422"/>
      <c r="Q924" s="422"/>
      <c r="R924" s="98"/>
      <c r="S924" s="98" t="str">
        <f>IFERROR(__xludf.DUMMYFUNCTION("""COMPUTED_VALUE"""),"-")</f>
        <v>-</v>
      </c>
      <c r="T924" s="98"/>
    </row>
    <row r="925">
      <c r="A925" s="422"/>
      <c r="B925" s="422"/>
      <c r="C925" s="422"/>
      <c r="D925" s="422"/>
      <c r="E925" s="422"/>
      <c r="F925" s="422"/>
      <c r="G925" s="422"/>
      <c r="H925" s="422"/>
      <c r="I925" s="422"/>
      <c r="J925" s="422"/>
      <c r="K925" s="422"/>
      <c r="L925" s="422"/>
      <c r="M925" s="422"/>
      <c r="N925" s="422"/>
      <c r="O925" s="422"/>
      <c r="P925" s="422"/>
      <c r="Q925" s="422"/>
      <c r="R925" s="98"/>
      <c r="S925" s="98" t="str">
        <f>IFERROR(__xludf.DUMMYFUNCTION("""COMPUTED_VALUE"""),"-")</f>
        <v>-</v>
      </c>
      <c r="T925" s="98"/>
    </row>
    <row r="926">
      <c r="A926" s="422"/>
      <c r="B926" s="422"/>
      <c r="C926" s="422"/>
      <c r="D926" s="422"/>
      <c r="E926" s="422"/>
      <c r="F926" s="422"/>
      <c r="G926" s="422"/>
      <c r="H926" s="422"/>
      <c r="I926" s="422"/>
      <c r="J926" s="422"/>
      <c r="K926" s="422"/>
      <c r="L926" s="422"/>
      <c r="M926" s="422"/>
      <c r="N926" s="422"/>
      <c r="O926" s="422"/>
      <c r="P926" s="422"/>
      <c r="Q926" s="422"/>
      <c r="R926" s="98"/>
      <c r="S926" s="98" t="str">
        <f>IFERROR(__xludf.DUMMYFUNCTION("""COMPUTED_VALUE"""),"-")</f>
        <v>-</v>
      </c>
      <c r="T926" s="98"/>
    </row>
    <row r="927">
      <c r="A927" s="422"/>
      <c r="B927" s="422"/>
      <c r="C927" s="422"/>
      <c r="D927" s="422"/>
      <c r="E927" s="422"/>
      <c r="F927" s="422"/>
      <c r="G927" s="422"/>
      <c r="H927" s="422"/>
      <c r="I927" s="422"/>
      <c r="J927" s="422"/>
      <c r="K927" s="422"/>
      <c r="L927" s="422"/>
      <c r="M927" s="422"/>
      <c r="N927" s="422"/>
      <c r="O927" s="422"/>
      <c r="P927" s="422"/>
      <c r="Q927" s="422"/>
      <c r="R927" s="98"/>
      <c r="S927" s="98" t="str">
        <f>IFERROR(__xludf.DUMMYFUNCTION("""COMPUTED_VALUE"""),"-")</f>
        <v>-</v>
      </c>
      <c r="T927" s="98"/>
    </row>
    <row r="928">
      <c r="A928" s="422"/>
      <c r="B928" s="422"/>
      <c r="C928" s="422"/>
      <c r="D928" s="422"/>
      <c r="E928" s="422"/>
      <c r="F928" s="422"/>
      <c r="G928" s="422"/>
      <c r="H928" s="422"/>
      <c r="I928" s="422"/>
      <c r="J928" s="422"/>
      <c r="K928" s="422"/>
      <c r="L928" s="422"/>
      <c r="M928" s="422"/>
      <c r="N928" s="422"/>
      <c r="O928" s="422"/>
      <c r="P928" s="422"/>
      <c r="Q928" s="422"/>
      <c r="R928" s="98"/>
      <c r="S928" s="98" t="str">
        <f>IFERROR(__xludf.DUMMYFUNCTION("""COMPUTED_VALUE"""),"-")</f>
        <v>-</v>
      </c>
      <c r="T928" s="98"/>
    </row>
    <row r="929">
      <c r="A929" s="422"/>
      <c r="B929" s="422"/>
      <c r="C929" s="422"/>
      <c r="D929" s="422"/>
      <c r="E929" s="422"/>
      <c r="F929" s="422"/>
      <c r="G929" s="422"/>
      <c r="H929" s="422"/>
      <c r="I929" s="422"/>
      <c r="J929" s="422"/>
      <c r="K929" s="422"/>
      <c r="L929" s="422"/>
      <c r="M929" s="422"/>
      <c r="N929" s="422"/>
      <c r="O929" s="422"/>
      <c r="P929" s="422"/>
      <c r="Q929" s="422"/>
      <c r="R929" s="98"/>
      <c r="S929" s="98" t="str">
        <f>IFERROR(__xludf.DUMMYFUNCTION("""COMPUTED_VALUE"""),"-")</f>
        <v>-</v>
      </c>
      <c r="T929" s="98"/>
    </row>
    <row r="930">
      <c r="A930" s="422"/>
      <c r="B930" s="422"/>
      <c r="C930" s="422"/>
      <c r="D930" s="422"/>
      <c r="E930" s="422"/>
      <c r="F930" s="422"/>
      <c r="G930" s="422"/>
      <c r="H930" s="422"/>
      <c r="I930" s="422"/>
      <c r="J930" s="422"/>
      <c r="K930" s="422"/>
      <c r="L930" s="422"/>
      <c r="M930" s="422"/>
      <c r="N930" s="422"/>
      <c r="O930" s="422"/>
      <c r="P930" s="422"/>
      <c r="Q930" s="422"/>
      <c r="R930" s="98"/>
      <c r="S930" s="98" t="str">
        <f>IFERROR(__xludf.DUMMYFUNCTION("""COMPUTED_VALUE"""),"-")</f>
        <v>-</v>
      </c>
      <c r="T930" s="98"/>
    </row>
    <row r="931">
      <c r="A931" s="422"/>
      <c r="B931" s="422"/>
      <c r="C931" s="422"/>
      <c r="D931" s="422"/>
      <c r="E931" s="422"/>
      <c r="F931" s="422"/>
      <c r="G931" s="422"/>
      <c r="H931" s="422"/>
      <c r="I931" s="422"/>
      <c r="J931" s="422"/>
      <c r="K931" s="422"/>
      <c r="L931" s="422"/>
      <c r="M931" s="422"/>
      <c r="N931" s="422"/>
      <c r="O931" s="422"/>
      <c r="P931" s="422"/>
      <c r="Q931" s="422"/>
      <c r="R931" s="98"/>
      <c r="S931" s="98" t="str">
        <f>IFERROR(__xludf.DUMMYFUNCTION("""COMPUTED_VALUE"""),"-")</f>
        <v>-</v>
      </c>
      <c r="T931" s="98"/>
    </row>
    <row r="932">
      <c r="A932" s="422"/>
      <c r="B932" s="422"/>
      <c r="C932" s="422"/>
      <c r="D932" s="422"/>
      <c r="E932" s="422"/>
      <c r="F932" s="422"/>
      <c r="G932" s="422"/>
      <c r="H932" s="422"/>
      <c r="I932" s="422"/>
      <c r="J932" s="422"/>
      <c r="K932" s="422"/>
      <c r="L932" s="422"/>
      <c r="M932" s="422"/>
      <c r="N932" s="422"/>
      <c r="O932" s="422"/>
      <c r="P932" s="422"/>
      <c r="Q932" s="422"/>
      <c r="R932" s="98"/>
      <c r="S932" s="98" t="str">
        <f>IFERROR(__xludf.DUMMYFUNCTION("""COMPUTED_VALUE"""),"-")</f>
        <v>-</v>
      </c>
      <c r="T932" s="98"/>
    </row>
    <row r="933">
      <c r="A933" s="422"/>
      <c r="B933" s="422"/>
      <c r="C933" s="422"/>
      <c r="D933" s="422"/>
      <c r="E933" s="422"/>
      <c r="F933" s="422"/>
      <c r="G933" s="422"/>
      <c r="H933" s="422"/>
      <c r="I933" s="422"/>
      <c r="J933" s="422"/>
      <c r="K933" s="422"/>
      <c r="L933" s="422"/>
      <c r="M933" s="422"/>
      <c r="N933" s="422"/>
      <c r="O933" s="422"/>
      <c r="P933" s="422"/>
      <c r="Q933" s="422"/>
      <c r="R933" s="98"/>
      <c r="S933" s="98" t="str">
        <f>IFERROR(__xludf.DUMMYFUNCTION("""COMPUTED_VALUE"""),"-")</f>
        <v>-</v>
      </c>
      <c r="T933" s="98"/>
    </row>
    <row r="934">
      <c r="A934" s="422"/>
      <c r="B934" s="422"/>
      <c r="C934" s="422"/>
      <c r="D934" s="422"/>
      <c r="E934" s="422"/>
      <c r="F934" s="422"/>
      <c r="G934" s="422"/>
      <c r="H934" s="422"/>
      <c r="I934" s="422"/>
      <c r="J934" s="422"/>
      <c r="K934" s="422"/>
      <c r="L934" s="422"/>
      <c r="M934" s="422"/>
      <c r="N934" s="422"/>
      <c r="O934" s="422"/>
      <c r="P934" s="422"/>
      <c r="Q934" s="422"/>
      <c r="R934" s="98"/>
      <c r="S934" s="98" t="str">
        <f>IFERROR(__xludf.DUMMYFUNCTION("""COMPUTED_VALUE"""),"-")</f>
        <v>-</v>
      </c>
      <c r="T934" s="98"/>
    </row>
    <row r="935">
      <c r="A935" s="422"/>
      <c r="B935" s="422"/>
      <c r="C935" s="422"/>
      <c r="D935" s="422"/>
      <c r="E935" s="422"/>
      <c r="F935" s="422"/>
      <c r="G935" s="422"/>
      <c r="H935" s="422"/>
      <c r="I935" s="422"/>
      <c r="J935" s="422"/>
      <c r="K935" s="422"/>
      <c r="L935" s="422"/>
      <c r="M935" s="422"/>
      <c r="N935" s="422"/>
      <c r="O935" s="422"/>
      <c r="P935" s="422"/>
      <c r="Q935" s="422"/>
      <c r="R935" s="98"/>
      <c r="S935" s="98" t="str">
        <f>IFERROR(__xludf.DUMMYFUNCTION("""COMPUTED_VALUE"""),"-")</f>
        <v>-</v>
      </c>
      <c r="T935" s="98"/>
    </row>
    <row r="936">
      <c r="A936" s="422"/>
      <c r="B936" s="422"/>
      <c r="C936" s="422"/>
      <c r="D936" s="422"/>
      <c r="E936" s="422"/>
      <c r="F936" s="422"/>
      <c r="G936" s="422"/>
      <c r="H936" s="422"/>
      <c r="I936" s="422"/>
      <c r="J936" s="422"/>
      <c r="K936" s="422"/>
      <c r="L936" s="422"/>
      <c r="M936" s="422"/>
      <c r="N936" s="422"/>
      <c r="O936" s="422"/>
      <c r="P936" s="422"/>
      <c r="Q936" s="422"/>
      <c r="R936" s="98"/>
      <c r="S936" s="98" t="str">
        <f>IFERROR(__xludf.DUMMYFUNCTION("""COMPUTED_VALUE"""),"-")</f>
        <v>-</v>
      </c>
      <c r="T936" s="98"/>
    </row>
    <row r="937">
      <c r="A937" s="422"/>
      <c r="B937" s="422"/>
      <c r="C937" s="422"/>
      <c r="D937" s="422"/>
      <c r="E937" s="422"/>
      <c r="F937" s="422"/>
      <c r="G937" s="422"/>
      <c r="H937" s="422"/>
      <c r="I937" s="422"/>
      <c r="J937" s="422"/>
      <c r="K937" s="422"/>
      <c r="L937" s="422"/>
      <c r="M937" s="422"/>
      <c r="N937" s="422"/>
      <c r="O937" s="422"/>
      <c r="P937" s="422"/>
      <c r="Q937" s="422"/>
      <c r="R937" s="98"/>
      <c r="S937" s="98" t="str">
        <f>IFERROR(__xludf.DUMMYFUNCTION("""COMPUTED_VALUE"""),"-")</f>
        <v>-</v>
      </c>
      <c r="T937" s="98"/>
    </row>
    <row r="938">
      <c r="A938" s="422"/>
      <c r="B938" s="422"/>
      <c r="C938" s="422"/>
      <c r="D938" s="422"/>
      <c r="E938" s="422"/>
      <c r="F938" s="422"/>
      <c r="G938" s="422"/>
      <c r="H938" s="422"/>
      <c r="I938" s="422"/>
      <c r="J938" s="422"/>
      <c r="K938" s="422"/>
      <c r="L938" s="422"/>
      <c r="M938" s="422"/>
      <c r="N938" s="422"/>
      <c r="O938" s="422"/>
      <c r="P938" s="422"/>
      <c r="Q938" s="422"/>
      <c r="R938" s="98"/>
      <c r="S938" s="98" t="str">
        <f>IFERROR(__xludf.DUMMYFUNCTION("""COMPUTED_VALUE"""),"-")</f>
        <v>-</v>
      </c>
      <c r="T938" s="98"/>
    </row>
    <row r="939">
      <c r="A939" s="422"/>
      <c r="B939" s="422"/>
      <c r="C939" s="422"/>
      <c r="D939" s="422"/>
      <c r="E939" s="422"/>
      <c r="F939" s="422"/>
      <c r="G939" s="422"/>
      <c r="H939" s="422"/>
      <c r="I939" s="422"/>
      <c r="J939" s="422"/>
      <c r="K939" s="422"/>
      <c r="L939" s="422"/>
      <c r="M939" s="422"/>
      <c r="N939" s="422"/>
      <c r="O939" s="422"/>
      <c r="P939" s="422"/>
      <c r="Q939" s="422"/>
      <c r="R939" s="98"/>
      <c r="S939" s="98" t="str">
        <f>IFERROR(__xludf.DUMMYFUNCTION("""COMPUTED_VALUE"""),"-")</f>
        <v>-</v>
      </c>
      <c r="T939" s="98"/>
    </row>
    <row r="940">
      <c r="A940" s="422"/>
      <c r="B940" s="422"/>
      <c r="C940" s="422"/>
      <c r="D940" s="422"/>
      <c r="E940" s="422"/>
      <c r="F940" s="422"/>
      <c r="G940" s="422"/>
      <c r="H940" s="422"/>
      <c r="I940" s="422"/>
      <c r="J940" s="422"/>
      <c r="K940" s="422"/>
      <c r="L940" s="422"/>
      <c r="M940" s="422"/>
      <c r="N940" s="422"/>
      <c r="O940" s="422"/>
      <c r="P940" s="422"/>
      <c r="Q940" s="422"/>
      <c r="R940" s="98"/>
      <c r="S940" s="98" t="str">
        <f>IFERROR(__xludf.DUMMYFUNCTION("""COMPUTED_VALUE"""),"-")</f>
        <v>-</v>
      </c>
      <c r="T940" s="98"/>
    </row>
    <row r="941">
      <c r="A941" s="422"/>
      <c r="B941" s="422"/>
      <c r="C941" s="422"/>
      <c r="D941" s="422"/>
      <c r="E941" s="422"/>
      <c r="F941" s="422"/>
      <c r="G941" s="422"/>
      <c r="H941" s="422"/>
      <c r="I941" s="422"/>
      <c r="J941" s="422"/>
      <c r="K941" s="422"/>
      <c r="L941" s="422"/>
      <c r="M941" s="422"/>
      <c r="N941" s="422"/>
      <c r="O941" s="422"/>
      <c r="P941" s="422"/>
      <c r="Q941" s="422"/>
      <c r="R941" s="98"/>
      <c r="S941" s="98" t="str">
        <f>IFERROR(__xludf.DUMMYFUNCTION("""COMPUTED_VALUE"""),"-")</f>
        <v>-</v>
      </c>
      <c r="T941" s="98"/>
    </row>
    <row r="942">
      <c r="A942" s="422"/>
      <c r="B942" s="422"/>
      <c r="C942" s="422"/>
      <c r="D942" s="422"/>
      <c r="E942" s="422"/>
      <c r="F942" s="422"/>
      <c r="G942" s="422"/>
      <c r="H942" s="422"/>
      <c r="I942" s="422"/>
      <c r="J942" s="422"/>
      <c r="K942" s="422"/>
      <c r="L942" s="422"/>
      <c r="M942" s="422"/>
      <c r="N942" s="422"/>
      <c r="O942" s="422"/>
      <c r="P942" s="422"/>
      <c r="Q942" s="422"/>
      <c r="R942" s="98"/>
      <c r="S942" s="98" t="str">
        <f>IFERROR(__xludf.DUMMYFUNCTION("""COMPUTED_VALUE"""),"-")</f>
        <v>-</v>
      </c>
      <c r="T942" s="98"/>
    </row>
    <row r="943">
      <c r="A943" s="422"/>
      <c r="B943" s="422"/>
      <c r="C943" s="422"/>
      <c r="D943" s="422"/>
      <c r="E943" s="422"/>
      <c r="F943" s="422"/>
      <c r="G943" s="422"/>
      <c r="H943" s="422"/>
      <c r="I943" s="422"/>
      <c r="J943" s="422"/>
      <c r="K943" s="422"/>
      <c r="L943" s="422"/>
      <c r="M943" s="422"/>
      <c r="N943" s="422"/>
      <c r="O943" s="422"/>
      <c r="P943" s="422"/>
      <c r="Q943" s="422"/>
      <c r="R943" s="98"/>
      <c r="S943" s="98" t="str">
        <f>IFERROR(__xludf.DUMMYFUNCTION("""COMPUTED_VALUE"""),"-")</f>
        <v>-</v>
      </c>
      <c r="T943" s="98"/>
    </row>
    <row r="944">
      <c r="A944" s="422"/>
      <c r="B944" s="422"/>
      <c r="C944" s="422"/>
      <c r="D944" s="422"/>
      <c r="E944" s="422"/>
      <c r="F944" s="422"/>
      <c r="G944" s="422"/>
      <c r="H944" s="422"/>
      <c r="I944" s="422"/>
      <c r="J944" s="422"/>
      <c r="K944" s="422"/>
      <c r="L944" s="422"/>
      <c r="M944" s="422"/>
      <c r="N944" s="422"/>
      <c r="O944" s="422"/>
      <c r="P944" s="422"/>
      <c r="Q944" s="422"/>
      <c r="R944" s="98"/>
      <c r="S944" s="98" t="str">
        <f>IFERROR(__xludf.DUMMYFUNCTION("""COMPUTED_VALUE"""),"-")</f>
        <v>-</v>
      </c>
      <c r="T944" s="98"/>
    </row>
    <row r="945">
      <c r="A945" s="422"/>
      <c r="B945" s="422"/>
      <c r="C945" s="422"/>
      <c r="D945" s="422"/>
      <c r="E945" s="422"/>
      <c r="F945" s="422"/>
      <c r="G945" s="422"/>
      <c r="H945" s="422"/>
      <c r="I945" s="422"/>
      <c r="J945" s="422"/>
      <c r="K945" s="422"/>
      <c r="L945" s="422"/>
      <c r="M945" s="422"/>
      <c r="N945" s="422"/>
      <c r="O945" s="422"/>
      <c r="P945" s="422"/>
      <c r="Q945" s="422"/>
      <c r="R945" s="98"/>
      <c r="S945" s="98" t="str">
        <f>IFERROR(__xludf.DUMMYFUNCTION("""COMPUTED_VALUE"""),"-")</f>
        <v>-</v>
      </c>
      <c r="T945" s="98"/>
    </row>
    <row r="946">
      <c r="A946" s="422"/>
      <c r="B946" s="422"/>
      <c r="C946" s="422"/>
      <c r="D946" s="422"/>
      <c r="E946" s="422"/>
      <c r="F946" s="422"/>
      <c r="G946" s="422"/>
      <c r="H946" s="422"/>
      <c r="I946" s="422"/>
      <c r="J946" s="422"/>
      <c r="K946" s="422"/>
      <c r="L946" s="422"/>
      <c r="M946" s="422"/>
      <c r="N946" s="422"/>
      <c r="O946" s="422"/>
      <c r="P946" s="422"/>
      <c r="Q946" s="422"/>
      <c r="R946" s="98"/>
      <c r="S946" s="98" t="str">
        <f>IFERROR(__xludf.DUMMYFUNCTION("""COMPUTED_VALUE"""),"-")</f>
        <v>-</v>
      </c>
      <c r="T946" s="98"/>
    </row>
    <row r="947">
      <c r="A947" s="422"/>
      <c r="B947" s="422"/>
      <c r="C947" s="422"/>
      <c r="D947" s="422"/>
      <c r="E947" s="422"/>
      <c r="F947" s="422"/>
      <c r="G947" s="422"/>
      <c r="H947" s="422"/>
      <c r="I947" s="422"/>
      <c r="J947" s="422"/>
      <c r="K947" s="422"/>
      <c r="L947" s="422"/>
      <c r="M947" s="422"/>
      <c r="N947" s="422"/>
      <c r="O947" s="422"/>
      <c r="P947" s="422"/>
      <c r="Q947" s="422"/>
      <c r="R947" s="98"/>
      <c r="S947" s="98" t="str">
        <f>IFERROR(__xludf.DUMMYFUNCTION("""COMPUTED_VALUE"""),"-")</f>
        <v>-</v>
      </c>
      <c r="T947" s="98"/>
    </row>
    <row r="948">
      <c r="A948" s="422"/>
      <c r="B948" s="422"/>
      <c r="C948" s="422"/>
      <c r="D948" s="422"/>
      <c r="E948" s="422"/>
      <c r="F948" s="422"/>
      <c r="G948" s="422"/>
      <c r="H948" s="422"/>
      <c r="I948" s="422"/>
      <c r="J948" s="422"/>
      <c r="K948" s="422"/>
      <c r="L948" s="422"/>
      <c r="M948" s="422"/>
      <c r="N948" s="422"/>
      <c r="O948" s="422"/>
      <c r="P948" s="422"/>
      <c r="Q948" s="422"/>
      <c r="R948" s="98"/>
      <c r="S948" s="98" t="str">
        <f>IFERROR(__xludf.DUMMYFUNCTION("""COMPUTED_VALUE"""),"-")</f>
        <v>-</v>
      </c>
      <c r="T948" s="98"/>
    </row>
    <row r="949">
      <c r="A949" s="422"/>
      <c r="B949" s="422"/>
      <c r="C949" s="422"/>
      <c r="D949" s="422"/>
      <c r="E949" s="422"/>
      <c r="F949" s="422"/>
      <c r="G949" s="422"/>
      <c r="H949" s="422"/>
      <c r="I949" s="422"/>
      <c r="J949" s="422"/>
      <c r="K949" s="422"/>
      <c r="L949" s="422"/>
      <c r="M949" s="422"/>
      <c r="N949" s="422"/>
      <c r="O949" s="422"/>
      <c r="P949" s="422"/>
      <c r="Q949" s="422"/>
      <c r="R949" s="98"/>
      <c r="S949" s="98" t="str">
        <f>IFERROR(__xludf.DUMMYFUNCTION("""COMPUTED_VALUE"""),"-")</f>
        <v>-</v>
      </c>
      <c r="T949" s="98"/>
    </row>
    <row r="950">
      <c r="A950" s="422"/>
      <c r="B950" s="422"/>
      <c r="C950" s="422"/>
      <c r="D950" s="422"/>
      <c r="E950" s="422"/>
      <c r="F950" s="422"/>
      <c r="G950" s="422"/>
      <c r="H950" s="422"/>
      <c r="I950" s="422"/>
      <c r="J950" s="422"/>
      <c r="K950" s="422"/>
      <c r="L950" s="422"/>
      <c r="M950" s="422"/>
      <c r="N950" s="422"/>
      <c r="O950" s="422"/>
      <c r="P950" s="422"/>
      <c r="Q950" s="422"/>
      <c r="R950" s="98"/>
      <c r="S950" s="98" t="str">
        <f>IFERROR(__xludf.DUMMYFUNCTION("""COMPUTED_VALUE"""),"-")</f>
        <v>-</v>
      </c>
      <c r="T950" s="98"/>
    </row>
    <row r="951">
      <c r="A951" s="422"/>
      <c r="B951" s="422"/>
      <c r="C951" s="422"/>
      <c r="D951" s="422"/>
      <c r="E951" s="422"/>
      <c r="F951" s="422"/>
      <c r="G951" s="422"/>
      <c r="H951" s="422"/>
      <c r="I951" s="422"/>
      <c r="J951" s="422"/>
      <c r="K951" s="422"/>
      <c r="L951" s="422"/>
      <c r="M951" s="422"/>
      <c r="N951" s="422"/>
      <c r="O951" s="422"/>
      <c r="P951" s="422"/>
      <c r="Q951" s="422"/>
      <c r="R951" s="98"/>
      <c r="S951" s="98" t="str">
        <f>IFERROR(__xludf.DUMMYFUNCTION("""COMPUTED_VALUE"""),"-")</f>
        <v>-</v>
      </c>
      <c r="T951" s="98"/>
    </row>
    <row r="952">
      <c r="A952" s="422"/>
      <c r="B952" s="422"/>
      <c r="C952" s="422"/>
      <c r="D952" s="422"/>
      <c r="E952" s="422"/>
      <c r="F952" s="422"/>
      <c r="G952" s="422"/>
      <c r="H952" s="422"/>
      <c r="I952" s="422"/>
      <c r="J952" s="422"/>
      <c r="K952" s="422"/>
      <c r="L952" s="422"/>
      <c r="M952" s="422"/>
      <c r="N952" s="422"/>
      <c r="O952" s="422"/>
      <c r="P952" s="422"/>
      <c r="Q952" s="422"/>
      <c r="R952" s="98"/>
      <c r="S952" s="98" t="str">
        <f>IFERROR(__xludf.DUMMYFUNCTION("""COMPUTED_VALUE"""),"-")</f>
        <v>-</v>
      </c>
      <c r="T952" s="98"/>
    </row>
    <row r="953">
      <c r="A953" s="422"/>
      <c r="B953" s="422"/>
      <c r="C953" s="422"/>
      <c r="D953" s="422"/>
      <c r="E953" s="422"/>
      <c r="F953" s="422"/>
      <c r="G953" s="422"/>
      <c r="H953" s="422"/>
      <c r="I953" s="422"/>
      <c r="J953" s="422"/>
      <c r="K953" s="422"/>
      <c r="L953" s="422"/>
      <c r="M953" s="422"/>
      <c r="N953" s="422"/>
      <c r="O953" s="422"/>
      <c r="P953" s="422"/>
      <c r="Q953" s="422"/>
      <c r="R953" s="98"/>
      <c r="S953" s="98" t="str">
        <f>IFERROR(__xludf.DUMMYFUNCTION("""COMPUTED_VALUE"""),"-")</f>
        <v>-</v>
      </c>
      <c r="T953" s="98"/>
    </row>
    <row r="954">
      <c r="A954" s="422"/>
      <c r="B954" s="422"/>
      <c r="C954" s="422"/>
      <c r="D954" s="422"/>
      <c r="E954" s="422"/>
      <c r="F954" s="422"/>
      <c r="G954" s="422"/>
      <c r="H954" s="422"/>
      <c r="I954" s="422"/>
      <c r="J954" s="422"/>
      <c r="K954" s="422"/>
      <c r="L954" s="422"/>
      <c r="M954" s="422"/>
      <c r="N954" s="422"/>
      <c r="O954" s="422"/>
      <c r="P954" s="422"/>
      <c r="Q954" s="422"/>
      <c r="R954" s="98"/>
      <c r="S954" s="98" t="str">
        <f>IFERROR(__xludf.DUMMYFUNCTION("""COMPUTED_VALUE"""),"-")</f>
        <v>-</v>
      </c>
      <c r="T954" s="98"/>
    </row>
    <row r="955">
      <c r="A955" s="422"/>
      <c r="B955" s="422"/>
      <c r="C955" s="422"/>
      <c r="D955" s="422"/>
      <c r="E955" s="422"/>
      <c r="F955" s="422"/>
      <c r="G955" s="422"/>
      <c r="H955" s="422"/>
      <c r="I955" s="422"/>
      <c r="J955" s="422"/>
      <c r="K955" s="422"/>
      <c r="L955" s="422"/>
      <c r="M955" s="422"/>
      <c r="N955" s="422"/>
      <c r="O955" s="422"/>
      <c r="P955" s="422"/>
      <c r="Q955" s="422"/>
      <c r="R955" s="98"/>
      <c r="S955" s="98" t="str">
        <f>IFERROR(__xludf.DUMMYFUNCTION("""COMPUTED_VALUE"""),"-")</f>
        <v>-</v>
      </c>
      <c r="T955" s="98"/>
    </row>
    <row r="956">
      <c r="A956" s="422"/>
      <c r="B956" s="422"/>
      <c r="C956" s="422"/>
      <c r="D956" s="422"/>
      <c r="E956" s="422"/>
      <c r="F956" s="422"/>
      <c r="G956" s="422"/>
      <c r="H956" s="422"/>
      <c r="I956" s="422"/>
      <c r="J956" s="422"/>
      <c r="K956" s="422"/>
      <c r="L956" s="422"/>
      <c r="M956" s="422"/>
      <c r="N956" s="422"/>
      <c r="O956" s="422"/>
      <c r="P956" s="422"/>
      <c r="Q956" s="422"/>
      <c r="R956" s="98"/>
      <c r="S956" s="98" t="str">
        <f>IFERROR(__xludf.DUMMYFUNCTION("""COMPUTED_VALUE"""),"-")</f>
        <v>-</v>
      </c>
      <c r="T956" s="98"/>
    </row>
    <row r="957">
      <c r="A957" s="422"/>
      <c r="B957" s="422"/>
      <c r="C957" s="422"/>
      <c r="D957" s="422"/>
      <c r="E957" s="422"/>
      <c r="F957" s="422"/>
      <c r="G957" s="422"/>
      <c r="H957" s="422"/>
      <c r="I957" s="422"/>
      <c r="J957" s="422"/>
      <c r="K957" s="422"/>
      <c r="L957" s="422"/>
      <c r="M957" s="422"/>
      <c r="N957" s="422"/>
      <c r="O957" s="422"/>
      <c r="P957" s="422"/>
      <c r="Q957" s="422"/>
      <c r="R957" s="98"/>
      <c r="S957" s="98" t="str">
        <f>IFERROR(__xludf.DUMMYFUNCTION("""COMPUTED_VALUE"""),"-")</f>
        <v>-</v>
      </c>
      <c r="T957" s="98"/>
    </row>
    <row r="958">
      <c r="A958" s="422"/>
      <c r="B958" s="422"/>
      <c r="C958" s="422"/>
      <c r="D958" s="422"/>
      <c r="E958" s="422"/>
      <c r="F958" s="422"/>
      <c r="G958" s="422"/>
      <c r="H958" s="422"/>
      <c r="I958" s="422"/>
      <c r="J958" s="422"/>
      <c r="K958" s="422"/>
      <c r="L958" s="422"/>
      <c r="M958" s="422"/>
      <c r="N958" s="422"/>
      <c r="O958" s="422"/>
      <c r="P958" s="422"/>
      <c r="Q958" s="422"/>
      <c r="R958" s="98"/>
      <c r="S958" s="98" t="str">
        <f>IFERROR(__xludf.DUMMYFUNCTION("""COMPUTED_VALUE"""),"-")</f>
        <v>-</v>
      </c>
      <c r="T958" s="98"/>
    </row>
    <row r="959">
      <c r="A959" s="422"/>
      <c r="B959" s="422"/>
      <c r="C959" s="422"/>
      <c r="D959" s="422"/>
      <c r="E959" s="422"/>
      <c r="F959" s="422"/>
      <c r="G959" s="422"/>
      <c r="H959" s="422"/>
      <c r="I959" s="422"/>
      <c r="J959" s="422"/>
      <c r="K959" s="422"/>
      <c r="L959" s="422"/>
      <c r="M959" s="422"/>
      <c r="N959" s="422"/>
      <c r="O959" s="422"/>
      <c r="P959" s="422"/>
      <c r="Q959" s="422"/>
      <c r="R959" s="98"/>
      <c r="S959" s="98" t="str">
        <f>IFERROR(__xludf.DUMMYFUNCTION("""COMPUTED_VALUE"""),"-")</f>
        <v>-</v>
      </c>
      <c r="T959" s="98"/>
    </row>
    <row r="960">
      <c r="A960" s="422"/>
      <c r="B960" s="422"/>
      <c r="C960" s="422"/>
      <c r="D960" s="422"/>
      <c r="E960" s="422"/>
      <c r="F960" s="422"/>
      <c r="G960" s="422"/>
      <c r="H960" s="422"/>
      <c r="I960" s="422"/>
      <c r="J960" s="422"/>
      <c r="K960" s="422"/>
      <c r="L960" s="422"/>
      <c r="M960" s="422"/>
      <c r="N960" s="422"/>
      <c r="O960" s="422"/>
      <c r="P960" s="422"/>
      <c r="Q960" s="422"/>
      <c r="R960" s="98"/>
      <c r="S960" s="98" t="str">
        <f>IFERROR(__xludf.DUMMYFUNCTION("""COMPUTED_VALUE"""),"-")</f>
        <v>-</v>
      </c>
      <c r="T960" s="98"/>
    </row>
    <row r="961">
      <c r="A961" s="422"/>
      <c r="B961" s="422"/>
      <c r="C961" s="422"/>
      <c r="D961" s="422"/>
      <c r="E961" s="422"/>
      <c r="F961" s="422"/>
      <c r="G961" s="422"/>
      <c r="H961" s="422"/>
      <c r="I961" s="422"/>
      <c r="J961" s="422"/>
      <c r="K961" s="422"/>
      <c r="L961" s="422"/>
      <c r="M961" s="422"/>
      <c r="N961" s="422"/>
      <c r="O961" s="422"/>
      <c r="P961" s="422"/>
      <c r="Q961" s="422"/>
      <c r="R961" s="98"/>
      <c r="S961" s="98" t="str">
        <f>IFERROR(__xludf.DUMMYFUNCTION("""COMPUTED_VALUE"""),"-")</f>
        <v>-</v>
      </c>
      <c r="T961" s="98"/>
    </row>
    <row r="962">
      <c r="A962" s="422"/>
      <c r="B962" s="422"/>
      <c r="C962" s="422"/>
      <c r="D962" s="422"/>
      <c r="E962" s="422"/>
      <c r="F962" s="422"/>
      <c r="G962" s="422"/>
      <c r="H962" s="422"/>
      <c r="I962" s="422"/>
      <c r="J962" s="422"/>
      <c r="K962" s="422"/>
      <c r="L962" s="422"/>
      <c r="M962" s="422"/>
      <c r="N962" s="422"/>
      <c r="O962" s="422"/>
      <c r="P962" s="422"/>
      <c r="Q962" s="422"/>
      <c r="R962" s="98"/>
      <c r="S962" s="98" t="str">
        <f>IFERROR(__xludf.DUMMYFUNCTION("""COMPUTED_VALUE"""),"-")</f>
        <v>-</v>
      </c>
      <c r="T962" s="98"/>
    </row>
    <row r="963">
      <c r="A963" s="422"/>
      <c r="B963" s="422"/>
      <c r="C963" s="422"/>
      <c r="D963" s="422"/>
      <c r="E963" s="422"/>
      <c r="F963" s="422"/>
      <c r="G963" s="422"/>
      <c r="H963" s="422"/>
      <c r="I963" s="422"/>
      <c r="J963" s="422"/>
      <c r="K963" s="422"/>
      <c r="L963" s="422"/>
      <c r="M963" s="422"/>
      <c r="N963" s="422"/>
      <c r="O963" s="422"/>
      <c r="P963" s="422"/>
      <c r="Q963" s="422"/>
      <c r="R963" s="98"/>
      <c r="S963" s="98" t="str">
        <f>IFERROR(__xludf.DUMMYFUNCTION("""COMPUTED_VALUE"""),"-")</f>
        <v>-</v>
      </c>
      <c r="T963" s="98"/>
    </row>
    <row r="964">
      <c r="A964" s="422"/>
      <c r="B964" s="422"/>
      <c r="C964" s="422"/>
      <c r="D964" s="422"/>
      <c r="E964" s="422"/>
      <c r="F964" s="422"/>
      <c r="G964" s="422"/>
      <c r="H964" s="422"/>
      <c r="I964" s="422"/>
      <c r="J964" s="422"/>
      <c r="K964" s="422"/>
      <c r="L964" s="422"/>
      <c r="M964" s="422"/>
      <c r="N964" s="422"/>
      <c r="O964" s="422"/>
      <c r="P964" s="422"/>
      <c r="Q964" s="422"/>
      <c r="R964" s="98"/>
      <c r="S964" s="98" t="str">
        <f>IFERROR(__xludf.DUMMYFUNCTION("""COMPUTED_VALUE"""),"-")</f>
        <v>-</v>
      </c>
      <c r="T964" s="98"/>
    </row>
    <row r="965">
      <c r="A965" s="422"/>
      <c r="B965" s="422"/>
      <c r="C965" s="422"/>
      <c r="D965" s="422"/>
      <c r="E965" s="422"/>
      <c r="F965" s="422"/>
      <c r="G965" s="422"/>
      <c r="H965" s="422"/>
      <c r="I965" s="422"/>
      <c r="J965" s="422"/>
      <c r="K965" s="422"/>
      <c r="L965" s="422"/>
      <c r="M965" s="422"/>
      <c r="N965" s="422"/>
      <c r="O965" s="422"/>
      <c r="P965" s="422"/>
      <c r="Q965" s="422"/>
      <c r="R965" s="98"/>
      <c r="S965" s="98" t="str">
        <f>IFERROR(__xludf.DUMMYFUNCTION("""COMPUTED_VALUE"""),"-")</f>
        <v>-</v>
      </c>
      <c r="T965" s="98"/>
    </row>
    <row r="966">
      <c r="A966" s="422"/>
      <c r="B966" s="422"/>
      <c r="C966" s="422"/>
      <c r="D966" s="422"/>
      <c r="E966" s="422"/>
      <c r="F966" s="422"/>
      <c r="G966" s="422"/>
      <c r="H966" s="422"/>
      <c r="I966" s="422"/>
      <c r="J966" s="422"/>
      <c r="K966" s="422"/>
      <c r="L966" s="422"/>
      <c r="M966" s="422"/>
      <c r="N966" s="422"/>
      <c r="O966" s="422"/>
      <c r="P966" s="422"/>
      <c r="Q966" s="422"/>
      <c r="R966" s="98"/>
      <c r="S966" s="98" t="str">
        <f>IFERROR(__xludf.DUMMYFUNCTION("""COMPUTED_VALUE"""),"-")</f>
        <v>-</v>
      </c>
      <c r="T966" s="98"/>
    </row>
    <row r="967">
      <c r="A967" s="422"/>
      <c r="B967" s="422"/>
      <c r="C967" s="422"/>
      <c r="D967" s="422"/>
      <c r="E967" s="422"/>
      <c r="F967" s="422"/>
      <c r="G967" s="422"/>
      <c r="H967" s="422"/>
      <c r="I967" s="422"/>
      <c r="J967" s="422"/>
      <c r="K967" s="422"/>
      <c r="L967" s="422"/>
      <c r="M967" s="422"/>
      <c r="N967" s="422"/>
      <c r="O967" s="422"/>
      <c r="P967" s="422"/>
      <c r="Q967" s="422"/>
      <c r="R967" s="98"/>
      <c r="S967" s="98" t="str">
        <f>IFERROR(__xludf.DUMMYFUNCTION("""COMPUTED_VALUE"""),"-")</f>
        <v>-</v>
      </c>
      <c r="T967" s="98"/>
    </row>
    <row r="968">
      <c r="A968" s="422"/>
      <c r="B968" s="422"/>
      <c r="C968" s="422"/>
      <c r="D968" s="422"/>
      <c r="E968" s="422"/>
      <c r="F968" s="422"/>
      <c r="G968" s="422"/>
      <c r="H968" s="422"/>
      <c r="I968" s="422"/>
      <c r="J968" s="422"/>
      <c r="K968" s="422"/>
      <c r="L968" s="422"/>
      <c r="M968" s="422"/>
      <c r="N968" s="422"/>
      <c r="O968" s="422"/>
      <c r="P968" s="422"/>
      <c r="Q968" s="422"/>
      <c r="R968" s="98"/>
      <c r="S968" s="98" t="str">
        <f>IFERROR(__xludf.DUMMYFUNCTION("""COMPUTED_VALUE"""),"-")</f>
        <v>-</v>
      </c>
      <c r="T968" s="98"/>
    </row>
    <row r="969">
      <c r="A969" s="422"/>
      <c r="B969" s="422"/>
      <c r="C969" s="422"/>
      <c r="D969" s="422"/>
      <c r="E969" s="422"/>
      <c r="F969" s="422"/>
      <c r="G969" s="422"/>
      <c r="H969" s="422"/>
      <c r="I969" s="422"/>
      <c r="J969" s="422"/>
      <c r="K969" s="422"/>
      <c r="L969" s="422"/>
      <c r="M969" s="422"/>
      <c r="N969" s="422"/>
      <c r="O969" s="422"/>
      <c r="P969" s="422"/>
      <c r="Q969" s="422"/>
      <c r="R969" s="98"/>
      <c r="S969" s="98" t="str">
        <f>IFERROR(__xludf.DUMMYFUNCTION("""COMPUTED_VALUE"""),"-")</f>
        <v>-</v>
      </c>
      <c r="T969" s="98"/>
    </row>
    <row r="970">
      <c r="A970" s="422"/>
      <c r="B970" s="422"/>
      <c r="C970" s="422"/>
      <c r="D970" s="422"/>
      <c r="E970" s="422"/>
      <c r="F970" s="422"/>
      <c r="G970" s="422"/>
      <c r="H970" s="422"/>
      <c r="I970" s="422"/>
      <c r="J970" s="422"/>
      <c r="K970" s="422"/>
      <c r="L970" s="422"/>
      <c r="M970" s="422"/>
      <c r="N970" s="422"/>
      <c r="O970" s="422"/>
      <c r="P970" s="422"/>
      <c r="Q970" s="422"/>
      <c r="R970" s="98"/>
      <c r="S970" s="98" t="str">
        <f>IFERROR(__xludf.DUMMYFUNCTION("""COMPUTED_VALUE"""),"-")</f>
        <v>-</v>
      </c>
      <c r="T970" s="98"/>
    </row>
    <row r="971">
      <c r="A971" s="422"/>
      <c r="B971" s="422"/>
      <c r="C971" s="422"/>
      <c r="D971" s="422"/>
      <c r="E971" s="422"/>
      <c r="F971" s="422"/>
      <c r="G971" s="422"/>
      <c r="H971" s="422"/>
      <c r="I971" s="422"/>
      <c r="J971" s="422"/>
      <c r="K971" s="422"/>
      <c r="L971" s="422"/>
      <c r="M971" s="422"/>
      <c r="N971" s="422"/>
      <c r="O971" s="422"/>
      <c r="P971" s="422"/>
      <c r="Q971" s="422"/>
      <c r="R971" s="98"/>
      <c r="S971" s="98" t="str">
        <f>IFERROR(__xludf.DUMMYFUNCTION("""COMPUTED_VALUE"""),"-")</f>
        <v>-</v>
      </c>
      <c r="T971" s="98"/>
    </row>
    <row r="972">
      <c r="A972" s="422"/>
      <c r="B972" s="422"/>
      <c r="C972" s="422"/>
      <c r="D972" s="422"/>
      <c r="E972" s="422"/>
      <c r="F972" s="422"/>
      <c r="G972" s="422"/>
      <c r="H972" s="422"/>
      <c r="I972" s="422"/>
      <c r="J972" s="422"/>
      <c r="K972" s="422"/>
      <c r="L972" s="422"/>
      <c r="M972" s="422"/>
      <c r="N972" s="422"/>
      <c r="O972" s="422"/>
      <c r="P972" s="422"/>
      <c r="Q972" s="422"/>
      <c r="R972" s="98"/>
      <c r="S972" s="98" t="str">
        <f>IFERROR(__xludf.DUMMYFUNCTION("""COMPUTED_VALUE"""),"-")</f>
        <v>-</v>
      </c>
      <c r="T972" s="98"/>
    </row>
    <row r="973">
      <c r="A973" s="422"/>
      <c r="B973" s="422"/>
      <c r="C973" s="422"/>
      <c r="D973" s="422"/>
      <c r="E973" s="422"/>
      <c r="F973" s="422"/>
      <c r="G973" s="422"/>
      <c r="H973" s="422"/>
      <c r="I973" s="422"/>
      <c r="J973" s="422"/>
      <c r="K973" s="422"/>
      <c r="L973" s="422"/>
      <c r="M973" s="422"/>
      <c r="N973" s="422"/>
      <c r="O973" s="422"/>
      <c r="P973" s="422"/>
      <c r="Q973" s="422"/>
      <c r="R973" s="98"/>
      <c r="S973" s="98" t="str">
        <f>IFERROR(__xludf.DUMMYFUNCTION("""COMPUTED_VALUE"""),"-")</f>
        <v>-</v>
      </c>
      <c r="T973" s="98"/>
    </row>
    <row r="974">
      <c r="A974" s="422"/>
      <c r="B974" s="422"/>
      <c r="C974" s="422"/>
      <c r="D974" s="422"/>
      <c r="E974" s="422"/>
      <c r="F974" s="422"/>
      <c r="G974" s="422"/>
      <c r="H974" s="422"/>
      <c r="I974" s="422"/>
      <c r="J974" s="422"/>
      <c r="K974" s="422"/>
      <c r="L974" s="422"/>
      <c r="M974" s="422"/>
      <c r="N974" s="422"/>
      <c r="O974" s="422"/>
      <c r="P974" s="422"/>
      <c r="Q974" s="422"/>
      <c r="R974" s="98"/>
      <c r="S974" s="98" t="str">
        <f>IFERROR(__xludf.DUMMYFUNCTION("""COMPUTED_VALUE"""),"-")</f>
        <v>-</v>
      </c>
      <c r="T974" s="98"/>
    </row>
    <row r="975">
      <c r="A975" s="422"/>
      <c r="B975" s="422"/>
      <c r="C975" s="422"/>
      <c r="D975" s="422"/>
      <c r="E975" s="422"/>
      <c r="F975" s="422"/>
      <c r="G975" s="422"/>
      <c r="H975" s="422"/>
      <c r="I975" s="422"/>
      <c r="J975" s="422"/>
      <c r="K975" s="422"/>
      <c r="L975" s="422"/>
      <c r="M975" s="422"/>
      <c r="N975" s="422"/>
      <c r="O975" s="422"/>
      <c r="P975" s="422"/>
      <c r="Q975" s="422"/>
      <c r="R975" s="98"/>
      <c r="S975" s="98" t="str">
        <f>IFERROR(__xludf.DUMMYFUNCTION("""COMPUTED_VALUE"""),"-")</f>
        <v>-</v>
      </c>
      <c r="T975" s="98"/>
    </row>
    <row r="976">
      <c r="A976" s="422"/>
      <c r="B976" s="422"/>
      <c r="C976" s="422"/>
      <c r="D976" s="422"/>
      <c r="E976" s="422"/>
      <c r="F976" s="422"/>
      <c r="G976" s="422"/>
      <c r="H976" s="422"/>
      <c r="I976" s="422"/>
      <c r="J976" s="422"/>
      <c r="K976" s="422"/>
      <c r="L976" s="422"/>
      <c r="M976" s="422"/>
      <c r="N976" s="422"/>
      <c r="O976" s="422"/>
      <c r="P976" s="422"/>
      <c r="Q976" s="422"/>
      <c r="R976" s="98"/>
      <c r="S976" s="98" t="str">
        <f>IFERROR(__xludf.DUMMYFUNCTION("""COMPUTED_VALUE"""),"-")</f>
        <v>-</v>
      </c>
      <c r="T976" s="98"/>
    </row>
    <row r="977">
      <c r="A977" s="422"/>
      <c r="B977" s="422"/>
      <c r="C977" s="422"/>
      <c r="D977" s="422"/>
      <c r="E977" s="422"/>
      <c r="F977" s="422"/>
      <c r="G977" s="422"/>
      <c r="H977" s="422"/>
      <c r="I977" s="422"/>
      <c r="J977" s="422"/>
      <c r="K977" s="422"/>
      <c r="L977" s="422"/>
      <c r="M977" s="422"/>
      <c r="N977" s="422"/>
      <c r="O977" s="422"/>
      <c r="P977" s="422"/>
      <c r="Q977" s="422"/>
      <c r="R977" s="98"/>
      <c r="S977" s="98" t="str">
        <f>IFERROR(__xludf.DUMMYFUNCTION("""COMPUTED_VALUE"""),"-")</f>
        <v>-</v>
      </c>
      <c r="T977" s="98"/>
    </row>
    <row r="978">
      <c r="A978" s="422"/>
      <c r="B978" s="422"/>
      <c r="C978" s="422"/>
      <c r="D978" s="422"/>
      <c r="E978" s="422"/>
      <c r="F978" s="422"/>
      <c r="G978" s="422"/>
      <c r="H978" s="422"/>
      <c r="I978" s="422"/>
      <c r="J978" s="422"/>
      <c r="K978" s="422"/>
      <c r="L978" s="422"/>
      <c r="M978" s="422"/>
      <c r="N978" s="422"/>
      <c r="O978" s="422"/>
      <c r="P978" s="422"/>
      <c r="Q978" s="422"/>
      <c r="R978" s="98"/>
      <c r="S978" s="98" t="str">
        <f>IFERROR(__xludf.DUMMYFUNCTION("""COMPUTED_VALUE"""),"-")</f>
        <v>-</v>
      </c>
      <c r="T978" s="98"/>
    </row>
    <row r="979">
      <c r="A979" s="422"/>
      <c r="B979" s="422"/>
      <c r="C979" s="422"/>
      <c r="D979" s="422"/>
      <c r="E979" s="422"/>
      <c r="F979" s="422"/>
      <c r="G979" s="422"/>
      <c r="H979" s="422"/>
      <c r="I979" s="422"/>
      <c r="J979" s="422"/>
      <c r="K979" s="422"/>
      <c r="L979" s="422"/>
      <c r="M979" s="422"/>
      <c r="N979" s="422"/>
      <c r="O979" s="422"/>
      <c r="P979" s="422"/>
      <c r="Q979" s="422"/>
      <c r="R979" s="98"/>
      <c r="S979" s="98" t="str">
        <f>IFERROR(__xludf.DUMMYFUNCTION("""COMPUTED_VALUE"""),"-")</f>
        <v>-</v>
      </c>
      <c r="T979" s="98"/>
    </row>
    <row r="980">
      <c r="A980" s="422"/>
      <c r="B980" s="422"/>
      <c r="C980" s="422"/>
      <c r="D980" s="422"/>
      <c r="E980" s="422"/>
      <c r="F980" s="422"/>
      <c r="G980" s="422"/>
      <c r="H980" s="422"/>
      <c r="I980" s="422"/>
      <c r="J980" s="422"/>
      <c r="K980" s="422"/>
      <c r="L980" s="422"/>
      <c r="M980" s="422"/>
      <c r="N980" s="422"/>
      <c r="O980" s="422"/>
      <c r="P980" s="422"/>
      <c r="Q980" s="422"/>
      <c r="R980" s="98"/>
      <c r="S980" s="98" t="str">
        <f>IFERROR(__xludf.DUMMYFUNCTION("""COMPUTED_VALUE"""),"-")</f>
        <v>-</v>
      </c>
      <c r="T980" s="98"/>
    </row>
    <row r="981">
      <c r="A981" s="422"/>
      <c r="B981" s="422"/>
      <c r="C981" s="422"/>
      <c r="D981" s="422"/>
      <c r="E981" s="422"/>
      <c r="F981" s="422"/>
      <c r="G981" s="422"/>
      <c r="H981" s="422"/>
      <c r="I981" s="422"/>
      <c r="J981" s="422"/>
      <c r="K981" s="422"/>
      <c r="L981" s="422"/>
      <c r="M981" s="422"/>
      <c r="N981" s="422"/>
      <c r="O981" s="422"/>
      <c r="P981" s="422"/>
      <c r="Q981" s="422"/>
      <c r="R981" s="98"/>
      <c r="S981" s="98" t="str">
        <f>IFERROR(__xludf.DUMMYFUNCTION("""COMPUTED_VALUE"""),"-")</f>
        <v>-</v>
      </c>
      <c r="T981" s="98"/>
    </row>
    <row r="982">
      <c r="A982" s="422"/>
      <c r="B982" s="422"/>
      <c r="C982" s="422"/>
      <c r="D982" s="422"/>
      <c r="E982" s="422"/>
      <c r="F982" s="422"/>
      <c r="G982" s="422"/>
      <c r="H982" s="422"/>
      <c r="I982" s="422"/>
      <c r="J982" s="422"/>
      <c r="K982" s="422"/>
      <c r="L982" s="422"/>
      <c r="M982" s="422"/>
      <c r="N982" s="422"/>
      <c r="O982" s="422"/>
      <c r="P982" s="422"/>
      <c r="Q982" s="422"/>
      <c r="R982" s="98"/>
      <c r="S982" s="98" t="str">
        <f>IFERROR(__xludf.DUMMYFUNCTION("""COMPUTED_VALUE"""),"-")</f>
        <v>-</v>
      </c>
      <c r="T982" s="98"/>
    </row>
    <row r="983">
      <c r="A983" s="422"/>
      <c r="B983" s="422"/>
      <c r="C983" s="422"/>
      <c r="D983" s="422"/>
      <c r="E983" s="422"/>
      <c r="F983" s="422"/>
      <c r="G983" s="422"/>
      <c r="H983" s="422"/>
      <c r="I983" s="422"/>
      <c r="J983" s="422"/>
      <c r="K983" s="422"/>
      <c r="L983" s="422"/>
      <c r="M983" s="422"/>
      <c r="N983" s="422"/>
      <c r="O983" s="422"/>
      <c r="P983" s="422"/>
      <c r="Q983" s="422"/>
      <c r="R983" s="98"/>
      <c r="S983" s="98" t="str">
        <f>IFERROR(__xludf.DUMMYFUNCTION("""COMPUTED_VALUE"""),"-")</f>
        <v>-</v>
      </c>
      <c r="T983" s="98"/>
    </row>
    <row r="984">
      <c r="A984" s="422"/>
      <c r="B984" s="422"/>
      <c r="C984" s="422"/>
      <c r="D984" s="422"/>
      <c r="E984" s="422"/>
      <c r="F984" s="422"/>
      <c r="G984" s="422"/>
      <c r="H984" s="422"/>
      <c r="I984" s="422"/>
      <c r="J984" s="422"/>
      <c r="K984" s="422"/>
      <c r="L984" s="422"/>
      <c r="M984" s="422"/>
      <c r="N984" s="422"/>
      <c r="O984" s="422"/>
      <c r="P984" s="422"/>
      <c r="Q984" s="422"/>
      <c r="R984" s="98"/>
      <c r="S984" s="98" t="str">
        <f>IFERROR(__xludf.DUMMYFUNCTION("""COMPUTED_VALUE"""),"-")</f>
        <v>-</v>
      </c>
      <c r="T984" s="98"/>
    </row>
    <row r="985">
      <c r="A985" s="422"/>
      <c r="B985" s="422"/>
      <c r="C985" s="422"/>
      <c r="D985" s="422"/>
      <c r="E985" s="422"/>
      <c r="F985" s="422"/>
      <c r="G985" s="422"/>
      <c r="H985" s="422"/>
      <c r="I985" s="422"/>
      <c r="J985" s="422"/>
      <c r="K985" s="422"/>
      <c r="L985" s="422"/>
      <c r="M985" s="422"/>
      <c r="N985" s="422"/>
      <c r="O985" s="422"/>
      <c r="P985" s="422"/>
      <c r="Q985" s="422"/>
      <c r="R985" s="98"/>
      <c r="S985" s="98" t="str">
        <f>IFERROR(__xludf.DUMMYFUNCTION("""COMPUTED_VALUE"""),"-")</f>
        <v>-</v>
      </c>
      <c r="T985" s="98"/>
    </row>
    <row r="986">
      <c r="A986" s="422"/>
      <c r="B986" s="422"/>
      <c r="C986" s="422"/>
      <c r="D986" s="422"/>
      <c r="E986" s="422"/>
      <c r="F986" s="422"/>
      <c r="G986" s="422"/>
      <c r="H986" s="422"/>
      <c r="I986" s="422"/>
      <c r="J986" s="422"/>
      <c r="K986" s="422"/>
      <c r="L986" s="422"/>
      <c r="M986" s="422"/>
      <c r="N986" s="422"/>
      <c r="O986" s="422"/>
      <c r="P986" s="422"/>
      <c r="Q986" s="422"/>
      <c r="R986" s="98"/>
      <c r="S986" s="98" t="str">
        <f>IFERROR(__xludf.DUMMYFUNCTION("""COMPUTED_VALUE"""),"-")</f>
        <v>-</v>
      </c>
      <c r="T986" s="98"/>
    </row>
    <row r="987">
      <c r="A987" s="422"/>
      <c r="B987" s="422"/>
      <c r="C987" s="422"/>
      <c r="D987" s="422"/>
      <c r="E987" s="422"/>
      <c r="F987" s="422"/>
      <c r="G987" s="422"/>
      <c r="H987" s="422"/>
      <c r="I987" s="422"/>
      <c r="J987" s="422"/>
      <c r="K987" s="422"/>
      <c r="L987" s="422"/>
      <c r="M987" s="422"/>
      <c r="N987" s="422"/>
      <c r="O987" s="422"/>
      <c r="P987" s="422"/>
      <c r="Q987" s="422"/>
      <c r="R987" s="98"/>
      <c r="S987" s="98" t="str">
        <f>IFERROR(__xludf.DUMMYFUNCTION("""COMPUTED_VALUE"""),"-")</f>
        <v>-</v>
      </c>
      <c r="T987" s="98"/>
    </row>
    <row r="988">
      <c r="A988" s="422"/>
      <c r="B988" s="422"/>
      <c r="C988" s="422"/>
      <c r="D988" s="422"/>
      <c r="E988" s="422"/>
      <c r="F988" s="422"/>
      <c r="G988" s="422"/>
      <c r="H988" s="422"/>
      <c r="I988" s="422"/>
      <c r="J988" s="422"/>
      <c r="K988" s="422"/>
      <c r="L988" s="422"/>
      <c r="M988" s="422"/>
      <c r="N988" s="422"/>
      <c r="O988" s="422"/>
      <c r="P988" s="422"/>
      <c r="Q988" s="422"/>
      <c r="R988" s="98"/>
      <c r="S988" s="98" t="str">
        <f>IFERROR(__xludf.DUMMYFUNCTION("""COMPUTED_VALUE"""),"-")</f>
        <v>-</v>
      </c>
      <c r="T988" s="98"/>
    </row>
    <row r="989">
      <c r="A989" s="422"/>
      <c r="B989" s="422"/>
      <c r="C989" s="422"/>
      <c r="D989" s="422"/>
      <c r="E989" s="422"/>
      <c r="F989" s="422"/>
      <c r="G989" s="422"/>
      <c r="H989" s="422"/>
      <c r="I989" s="422"/>
      <c r="J989" s="422"/>
      <c r="K989" s="422"/>
      <c r="L989" s="422"/>
      <c r="M989" s="422"/>
      <c r="N989" s="422"/>
      <c r="O989" s="422"/>
      <c r="P989" s="422"/>
      <c r="Q989" s="422"/>
      <c r="R989" s="98"/>
      <c r="S989" s="98" t="str">
        <f>IFERROR(__xludf.DUMMYFUNCTION("""COMPUTED_VALUE"""),"-")</f>
        <v>-</v>
      </c>
      <c r="T989" s="98"/>
    </row>
    <row r="990">
      <c r="A990" s="422"/>
      <c r="B990" s="422"/>
      <c r="C990" s="422"/>
      <c r="D990" s="422"/>
      <c r="E990" s="422"/>
      <c r="F990" s="422"/>
      <c r="G990" s="422"/>
      <c r="H990" s="422"/>
      <c r="I990" s="422"/>
      <c r="J990" s="422"/>
      <c r="K990" s="422"/>
      <c r="L990" s="422"/>
      <c r="M990" s="422"/>
      <c r="N990" s="422"/>
      <c r="O990" s="422"/>
      <c r="P990" s="422"/>
      <c r="Q990" s="422"/>
      <c r="R990" s="98"/>
      <c r="S990" s="98" t="str">
        <f>IFERROR(__xludf.DUMMYFUNCTION("""COMPUTED_VALUE"""),"-")</f>
        <v>-</v>
      </c>
      <c r="T990" s="98"/>
    </row>
    <row r="991">
      <c r="A991" s="422"/>
      <c r="B991" s="422"/>
      <c r="C991" s="422"/>
      <c r="D991" s="422"/>
      <c r="E991" s="422"/>
      <c r="F991" s="422"/>
      <c r="G991" s="422"/>
      <c r="H991" s="422"/>
      <c r="I991" s="422"/>
      <c r="J991" s="422"/>
      <c r="K991" s="422"/>
      <c r="L991" s="422"/>
      <c r="M991" s="422"/>
      <c r="N991" s="422"/>
      <c r="O991" s="422"/>
      <c r="P991" s="422"/>
      <c r="Q991" s="422"/>
      <c r="R991" s="98"/>
      <c r="S991" s="98" t="str">
        <f>IFERROR(__xludf.DUMMYFUNCTION("""COMPUTED_VALUE"""),"-")</f>
        <v>-</v>
      </c>
      <c r="T991" s="98"/>
    </row>
    <row r="992">
      <c r="A992" s="422"/>
      <c r="B992" s="422"/>
      <c r="C992" s="422"/>
      <c r="D992" s="422"/>
      <c r="E992" s="422"/>
      <c r="F992" s="422"/>
      <c r="G992" s="422"/>
      <c r="H992" s="422"/>
      <c r="I992" s="422"/>
      <c r="J992" s="422"/>
      <c r="K992" s="422"/>
      <c r="L992" s="422"/>
      <c r="M992" s="422"/>
      <c r="N992" s="422"/>
      <c r="O992" s="422"/>
      <c r="P992" s="422"/>
      <c r="Q992" s="422"/>
      <c r="R992" s="98"/>
      <c r="S992" s="98" t="str">
        <f>IFERROR(__xludf.DUMMYFUNCTION("""COMPUTED_VALUE"""),"-")</f>
        <v>-</v>
      </c>
      <c r="T992" s="98"/>
    </row>
    <row r="993">
      <c r="A993" s="422"/>
      <c r="B993" s="422"/>
      <c r="C993" s="422"/>
      <c r="D993" s="422"/>
      <c r="E993" s="422"/>
      <c r="F993" s="422"/>
      <c r="G993" s="422"/>
      <c r="H993" s="422"/>
      <c r="I993" s="422"/>
      <c r="J993" s="422"/>
      <c r="K993" s="422"/>
      <c r="L993" s="422"/>
      <c r="M993" s="422"/>
      <c r="N993" s="422"/>
      <c r="O993" s="422"/>
      <c r="P993" s="422"/>
      <c r="Q993" s="422"/>
      <c r="R993" s="98"/>
      <c r="S993" s="98" t="str">
        <f>IFERROR(__xludf.DUMMYFUNCTION("""COMPUTED_VALUE"""),"-")</f>
        <v>-</v>
      </c>
      <c r="T993" s="98"/>
    </row>
    <row r="994">
      <c r="A994" s="422"/>
      <c r="B994" s="422"/>
      <c r="C994" s="422"/>
      <c r="D994" s="422"/>
      <c r="E994" s="422"/>
      <c r="F994" s="422"/>
      <c r="G994" s="422"/>
      <c r="H994" s="422"/>
      <c r="I994" s="422"/>
      <c r="J994" s="422"/>
      <c r="K994" s="422"/>
      <c r="L994" s="422"/>
      <c r="M994" s="422"/>
      <c r="N994" s="422"/>
      <c r="O994" s="422"/>
      <c r="P994" s="422"/>
      <c r="Q994" s="422"/>
      <c r="R994" s="98"/>
      <c r="S994" s="98" t="str">
        <f>IFERROR(__xludf.DUMMYFUNCTION("""COMPUTED_VALUE"""),"-")</f>
        <v>-</v>
      </c>
      <c r="T994" s="98"/>
    </row>
    <row r="995">
      <c r="A995" s="422"/>
      <c r="B995" s="422"/>
      <c r="C995" s="422"/>
      <c r="D995" s="422"/>
      <c r="E995" s="422"/>
      <c r="F995" s="422"/>
      <c r="G995" s="422"/>
      <c r="H995" s="422"/>
      <c r="I995" s="422"/>
      <c r="J995" s="422"/>
      <c r="K995" s="422"/>
      <c r="L995" s="422"/>
      <c r="M995" s="422"/>
      <c r="N995" s="422"/>
      <c r="O995" s="422"/>
      <c r="P995" s="422"/>
      <c r="Q995" s="422"/>
      <c r="R995" s="98"/>
      <c r="S995" s="98" t="str">
        <f>IFERROR(__xludf.DUMMYFUNCTION("""COMPUTED_VALUE"""),"-")</f>
        <v>-</v>
      </c>
      <c r="T995" s="98"/>
    </row>
    <row r="996">
      <c r="A996" s="422"/>
      <c r="B996" s="422"/>
      <c r="C996" s="422"/>
      <c r="D996" s="422"/>
      <c r="E996" s="422"/>
      <c r="F996" s="422"/>
      <c r="G996" s="422"/>
      <c r="H996" s="422"/>
      <c r="I996" s="422"/>
      <c r="J996" s="422"/>
      <c r="K996" s="422"/>
      <c r="L996" s="422"/>
      <c r="M996" s="422"/>
      <c r="N996" s="422"/>
      <c r="O996" s="422"/>
      <c r="P996" s="422"/>
      <c r="Q996" s="422"/>
      <c r="R996" s="98"/>
      <c r="S996" s="98" t="str">
        <f>IFERROR(__xludf.DUMMYFUNCTION("""COMPUTED_VALUE"""),"-")</f>
        <v>-</v>
      </c>
      <c r="T996" s="98"/>
    </row>
    <row r="997">
      <c r="A997" s="422"/>
      <c r="B997" s="422"/>
      <c r="C997" s="422"/>
      <c r="D997" s="422"/>
      <c r="E997" s="422"/>
      <c r="F997" s="422"/>
      <c r="G997" s="422"/>
      <c r="H997" s="422"/>
      <c r="I997" s="422"/>
      <c r="J997" s="422"/>
      <c r="K997" s="422"/>
      <c r="L997" s="422"/>
      <c r="M997" s="422"/>
      <c r="N997" s="422"/>
      <c r="O997" s="422"/>
      <c r="P997" s="422"/>
      <c r="Q997" s="422"/>
      <c r="R997" s="98"/>
      <c r="S997" s="98" t="str">
        <f>IFERROR(__xludf.DUMMYFUNCTION("""COMPUTED_VALUE"""),"-")</f>
        <v>-</v>
      </c>
      <c r="T997" s="98"/>
    </row>
    <row r="998">
      <c r="A998" s="422"/>
      <c r="B998" s="422"/>
      <c r="C998" s="422"/>
      <c r="D998" s="422"/>
      <c r="E998" s="422"/>
      <c r="F998" s="422"/>
      <c r="G998" s="422"/>
      <c r="H998" s="422"/>
      <c r="I998" s="422"/>
      <c r="J998" s="422"/>
      <c r="K998" s="422"/>
      <c r="L998" s="422"/>
      <c r="M998" s="422"/>
      <c r="N998" s="422"/>
      <c r="O998" s="422"/>
      <c r="P998" s="422"/>
      <c r="Q998" s="422"/>
      <c r="R998" s="98"/>
      <c r="S998" s="98" t="str">
        <f>IFERROR(__xludf.DUMMYFUNCTION("""COMPUTED_VALUE"""),"-")</f>
        <v>-</v>
      </c>
      <c r="T998" s="98"/>
    </row>
    <row r="999">
      <c r="A999" s="422"/>
      <c r="B999" s="422"/>
      <c r="C999" s="422"/>
      <c r="D999" s="422"/>
      <c r="E999" s="422"/>
      <c r="F999" s="422"/>
      <c r="G999" s="422"/>
      <c r="H999" s="422"/>
      <c r="I999" s="422"/>
      <c r="J999" s="422"/>
      <c r="K999" s="422"/>
      <c r="L999" s="422"/>
      <c r="M999" s="422"/>
      <c r="N999" s="422"/>
      <c r="O999" s="422"/>
      <c r="P999" s="422"/>
      <c r="Q999" s="422"/>
      <c r="R999" s="98"/>
      <c r="S999" s="98" t="str">
        <f>IFERROR(__xludf.DUMMYFUNCTION("""COMPUTED_VALUE"""),"-")</f>
        <v>-</v>
      </c>
      <c r="T999" s="98"/>
    </row>
    <row r="1000">
      <c r="A1000" s="422"/>
      <c r="B1000" s="422"/>
      <c r="C1000" s="422"/>
      <c r="D1000" s="422"/>
      <c r="E1000" s="422"/>
      <c r="F1000" s="422"/>
      <c r="G1000" s="422"/>
      <c r="H1000" s="422"/>
      <c r="I1000" s="422"/>
      <c r="J1000" s="422"/>
      <c r="K1000" s="422"/>
      <c r="L1000" s="422"/>
      <c r="M1000" s="422"/>
      <c r="N1000" s="422"/>
      <c r="O1000" s="422"/>
      <c r="P1000" s="422"/>
      <c r="Q1000" s="422"/>
      <c r="R1000" s="98"/>
      <c r="S1000" s="98" t="str">
        <f>IFERROR(__xludf.DUMMYFUNCTION("""COMPUTED_VALUE"""),"-")</f>
        <v>-</v>
      </c>
      <c r="T1000" s="98"/>
    </row>
    <row r="1001">
      <c r="A1001" s="98"/>
      <c r="B1001" s="98"/>
      <c r="C1001" s="98"/>
      <c r="D1001" s="98"/>
      <c r="E1001" s="98"/>
      <c r="F1001" s="98"/>
      <c r="G1001" s="98"/>
      <c r="H1001" s="98"/>
      <c r="I1001" s="98"/>
      <c r="J1001" s="98"/>
      <c r="K1001" s="98"/>
      <c r="L1001" s="98"/>
      <c r="M1001" s="98"/>
      <c r="N1001" s="98"/>
      <c r="O1001" s="98"/>
      <c r="P1001" s="98"/>
      <c r="Q1001" s="98"/>
      <c r="R1001" s="98"/>
      <c r="S1001" s="98" t="str">
        <f>IFERROR(__xludf.DUMMYFUNCTION("""COMPUTED_VALUE"""),"-")</f>
        <v>-</v>
      </c>
      <c r="T1001" s="98"/>
    </row>
    <row r="1002">
      <c r="A1002" s="98"/>
      <c r="B1002" s="98"/>
      <c r="C1002" s="98"/>
      <c r="D1002" s="98"/>
      <c r="E1002" s="98"/>
      <c r="F1002" s="98"/>
      <c r="G1002" s="98"/>
      <c r="H1002" s="98"/>
      <c r="I1002" s="98"/>
      <c r="J1002" s="98"/>
      <c r="K1002" s="98"/>
      <c r="L1002" s="98"/>
      <c r="M1002" s="98"/>
      <c r="N1002" s="98"/>
      <c r="O1002" s="98"/>
      <c r="P1002" s="98"/>
      <c r="Q1002" s="98"/>
      <c r="R1002" s="98"/>
      <c r="S1002" s="98" t="str">
        <f>IFERROR(__xludf.DUMMYFUNCTION("""COMPUTED_VALUE"""),"-")</f>
        <v>-</v>
      </c>
      <c r="T1002" s="98"/>
    </row>
    <row r="1003">
      <c r="A1003" s="98"/>
      <c r="B1003" s="98"/>
      <c r="C1003" s="98"/>
      <c r="D1003" s="98"/>
      <c r="E1003" s="98"/>
      <c r="F1003" s="98"/>
      <c r="G1003" s="98"/>
      <c r="H1003" s="98"/>
      <c r="I1003" s="98"/>
      <c r="J1003" s="98"/>
      <c r="K1003" s="98"/>
      <c r="L1003" s="98"/>
      <c r="M1003" s="98"/>
      <c r="N1003" s="98"/>
      <c r="O1003" s="98"/>
      <c r="P1003" s="98"/>
      <c r="Q1003" s="98"/>
      <c r="R1003" s="98"/>
      <c r="S1003" s="98" t="str">
        <f>IFERROR(__xludf.DUMMYFUNCTION("""COMPUTED_VALUE"""),"-")</f>
        <v>-</v>
      </c>
      <c r="T1003" s="98"/>
    </row>
    <row r="1004">
      <c r="A1004" s="98"/>
      <c r="B1004" s="98"/>
      <c r="C1004" s="98"/>
      <c r="D1004" s="98"/>
      <c r="E1004" s="98"/>
      <c r="F1004" s="98"/>
      <c r="G1004" s="98"/>
      <c r="H1004" s="98"/>
      <c r="I1004" s="98"/>
      <c r="J1004" s="98"/>
      <c r="K1004" s="98"/>
      <c r="L1004" s="98"/>
      <c r="M1004" s="98"/>
      <c r="N1004" s="98"/>
      <c r="O1004" s="98"/>
      <c r="P1004" s="98"/>
      <c r="Q1004" s="98"/>
      <c r="R1004" s="98"/>
      <c r="S1004" s="98" t="str">
        <f>IFERROR(__xludf.DUMMYFUNCTION("""COMPUTED_VALUE"""),"-")</f>
        <v>-</v>
      </c>
      <c r="T1004" s="98"/>
    </row>
    <row r="1005">
      <c r="A1005" s="98"/>
      <c r="B1005" s="98"/>
      <c r="C1005" s="98"/>
      <c r="D1005" s="98"/>
      <c r="E1005" s="98"/>
      <c r="F1005" s="98"/>
      <c r="G1005" s="98"/>
      <c r="H1005" s="98"/>
      <c r="I1005" s="98"/>
      <c r="J1005" s="98"/>
      <c r="K1005" s="98"/>
      <c r="L1005" s="98"/>
      <c r="M1005" s="98"/>
      <c r="N1005" s="98"/>
      <c r="O1005" s="98"/>
      <c r="P1005" s="98"/>
      <c r="Q1005" s="98"/>
      <c r="R1005" s="98"/>
      <c r="S1005" s="98" t="str">
        <f>IFERROR(__xludf.DUMMYFUNCTION("""COMPUTED_VALUE"""),"-")</f>
        <v>-</v>
      </c>
      <c r="T1005" s="98"/>
    </row>
    <row r="1006">
      <c r="A1006" s="98"/>
      <c r="B1006" s="98"/>
      <c r="C1006" s="98"/>
      <c r="D1006" s="98"/>
      <c r="E1006" s="98"/>
      <c r="F1006" s="98"/>
      <c r="G1006" s="98"/>
      <c r="H1006" s="98"/>
      <c r="I1006" s="98"/>
      <c r="J1006" s="98"/>
      <c r="K1006" s="98"/>
      <c r="L1006" s="98"/>
      <c r="M1006" s="98"/>
      <c r="N1006" s="98"/>
      <c r="O1006" s="98"/>
      <c r="P1006" s="98"/>
      <c r="Q1006" s="98"/>
      <c r="R1006" s="98"/>
      <c r="S1006" s="98" t="str">
        <f>IFERROR(__xludf.DUMMYFUNCTION("""COMPUTED_VALUE"""),"-")</f>
        <v>-</v>
      </c>
      <c r="T1006" s="98"/>
    </row>
    <row r="1007">
      <c r="A1007" s="98"/>
      <c r="B1007" s="98"/>
      <c r="C1007" s="98"/>
      <c r="D1007" s="98"/>
      <c r="E1007" s="98"/>
      <c r="F1007" s="98"/>
      <c r="G1007" s="98"/>
      <c r="H1007" s="98"/>
      <c r="I1007" s="98"/>
      <c r="J1007" s="98"/>
      <c r="K1007" s="98"/>
      <c r="L1007" s="98"/>
      <c r="M1007" s="98"/>
      <c r="N1007" s="98"/>
      <c r="O1007" s="98"/>
      <c r="P1007" s="98"/>
      <c r="Q1007" s="98"/>
      <c r="R1007" s="98"/>
      <c r="S1007" s="98" t="str">
        <f>IFERROR(__xludf.DUMMYFUNCTION("""COMPUTED_VALUE"""),"-")</f>
        <v>-</v>
      </c>
      <c r="T1007" s="98"/>
    </row>
    <row r="1008">
      <c r="A1008" s="98"/>
      <c r="B1008" s="98"/>
      <c r="C1008" s="98"/>
      <c r="D1008" s="98"/>
      <c r="E1008" s="98"/>
      <c r="F1008" s="98"/>
      <c r="G1008" s="98"/>
      <c r="H1008" s="98"/>
      <c r="I1008" s="98"/>
      <c r="J1008" s="98"/>
      <c r="K1008" s="98"/>
      <c r="L1008" s="98"/>
      <c r="M1008" s="98"/>
      <c r="N1008" s="98"/>
      <c r="O1008" s="98"/>
      <c r="P1008" s="98"/>
      <c r="Q1008" s="98"/>
      <c r="R1008" s="98"/>
      <c r="S1008" s="98" t="str">
        <f>IFERROR(__xludf.DUMMYFUNCTION("""COMPUTED_VALUE"""),"-")</f>
        <v>-</v>
      </c>
      <c r="T1008" s="98"/>
    </row>
    <row r="1009">
      <c r="A1009" s="98"/>
      <c r="B1009" s="98"/>
      <c r="C1009" s="98"/>
      <c r="D1009" s="98"/>
      <c r="E1009" s="98"/>
      <c r="F1009" s="98"/>
      <c r="G1009" s="98"/>
      <c r="H1009" s="98"/>
      <c r="I1009" s="98"/>
      <c r="J1009" s="98"/>
      <c r="K1009" s="98"/>
      <c r="L1009" s="98"/>
      <c r="M1009" s="98"/>
      <c r="N1009" s="98"/>
      <c r="O1009" s="98"/>
      <c r="P1009" s="98"/>
      <c r="Q1009" s="98"/>
      <c r="R1009" s="98"/>
      <c r="S1009" s="98" t="str">
        <f>IFERROR(__xludf.DUMMYFUNCTION("""COMPUTED_VALUE"""),"-")</f>
        <v>-</v>
      </c>
      <c r="T1009" s="98"/>
    </row>
    <row r="1010">
      <c r="A1010" s="98"/>
      <c r="B1010" s="98"/>
      <c r="C1010" s="98"/>
      <c r="D1010" s="98"/>
      <c r="E1010" s="98"/>
      <c r="F1010" s="98"/>
      <c r="G1010" s="98"/>
      <c r="H1010" s="98"/>
      <c r="I1010" s="98"/>
      <c r="J1010" s="98"/>
      <c r="K1010" s="98"/>
      <c r="L1010" s="98"/>
      <c r="M1010" s="98"/>
      <c r="N1010" s="98"/>
      <c r="O1010" s="98"/>
      <c r="P1010" s="98"/>
      <c r="Q1010" s="98"/>
      <c r="R1010" s="98"/>
      <c r="S1010" s="98" t="str">
        <f>IFERROR(__xludf.DUMMYFUNCTION("""COMPUTED_VALUE"""),"-")</f>
        <v>-</v>
      </c>
      <c r="T1010" s="98"/>
    </row>
    <row r="1011">
      <c r="A1011" s="98"/>
      <c r="B1011" s="98"/>
      <c r="C1011" s="98"/>
      <c r="D1011" s="98"/>
      <c r="E1011" s="98"/>
      <c r="F1011" s="98"/>
      <c r="G1011" s="98"/>
      <c r="H1011" s="98"/>
      <c r="I1011" s="98"/>
      <c r="J1011" s="98"/>
      <c r="K1011" s="98"/>
      <c r="L1011" s="98"/>
      <c r="M1011" s="98"/>
      <c r="N1011" s="98"/>
      <c r="O1011" s="98"/>
      <c r="P1011" s="98"/>
      <c r="Q1011" s="98"/>
      <c r="R1011" s="98"/>
      <c r="S1011" s="98" t="str">
        <f>IFERROR(__xludf.DUMMYFUNCTION("""COMPUTED_VALUE"""),"-")</f>
        <v>-</v>
      </c>
      <c r="T1011" s="98"/>
    </row>
    <row r="1012">
      <c r="A1012" s="98"/>
      <c r="B1012" s="98"/>
      <c r="C1012" s="98"/>
      <c r="D1012" s="98"/>
      <c r="E1012" s="98"/>
      <c r="F1012" s="98"/>
      <c r="G1012" s="98"/>
      <c r="H1012" s="98"/>
      <c r="I1012" s="98"/>
      <c r="J1012" s="98"/>
      <c r="K1012" s="98"/>
      <c r="L1012" s="98"/>
      <c r="M1012" s="98"/>
      <c r="N1012" s="98"/>
      <c r="O1012" s="98"/>
      <c r="P1012" s="98"/>
      <c r="Q1012" s="98"/>
      <c r="R1012" s="98"/>
      <c r="S1012" s="98" t="str">
        <f>IFERROR(__xludf.DUMMYFUNCTION("""COMPUTED_VALUE"""),"-")</f>
        <v>-</v>
      </c>
      <c r="T1012" s="98"/>
    </row>
    <row r="1013">
      <c r="A1013" s="98"/>
      <c r="B1013" s="98"/>
      <c r="C1013" s="98"/>
      <c r="D1013" s="98"/>
      <c r="E1013" s="98"/>
      <c r="F1013" s="98"/>
      <c r="G1013" s="98"/>
      <c r="H1013" s="98"/>
      <c r="I1013" s="98"/>
      <c r="J1013" s="98"/>
      <c r="K1013" s="98"/>
      <c r="L1013" s="98"/>
      <c r="M1013" s="98"/>
      <c r="N1013" s="98"/>
      <c r="O1013" s="98"/>
      <c r="P1013" s="98"/>
      <c r="Q1013" s="98"/>
      <c r="R1013" s="98"/>
      <c r="S1013" s="98" t="str">
        <f>IFERROR(__xludf.DUMMYFUNCTION("""COMPUTED_VALUE"""),"-")</f>
        <v>-</v>
      </c>
      <c r="T1013" s="98"/>
    </row>
    <row r="1014">
      <c r="A1014" s="98"/>
      <c r="B1014" s="98"/>
      <c r="C1014" s="98"/>
      <c r="D1014" s="98"/>
      <c r="E1014" s="98"/>
      <c r="F1014" s="98"/>
      <c r="G1014" s="98"/>
      <c r="H1014" s="98"/>
      <c r="I1014" s="98"/>
      <c r="J1014" s="98"/>
      <c r="K1014" s="98"/>
      <c r="L1014" s="98"/>
      <c r="M1014" s="98"/>
      <c r="N1014" s="98"/>
      <c r="O1014" s="98"/>
      <c r="P1014" s="98"/>
      <c r="Q1014" s="98"/>
      <c r="R1014" s="98"/>
      <c r="S1014" s="98" t="str">
        <f>IFERROR(__xludf.DUMMYFUNCTION("""COMPUTED_VALUE"""),"-")</f>
        <v>-</v>
      </c>
      <c r="T1014" s="98"/>
    </row>
    <row r="1015">
      <c r="A1015" s="98"/>
      <c r="B1015" s="98"/>
      <c r="C1015" s="98"/>
      <c r="D1015" s="98"/>
      <c r="E1015" s="98"/>
      <c r="F1015" s="98"/>
      <c r="G1015" s="98"/>
      <c r="H1015" s="98"/>
      <c r="I1015" s="98"/>
      <c r="J1015" s="98"/>
      <c r="K1015" s="98"/>
      <c r="L1015" s="98"/>
      <c r="M1015" s="98"/>
      <c r="N1015" s="98"/>
      <c r="O1015" s="98"/>
      <c r="P1015" s="98"/>
      <c r="Q1015" s="98"/>
      <c r="R1015" s="98"/>
      <c r="S1015" s="98" t="str">
        <f>IFERROR(__xludf.DUMMYFUNCTION("""COMPUTED_VALUE"""),"-")</f>
        <v>-</v>
      </c>
      <c r="T1015" s="98"/>
    </row>
    <row r="1016">
      <c r="A1016" s="98"/>
      <c r="B1016" s="98"/>
      <c r="C1016" s="98"/>
      <c r="D1016" s="98"/>
      <c r="E1016" s="98"/>
      <c r="F1016" s="98"/>
      <c r="G1016" s="98"/>
      <c r="H1016" s="98"/>
      <c r="I1016" s="98"/>
      <c r="J1016" s="98"/>
      <c r="K1016" s="98"/>
      <c r="L1016" s="98"/>
      <c r="M1016" s="98"/>
      <c r="N1016" s="98"/>
      <c r="O1016" s="98"/>
      <c r="P1016" s="98"/>
      <c r="Q1016" s="98"/>
      <c r="R1016" s="98"/>
      <c r="S1016" s="98" t="str">
        <f>IFERROR(__xludf.DUMMYFUNCTION("""COMPUTED_VALUE"""),"-")</f>
        <v>-</v>
      </c>
      <c r="T1016" s="98"/>
    </row>
    <row r="1017">
      <c r="A1017" s="98"/>
      <c r="B1017" s="98"/>
      <c r="C1017" s="98"/>
      <c r="D1017" s="98"/>
      <c r="E1017" s="98"/>
      <c r="F1017" s="98"/>
      <c r="G1017" s="98"/>
      <c r="H1017" s="98"/>
      <c r="I1017" s="98"/>
      <c r="J1017" s="98"/>
      <c r="K1017" s="98"/>
      <c r="L1017" s="98"/>
      <c r="M1017" s="98"/>
      <c r="N1017" s="98"/>
      <c r="O1017" s="98"/>
      <c r="P1017" s="98"/>
      <c r="Q1017" s="98"/>
      <c r="R1017" s="98"/>
      <c r="S1017" s="98" t="str">
        <f>IFERROR(__xludf.DUMMYFUNCTION("""COMPUTED_VALUE"""),"-")</f>
        <v>-</v>
      </c>
      <c r="T1017" s="98"/>
    </row>
    <row r="1018">
      <c r="A1018" s="98"/>
      <c r="B1018" s="98"/>
      <c r="C1018" s="98"/>
      <c r="D1018" s="98"/>
      <c r="E1018" s="98"/>
      <c r="F1018" s="98"/>
      <c r="G1018" s="98"/>
      <c r="H1018" s="98"/>
      <c r="I1018" s="98"/>
      <c r="J1018" s="98"/>
      <c r="K1018" s="98"/>
      <c r="L1018" s="98"/>
      <c r="M1018" s="98"/>
      <c r="N1018" s="98"/>
      <c r="O1018" s="98"/>
      <c r="P1018" s="98"/>
      <c r="Q1018" s="98"/>
      <c r="R1018" s="98"/>
      <c r="S1018" s="98" t="str">
        <f>IFERROR(__xludf.DUMMYFUNCTION("""COMPUTED_VALUE"""),"-")</f>
        <v>-</v>
      </c>
      <c r="T1018" s="98"/>
    </row>
    <row r="1019">
      <c r="A1019" s="98"/>
      <c r="B1019" s="98"/>
      <c r="C1019" s="98"/>
      <c r="D1019" s="98"/>
      <c r="E1019" s="98"/>
      <c r="F1019" s="98"/>
      <c r="G1019" s="98"/>
      <c r="H1019" s="98"/>
      <c r="I1019" s="98"/>
      <c r="J1019" s="98"/>
      <c r="K1019" s="98"/>
      <c r="L1019" s="98"/>
      <c r="M1019" s="98"/>
      <c r="N1019" s="98"/>
      <c r="O1019" s="98"/>
      <c r="P1019" s="98"/>
      <c r="Q1019" s="98"/>
      <c r="R1019" s="98"/>
      <c r="S1019" s="98" t="str">
        <f>IFERROR(__xludf.DUMMYFUNCTION("""COMPUTED_VALUE"""),"-")</f>
        <v>-</v>
      </c>
      <c r="T1019" s="98"/>
    </row>
    <row r="1020">
      <c r="A1020" s="98"/>
      <c r="B1020" s="98"/>
      <c r="C1020" s="98"/>
      <c r="D1020" s="98"/>
      <c r="E1020" s="98"/>
      <c r="F1020" s="98"/>
      <c r="G1020" s="98"/>
      <c r="H1020" s="98"/>
      <c r="I1020" s="98"/>
      <c r="J1020" s="98"/>
      <c r="K1020" s="98"/>
      <c r="L1020" s="98"/>
      <c r="M1020" s="98"/>
      <c r="N1020" s="98"/>
      <c r="O1020" s="98"/>
      <c r="P1020" s="98"/>
      <c r="Q1020" s="98"/>
      <c r="R1020" s="98"/>
      <c r="S1020" s="98" t="str">
        <f>IFERROR(__xludf.DUMMYFUNCTION("""COMPUTED_VALUE"""),"-")</f>
        <v>-</v>
      </c>
      <c r="T1020" s="98"/>
    </row>
    <row r="1021">
      <c r="A1021" s="98"/>
      <c r="B1021" s="98"/>
      <c r="C1021" s="98"/>
      <c r="D1021" s="98"/>
      <c r="E1021" s="98"/>
      <c r="F1021" s="98"/>
      <c r="G1021" s="98"/>
      <c r="H1021" s="98"/>
      <c r="I1021" s="98"/>
      <c r="J1021" s="98"/>
      <c r="K1021" s="98"/>
      <c r="L1021" s="98"/>
      <c r="M1021" s="98"/>
      <c r="N1021" s="98"/>
      <c r="O1021" s="98"/>
      <c r="P1021" s="98"/>
      <c r="Q1021" s="98"/>
      <c r="R1021" s="98"/>
      <c r="S1021" s="98" t="str">
        <f>IFERROR(__xludf.DUMMYFUNCTION("""COMPUTED_VALUE"""),"-")</f>
        <v>-</v>
      </c>
      <c r="T1021" s="98"/>
    </row>
    <row r="1022">
      <c r="A1022" s="98"/>
      <c r="B1022" s="98"/>
      <c r="C1022" s="98"/>
      <c r="D1022" s="98"/>
      <c r="E1022" s="98"/>
      <c r="F1022" s="98"/>
      <c r="G1022" s="98"/>
      <c r="H1022" s="98"/>
      <c r="I1022" s="98"/>
      <c r="J1022" s="98"/>
      <c r="K1022" s="98"/>
      <c r="L1022" s="98"/>
      <c r="M1022" s="98"/>
      <c r="N1022" s="98"/>
      <c r="O1022" s="98"/>
      <c r="P1022" s="98"/>
      <c r="Q1022" s="98"/>
      <c r="R1022" s="98"/>
      <c r="S1022" s="98" t="str">
        <f>IFERROR(__xludf.DUMMYFUNCTION("""COMPUTED_VALUE"""),"-")</f>
        <v>-</v>
      </c>
      <c r="T1022" s="98"/>
    </row>
    <row r="1023">
      <c r="A1023" s="98"/>
      <c r="B1023" s="98"/>
      <c r="C1023" s="98"/>
      <c r="D1023" s="98"/>
      <c r="E1023" s="98"/>
      <c r="F1023" s="98"/>
      <c r="G1023" s="98"/>
      <c r="H1023" s="98"/>
      <c r="I1023" s="98"/>
      <c r="J1023" s="98"/>
      <c r="K1023" s="98"/>
      <c r="L1023" s="98"/>
      <c r="M1023" s="98"/>
      <c r="N1023" s="98"/>
      <c r="O1023" s="98"/>
      <c r="P1023" s="98"/>
      <c r="Q1023" s="98"/>
      <c r="R1023" s="98"/>
      <c r="S1023" s="98" t="str">
        <f>IFERROR(__xludf.DUMMYFUNCTION("""COMPUTED_VALUE"""),"-")</f>
        <v>-</v>
      </c>
      <c r="T1023" s="98"/>
    </row>
    <row r="1024">
      <c r="A1024" s="98"/>
      <c r="B1024" s="98"/>
      <c r="C1024" s="98"/>
      <c r="D1024" s="98"/>
      <c r="E1024" s="98"/>
      <c r="F1024" s="98"/>
      <c r="G1024" s="98"/>
      <c r="H1024" s="98"/>
      <c r="I1024" s="98"/>
      <c r="J1024" s="98"/>
      <c r="K1024" s="98"/>
      <c r="L1024" s="98"/>
      <c r="M1024" s="98"/>
      <c r="N1024" s="98"/>
      <c r="O1024" s="98"/>
      <c r="P1024" s="98"/>
      <c r="Q1024" s="98"/>
      <c r="R1024" s="98"/>
      <c r="S1024" s="98" t="str">
        <f>IFERROR(__xludf.DUMMYFUNCTION("""COMPUTED_VALUE"""),"-")</f>
        <v>-</v>
      </c>
      <c r="T1024" s="98"/>
    </row>
    <row r="1025">
      <c r="A1025" s="98"/>
      <c r="B1025" s="98"/>
      <c r="C1025" s="98"/>
      <c r="D1025" s="98"/>
      <c r="E1025" s="98"/>
      <c r="F1025" s="98"/>
      <c r="G1025" s="98"/>
      <c r="H1025" s="98"/>
      <c r="I1025" s="98"/>
      <c r="J1025" s="98"/>
      <c r="K1025" s="98"/>
      <c r="L1025" s="98"/>
      <c r="M1025" s="98"/>
      <c r="N1025" s="98"/>
      <c r="O1025" s="98"/>
      <c r="P1025" s="98"/>
      <c r="Q1025" s="98"/>
      <c r="R1025" s="98"/>
      <c r="S1025" s="98" t="str">
        <f>IFERROR(__xludf.DUMMYFUNCTION("""COMPUTED_VALUE"""),"-")</f>
        <v>-</v>
      </c>
      <c r="T1025" s="98"/>
    </row>
    <row r="1026">
      <c r="A1026" s="98"/>
      <c r="B1026" s="98"/>
      <c r="C1026" s="98"/>
      <c r="D1026" s="98"/>
      <c r="E1026" s="98"/>
      <c r="F1026" s="98"/>
      <c r="G1026" s="98"/>
      <c r="H1026" s="98"/>
      <c r="I1026" s="98"/>
      <c r="J1026" s="98"/>
      <c r="K1026" s="98"/>
      <c r="L1026" s="98"/>
      <c r="M1026" s="98"/>
      <c r="N1026" s="98"/>
      <c r="O1026" s="98"/>
      <c r="P1026" s="98"/>
      <c r="Q1026" s="98"/>
      <c r="R1026" s="98"/>
      <c r="S1026" s="98" t="str">
        <f>IFERROR(__xludf.DUMMYFUNCTION("""COMPUTED_VALUE"""),"-")</f>
        <v>-</v>
      </c>
      <c r="T1026" s="98"/>
    </row>
    <row r="1027">
      <c r="A1027" s="98"/>
      <c r="B1027" s="98"/>
      <c r="C1027" s="98"/>
      <c r="D1027" s="98"/>
      <c r="E1027" s="98"/>
      <c r="F1027" s="98"/>
      <c r="G1027" s="98"/>
      <c r="H1027" s="98"/>
      <c r="I1027" s="98"/>
      <c r="J1027" s="98"/>
      <c r="K1027" s="98"/>
      <c r="L1027" s="98"/>
      <c r="M1027" s="98"/>
      <c r="N1027" s="98"/>
      <c r="O1027" s="98"/>
      <c r="P1027" s="98"/>
      <c r="Q1027" s="98"/>
      <c r="R1027" s="98"/>
      <c r="S1027" s="98" t="str">
        <f>IFERROR(__xludf.DUMMYFUNCTION("""COMPUTED_VALUE"""),"-")</f>
        <v>-</v>
      </c>
      <c r="T1027" s="98"/>
    </row>
    <row r="1028">
      <c r="A1028" s="98"/>
      <c r="B1028" s="98"/>
      <c r="C1028" s="98"/>
      <c r="D1028" s="98"/>
      <c r="E1028" s="98"/>
      <c r="F1028" s="98"/>
      <c r="G1028" s="98"/>
      <c r="H1028" s="98"/>
      <c r="I1028" s="98"/>
      <c r="J1028" s="98"/>
      <c r="K1028" s="98"/>
      <c r="L1028" s="98"/>
      <c r="M1028" s="98"/>
      <c r="N1028" s="98"/>
      <c r="O1028" s="98"/>
      <c r="P1028" s="98"/>
      <c r="Q1028" s="98"/>
      <c r="R1028" s="98"/>
      <c r="S1028" s="98" t="str">
        <f>IFERROR(__xludf.DUMMYFUNCTION("""COMPUTED_VALUE"""),"-")</f>
        <v>-</v>
      </c>
      <c r="T1028" s="98"/>
    </row>
    <row r="1029">
      <c r="A1029" s="98"/>
      <c r="B1029" s="98"/>
      <c r="C1029" s="98"/>
      <c r="D1029" s="98"/>
      <c r="E1029" s="98"/>
      <c r="F1029" s="98"/>
      <c r="G1029" s="98"/>
      <c r="H1029" s="98"/>
      <c r="I1029" s="98"/>
      <c r="J1029" s="98"/>
      <c r="K1029" s="98"/>
      <c r="L1029" s="98"/>
      <c r="M1029" s="98"/>
      <c r="N1029" s="98"/>
      <c r="O1029" s="98"/>
      <c r="P1029" s="98"/>
      <c r="Q1029" s="98"/>
      <c r="R1029" s="98"/>
      <c r="S1029" s="98" t="str">
        <f>IFERROR(__xludf.DUMMYFUNCTION("""COMPUTED_VALUE"""),"-")</f>
        <v>-</v>
      </c>
      <c r="T1029" s="98"/>
    </row>
    <row r="1030">
      <c r="A1030" s="98"/>
      <c r="B1030" s="98"/>
      <c r="C1030" s="98"/>
      <c r="D1030" s="98"/>
      <c r="E1030" s="98"/>
      <c r="F1030" s="98"/>
      <c r="G1030" s="98"/>
      <c r="H1030" s="98"/>
      <c r="I1030" s="98"/>
      <c r="J1030" s="98"/>
      <c r="K1030" s="98"/>
      <c r="L1030" s="98"/>
      <c r="M1030" s="98"/>
      <c r="N1030" s="98"/>
      <c r="O1030" s="98"/>
      <c r="P1030" s="98"/>
      <c r="Q1030" s="98"/>
      <c r="R1030" s="98"/>
      <c r="S1030" s="98" t="str">
        <f>IFERROR(__xludf.DUMMYFUNCTION("""COMPUTED_VALUE"""),"-")</f>
        <v>-</v>
      </c>
      <c r="T1030" s="98"/>
    </row>
    <row r="1031">
      <c r="A1031" s="98"/>
      <c r="B1031" s="98"/>
      <c r="C1031" s="98"/>
      <c r="D1031" s="98"/>
      <c r="E1031" s="98"/>
      <c r="F1031" s="98"/>
      <c r="G1031" s="98"/>
      <c r="H1031" s="98"/>
      <c r="I1031" s="98"/>
      <c r="J1031" s="98"/>
      <c r="K1031" s="98"/>
      <c r="L1031" s="98"/>
      <c r="M1031" s="98"/>
      <c r="N1031" s="98"/>
      <c r="O1031" s="98"/>
      <c r="P1031" s="98"/>
      <c r="Q1031" s="98"/>
      <c r="R1031" s="98"/>
      <c r="S1031" s="98" t="str">
        <f>IFERROR(__xludf.DUMMYFUNCTION("""COMPUTED_VALUE"""),"-")</f>
        <v>-</v>
      </c>
      <c r="T1031" s="98"/>
    </row>
    <row r="1032">
      <c r="A1032" s="98"/>
      <c r="B1032" s="98"/>
      <c r="C1032" s="98"/>
      <c r="D1032" s="98"/>
      <c r="E1032" s="98"/>
      <c r="F1032" s="98"/>
      <c r="G1032" s="98"/>
      <c r="H1032" s="98"/>
      <c r="I1032" s="98"/>
      <c r="J1032" s="98"/>
      <c r="K1032" s="98"/>
      <c r="L1032" s="98"/>
      <c r="M1032" s="98"/>
      <c r="N1032" s="98"/>
      <c r="O1032" s="98"/>
      <c r="P1032" s="98"/>
      <c r="Q1032" s="98"/>
      <c r="R1032" s="98"/>
      <c r="S1032" s="98" t="str">
        <f>IFERROR(__xludf.DUMMYFUNCTION("""COMPUTED_VALUE"""),"-")</f>
        <v>-</v>
      </c>
      <c r="T1032" s="98"/>
    </row>
    <row r="1033">
      <c r="A1033" s="98"/>
      <c r="B1033" s="98"/>
      <c r="C1033" s="98"/>
      <c r="D1033" s="98"/>
      <c r="E1033" s="98"/>
      <c r="F1033" s="98"/>
      <c r="G1033" s="98"/>
      <c r="H1033" s="98"/>
      <c r="I1033" s="98"/>
      <c r="J1033" s="98"/>
      <c r="K1033" s="98"/>
      <c r="L1033" s="98"/>
      <c r="M1033" s="98"/>
      <c r="N1033" s="98"/>
      <c r="O1033" s="98"/>
      <c r="P1033" s="98"/>
      <c r="Q1033" s="98"/>
      <c r="R1033" s="98"/>
      <c r="S1033" s="98" t="str">
        <f>IFERROR(__xludf.DUMMYFUNCTION("""COMPUTED_VALUE"""),"-")</f>
        <v>-</v>
      </c>
      <c r="T1033" s="98"/>
    </row>
    <row r="1034">
      <c r="A1034" s="98"/>
      <c r="B1034" s="98"/>
      <c r="C1034" s="98"/>
      <c r="D1034" s="98"/>
      <c r="E1034" s="98"/>
      <c r="F1034" s="98"/>
      <c r="G1034" s="98"/>
      <c r="H1034" s="98"/>
      <c r="I1034" s="98"/>
      <c r="J1034" s="98"/>
      <c r="K1034" s="98"/>
      <c r="L1034" s="98"/>
      <c r="M1034" s="98"/>
      <c r="N1034" s="98"/>
      <c r="O1034" s="98"/>
      <c r="P1034" s="98"/>
      <c r="Q1034" s="98"/>
      <c r="R1034" s="98"/>
      <c r="S1034" s="98" t="str">
        <f>IFERROR(__xludf.DUMMYFUNCTION("""COMPUTED_VALUE"""),"-")</f>
        <v>-</v>
      </c>
      <c r="T1034" s="98"/>
    </row>
    <row r="1035">
      <c r="A1035" s="98"/>
      <c r="B1035" s="98"/>
      <c r="C1035" s="98"/>
      <c r="D1035" s="98"/>
      <c r="E1035" s="98"/>
      <c r="F1035" s="98"/>
      <c r="G1035" s="98"/>
      <c r="H1035" s="98"/>
      <c r="I1035" s="98"/>
      <c r="J1035" s="98"/>
      <c r="K1035" s="98"/>
      <c r="L1035" s="98"/>
      <c r="M1035" s="98"/>
      <c r="N1035" s="98"/>
      <c r="O1035" s="98"/>
      <c r="P1035" s="98"/>
      <c r="Q1035" s="98"/>
      <c r="R1035" s="98"/>
      <c r="S1035" s="98" t="str">
        <f>IFERROR(__xludf.DUMMYFUNCTION("""COMPUTED_VALUE"""),"-")</f>
        <v>-</v>
      </c>
      <c r="T1035" s="98"/>
    </row>
    <row r="1036">
      <c r="A1036" s="98"/>
      <c r="B1036" s="98"/>
      <c r="C1036" s="98"/>
      <c r="D1036" s="98"/>
      <c r="E1036" s="98"/>
      <c r="F1036" s="98"/>
      <c r="G1036" s="98"/>
      <c r="H1036" s="98"/>
      <c r="I1036" s="98"/>
      <c r="J1036" s="98"/>
      <c r="K1036" s="98"/>
      <c r="L1036" s="98"/>
      <c r="M1036" s="98"/>
      <c r="N1036" s="98"/>
      <c r="O1036" s="98"/>
      <c r="P1036" s="98"/>
      <c r="Q1036" s="98"/>
      <c r="R1036" s="98"/>
      <c r="S1036" s="98" t="str">
        <f>IFERROR(__xludf.DUMMYFUNCTION("""COMPUTED_VALUE"""),"-")</f>
        <v>-</v>
      </c>
      <c r="T1036" s="98"/>
    </row>
    <row r="1037">
      <c r="A1037" s="98"/>
      <c r="B1037" s="98"/>
      <c r="C1037" s="98"/>
      <c r="D1037" s="98"/>
      <c r="E1037" s="98"/>
      <c r="F1037" s="98"/>
      <c r="G1037" s="98"/>
      <c r="H1037" s="98"/>
      <c r="I1037" s="98"/>
      <c r="J1037" s="98"/>
      <c r="K1037" s="98"/>
      <c r="L1037" s="98"/>
      <c r="M1037" s="98"/>
      <c r="N1037" s="98"/>
      <c r="O1037" s="98"/>
      <c r="P1037" s="98"/>
      <c r="Q1037" s="98"/>
      <c r="R1037" s="98"/>
      <c r="S1037" s="98" t="str">
        <f>IFERROR(__xludf.DUMMYFUNCTION("""COMPUTED_VALUE"""),"-")</f>
        <v>-</v>
      </c>
      <c r="T1037" s="98"/>
    </row>
    <row r="1038">
      <c r="A1038" s="98"/>
      <c r="B1038" s="98"/>
      <c r="C1038" s="98"/>
      <c r="D1038" s="98"/>
      <c r="E1038" s="98"/>
      <c r="F1038" s="98"/>
      <c r="G1038" s="98"/>
      <c r="H1038" s="98"/>
      <c r="I1038" s="98"/>
      <c r="J1038" s="98"/>
      <c r="K1038" s="98"/>
      <c r="L1038" s="98"/>
      <c r="M1038" s="98"/>
      <c r="N1038" s="98"/>
      <c r="O1038" s="98"/>
      <c r="P1038" s="98"/>
      <c r="Q1038" s="98"/>
      <c r="R1038" s="98"/>
      <c r="S1038" s="98" t="str">
        <f>IFERROR(__xludf.DUMMYFUNCTION("""COMPUTED_VALUE"""),"-")</f>
        <v>-</v>
      </c>
      <c r="T1038" s="98"/>
    </row>
    <row r="1039">
      <c r="A1039" s="98"/>
      <c r="B1039" s="98"/>
      <c r="C1039" s="98"/>
      <c r="D1039" s="98"/>
      <c r="E1039" s="98"/>
      <c r="F1039" s="98"/>
      <c r="G1039" s="98"/>
      <c r="H1039" s="98"/>
      <c r="I1039" s="98"/>
      <c r="J1039" s="98"/>
      <c r="K1039" s="98"/>
      <c r="L1039" s="98"/>
      <c r="M1039" s="98"/>
      <c r="N1039" s="98"/>
      <c r="O1039" s="98"/>
      <c r="P1039" s="98"/>
      <c r="Q1039" s="98"/>
      <c r="R1039" s="98"/>
      <c r="S1039" s="98" t="str">
        <f>IFERROR(__xludf.DUMMYFUNCTION("""COMPUTED_VALUE"""),"-")</f>
        <v>-</v>
      </c>
      <c r="T1039" s="98"/>
    </row>
    <row r="1040">
      <c r="A1040" s="98"/>
      <c r="B1040" s="98"/>
      <c r="C1040" s="98"/>
      <c r="D1040" s="98"/>
      <c r="E1040" s="98"/>
      <c r="F1040" s="98"/>
      <c r="G1040" s="98"/>
      <c r="H1040" s="98"/>
      <c r="I1040" s="98"/>
      <c r="J1040" s="98"/>
      <c r="K1040" s="98"/>
      <c r="L1040" s="98"/>
      <c r="M1040" s="98"/>
      <c r="N1040" s="98"/>
      <c r="O1040" s="98"/>
      <c r="P1040" s="98"/>
      <c r="Q1040" s="98"/>
      <c r="R1040" s="98"/>
      <c r="S1040" s="98" t="str">
        <f>IFERROR(__xludf.DUMMYFUNCTION("""COMPUTED_VALUE"""),"-")</f>
        <v>-</v>
      </c>
      <c r="T1040" s="98"/>
    </row>
    <row r="1041">
      <c r="A1041" s="98"/>
      <c r="B1041" s="98"/>
      <c r="C1041" s="98"/>
      <c r="D1041" s="98"/>
      <c r="E1041" s="98"/>
      <c r="F1041" s="98"/>
      <c r="G1041" s="98"/>
      <c r="H1041" s="98"/>
      <c r="I1041" s="98"/>
      <c r="J1041" s="98"/>
      <c r="K1041" s="98"/>
      <c r="L1041" s="98"/>
      <c r="M1041" s="98"/>
      <c r="N1041" s="98"/>
      <c r="O1041" s="98"/>
      <c r="P1041" s="98"/>
      <c r="Q1041" s="98"/>
      <c r="R1041" s="98"/>
      <c r="S1041" s="98" t="str">
        <f>IFERROR(__xludf.DUMMYFUNCTION("""COMPUTED_VALUE"""),"-")</f>
        <v>-</v>
      </c>
      <c r="T1041" s="98"/>
    </row>
    <row r="1042">
      <c r="A1042" s="98"/>
      <c r="B1042" s="98"/>
      <c r="C1042" s="98"/>
      <c r="D1042" s="98"/>
      <c r="E1042" s="98"/>
      <c r="F1042" s="98"/>
      <c r="G1042" s="98"/>
      <c r="H1042" s="98"/>
      <c r="I1042" s="98"/>
      <c r="J1042" s="98"/>
      <c r="K1042" s="98"/>
      <c r="L1042" s="98"/>
      <c r="M1042" s="98"/>
      <c r="N1042" s="98"/>
      <c r="O1042" s="98"/>
      <c r="P1042" s="98"/>
      <c r="Q1042" s="98"/>
      <c r="R1042" s="98"/>
      <c r="S1042" s="98" t="str">
        <f>IFERROR(__xludf.DUMMYFUNCTION("""COMPUTED_VALUE"""),"-")</f>
        <v>-</v>
      </c>
      <c r="T1042" s="98"/>
    </row>
    <row r="1043">
      <c r="A1043" s="98"/>
      <c r="B1043" s="98"/>
      <c r="C1043" s="98"/>
      <c r="D1043" s="98"/>
      <c r="E1043" s="98"/>
      <c r="F1043" s="98"/>
      <c r="G1043" s="98"/>
      <c r="H1043" s="98"/>
      <c r="I1043" s="98"/>
      <c r="J1043" s="98"/>
      <c r="K1043" s="98"/>
      <c r="L1043" s="98"/>
      <c r="M1043" s="98"/>
      <c r="N1043" s="98"/>
      <c r="O1043" s="98"/>
      <c r="P1043" s="98"/>
      <c r="Q1043" s="98"/>
      <c r="R1043" s="98"/>
      <c r="S1043" s="98" t="str">
        <f>IFERROR(__xludf.DUMMYFUNCTION("""COMPUTED_VALUE"""),"-")</f>
        <v>-</v>
      </c>
      <c r="T1043" s="98"/>
    </row>
    <row r="1044">
      <c r="A1044" s="98"/>
      <c r="B1044" s="98"/>
      <c r="C1044" s="98"/>
      <c r="D1044" s="98"/>
      <c r="E1044" s="98"/>
      <c r="F1044" s="98"/>
      <c r="G1044" s="98"/>
      <c r="H1044" s="98"/>
      <c r="I1044" s="98"/>
      <c r="J1044" s="98"/>
      <c r="K1044" s="98"/>
      <c r="L1044" s="98"/>
      <c r="M1044" s="98"/>
      <c r="N1044" s="98"/>
      <c r="O1044" s="98"/>
      <c r="P1044" s="98"/>
      <c r="Q1044" s="98"/>
      <c r="R1044" s="98"/>
      <c r="S1044" s="98" t="str">
        <f>IFERROR(__xludf.DUMMYFUNCTION("""COMPUTED_VALUE"""),"-")</f>
        <v>-</v>
      </c>
      <c r="T1044" s="98"/>
    </row>
    <row r="1045">
      <c r="A1045" s="98"/>
      <c r="B1045" s="98"/>
      <c r="C1045" s="98"/>
      <c r="D1045" s="98"/>
      <c r="E1045" s="98"/>
      <c r="F1045" s="98"/>
      <c r="G1045" s="98"/>
      <c r="H1045" s="98"/>
      <c r="I1045" s="98"/>
      <c r="J1045" s="98"/>
      <c r="K1045" s="98"/>
      <c r="L1045" s="98"/>
      <c r="M1045" s="98"/>
      <c r="N1045" s="98"/>
      <c r="O1045" s="98"/>
      <c r="P1045" s="98"/>
      <c r="Q1045" s="98"/>
      <c r="R1045" s="98"/>
      <c r="S1045" s="98" t="str">
        <f>IFERROR(__xludf.DUMMYFUNCTION("""COMPUTED_VALUE"""),"-")</f>
        <v>-</v>
      </c>
      <c r="T1045" s="98"/>
    </row>
    <row r="1046">
      <c r="A1046" s="98"/>
      <c r="B1046" s="98"/>
      <c r="C1046" s="98"/>
      <c r="D1046" s="98"/>
      <c r="E1046" s="98"/>
      <c r="F1046" s="98"/>
      <c r="G1046" s="98"/>
      <c r="H1046" s="98"/>
      <c r="I1046" s="98"/>
      <c r="J1046" s="98"/>
      <c r="K1046" s="98"/>
      <c r="L1046" s="98"/>
      <c r="M1046" s="98"/>
      <c r="N1046" s="98"/>
      <c r="O1046" s="98"/>
      <c r="P1046" s="98"/>
      <c r="Q1046" s="98"/>
      <c r="R1046" s="98"/>
      <c r="S1046" s="98" t="str">
        <f>IFERROR(__xludf.DUMMYFUNCTION("""COMPUTED_VALUE"""),"-")</f>
        <v>-</v>
      </c>
      <c r="T1046" s="98"/>
    </row>
    <row r="1047">
      <c r="A1047" s="98"/>
      <c r="B1047" s="98"/>
      <c r="C1047" s="98"/>
      <c r="D1047" s="98"/>
      <c r="E1047" s="98"/>
      <c r="F1047" s="98"/>
      <c r="G1047" s="98"/>
      <c r="H1047" s="98"/>
      <c r="I1047" s="98"/>
      <c r="J1047" s="98"/>
      <c r="K1047" s="98"/>
      <c r="L1047" s="98"/>
      <c r="M1047" s="98"/>
      <c r="N1047" s="98"/>
      <c r="O1047" s="98"/>
      <c r="P1047" s="98"/>
      <c r="Q1047" s="98"/>
      <c r="R1047" s="98"/>
      <c r="S1047" s="98" t="str">
        <f>IFERROR(__xludf.DUMMYFUNCTION("""COMPUTED_VALUE"""),"-")</f>
        <v>-</v>
      </c>
      <c r="T1047" s="98"/>
    </row>
    <row r="1048">
      <c r="A1048" s="98"/>
      <c r="B1048" s="98"/>
      <c r="C1048" s="98"/>
      <c r="D1048" s="98"/>
      <c r="E1048" s="98"/>
      <c r="F1048" s="98"/>
      <c r="G1048" s="98"/>
      <c r="H1048" s="98"/>
      <c r="I1048" s="98"/>
      <c r="J1048" s="98"/>
      <c r="K1048" s="98"/>
      <c r="L1048" s="98"/>
      <c r="M1048" s="98"/>
      <c r="N1048" s="98"/>
      <c r="O1048" s="98"/>
      <c r="P1048" s="98"/>
      <c r="Q1048" s="98"/>
      <c r="R1048" s="98"/>
      <c r="S1048" s="98" t="str">
        <f>IFERROR(__xludf.DUMMYFUNCTION("""COMPUTED_VALUE"""),"-")</f>
        <v>-</v>
      </c>
      <c r="T1048" s="98"/>
    </row>
    <row r="1049">
      <c r="A1049" s="98"/>
      <c r="B1049" s="98"/>
      <c r="C1049" s="98"/>
      <c r="D1049" s="98"/>
      <c r="E1049" s="98"/>
      <c r="F1049" s="98"/>
      <c r="G1049" s="98"/>
      <c r="H1049" s="98"/>
      <c r="I1049" s="98"/>
      <c r="J1049" s="98"/>
      <c r="K1049" s="98"/>
      <c r="L1049" s="98"/>
      <c r="M1049" s="98"/>
      <c r="N1049" s="98"/>
      <c r="O1049" s="98"/>
      <c r="P1049" s="98"/>
      <c r="Q1049" s="98"/>
      <c r="R1049" s="98"/>
      <c r="S1049" s="98" t="str">
        <f>IFERROR(__xludf.DUMMYFUNCTION("""COMPUTED_VALUE"""),"-")</f>
        <v>-</v>
      </c>
      <c r="T1049" s="98"/>
    </row>
    <row r="1050">
      <c r="A1050" s="98"/>
      <c r="B1050" s="98"/>
      <c r="C1050" s="98"/>
      <c r="D1050" s="98"/>
      <c r="E1050" s="98"/>
      <c r="F1050" s="98"/>
      <c r="G1050" s="98"/>
      <c r="H1050" s="98"/>
      <c r="I1050" s="98"/>
      <c r="J1050" s="98"/>
      <c r="K1050" s="98"/>
      <c r="L1050" s="98"/>
      <c r="M1050" s="98"/>
      <c r="N1050" s="98"/>
      <c r="O1050" s="98"/>
      <c r="P1050" s="98"/>
      <c r="Q1050" s="98"/>
      <c r="R1050" s="98"/>
      <c r="S1050" s="98" t="str">
        <f>IFERROR(__xludf.DUMMYFUNCTION("""COMPUTED_VALUE"""),"-")</f>
        <v>-</v>
      </c>
      <c r="T1050" s="98"/>
    </row>
    <row r="1051">
      <c r="A1051" s="98"/>
      <c r="B1051" s="98"/>
      <c r="C1051" s="98"/>
      <c r="D1051" s="98"/>
      <c r="E1051" s="98"/>
      <c r="F1051" s="98"/>
      <c r="G1051" s="98"/>
      <c r="H1051" s="98"/>
      <c r="I1051" s="98"/>
      <c r="J1051" s="98"/>
      <c r="K1051" s="98"/>
      <c r="L1051" s="98"/>
      <c r="M1051" s="98"/>
      <c r="N1051" s="98"/>
      <c r="O1051" s="98"/>
      <c r="P1051" s="98"/>
      <c r="Q1051" s="98"/>
      <c r="R1051" s="98"/>
      <c r="S1051" s="98" t="str">
        <f>IFERROR(__xludf.DUMMYFUNCTION("""COMPUTED_VALUE"""),"-")</f>
        <v>-</v>
      </c>
      <c r="T1051" s="98"/>
    </row>
    <row r="1052">
      <c r="A1052" s="98"/>
      <c r="B1052" s="98"/>
      <c r="C1052" s="98"/>
      <c r="D1052" s="98"/>
      <c r="E1052" s="98"/>
      <c r="F1052" s="98"/>
      <c r="G1052" s="98"/>
      <c r="H1052" s="98"/>
      <c r="I1052" s="98"/>
      <c r="J1052" s="98"/>
      <c r="K1052" s="98"/>
      <c r="L1052" s="98"/>
      <c r="M1052" s="98"/>
      <c r="N1052" s="98"/>
      <c r="O1052" s="98"/>
      <c r="P1052" s="98"/>
      <c r="Q1052" s="98"/>
      <c r="R1052" s="98"/>
      <c r="S1052" s="98" t="str">
        <f>IFERROR(__xludf.DUMMYFUNCTION("""COMPUTED_VALUE"""),"-")</f>
        <v>-</v>
      </c>
      <c r="T1052" s="98"/>
    </row>
    <row r="1053">
      <c r="A1053" s="98"/>
      <c r="B1053" s="98"/>
      <c r="C1053" s="98"/>
      <c r="D1053" s="98"/>
      <c r="E1053" s="98"/>
      <c r="F1053" s="98"/>
      <c r="G1053" s="98"/>
      <c r="H1053" s="98"/>
      <c r="I1053" s="98"/>
      <c r="J1053" s="98"/>
      <c r="K1053" s="98"/>
      <c r="L1053" s="98"/>
      <c r="M1053" s="98"/>
      <c r="N1053" s="98"/>
      <c r="O1053" s="98"/>
      <c r="P1053" s="98"/>
      <c r="Q1053" s="98"/>
      <c r="R1053" s="98"/>
      <c r="S1053" s="98" t="str">
        <f>IFERROR(__xludf.DUMMYFUNCTION("""COMPUTED_VALUE"""),"-")</f>
        <v>-</v>
      </c>
      <c r="T1053" s="98"/>
    </row>
    <row r="1054">
      <c r="A1054" s="98"/>
      <c r="B1054" s="98"/>
      <c r="C1054" s="98"/>
      <c r="D1054" s="98"/>
      <c r="E1054" s="98"/>
      <c r="F1054" s="98"/>
      <c r="G1054" s="98"/>
      <c r="H1054" s="98"/>
      <c r="I1054" s="98"/>
      <c r="J1054" s="98"/>
      <c r="K1054" s="98"/>
      <c r="L1054" s="98"/>
      <c r="M1054" s="98"/>
      <c r="N1054" s="98"/>
      <c r="O1054" s="98"/>
      <c r="P1054" s="98"/>
      <c r="Q1054" s="98"/>
      <c r="R1054" s="98"/>
      <c r="S1054" s="98" t="str">
        <f>IFERROR(__xludf.DUMMYFUNCTION("""COMPUTED_VALUE"""),"-")</f>
        <v>-</v>
      </c>
      <c r="T1054" s="98"/>
    </row>
    <row r="1055">
      <c r="A1055" s="98"/>
      <c r="B1055" s="98"/>
      <c r="C1055" s="98"/>
      <c r="D1055" s="98"/>
      <c r="E1055" s="98"/>
      <c r="F1055" s="98"/>
      <c r="G1055" s="98"/>
      <c r="H1055" s="98"/>
      <c r="I1055" s="98"/>
      <c r="J1055" s="98"/>
      <c r="K1055" s="98"/>
      <c r="L1055" s="98"/>
      <c r="M1055" s="98"/>
      <c r="N1055" s="98"/>
      <c r="O1055" s="98"/>
      <c r="P1055" s="98"/>
      <c r="Q1055" s="98"/>
      <c r="R1055" s="98"/>
      <c r="S1055" s="98" t="str">
        <f>IFERROR(__xludf.DUMMYFUNCTION("""COMPUTED_VALUE"""),"-")</f>
        <v>-</v>
      </c>
      <c r="T1055" s="98"/>
    </row>
    <row r="1056">
      <c r="A1056" s="98"/>
      <c r="B1056" s="98"/>
      <c r="C1056" s="98"/>
      <c r="D1056" s="98"/>
      <c r="E1056" s="98"/>
      <c r="F1056" s="98"/>
      <c r="G1056" s="98"/>
      <c r="H1056" s="98"/>
      <c r="I1056" s="98"/>
      <c r="J1056" s="98"/>
      <c r="K1056" s="98"/>
      <c r="L1056" s="98"/>
      <c r="M1056" s="98"/>
      <c r="N1056" s="98"/>
      <c r="O1056" s="98"/>
      <c r="P1056" s="98"/>
      <c r="Q1056" s="98"/>
      <c r="R1056" s="98"/>
      <c r="S1056" s="98" t="str">
        <f>IFERROR(__xludf.DUMMYFUNCTION("""COMPUTED_VALUE"""),"-")</f>
        <v>-</v>
      </c>
      <c r="T1056" s="98"/>
    </row>
    <row r="1057">
      <c r="A1057" s="98"/>
      <c r="B1057" s="98"/>
      <c r="C1057" s="98"/>
      <c r="D1057" s="98"/>
      <c r="E1057" s="98"/>
      <c r="F1057" s="98"/>
      <c r="G1057" s="98"/>
      <c r="H1057" s="98"/>
      <c r="I1057" s="98"/>
      <c r="J1057" s="98"/>
      <c r="K1057" s="98"/>
      <c r="L1057" s="98"/>
      <c r="M1057" s="98"/>
      <c r="N1057" s="98"/>
      <c r="O1057" s="98"/>
      <c r="P1057" s="98"/>
      <c r="Q1057" s="98"/>
      <c r="R1057" s="98"/>
      <c r="S1057" s="98" t="str">
        <f>IFERROR(__xludf.DUMMYFUNCTION("""COMPUTED_VALUE"""),"-")</f>
        <v>-</v>
      </c>
      <c r="T1057" s="98"/>
    </row>
    <row r="1058">
      <c r="A1058" s="98"/>
      <c r="B1058" s="98"/>
      <c r="C1058" s="98"/>
      <c r="D1058" s="98"/>
      <c r="E1058" s="98"/>
      <c r="F1058" s="98"/>
      <c r="G1058" s="98"/>
      <c r="H1058" s="98"/>
      <c r="I1058" s="98"/>
      <c r="J1058" s="98"/>
      <c r="K1058" s="98"/>
      <c r="L1058" s="98"/>
      <c r="M1058" s="98"/>
      <c r="N1058" s="98"/>
      <c r="O1058" s="98"/>
      <c r="P1058" s="98"/>
      <c r="Q1058" s="98"/>
      <c r="R1058" s="98"/>
      <c r="S1058" s="98" t="str">
        <f>IFERROR(__xludf.DUMMYFUNCTION("""COMPUTED_VALUE"""),"-")</f>
        <v>-</v>
      </c>
      <c r="T1058" s="98"/>
    </row>
    <row r="1059">
      <c r="A1059" s="98"/>
      <c r="B1059" s="98"/>
      <c r="C1059" s="98"/>
      <c r="D1059" s="98"/>
      <c r="E1059" s="98"/>
      <c r="F1059" s="98"/>
      <c r="G1059" s="98"/>
      <c r="H1059" s="98"/>
      <c r="I1059" s="98"/>
      <c r="J1059" s="98"/>
      <c r="K1059" s="98"/>
      <c r="L1059" s="98"/>
      <c r="M1059" s="98"/>
      <c r="N1059" s="98"/>
      <c r="O1059" s="98"/>
      <c r="P1059" s="98"/>
      <c r="Q1059" s="98"/>
      <c r="R1059" s="98"/>
      <c r="S1059" s="98" t="str">
        <f>IFERROR(__xludf.DUMMYFUNCTION("""COMPUTED_VALUE"""),"-")</f>
        <v>-</v>
      </c>
      <c r="T1059" s="98"/>
    </row>
    <row r="1060">
      <c r="A1060" s="98"/>
      <c r="B1060" s="98"/>
      <c r="C1060" s="98"/>
      <c r="D1060" s="98"/>
      <c r="E1060" s="98"/>
      <c r="F1060" s="98"/>
      <c r="G1060" s="98"/>
      <c r="H1060" s="98"/>
      <c r="I1060" s="98"/>
      <c r="J1060" s="98"/>
      <c r="K1060" s="98"/>
      <c r="L1060" s="98"/>
      <c r="M1060" s="98"/>
      <c r="N1060" s="98"/>
      <c r="O1060" s="98"/>
      <c r="P1060" s="98"/>
      <c r="Q1060" s="98"/>
      <c r="R1060" s="98"/>
      <c r="S1060" s="98" t="str">
        <f>IFERROR(__xludf.DUMMYFUNCTION("""COMPUTED_VALUE"""),"-")</f>
        <v>-</v>
      </c>
      <c r="T1060" s="98"/>
    </row>
    <row r="1061">
      <c r="A1061" s="98"/>
      <c r="B1061" s="98"/>
      <c r="C1061" s="98"/>
      <c r="D1061" s="98"/>
      <c r="E1061" s="98"/>
      <c r="F1061" s="98"/>
      <c r="G1061" s="98"/>
      <c r="H1061" s="98"/>
      <c r="I1061" s="98"/>
      <c r="J1061" s="98"/>
      <c r="K1061" s="98"/>
      <c r="L1061" s="98"/>
      <c r="M1061" s="98"/>
      <c r="N1061" s="98"/>
      <c r="O1061" s="98"/>
      <c r="P1061" s="98"/>
      <c r="Q1061" s="98"/>
      <c r="R1061" s="98"/>
      <c r="S1061" s="98" t="str">
        <f>IFERROR(__xludf.DUMMYFUNCTION("""COMPUTED_VALUE"""),"-")</f>
        <v>-</v>
      </c>
      <c r="T1061" s="98"/>
    </row>
    <row r="1062">
      <c r="A1062" s="98"/>
      <c r="B1062" s="98"/>
      <c r="C1062" s="98"/>
      <c r="D1062" s="98"/>
      <c r="E1062" s="98"/>
      <c r="F1062" s="98"/>
      <c r="G1062" s="98"/>
      <c r="H1062" s="98"/>
      <c r="I1062" s="98"/>
      <c r="J1062" s="98"/>
      <c r="K1062" s="98"/>
      <c r="L1062" s="98"/>
      <c r="M1062" s="98"/>
      <c r="N1062" s="98"/>
      <c r="O1062" s="98"/>
      <c r="P1062" s="98"/>
      <c r="Q1062" s="98"/>
      <c r="R1062" s="98"/>
      <c r="S1062" s="98" t="str">
        <f>IFERROR(__xludf.DUMMYFUNCTION("""COMPUTED_VALUE"""),"-")</f>
        <v>-</v>
      </c>
      <c r="T1062" s="98"/>
    </row>
    <row r="1063">
      <c r="A1063" s="98"/>
      <c r="B1063" s="98"/>
      <c r="C1063" s="98"/>
      <c r="D1063" s="98"/>
      <c r="E1063" s="98"/>
      <c r="F1063" s="98"/>
      <c r="G1063" s="98"/>
      <c r="H1063" s="98"/>
      <c r="I1063" s="98"/>
      <c r="J1063" s="98"/>
      <c r="K1063" s="98"/>
      <c r="L1063" s="98"/>
      <c r="M1063" s="98"/>
      <c r="N1063" s="98"/>
      <c r="O1063" s="98"/>
      <c r="P1063" s="98"/>
      <c r="Q1063" s="98"/>
      <c r="R1063" s="98"/>
      <c r="S1063" s="98" t="str">
        <f>IFERROR(__xludf.DUMMYFUNCTION("""COMPUTED_VALUE"""),"-")</f>
        <v>-</v>
      </c>
      <c r="T1063" s="98"/>
    </row>
    <row r="1064">
      <c r="A1064" s="98"/>
      <c r="B1064" s="98"/>
      <c r="C1064" s="98"/>
      <c r="D1064" s="98"/>
      <c r="E1064" s="98"/>
      <c r="F1064" s="98"/>
      <c r="G1064" s="98"/>
      <c r="H1064" s="98"/>
      <c r="I1064" s="98"/>
      <c r="J1064" s="98"/>
      <c r="K1064" s="98"/>
      <c r="L1064" s="98"/>
      <c r="M1064" s="98"/>
      <c r="N1064" s="98"/>
      <c r="O1064" s="98"/>
      <c r="P1064" s="98"/>
      <c r="Q1064" s="98"/>
      <c r="R1064" s="98"/>
      <c r="S1064" s="98" t="str">
        <f>IFERROR(__xludf.DUMMYFUNCTION("""COMPUTED_VALUE"""),"-")</f>
        <v>-</v>
      </c>
      <c r="T1064" s="98"/>
    </row>
    <row r="1065">
      <c r="A1065" s="98"/>
      <c r="B1065" s="98"/>
      <c r="C1065" s="98"/>
      <c r="D1065" s="98"/>
      <c r="E1065" s="98"/>
      <c r="F1065" s="98"/>
      <c r="G1065" s="98"/>
      <c r="H1065" s="98"/>
      <c r="I1065" s="98"/>
      <c r="J1065" s="98"/>
      <c r="K1065" s="98"/>
      <c r="L1065" s="98"/>
      <c r="M1065" s="98"/>
      <c r="N1065" s="98"/>
      <c r="O1065" s="98"/>
      <c r="P1065" s="98"/>
      <c r="Q1065" s="98"/>
      <c r="R1065" s="98"/>
      <c r="S1065" s="98" t="str">
        <f>IFERROR(__xludf.DUMMYFUNCTION("""COMPUTED_VALUE"""),"-")</f>
        <v>-</v>
      </c>
      <c r="T1065" s="98"/>
    </row>
    <row r="1066">
      <c r="A1066" s="98"/>
      <c r="B1066" s="98"/>
      <c r="C1066" s="98"/>
      <c r="D1066" s="98"/>
      <c r="E1066" s="98"/>
      <c r="F1066" s="98"/>
      <c r="G1066" s="98"/>
      <c r="H1066" s="98"/>
      <c r="I1066" s="98"/>
      <c r="J1066" s="98"/>
      <c r="K1066" s="98"/>
      <c r="L1066" s="98"/>
      <c r="M1066" s="98"/>
      <c r="N1066" s="98"/>
      <c r="O1066" s="98"/>
      <c r="P1066" s="98"/>
      <c r="Q1066" s="98"/>
      <c r="R1066" s="98"/>
      <c r="S1066" s="98" t="str">
        <f>IFERROR(__xludf.DUMMYFUNCTION("""COMPUTED_VALUE"""),"-")</f>
        <v>-</v>
      </c>
      <c r="T1066" s="98"/>
    </row>
    <row r="1067">
      <c r="A1067" s="98"/>
      <c r="B1067" s="98"/>
      <c r="C1067" s="98"/>
      <c r="D1067" s="98"/>
      <c r="E1067" s="98"/>
      <c r="F1067" s="98"/>
      <c r="G1067" s="98"/>
      <c r="H1067" s="98"/>
      <c r="I1067" s="98"/>
      <c r="J1067" s="98"/>
      <c r="K1067" s="98"/>
      <c r="L1067" s="98"/>
      <c r="M1067" s="98"/>
      <c r="N1067" s="98"/>
      <c r="O1067" s="98"/>
      <c r="P1067" s="98"/>
      <c r="Q1067" s="98"/>
      <c r="R1067" s="98"/>
      <c r="S1067" s="98" t="str">
        <f>IFERROR(__xludf.DUMMYFUNCTION("""COMPUTED_VALUE"""),"-")</f>
        <v>-</v>
      </c>
      <c r="T1067" s="98"/>
    </row>
    <row r="1068">
      <c r="A1068" s="98"/>
      <c r="B1068" s="98"/>
      <c r="C1068" s="98"/>
      <c r="D1068" s="98"/>
      <c r="E1068" s="98"/>
      <c r="F1068" s="98"/>
      <c r="G1068" s="98"/>
      <c r="H1068" s="98"/>
      <c r="I1068" s="98"/>
      <c r="J1068" s="98"/>
      <c r="K1068" s="98"/>
      <c r="L1068" s="98"/>
      <c r="M1068" s="98"/>
      <c r="N1068" s="98"/>
      <c r="O1068" s="98"/>
      <c r="P1068" s="98"/>
      <c r="Q1068" s="98"/>
      <c r="R1068" s="98"/>
      <c r="S1068" s="98" t="str">
        <f>IFERROR(__xludf.DUMMYFUNCTION("""COMPUTED_VALUE"""),"-")</f>
        <v>-</v>
      </c>
      <c r="T1068" s="98"/>
    </row>
    <row r="1069">
      <c r="A1069" s="98"/>
      <c r="B1069" s="98"/>
      <c r="C1069" s="98"/>
      <c r="D1069" s="98"/>
      <c r="E1069" s="98"/>
      <c r="F1069" s="98"/>
      <c r="G1069" s="98"/>
      <c r="H1069" s="98"/>
      <c r="I1069" s="98"/>
      <c r="J1069" s="98"/>
      <c r="K1069" s="98"/>
      <c r="L1069" s="98"/>
      <c r="M1069" s="98"/>
      <c r="N1069" s="98"/>
      <c r="O1069" s="98"/>
      <c r="P1069" s="98"/>
      <c r="Q1069" s="98"/>
      <c r="R1069" s="98"/>
      <c r="S1069" s="98" t="str">
        <f>IFERROR(__xludf.DUMMYFUNCTION("""COMPUTED_VALUE"""),"-")</f>
        <v>-</v>
      </c>
      <c r="T1069" s="98"/>
    </row>
    <row r="1070">
      <c r="A1070" s="98"/>
      <c r="B1070" s="98"/>
      <c r="C1070" s="98"/>
      <c r="D1070" s="98"/>
      <c r="E1070" s="98"/>
      <c r="F1070" s="98"/>
      <c r="G1070" s="98"/>
      <c r="H1070" s="98"/>
      <c r="I1070" s="98"/>
      <c r="J1070" s="98"/>
      <c r="K1070" s="98"/>
      <c r="L1070" s="98"/>
      <c r="M1070" s="98"/>
      <c r="N1070" s="98"/>
      <c r="O1070" s="98"/>
      <c r="P1070" s="98"/>
      <c r="Q1070" s="98"/>
      <c r="R1070" s="98"/>
      <c r="S1070" s="98" t="str">
        <f>IFERROR(__xludf.DUMMYFUNCTION("""COMPUTED_VALUE"""),"-")</f>
        <v>-</v>
      </c>
      <c r="T1070" s="98"/>
    </row>
    <row r="1071">
      <c r="A1071" s="98"/>
      <c r="B1071" s="98"/>
      <c r="C1071" s="98"/>
      <c r="D1071" s="98"/>
      <c r="E1071" s="98"/>
      <c r="F1071" s="98"/>
      <c r="G1071" s="98"/>
      <c r="H1071" s="98"/>
      <c r="I1071" s="98"/>
      <c r="J1071" s="98"/>
      <c r="K1071" s="98"/>
      <c r="L1071" s="98"/>
      <c r="M1071" s="98"/>
      <c r="N1071" s="98"/>
      <c r="O1071" s="98"/>
      <c r="P1071" s="98"/>
      <c r="Q1071" s="98"/>
      <c r="R1071" s="98"/>
      <c r="S1071" s="98" t="str">
        <f>IFERROR(__xludf.DUMMYFUNCTION("""COMPUTED_VALUE"""),"-")</f>
        <v>-</v>
      </c>
      <c r="T1071" s="98"/>
    </row>
    <row r="1072">
      <c r="A1072" s="98"/>
      <c r="B1072" s="98"/>
      <c r="C1072" s="98"/>
      <c r="D1072" s="98"/>
      <c r="E1072" s="98"/>
      <c r="F1072" s="98"/>
      <c r="G1072" s="98"/>
      <c r="H1072" s="98"/>
      <c r="I1072" s="98"/>
      <c r="J1072" s="98"/>
      <c r="K1072" s="98"/>
      <c r="L1072" s="98"/>
      <c r="M1072" s="98"/>
      <c r="N1072" s="98"/>
      <c r="O1072" s="98"/>
      <c r="P1072" s="98"/>
      <c r="Q1072" s="98"/>
      <c r="R1072" s="98"/>
      <c r="S1072" s="98" t="str">
        <f>IFERROR(__xludf.DUMMYFUNCTION("""COMPUTED_VALUE"""),"-")</f>
        <v>-</v>
      </c>
      <c r="T1072" s="98"/>
    </row>
    <row r="1073">
      <c r="A1073" s="98"/>
      <c r="B1073" s="98"/>
      <c r="C1073" s="98"/>
      <c r="D1073" s="98"/>
      <c r="E1073" s="98"/>
      <c r="F1073" s="98"/>
      <c r="G1073" s="98"/>
      <c r="H1073" s="98"/>
      <c r="I1073" s="98"/>
      <c r="J1073" s="98"/>
      <c r="K1073" s="98"/>
      <c r="L1073" s="98"/>
      <c r="M1073" s="98"/>
      <c r="N1073" s="98"/>
      <c r="O1073" s="98"/>
      <c r="P1073" s="98"/>
      <c r="Q1073" s="98"/>
      <c r="R1073" s="98"/>
      <c r="S1073" s="98" t="str">
        <f>IFERROR(__xludf.DUMMYFUNCTION("""COMPUTED_VALUE"""),"-")</f>
        <v>-</v>
      </c>
      <c r="T1073" s="98"/>
    </row>
    <row r="1074">
      <c r="A1074" s="98"/>
      <c r="B1074" s="98"/>
      <c r="C1074" s="98"/>
      <c r="D1074" s="98"/>
      <c r="E1074" s="98"/>
      <c r="F1074" s="98"/>
      <c r="G1074" s="98"/>
      <c r="H1074" s="98"/>
      <c r="I1074" s="98"/>
      <c r="J1074" s="98"/>
      <c r="K1074" s="98"/>
      <c r="L1074" s="98"/>
      <c r="M1074" s="98"/>
      <c r="N1074" s="98"/>
      <c r="O1074" s="98"/>
      <c r="P1074" s="98"/>
      <c r="Q1074" s="98"/>
      <c r="R1074" s="98"/>
      <c r="S1074" s="98" t="str">
        <f>IFERROR(__xludf.DUMMYFUNCTION("""COMPUTED_VALUE"""),"-")</f>
        <v>-</v>
      </c>
      <c r="T1074" s="98"/>
    </row>
    <row r="1075">
      <c r="A1075" s="98"/>
      <c r="B1075" s="98"/>
      <c r="C1075" s="98"/>
      <c r="D1075" s="98"/>
      <c r="E1075" s="98"/>
      <c r="F1075" s="98"/>
      <c r="G1075" s="98"/>
      <c r="H1075" s="98"/>
      <c r="I1075" s="98"/>
      <c r="J1075" s="98"/>
      <c r="K1075" s="98"/>
      <c r="L1075" s="98"/>
      <c r="M1075" s="98"/>
      <c r="N1075" s="98"/>
      <c r="O1075" s="98"/>
      <c r="P1075" s="98"/>
      <c r="Q1075" s="98"/>
      <c r="R1075" s="98"/>
      <c r="S1075" s="98" t="str">
        <f>IFERROR(__xludf.DUMMYFUNCTION("""COMPUTED_VALUE"""),"-")</f>
        <v>-</v>
      </c>
      <c r="T1075" s="98"/>
    </row>
    <row r="1076">
      <c r="A1076" s="98"/>
      <c r="B1076" s="98"/>
      <c r="C1076" s="98"/>
      <c r="D1076" s="98"/>
      <c r="E1076" s="98"/>
      <c r="F1076" s="98"/>
      <c r="G1076" s="98"/>
      <c r="H1076" s="98"/>
      <c r="I1076" s="98"/>
      <c r="J1076" s="98"/>
      <c r="K1076" s="98"/>
      <c r="L1076" s="98"/>
      <c r="M1076" s="98"/>
      <c r="N1076" s="98"/>
      <c r="O1076" s="98"/>
      <c r="P1076" s="98"/>
      <c r="Q1076" s="98"/>
      <c r="R1076" s="98"/>
      <c r="S1076" s="98" t="str">
        <f>IFERROR(__xludf.DUMMYFUNCTION("""COMPUTED_VALUE"""),"-")</f>
        <v>-</v>
      </c>
      <c r="T1076" s="98"/>
    </row>
    <row r="1077">
      <c r="A1077" s="98"/>
      <c r="B1077" s="98"/>
      <c r="C1077" s="98"/>
      <c r="D1077" s="98"/>
      <c r="E1077" s="98"/>
      <c r="F1077" s="98"/>
      <c r="G1077" s="98"/>
      <c r="H1077" s="98"/>
      <c r="I1077" s="98"/>
      <c r="J1077" s="98"/>
      <c r="K1077" s="98"/>
      <c r="L1077" s="98"/>
      <c r="M1077" s="98"/>
      <c r="N1077" s="98"/>
      <c r="O1077" s="98"/>
      <c r="P1077" s="98"/>
      <c r="Q1077" s="98"/>
      <c r="R1077" s="98"/>
      <c r="S1077" s="98" t="str">
        <f>IFERROR(__xludf.DUMMYFUNCTION("""COMPUTED_VALUE"""),"-")</f>
        <v>-</v>
      </c>
      <c r="T1077" s="98"/>
    </row>
    <row r="1078">
      <c r="A1078" s="98"/>
      <c r="B1078" s="98"/>
      <c r="C1078" s="98"/>
      <c r="D1078" s="98"/>
      <c r="E1078" s="98"/>
      <c r="F1078" s="98"/>
      <c r="G1078" s="98"/>
      <c r="H1078" s="98"/>
      <c r="I1078" s="98"/>
      <c r="J1078" s="98"/>
      <c r="K1078" s="98"/>
      <c r="L1078" s="98"/>
      <c r="M1078" s="98"/>
      <c r="N1078" s="98"/>
      <c r="O1078" s="98"/>
      <c r="P1078" s="98"/>
      <c r="Q1078" s="98"/>
      <c r="R1078" s="98"/>
      <c r="S1078" s="98" t="str">
        <f>IFERROR(__xludf.DUMMYFUNCTION("""COMPUTED_VALUE"""),"-")</f>
        <v>-</v>
      </c>
      <c r="T1078" s="98"/>
    </row>
    <row r="1079">
      <c r="A1079" s="98"/>
      <c r="B1079" s="98"/>
      <c r="C1079" s="98"/>
      <c r="D1079" s="98"/>
      <c r="E1079" s="98"/>
      <c r="F1079" s="98"/>
      <c r="G1079" s="98"/>
      <c r="H1079" s="98"/>
      <c r="I1079" s="98"/>
      <c r="J1079" s="98"/>
      <c r="K1079" s="98"/>
      <c r="L1079" s="98"/>
      <c r="M1079" s="98"/>
      <c r="N1079" s="98"/>
      <c r="O1079" s="98"/>
      <c r="P1079" s="98"/>
      <c r="Q1079" s="98"/>
      <c r="R1079" s="98"/>
      <c r="S1079" s="98" t="str">
        <f>IFERROR(__xludf.DUMMYFUNCTION("""COMPUTED_VALUE"""),"-")</f>
        <v>-</v>
      </c>
      <c r="T1079" s="98"/>
    </row>
    <row r="1080">
      <c r="A1080" s="98"/>
      <c r="B1080" s="98"/>
      <c r="C1080" s="98"/>
      <c r="D1080" s="98"/>
      <c r="E1080" s="98"/>
      <c r="F1080" s="98"/>
      <c r="G1080" s="98"/>
      <c r="H1080" s="98"/>
      <c r="I1080" s="98"/>
      <c r="J1080" s="98"/>
      <c r="K1080" s="98"/>
      <c r="L1080" s="98"/>
      <c r="M1080" s="98"/>
      <c r="N1080" s="98"/>
      <c r="O1080" s="98"/>
      <c r="P1080" s="98"/>
      <c r="Q1080" s="98"/>
      <c r="R1080" s="98"/>
      <c r="S1080" s="98" t="str">
        <f>IFERROR(__xludf.DUMMYFUNCTION("""COMPUTED_VALUE"""),"-")</f>
        <v>-</v>
      </c>
      <c r="T1080" s="98"/>
    </row>
    <row r="1081">
      <c r="A1081" s="98"/>
      <c r="B1081" s="98"/>
      <c r="C1081" s="98"/>
      <c r="D1081" s="98"/>
      <c r="E1081" s="98"/>
      <c r="F1081" s="98"/>
      <c r="G1081" s="98"/>
      <c r="H1081" s="98"/>
      <c r="I1081" s="98"/>
      <c r="J1081" s="98"/>
      <c r="K1081" s="98"/>
      <c r="L1081" s="98"/>
      <c r="M1081" s="98"/>
      <c r="N1081" s="98"/>
      <c r="O1081" s="98"/>
      <c r="P1081" s="98"/>
      <c r="Q1081" s="98"/>
      <c r="R1081" s="98"/>
      <c r="S1081" s="98" t="str">
        <f>IFERROR(__xludf.DUMMYFUNCTION("""COMPUTED_VALUE"""),"-")</f>
        <v>-</v>
      </c>
      <c r="T1081" s="98"/>
    </row>
    <row r="1082">
      <c r="A1082" s="98"/>
      <c r="B1082" s="98"/>
      <c r="C1082" s="98"/>
      <c r="D1082" s="98"/>
      <c r="E1082" s="98"/>
      <c r="F1082" s="98"/>
      <c r="G1082" s="98"/>
      <c r="H1082" s="98"/>
      <c r="I1082" s="98"/>
      <c r="J1082" s="98"/>
      <c r="K1082" s="98"/>
      <c r="L1082" s="98"/>
      <c r="M1082" s="98"/>
      <c r="N1082" s="98"/>
      <c r="O1082" s="98"/>
      <c r="P1082" s="98"/>
      <c r="Q1082" s="98"/>
      <c r="R1082" s="98"/>
      <c r="S1082" s="98" t="str">
        <f>IFERROR(__xludf.DUMMYFUNCTION("""COMPUTED_VALUE"""),"-")</f>
        <v>-</v>
      </c>
      <c r="T1082" s="98"/>
    </row>
    <row r="1083">
      <c r="A1083" s="98"/>
      <c r="B1083" s="98"/>
      <c r="C1083" s="98"/>
      <c r="D1083" s="98"/>
      <c r="E1083" s="98"/>
      <c r="F1083" s="98"/>
      <c r="G1083" s="98"/>
      <c r="H1083" s="98"/>
      <c r="I1083" s="98"/>
      <c r="J1083" s="98"/>
      <c r="K1083" s="98"/>
      <c r="L1083" s="98"/>
      <c r="M1083" s="98"/>
      <c r="N1083" s="98"/>
      <c r="O1083" s="98"/>
      <c r="P1083" s="98"/>
      <c r="Q1083" s="98"/>
      <c r="R1083" s="98"/>
      <c r="S1083" s="98" t="str">
        <f>IFERROR(__xludf.DUMMYFUNCTION("""COMPUTED_VALUE"""),"-")</f>
        <v>-</v>
      </c>
      <c r="T1083" s="98"/>
    </row>
    <row r="1084">
      <c r="A1084" s="98"/>
      <c r="B1084" s="98"/>
      <c r="C1084" s="98"/>
      <c r="D1084" s="98"/>
      <c r="E1084" s="98"/>
      <c r="F1084" s="98"/>
      <c r="G1084" s="98"/>
      <c r="H1084" s="98"/>
      <c r="I1084" s="98"/>
      <c r="J1084" s="98"/>
      <c r="K1084" s="98"/>
      <c r="L1084" s="98"/>
      <c r="M1084" s="98"/>
      <c r="N1084" s="98"/>
      <c r="O1084" s="98"/>
      <c r="P1084" s="98"/>
      <c r="Q1084" s="98"/>
      <c r="R1084" s="98"/>
      <c r="S1084" s="98" t="str">
        <f>IFERROR(__xludf.DUMMYFUNCTION("""COMPUTED_VALUE"""),"-")</f>
        <v>-</v>
      </c>
      <c r="T1084" s="98"/>
    </row>
    <row r="1085">
      <c r="A1085" s="98"/>
      <c r="B1085" s="98"/>
      <c r="C1085" s="98"/>
      <c r="D1085" s="98"/>
      <c r="E1085" s="98"/>
      <c r="F1085" s="98"/>
      <c r="G1085" s="98"/>
      <c r="H1085" s="98"/>
      <c r="I1085" s="98"/>
      <c r="J1085" s="98"/>
      <c r="K1085" s="98"/>
      <c r="L1085" s="98"/>
      <c r="M1085" s="98"/>
      <c r="N1085" s="98"/>
      <c r="O1085" s="98"/>
      <c r="P1085" s="98"/>
      <c r="Q1085" s="98"/>
      <c r="R1085" s="98"/>
      <c r="S1085" s="98" t="str">
        <f>IFERROR(__xludf.DUMMYFUNCTION("""COMPUTED_VALUE"""),"-")</f>
        <v>-</v>
      </c>
      <c r="T1085" s="98"/>
    </row>
    <row r="1086">
      <c r="A1086" s="98"/>
      <c r="B1086" s="98"/>
      <c r="C1086" s="98"/>
      <c r="D1086" s="98"/>
      <c r="E1086" s="98"/>
      <c r="F1086" s="98"/>
      <c r="G1086" s="98"/>
      <c r="H1086" s="98"/>
      <c r="I1086" s="98"/>
      <c r="J1086" s="98"/>
      <c r="K1086" s="98"/>
      <c r="L1086" s="98"/>
      <c r="M1086" s="98"/>
      <c r="N1086" s="98"/>
      <c r="O1086" s="98"/>
      <c r="P1086" s="98"/>
      <c r="Q1086" s="98"/>
      <c r="R1086" s="98"/>
      <c r="S1086" s="98" t="str">
        <f>IFERROR(__xludf.DUMMYFUNCTION("""COMPUTED_VALUE"""),"-")</f>
        <v>-</v>
      </c>
      <c r="T1086" s="98"/>
    </row>
    <row r="1087">
      <c r="A1087" s="98"/>
      <c r="B1087" s="98"/>
      <c r="C1087" s="98"/>
      <c r="D1087" s="98"/>
      <c r="E1087" s="98"/>
      <c r="F1087" s="98"/>
      <c r="G1087" s="98"/>
      <c r="H1087" s="98"/>
      <c r="I1087" s="98"/>
      <c r="J1087" s="98"/>
      <c r="K1087" s="98"/>
      <c r="L1087" s="98"/>
      <c r="M1087" s="98"/>
      <c r="N1087" s="98"/>
      <c r="O1087" s="98"/>
      <c r="P1087" s="98"/>
      <c r="Q1087" s="98"/>
      <c r="R1087" s="98"/>
      <c r="S1087" s="98" t="str">
        <f>IFERROR(__xludf.DUMMYFUNCTION("""COMPUTED_VALUE"""),"-")</f>
        <v>-</v>
      </c>
      <c r="T1087" s="98"/>
    </row>
    <row r="1088">
      <c r="A1088" s="98"/>
      <c r="B1088" s="98"/>
      <c r="C1088" s="98"/>
      <c r="D1088" s="98"/>
      <c r="E1088" s="98"/>
      <c r="F1088" s="98"/>
      <c r="G1088" s="98"/>
      <c r="H1088" s="98"/>
      <c r="I1088" s="98"/>
      <c r="J1088" s="98"/>
      <c r="K1088" s="98"/>
      <c r="L1088" s="98"/>
      <c r="M1088" s="98"/>
      <c r="N1088" s="98"/>
      <c r="O1088" s="98"/>
      <c r="P1088" s="98"/>
      <c r="Q1088" s="98"/>
      <c r="R1088" s="98"/>
      <c r="S1088" s="98" t="str">
        <f>IFERROR(__xludf.DUMMYFUNCTION("""COMPUTED_VALUE"""),"-")</f>
        <v>-</v>
      </c>
      <c r="T1088" s="98"/>
    </row>
    <row r="1089">
      <c r="A1089" s="98"/>
      <c r="B1089" s="98"/>
      <c r="C1089" s="98"/>
      <c r="D1089" s="98"/>
      <c r="E1089" s="98"/>
      <c r="F1089" s="98"/>
      <c r="G1089" s="98"/>
      <c r="H1089" s="98"/>
      <c r="I1089" s="98"/>
      <c r="J1089" s="98"/>
      <c r="K1089" s="98"/>
      <c r="L1089" s="98"/>
      <c r="M1089" s="98"/>
      <c r="N1089" s="98"/>
      <c r="O1089" s="98"/>
      <c r="P1089" s="98"/>
      <c r="Q1089" s="98"/>
      <c r="R1089" s="98"/>
      <c r="S1089" s="98" t="str">
        <f>IFERROR(__xludf.DUMMYFUNCTION("""COMPUTED_VALUE"""),"-")</f>
        <v>-</v>
      </c>
      <c r="T1089" s="98"/>
    </row>
    <row r="1090">
      <c r="A1090" s="98"/>
      <c r="B1090" s="98"/>
      <c r="C1090" s="98"/>
      <c r="D1090" s="98"/>
      <c r="E1090" s="98"/>
      <c r="F1090" s="98"/>
      <c r="G1090" s="98"/>
      <c r="H1090" s="98"/>
      <c r="I1090" s="98"/>
      <c r="J1090" s="98"/>
      <c r="K1090" s="98"/>
      <c r="L1090" s="98"/>
      <c r="M1090" s="98"/>
      <c r="N1090" s="98"/>
      <c r="O1090" s="98"/>
      <c r="P1090" s="98"/>
      <c r="Q1090" s="98"/>
      <c r="R1090" s="98"/>
      <c r="S1090" s="98" t="str">
        <f>IFERROR(__xludf.DUMMYFUNCTION("""COMPUTED_VALUE"""),"-")</f>
        <v>-</v>
      </c>
      <c r="T1090" s="98"/>
    </row>
    <row r="1091">
      <c r="A1091" s="98"/>
      <c r="B1091" s="98"/>
      <c r="C1091" s="98"/>
      <c r="D1091" s="98"/>
      <c r="E1091" s="98"/>
      <c r="F1091" s="98"/>
      <c r="G1091" s="98"/>
      <c r="H1091" s="98"/>
      <c r="I1091" s="98"/>
      <c r="J1091" s="98"/>
      <c r="K1091" s="98"/>
      <c r="L1091" s="98"/>
      <c r="M1091" s="98"/>
      <c r="N1091" s="98"/>
      <c r="O1091" s="98"/>
      <c r="P1091" s="98"/>
      <c r="Q1091" s="98"/>
      <c r="R1091" s="98"/>
      <c r="S1091" s="98" t="str">
        <f>IFERROR(__xludf.DUMMYFUNCTION("""COMPUTED_VALUE"""),"-")</f>
        <v>-</v>
      </c>
      <c r="T1091" s="98"/>
    </row>
    <row r="1092">
      <c r="A1092" s="98"/>
      <c r="B1092" s="98"/>
      <c r="C1092" s="98"/>
      <c r="D1092" s="98"/>
      <c r="E1092" s="98"/>
      <c r="F1092" s="98"/>
      <c r="G1092" s="98"/>
      <c r="H1092" s="98"/>
      <c r="I1092" s="98"/>
      <c r="J1092" s="98"/>
      <c r="K1092" s="98"/>
      <c r="L1092" s="98"/>
      <c r="M1092" s="98"/>
      <c r="N1092" s="98"/>
      <c r="O1092" s="98"/>
      <c r="P1092" s="98"/>
      <c r="Q1092" s="98"/>
      <c r="R1092" s="98"/>
      <c r="S1092" s="98" t="str">
        <f>IFERROR(__xludf.DUMMYFUNCTION("""COMPUTED_VALUE"""),"-")</f>
        <v>-</v>
      </c>
      <c r="T1092" s="98"/>
    </row>
    <row r="1093">
      <c r="A1093" s="98"/>
      <c r="B1093" s="98"/>
      <c r="C1093" s="98"/>
      <c r="D1093" s="98"/>
      <c r="E1093" s="98"/>
      <c r="F1093" s="98"/>
      <c r="G1093" s="98"/>
      <c r="H1093" s="98"/>
      <c r="I1093" s="98"/>
      <c r="J1093" s="98"/>
      <c r="K1093" s="98"/>
      <c r="L1093" s="98"/>
      <c r="M1093" s="98"/>
      <c r="N1093" s="98"/>
      <c r="O1093" s="98"/>
      <c r="P1093" s="98"/>
      <c r="Q1093" s="98"/>
      <c r="R1093" s="98"/>
      <c r="S1093" s="98" t="str">
        <f>IFERROR(__xludf.DUMMYFUNCTION("""COMPUTED_VALUE"""),"-")</f>
        <v>-</v>
      </c>
      <c r="T1093" s="98"/>
    </row>
    <row r="1094">
      <c r="A1094" s="98"/>
      <c r="B1094" s="98"/>
      <c r="C1094" s="98"/>
      <c r="D1094" s="98"/>
      <c r="E1094" s="98"/>
      <c r="F1094" s="98"/>
      <c r="G1094" s="98"/>
      <c r="H1094" s="98"/>
      <c r="I1094" s="98"/>
      <c r="J1094" s="98"/>
      <c r="K1094" s="98"/>
      <c r="L1094" s="98"/>
      <c r="M1094" s="98"/>
      <c r="N1094" s="98"/>
      <c r="O1094" s="98"/>
      <c r="P1094" s="98"/>
      <c r="Q1094" s="98"/>
      <c r="R1094" s="98"/>
      <c r="S1094" s="98" t="str">
        <f>IFERROR(__xludf.DUMMYFUNCTION("""COMPUTED_VALUE"""),"-")</f>
        <v>-</v>
      </c>
      <c r="T1094" s="98"/>
    </row>
    <row r="1095">
      <c r="A1095" s="98"/>
      <c r="B1095" s="98"/>
      <c r="C1095" s="98"/>
      <c r="D1095" s="98"/>
      <c r="E1095" s="98"/>
      <c r="F1095" s="98"/>
      <c r="G1095" s="98"/>
      <c r="H1095" s="98"/>
      <c r="I1095" s="98"/>
      <c r="J1095" s="98"/>
      <c r="K1095" s="98"/>
      <c r="L1095" s="98"/>
      <c r="M1095" s="98"/>
      <c r="N1095" s="98"/>
      <c r="O1095" s="98"/>
      <c r="P1095" s="98"/>
      <c r="Q1095" s="98"/>
      <c r="R1095" s="98"/>
      <c r="S1095" s="98" t="str">
        <f>IFERROR(__xludf.DUMMYFUNCTION("""COMPUTED_VALUE"""),"-")</f>
        <v>-</v>
      </c>
      <c r="T1095" s="98"/>
    </row>
    <row r="1096">
      <c r="A1096" s="98"/>
      <c r="B1096" s="98"/>
      <c r="C1096" s="98"/>
      <c r="D1096" s="98"/>
      <c r="E1096" s="98"/>
      <c r="F1096" s="98"/>
      <c r="G1096" s="98"/>
      <c r="H1096" s="98"/>
      <c r="I1096" s="98"/>
      <c r="J1096" s="98"/>
      <c r="K1096" s="98"/>
      <c r="L1096" s="98"/>
      <c r="M1096" s="98"/>
      <c r="N1096" s="98"/>
      <c r="O1096" s="98"/>
      <c r="P1096" s="98"/>
      <c r="Q1096" s="98"/>
      <c r="R1096" s="98"/>
      <c r="S1096" s="98" t="str">
        <f>IFERROR(__xludf.DUMMYFUNCTION("""COMPUTED_VALUE"""),"-")</f>
        <v>-</v>
      </c>
      <c r="T1096" s="98"/>
    </row>
    <row r="1097">
      <c r="A1097" s="98"/>
      <c r="B1097" s="98"/>
      <c r="C1097" s="98"/>
      <c r="D1097" s="98"/>
      <c r="E1097" s="98"/>
      <c r="F1097" s="98"/>
      <c r="G1097" s="98"/>
      <c r="H1097" s="98"/>
      <c r="I1097" s="98"/>
      <c r="J1097" s="98"/>
      <c r="K1097" s="98"/>
      <c r="L1097" s="98"/>
      <c r="M1097" s="98"/>
      <c r="N1097" s="98"/>
      <c r="O1097" s="98"/>
      <c r="P1097" s="98"/>
      <c r="Q1097" s="98"/>
      <c r="R1097" s="98"/>
      <c r="S1097" s="98" t="str">
        <f>IFERROR(__xludf.DUMMYFUNCTION("""COMPUTED_VALUE"""),"-")</f>
        <v>-</v>
      </c>
      <c r="T1097" s="98"/>
    </row>
    <row r="1098">
      <c r="A1098" s="98"/>
      <c r="B1098" s="98"/>
      <c r="C1098" s="98"/>
      <c r="D1098" s="98"/>
      <c r="E1098" s="98"/>
      <c r="F1098" s="98"/>
      <c r="G1098" s="98"/>
      <c r="H1098" s="98"/>
      <c r="I1098" s="98"/>
      <c r="J1098" s="98"/>
      <c r="K1098" s="98"/>
      <c r="L1098" s="98"/>
      <c r="M1098" s="98"/>
      <c r="N1098" s="98"/>
      <c r="O1098" s="98"/>
      <c r="P1098" s="98"/>
      <c r="Q1098" s="98"/>
      <c r="R1098" s="98"/>
      <c r="S1098" s="98" t="str">
        <f>IFERROR(__xludf.DUMMYFUNCTION("""COMPUTED_VALUE"""),"-")</f>
        <v>-</v>
      </c>
      <c r="T1098" s="98"/>
    </row>
    <row r="1099">
      <c r="A1099" s="98"/>
      <c r="B1099" s="98"/>
      <c r="C1099" s="98"/>
      <c r="D1099" s="98"/>
      <c r="E1099" s="98"/>
      <c r="F1099" s="98"/>
      <c r="G1099" s="98"/>
      <c r="H1099" s="98"/>
      <c r="I1099" s="98"/>
      <c r="J1099" s="98"/>
      <c r="K1099" s="98"/>
      <c r="L1099" s="98"/>
      <c r="M1099" s="98"/>
      <c r="N1099" s="98"/>
      <c r="O1099" s="98"/>
      <c r="P1099" s="98"/>
      <c r="Q1099" s="98"/>
      <c r="R1099" s="98"/>
      <c r="S1099" s="98" t="str">
        <f>IFERROR(__xludf.DUMMYFUNCTION("""COMPUTED_VALUE"""),"-")</f>
        <v>-</v>
      </c>
      <c r="T1099" s="98"/>
    </row>
    <row r="1100">
      <c r="A1100" s="98"/>
      <c r="B1100" s="98"/>
      <c r="C1100" s="98"/>
      <c r="D1100" s="98"/>
      <c r="E1100" s="98"/>
      <c r="F1100" s="98"/>
      <c r="G1100" s="98"/>
      <c r="H1100" s="98"/>
      <c r="I1100" s="98"/>
      <c r="J1100" s="98"/>
      <c r="K1100" s="98"/>
      <c r="L1100" s="98"/>
      <c r="M1100" s="98"/>
      <c r="N1100" s="98"/>
      <c r="O1100" s="98"/>
      <c r="P1100" s="98"/>
      <c r="Q1100" s="98"/>
      <c r="R1100" s="98"/>
      <c r="S1100" s="98" t="str">
        <f>IFERROR(__xludf.DUMMYFUNCTION("""COMPUTED_VALUE"""),"-")</f>
        <v>-</v>
      </c>
      <c r="T1100" s="98"/>
    </row>
    <row r="1101">
      <c r="A1101" s="98"/>
      <c r="B1101" s="98"/>
      <c r="C1101" s="98"/>
      <c r="D1101" s="98"/>
      <c r="E1101" s="98"/>
      <c r="F1101" s="98"/>
      <c r="G1101" s="98"/>
      <c r="H1101" s="98"/>
      <c r="I1101" s="98"/>
      <c r="J1101" s="98"/>
      <c r="K1101" s="98"/>
      <c r="L1101" s="98"/>
      <c r="M1101" s="98"/>
      <c r="N1101" s="98"/>
      <c r="O1101" s="98"/>
      <c r="P1101" s="98"/>
      <c r="Q1101" s="98"/>
      <c r="R1101" s="98"/>
      <c r="S1101" s="98" t="str">
        <f>IFERROR(__xludf.DUMMYFUNCTION("""COMPUTED_VALUE"""),"-")</f>
        <v>-</v>
      </c>
      <c r="T1101" s="98"/>
    </row>
    <row r="1102">
      <c r="A1102" s="98"/>
      <c r="B1102" s="98"/>
      <c r="C1102" s="98"/>
      <c r="D1102" s="98"/>
      <c r="E1102" s="98"/>
      <c r="F1102" s="98"/>
      <c r="G1102" s="98"/>
      <c r="H1102" s="98"/>
      <c r="I1102" s="98"/>
      <c r="J1102" s="98"/>
      <c r="K1102" s="98"/>
      <c r="L1102" s="98"/>
      <c r="M1102" s="98"/>
      <c r="N1102" s="98"/>
      <c r="O1102" s="98"/>
      <c r="P1102" s="98"/>
      <c r="Q1102" s="98"/>
      <c r="R1102" s="98"/>
      <c r="S1102" s="98" t="str">
        <f>IFERROR(__xludf.DUMMYFUNCTION("""COMPUTED_VALUE"""),"-")</f>
        <v>-</v>
      </c>
      <c r="T1102" s="98"/>
    </row>
    <row r="1103">
      <c r="A1103" s="98"/>
      <c r="B1103" s="98"/>
      <c r="C1103" s="98"/>
      <c r="D1103" s="98"/>
      <c r="E1103" s="98"/>
      <c r="F1103" s="98"/>
      <c r="G1103" s="98"/>
      <c r="H1103" s="98"/>
      <c r="I1103" s="98"/>
      <c r="J1103" s="98"/>
      <c r="K1103" s="98"/>
      <c r="L1103" s="98"/>
      <c r="M1103" s="98"/>
      <c r="N1103" s="98"/>
      <c r="O1103" s="98"/>
      <c r="P1103" s="98"/>
      <c r="Q1103" s="98"/>
      <c r="R1103" s="98"/>
      <c r="S1103" s="98" t="str">
        <f>IFERROR(__xludf.DUMMYFUNCTION("""COMPUTED_VALUE"""),"-")</f>
        <v>-</v>
      </c>
      <c r="T1103" s="98"/>
    </row>
    <row r="1104">
      <c r="A1104" s="98"/>
      <c r="B1104" s="98"/>
      <c r="C1104" s="98"/>
      <c r="D1104" s="98"/>
      <c r="E1104" s="98"/>
      <c r="F1104" s="98"/>
      <c r="G1104" s="98"/>
      <c r="H1104" s="98"/>
      <c r="I1104" s="98"/>
      <c r="J1104" s="98"/>
      <c r="K1104" s="98"/>
      <c r="L1104" s="98"/>
      <c r="M1104" s="98"/>
      <c r="N1104" s="98"/>
      <c r="O1104" s="98"/>
      <c r="P1104" s="98"/>
      <c r="Q1104" s="98"/>
      <c r="R1104" s="98"/>
      <c r="S1104" s="98" t="str">
        <f>IFERROR(__xludf.DUMMYFUNCTION("""COMPUTED_VALUE"""),"-")</f>
        <v>-</v>
      </c>
      <c r="T1104" s="98"/>
    </row>
    <row r="1105">
      <c r="A1105" s="98"/>
      <c r="B1105" s="98"/>
      <c r="C1105" s="98"/>
      <c r="D1105" s="98"/>
      <c r="E1105" s="98"/>
      <c r="F1105" s="98"/>
      <c r="G1105" s="98"/>
      <c r="H1105" s="98"/>
      <c r="I1105" s="98"/>
      <c r="J1105" s="98"/>
      <c r="K1105" s="98"/>
      <c r="L1105" s="98"/>
      <c r="M1105" s="98"/>
      <c r="N1105" s="98"/>
      <c r="O1105" s="98"/>
      <c r="P1105" s="98"/>
      <c r="Q1105" s="98"/>
      <c r="R1105" s="98"/>
      <c r="S1105" s="98" t="str">
        <f>IFERROR(__xludf.DUMMYFUNCTION("""COMPUTED_VALUE"""),"-")</f>
        <v>-</v>
      </c>
      <c r="T1105" s="98"/>
    </row>
    <row r="1106">
      <c r="A1106" s="98"/>
      <c r="B1106" s="98"/>
      <c r="C1106" s="98"/>
      <c r="D1106" s="98"/>
      <c r="E1106" s="98"/>
      <c r="F1106" s="98"/>
      <c r="G1106" s="98"/>
      <c r="H1106" s="98"/>
      <c r="I1106" s="98"/>
      <c r="J1106" s="98"/>
      <c r="K1106" s="98"/>
      <c r="L1106" s="98"/>
      <c r="M1106" s="98"/>
      <c r="N1106" s="98"/>
      <c r="O1106" s="98"/>
      <c r="P1106" s="98"/>
      <c r="Q1106" s="98"/>
      <c r="R1106" s="98"/>
      <c r="S1106" s="98" t="str">
        <f>IFERROR(__xludf.DUMMYFUNCTION("""COMPUTED_VALUE"""),"-")</f>
        <v>-</v>
      </c>
      <c r="T1106" s="98"/>
    </row>
    <row r="1107">
      <c r="A1107" s="98"/>
      <c r="B1107" s="98"/>
      <c r="C1107" s="98"/>
      <c r="D1107" s="98"/>
      <c r="E1107" s="98"/>
      <c r="F1107" s="98"/>
      <c r="G1107" s="98"/>
      <c r="H1107" s="98"/>
      <c r="I1107" s="98"/>
      <c r="J1107" s="98"/>
      <c r="K1107" s="98"/>
      <c r="L1107" s="98"/>
      <c r="M1107" s="98"/>
      <c r="N1107" s="98"/>
      <c r="O1107" s="98"/>
      <c r="P1107" s="98"/>
      <c r="Q1107" s="98"/>
      <c r="R1107" s="98"/>
      <c r="S1107" s="98" t="str">
        <f>IFERROR(__xludf.DUMMYFUNCTION("""COMPUTED_VALUE"""),"-")</f>
        <v>-</v>
      </c>
      <c r="T1107" s="98"/>
    </row>
    <row r="1108">
      <c r="A1108" s="98"/>
      <c r="B1108" s="98"/>
      <c r="C1108" s="98"/>
      <c r="D1108" s="98"/>
      <c r="E1108" s="98"/>
      <c r="F1108" s="98"/>
      <c r="G1108" s="98"/>
      <c r="H1108" s="98"/>
      <c r="I1108" s="98"/>
      <c r="J1108" s="98"/>
      <c r="K1108" s="98"/>
      <c r="L1108" s="98"/>
      <c r="M1108" s="98"/>
      <c r="N1108" s="98"/>
      <c r="O1108" s="98"/>
      <c r="P1108" s="98"/>
      <c r="Q1108" s="98"/>
      <c r="R1108" s="98"/>
      <c r="S1108" s="98" t="str">
        <f>IFERROR(__xludf.DUMMYFUNCTION("""COMPUTED_VALUE"""),"-")</f>
        <v>-</v>
      </c>
      <c r="T1108" s="98"/>
    </row>
    <row r="1109">
      <c r="A1109" s="98"/>
      <c r="B1109" s="98"/>
      <c r="C1109" s="98"/>
      <c r="D1109" s="98"/>
      <c r="E1109" s="98"/>
      <c r="F1109" s="98"/>
      <c r="G1109" s="98"/>
      <c r="H1109" s="98"/>
      <c r="I1109" s="98"/>
      <c r="J1109" s="98"/>
      <c r="K1109" s="98"/>
      <c r="L1109" s="98"/>
      <c r="M1109" s="98"/>
      <c r="N1109" s="98"/>
      <c r="O1109" s="98"/>
      <c r="P1109" s="98"/>
      <c r="Q1109" s="98"/>
      <c r="R1109" s="98"/>
      <c r="S1109" s="98" t="str">
        <f>IFERROR(__xludf.DUMMYFUNCTION("""COMPUTED_VALUE"""),"-")</f>
        <v>-</v>
      </c>
      <c r="T1109" s="98"/>
    </row>
    <row r="1110">
      <c r="A1110" s="98"/>
      <c r="B1110" s="98"/>
      <c r="C1110" s="98"/>
      <c r="D1110" s="98"/>
      <c r="E1110" s="98"/>
      <c r="F1110" s="98"/>
      <c r="G1110" s="98"/>
      <c r="H1110" s="98"/>
      <c r="I1110" s="98"/>
      <c r="J1110" s="98"/>
      <c r="K1110" s="98"/>
      <c r="L1110" s="98"/>
      <c r="M1110" s="98"/>
      <c r="N1110" s="98"/>
      <c r="O1110" s="98"/>
      <c r="P1110" s="98"/>
      <c r="Q1110" s="98"/>
      <c r="R1110" s="98"/>
      <c r="S1110" s="98" t="str">
        <f>IFERROR(__xludf.DUMMYFUNCTION("""COMPUTED_VALUE"""),"-")</f>
        <v>-</v>
      </c>
      <c r="T1110" s="98"/>
    </row>
    <row r="1111">
      <c r="A1111" s="98"/>
      <c r="B1111" s="98"/>
      <c r="C1111" s="98"/>
      <c r="D1111" s="98"/>
      <c r="E1111" s="98"/>
      <c r="F1111" s="98"/>
      <c r="G1111" s="98"/>
      <c r="H1111" s="98"/>
      <c r="I1111" s="98"/>
      <c r="J1111" s="98"/>
      <c r="K1111" s="98"/>
      <c r="L1111" s="98"/>
      <c r="M1111" s="98"/>
      <c r="N1111" s="98"/>
      <c r="O1111" s="98"/>
      <c r="P1111" s="98"/>
      <c r="Q1111" s="98"/>
      <c r="R1111" s="98"/>
      <c r="S1111" s="98" t="str">
        <f>IFERROR(__xludf.DUMMYFUNCTION("""COMPUTED_VALUE"""),"-")</f>
        <v>-</v>
      </c>
      <c r="T1111" s="98"/>
    </row>
    <row r="1112">
      <c r="A1112" s="98"/>
      <c r="B1112" s="98"/>
      <c r="C1112" s="98"/>
      <c r="D1112" s="98"/>
      <c r="E1112" s="98"/>
      <c r="F1112" s="98"/>
      <c r="G1112" s="98"/>
      <c r="H1112" s="98"/>
      <c r="I1112" s="98"/>
      <c r="J1112" s="98"/>
      <c r="K1112" s="98"/>
      <c r="L1112" s="98"/>
      <c r="M1112" s="98"/>
      <c r="N1112" s="98"/>
      <c r="O1112" s="98"/>
      <c r="P1112" s="98"/>
      <c r="Q1112" s="98"/>
      <c r="R1112" s="98"/>
      <c r="S1112" s="98" t="str">
        <f>IFERROR(__xludf.DUMMYFUNCTION("""COMPUTED_VALUE"""),"-")</f>
        <v>-</v>
      </c>
      <c r="T1112" s="98"/>
    </row>
    <row r="1113">
      <c r="A1113" s="98"/>
      <c r="B1113" s="98"/>
      <c r="C1113" s="98"/>
      <c r="D1113" s="98"/>
      <c r="E1113" s="98"/>
      <c r="F1113" s="98"/>
      <c r="G1113" s="98"/>
      <c r="H1113" s="98"/>
      <c r="I1113" s="98"/>
      <c r="J1113" s="98"/>
      <c r="K1113" s="98"/>
      <c r="L1113" s="98"/>
      <c r="M1113" s="98"/>
      <c r="N1113" s="98"/>
      <c r="O1113" s="98"/>
      <c r="P1113" s="98"/>
      <c r="Q1113" s="98"/>
      <c r="R1113" s="98"/>
      <c r="S1113" s="98" t="str">
        <f>IFERROR(__xludf.DUMMYFUNCTION("""COMPUTED_VALUE"""),"-")</f>
        <v>-</v>
      </c>
      <c r="T1113" s="98"/>
    </row>
    <row r="1114">
      <c r="A1114" s="98"/>
      <c r="B1114" s="98"/>
      <c r="C1114" s="98"/>
      <c r="D1114" s="98"/>
      <c r="E1114" s="98"/>
      <c r="F1114" s="98"/>
      <c r="G1114" s="98"/>
      <c r="H1114" s="98"/>
      <c r="I1114" s="98"/>
      <c r="J1114" s="98"/>
      <c r="K1114" s="98"/>
      <c r="L1114" s="98"/>
      <c r="M1114" s="98"/>
      <c r="N1114" s="98"/>
      <c r="O1114" s="98"/>
      <c r="P1114" s="98"/>
      <c r="Q1114" s="98"/>
      <c r="R1114" s="98"/>
      <c r="S1114" s="98" t="str">
        <f>IFERROR(__xludf.DUMMYFUNCTION("""COMPUTED_VALUE"""),"-")</f>
        <v>-</v>
      </c>
      <c r="T1114" s="98"/>
    </row>
    <row r="1115">
      <c r="A1115" s="98"/>
      <c r="B1115" s="98"/>
      <c r="C1115" s="98"/>
      <c r="D1115" s="98"/>
      <c r="E1115" s="98"/>
      <c r="F1115" s="98"/>
      <c r="G1115" s="98"/>
      <c r="H1115" s="98"/>
      <c r="I1115" s="98"/>
      <c r="J1115" s="98"/>
      <c r="K1115" s="98"/>
      <c r="L1115" s="98"/>
      <c r="M1115" s="98"/>
      <c r="N1115" s="98"/>
      <c r="O1115" s="98"/>
      <c r="P1115" s="98"/>
      <c r="Q1115" s="98"/>
      <c r="R1115" s="98"/>
      <c r="S1115" s="98" t="str">
        <f>IFERROR(__xludf.DUMMYFUNCTION("""COMPUTED_VALUE"""),"-")</f>
        <v>-</v>
      </c>
      <c r="T1115" s="98"/>
    </row>
    <row r="1116">
      <c r="A1116" s="98"/>
      <c r="B1116" s="98"/>
      <c r="C1116" s="98"/>
      <c r="D1116" s="98"/>
      <c r="E1116" s="98"/>
      <c r="F1116" s="98"/>
      <c r="G1116" s="98"/>
      <c r="H1116" s="98"/>
      <c r="I1116" s="98"/>
      <c r="J1116" s="98"/>
      <c r="K1116" s="98"/>
      <c r="L1116" s="98"/>
      <c r="M1116" s="98"/>
      <c r="N1116" s="98"/>
      <c r="O1116" s="98"/>
      <c r="P1116" s="98"/>
      <c r="Q1116" s="98"/>
      <c r="R1116" s="98"/>
      <c r="S1116" s="98" t="str">
        <f>IFERROR(__xludf.DUMMYFUNCTION("""COMPUTED_VALUE"""),"-")</f>
        <v>-</v>
      </c>
      <c r="T1116" s="98"/>
    </row>
    <row r="1117">
      <c r="A1117" s="98"/>
      <c r="B1117" s="98"/>
      <c r="C1117" s="98"/>
      <c r="D1117" s="98"/>
      <c r="E1117" s="98"/>
      <c r="F1117" s="98"/>
      <c r="G1117" s="98"/>
      <c r="H1117" s="98"/>
      <c r="I1117" s="98"/>
      <c r="J1117" s="98"/>
      <c r="K1117" s="98"/>
      <c r="L1117" s="98"/>
      <c r="M1117" s="98"/>
      <c r="N1117" s="98"/>
      <c r="O1117" s="98"/>
      <c r="P1117" s="98"/>
      <c r="Q1117" s="98"/>
      <c r="R1117" s="98"/>
      <c r="S1117" s="98" t="str">
        <f>IFERROR(__xludf.DUMMYFUNCTION("""COMPUTED_VALUE"""),"-")</f>
        <v>-</v>
      </c>
      <c r="T1117" s="98"/>
    </row>
    <row r="1118">
      <c r="A1118" s="98"/>
      <c r="B1118" s="98"/>
      <c r="C1118" s="98"/>
      <c r="D1118" s="98"/>
      <c r="E1118" s="98"/>
      <c r="F1118" s="98"/>
      <c r="G1118" s="98"/>
      <c r="H1118" s="98"/>
      <c r="I1118" s="98"/>
      <c r="J1118" s="98"/>
      <c r="K1118" s="98"/>
      <c r="L1118" s="98"/>
      <c r="M1118" s="98"/>
      <c r="N1118" s="98"/>
      <c r="O1118" s="98"/>
      <c r="P1118" s="98"/>
      <c r="Q1118" s="98"/>
      <c r="R1118" s="98"/>
      <c r="S1118" s="98" t="str">
        <f>IFERROR(__xludf.DUMMYFUNCTION("""COMPUTED_VALUE"""),"-")</f>
        <v>-</v>
      </c>
      <c r="T1118" s="98"/>
    </row>
    <row r="1119">
      <c r="A1119" s="98"/>
      <c r="B1119" s="98"/>
      <c r="C1119" s="98"/>
      <c r="D1119" s="98"/>
      <c r="E1119" s="98"/>
      <c r="F1119" s="98"/>
      <c r="G1119" s="98"/>
      <c r="H1119" s="98"/>
      <c r="I1119" s="98"/>
      <c r="J1119" s="98"/>
      <c r="K1119" s="98"/>
      <c r="L1119" s="98"/>
      <c r="M1119" s="98"/>
      <c r="N1119" s="98"/>
      <c r="O1119" s="98"/>
      <c r="P1119" s="98"/>
      <c r="Q1119" s="98"/>
      <c r="R1119" s="98"/>
      <c r="S1119" s="98" t="str">
        <f>IFERROR(__xludf.DUMMYFUNCTION("""COMPUTED_VALUE"""),"-")</f>
        <v>-</v>
      </c>
      <c r="T1119" s="98"/>
    </row>
    <row r="1120">
      <c r="A1120" s="98"/>
      <c r="B1120" s="98"/>
      <c r="C1120" s="98"/>
      <c r="D1120" s="98"/>
      <c r="E1120" s="98"/>
      <c r="F1120" s="98"/>
      <c r="G1120" s="98"/>
      <c r="H1120" s="98"/>
      <c r="I1120" s="98"/>
      <c r="J1120" s="98"/>
      <c r="K1120" s="98"/>
      <c r="L1120" s="98"/>
      <c r="M1120" s="98"/>
      <c r="N1120" s="98"/>
      <c r="O1120" s="98"/>
      <c r="P1120" s="98"/>
      <c r="Q1120" s="98"/>
      <c r="R1120" s="98"/>
      <c r="S1120" s="98" t="str">
        <f>IFERROR(__xludf.DUMMYFUNCTION("""COMPUTED_VALUE"""),"-")</f>
        <v>-</v>
      </c>
      <c r="T1120" s="98"/>
    </row>
    <row r="1121">
      <c r="A1121" s="98"/>
      <c r="B1121" s="98"/>
      <c r="C1121" s="98"/>
      <c r="D1121" s="98"/>
      <c r="E1121" s="98"/>
      <c r="F1121" s="98"/>
      <c r="G1121" s="98"/>
      <c r="H1121" s="98"/>
      <c r="I1121" s="98"/>
      <c r="J1121" s="98"/>
      <c r="K1121" s="98"/>
      <c r="L1121" s="98"/>
      <c r="M1121" s="98"/>
      <c r="N1121" s="98"/>
      <c r="O1121" s="98"/>
      <c r="P1121" s="98"/>
      <c r="Q1121" s="98"/>
      <c r="R1121" s="98"/>
      <c r="S1121" s="98" t="str">
        <f>IFERROR(__xludf.DUMMYFUNCTION("""COMPUTED_VALUE"""),"-")</f>
        <v>-</v>
      </c>
      <c r="T1121" s="98"/>
    </row>
    <row r="1122">
      <c r="A1122" s="98"/>
      <c r="B1122" s="98"/>
      <c r="C1122" s="98"/>
      <c r="D1122" s="98"/>
      <c r="E1122" s="98"/>
      <c r="F1122" s="98"/>
      <c r="G1122" s="98"/>
      <c r="H1122" s="98"/>
      <c r="I1122" s="98"/>
      <c r="J1122" s="98"/>
      <c r="K1122" s="98"/>
      <c r="L1122" s="98"/>
      <c r="M1122" s="98"/>
      <c r="N1122" s="98"/>
      <c r="O1122" s="98"/>
      <c r="P1122" s="98"/>
      <c r="Q1122" s="98"/>
      <c r="R1122" s="98"/>
      <c r="S1122" s="98" t="str">
        <f>IFERROR(__xludf.DUMMYFUNCTION("""COMPUTED_VALUE"""),"-")</f>
        <v>-</v>
      </c>
      <c r="T1122" s="98"/>
    </row>
    <row r="1123">
      <c r="A1123" s="98"/>
      <c r="B1123" s="98"/>
      <c r="C1123" s="98"/>
      <c r="D1123" s="98"/>
      <c r="E1123" s="98"/>
      <c r="F1123" s="98"/>
      <c r="G1123" s="98"/>
      <c r="H1123" s="98"/>
      <c r="I1123" s="98"/>
      <c r="J1123" s="98"/>
      <c r="K1123" s="98"/>
      <c r="L1123" s="98"/>
      <c r="M1123" s="98"/>
      <c r="N1123" s="98"/>
      <c r="O1123" s="98"/>
      <c r="P1123" s="98"/>
      <c r="Q1123" s="98"/>
      <c r="R1123" s="98"/>
      <c r="S1123" s="98" t="str">
        <f>IFERROR(__xludf.DUMMYFUNCTION("""COMPUTED_VALUE"""),"-")</f>
        <v>-</v>
      </c>
      <c r="T1123" s="98"/>
    </row>
    <row r="1124">
      <c r="A1124" s="98"/>
      <c r="B1124" s="98"/>
      <c r="C1124" s="98"/>
      <c r="D1124" s="98"/>
      <c r="E1124" s="98"/>
      <c r="F1124" s="98"/>
      <c r="G1124" s="98"/>
      <c r="H1124" s="98"/>
      <c r="I1124" s="98"/>
      <c r="J1124" s="98"/>
      <c r="K1124" s="98"/>
      <c r="L1124" s="98"/>
      <c r="M1124" s="98"/>
      <c r="N1124" s="98"/>
      <c r="O1124" s="98"/>
      <c r="P1124" s="98"/>
      <c r="Q1124" s="98"/>
      <c r="R1124" s="98"/>
      <c r="S1124" s="98" t="str">
        <f>IFERROR(__xludf.DUMMYFUNCTION("""COMPUTED_VALUE"""),"-")</f>
        <v>-</v>
      </c>
      <c r="T1124" s="98"/>
    </row>
    <row r="1125">
      <c r="A1125" s="98"/>
      <c r="B1125" s="98"/>
      <c r="C1125" s="98"/>
      <c r="D1125" s="98"/>
      <c r="E1125" s="98"/>
      <c r="F1125" s="98"/>
      <c r="G1125" s="98"/>
      <c r="H1125" s="98"/>
      <c r="I1125" s="98"/>
      <c r="J1125" s="98"/>
      <c r="K1125" s="98"/>
      <c r="L1125" s="98"/>
      <c r="M1125" s="98"/>
      <c r="N1125" s="98"/>
      <c r="O1125" s="98"/>
      <c r="P1125" s="98"/>
      <c r="Q1125" s="98"/>
      <c r="R1125" s="98"/>
      <c r="S1125" s="98" t="str">
        <f>IFERROR(__xludf.DUMMYFUNCTION("""COMPUTED_VALUE"""),"-")</f>
        <v>-</v>
      </c>
      <c r="T1125" s="98"/>
    </row>
    <row r="1126">
      <c r="A1126" s="98"/>
      <c r="B1126" s="98"/>
      <c r="C1126" s="98"/>
      <c r="D1126" s="98"/>
      <c r="E1126" s="98"/>
      <c r="F1126" s="98"/>
      <c r="G1126" s="98"/>
      <c r="H1126" s="98"/>
      <c r="I1126" s="98"/>
      <c r="J1126" s="98"/>
      <c r="K1126" s="98"/>
      <c r="L1126" s="98"/>
      <c r="M1126" s="98"/>
      <c r="N1126" s="98"/>
      <c r="O1126" s="98"/>
      <c r="P1126" s="98"/>
      <c r="Q1126" s="98"/>
      <c r="R1126" s="98"/>
      <c r="S1126" s="98" t="str">
        <f>IFERROR(__xludf.DUMMYFUNCTION("""COMPUTED_VALUE"""),"-")</f>
        <v>-</v>
      </c>
      <c r="T1126" s="98"/>
    </row>
    <row r="1127">
      <c r="A1127" s="98"/>
      <c r="B1127" s="98"/>
      <c r="C1127" s="98"/>
      <c r="D1127" s="98"/>
      <c r="E1127" s="98"/>
      <c r="F1127" s="98"/>
      <c r="G1127" s="98"/>
      <c r="H1127" s="98"/>
      <c r="I1127" s="98"/>
      <c r="J1127" s="98"/>
      <c r="K1127" s="98"/>
      <c r="L1127" s="98"/>
      <c r="M1127" s="98"/>
      <c r="N1127" s="98"/>
      <c r="O1127" s="98"/>
      <c r="P1127" s="98"/>
      <c r="Q1127" s="98"/>
      <c r="R1127" s="98"/>
      <c r="S1127" s="98" t="str">
        <f>IFERROR(__xludf.DUMMYFUNCTION("""COMPUTED_VALUE"""),"-")</f>
        <v>-</v>
      </c>
      <c r="T1127" s="98"/>
    </row>
    <row r="1128">
      <c r="A1128" s="98"/>
      <c r="B1128" s="98"/>
      <c r="C1128" s="98"/>
      <c r="D1128" s="98"/>
      <c r="E1128" s="98"/>
      <c r="F1128" s="98"/>
      <c r="G1128" s="98"/>
      <c r="H1128" s="98"/>
      <c r="I1128" s="98"/>
      <c r="J1128" s="98"/>
      <c r="K1128" s="98"/>
      <c r="L1128" s="98"/>
      <c r="M1128" s="98"/>
      <c r="N1128" s="98"/>
      <c r="O1128" s="98"/>
      <c r="P1128" s="98"/>
      <c r="Q1128" s="98"/>
      <c r="R1128" s="98"/>
      <c r="S1128" s="98" t="str">
        <f>IFERROR(__xludf.DUMMYFUNCTION("""COMPUTED_VALUE"""),"-")</f>
        <v>-</v>
      </c>
      <c r="T1128" s="98"/>
    </row>
    <row r="1129">
      <c r="A1129" s="98"/>
      <c r="B1129" s="98"/>
      <c r="C1129" s="98"/>
      <c r="D1129" s="98"/>
      <c r="E1129" s="98"/>
      <c r="F1129" s="98"/>
      <c r="G1129" s="98"/>
      <c r="H1129" s="98"/>
      <c r="I1129" s="98"/>
      <c r="J1129" s="98"/>
      <c r="K1129" s="98"/>
      <c r="L1129" s="98"/>
      <c r="M1129" s="98"/>
      <c r="N1129" s="98"/>
      <c r="O1129" s="98"/>
      <c r="P1129" s="98"/>
      <c r="Q1129" s="98"/>
      <c r="R1129" s="98"/>
      <c r="S1129" s="98" t="str">
        <f>IFERROR(__xludf.DUMMYFUNCTION("""COMPUTED_VALUE"""),"-")</f>
        <v>-</v>
      </c>
      <c r="T1129" s="98"/>
    </row>
    <row r="1130">
      <c r="A1130" s="98"/>
      <c r="B1130" s="98"/>
      <c r="C1130" s="98"/>
      <c r="D1130" s="98"/>
      <c r="E1130" s="98"/>
      <c r="F1130" s="98"/>
      <c r="G1130" s="98"/>
      <c r="H1130" s="98"/>
      <c r="I1130" s="98"/>
      <c r="J1130" s="98"/>
      <c r="K1130" s="98"/>
      <c r="L1130" s="98"/>
      <c r="M1130" s="98"/>
      <c r="N1130" s="98"/>
      <c r="O1130" s="98"/>
      <c r="P1130" s="98"/>
      <c r="Q1130" s="98"/>
      <c r="R1130" s="98"/>
      <c r="S1130" s="98" t="str">
        <f>IFERROR(__xludf.DUMMYFUNCTION("""COMPUTED_VALUE"""),"-")</f>
        <v>-</v>
      </c>
      <c r="T1130" s="98"/>
    </row>
    <row r="1131">
      <c r="A1131" s="98"/>
      <c r="B1131" s="98"/>
      <c r="C1131" s="98"/>
      <c r="D1131" s="98"/>
      <c r="E1131" s="98"/>
      <c r="F1131" s="98"/>
      <c r="G1131" s="98"/>
      <c r="H1131" s="98"/>
      <c r="I1131" s="98"/>
      <c r="J1131" s="98"/>
      <c r="K1131" s="98"/>
      <c r="L1131" s="98"/>
      <c r="M1131" s="98"/>
      <c r="N1131" s="98"/>
      <c r="O1131" s="98"/>
      <c r="P1131" s="98"/>
      <c r="Q1131" s="98"/>
      <c r="R1131" s="98"/>
      <c r="S1131" s="98" t="str">
        <f>IFERROR(__xludf.DUMMYFUNCTION("""COMPUTED_VALUE"""),"-")</f>
        <v>-</v>
      </c>
      <c r="T1131" s="98"/>
    </row>
    <row r="1132">
      <c r="A1132" s="98"/>
      <c r="B1132" s="98"/>
      <c r="C1132" s="98"/>
      <c r="D1132" s="98"/>
      <c r="E1132" s="98"/>
      <c r="F1132" s="98"/>
      <c r="G1132" s="98"/>
      <c r="H1132" s="98"/>
      <c r="I1132" s="98"/>
      <c r="J1132" s="98"/>
      <c r="K1132" s="98"/>
      <c r="L1132" s="98"/>
      <c r="M1132" s="98"/>
      <c r="N1132" s="98"/>
      <c r="O1132" s="98"/>
      <c r="P1132" s="98"/>
      <c r="Q1132" s="98"/>
      <c r="R1132" s="98"/>
      <c r="S1132" s="98" t="str">
        <f>IFERROR(__xludf.DUMMYFUNCTION("""COMPUTED_VALUE"""),"-")</f>
        <v>-</v>
      </c>
      <c r="T1132" s="98"/>
    </row>
    <row r="1133">
      <c r="A1133" s="98"/>
      <c r="B1133" s="98"/>
      <c r="C1133" s="98"/>
      <c r="D1133" s="98"/>
      <c r="E1133" s="98"/>
      <c r="F1133" s="98"/>
      <c r="G1133" s="98"/>
      <c r="H1133" s="98"/>
      <c r="I1133" s="98"/>
      <c r="J1133" s="98"/>
      <c r="K1133" s="98"/>
      <c r="L1133" s="98"/>
      <c r="M1133" s="98"/>
      <c r="N1133" s="98"/>
      <c r="O1133" s="98"/>
      <c r="P1133" s="98"/>
      <c r="Q1133" s="98"/>
      <c r="R1133" s="98"/>
      <c r="S1133" s="98" t="str">
        <f>IFERROR(__xludf.DUMMYFUNCTION("""COMPUTED_VALUE"""),"-")</f>
        <v>-</v>
      </c>
      <c r="T1133" s="98"/>
    </row>
    <row r="1134">
      <c r="A1134" s="98"/>
      <c r="B1134" s="98"/>
      <c r="C1134" s="98"/>
      <c r="D1134" s="98"/>
      <c r="E1134" s="98"/>
      <c r="F1134" s="98"/>
      <c r="G1134" s="98"/>
      <c r="H1134" s="98"/>
      <c r="I1134" s="98"/>
      <c r="J1134" s="98"/>
      <c r="K1134" s="98"/>
      <c r="L1134" s="98"/>
      <c r="M1134" s="98"/>
      <c r="N1134" s="98"/>
      <c r="O1134" s="98"/>
      <c r="P1134" s="98"/>
      <c r="Q1134" s="98"/>
      <c r="R1134" s="98"/>
      <c r="S1134" s="98" t="str">
        <f>IFERROR(__xludf.DUMMYFUNCTION("""COMPUTED_VALUE"""),"-")</f>
        <v>-</v>
      </c>
      <c r="T1134" s="98"/>
    </row>
    <row r="1135">
      <c r="A1135" s="98"/>
      <c r="B1135" s="98"/>
      <c r="C1135" s="98"/>
      <c r="D1135" s="98"/>
      <c r="E1135" s="98"/>
      <c r="F1135" s="98"/>
      <c r="G1135" s="98"/>
      <c r="H1135" s="98"/>
      <c r="I1135" s="98"/>
      <c r="J1135" s="98"/>
      <c r="K1135" s="98"/>
      <c r="L1135" s="98"/>
      <c r="M1135" s="98"/>
      <c r="N1135" s="98"/>
      <c r="O1135" s="98"/>
      <c r="P1135" s="98"/>
      <c r="Q1135" s="98"/>
      <c r="R1135" s="98"/>
      <c r="S1135" s="98" t="str">
        <f>IFERROR(__xludf.DUMMYFUNCTION("""COMPUTED_VALUE"""),"-")</f>
        <v>-</v>
      </c>
      <c r="T1135" s="98"/>
    </row>
    <row r="1136">
      <c r="A1136" s="98"/>
      <c r="B1136" s="98"/>
      <c r="C1136" s="98"/>
      <c r="D1136" s="98"/>
      <c r="E1136" s="98"/>
      <c r="F1136" s="98"/>
      <c r="G1136" s="98"/>
      <c r="H1136" s="98"/>
      <c r="I1136" s="98"/>
      <c r="J1136" s="98"/>
      <c r="K1136" s="98"/>
      <c r="L1136" s="98"/>
      <c r="M1136" s="98"/>
      <c r="N1136" s="98"/>
      <c r="O1136" s="98"/>
      <c r="P1136" s="98"/>
      <c r="Q1136" s="98"/>
      <c r="R1136" s="98"/>
      <c r="S1136" s="98" t="str">
        <f>IFERROR(__xludf.DUMMYFUNCTION("""COMPUTED_VALUE"""),"-")</f>
        <v>-</v>
      </c>
      <c r="T1136" s="98"/>
    </row>
    <row r="1137">
      <c r="A1137" s="98"/>
      <c r="B1137" s="98"/>
      <c r="C1137" s="98"/>
      <c r="D1137" s="98"/>
      <c r="E1137" s="98"/>
      <c r="F1137" s="98"/>
      <c r="G1137" s="98"/>
      <c r="H1137" s="98"/>
      <c r="I1137" s="98"/>
      <c r="J1137" s="98"/>
      <c r="K1137" s="98"/>
      <c r="L1137" s="98"/>
      <c r="M1137" s="98"/>
      <c r="N1137" s="98"/>
      <c r="O1137" s="98"/>
      <c r="P1137" s="98"/>
      <c r="Q1137" s="98"/>
      <c r="R1137" s="98"/>
      <c r="S1137" s="98" t="str">
        <f>IFERROR(__xludf.DUMMYFUNCTION("""COMPUTED_VALUE"""),"-")</f>
        <v>-</v>
      </c>
      <c r="T1137" s="98"/>
    </row>
    <row r="1138">
      <c r="A1138" s="98"/>
      <c r="B1138" s="98"/>
      <c r="C1138" s="98"/>
      <c r="D1138" s="98"/>
      <c r="E1138" s="98"/>
      <c r="F1138" s="98"/>
      <c r="G1138" s="98"/>
      <c r="H1138" s="98"/>
      <c r="I1138" s="98"/>
      <c r="J1138" s="98"/>
      <c r="K1138" s="98"/>
      <c r="L1138" s="98"/>
      <c r="M1138" s="98"/>
      <c r="N1138" s="98"/>
      <c r="O1138" s="98"/>
      <c r="P1138" s="98"/>
      <c r="Q1138" s="98"/>
      <c r="R1138" s="98"/>
      <c r="S1138" s="98" t="str">
        <f>IFERROR(__xludf.DUMMYFUNCTION("""COMPUTED_VALUE"""),"-")</f>
        <v>-</v>
      </c>
      <c r="T1138" s="98"/>
    </row>
    <row r="1139">
      <c r="A1139" s="98"/>
      <c r="B1139" s="98"/>
      <c r="C1139" s="98"/>
      <c r="D1139" s="98"/>
      <c r="E1139" s="98"/>
      <c r="F1139" s="98"/>
      <c r="G1139" s="98"/>
      <c r="H1139" s="98"/>
      <c r="I1139" s="98"/>
      <c r="J1139" s="98"/>
      <c r="K1139" s="98"/>
      <c r="L1139" s="98"/>
      <c r="M1139" s="98"/>
      <c r="N1139" s="98"/>
      <c r="O1139" s="98"/>
      <c r="P1139" s="98"/>
      <c r="Q1139" s="98"/>
      <c r="R1139" s="98"/>
      <c r="S1139" s="98" t="str">
        <f>IFERROR(__xludf.DUMMYFUNCTION("""COMPUTED_VALUE"""),"-")</f>
        <v>-</v>
      </c>
      <c r="T1139" s="98"/>
    </row>
    <row r="1140">
      <c r="A1140" s="98"/>
      <c r="B1140" s="98"/>
      <c r="C1140" s="98"/>
      <c r="D1140" s="98"/>
      <c r="E1140" s="98"/>
      <c r="F1140" s="98"/>
      <c r="G1140" s="98"/>
      <c r="H1140" s="98"/>
      <c r="I1140" s="98"/>
      <c r="J1140" s="98"/>
      <c r="K1140" s="98"/>
      <c r="L1140" s="98"/>
      <c r="M1140" s="98"/>
      <c r="N1140" s="98"/>
      <c r="O1140" s="98"/>
      <c r="P1140" s="98"/>
      <c r="Q1140" s="98"/>
      <c r="R1140" s="98"/>
      <c r="S1140" s="98" t="str">
        <f>IFERROR(__xludf.DUMMYFUNCTION("""COMPUTED_VALUE"""),"-")</f>
        <v>-</v>
      </c>
      <c r="T1140" s="98"/>
    </row>
    <row r="1141">
      <c r="A1141" s="98"/>
      <c r="B1141" s="98"/>
      <c r="C1141" s="98"/>
      <c r="D1141" s="98"/>
      <c r="E1141" s="98"/>
      <c r="F1141" s="98"/>
      <c r="G1141" s="98"/>
      <c r="H1141" s="98"/>
      <c r="I1141" s="98"/>
      <c r="J1141" s="98"/>
      <c r="K1141" s="98"/>
      <c r="L1141" s="98"/>
      <c r="M1141" s="98"/>
      <c r="N1141" s="98"/>
      <c r="O1141" s="98"/>
      <c r="P1141" s="98"/>
      <c r="Q1141" s="98"/>
      <c r="R1141" s="98"/>
      <c r="S1141" s="98" t="str">
        <f>IFERROR(__xludf.DUMMYFUNCTION("""COMPUTED_VALUE"""),"-")</f>
        <v>-</v>
      </c>
      <c r="T1141" s="98"/>
    </row>
    <row r="1142">
      <c r="A1142" s="98"/>
      <c r="B1142" s="98"/>
      <c r="C1142" s="98"/>
      <c r="D1142" s="98"/>
      <c r="E1142" s="98"/>
      <c r="F1142" s="98"/>
      <c r="G1142" s="98"/>
      <c r="H1142" s="98"/>
      <c r="I1142" s="98"/>
      <c r="J1142" s="98"/>
      <c r="K1142" s="98"/>
      <c r="L1142" s="98"/>
      <c r="M1142" s="98"/>
      <c r="N1142" s="98"/>
      <c r="O1142" s="98"/>
      <c r="P1142" s="98"/>
      <c r="Q1142" s="98"/>
      <c r="R1142" s="98"/>
      <c r="S1142" s="98" t="str">
        <f>IFERROR(__xludf.DUMMYFUNCTION("""COMPUTED_VALUE"""),"-")</f>
        <v>-</v>
      </c>
      <c r="T1142" s="98"/>
    </row>
    <row r="1143">
      <c r="A1143" s="98"/>
      <c r="B1143" s="98"/>
      <c r="C1143" s="98"/>
      <c r="D1143" s="98"/>
      <c r="E1143" s="98"/>
      <c r="F1143" s="98"/>
      <c r="G1143" s="98"/>
      <c r="H1143" s="98"/>
      <c r="I1143" s="98"/>
      <c r="J1143" s="98"/>
      <c r="K1143" s="98"/>
      <c r="L1143" s="98"/>
      <c r="M1143" s="98"/>
      <c r="N1143" s="98"/>
      <c r="O1143" s="98"/>
      <c r="P1143" s="98"/>
      <c r="Q1143" s="98"/>
      <c r="R1143" s="98"/>
      <c r="S1143" s="98" t="str">
        <f>IFERROR(__xludf.DUMMYFUNCTION("""COMPUTED_VALUE"""),"-")</f>
        <v>-</v>
      </c>
      <c r="T1143" s="98"/>
    </row>
    <row r="1144">
      <c r="A1144" s="98"/>
      <c r="B1144" s="98"/>
      <c r="C1144" s="98"/>
      <c r="D1144" s="98"/>
      <c r="E1144" s="98"/>
      <c r="F1144" s="98"/>
      <c r="G1144" s="98"/>
      <c r="H1144" s="98"/>
      <c r="I1144" s="98"/>
      <c r="J1144" s="98"/>
      <c r="K1144" s="98"/>
      <c r="L1144" s="98"/>
      <c r="M1144" s="98"/>
      <c r="N1144" s="98"/>
      <c r="O1144" s="98"/>
      <c r="P1144" s="98"/>
      <c r="Q1144" s="98"/>
      <c r="R1144" s="98"/>
      <c r="S1144" s="98" t="str">
        <f>IFERROR(__xludf.DUMMYFUNCTION("""COMPUTED_VALUE"""),"-")</f>
        <v>-</v>
      </c>
      <c r="T1144" s="98"/>
    </row>
    <row r="1145">
      <c r="A1145" s="98"/>
      <c r="B1145" s="98"/>
      <c r="C1145" s="98"/>
      <c r="D1145" s="98"/>
      <c r="E1145" s="98"/>
      <c r="F1145" s="98"/>
      <c r="G1145" s="98"/>
      <c r="H1145" s="98"/>
      <c r="I1145" s="98"/>
      <c r="J1145" s="98"/>
      <c r="K1145" s="98"/>
      <c r="L1145" s="98"/>
      <c r="M1145" s="98"/>
      <c r="N1145" s="98"/>
      <c r="O1145" s="98"/>
      <c r="P1145" s="98"/>
      <c r="Q1145" s="98"/>
      <c r="R1145" s="98"/>
      <c r="S1145" s="98" t="str">
        <f>IFERROR(__xludf.DUMMYFUNCTION("""COMPUTED_VALUE"""),"-")</f>
        <v>-</v>
      </c>
      <c r="T1145" s="98"/>
    </row>
    <row r="1146">
      <c r="A1146" s="98"/>
      <c r="B1146" s="98"/>
      <c r="C1146" s="98"/>
      <c r="D1146" s="98"/>
      <c r="E1146" s="98"/>
      <c r="F1146" s="98"/>
      <c r="G1146" s="98"/>
      <c r="H1146" s="98"/>
      <c r="I1146" s="98"/>
      <c r="J1146" s="98"/>
      <c r="K1146" s="98"/>
      <c r="L1146" s="98"/>
      <c r="M1146" s="98"/>
      <c r="N1146" s="98"/>
      <c r="O1146" s="98"/>
      <c r="P1146" s="98"/>
      <c r="Q1146" s="98"/>
      <c r="R1146" s="98"/>
      <c r="S1146" s="98" t="str">
        <f>IFERROR(__xludf.DUMMYFUNCTION("""COMPUTED_VALUE"""),"-")</f>
        <v>-</v>
      </c>
      <c r="T1146" s="98"/>
    </row>
    <row r="1147">
      <c r="A1147" s="98"/>
      <c r="B1147" s="98"/>
      <c r="C1147" s="98"/>
      <c r="D1147" s="98"/>
      <c r="E1147" s="98"/>
      <c r="F1147" s="98"/>
      <c r="G1147" s="98"/>
      <c r="H1147" s="98"/>
      <c r="I1147" s="98"/>
      <c r="J1147" s="98"/>
      <c r="K1147" s="98"/>
      <c r="L1147" s="98"/>
      <c r="M1147" s="98"/>
      <c r="N1147" s="98"/>
      <c r="O1147" s="98"/>
      <c r="P1147" s="98"/>
      <c r="Q1147" s="98"/>
      <c r="R1147" s="98"/>
      <c r="S1147" s="98" t="str">
        <f>IFERROR(__xludf.DUMMYFUNCTION("""COMPUTED_VALUE"""),"-")</f>
        <v>-</v>
      </c>
      <c r="T1147" s="98"/>
    </row>
    <row r="1148">
      <c r="A1148" s="98"/>
      <c r="B1148" s="98"/>
      <c r="C1148" s="98"/>
      <c r="D1148" s="98"/>
      <c r="E1148" s="98"/>
      <c r="F1148" s="98"/>
      <c r="G1148" s="98"/>
      <c r="H1148" s="98"/>
      <c r="I1148" s="98"/>
      <c r="J1148" s="98"/>
      <c r="K1148" s="98"/>
      <c r="L1148" s="98"/>
      <c r="M1148" s="98"/>
      <c r="N1148" s="98"/>
      <c r="O1148" s="98"/>
      <c r="P1148" s="98"/>
      <c r="Q1148" s="98"/>
      <c r="R1148" s="98"/>
      <c r="S1148" s="98" t="str">
        <f>IFERROR(__xludf.DUMMYFUNCTION("""COMPUTED_VALUE"""),"-")</f>
        <v>-</v>
      </c>
      <c r="T1148" s="98"/>
    </row>
    <row r="1149">
      <c r="A1149" s="98"/>
      <c r="B1149" s="98"/>
      <c r="C1149" s="98"/>
      <c r="D1149" s="98"/>
      <c r="E1149" s="98"/>
      <c r="F1149" s="98"/>
      <c r="G1149" s="98"/>
      <c r="H1149" s="98"/>
      <c r="I1149" s="98"/>
      <c r="J1149" s="98"/>
      <c r="K1149" s="98"/>
      <c r="L1149" s="98"/>
      <c r="M1149" s="98"/>
      <c r="N1149" s="98"/>
      <c r="O1149" s="98"/>
      <c r="P1149" s="98"/>
      <c r="Q1149" s="98"/>
      <c r="R1149" s="98"/>
      <c r="S1149" s="98" t="str">
        <f>IFERROR(__xludf.DUMMYFUNCTION("""COMPUTED_VALUE"""),"-")</f>
        <v>-</v>
      </c>
      <c r="T1149" s="98"/>
    </row>
    <row r="1150">
      <c r="A1150" s="98"/>
      <c r="B1150" s="98"/>
      <c r="C1150" s="98"/>
      <c r="D1150" s="98"/>
      <c r="E1150" s="98"/>
      <c r="F1150" s="98"/>
      <c r="G1150" s="98"/>
      <c r="H1150" s="98"/>
      <c r="I1150" s="98"/>
      <c r="J1150" s="98"/>
      <c r="K1150" s="98"/>
      <c r="L1150" s="98"/>
      <c r="M1150" s="98"/>
      <c r="N1150" s="98"/>
      <c r="O1150" s="98"/>
      <c r="P1150" s="98"/>
      <c r="Q1150" s="98"/>
      <c r="R1150" s="98"/>
      <c r="S1150" s="98" t="str">
        <f>IFERROR(__xludf.DUMMYFUNCTION("""COMPUTED_VALUE"""),"-")</f>
        <v>-</v>
      </c>
      <c r="T1150" s="98"/>
    </row>
    <row r="1151">
      <c r="A1151" s="98"/>
      <c r="B1151" s="98"/>
      <c r="C1151" s="98"/>
      <c r="D1151" s="98"/>
      <c r="E1151" s="98"/>
      <c r="F1151" s="98"/>
      <c r="G1151" s="98"/>
      <c r="H1151" s="98"/>
      <c r="I1151" s="98"/>
      <c r="J1151" s="98"/>
      <c r="K1151" s="98"/>
      <c r="L1151" s="98"/>
      <c r="M1151" s="98"/>
      <c r="N1151" s="98"/>
      <c r="O1151" s="98"/>
      <c r="P1151" s="98"/>
      <c r="Q1151" s="98"/>
      <c r="R1151" s="98"/>
      <c r="S1151" s="98" t="str">
        <f>IFERROR(__xludf.DUMMYFUNCTION("""COMPUTED_VALUE"""),"-")</f>
        <v>-</v>
      </c>
      <c r="T1151" s="98"/>
    </row>
    <row r="1152">
      <c r="A1152" s="98"/>
      <c r="B1152" s="98"/>
      <c r="C1152" s="98"/>
      <c r="D1152" s="98"/>
      <c r="E1152" s="98"/>
      <c r="F1152" s="98"/>
      <c r="G1152" s="98"/>
      <c r="H1152" s="98"/>
      <c r="I1152" s="98"/>
      <c r="J1152" s="98"/>
      <c r="K1152" s="98"/>
      <c r="L1152" s="98"/>
      <c r="M1152" s="98"/>
      <c r="N1152" s="98"/>
      <c r="O1152" s="98"/>
      <c r="P1152" s="98"/>
      <c r="Q1152" s="98"/>
      <c r="R1152" s="98"/>
      <c r="S1152" s="98" t="str">
        <f>IFERROR(__xludf.DUMMYFUNCTION("""COMPUTED_VALUE"""),"-")</f>
        <v>-</v>
      </c>
      <c r="T1152" s="98"/>
    </row>
    <row r="1153">
      <c r="A1153" s="98"/>
      <c r="B1153" s="98"/>
      <c r="C1153" s="98"/>
      <c r="D1153" s="98"/>
      <c r="E1153" s="98"/>
      <c r="F1153" s="98"/>
      <c r="G1153" s="98"/>
      <c r="H1153" s="98"/>
      <c r="I1153" s="98"/>
      <c r="J1153" s="98"/>
      <c r="K1153" s="98"/>
      <c r="L1153" s="98"/>
      <c r="M1153" s="98"/>
      <c r="N1153" s="98"/>
      <c r="O1153" s="98"/>
      <c r="P1153" s="98"/>
      <c r="Q1153" s="98"/>
      <c r="R1153" s="98"/>
      <c r="S1153" s="98" t="str">
        <f>IFERROR(__xludf.DUMMYFUNCTION("""COMPUTED_VALUE"""),"-")</f>
        <v>-</v>
      </c>
      <c r="T1153" s="98"/>
    </row>
    <row r="1154">
      <c r="A1154" s="98"/>
      <c r="B1154" s="98"/>
      <c r="C1154" s="98"/>
      <c r="D1154" s="98"/>
      <c r="E1154" s="98"/>
      <c r="F1154" s="98"/>
      <c r="G1154" s="98"/>
      <c r="H1154" s="98"/>
      <c r="I1154" s="98"/>
      <c r="J1154" s="98"/>
      <c r="K1154" s="98"/>
      <c r="L1154" s="98"/>
      <c r="M1154" s="98"/>
      <c r="N1154" s="98"/>
      <c r="O1154" s="98"/>
      <c r="P1154" s="98"/>
      <c r="Q1154" s="98"/>
      <c r="R1154" s="98"/>
      <c r="S1154" s="98" t="str">
        <f>IFERROR(__xludf.DUMMYFUNCTION("""COMPUTED_VALUE"""),"-")</f>
        <v>-</v>
      </c>
      <c r="T1154" s="98"/>
    </row>
    <row r="1155">
      <c r="A1155" s="98"/>
      <c r="B1155" s="98"/>
      <c r="C1155" s="98"/>
      <c r="D1155" s="98"/>
      <c r="E1155" s="98"/>
      <c r="F1155" s="98"/>
      <c r="G1155" s="98"/>
      <c r="H1155" s="98"/>
      <c r="I1155" s="98"/>
      <c r="J1155" s="98"/>
      <c r="K1155" s="98"/>
      <c r="L1155" s="98"/>
      <c r="M1155" s="98"/>
      <c r="N1155" s="98"/>
      <c r="O1155" s="98"/>
      <c r="P1155" s="98"/>
      <c r="Q1155" s="98"/>
      <c r="R1155" s="98"/>
      <c r="S1155" s="98" t="str">
        <f>IFERROR(__xludf.DUMMYFUNCTION("""COMPUTED_VALUE"""),"-")</f>
        <v>-</v>
      </c>
      <c r="T1155" s="98"/>
    </row>
    <row r="1156">
      <c r="A1156" s="98"/>
      <c r="B1156" s="98"/>
      <c r="C1156" s="98"/>
      <c r="D1156" s="98"/>
      <c r="E1156" s="98"/>
      <c r="F1156" s="98"/>
      <c r="G1156" s="98"/>
      <c r="H1156" s="98"/>
      <c r="I1156" s="98"/>
      <c r="J1156" s="98"/>
      <c r="K1156" s="98"/>
      <c r="L1156" s="98"/>
      <c r="M1156" s="98"/>
      <c r="N1156" s="98"/>
      <c r="O1156" s="98"/>
      <c r="P1156" s="98"/>
      <c r="Q1156" s="98"/>
      <c r="R1156" s="98"/>
      <c r="S1156" s="98" t="str">
        <f>IFERROR(__xludf.DUMMYFUNCTION("""COMPUTED_VALUE"""),"-")</f>
        <v>-</v>
      </c>
      <c r="T1156" s="98"/>
    </row>
    <row r="1157">
      <c r="A1157" s="98"/>
      <c r="B1157" s="98"/>
      <c r="C1157" s="98"/>
      <c r="D1157" s="98"/>
      <c r="E1157" s="98"/>
      <c r="F1157" s="98"/>
      <c r="G1157" s="98"/>
      <c r="H1157" s="98"/>
      <c r="I1157" s="98"/>
      <c r="J1157" s="98"/>
      <c r="K1157" s="98"/>
      <c r="L1157" s="98"/>
      <c r="M1157" s="98"/>
      <c r="N1157" s="98"/>
      <c r="O1157" s="98"/>
      <c r="P1157" s="98"/>
      <c r="Q1157" s="98"/>
      <c r="R1157" s="98"/>
      <c r="S1157" s="98" t="str">
        <f>IFERROR(__xludf.DUMMYFUNCTION("""COMPUTED_VALUE"""),"-")</f>
        <v>-</v>
      </c>
      <c r="T1157" s="98"/>
    </row>
    <row r="1158">
      <c r="A1158" s="98"/>
      <c r="B1158" s="98"/>
      <c r="C1158" s="98"/>
      <c r="D1158" s="98"/>
      <c r="E1158" s="98"/>
      <c r="F1158" s="98"/>
      <c r="G1158" s="98"/>
      <c r="H1158" s="98"/>
      <c r="I1158" s="98"/>
      <c r="J1158" s="98"/>
      <c r="K1158" s="98"/>
      <c r="L1158" s="98"/>
      <c r="M1158" s="98"/>
      <c r="N1158" s="98"/>
      <c r="O1158" s="98"/>
      <c r="P1158" s="98"/>
      <c r="Q1158" s="98"/>
      <c r="R1158" s="98"/>
      <c r="S1158" s="98" t="str">
        <f>IFERROR(__xludf.DUMMYFUNCTION("""COMPUTED_VALUE"""),"-")</f>
        <v>-</v>
      </c>
      <c r="T1158" s="98"/>
    </row>
    <row r="1159">
      <c r="A1159" s="98"/>
      <c r="B1159" s="98"/>
      <c r="C1159" s="98"/>
      <c r="D1159" s="98"/>
      <c r="E1159" s="98"/>
      <c r="F1159" s="98"/>
      <c r="G1159" s="98"/>
      <c r="H1159" s="98"/>
      <c r="I1159" s="98"/>
      <c r="J1159" s="98"/>
      <c r="K1159" s="98"/>
      <c r="L1159" s="98"/>
      <c r="M1159" s="98"/>
      <c r="N1159" s="98"/>
      <c r="O1159" s="98"/>
      <c r="P1159" s="98"/>
      <c r="Q1159" s="98"/>
      <c r="R1159" s="98"/>
      <c r="S1159" s="98" t="str">
        <f>IFERROR(__xludf.DUMMYFUNCTION("""COMPUTED_VALUE"""),"-")</f>
        <v>-</v>
      </c>
      <c r="T1159" s="98"/>
    </row>
    <row r="1160">
      <c r="A1160" s="98"/>
      <c r="B1160" s="98"/>
      <c r="C1160" s="98"/>
      <c r="D1160" s="98"/>
      <c r="E1160" s="98"/>
      <c r="F1160" s="98"/>
      <c r="G1160" s="98"/>
      <c r="H1160" s="98"/>
      <c r="I1160" s="98"/>
      <c r="J1160" s="98"/>
      <c r="K1160" s="98"/>
      <c r="L1160" s="98"/>
      <c r="M1160" s="98"/>
      <c r="N1160" s="98"/>
      <c r="O1160" s="98"/>
      <c r="P1160" s="98"/>
      <c r="Q1160" s="98"/>
      <c r="R1160" s="98"/>
      <c r="S1160" s="98" t="str">
        <f>IFERROR(__xludf.DUMMYFUNCTION("""COMPUTED_VALUE"""),"-")</f>
        <v>-</v>
      </c>
      <c r="T1160" s="98"/>
    </row>
    <row r="1161">
      <c r="A1161" s="98"/>
      <c r="B1161" s="98"/>
      <c r="C1161" s="98"/>
      <c r="D1161" s="98"/>
      <c r="E1161" s="98"/>
      <c r="F1161" s="98"/>
      <c r="G1161" s="98"/>
      <c r="H1161" s="98"/>
      <c r="I1161" s="98"/>
      <c r="J1161" s="98"/>
      <c r="K1161" s="98"/>
      <c r="L1161" s="98"/>
      <c r="M1161" s="98"/>
      <c r="N1161" s="98"/>
      <c r="O1161" s="98"/>
      <c r="P1161" s="98"/>
      <c r="Q1161" s="98"/>
      <c r="R1161" s="98"/>
      <c r="S1161" s="98" t="str">
        <f>IFERROR(__xludf.DUMMYFUNCTION("""COMPUTED_VALUE"""),"-")</f>
        <v>-</v>
      </c>
      <c r="T1161" s="98"/>
    </row>
    <row r="1162">
      <c r="A1162" s="98"/>
      <c r="B1162" s="98"/>
      <c r="C1162" s="98"/>
      <c r="D1162" s="98"/>
      <c r="E1162" s="98"/>
      <c r="F1162" s="98"/>
      <c r="G1162" s="98"/>
      <c r="H1162" s="98"/>
      <c r="I1162" s="98"/>
      <c r="J1162" s="98"/>
      <c r="K1162" s="98"/>
      <c r="L1162" s="98"/>
      <c r="M1162" s="98"/>
      <c r="N1162" s="98"/>
      <c r="O1162" s="98"/>
      <c r="P1162" s="98"/>
      <c r="Q1162" s="98"/>
      <c r="R1162" s="98"/>
      <c r="S1162" s="98" t="str">
        <f>IFERROR(__xludf.DUMMYFUNCTION("""COMPUTED_VALUE"""),"-")</f>
        <v>-</v>
      </c>
      <c r="T1162" s="98"/>
    </row>
    <row r="1163">
      <c r="A1163" s="98"/>
      <c r="B1163" s="98"/>
      <c r="C1163" s="98"/>
      <c r="D1163" s="98"/>
      <c r="E1163" s="98"/>
      <c r="F1163" s="98"/>
      <c r="G1163" s="98"/>
      <c r="H1163" s="98"/>
      <c r="I1163" s="98"/>
      <c r="J1163" s="98"/>
      <c r="K1163" s="98"/>
      <c r="L1163" s="98"/>
      <c r="M1163" s="98"/>
      <c r="N1163" s="98"/>
      <c r="O1163" s="98"/>
      <c r="P1163" s="98"/>
      <c r="Q1163" s="98"/>
      <c r="R1163" s="98"/>
      <c r="S1163" s="98" t="str">
        <f>IFERROR(__xludf.DUMMYFUNCTION("""COMPUTED_VALUE"""),"-")</f>
        <v>-</v>
      </c>
      <c r="T1163" s="98"/>
    </row>
    <row r="1164">
      <c r="A1164" s="98"/>
      <c r="B1164" s="98"/>
      <c r="C1164" s="98"/>
      <c r="D1164" s="98"/>
      <c r="E1164" s="98"/>
      <c r="F1164" s="98"/>
      <c r="G1164" s="98"/>
      <c r="H1164" s="98"/>
      <c r="I1164" s="98"/>
      <c r="J1164" s="98"/>
      <c r="K1164" s="98"/>
      <c r="L1164" s="98"/>
      <c r="M1164" s="98"/>
      <c r="N1164" s="98"/>
      <c r="O1164" s="98"/>
      <c r="P1164" s="98"/>
      <c r="Q1164" s="98"/>
      <c r="R1164" s="98"/>
      <c r="S1164" s="98" t="str">
        <f>IFERROR(__xludf.DUMMYFUNCTION("""COMPUTED_VALUE"""),"-")</f>
        <v>-</v>
      </c>
      <c r="T1164" s="98"/>
    </row>
    <row r="1165">
      <c r="A1165" s="98"/>
      <c r="B1165" s="98"/>
      <c r="C1165" s="98"/>
      <c r="D1165" s="98"/>
      <c r="E1165" s="98"/>
      <c r="F1165" s="98"/>
      <c r="G1165" s="98"/>
      <c r="H1165" s="98"/>
      <c r="I1165" s="98"/>
      <c r="J1165" s="98"/>
      <c r="K1165" s="98"/>
      <c r="L1165" s="98"/>
      <c r="M1165" s="98"/>
      <c r="N1165" s="98"/>
      <c r="O1165" s="98"/>
      <c r="P1165" s="98"/>
      <c r="Q1165" s="98"/>
      <c r="R1165" s="98"/>
      <c r="S1165" s="98" t="str">
        <f>IFERROR(__xludf.DUMMYFUNCTION("""COMPUTED_VALUE"""),"-")</f>
        <v>-</v>
      </c>
      <c r="T1165" s="98"/>
    </row>
    <row r="1166">
      <c r="A1166" s="98"/>
      <c r="B1166" s="98"/>
      <c r="C1166" s="98"/>
      <c r="D1166" s="98"/>
      <c r="E1166" s="98"/>
      <c r="F1166" s="98"/>
      <c r="G1166" s="98"/>
      <c r="H1166" s="98"/>
      <c r="I1166" s="98"/>
      <c r="J1166" s="98"/>
      <c r="K1166" s="98"/>
      <c r="L1166" s="98"/>
      <c r="M1166" s="98"/>
      <c r="N1166" s="98"/>
      <c r="O1166" s="98"/>
      <c r="P1166" s="98"/>
      <c r="Q1166" s="98"/>
      <c r="R1166" s="98"/>
      <c r="S1166" s="98" t="str">
        <f>IFERROR(__xludf.DUMMYFUNCTION("""COMPUTED_VALUE"""),"-")</f>
        <v>-</v>
      </c>
      <c r="T1166" s="98"/>
    </row>
    <row r="1167">
      <c r="A1167" s="98"/>
      <c r="B1167" s="98"/>
      <c r="C1167" s="98"/>
      <c r="D1167" s="98"/>
      <c r="E1167" s="98"/>
      <c r="F1167" s="98"/>
      <c r="G1167" s="98"/>
      <c r="H1167" s="98"/>
      <c r="I1167" s="98"/>
      <c r="J1167" s="98"/>
      <c r="K1167" s="98"/>
      <c r="L1167" s="98"/>
      <c r="M1167" s="98"/>
      <c r="N1167" s="98"/>
      <c r="O1167" s="98"/>
      <c r="P1167" s="98"/>
      <c r="Q1167" s="98"/>
      <c r="R1167" s="98"/>
      <c r="S1167" s="98" t="str">
        <f>IFERROR(__xludf.DUMMYFUNCTION("""COMPUTED_VALUE"""),"-")</f>
        <v>-</v>
      </c>
      <c r="T1167" s="98"/>
    </row>
    <row r="1168">
      <c r="A1168" s="98"/>
      <c r="B1168" s="98"/>
      <c r="C1168" s="98"/>
      <c r="D1168" s="98"/>
      <c r="E1168" s="98"/>
      <c r="F1168" s="98"/>
      <c r="G1168" s="98"/>
      <c r="H1168" s="98"/>
      <c r="I1168" s="98"/>
      <c r="J1168" s="98"/>
      <c r="K1168" s="98"/>
      <c r="L1168" s="98"/>
      <c r="M1168" s="98"/>
      <c r="N1168" s="98"/>
      <c r="O1168" s="98"/>
      <c r="P1168" s="98"/>
      <c r="Q1168" s="98"/>
      <c r="R1168" s="98"/>
      <c r="S1168" s="98" t="str">
        <f>IFERROR(__xludf.DUMMYFUNCTION("""COMPUTED_VALUE"""),"-")</f>
        <v>-</v>
      </c>
      <c r="T1168" s="98"/>
    </row>
    <row r="1169">
      <c r="A1169" s="98"/>
      <c r="B1169" s="98"/>
      <c r="C1169" s="98"/>
      <c r="D1169" s="98"/>
      <c r="E1169" s="98"/>
      <c r="F1169" s="98"/>
      <c r="G1169" s="98"/>
      <c r="H1169" s="98"/>
      <c r="I1169" s="98"/>
      <c r="J1169" s="98"/>
      <c r="K1169" s="98"/>
      <c r="L1169" s="98"/>
      <c r="M1169" s="98"/>
      <c r="N1169" s="98"/>
      <c r="O1169" s="98"/>
      <c r="P1169" s="98"/>
      <c r="Q1169" s="98"/>
      <c r="R1169" s="98"/>
      <c r="S1169" s="98" t="str">
        <f>IFERROR(__xludf.DUMMYFUNCTION("""COMPUTED_VALUE"""),"-")</f>
        <v>-</v>
      </c>
      <c r="T1169" s="98"/>
    </row>
    <row r="1170">
      <c r="A1170" s="98"/>
      <c r="B1170" s="98"/>
      <c r="C1170" s="98"/>
      <c r="D1170" s="98"/>
      <c r="E1170" s="98"/>
      <c r="F1170" s="98"/>
      <c r="G1170" s="98"/>
      <c r="H1170" s="98"/>
      <c r="I1170" s="98"/>
      <c r="J1170" s="98"/>
      <c r="K1170" s="98"/>
      <c r="L1170" s="98"/>
      <c r="M1170" s="98"/>
      <c r="N1170" s="98"/>
      <c r="O1170" s="98"/>
      <c r="P1170" s="98"/>
      <c r="Q1170" s="98"/>
      <c r="R1170" s="98"/>
      <c r="S1170" s="98" t="str">
        <f>IFERROR(__xludf.DUMMYFUNCTION("""COMPUTED_VALUE"""),"-")</f>
        <v>-</v>
      </c>
      <c r="T1170" s="98"/>
    </row>
    <row r="1171">
      <c r="A1171" s="98"/>
      <c r="B1171" s="98"/>
      <c r="C1171" s="98"/>
      <c r="D1171" s="98"/>
      <c r="E1171" s="98"/>
      <c r="F1171" s="98"/>
      <c r="G1171" s="98"/>
      <c r="H1171" s="98"/>
      <c r="I1171" s="98"/>
      <c r="J1171" s="98"/>
      <c r="K1171" s="98"/>
      <c r="L1171" s="98"/>
      <c r="M1171" s="98"/>
      <c r="N1171" s="98"/>
      <c r="O1171" s="98"/>
      <c r="P1171" s="98"/>
      <c r="Q1171" s="98"/>
      <c r="R1171" s="98"/>
      <c r="S1171" s="98" t="str">
        <f>IFERROR(__xludf.DUMMYFUNCTION("""COMPUTED_VALUE"""),"-")</f>
        <v>-</v>
      </c>
      <c r="T1171" s="98"/>
    </row>
    <row r="1172">
      <c r="A1172" s="98"/>
      <c r="B1172" s="98"/>
      <c r="C1172" s="98"/>
      <c r="D1172" s="98"/>
      <c r="E1172" s="98"/>
      <c r="F1172" s="98"/>
      <c r="G1172" s="98"/>
      <c r="H1172" s="98"/>
      <c r="I1172" s="98"/>
      <c r="J1172" s="98"/>
      <c r="K1172" s="98"/>
      <c r="L1172" s="98"/>
      <c r="M1172" s="98"/>
      <c r="N1172" s="98"/>
      <c r="O1172" s="98"/>
      <c r="P1172" s="98"/>
      <c r="Q1172" s="98"/>
      <c r="R1172" s="98"/>
      <c r="S1172" s="98" t="str">
        <f>IFERROR(__xludf.DUMMYFUNCTION("""COMPUTED_VALUE"""),"-")</f>
        <v>-</v>
      </c>
      <c r="T1172" s="98"/>
    </row>
    <row r="1173">
      <c r="A1173" s="98"/>
      <c r="B1173" s="98"/>
      <c r="C1173" s="98"/>
      <c r="D1173" s="98"/>
      <c r="E1173" s="98"/>
      <c r="F1173" s="98"/>
      <c r="G1173" s="98"/>
      <c r="H1173" s="98"/>
      <c r="I1173" s="98"/>
      <c r="J1173" s="98"/>
      <c r="K1173" s="98"/>
      <c r="L1173" s="98"/>
      <c r="M1173" s="98"/>
      <c r="N1173" s="98"/>
      <c r="O1173" s="98"/>
      <c r="P1173" s="98"/>
      <c r="Q1173" s="98"/>
      <c r="R1173" s="98"/>
      <c r="S1173" s="98" t="str">
        <f>IFERROR(__xludf.DUMMYFUNCTION("""COMPUTED_VALUE"""),"-")</f>
        <v>-</v>
      </c>
      <c r="T1173" s="98"/>
    </row>
    <row r="1174">
      <c r="A1174" s="98"/>
      <c r="B1174" s="98"/>
      <c r="C1174" s="98"/>
      <c r="D1174" s="98"/>
      <c r="E1174" s="98"/>
      <c r="F1174" s="98"/>
      <c r="G1174" s="98"/>
      <c r="H1174" s="98"/>
      <c r="I1174" s="98"/>
      <c r="J1174" s="98"/>
      <c r="K1174" s="98"/>
      <c r="L1174" s="98"/>
      <c r="M1174" s="98"/>
      <c r="N1174" s="98"/>
      <c r="O1174" s="98"/>
      <c r="P1174" s="98"/>
      <c r="Q1174" s="98"/>
      <c r="R1174" s="98"/>
      <c r="S1174" s="98" t="str">
        <f>IFERROR(__xludf.DUMMYFUNCTION("""COMPUTED_VALUE"""),"-")</f>
        <v>-</v>
      </c>
      <c r="T1174" s="98"/>
    </row>
    <row r="1175">
      <c r="A1175" s="98"/>
      <c r="B1175" s="98"/>
      <c r="C1175" s="98"/>
      <c r="D1175" s="98"/>
      <c r="E1175" s="98"/>
      <c r="F1175" s="98"/>
      <c r="G1175" s="98"/>
      <c r="H1175" s="98"/>
      <c r="I1175" s="98"/>
      <c r="J1175" s="98"/>
      <c r="K1175" s="98"/>
      <c r="L1175" s="98"/>
      <c r="M1175" s="98"/>
      <c r="N1175" s="98"/>
      <c r="O1175" s="98"/>
      <c r="P1175" s="98"/>
      <c r="Q1175" s="98"/>
      <c r="R1175" s="98"/>
      <c r="S1175" s="98" t="str">
        <f>IFERROR(__xludf.DUMMYFUNCTION("""COMPUTED_VALUE"""),"-")</f>
        <v>-</v>
      </c>
      <c r="T1175" s="98"/>
    </row>
    <row r="1176">
      <c r="A1176" s="98"/>
      <c r="B1176" s="98"/>
      <c r="C1176" s="98"/>
      <c r="D1176" s="98"/>
      <c r="E1176" s="98"/>
      <c r="F1176" s="98"/>
      <c r="G1176" s="98"/>
      <c r="H1176" s="98"/>
      <c r="I1176" s="98"/>
      <c r="J1176" s="98"/>
      <c r="K1176" s="98"/>
      <c r="L1176" s="98"/>
      <c r="M1176" s="98"/>
      <c r="N1176" s="98"/>
      <c r="O1176" s="98"/>
      <c r="P1176" s="98"/>
      <c r="Q1176" s="98"/>
      <c r="R1176" s="98"/>
      <c r="S1176" s="98" t="str">
        <f>IFERROR(__xludf.DUMMYFUNCTION("""COMPUTED_VALUE"""),"-")</f>
        <v>-</v>
      </c>
      <c r="T1176" s="98"/>
    </row>
    <row r="1177">
      <c r="A1177" s="98"/>
      <c r="B1177" s="98"/>
      <c r="C1177" s="98"/>
      <c r="D1177" s="98"/>
      <c r="E1177" s="98"/>
      <c r="F1177" s="98"/>
      <c r="G1177" s="98"/>
      <c r="H1177" s="98"/>
      <c r="I1177" s="98"/>
      <c r="J1177" s="98"/>
      <c r="K1177" s="98"/>
      <c r="L1177" s="98"/>
      <c r="M1177" s="98"/>
      <c r="N1177" s="98"/>
      <c r="O1177" s="98"/>
      <c r="P1177" s="98"/>
      <c r="Q1177" s="98"/>
      <c r="R1177" s="98"/>
      <c r="S1177" s="98" t="str">
        <f>IFERROR(__xludf.DUMMYFUNCTION("""COMPUTED_VALUE"""),"-")</f>
        <v>-</v>
      </c>
      <c r="T1177" s="98"/>
    </row>
    <row r="1178">
      <c r="A1178" s="98"/>
      <c r="B1178" s="98"/>
      <c r="C1178" s="98"/>
      <c r="D1178" s="98"/>
      <c r="E1178" s="98"/>
      <c r="F1178" s="98"/>
      <c r="G1178" s="98"/>
      <c r="H1178" s="98"/>
      <c r="I1178" s="98"/>
      <c r="J1178" s="98"/>
      <c r="K1178" s="98"/>
      <c r="L1178" s="98"/>
      <c r="M1178" s="98"/>
      <c r="N1178" s="98"/>
      <c r="O1178" s="98"/>
      <c r="P1178" s="98"/>
      <c r="Q1178" s="98"/>
      <c r="R1178" s="98"/>
      <c r="S1178" s="98" t="str">
        <f>IFERROR(__xludf.DUMMYFUNCTION("""COMPUTED_VALUE"""),"-")</f>
        <v>-</v>
      </c>
      <c r="T1178" s="98"/>
    </row>
    <row r="1179">
      <c r="A1179" s="98"/>
      <c r="B1179" s="98"/>
      <c r="C1179" s="98"/>
      <c r="D1179" s="98"/>
      <c r="E1179" s="98"/>
      <c r="F1179" s="98"/>
      <c r="G1179" s="98"/>
      <c r="H1179" s="98"/>
      <c r="I1179" s="98"/>
      <c r="J1179" s="98"/>
      <c r="K1179" s="98"/>
      <c r="L1179" s="98"/>
      <c r="M1179" s="98"/>
      <c r="N1179" s="98"/>
      <c r="O1179" s="98"/>
      <c r="P1179" s="98"/>
      <c r="Q1179" s="98"/>
      <c r="R1179" s="98"/>
      <c r="S1179" s="98" t="str">
        <f>IFERROR(__xludf.DUMMYFUNCTION("""COMPUTED_VALUE"""),"-")</f>
        <v>-</v>
      </c>
      <c r="T1179" s="98"/>
    </row>
    <row r="1180">
      <c r="A1180" s="98"/>
      <c r="B1180" s="98"/>
      <c r="C1180" s="98"/>
      <c r="D1180" s="98"/>
      <c r="E1180" s="98"/>
      <c r="F1180" s="98"/>
      <c r="G1180" s="98"/>
      <c r="H1180" s="98"/>
      <c r="I1180" s="98"/>
      <c r="J1180" s="98"/>
      <c r="K1180" s="98"/>
      <c r="L1180" s="98"/>
      <c r="M1180" s="98"/>
      <c r="N1180" s="98"/>
      <c r="O1180" s="98"/>
      <c r="P1180" s="98"/>
      <c r="Q1180" s="98"/>
      <c r="R1180" s="98"/>
      <c r="S1180" s="98" t="str">
        <f>IFERROR(__xludf.DUMMYFUNCTION("""COMPUTED_VALUE"""),"-")</f>
        <v>-</v>
      </c>
      <c r="T1180" s="98"/>
    </row>
    <row r="1181">
      <c r="A1181" s="98"/>
      <c r="B1181" s="98"/>
      <c r="C1181" s="98"/>
      <c r="D1181" s="98"/>
      <c r="E1181" s="98"/>
      <c r="F1181" s="98"/>
      <c r="G1181" s="98"/>
      <c r="H1181" s="98"/>
      <c r="I1181" s="98"/>
      <c r="J1181" s="98"/>
      <c r="K1181" s="98"/>
      <c r="L1181" s="98"/>
      <c r="M1181" s="98"/>
      <c r="N1181" s="98"/>
      <c r="O1181" s="98"/>
      <c r="P1181" s="98"/>
      <c r="Q1181" s="98"/>
      <c r="R1181" s="98"/>
      <c r="S1181" s="98" t="str">
        <f>IFERROR(__xludf.DUMMYFUNCTION("""COMPUTED_VALUE"""),"-")</f>
        <v>-</v>
      </c>
      <c r="T1181" s="98"/>
    </row>
    <row r="1182">
      <c r="A1182" s="98"/>
      <c r="B1182" s="98"/>
      <c r="C1182" s="98"/>
      <c r="D1182" s="98"/>
      <c r="E1182" s="98"/>
      <c r="F1182" s="98"/>
      <c r="G1182" s="98"/>
      <c r="H1182" s="98"/>
      <c r="I1182" s="98"/>
      <c r="J1182" s="98"/>
      <c r="K1182" s="98"/>
      <c r="L1182" s="98"/>
      <c r="M1182" s="98"/>
      <c r="N1182" s="98"/>
      <c r="O1182" s="98"/>
      <c r="P1182" s="98"/>
      <c r="Q1182" s="98"/>
      <c r="R1182" s="98"/>
      <c r="S1182" s="98" t="str">
        <f>IFERROR(__xludf.DUMMYFUNCTION("""COMPUTED_VALUE"""),"-")</f>
        <v>-</v>
      </c>
      <c r="T1182" s="98"/>
    </row>
    <row r="1183">
      <c r="A1183" s="98"/>
      <c r="B1183" s="98"/>
      <c r="C1183" s="98"/>
      <c r="D1183" s="98"/>
      <c r="E1183" s="98"/>
      <c r="F1183" s="98"/>
      <c r="G1183" s="98"/>
      <c r="H1183" s="98"/>
      <c r="I1183" s="98"/>
      <c r="J1183" s="98"/>
      <c r="K1183" s="98"/>
      <c r="L1183" s="98"/>
      <c r="M1183" s="98"/>
      <c r="N1183" s="98"/>
      <c r="O1183" s="98"/>
      <c r="P1183" s="98"/>
      <c r="Q1183" s="98"/>
      <c r="R1183" s="98"/>
      <c r="S1183" s="98" t="str">
        <f>IFERROR(__xludf.DUMMYFUNCTION("""COMPUTED_VALUE"""),"-")</f>
        <v>-</v>
      </c>
      <c r="T1183" s="98"/>
    </row>
    <row r="1184">
      <c r="A1184" s="98"/>
      <c r="B1184" s="98"/>
      <c r="C1184" s="98"/>
      <c r="D1184" s="98"/>
      <c r="E1184" s="98"/>
      <c r="F1184" s="98"/>
      <c r="G1184" s="98"/>
      <c r="H1184" s="98"/>
      <c r="I1184" s="98"/>
      <c r="J1184" s="98"/>
      <c r="K1184" s="98"/>
      <c r="L1184" s="98"/>
      <c r="M1184" s="98"/>
      <c r="N1184" s="98"/>
      <c r="O1184" s="98"/>
      <c r="P1184" s="98"/>
      <c r="Q1184" s="98"/>
      <c r="R1184" s="98"/>
      <c r="S1184" s="98" t="str">
        <f>IFERROR(__xludf.DUMMYFUNCTION("""COMPUTED_VALUE"""),"-")</f>
        <v>-</v>
      </c>
      <c r="T1184" s="98"/>
    </row>
    <row r="1185">
      <c r="A1185" s="98"/>
      <c r="B1185" s="98"/>
      <c r="C1185" s="98"/>
      <c r="D1185" s="98"/>
      <c r="E1185" s="98"/>
      <c r="F1185" s="98"/>
      <c r="G1185" s="98"/>
      <c r="H1185" s="98"/>
      <c r="I1185" s="98"/>
      <c r="J1185" s="98"/>
      <c r="K1185" s="98"/>
      <c r="L1185" s="98"/>
      <c r="M1185" s="98"/>
      <c r="N1185" s="98"/>
      <c r="O1185" s="98"/>
      <c r="P1185" s="98"/>
      <c r="Q1185" s="98"/>
      <c r="R1185" s="98"/>
      <c r="S1185" s="98" t="str">
        <f>IFERROR(__xludf.DUMMYFUNCTION("""COMPUTED_VALUE"""),"-")</f>
        <v>-</v>
      </c>
      <c r="T1185" s="98"/>
    </row>
    <row r="1186">
      <c r="A1186" s="98"/>
      <c r="B1186" s="98"/>
      <c r="C1186" s="98"/>
      <c r="D1186" s="98"/>
      <c r="E1186" s="98"/>
      <c r="F1186" s="98"/>
      <c r="G1186" s="98"/>
      <c r="H1186" s="98"/>
      <c r="I1186" s="98"/>
      <c r="J1186" s="98"/>
      <c r="K1186" s="98"/>
      <c r="L1186" s="98"/>
      <c r="M1186" s="98"/>
      <c r="N1186" s="98"/>
      <c r="O1186" s="98"/>
      <c r="P1186" s="98"/>
      <c r="Q1186" s="98"/>
      <c r="R1186" s="98"/>
      <c r="S1186" s="98" t="str">
        <f>IFERROR(__xludf.DUMMYFUNCTION("""COMPUTED_VALUE"""),"-")</f>
        <v>-</v>
      </c>
      <c r="T1186" s="98"/>
    </row>
    <row r="1187">
      <c r="A1187" s="98"/>
      <c r="B1187" s="98"/>
      <c r="C1187" s="98"/>
      <c r="D1187" s="98"/>
      <c r="E1187" s="98"/>
      <c r="F1187" s="98"/>
      <c r="G1187" s="98"/>
      <c r="H1187" s="98"/>
      <c r="I1187" s="98"/>
      <c r="J1187" s="98"/>
      <c r="K1187" s="98"/>
      <c r="L1187" s="98"/>
      <c r="M1187" s="98"/>
      <c r="N1187" s="98"/>
      <c r="O1187" s="98"/>
      <c r="P1187" s="98"/>
      <c r="Q1187" s="98"/>
      <c r="R1187" s="98"/>
      <c r="S1187" s="98" t="str">
        <f>IFERROR(__xludf.DUMMYFUNCTION("""COMPUTED_VALUE"""),"-")</f>
        <v>-</v>
      </c>
      <c r="T1187" s="98"/>
    </row>
    <row r="1188">
      <c r="A1188" s="98"/>
      <c r="B1188" s="98"/>
      <c r="C1188" s="98"/>
      <c r="D1188" s="98"/>
      <c r="E1188" s="98"/>
      <c r="F1188" s="98"/>
      <c r="G1188" s="98"/>
      <c r="H1188" s="98"/>
      <c r="I1188" s="98"/>
      <c r="J1188" s="98"/>
      <c r="K1188" s="98"/>
      <c r="L1188" s="98"/>
      <c r="M1188" s="98"/>
      <c r="N1188" s="98"/>
      <c r="O1188" s="98"/>
      <c r="P1188" s="98"/>
      <c r="Q1188" s="98"/>
      <c r="R1188" s="98"/>
      <c r="S1188" s="98" t="str">
        <f>IFERROR(__xludf.DUMMYFUNCTION("""COMPUTED_VALUE"""),"-")</f>
        <v>-</v>
      </c>
      <c r="T1188" s="98"/>
    </row>
    <row r="1189">
      <c r="A1189" s="98"/>
      <c r="B1189" s="98"/>
      <c r="C1189" s="98"/>
      <c r="D1189" s="98"/>
      <c r="E1189" s="98"/>
      <c r="F1189" s="98"/>
      <c r="G1189" s="98"/>
      <c r="H1189" s="98"/>
      <c r="I1189" s="98"/>
      <c r="J1189" s="98"/>
      <c r="K1189" s="98"/>
      <c r="L1189" s="98"/>
      <c r="M1189" s="98"/>
      <c r="N1189" s="98"/>
      <c r="O1189" s="98"/>
      <c r="P1189" s="98"/>
      <c r="Q1189" s="98"/>
      <c r="R1189" s="98"/>
      <c r="S1189" s="98" t="str">
        <f>IFERROR(__xludf.DUMMYFUNCTION("""COMPUTED_VALUE"""),"-")</f>
        <v>-</v>
      </c>
      <c r="T1189" s="98"/>
    </row>
    <row r="1190">
      <c r="A1190" s="98"/>
      <c r="B1190" s="98"/>
      <c r="C1190" s="98"/>
      <c r="D1190" s="98"/>
      <c r="E1190" s="98"/>
      <c r="F1190" s="98"/>
      <c r="G1190" s="98"/>
      <c r="H1190" s="98"/>
      <c r="I1190" s="98"/>
      <c r="J1190" s="98"/>
      <c r="K1190" s="98"/>
      <c r="L1190" s="98"/>
      <c r="M1190" s="98"/>
      <c r="N1190" s="98"/>
      <c r="O1190" s="98"/>
      <c r="P1190" s="98"/>
      <c r="Q1190" s="98"/>
      <c r="R1190" s="98"/>
      <c r="S1190" s="98" t="str">
        <f>IFERROR(__xludf.DUMMYFUNCTION("""COMPUTED_VALUE"""),"-")</f>
        <v>-</v>
      </c>
      <c r="T1190" s="98"/>
    </row>
    <row r="1191">
      <c r="A1191" s="98"/>
      <c r="B1191" s="98"/>
      <c r="C1191" s="98"/>
      <c r="D1191" s="98"/>
      <c r="E1191" s="98"/>
      <c r="F1191" s="98"/>
      <c r="G1191" s="98"/>
      <c r="H1191" s="98"/>
      <c r="I1191" s="98"/>
      <c r="J1191" s="98"/>
      <c r="K1191" s="98"/>
      <c r="L1191" s="98"/>
      <c r="M1191" s="98"/>
      <c r="N1191" s="98"/>
      <c r="O1191" s="98"/>
      <c r="P1191" s="98"/>
      <c r="Q1191" s="98"/>
      <c r="R1191" s="98"/>
      <c r="S1191" s="98" t="str">
        <f>IFERROR(__xludf.DUMMYFUNCTION("""COMPUTED_VALUE"""),"-")</f>
        <v>-</v>
      </c>
      <c r="T1191" s="98"/>
    </row>
    <row r="1192">
      <c r="A1192" s="98"/>
      <c r="B1192" s="98"/>
      <c r="C1192" s="98"/>
      <c r="D1192" s="98"/>
      <c r="E1192" s="98"/>
      <c r="F1192" s="98"/>
      <c r="G1192" s="98"/>
      <c r="H1192" s="98"/>
      <c r="I1192" s="98"/>
      <c r="J1192" s="98"/>
      <c r="K1192" s="98"/>
      <c r="L1192" s="98"/>
      <c r="M1192" s="98"/>
      <c r="N1192" s="98"/>
      <c r="O1192" s="98"/>
      <c r="P1192" s="98"/>
      <c r="Q1192" s="98"/>
      <c r="R1192" s="98"/>
      <c r="S1192" s="98" t="str">
        <f>IFERROR(__xludf.DUMMYFUNCTION("""COMPUTED_VALUE"""),"-")</f>
        <v>-</v>
      </c>
      <c r="T1192" s="98"/>
    </row>
    <row r="1193">
      <c r="A1193" s="98"/>
      <c r="B1193" s="98"/>
      <c r="C1193" s="98"/>
      <c r="D1193" s="98"/>
      <c r="E1193" s="98"/>
      <c r="F1193" s="98"/>
      <c r="G1193" s="98"/>
      <c r="H1193" s="98"/>
      <c r="I1193" s="98"/>
      <c r="J1193" s="98"/>
      <c r="K1193" s="98"/>
      <c r="L1193" s="98"/>
      <c r="M1193" s="98"/>
      <c r="N1193" s="98"/>
      <c r="O1193" s="98"/>
      <c r="P1193" s="98"/>
      <c r="Q1193" s="98"/>
      <c r="R1193" s="98"/>
      <c r="S1193" s="98" t="str">
        <f>IFERROR(__xludf.DUMMYFUNCTION("""COMPUTED_VALUE"""),"-")</f>
        <v>-</v>
      </c>
      <c r="T1193" s="98"/>
    </row>
    <row r="1194">
      <c r="A1194" s="98"/>
      <c r="B1194" s="98"/>
      <c r="C1194" s="98"/>
      <c r="D1194" s="98"/>
      <c r="E1194" s="98"/>
      <c r="F1194" s="98"/>
      <c r="G1194" s="98"/>
      <c r="H1194" s="98"/>
      <c r="I1194" s="98"/>
      <c r="J1194" s="98"/>
      <c r="K1194" s="98"/>
      <c r="L1194" s="98"/>
      <c r="M1194" s="98"/>
      <c r="N1194" s="98"/>
      <c r="O1194" s="98"/>
      <c r="P1194" s="98"/>
      <c r="Q1194" s="98"/>
      <c r="R1194" s="98"/>
      <c r="S1194" s="98" t="str">
        <f>IFERROR(__xludf.DUMMYFUNCTION("""COMPUTED_VALUE"""),"-")</f>
        <v>-</v>
      </c>
      <c r="T1194" s="98"/>
    </row>
    <row r="1195">
      <c r="A1195" s="98"/>
      <c r="B1195" s="98"/>
      <c r="C1195" s="98"/>
      <c r="D1195" s="98"/>
      <c r="E1195" s="98"/>
      <c r="F1195" s="98"/>
      <c r="G1195" s="98"/>
      <c r="H1195" s="98"/>
      <c r="I1195" s="98"/>
      <c r="J1195" s="98"/>
      <c r="K1195" s="98"/>
      <c r="L1195" s="98"/>
      <c r="M1195" s="98"/>
      <c r="N1195" s="98"/>
      <c r="O1195" s="98"/>
      <c r="P1195" s="98"/>
      <c r="Q1195" s="98"/>
      <c r="R1195" s="98"/>
      <c r="S1195" s="98" t="str">
        <f>IFERROR(__xludf.DUMMYFUNCTION("""COMPUTED_VALUE"""),"-")</f>
        <v>-</v>
      </c>
      <c r="T1195" s="98"/>
    </row>
    <row r="1196">
      <c r="A1196" s="98"/>
      <c r="B1196" s="98"/>
      <c r="C1196" s="98"/>
      <c r="D1196" s="98"/>
      <c r="E1196" s="98"/>
      <c r="F1196" s="98"/>
      <c r="G1196" s="98"/>
      <c r="H1196" s="98"/>
      <c r="I1196" s="98"/>
      <c r="J1196" s="98"/>
      <c r="K1196" s="98"/>
      <c r="L1196" s="98"/>
      <c r="M1196" s="98"/>
      <c r="N1196" s="98"/>
      <c r="O1196" s="98"/>
      <c r="P1196" s="98"/>
      <c r="Q1196" s="98"/>
      <c r="R1196" s="98"/>
      <c r="S1196" s="98" t="str">
        <f>IFERROR(__xludf.DUMMYFUNCTION("""COMPUTED_VALUE"""),"-")</f>
        <v>-</v>
      </c>
      <c r="T1196" s="98"/>
    </row>
    <row r="1197">
      <c r="A1197" s="98"/>
      <c r="B1197" s="98"/>
      <c r="C1197" s="98"/>
      <c r="D1197" s="98"/>
      <c r="E1197" s="98"/>
      <c r="F1197" s="98"/>
      <c r="G1197" s="98"/>
      <c r="H1197" s="98"/>
      <c r="I1197" s="98"/>
      <c r="J1197" s="98"/>
      <c r="K1197" s="98"/>
      <c r="L1197" s="98"/>
      <c r="M1197" s="98"/>
      <c r="N1197" s="98"/>
      <c r="O1197" s="98"/>
      <c r="P1197" s="98"/>
      <c r="Q1197" s="98"/>
      <c r="R1197" s="98"/>
      <c r="S1197" s="98" t="str">
        <f>IFERROR(__xludf.DUMMYFUNCTION("""COMPUTED_VALUE"""),"-")</f>
        <v>-</v>
      </c>
      <c r="T1197" s="98"/>
    </row>
    <row r="1198">
      <c r="A1198" s="98"/>
      <c r="B1198" s="98"/>
      <c r="C1198" s="98"/>
      <c r="D1198" s="98"/>
      <c r="E1198" s="98"/>
      <c r="F1198" s="98"/>
      <c r="G1198" s="98"/>
      <c r="H1198" s="98"/>
      <c r="I1198" s="98"/>
      <c r="J1198" s="98"/>
      <c r="K1198" s="98"/>
      <c r="L1198" s="98"/>
      <c r="M1198" s="98"/>
      <c r="N1198" s="98"/>
      <c r="O1198" s="98"/>
      <c r="P1198" s="98"/>
      <c r="Q1198" s="98"/>
      <c r="R1198" s="98"/>
      <c r="S1198" s="98" t="str">
        <f>IFERROR(__xludf.DUMMYFUNCTION("""COMPUTED_VALUE"""),"-")</f>
        <v>-</v>
      </c>
      <c r="T1198" s="98"/>
    </row>
    <row r="1199">
      <c r="A1199" s="98"/>
      <c r="B1199" s="98"/>
      <c r="C1199" s="98"/>
      <c r="D1199" s="98"/>
      <c r="E1199" s="98"/>
      <c r="F1199" s="98"/>
      <c r="G1199" s="98"/>
      <c r="H1199" s="98"/>
      <c r="I1199" s="98"/>
      <c r="J1199" s="98"/>
      <c r="K1199" s="98"/>
      <c r="L1199" s="98"/>
      <c r="M1199" s="98"/>
      <c r="N1199" s="98"/>
      <c r="O1199" s="98"/>
      <c r="P1199" s="98"/>
      <c r="Q1199" s="98"/>
      <c r="R1199" s="98"/>
      <c r="S1199" s="98" t="str">
        <f>IFERROR(__xludf.DUMMYFUNCTION("""COMPUTED_VALUE"""),"-")</f>
        <v>-</v>
      </c>
      <c r="T1199" s="98"/>
    </row>
    <row r="1200">
      <c r="A1200" s="98"/>
      <c r="B1200" s="98"/>
      <c r="C1200" s="98"/>
      <c r="D1200" s="98"/>
      <c r="E1200" s="98"/>
      <c r="F1200" s="98"/>
      <c r="G1200" s="98"/>
      <c r="H1200" s="98"/>
      <c r="I1200" s="98"/>
      <c r="J1200" s="98"/>
      <c r="K1200" s="98"/>
      <c r="L1200" s="98"/>
      <c r="M1200" s="98"/>
      <c r="N1200" s="98"/>
      <c r="O1200" s="98"/>
      <c r="P1200" s="98"/>
      <c r="Q1200" s="98"/>
      <c r="R1200" s="98"/>
      <c r="S1200" s="98" t="str">
        <f>IFERROR(__xludf.DUMMYFUNCTION("""COMPUTED_VALUE"""),"-")</f>
        <v>-</v>
      </c>
      <c r="T1200" s="98"/>
    </row>
    <row r="1201">
      <c r="A1201" s="98"/>
      <c r="B1201" s="98"/>
      <c r="C1201" s="98"/>
      <c r="D1201" s="98"/>
      <c r="E1201" s="98"/>
      <c r="F1201" s="98"/>
      <c r="G1201" s="98"/>
      <c r="H1201" s="98"/>
      <c r="I1201" s="98"/>
      <c r="J1201" s="98"/>
      <c r="K1201" s="98"/>
      <c r="L1201" s="98"/>
      <c r="M1201" s="98"/>
      <c r="N1201" s="98"/>
      <c r="O1201" s="98"/>
      <c r="P1201" s="98"/>
      <c r="Q1201" s="98"/>
      <c r="R1201" s="98"/>
      <c r="S1201" s="98" t="str">
        <f>IFERROR(__xludf.DUMMYFUNCTION("""COMPUTED_VALUE"""),"-")</f>
        <v>-</v>
      </c>
      <c r="T1201" s="98"/>
    </row>
    <row r="1202">
      <c r="A1202" s="98"/>
      <c r="B1202" s="98"/>
      <c r="C1202" s="98"/>
      <c r="D1202" s="98"/>
      <c r="E1202" s="98"/>
      <c r="F1202" s="98"/>
      <c r="G1202" s="98"/>
      <c r="H1202" s="98"/>
      <c r="I1202" s="98"/>
      <c r="J1202" s="98"/>
      <c r="K1202" s="98"/>
      <c r="L1202" s="98"/>
      <c r="M1202" s="98"/>
      <c r="N1202" s="98"/>
      <c r="O1202" s="98"/>
      <c r="P1202" s="98"/>
      <c r="Q1202" s="98"/>
      <c r="R1202" s="98"/>
      <c r="S1202" s="98" t="str">
        <f>IFERROR(__xludf.DUMMYFUNCTION("""COMPUTED_VALUE"""),"-")</f>
        <v>-</v>
      </c>
      <c r="T1202" s="98"/>
    </row>
    <row r="1203">
      <c r="A1203" s="98"/>
      <c r="B1203" s="98"/>
      <c r="C1203" s="98"/>
      <c r="D1203" s="98"/>
      <c r="E1203" s="98"/>
      <c r="F1203" s="98"/>
      <c r="G1203" s="98"/>
      <c r="H1203" s="98"/>
      <c r="I1203" s="98"/>
      <c r="J1203" s="98"/>
      <c r="K1203" s="98"/>
      <c r="L1203" s="98"/>
      <c r="M1203" s="98"/>
      <c r="N1203" s="98"/>
      <c r="O1203" s="98"/>
      <c r="P1203" s="98"/>
      <c r="Q1203" s="98"/>
      <c r="R1203" s="98"/>
      <c r="S1203" s="98" t="str">
        <f>IFERROR(__xludf.DUMMYFUNCTION("""COMPUTED_VALUE"""),"-")</f>
        <v>-</v>
      </c>
      <c r="T1203" s="98"/>
    </row>
    <row r="1204">
      <c r="A1204" s="98"/>
      <c r="B1204" s="98"/>
      <c r="C1204" s="98"/>
      <c r="D1204" s="98"/>
      <c r="E1204" s="98"/>
      <c r="F1204" s="98"/>
      <c r="G1204" s="98"/>
      <c r="H1204" s="98"/>
      <c r="I1204" s="98"/>
      <c r="J1204" s="98"/>
      <c r="K1204" s="98"/>
      <c r="L1204" s="98"/>
      <c r="M1204" s="98"/>
      <c r="N1204" s="98"/>
      <c r="O1204" s="98"/>
      <c r="P1204" s="98"/>
      <c r="Q1204" s="98"/>
      <c r="R1204" s="98"/>
      <c r="S1204" s="98" t="str">
        <f>IFERROR(__xludf.DUMMYFUNCTION("""COMPUTED_VALUE"""),"-")</f>
        <v>-</v>
      </c>
      <c r="T1204" s="98"/>
    </row>
    <row r="1205">
      <c r="A1205" s="98"/>
      <c r="B1205" s="98"/>
      <c r="C1205" s="98"/>
      <c r="D1205" s="98"/>
      <c r="E1205" s="98"/>
      <c r="F1205" s="98"/>
      <c r="G1205" s="98"/>
      <c r="H1205" s="98"/>
      <c r="I1205" s="98"/>
      <c r="J1205" s="98"/>
      <c r="K1205" s="98"/>
      <c r="L1205" s="98"/>
      <c r="M1205" s="98"/>
      <c r="N1205" s="98"/>
      <c r="O1205" s="98"/>
      <c r="P1205" s="98"/>
      <c r="Q1205" s="98"/>
      <c r="R1205" s="98"/>
      <c r="S1205" s="98" t="str">
        <f>IFERROR(__xludf.DUMMYFUNCTION("""COMPUTED_VALUE"""),"-")</f>
        <v>-</v>
      </c>
      <c r="T1205" s="98"/>
    </row>
    <row r="1206">
      <c r="A1206" s="98"/>
      <c r="B1206" s="98"/>
      <c r="C1206" s="98"/>
      <c r="D1206" s="98"/>
      <c r="E1206" s="98"/>
      <c r="F1206" s="98"/>
      <c r="G1206" s="98"/>
      <c r="H1206" s="98"/>
      <c r="I1206" s="98"/>
      <c r="J1206" s="98"/>
      <c r="K1206" s="98"/>
      <c r="L1206" s="98"/>
      <c r="M1206" s="98"/>
      <c r="N1206" s="98"/>
      <c r="O1206" s="98"/>
      <c r="P1206" s="98"/>
      <c r="Q1206" s="98"/>
      <c r="R1206" s="98"/>
      <c r="S1206" s="98" t="str">
        <f>IFERROR(__xludf.DUMMYFUNCTION("""COMPUTED_VALUE"""),"-")</f>
        <v>-</v>
      </c>
      <c r="T1206" s="98"/>
    </row>
    <row r="1207">
      <c r="A1207" s="98"/>
      <c r="B1207" s="98"/>
      <c r="C1207" s="98"/>
      <c r="D1207" s="98"/>
      <c r="E1207" s="98"/>
      <c r="F1207" s="98"/>
      <c r="G1207" s="98"/>
      <c r="H1207" s="98"/>
      <c r="I1207" s="98"/>
      <c r="J1207" s="98"/>
      <c r="K1207" s="98"/>
      <c r="L1207" s="98"/>
      <c r="M1207" s="98"/>
      <c r="N1207" s="98"/>
      <c r="O1207" s="98"/>
      <c r="P1207" s="98"/>
      <c r="Q1207" s="98"/>
      <c r="R1207" s="98"/>
      <c r="S1207" s="98" t="str">
        <f>IFERROR(__xludf.DUMMYFUNCTION("""COMPUTED_VALUE"""),"-")</f>
        <v>-</v>
      </c>
      <c r="T1207" s="98"/>
    </row>
    <row r="1208">
      <c r="A1208" s="98"/>
      <c r="B1208" s="98"/>
      <c r="C1208" s="98"/>
      <c r="D1208" s="98"/>
      <c r="E1208" s="98"/>
      <c r="F1208" s="98"/>
      <c r="G1208" s="98"/>
      <c r="H1208" s="98"/>
      <c r="I1208" s="98"/>
      <c r="J1208" s="98"/>
      <c r="K1208" s="98"/>
      <c r="L1208" s="98"/>
      <c r="M1208" s="98"/>
      <c r="N1208" s="98"/>
      <c r="O1208" s="98"/>
      <c r="P1208" s="98"/>
      <c r="Q1208" s="98"/>
      <c r="R1208" s="98"/>
      <c r="S1208" s="98" t="str">
        <f>IFERROR(__xludf.DUMMYFUNCTION("""COMPUTED_VALUE"""),"-")</f>
        <v>-</v>
      </c>
      <c r="T1208" s="98"/>
    </row>
    <row r="1209">
      <c r="A1209" s="98"/>
      <c r="B1209" s="98"/>
      <c r="C1209" s="98"/>
      <c r="D1209" s="98"/>
      <c r="E1209" s="98"/>
      <c r="F1209" s="98"/>
      <c r="G1209" s="98"/>
      <c r="H1209" s="98"/>
      <c r="I1209" s="98"/>
      <c r="J1209" s="98"/>
      <c r="K1209" s="98"/>
      <c r="L1209" s="98"/>
      <c r="M1209" s="98"/>
      <c r="N1209" s="98"/>
      <c r="O1209" s="98"/>
      <c r="P1209" s="98"/>
      <c r="Q1209" s="98"/>
      <c r="R1209" s="98"/>
      <c r="S1209" s="98" t="str">
        <f>IFERROR(__xludf.DUMMYFUNCTION("""COMPUTED_VALUE"""),"-")</f>
        <v>-</v>
      </c>
      <c r="T1209" s="98"/>
    </row>
    <row r="1210">
      <c r="A1210" s="98"/>
      <c r="B1210" s="98"/>
      <c r="C1210" s="98"/>
      <c r="D1210" s="98"/>
      <c r="E1210" s="98"/>
      <c r="F1210" s="98"/>
      <c r="G1210" s="98"/>
      <c r="H1210" s="98"/>
      <c r="I1210" s="98"/>
      <c r="J1210" s="98"/>
      <c r="K1210" s="98"/>
      <c r="L1210" s="98"/>
      <c r="M1210" s="98"/>
      <c r="N1210" s="98"/>
      <c r="O1210" s="98"/>
      <c r="P1210" s="98"/>
      <c r="Q1210" s="98"/>
      <c r="R1210" s="98"/>
      <c r="S1210" s="98" t="str">
        <f>IFERROR(__xludf.DUMMYFUNCTION("""COMPUTED_VALUE"""),"-")</f>
        <v>-</v>
      </c>
      <c r="T1210" s="98"/>
    </row>
    <row r="1211">
      <c r="A1211" s="98"/>
      <c r="B1211" s="98"/>
      <c r="C1211" s="98"/>
      <c r="D1211" s="98"/>
      <c r="E1211" s="98"/>
      <c r="F1211" s="98"/>
      <c r="G1211" s="98"/>
      <c r="H1211" s="98"/>
      <c r="I1211" s="98"/>
      <c r="J1211" s="98"/>
      <c r="K1211" s="98"/>
      <c r="L1211" s="98"/>
      <c r="M1211" s="98"/>
      <c r="N1211" s="98"/>
      <c r="O1211" s="98"/>
      <c r="P1211" s="98"/>
      <c r="Q1211" s="98"/>
      <c r="R1211" s="98"/>
      <c r="S1211" s="98" t="str">
        <f>IFERROR(__xludf.DUMMYFUNCTION("""COMPUTED_VALUE"""),"-")</f>
        <v>-</v>
      </c>
      <c r="T1211" s="98"/>
    </row>
    <row r="1212">
      <c r="A1212" s="98"/>
      <c r="B1212" s="98"/>
      <c r="C1212" s="98"/>
      <c r="D1212" s="98"/>
      <c r="E1212" s="98"/>
      <c r="F1212" s="98"/>
      <c r="G1212" s="98"/>
      <c r="H1212" s="98"/>
      <c r="I1212" s="98"/>
      <c r="J1212" s="98"/>
      <c r="K1212" s="98"/>
      <c r="L1212" s="98"/>
      <c r="M1212" s="98"/>
      <c r="N1212" s="98"/>
      <c r="O1212" s="98"/>
      <c r="P1212" s="98"/>
      <c r="Q1212" s="98"/>
      <c r="R1212" s="98"/>
      <c r="S1212" s="98" t="str">
        <f>IFERROR(__xludf.DUMMYFUNCTION("""COMPUTED_VALUE"""),"-")</f>
        <v>-</v>
      </c>
      <c r="T1212" s="98"/>
    </row>
    <row r="1213">
      <c r="A1213" s="98"/>
      <c r="B1213" s="98"/>
      <c r="C1213" s="98"/>
      <c r="D1213" s="98"/>
      <c r="E1213" s="98"/>
      <c r="F1213" s="98"/>
      <c r="G1213" s="98"/>
      <c r="H1213" s="98"/>
      <c r="I1213" s="98"/>
      <c r="J1213" s="98"/>
      <c r="K1213" s="98"/>
      <c r="L1213" s="98"/>
      <c r="M1213" s="98"/>
      <c r="N1213" s="98"/>
      <c r="O1213" s="98"/>
      <c r="P1213" s="98"/>
      <c r="Q1213" s="98"/>
      <c r="R1213" s="98"/>
      <c r="S1213" s="98" t="str">
        <f>IFERROR(__xludf.DUMMYFUNCTION("""COMPUTED_VALUE"""),"-")</f>
        <v>-</v>
      </c>
      <c r="T1213" s="98"/>
    </row>
    <row r="1214">
      <c r="A1214" s="98"/>
      <c r="B1214" s="98"/>
      <c r="C1214" s="98"/>
      <c r="D1214" s="98"/>
      <c r="E1214" s="98"/>
      <c r="F1214" s="98"/>
      <c r="G1214" s="98"/>
      <c r="H1214" s="98"/>
      <c r="I1214" s="98"/>
      <c r="J1214" s="98"/>
      <c r="K1214" s="98"/>
      <c r="L1214" s="98"/>
      <c r="M1214" s="98"/>
      <c r="N1214" s="98"/>
      <c r="O1214" s="98"/>
      <c r="P1214" s="98"/>
      <c r="Q1214" s="98"/>
      <c r="R1214" s="98"/>
      <c r="S1214" s="98" t="str">
        <f>IFERROR(__xludf.DUMMYFUNCTION("""COMPUTED_VALUE"""),"-")</f>
        <v>-</v>
      </c>
      <c r="T1214" s="98"/>
    </row>
    <row r="1215">
      <c r="A1215" s="98"/>
      <c r="B1215" s="98"/>
      <c r="C1215" s="98"/>
      <c r="D1215" s="98"/>
      <c r="E1215" s="98"/>
      <c r="F1215" s="98"/>
      <c r="G1215" s="98"/>
      <c r="H1215" s="98"/>
      <c r="I1215" s="98"/>
      <c r="J1215" s="98"/>
      <c r="K1215" s="98"/>
      <c r="L1215" s="98"/>
      <c r="M1215" s="98"/>
      <c r="N1215" s="98"/>
      <c r="O1215" s="98"/>
      <c r="P1215" s="98"/>
      <c r="Q1215" s="98"/>
      <c r="R1215" s="98"/>
      <c r="S1215" s="98" t="str">
        <f>IFERROR(__xludf.DUMMYFUNCTION("""COMPUTED_VALUE"""),"-")</f>
        <v>-</v>
      </c>
      <c r="T1215" s="98"/>
    </row>
    <row r="1216">
      <c r="A1216" s="98"/>
      <c r="B1216" s="98"/>
      <c r="C1216" s="98"/>
      <c r="D1216" s="98"/>
      <c r="E1216" s="98"/>
      <c r="F1216" s="98"/>
      <c r="G1216" s="98"/>
      <c r="H1216" s="98"/>
      <c r="I1216" s="98"/>
      <c r="J1216" s="98"/>
      <c r="K1216" s="98"/>
      <c r="L1216" s="98"/>
      <c r="M1216" s="98"/>
      <c r="N1216" s="98"/>
      <c r="O1216" s="98"/>
      <c r="P1216" s="98"/>
      <c r="Q1216" s="98"/>
      <c r="R1216" s="98"/>
      <c r="S1216" s="98" t="str">
        <f>IFERROR(__xludf.DUMMYFUNCTION("""COMPUTED_VALUE"""),"-")</f>
        <v>-</v>
      </c>
      <c r="T1216" s="98"/>
    </row>
    <row r="1217">
      <c r="A1217" s="98"/>
      <c r="B1217" s="98"/>
      <c r="C1217" s="98"/>
      <c r="D1217" s="98"/>
      <c r="E1217" s="98"/>
      <c r="F1217" s="98"/>
      <c r="G1217" s="98"/>
      <c r="H1217" s="98"/>
      <c r="I1217" s="98"/>
      <c r="J1217" s="98"/>
      <c r="K1217" s="98"/>
      <c r="L1217" s="98"/>
      <c r="M1217" s="98"/>
      <c r="N1217" s="98"/>
      <c r="O1217" s="98"/>
      <c r="P1217" s="98"/>
      <c r="Q1217" s="98"/>
      <c r="R1217" s="98"/>
      <c r="S1217" s="98" t="str">
        <f>IFERROR(__xludf.DUMMYFUNCTION("""COMPUTED_VALUE"""),"-")</f>
        <v>-</v>
      </c>
      <c r="T1217" s="98"/>
    </row>
    <row r="1218">
      <c r="A1218" s="98"/>
      <c r="B1218" s="98"/>
      <c r="C1218" s="98"/>
      <c r="D1218" s="98"/>
      <c r="E1218" s="98"/>
      <c r="F1218" s="98"/>
      <c r="G1218" s="98"/>
      <c r="H1218" s="98"/>
      <c r="I1218" s="98"/>
      <c r="J1218" s="98"/>
      <c r="K1218" s="98"/>
      <c r="L1218" s="98"/>
      <c r="M1218" s="98"/>
      <c r="N1218" s="98"/>
      <c r="O1218" s="98"/>
      <c r="P1218" s="98"/>
      <c r="Q1218" s="98"/>
      <c r="R1218" s="98"/>
      <c r="S1218" s="98" t="str">
        <f>IFERROR(__xludf.DUMMYFUNCTION("""COMPUTED_VALUE"""),"-")</f>
        <v>-</v>
      </c>
      <c r="T1218" s="98"/>
    </row>
    <row r="1219">
      <c r="A1219" s="98"/>
      <c r="B1219" s="98"/>
      <c r="C1219" s="98"/>
      <c r="D1219" s="98"/>
      <c r="E1219" s="98"/>
      <c r="F1219" s="98"/>
      <c r="G1219" s="98"/>
      <c r="H1219" s="98"/>
      <c r="I1219" s="98"/>
      <c r="J1219" s="98"/>
      <c r="K1219" s="98"/>
      <c r="L1219" s="98"/>
      <c r="M1219" s="98"/>
      <c r="N1219" s="98"/>
      <c r="O1219" s="98"/>
      <c r="P1219" s="98"/>
      <c r="Q1219" s="98"/>
      <c r="R1219" s="98"/>
      <c r="S1219" s="98" t="str">
        <f>IFERROR(__xludf.DUMMYFUNCTION("""COMPUTED_VALUE"""),"-")</f>
        <v>-</v>
      </c>
      <c r="T1219" s="98"/>
    </row>
    <row r="1220">
      <c r="A1220" s="98"/>
      <c r="B1220" s="98"/>
      <c r="C1220" s="98"/>
      <c r="D1220" s="98"/>
      <c r="E1220" s="98"/>
      <c r="F1220" s="98"/>
      <c r="G1220" s="98"/>
      <c r="H1220" s="98"/>
      <c r="I1220" s="98"/>
      <c r="J1220" s="98"/>
      <c r="K1220" s="98"/>
      <c r="L1220" s="98"/>
      <c r="M1220" s="98"/>
      <c r="N1220" s="98"/>
      <c r="O1220" s="98"/>
      <c r="P1220" s="98"/>
      <c r="Q1220" s="98"/>
      <c r="R1220" s="98"/>
      <c r="S1220" s="98" t="str">
        <f>IFERROR(__xludf.DUMMYFUNCTION("""COMPUTED_VALUE"""),"-")</f>
        <v>-</v>
      </c>
      <c r="T1220" s="98"/>
    </row>
    <row r="1221">
      <c r="A1221" s="98"/>
      <c r="B1221" s="98"/>
      <c r="C1221" s="98"/>
      <c r="D1221" s="98"/>
      <c r="E1221" s="98"/>
      <c r="F1221" s="98"/>
      <c r="G1221" s="98"/>
      <c r="H1221" s="98"/>
      <c r="I1221" s="98"/>
      <c r="J1221" s="98"/>
      <c r="K1221" s="98"/>
      <c r="L1221" s="98"/>
      <c r="M1221" s="98"/>
      <c r="N1221" s="98"/>
      <c r="O1221" s="98"/>
      <c r="P1221" s="98"/>
      <c r="Q1221" s="98"/>
      <c r="R1221" s="98"/>
      <c r="S1221" s="98" t="str">
        <f>IFERROR(__xludf.DUMMYFUNCTION("""COMPUTED_VALUE"""),"-")</f>
        <v>-</v>
      </c>
      <c r="T1221" s="98"/>
    </row>
    <row r="1222">
      <c r="A1222" s="98"/>
      <c r="B1222" s="98"/>
      <c r="C1222" s="98"/>
      <c r="D1222" s="98"/>
      <c r="E1222" s="98"/>
      <c r="F1222" s="98"/>
      <c r="G1222" s="98"/>
      <c r="H1222" s="98"/>
      <c r="I1222" s="98"/>
      <c r="J1222" s="98"/>
      <c r="K1222" s="98"/>
      <c r="L1222" s="98"/>
      <c r="M1222" s="98"/>
      <c r="N1222" s="98"/>
      <c r="O1222" s="98"/>
      <c r="P1222" s="98"/>
      <c r="Q1222" s="98"/>
      <c r="R1222" s="98"/>
      <c r="S1222" s="98" t="str">
        <f>IFERROR(__xludf.DUMMYFUNCTION("""COMPUTED_VALUE"""),"-")</f>
        <v>-</v>
      </c>
      <c r="T1222" s="98"/>
    </row>
    <row r="1223">
      <c r="A1223" s="98"/>
      <c r="B1223" s="98"/>
      <c r="C1223" s="98"/>
      <c r="D1223" s="98"/>
      <c r="E1223" s="98"/>
      <c r="F1223" s="98"/>
      <c r="G1223" s="98"/>
      <c r="H1223" s="98"/>
      <c r="I1223" s="98"/>
      <c r="J1223" s="98"/>
      <c r="K1223" s="98"/>
      <c r="L1223" s="98"/>
      <c r="M1223" s="98"/>
      <c r="N1223" s="98"/>
      <c r="O1223" s="98"/>
      <c r="P1223" s="98"/>
      <c r="Q1223" s="98"/>
      <c r="R1223" s="98"/>
      <c r="S1223" s="98" t="str">
        <f>IFERROR(__xludf.DUMMYFUNCTION("""COMPUTED_VALUE"""),"-")</f>
        <v>-</v>
      </c>
      <c r="T1223" s="98"/>
    </row>
    <row r="1224">
      <c r="A1224" s="98"/>
      <c r="B1224" s="98"/>
      <c r="C1224" s="98"/>
      <c r="D1224" s="98"/>
      <c r="E1224" s="98"/>
      <c r="F1224" s="98"/>
      <c r="G1224" s="98"/>
      <c r="H1224" s="98"/>
      <c r="I1224" s="98"/>
      <c r="J1224" s="98"/>
      <c r="K1224" s="98"/>
      <c r="L1224" s="98"/>
      <c r="M1224" s="98"/>
      <c r="N1224" s="98"/>
      <c r="O1224" s="98"/>
      <c r="P1224" s="98"/>
      <c r="Q1224" s="98"/>
      <c r="R1224" s="98"/>
      <c r="S1224" s="98" t="str">
        <f>IFERROR(__xludf.DUMMYFUNCTION("""COMPUTED_VALUE"""),"-")</f>
        <v>-</v>
      </c>
      <c r="T1224" s="98"/>
    </row>
    <row r="1225">
      <c r="A1225" s="98"/>
      <c r="B1225" s="98"/>
      <c r="C1225" s="98"/>
      <c r="D1225" s="98"/>
      <c r="E1225" s="98"/>
      <c r="F1225" s="98"/>
      <c r="G1225" s="98"/>
      <c r="H1225" s="98"/>
      <c r="I1225" s="98"/>
      <c r="J1225" s="98"/>
      <c r="K1225" s="98"/>
      <c r="L1225" s="98"/>
      <c r="M1225" s="98"/>
      <c r="N1225" s="98"/>
      <c r="O1225" s="98"/>
      <c r="P1225" s="98"/>
      <c r="Q1225" s="98"/>
      <c r="R1225" s="98"/>
      <c r="S1225" s="98" t="str">
        <f>IFERROR(__xludf.DUMMYFUNCTION("""COMPUTED_VALUE"""),"-")</f>
        <v>-</v>
      </c>
      <c r="T1225" s="98"/>
    </row>
    <row r="1226">
      <c r="A1226" s="98"/>
      <c r="B1226" s="98"/>
      <c r="C1226" s="98"/>
      <c r="D1226" s="98"/>
      <c r="E1226" s="98"/>
      <c r="F1226" s="98"/>
      <c r="G1226" s="98"/>
      <c r="H1226" s="98"/>
      <c r="I1226" s="98"/>
      <c r="J1226" s="98"/>
      <c r="K1226" s="98"/>
      <c r="L1226" s="98"/>
      <c r="M1226" s="98"/>
      <c r="N1226" s="98"/>
      <c r="O1226" s="98"/>
      <c r="P1226" s="98"/>
      <c r="Q1226" s="98"/>
      <c r="R1226" s="98"/>
      <c r="S1226" s="98" t="str">
        <f>IFERROR(__xludf.DUMMYFUNCTION("""COMPUTED_VALUE"""),"-")</f>
        <v>-</v>
      </c>
      <c r="T1226" s="98"/>
    </row>
    <row r="1227">
      <c r="A1227" s="98"/>
      <c r="B1227" s="98"/>
      <c r="C1227" s="98"/>
      <c r="D1227" s="98"/>
      <c r="E1227" s="98"/>
      <c r="F1227" s="98"/>
      <c r="G1227" s="98"/>
      <c r="H1227" s="98"/>
      <c r="I1227" s="98"/>
      <c r="J1227" s="98"/>
      <c r="K1227" s="98"/>
      <c r="L1227" s="98"/>
      <c r="M1227" s="98"/>
      <c r="N1227" s="98"/>
      <c r="O1227" s="98"/>
      <c r="P1227" s="98"/>
      <c r="Q1227" s="98"/>
      <c r="R1227" s="98"/>
      <c r="S1227" s="98" t="str">
        <f>IFERROR(__xludf.DUMMYFUNCTION("""COMPUTED_VALUE"""),"-")</f>
        <v>-</v>
      </c>
      <c r="T1227" s="98"/>
    </row>
    <row r="1228">
      <c r="A1228" s="98"/>
      <c r="B1228" s="98"/>
      <c r="C1228" s="98"/>
      <c r="D1228" s="98"/>
      <c r="E1228" s="98"/>
      <c r="F1228" s="98"/>
      <c r="G1228" s="98"/>
      <c r="H1228" s="98"/>
      <c r="I1228" s="98"/>
      <c r="J1228" s="98"/>
      <c r="K1228" s="98"/>
      <c r="L1228" s="98"/>
      <c r="M1228" s="98"/>
      <c r="N1228" s="98"/>
      <c r="O1228" s="98"/>
      <c r="P1228" s="98"/>
      <c r="Q1228" s="98"/>
      <c r="R1228" s="98"/>
      <c r="S1228" s="98" t="str">
        <f>IFERROR(__xludf.DUMMYFUNCTION("""COMPUTED_VALUE"""),"-")</f>
        <v>-</v>
      </c>
      <c r="T1228" s="98"/>
    </row>
    <row r="1229">
      <c r="A1229" s="98"/>
      <c r="B1229" s="98"/>
      <c r="C1229" s="98"/>
      <c r="D1229" s="98"/>
      <c r="E1229" s="98"/>
      <c r="F1229" s="98"/>
      <c r="G1229" s="98"/>
      <c r="H1229" s="98"/>
      <c r="I1229" s="98"/>
      <c r="J1229" s="98"/>
      <c r="K1229" s="98"/>
      <c r="L1229" s="98"/>
      <c r="M1229" s="98"/>
      <c r="N1229" s="98"/>
      <c r="O1229" s="98"/>
      <c r="P1229" s="98"/>
      <c r="Q1229" s="98"/>
      <c r="R1229" s="98"/>
      <c r="S1229" s="98" t="str">
        <f>IFERROR(__xludf.DUMMYFUNCTION("""COMPUTED_VALUE"""),"-")</f>
        <v>-</v>
      </c>
      <c r="T1229" s="98"/>
    </row>
    <row r="1230">
      <c r="A1230" s="98"/>
      <c r="B1230" s="98"/>
      <c r="C1230" s="98"/>
      <c r="D1230" s="98"/>
      <c r="E1230" s="98"/>
      <c r="F1230" s="98"/>
      <c r="G1230" s="98"/>
      <c r="H1230" s="98"/>
      <c r="I1230" s="98"/>
      <c r="J1230" s="98"/>
      <c r="K1230" s="98"/>
      <c r="L1230" s="98"/>
      <c r="M1230" s="98"/>
      <c r="N1230" s="98"/>
      <c r="O1230" s="98"/>
      <c r="P1230" s="98"/>
      <c r="Q1230" s="98"/>
      <c r="R1230" s="98"/>
      <c r="S1230" s="98" t="str">
        <f>IFERROR(__xludf.DUMMYFUNCTION("""COMPUTED_VALUE"""),"-")</f>
        <v>-</v>
      </c>
      <c r="T1230" s="98"/>
    </row>
    <row r="1231">
      <c r="A1231" s="98"/>
      <c r="B1231" s="98"/>
      <c r="C1231" s="98"/>
      <c r="D1231" s="98"/>
      <c r="E1231" s="98"/>
      <c r="F1231" s="98"/>
      <c r="G1231" s="98"/>
      <c r="H1231" s="98"/>
      <c r="I1231" s="98"/>
      <c r="J1231" s="98"/>
      <c r="K1231" s="98"/>
      <c r="L1231" s="98"/>
      <c r="M1231" s="98"/>
      <c r="N1231" s="98"/>
      <c r="O1231" s="98"/>
      <c r="P1231" s="98"/>
      <c r="Q1231" s="98"/>
      <c r="R1231" s="98"/>
      <c r="S1231" s="98" t="str">
        <f>IFERROR(__xludf.DUMMYFUNCTION("""COMPUTED_VALUE"""),"-")</f>
        <v>-</v>
      </c>
      <c r="T1231" s="98"/>
    </row>
    <row r="1232">
      <c r="A1232" s="98"/>
      <c r="B1232" s="98"/>
      <c r="C1232" s="98"/>
      <c r="D1232" s="98"/>
      <c r="E1232" s="98"/>
      <c r="F1232" s="98"/>
      <c r="G1232" s="98"/>
      <c r="H1232" s="98"/>
      <c r="I1232" s="98"/>
      <c r="J1232" s="98"/>
      <c r="K1232" s="98"/>
      <c r="L1232" s="98"/>
      <c r="M1232" s="98"/>
      <c r="N1232" s="98"/>
      <c r="O1232" s="98"/>
      <c r="P1232" s="98"/>
      <c r="Q1232" s="98"/>
      <c r="R1232" s="98"/>
      <c r="S1232" s="98" t="str">
        <f>IFERROR(__xludf.DUMMYFUNCTION("""COMPUTED_VALUE"""),"-")</f>
        <v>-</v>
      </c>
      <c r="T1232" s="98"/>
    </row>
    <row r="1233">
      <c r="A1233" s="98"/>
      <c r="B1233" s="98"/>
      <c r="C1233" s="98"/>
      <c r="D1233" s="98"/>
      <c r="E1233" s="98"/>
      <c r="F1233" s="98"/>
      <c r="G1233" s="98"/>
      <c r="H1233" s="98"/>
      <c r="I1233" s="98"/>
      <c r="J1233" s="98"/>
      <c r="K1233" s="98"/>
      <c r="L1233" s="98"/>
      <c r="M1233" s="98"/>
      <c r="N1233" s="98"/>
      <c r="O1233" s="98"/>
      <c r="P1233" s="98"/>
      <c r="Q1233" s="98"/>
      <c r="R1233" s="98"/>
      <c r="S1233" s="98" t="str">
        <f>IFERROR(__xludf.DUMMYFUNCTION("""COMPUTED_VALUE"""),"-")</f>
        <v>-</v>
      </c>
      <c r="T1233" s="98"/>
    </row>
    <row r="1234">
      <c r="A1234" s="98"/>
      <c r="B1234" s="98"/>
      <c r="C1234" s="98"/>
      <c r="D1234" s="98"/>
      <c r="E1234" s="98"/>
      <c r="F1234" s="98"/>
      <c r="G1234" s="98"/>
      <c r="H1234" s="98"/>
      <c r="I1234" s="98"/>
      <c r="J1234" s="98"/>
      <c r="K1234" s="98"/>
      <c r="L1234" s="98"/>
      <c r="M1234" s="98"/>
      <c r="N1234" s="98"/>
      <c r="O1234" s="98"/>
      <c r="P1234" s="98"/>
      <c r="Q1234" s="98"/>
      <c r="R1234" s="98"/>
      <c r="S1234" s="98" t="str">
        <f>IFERROR(__xludf.DUMMYFUNCTION("""COMPUTED_VALUE"""),"-")</f>
        <v>-</v>
      </c>
      <c r="T1234" s="98"/>
    </row>
    <row r="1235">
      <c r="A1235" s="98"/>
      <c r="B1235" s="98"/>
      <c r="C1235" s="98"/>
      <c r="D1235" s="98"/>
      <c r="E1235" s="98"/>
      <c r="F1235" s="98"/>
      <c r="G1235" s="98"/>
      <c r="H1235" s="98"/>
      <c r="I1235" s="98"/>
      <c r="J1235" s="98"/>
      <c r="K1235" s="98"/>
      <c r="L1235" s="98"/>
      <c r="M1235" s="98"/>
      <c r="N1235" s="98"/>
      <c r="O1235" s="98"/>
      <c r="P1235" s="98"/>
      <c r="Q1235" s="98"/>
      <c r="R1235" s="98"/>
      <c r="S1235" s="98" t="str">
        <f>IFERROR(__xludf.DUMMYFUNCTION("""COMPUTED_VALUE"""),"-")</f>
        <v>-</v>
      </c>
      <c r="T1235" s="98"/>
    </row>
    <row r="1236">
      <c r="A1236" s="98"/>
      <c r="B1236" s="98"/>
      <c r="C1236" s="98"/>
      <c r="D1236" s="98"/>
      <c r="E1236" s="98"/>
      <c r="F1236" s="98"/>
      <c r="G1236" s="98"/>
      <c r="H1236" s="98"/>
      <c r="I1236" s="98"/>
      <c r="J1236" s="98"/>
      <c r="K1236" s="98"/>
      <c r="L1236" s="98"/>
      <c r="M1236" s="98"/>
      <c r="N1236" s="98"/>
      <c r="O1236" s="98"/>
      <c r="P1236" s="98"/>
      <c r="Q1236" s="98"/>
      <c r="R1236" s="98"/>
      <c r="S1236" s="98" t="str">
        <f>IFERROR(__xludf.DUMMYFUNCTION("""COMPUTED_VALUE"""),"-")</f>
        <v>-</v>
      </c>
      <c r="T1236" s="98"/>
    </row>
    <row r="1237">
      <c r="A1237" s="98"/>
      <c r="B1237" s="98"/>
      <c r="C1237" s="98"/>
      <c r="D1237" s="98"/>
      <c r="E1237" s="98"/>
      <c r="F1237" s="98"/>
      <c r="G1237" s="98"/>
      <c r="H1237" s="98"/>
      <c r="I1237" s="98"/>
      <c r="J1237" s="98"/>
      <c r="K1237" s="98"/>
      <c r="L1237" s="98"/>
      <c r="M1237" s="98"/>
      <c r="N1237" s="98"/>
      <c r="O1237" s="98"/>
      <c r="P1237" s="98"/>
      <c r="Q1237" s="98"/>
      <c r="R1237" s="98"/>
      <c r="S1237" s="98" t="str">
        <f>IFERROR(__xludf.DUMMYFUNCTION("""COMPUTED_VALUE"""),"-")</f>
        <v>-</v>
      </c>
      <c r="T1237" s="98"/>
    </row>
    <row r="1238">
      <c r="A1238" s="98"/>
      <c r="B1238" s="98"/>
      <c r="C1238" s="98"/>
      <c r="D1238" s="98"/>
      <c r="E1238" s="98"/>
      <c r="F1238" s="98"/>
      <c r="G1238" s="98"/>
      <c r="H1238" s="98"/>
      <c r="I1238" s="98"/>
      <c r="J1238" s="98"/>
      <c r="K1238" s="98"/>
      <c r="L1238" s="98"/>
      <c r="M1238" s="98"/>
      <c r="N1238" s="98"/>
      <c r="O1238" s="98"/>
      <c r="P1238" s="98"/>
      <c r="Q1238" s="98"/>
      <c r="R1238" s="98"/>
      <c r="S1238" s="98" t="str">
        <f>IFERROR(__xludf.DUMMYFUNCTION("""COMPUTED_VALUE"""),"-")</f>
        <v>-</v>
      </c>
      <c r="T1238" s="98"/>
    </row>
    <row r="1239">
      <c r="A1239" s="98"/>
      <c r="B1239" s="98"/>
      <c r="C1239" s="98"/>
      <c r="D1239" s="98"/>
      <c r="E1239" s="98"/>
      <c r="F1239" s="98"/>
      <c r="G1239" s="98"/>
      <c r="H1239" s="98"/>
      <c r="I1239" s="98"/>
      <c r="J1239" s="98"/>
      <c r="K1239" s="98"/>
      <c r="L1239" s="98"/>
      <c r="M1239" s="98"/>
      <c r="N1239" s="98"/>
      <c r="O1239" s="98"/>
      <c r="P1239" s="98"/>
      <c r="Q1239" s="98"/>
      <c r="R1239" s="98"/>
      <c r="S1239" s="98" t="str">
        <f>IFERROR(__xludf.DUMMYFUNCTION("""COMPUTED_VALUE"""),"-")</f>
        <v>-</v>
      </c>
      <c r="T1239" s="98"/>
    </row>
    <row r="1240">
      <c r="A1240" s="98"/>
      <c r="B1240" s="98"/>
      <c r="C1240" s="98"/>
      <c r="D1240" s="98"/>
      <c r="E1240" s="98"/>
      <c r="F1240" s="98"/>
      <c r="G1240" s="98"/>
      <c r="H1240" s="98"/>
      <c r="I1240" s="98"/>
      <c r="J1240" s="98"/>
      <c r="K1240" s="98"/>
      <c r="L1240" s="98"/>
      <c r="M1240" s="98"/>
      <c r="N1240" s="98"/>
      <c r="O1240" s="98"/>
      <c r="P1240" s="98"/>
      <c r="Q1240" s="98"/>
      <c r="R1240" s="98"/>
      <c r="S1240" s="98" t="str">
        <f>IFERROR(__xludf.DUMMYFUNCTION("""COMPUTED_VALUE"""),"-")</f>
        <v>-</v>
      </c>
      <c r="T1240" s="98"/>
    </row>
    <row r="1241">
      <c r="A1241" s="98"/>
      <c r="B1241" s="98"/>
      <c r="C1241" s="98"/>
      <c r="D1241" s="98"/>
      <c r="E1241" s="98"/>
      <c r="F1241" s="98"/>
      <c r="G1241" s="98"/>
      <c r="H1241" s="98"/>
      <c r="I1241" s="98"/>
      <c r="J1241" s="98"/>
      <c r="K1241" s="98"/>
      <c r="L1241" s="98"/>
      <c r="M1241" s="98"/>
      <c r="N1241" s="98"/>
      <c r="O1241" s="98"/>
      <c r="P1241" s="98"/>
      <c r="Q1241" s="98"/>
      <c r="R1241" s="98"/>
      <c r="S1241" s="98" t="str">
        <f>IFERROR(__xludf.DUMMYFUNCTION("""COMPUTED_VALUE"""),"-")</f>
        <v>-</v>
      </c>
      <c r="T1241" s="98"/>
    </row>
    <row r="1242">
      <c r="A1242" s="98"/>
      <c r="B1242" s="98"/>
      <c r="C1242" s="98"/>
      <c r="D1242" s="98"/>
      <c r="E1242" s="98"/>
      <c r="F1242" s="98"/>
      <c r="G1242" s="98"/>
      <c r="H1242" s="98"/>
      <c r="I1242" s="98"/>
      <c r="J1242" s="98"/>
      <c r="K1242" s="98"/>
      <c r="L1242" s="98"/>
      <c r="M1242" s="98"/>
      <c r="N1242" s="98"/>
      <c r="O1242" s="98"/>
      <c r="P1242" s="98"/>
      <c r="Q1242" s="98"/>
      <c r="R1242" s="98"/>
      <c r="S1242" s="98" t="str">
        <f>IFERROR(__xludf.DUMMYFUNCTION("""COMPUTED_VALUE"""),"-")</f>
        <v>-</v>
      </c>
      <c r="T1242" s="98"/>
    </row>
    <row r="1243">
      <c r="A1243" s="98"/>
      <c r="B1243" s="98"/>
      <c r="C1243" s="98"/>
      <c r="D1243" s="98"/>
      <c r="E1243" s="98"/>
      <c r="F1243" s="98"/>
      <c r="G1243" s="98"/>
      <c r="H1243" s="98"/>
      <c r="I1243" s="98"/>
      <c r="J1243" s="98"/>
      <c r="K1243" s="98"/>
      <c r="L1243" s="98"/>
      <c r="M1243" s="98"/>
      <c r="N1243" s="98"/>
      <c r="O1243" s="98"/>
      <c r="P1243" s="98"/>
      <c r="Q1243" s="98"/>
      <c r="R1243" s="98"/>
      <c r="S1243" s="98" t="str">
        <f>IFERROR(__xludf.DUMMYFUNCTION("""COMPUTED_VALUE"""),"-")</f>
        <v>-</v>
      </c>
      <c r="T1243" s="98"/>
    </row>
    <row r="1244">
      <c r="A1244" s="98"/>
      <c r="B1244" s="98"/>
      <c r="C1244" s="98"/>
      <c r="D1244" s="98"/>
      <c r="E1244" s="98"/>
      <c r="F1244" s="98"/>
      <c r="G1244" s="98"/>
      <c r="H1244" s="98"/>
      <c r="I1244" s="98"/>
      <c r="J1244" s="98"/>
      <c r="K1244" s="98"/>
      <c r="L1244" s="98"/>
      <c r="M1244" s="98"/>
      <c r="N1244" s="98"/>
      <c r="O1244" s="98"/>
      <c r="P1244" s="98"/>
      <c r="Q1244" s="98"/>
      <c r="R1244" s="98"/>
      <c r="S1244" s="98" t="str">
        <f>IFERROR(__xludf.DUMMYFUNCTION("""COMPUTED_VALUE"""),"-")</f>
        <v>-</v>
      </c>
      <c r="T1244" s="98"/>
    </row>
    <row r="1245">
      <c r="A1245" s="98"/>
      <c r="B1245" s="98"/>
      <c r="C1245" s="98"/>
      <c r="D1245" s="98"/>
      <c r="E1245" s="98"/>
      <c r="F1245" s="98"/>
      <c r="G1245" s="98"/>
      <c r="H1245" s="98"/>
      <c r="I1245" s="98"/>
      <c r="J1245" s="98"/>
      <c r="K1245" s="98"/>
      <c r="L1245" s="98"/>
      <c r="M1245" s="98"/>
      <c r="N1245" s="98"/>
      <c r="O1245" s="98"/>
      <c r="P1245" s="98"/>
      <c r="Q1245" s="98"/>
      <c r="R1245" s="98"/>
      <c r="S1245" s="98" t="str">
        <f>IFERROR(__xludf.DUMMYFUNCTION("""COMPUTED_VALUE"""),"-")</f>
        <v>-</v>
      </c>
      <c r="T1245" s="98"/>
    </row>
    <row r="1246">
      <c r="A1246" s="98"/>
      <c r="B1246" s="98"/>
      <c r="C1246" s="98"/>
      <c r="D1246" s="98"/>
      <c r="E1246" s="98"/>
      <c r="F1246" s="98"/>
      <c r="G1246" s="98"/>
      <c r="H1246" s="98"/>
      <c r="I1246" s="98"/>
      <c r="J1246" s="98"/>
      <c r="K1246" s="98"/>
      <c r="L1246" s="98"/>
      <c r="M1246" s="98"/>
      <c r="N1246" s="98"/>
      <c r="O1246" s="98"/>
      <c r="P1246" s="98"/>
      <c r="Q1246" s="98"/>
      <c r="R1246" s="98"/>
      <c r="S1246" s="98" t="str">
        <f>IFERROR(__xludf.DUMMYFUNCTION("""COMPUTED_VALUE"""),"-")</f>
        <v>-</v>
      </c>
      <c r="T1246" s="98"/>
    </row>
    <row r="1247">
      <c r="A1247" s="98"/>
      <c r="B1247" s="98"/>
      <c r="C1247" s="98"/>
      <c r="D1247" s="98"/>
      <c r="E1247" s="98"/>
      <c r="F1247" s="98"/>
      <c r="G1247" s="98"/>
      <c r="H1247" s="98"/>
      <c r="I1247" s="98"/>
      <c r="J1247" s="98"/>
      <c r="K1247" s="98"/>
      <c r="L1247" s="98"/>
      <c r="M1247" s="98"/>
      <c r="N1247" s="98"/>
      <c r="O1247" s="98"/>
      <c r="P1247" s="98"/>
      <c r="Q1247" s="98"/>
      <c r="R1247" s="98"/>
      <c r="S1247" s="98" t="str">
        <f>IFERROR(__xludf.DUMMYFUNCTION("""COMPUTED_VALUE"""),"-")</f>
        <v>-</v>
      </c>
      <c r="T1247" s="98"/>
    </row>
    <row r="1248">
      <c r="A1248" s="98"/>
      <c r="B1248" s="98"/>
      <c r="C1248" s="98"/>
      <c r="D1248" s="98"/>
      <c r="E1248" s="98"/>
      <c r="F1248" s="98"/>
      <c r="G1248" s="98"/>
      <c r="H1248" s="98"/>
      <c r="I1248" s="98"/>
      <c r="J1248" s="98"/>
      <c r="K1248" s="98"/>
      <c r="L1248" s="98"/>
      <c r="M1248" s="98"/>
      <c r="N1248" s="98"/>
      <c r="O1248" s="98"/>
      <c r="P1248" s="98"/>
      <c r="Q1248" s="98"/>
      <c r="R1248" s="98"/>
      <c r="S1248" s="98" t="str">
        <f>IFERROR(__xludf.DUMMYFUNCTION("""COMPUTED_VALUE"""),"-")</f>
        <v>-</v>
      </c>
      <c r="T1248" s="98"/>
    </row>
    <row r="1249">
      <c r="A1249" s="98"/>
      <c r="B1249" s="98"/>
      <c r="C1249" s="98"/>
      <c r="D1249" s="98"/>
      <c r="E1249" s="98"/>
      <c r="F1249" s="98"/>
      <c r="G1249" s="98"/>
      <c r="H1249" s="98"/>
      <c r="I1249" s="98"/>
      <c r="J1249" s="98"/>
      <c r="K1249" s="98"/>
      <c r="L1249" s="98"/>
      <c r="M1249" s="98"/>
      <c r="N1249" s="98"/>
      <c r="O1249" s="98"/>
      <c r="P1249" s="98"/>
      <c r="Q1249" s="98"/>
      <c r="R1249" s="98"/>
      <c r="S1249" s="98" t="str">
        <f>IFERROR(__xludf.DUMMYFUNCTION("""COMPUTED_VALUE"""),"-")</f>
        <v>-</v>
      </c>
      <c r="T1249" s="98"/>
    </row>
    <row r="1250">
      <c r="A1250" s="98"/>
      <c r="B1250" s="98"/>
      <c r="C1250" s="98"/>
      <c r="D1250" s="98"/>
      <c r="E1250" s="98"/>
      <c r="F1250" s="98"/>
      <c r="G1250" s="98"/>
      <c r="H1250" s="98"/>
      <c r="I1250" s="98"/>
      <c r="J1250" s="98"/>
      <c r="K1250" s="98"/>
      <c r="L1250" s="98"/>
      <c r="M1250" s="98"/>
      <c r="N1250" s="98"/>
      <c r="O1250" s="98"/>
      <c r="P1250" s="98"/>
      <c r="Q1250" s="98"/>
      <c r="R1250" s="98"/>
      <c r="S1250" s="98" t="str">
        <f>IFERROR(__xludf.DUMMYFUNCTION("""COMPUTED_VALUE"""),"-")</f>
        <v>-</v>
      </c>
      <c r="T1250" s="98"/>
    </row>
    <row r="1251">
      <c r="A1251" s="98"/>
      <c r="B1251" s="98"/>
      <c r="C1251" s="98"/>
      <c r="D1251" s="98"/>
      <c r="E1251" s="98"/>
      <c r="F1251" s="98"/>
      <c r="G1251" s="98"/>
      <c r="H1251" s="98"/>
      <c r="I1251" s="98"/>
      <c r="J1251" s="98"/>
      <c r="K1251" s="98"/>
      <c r="L1251" s="98"/>
      <c r="M1251" s="98"/>
      <c r="N1251" s="98"/>
      <c r="O1251" s="98"/>
      <c r="P1251" s="98"/>
      <c r="Q1251" s="98"/>
      <c r="R1251" s="98"/>
      <c r="S1251" s="98" t="str">
        <f>IFERROR(__xludf.DUMMYFUNCTION("""COMPUTED_VALUE"""),"-")</f>
        <v>-</v>
      </c>
      <c r="T1251" s="98"/>
    </row>
    <row r="1252">
      <c r="A1252" s="98"/>
      <c r="B1252" s="98"/>
      <c r="C1252" s="98"/>
      <c r="D1252" s="98"/>
      <c r="E1252" s="98"/>
      <c r="F1252" s="98"/>
      <c r="G1252" s="98"/>
      <c r="H1252" s="98"/>
      <c r="I1252" s="98"/>
      <c r="J1252" s="98"/>
      <c r="K1252" s="98"/>
      <c r="L1252" s="98"/>
      <c r="M1252" s="98"/>
      <c r="N1252" s="98"/>
      <c r="O1252" s="98"/>
      <c r="P1252" s="98"/>
      <c r="Q1252" s="98"/>
      <c r="R1252" s="98"/>
      <c r="S1252" s="98" t="str">
        <f>IFERROR(__xludf.DUMMYFUNCTION("""COMPUTED_VALUE"""),"-")</f>
        <v>-</v>
      </c>
      <c r="T1252" s="98"/>
    </row>
    <row r="1253">
      <c r="A1253" s="98"/>
      <c r="B1253" s="98"/>
      <c r="C1253" s="98"/>
      <c r="D1253" s="98"/>
      <c r="E1253" s="98"/>
      <c r="F1253" s="98"/>
      <c r="G1253" s="98"/>
      <c r="H1253" s="98"/>
      <c r="I1253" s="98"/>
      <c r="J1253" s="98"/>
      <c r="K1253" s="98"/>
      <c r="L1253" s="98"/>
      <c r="M1253" s="98"/>
      <c r="N1253" s="98"/>
      <c r="O1253" s="98"/>
      <c r="P1253" s="98"/>
      <c r="Q1253" s="98"/>
      <c r="R1253" s="98"/>
      <c r="S1253" s="98" t="str">
        <f>IFERROR(__xludf.DUMMYFUNCTION("""COMPUTED_VALUE"""),"-")</f>
        <v>-</v>
      </c>
      <c r="T1253" s="98"/>
    </row>
    <row r="1254">
      <c r="A1254" s="98"/>
      <c r="B1254" s="98"/>
      <c r="C1254" s="98"/>
      <c r="D1254" s="98"/>
      <c r="E1254" s="98"/>
      <c r="F1254" s="98"/>
      <c r="G1254" s="98"/>
      <c r="H1254" s="98"/>
      <c r="I1254" s="98"/>
      <c r="J1254" s="98"/>
      <c r="K1254" s="98"/>
      <c r="L1254" s="98"/>
      <c r="M1254" s="98"/>
      <c r="N1254" s="98"/>
      <c r="O1254" s="98"/>
      <c r="P1254" s="98"/>
      <c r="Q1254" s="98"/>
      <c r="R1254" s="98"/>
      <c r="S1254" s="98" t="str">
        <f>IFERROR(__xludf.DUMMYFUNCTION("""COMPUTED_VALUE"""),"-")</f>
        <v>-</v>
      </c>
      <c r="T1254" s="98"/>
    </row>
    <row r="1255">
      <c r="A1255" s="98"/>
      <c r="B1255" s="98"/>
      <c r="C1255" s="98"/>
      <c r="D1255" s="98"/>
      <c r="E1255" s="98"/>
      <c r="F1255" s="98"/>
      <c r="G1255" s="98"/>
      <c r="H1255" s="98"/>
      <c r="I1255" s="98"/>
      <c r="J1255" s="98"/>
      <c r="K1255" s="98"/>
      <c r="L1255" s="98"/>
      <c r="M1255" s="98"/>
      <c r="N1255" s="98"/>
      <c r="O1255" s="98"/>
      <c r="P1255" s="98"/>
      <c r="Q1255" s="98"/>
      <c r="R1255" s="98"/>
      <c r="S1255" s="98" t="str">
        <f>IFERROR(__xludf.DUMMYFUNCTION("""COMPUTED_VALUE"""),"-")</f>
        <v>-</v>
      </c>
      <c r="T1255" s="98"/>
    </row>
    <row r="1256">
      <c r="A1256" s="98"/>
      <c r="B1256" s="98"/>
      <c r="C1256" s="98"/>
      <c r="D1256" s="98"/>
      <c r="E1256" s="98"/>
      <c r="F1256" s="98"/>
      <c r="G1256" s="98"/>
      <c r="H1256" s="98"/>
      <c r="I1256" s="98"/>
      <c r="J1256" s="98"/>
      <c r="K1256" s="98"/>
      <c r="L1256" s="98"/>
      <c r="M1256" s="98"/>
      <c r="N1256" s="98"/>
      <c r="O1256" s="98"/>
      <c r="P1256" s="98"/>
      <c r="Q1256" s="98"/>
      <c r="R1256" s="98"/>
      <c r="S1256" s="98" t="str">
        <f>IFERROR(__xludf.DUMMYFUNCTION("""COMPUTED_VALUE"""),"-")</f>
        <v>-</v>
      </c>
      <c r="T1256" s="98"/>
    </row>
    <row r="1257">
      <c r="A1257" s="98"/>
      <c r="B1257" s="98"/>
      <c r="C1257" s="98"/>
      <c r="D1257" s="98"/>
      <c r="E1257" s="98"/>
      <c r="F1257" s="98"/>
      <c r="G1257" s="98"/>
      <c r="H1257" s="98"/>
      <c r="I1257" s="98"/>
      <c r="J1257" s="98"/>
      <c r="K1257" s="98"/>
      <c r="L1257" s="98"/>
      <c r="M1257" s="98"/>
      <c r="N1257" s="98"/>
      <c r="O1257" s="98"/>
      <c r="P1257" s="98"/>
      <c r="Q1257" s="98"/>
      <c r="R1257" s="98"/>
      <c r="S1257" s="98" t="str">
        <f>IFERROR(__xludf.DUMMYFUNCTION("""COMPUTED_VALUE"""),"-")</f>
        <v>-</v>
      </c>
      <c r="T1257" s="98"/>
    </row>
    <row r="1258">
      <c r="A1258" s="98"/>
      <c r="B1258" s="98"/>
      <c r="C1258" s="98"/>
      <c r="D1258" s="98"/>
      <c r="E1258" s="98"/>
      <c r="F1258" s="98"/>
      <c r="G1258" s="98"/>
      <c r="H1258" s="98"/>
      <c r="I1258" s="98"/>
      <c r="J1258" s="98"/>
      <c r="K1258" s="98"/>
      <c r="L1258" s="98"/>
      <c r="M1258" s="98"/>
      <c r="N1258" s="98"/>
      <c r="O1258" s="98"/>
      <c r="P1258" s="98"/>
      <c r="Q1258" s="98"/>
      <c r="R1258" s="98"/>
      <c r="S1258" s="98" t="str">
        <f>IFERROR(__xludf.DUMMYFUNCTION("""COMPUTED_VALUE"""),"-")</f>
        <v>-</v>
      </c>
      <c r="T1258" s="98"/>
    </row>
    <row r="1259">
      <c r="A1259" s="98"/>
      <c r="B1259" s="98"/>
      <c r="C1259" s="98"/>
      <c r="D1259" s="98"/>
      <c r="E1259" s="98"/>
      <c r="F1259" s="98"/>
      <c r="G1259" s="98"/>
      <c r="H1259" s="98"/>
      <c r="I1259" s="98"/>
      <c r="J1259" s="98"/>
      <c r="K1259" s="98"/>
      <c r="L1259" s="98"/>
      <c r="M1259" s="98"/>
      <c r="N1259" s="98"/>
      <c r="O1259" s="98"/>
      <c r="P1259" s="98"/>
      <c r="Q1259" s="98"/>
      <c r="R1259" s="98"/>
      <c r="S1259" s="98" t="str">
        <f>IFERROR(__xludf.DUMMYFUNCTION("""COMPUTED_VALUE"""),"-")</f>
        <v>-</v>
      </c>
      <c r="T1259" s="98"/>
    </row>
    <row r="1260">
      <c r="A1260" s="98"/>
      <c r="B1260" s="98"/>
      <c r="C1260" s="98"/>
      <c r="D1260" s="98"/>
      <c r="E1260" s="98"/>
      <c r="F1260" s="98"/>
      <c r="G1260" s="98"/>
      <c r="H1260" s="98"/>
      <c r="I1260" s="98"/>
      <c r="J1260" s="98"/>
      <c r="K1260" s="98"/>
      <c r="L1260" s="98"/>
      <c r="M1260" s="98"/>
      <c r="N1260" s="98"/>
      <c r="O1260" s="98"/>
      <c r="P1260" s="98"/>
      <c r="Q1260" s="98"/>
      <c r="R1260" s="98"/>
      <c r="S1260" s="98" t="str">
        <f>IFERROR(__xludf.DUMMYFUNCTION("""COMPUTED_VALUE"""),"-")</f>
        <v>-</v>
      </c>
      <c r="T1260" s="98"/>
    </row>
    <row r="1261">
      <c r="A1261" s="98"/>
      <c r="B1261" s="98"/>
      <c r="C1261" s="98"/>
      <c r="D1261" s="98"/>
      <c r="E1261" s="98"/>
      <c r="F1261" s="98"/>
      <c r="G1261" s="98"/>
      <c r="H1261" s="98"/>
      <c r="I1261" s="98"/>
      <c r="J1261" s="98"/>
      <c r="K1261" s="98"/>
      <c r="L1261" s="98"/>
      <c r="M1261" s="98"/>
      <c r="N1261" s="98"/>
      <c r="O1261" s="98"/>
      <c r="P1261" s="98"/>
      <c r="Q1261" s="98"/>
      <c r="R1261" s="98"/>
      <c r="S1261" s="98" t="str">
        <f>IFERROR(__xludf.DUMMYFUNCTION("""COMPUTED_VALUE"""),"-")</f>
        <v>-</v>
      </c>
      <c r="T1261" s="98"/>
    </row>
    <row r="1262">
      <c r="A1262" s="98"/>
      <c r="B1262" s="98"/>
      <c r="C1262" s="98"/>
      <c r="D1262" s="98"/>
      <c r="E1262" s="98"/>
      <c r="F1262" s="98"/>
      <c r="G1262" s="98"/>
      <c r="H1262" s="98"/>
      <c r="I1262" s="98"/>
      <c r="J1262" s="98"/>
      <c r="K1262" s="98"/>
      <c r="L1262" s="98"/>
      <c r="M1262" s="98"/>
      <c r="N1262" s="98"/>
      <c r="O1262" s="98"/>
      <c r="P1262" s="98"/>
      <c r="Q1262" s="98"/>
      <c r="R1262" s="98"/>
      <c r="S1262" s="98" t="str">
        <f>IFERROR(__xludf.DUMMYFUNCTION("""COMPUTED_VALUE"""),"-")</f>
        <v>-</v>
      </c>
      <c r="T1262" s="98"/>
    </row>
    <row r="1263">
      <c r="A1263" s="98"/>
      <c r="B1263" s="98"/>
      <c r="C1263" s="98"/>
      <c r="D1263" s="98"/>
      <c r="E1263" s="98"/>
      <c r="F1263" s="98"/>
      <c r="G1263" s="98"/>
      <c r="H1263" s="98"/>
      <c r="I1263" s="98"/>
      <c r="J1263" s="98"/>
      <c r="K1263" s="98"/>
      <c r="L1263" s="98"/>
      <c r="M1263" s="98"/>
      <c r="N1263" s="98"/>
      <c r="O1263" s="98"/>
      <c r="P1263" s="98"/>
      <c r="Q1263" s="98"/>
      <c r="R1263" s="98"/>
      <c r="S1263" s="98" t="str">
        <f>IFERROR(__xludf.DUMMYFUNCTION("""COMPUTED_VALUE"""),"-")</f>
        <v>-</v>
      </c>
      <c r="T1263" s="98"/>
    </row>
    <row r="1264">
      <c r="A1264" s="98"/>
      <c r="B1264" s="98"/>
      <c r="C1264" s="98"/>
      <c r="D1264" s="98"/>
      <c r="E1264" s="98"/>
      <c r="F1264" s="98"/>
      <c r="G1264" s="98"/>
      <c r="H1264" s="98"/>
      <c r="I1264" s="98"/>
      <c r="J1264" s="98"/>
      <c r="K1264" s="98"/>
      <c r="L1264" s="98"/>
      <c r="M1264" s="98"/>
      <c r="N1264" s="98"/>
      <c r="O1264" s="98"/>
      <c r="P1264" s="98"/>
      <c r="Q1264" s="98"/>
      <c r="R1264" s="98"/>
      <c r="S1264" s="98" t="str">
        <f>IFERROR(__xludf.DUMMYFUNCTION("""COMPUTED_VALUE"""),"-")</f>
        <v>-</v>
      </c>
      <c r="T1264" s="98"/>
    </row>
    <row r="1265">
      <c r="A1265" s="98"/>
      <c r="B1265" s="98"/>
      <c r="C1265" s="98"/>
      <c r="D1265" s="98"/>
      <c r="E1265" s="98"/>
      <c r="F1265" s="98"/>
      <c r="G1265" s="98"/>
      <c r="H1265" s="98"/>
      <c r="I1265" s="98"/>
      <c r="J1265" s="98"/>
      <c r="K1265" s="98"/>
      <c r="L1265" s="98"/>
      <c r="M1265" s="98"/>
      <c r="N1265" s="98"/>
      <c r="O1265" s="98"/>
      <c r="P1265" s="98"/>
      <c r="Q1265" s="98"/>
      <c r="R1265" s="98"/>
      <c r="S1265" s="98" t="str">
        <f>IFERROR(__xludf.DUMMYFUNCTION("""COMPUTED_VALUE"""),"-")</f>
        <v>-</v>
      </c>
      <c r="T1265" s="98"/>
    </row>
    <row r="1266">
      <c r="A1266" s="98"/>
      <c r="B1266" s="98"/>
      <c r="C1266" s="98"/>
      <c r="D1266" s="98"/>
      <c r="E1266" s="98"/>
      <c r="F1266" s="98"/>
      <c r="G1266" s="98"/>
      <c r="H1266" s="98"/>
      <c r="I1266" s="98"/>
      <c r="J1266" s="98"/>
      <c r="K1266" s="98"/>
      <c r="L1266" s="98"/>
      <c r="M1266" s="98"/>
      <c r="N1266" s="98"/>
      <c r="O1266" s="98"/>
      <c r="P1266" s="98"/>
      <c r="Q1266" s="98"/>
      <c r="R1266" s="98"/>
      <c r="S1266" s="98" t="str">
        <f>IFERROR(__xludf.DUMMYFUNCTION("""COMPUTED_VALUE"""),"-")</f>
        <v>-</v>
      </c>
      <c r="T1266" s="98"/>
    </row>
    <row r="1267">
      <c r="A1267" s="98"/>
      <c r="B1267" s="98"/>
      <c r="C1267" s="98"/>
      <c r="D1267" s="98"/>
      <c r="E1267" s="98"/>
      <c r="F1267" s="98"/>
      <c r="G1267" s="98"/>
      <c r="H1267" s="98"/>
      <c r="I1267" s="98"/>
      <c r="J1267" s="98"/>
      <c r="K1267" s="98"/>
      <c r="L1267" s="98"/>
      <c r="M1267" s="98"/>
      <c r="N1267" s="98"/>
      <c r="O1267" s="98"/>
      <c r="P1267" s="98"/>
      <c r="Q1267" s="98"/>
      <c r="R1267" s="98"/>
      <c r="S1267" s="98" t="str">
        <f>IFERROR(__xludf.DUMMYFUNCTION("""COMPUTED_VALUE"""),"-")</f>
        <v>-</v>
      </c>
      <c r="T1267" s="98"/>
    </row>
    <row r="1268">
      <c r="A1268" s="98"/>
      <c r="B1268" s="98"/>
      <c r="C1268" s="98"/>
      <c r="D1268" s="98"/>
      <c r="E1268" s="98"/>
      <c r="F1268" s="98"/>
      <c r="G1268" s="98"/>
      <c r="H1268" s="98"/>
      <c r="I1268" s="98"/>
      <c r="J1268" s="98"/>
      <c r="K1268" s="98"/>
      <c r="L1268" s="98"/>
      <c r="M1268" s="98"/>
      <c r="N1268" s="98"/>
      <c r="O1268" s="98"/>
      <c r="P1268" s="98"/>
      <c r="Q1268" s="98"/>
      <c r="R1268" s="98"/>
      <c r="S1268" s="98" t="str">
        <f>IFERROR(__xludf.DUMMYFUNCTION("""COMPUTED_VALUE"""),"-")</f>
        <v>-</v>
      </c>
      <c r="T1268" s="98"/>
    </row>
    <row r="1269">
      <c r="A1269" s="98"/>
      <c r="B1269" s="98"/>
      <c r="C1269" s="98"/>
      <c r="D1269" s="98"/>
      <c r="E1269" s="98"/>
      <c r="F1269" s="98"/>
      <c r="G1269" s="98"/>
      <c r="H1269" s="98"/>
      <c r="I1269" s="98"/>
      <c r="J1269" s="98"/>
      <c r="K1269" s="98"/>
      <c r="L1269" s="98"/>
      <c r="M1269" s="98"/>
      <c r="N1269" s="98"/>
      <c r="O1269" s="98"/>
      <c r="P1269" s="98"/>
      <c r="Q1269" s="98"/>
      <c r="R1269" s="98"/>
      <c r="S1269" s="98" t="str">
        <f>IFERROR(__xludf.DUMMYFUNCTION("""COMPUTED_VALUE"""),"-")</f>
        <v>-</v>
      </c>
      <c r="T1269" s="98"/>
    </row>
    <row r="1270">
      <c r="A1270" s="98"/>
      <c r="B1270" s="98"/>
      <c r="C1270" s="98"/>
      <c r="D1270" s="98"/>
      <c r="E1270" s="98"/>
      <c r="F1270" s="98"/>
      <c r="G1270" s="98"/>
      <c r="H1270" s="98"/>
      <c r="I1270" s="98"/>
      <c r="J1270" s="98"/>
      <c r="K1270" s="98"/>
      <c r="L1270" s="98"/>
      <c r="M1270" s="98"/>
      <c r="N1270" s="98"/>
      <c r="O1270" s="98"/>
      <c r="P1270" s="98"/>
      <c r="Q1270" s="98"/>
      <c r="R1270" s="98"/>
      <c r="S1270" s="98" t="str">
        <f>IFERROR(__xludf.DUMMYFUNCTION("""COMPUTED_VALUE"""),"-")</f>
        <v>-</v>
      </c>
      <c r="T1270" s="98"/>
    </row>
    <row r="1271">
      <c r="A1271" s="98"/>
      <c r="B1271" s="98"/>
      <c r="C1271" s="98"/>
      <c r="D1271" s="98"/>
      <c r="E1271" s="98"/>
      <c r="F1271" s="98"/>
      <c r="G1271" s="98"/>
      <c r="H1271" s="98"/>
      <c r="I1271" s="98"/>
      <c r="J1271" s="98"/>
      <c r="K1271" s="98"/>
      <c r="L1271" s="98"/>
      <c r="M1271" s="98"/>
      <c r="N1271" s="98"/>
      <c r="O1271" s="98"/>
      <c r="P1271" s="98"/>
      <c r="Q1271" s="98"/>
      <c r="R1271" s="98"/>
      <c r="S1271" s="98" t="str">
        <f>IFERROR(__xludf.DUMMYFUNCTION("""COMPUTED_VALUE"""),"-")</f>
        <v>-</v>
      </c>
      <c r="T1271" s="98"/>
    </row>
    <row r="1272">
      <c r="A1272" s="98"/>
      <c r="B1272" s="98"/>
      <c r="C1272" s="98"/>
      <c r="D1272" s="98"/>
      <c r="E1272" s="98"/>
      <c r="F1272" s="98"/>
      <c r="G1272" s="98"/>
      <c r="H1272" s="98"/>
      <c r="I1272" s="98"/>
      <c r="J1272" s="98"/>
      <c r="K1272" s="98"/>
      <c r="L1272" s="98"/>
      <c r="M1272" s="98"/>
      <c r="N1272" s="98"/>
      <c r="O1272" s="98"/>
      <c r="P1272" s="98"/>
      <c r="Q1272" s="98"/>
      <c r="R1272" s="98"/>
      <c r="S1272" s="98" t="str">
        <f>IFERROR(__xludf.DUMMYFUNCTION("""COMPUTED_VALUE"""),"-")</f>
        <v>-</v>
      </c>
      <c r="T1272" s="98"/>
    </row>
    <row r="1273">
      <c r="A1273" s="98"/>
      <c r="B1273" s="98"/>
      <c r="C1273" s="98"/>
      <c r="D1273" s="98"/>
      <c r="E1273" s="98"/>
      <c r="F1273" s="98"/>
      <c r="G1273" s="98"/>
      <c r="H1273" s="98"/>
      <c r="I1273" s="98"/>
      <c r="J1273" s="98"/>
      <c r="K1273" s="98"/>
      <c r="L1273" s="98"/>
      <c r="M1273" s="98"/>
      <c r="N1273" s="98"/>
      <c r="O1273" s="98"/>
      <c r="P1273" s="98"/>
      <c r="Q1273" s="98"/>
      <c r="R1273" s="98"/>
      <c r="S1273" s="98" t="str">
        <f>IFERROR(__xludf.DUMMYFUNCTION("""COMPUTED_VALUE"""),"-")</f>
        <v>-</v>
      </c>
      <c r="T1273" s="98"/>
    </row>
    <row r="1274">
      <c r="A1274" s="98"/>
      <c r="B1274" s="98"/>
      <c r="C1274" s="98"/>
      <c r="D1274" s="98"/>
      <c r="E1274" s="98"/>
      <c r="F1274" s="98"/>
      <c r="G1274" s="98"/>
      <c r="H1274" s="98"/>
      <c r="I1274" s="98"/>
      <c r="J1274" s="98"/>
      <c r="K1274" s="98"/>
      <c r="L1274" s="98"/>
      <c r="M1274" s="98"/>
      <c r="N1274" s="98"/>
      <c r="O1274" s="98"/>
      <c r="P1274" s="98"/>
      <c r="Q1274" s="98"/>
      <c r="R1274" s="98"/>
      <c r="S1274" s="98" t="str">
        <f>IFERROR(__xludf.DUMMYFUNCTION("""COMPUTED_VALUE"""),"-")</f>
        <v>-</v>
      </c>
      <c r="T1274" s="98"/>
    </row>
    <row r="1275">
      <c r="A1275" s="98"/>
      <c r="B1275" s="98"/>
      <c r="C1275" s="98"/>
      <c r="D1275" s="98"/>
      <c r="E1275" s="98"/>
      <c r="F1275" s="98"/>
      <c r="G1275" s="98"/>
      <c r="H1275" s="98"/>
      <c r="I1275" s="98"/>
      <c r="J1275" s="98"/>
      <c r="K1275" s="98"/>
      <c r="L1275" s="98"/>
      <c r="M1275" s="98"/>
      <c r="N1275" s="98"/>
      <c r="O1275" s="98"/>
      <c r="P1275" s="98"/>
      <c r="Q1275" s="98"/>
      <c r="R1275" s="98"/>
      <c r="S1275" s="98" t="str">
        <f>IFERROR(__xludf.DUMMYFUNCTION("""COMPUTED_VALUE"""),"-")</f>
        <v>-</v>
      </c>
      <c r="T1275" s="98"/>
    </row>
    <row r="1276">
      <c r="A1276" s="98"/>
      <c r="B1276" s="98"/>
      <c r="C1276" s="98"/>
      <c r="D1276" s="98"/>
      <c r="E1276" s="98"/>
      <c r="F1276" s="98"/>
      <c r="G1276" s="98"/>
      <c r="H1276" s="98"/>
      <c r="I1276" s="98"/>
      <c r="J1276" s="98"/>
      <c r="K1276" s="98"/>
      <c r="L1276" s="98"/>
      <c r="M1276" s="98"/>
      <c r="N1276" s="98"/>
      <c r="O1276" s="98"/>
      <c r="P1276" s="98"/>
      <c r="Q1276" s="98"/>
      <c r="R1276" s="98"/>
      <c r="S1276" s="98" t="str">
        <f>IFERROR(__xludf.DUMMYFUNCTION("""COMPUTED_VALUE"""),"-")</f>
        <v>-</v>
      </c>
      <c r="T1276" s="98"/>
    </row>
    <row r="1277">
      <c r="A1277" s="98"/>
      <c r="B1277" s="98"/>
      <c r="C1277" s="98"/>
      <c r="D1277" s="98"/>
      <c r="E1277" s="98"/>
      <c r="F1277" s="98"/>
      <c r="G1277" s="98"/>
      <c r="H1277" s="98"/>
      <c r="I1277" s="98"/>
      <c r="J1277" s="98"/>
      <c r="K1277" s="98"/>
      <c r="L1277" s="98"/>
      <c r="M1277" s="98"/>
      <c r="N1277" s="98"/>
      <c r="O1277" s="98"/>
      <c r="P1277" s="98"/>
      <c r="Q1277" s="98"/>
      <c r="R1277" s="98"/>
      <c r="S1277" s="98" t="str">
        <f>IFERROR(__xludf.DUMMYFUNCTION("""COMPUTED_VALUE"""),"-")</f>
        <v>-</v>
      </c>
      <c r="T1277" s="98"/>
    </row>
    <row r="1278">
      <c r="A1278" s="98"/>
      <c r="B1278" s="98"/>
      <c r="C1278" s="98"/>
      <c r="D1278" s="98"/>
      <c r="E1278" s="98"/>
      <c r="F1278" s="98"/>
      <c r="G1278" s="98"/>
      <c r="H1278" s="98"/>
      <c r="I1278" s="98"/>
      <c r="J1278" s="98"/>
      <c r="K1278" s="98"/>
      <c r="L1278" s="98"/>
      <c r="M1278" s="98"/>
      <c r="N1278" s="98"/>
      <c r="O1278" s="98"/>
      <c r="P1278" s="98"/>
      <c r="Q1278" s="98"/>
      <c r="R1278" s="98"/>
      <c r="S1278" s="98" t="str">
        <f>IFERROR(__xludf.DUMMYFUNCTION("""COMPUTED_VALUE"""),"-")</f>
        <v>-</v>
      </c>
      <c r="T1278" s="98"/>
    </row>
    <row r="1279">
      <c r="A1279" s="98"/>
      <c r="B1279" s="98"/>
      <c r="C1279" s="98"/>
      <c r="D1279" s="98"/>
      <c r="E1279" s="98"/>
      <c r="F1279" s="98"/>
      <c r="G1279" s="98"/>
      <c r="H1279" s="98"/>
      <c r="I1279" s="98"/>
      <c r="J1279" s="98"/>
      <c r="K1279" s="98"/>
      <c r="L1279" s="98"/>
      <c r="M1279" s="98"/>
      <c r="N1279" s="98"/>
      <c r="O1279" s="98"/>
      <c r="P1279" s="98"/>
      <c r="Q1279" s="98"/>
      <c r="R1279" s="98"/>
      <c r="S1279" s="98" t="str">
        <f>IFERROR(__xludf.DUMMYFUNCTION("""COMPUTED_VALUE"""),"-")</f>
        <v>-</v>
      </c>
      <c r="T1279" s="98"/>
    </row>
    <row r="1280">
      <c r="A1280" s="98"/>
      <c r="B1280" s="98"/>
      <c r="C1280" s="98"/>
      <c r="D1280" s="98"/>
      <c r="E1280" s="98"/>
      <c r="F1280" s="98"/>
      <c r="G1280" s="98"/>
      <c r="H1280" s="98"/>
      <c r="I1280" s="98"/>
      <c r="J1280" s="98"/>
      <c r="K1280" s="98"/>
      <c r="L1280" s="98"/>
      <c r="M1280" s="98"/>
      <c r="N1280" s="98"/>
      <c r="O1280" s="98"/>
      <c r="P1280" s="98"/>
      <c r="Q1280" s="98"/>
      <c r="R1280" s="98"/>
      <c r="S1280" s="98" t="str">
        <f>IFERROR(__xludf.DUMMYFUNCTION("""COMPUTED_VALUE"""),"-")</f>
        <v>-</v>
      </c>
      <c r="T1280" s="98"/>
    </row>
    <row r="1281">
      <c r="A1281" s="98"/>
      <c r="B1281" s="98"/>
      <c r="C1281" s="98"/>
      <c r="D1281" s="98"/>
      <c r="E1281" s="98"/>
      <c r="F1281" s="98"/>
      <c r="G1281" s="98"/>
      <c r="H1281" s="98"/>
      <c r="I1281" s="98"/>
      <c r="J1281" s="98"/>
      <c r="K1281" s="98"/>
      <c r="L1281" s="98"/>
      <c r="M1281" s="98"/>
      <c r="N1281" s="98"/>
      <c r="O1281" s="98"/>
      <c r="P1281" s="98"/>
      <c r="Q1281" s="98"/>
      <c r="R1281" s="98"/>
      <c r="S1281" s="98" t="str">
        <f>IFERROR(__xludf.DUMMYFUNCTION("""COMPUTED_VALUE"""),"-")</f>
        <v>-</v>
      </c>
      <c r="T1281" s="98"/>
    </row>
    <row r="1282">
      <c r="A1282" s="98"/>
      <c r="B1282" s="98"/>
      <c r="C1282" s="98"/>
      <c r="D1282" s="98"/>
      <c r="E1282" s="98"/>
      <c r="F1282" s="98"/>
      <c r="G1282" s="98"/>
      <c r="H1282" s="98"/>
      <c r="I1282" s="98"/>
      <c r="J1282" s="98"/>
      <c r="K1282" s="98"/>
      <c r="L1282" s="98"/>
      <c r="M1282" s="98"/>
      <c r="N1282" s="98"/>
      <c r="O1282" s="98"/>
      <c r="P1282" s="98"/>
      <c r="Q1282" s="98"/>
      <c r="R1282" s="98"/>
      <c r="S1282" s="98" t="str">
        <f>IFERROR(__xludf.DUMMYFUNCTION("""COMPUTED_VALUE"""),"-")</f>
        <v>-</v>
      </c>
      <c r="T1282" s="98"/>
    </row>
    <row r="1283">
      <c r="A1283" s="98"/>
      <c r="B1283" s="98"/>
      <c r="C1283" s="98"/>
      <c r="D1283" s="98"/>
      <c r="E1283" s="98"/>
      <c r="F1283" s="98"/>
      <c r="G1283" s="98"/>
      <c r="H1283" s="98"/>
      <c r="I1283" s="98"/>
      <c r="J1283" s="98"/>
      <c r="K1283" s="98"/>
      <c r="L1283" s="98"/>
      <c r="M1283" s="98"/>
      <c r="N1283" s="98"/>
      <c r="O1283" s="98"/>
      <c r="P1283" s="98"/>
      <c r="Q1283" s="98"/>
      <c r="R1283" s="98"/>
      <c r="S1283" s="98" t="str">
        <f>IFERROR(__xludf.DUMMYFUNCTION("""COMPUTED_VALUE"""),"-")</f>
        <v>-</v>
      </c>
      <c r="T1283" s="98"/>
    </row>
    <row r="1284">
      <c r="A1284" s="98"/>
      <c r="B1284" s="98"/>
      <c r="C1284" s="98"/>
      <c r="D1284" s="98"/>
      <c r="E1284" s="98"/>
      <c r="F1284" s="98"/>
      <c r="G1284" s="98"/>
      <c r="H1284" s="98"/>
      <c r="I1284" s="98"/>
      <c r="J1284" s="98"/>
      <c r="K1284" s="98"/>
      <c r="L1284" s="98"/>
      <c r="M1284" s="98"/>
      <c r="N1284" s="98"/>
      <c r="O1284" s="98"/>
      <c r="P1284" s="98"/>
      <c r="Q1284" s="98"/>
      <c r="R1284" s="98"/>
      <c r="S1284" s="98" t="str">
        <f>IFERROR(__xludf.DUMMYFUNCTION("""COMPUTED_VALUE"""),"-")</f>
        <v>-</v>
      </c>
      <c r="T1284" s="98"/>
    </row>
    <row r="1285">
      <c r="A1285" s="98"/>
      <c r="B1285" s="98"/>
      <c r="C1285" s="98"/>
      <c r="D1285" s="98"/>
      <c r="E1285" s="98"/>
      <c r="F1285" s="98"/>
      <c r="G1285" s="98"/>
      <c r="H1285" s="98"/>
      <c r="I1285" s="98"/>
      <c r="J1285" s="98"/>
      <c r="K1285" s="98"/>
      <c r="L1285" s="98"/>
      <c r="M1285" s="98"/>
      <c r="N1285" s="98"/>
      <c r="O1285" s="98"/>
      <c r="P1285" s="98"/>
      <c r="Q1285" s="98"/>
      <c r="R1285" s="98"/>
      <c r="S1285" s="98" t="str">
        <f>IFERROR(__xludf.DUMMYFUNCTION("""COMPUTED_VALUE"""),"-")</f>
        <v>-</v>
      </c>
      <c r="T1285" s="98"/>
    </row>
    <row r="1286">
      <c r="A1286" s="98"/>
      <c r="B1286" s="98"/>
      <c r="C1286" s="98"/>
      <c r="D1286" s="98"/>
      <c r="E1286" s="98"/>
      <c r="F1286" s="98"/>
      <c r="G1286" s="98"/>
      <c r="H1286" s="98"/>
      <c r="I1286" s="98"/>
      <c r="J1286" s="98"/>
      <c r="K1286" s="98"/>
      <c r="L1286" s="98"/>
      <c r="M1286" s="98"/>
      <c r="N1286" s="98"/>
      <c r="O1286" s="98"/>
      <c r="P1286" s="98"/>
      <c r="Q1286" s="98"/>
      <c r="R1286" s="98"/>
      <c r="S1286" s="98" t="str">
        <f>IFERROR(__xludf.DUMMYFUNCTION("""COMPUTED_VALUE"""),"-")</f>
        <v>-</v>
      </c>
      <c r="T1286" s="98"/>
    </row>
    <row r="1287">
      <c r="A1287" s="98"/>
      <c r="B1287" s="98"/>
      <c r="C1287" s="98"/>
      <c r="D1287" s="98"/>
      <c r="E1287" s="98"/>
      <c r="F1287" s="98"/>
      <c r="G1287" s="98"/>
      <c r="H1287" s="98"/>
      <c r="I1287" s="98"/>
      <c r="J1287" s="98"/>
      <c r="K1287" s="98"/>
      <c r="L1287" s="98"/>
      <c r="M1287" s="98"/>
      <c r="N1287" s="98"/>
      <c r="O1287" s="98"/>
      <c r="P1287" s="98"/>
      <c r="Q1287" s="98"/>
      <c r="R1287" s="98"/>
      <c r="S1287" s="98" t="str">
        <f>IFERROR(__xludf.DUMMYFUNCTION("""COMPUTED_VALUE"""),"-")</f>
        <v>-</v>
      </c>
      <c r="T1287" s="98"/>
    </row>
    <row r="1288">
      <c r="A1288" s="98"/>
      <c r="B1288" s="98"/>
      <c r="C1288" s="98"/>
      <c r="D1288" s="98"/>
      <c r="E1288" s="98"/>
      <c r="F1288" s="98"/>
      <c r="G1288" s="98"/>
      <c r="H1288" s="98"/>
      <c r="I1288" s="98"/>
      <c r="J1288" s="98"/>
      <c r="K1288" s="98"/>
      <c r="L1288" s="98"/>
      <c r="M1288" s="98"/>
      <c r="N1288" s="98"/>
      <c r="O1288" s="98"/>
      <c r="P1288" s="98"/>
      <c r="Q1288" s="98"/>
      <c r="R1288" s="98"/>
      <c r="S1288" s="98" t="str">
        <f>IFERROR(__xludf.DUMMYFUNCTION("""COMPUTED_VALUE"""),"-")</f>
        <v>-</v>
      </c>
      <c r="T1288" s="98"/>
    </row>
    <row r="1289">
      <c r="A1289" s="98"/>
      <c r="B1289" s="98"/>
      <c r="C1289" s="98"/>
      <c r="D1289" s="98"/>
      <c r="E1289" s="98"/>
      <c r="F1289" s="98"/>
      <c r="G1289" s="98"/>
      <c r="H1289" s="98"/>
      <c r="I1289" s="98"/>
      <c r="J1289" s="98"/>
      <c r="K1289" s="98"/>
      <c r="L1289" s="98"/>
      <c r="M1289" s="98"/>
      <c r="N1289" s="98"/>
      <c r="O1289" s="98"/>
      <c r="P1289" s="98"/>
      <c r="Q1289" s="98"/>
      <c r="R1289" s="98"/>
      <c r="S1289" s="98" t="str">
        <f>IFERROR(__xludf.DUMMYFUNCTION("""COMPUTED_VALUE"""),"-")</f>
        <v>-</v>
      </c>
      <c r="T1289" s="98"/>
    </row>
    <row r="1290">
      <c r="A1290" s="98"/>
      <c r="B1290" s="98"/>
      <c r="C1290" s="98"/>
      <c r="D1290" s="98"/>
      <c r="E1290" s="98"/>
      <c r="F1290" s="98"/>
      <c r="G1290" s="98"/>
      <c r="H1290" s="98"/>
      <c r="I1290" s="98"/>
      <c r="J1290" s="98"/>
      <c r="K1290" s="98"/>
      <c r="L1290" s="98"/>
      <c r="M1290" s="98"/>
      <c r="N1290" s="98"/>
      <c r="O1290" s="98"/>
      <c r="P1290" s="98"/>
      <c r="Q1290" s="98"/>
      <c r="R1290" s="98"/>
      <c r="S1290" s="98" t="str">
        <f>IFERROR(__xludf.DUMMYFUNCTION("""COMPUTED_VALUE"""),"-")</f>
        <v>-</v>
      </c>
      <c r="T1290" s="98"/>
    </row>
    <row r="1291">
      <c r="A1291" s="98"/>
      <c r="B1291" s="98"/>
      <c r="C1291" s="98"/>
      <c r="D1291" s="98"/>
      <c r="E1291" s="98"/>
      <c r="F1291" s="98"/>
      <c r="G1291" s="98"/>
      <c r="H1291" s="98"/>
      <c r="I1291" s="98"/>
      <c r="J1291" s="98"/>
      <c r="K1291" s="98"/>
      <c r="L1291" s="98"/>
      <c r="M1291" s="98"/>
      <c r="N1291" s="98"/>
      <c r="O1291" s="98"/>
      <c r="P1291" s="98"/>
      <c r="Q1291" s="98"/>
      <c r="R1291" s="98"/>
      <c r="S1291" s="98" t="str">
        <f>IFERROR(__xludf.DUMMYFUNCTION("""COMPUTED_VALUE"""),"-")</f>
        <v>-</v>
      </c>
      <c r="T1291" s="98"/>
    </row>
    <row r="1292">
      <c r="A1292" s="98"/>
      <c r="B1292" s="98"/>
      <c r="C1292" s="98"/>
      <c r="D1292" s="98"/>
      <c r="E1292" s="98"/>
      <c r="F1292" s="98"/>
      <c r="G1292" s="98"/>
      <c r="H1292" s="98"/>
      <c r="I1292" s="98"/>
      <c r="J1292" s="98"/>
      <c r="K1292" s="98"/>
      <c r="L1292" s="98"/>
      <c r="M1292" s="98"/>
      <c r="N1292" s="98"/>
      <c r="O1292" s="98"/>
      <c r="P1292" s="98"/>
      <c r="Q1292" s="98"/>
      <c r="R1292" s="98"/>
      <c r="S1292" s="98" t="str">
        <f>IFERROR(__xludf.DUMMYFUNCTION("""COMPUTED_VALUE"""),"-")</f>
        <v>-</v>
      </c>
      <c r="T1292" s="98"/>
    </row>
    <row r="1293">
      <c r="A1293" s="98"/>
      <c r="B1293" s="98"/>
      <c r="C1293" s="98"/>
      <c r="D1293" s="98"/>
      <c r="E1293" s="98"/>
      <c r="F1293" s="98"/>
      <c r="G1293" s="98"/>
      <c r="H1293" s="98"/>
      <c r="I1293" s="98"/>
      <c r="J1293" s="98"/>
      <c r="K1293" s="98"/>
      <c r="L1293" s="98"/>
      <c r="M1293" s="98"/>
      <c r="N1293" s="98"/>
      <c r="O1293" s="98"/>
      <c r="P1293" s="98"/>
      <c r="Q1293" s="98"/>
      <c r="R1293" s="98"/>
      <c r="S1293" s="98" t="str">
        <f>IFERROR(__xludf.DUMMYFUNCTION("""COMPUTED_VALUE"""),"-")</f>
        <v>-</v>
      </c>
      <c r="T1293" s="98"/>
    </row>
    <row r="1294">
      <c r="A1294" s="98"/>
      <c r="B1294" s="98"/>
      <c r="C1294" s="98"/>
      <c r="D1294" s="98"/>
      <c r="E1294" s="98"/>
      <c r="F1294" s="98"/>
      <c r="G1294" s="98"/>
      <c r="H1294" s="98"/>
      <c r="I1294" s="98"/>
      <c r="J1294" s="98"/>
      <c r="K1294" s="98"/>
      <c r="L1294" s="98"/>
      <c r="M1294" s="98"/>
      <c r="N1294" s="98"/>
      <c r="O1294" s="98"/>
      <c r="P1294" s="98"/>
      <c r="Q1294" s="98"/>
      <c r="R1294" s="98"/>
      <c r="S1294" s="98" t="str">
        <f>IFERROR(__xludf.DUMMYFUNCTION("""COMPUTED_VALUE"""),"-")</f>
        <v>-</v>
      </c>
      <c r="T1294" s="98"/>
    </row>
    <row r="1295">
      <c r="A1295" s="98"/>
      <c r="B1295" s="98"/>
      <c r="C1295" s="98"/>
      <c r="D1295" s="98"/>
      <c r="E1295" s="98"/>
      <c r="F1295" s="98"/>
      <c r="G1295" s="98"/>
      <c r="H1295" s="98"/>
      <c r="I1295" s="98"/>
      <c r="J1295" s="98"/>
      <c r="K1295" s="98"/>
      <c r="L1295" s="98"/>
      <c r="M1295" s="98"/>
      <c r="N1295" s="98"/>
      <c r="O1295" s="98"/>
      <c r="P1295" s="98"/>
      <c r="Q1295" s="98"/>
      <c r="R1295" s="98"/>
      <c r="S1295" s="98" t="str">
        <f>IFERROR(__xludf.DUMMYFUNCTION("""COMPUTED_VALUE"""),"-")</f>
        <v>-</v>
      </c>
      <c r="T1295" s="98"/>
    </row>
    <row r="1296">
      <c r="A1296" s="98"/>
      <c r="B1296" s="98"/>
      <c r="C1296" s="98"/>
      <c r="D1296" s="98"/>
      <c r="E1296" s="98"/>
      <c r="F1296" s="98"/>
      <c r="G1296" s="98"/>
      <c r="H1296" s="98"/>
      <c r="I1296" s="98"/>
      <c r="J1296" s="98"/>
      <c r="K1296" s="98"/>
      <c r="L1296" s="98"/>
      <c r="M1296" s="98"/>
      <c r="N1296" s="98"/>
      <c r="O1296" s="98"/>
      <c r="P1296" s="98"/>
      <c r="Q1296" s="98"/>
      <c r="R1296" s="98"/>
      <c r="S1296" s="98" t="str">
        <f>IFERROR(__xludf.DUMMYFUNCTION("""COMPUTED_VALUE"""),"-")</f>
        <v>-</v>
      </c>
      <c r="T1296" s="98"/>
    </row>
    <row r="1297">
      <c r="A1297" s="98"/>
      <c r="B1297" s="98"/>
      <c r="C1297" s="98"/>
      <c r="D1297" s="98"/>
      <c r="E1297" s="98"/>
      <c r="F1297" s="98"/>
      <c r="G1297" s="98"/>
      <c r="H1297" s="98"/>
      <c r="I1297" s="98"/>
      <c r="J1297" s="98"/>
      <c r="K1297" s="98"/>
      <c r="L1297" s="98"/>
      <c r="M1297" s="98"/>
      <c r="N1297" s="98"/>
      <c r="O1297" s="98"/>
      <c r="P1297" s="98"/>
      <c r="Q1297" s="98"/>
      <c r="R1297" s="98"/>
      <c r="S1297" s="98" t="str">
        <f>IFERROR(__xludf.DUMMYFUNCTION("""COMPUTED_VALUE"""),"-")</f>
        <v>-</v>
      </c>
      <c r="T1297" s="98"/>
    </row>
    <row r="1298">
      <c r="A1298" s="98"/>
      <c r="B1298" s="98"/>
      <c r="C1298" s="98"/>
      <c r="D1298" s="98"/>
      <c r="E1298" s="98"/>
      <c r="F1298" s="98"/>
      <c r="G1298" s="98"/>
      <c r="H1298" s="98"/>
      <c r="I1298" s="98"/>
      <c r="J1298" s="98"/>
      <c r="K1298" s="98"/>
      <c r="L1298" s="98"/>
      <c r="M1298" s="98"/>
      <c r="N1298" s="98"/>
      <c r="O1298" s="98"/>
      <c r="P1298" s="98"/>
      <c r="Q1298" s="98"/>
      <c r="R1298" s="98"/>
      <c r="S1298" s="98" t="str">
        <f>IFERROR(__xludf.DUMMYFUNCTION("""COMPUTED_VALUE"""),"-")</f>
        <v>-</v>
      </c>
      <c r="T1298" s="98"/>
    </row>
    <row r="1299">
      <c r="A1299" s="98"/>
      <c r="B1299" s="98"/>
      <c r="C1299" s="98"/>
      <c r="D1299" s="98"/>
      <c r="E1299" s="98"/>
      <c r="F1299" s="98"/>
      <c r="G1299" s="98"/>
      <c r="H1299" s="98"/>
      <c r="I1299" s="98"/>
      <c r="J1299" s="98"/>
      <c r="K1299" s="98"/>
      <c r="L1299" s="98"/>
      <c r="M1299" s="98"/>
      <c r="N1299" s="98"/>
      <c r="O1299" s="98"/>
      <c r="P1299" s="98"/>
      <c r="Q1299" s="98"/>
      <c r="R1299" s="98"/>
      <c r="S1299" s="98" t="str">
        <f>IFERROR(__xludf.DUMMYFUNCTION("""COMPUTED_VALUE"""),"-")</f>
        <v>-</v>
      </c>
      <c r="T1299" s="98"/>
    </row>
    <row r="1300">
      <c r="A1300" s="98"/>
      <c r="B1300" s="98"/>
      <c r="C1300" s="98"/>
      <c r="D1300" s="98"/>
      <c r="E1300" s="98"/>
      <c r="F1300" s="98"/>
      <c r="G1300" s="98"/>
      <c r="H1300" s="98"/>
      <c r="I1300" s="98"/>
      <c r="J1300" s="98"/>
      <c r="K1300" s="98"/>
      <c r="L1300" s="98"/>
      <c r="M1300" s="98"/>
      <c r="N1300" s="98"/>
      <c r="O1300" s="98"/>
      <c r="P1300" s="98"/>
      <c r="Q1300" s="98"/>
      <c r="R1300" s="98"/>
      <c r="S1300" s="98" t="str">
        <f>IFERROR(__xludf.DUMMYFUNCTION("""COMPUTED_VALUE"""),"-")</f>
        <v>-</v>
      </c>
      <c r="T1300" s="98"/>
    </row>
    <row r="1301">
      <c r="A1301" s="98"/>
      <c r="B1301" s="98"/>
      <c r="C1301" s="98"/>
      <c r="D1301" s="98"/>
      <c r="E1301" s="98"/>
      <c r="F1301" s="98"/>
      <c r="G1301" s="98"/>
      <c r="H1301" s="98"/>
      <c r="I1301" s="98"/>
      <c r="J1301" s="98"/>
      <c r="K1301" s="98"/>
      <c r="L1301" s="98"/>
      <c r="M1301" s="98"/>
      <c r="N1301" s="98"/>
      <c r="O1301" s="98"/>
      <c r="P1301" s="98"/>
      <c r="Q1301" s="98"/>
      <c r="R1301" s="98"/>
      <c r="S1301" s="98" t="str">
        <f>IFERROR(__xludf.DUMMYFUNCTION("""COMPUTED_VALUE"""),"-")</f>
        <v>-</v>
      </c>
      <c r="T1301" s="98"/>
    </row>
    <row r="1302">
      <c r="A1302" s="98"/>
      <c r="B1302" s="98"/>
      <c r="C1302" s="98"/>
      <c r="D1302" s="98"/>
      <c r="E1302" s="98"/>
      <c r="F1302" s="98"/>
      <c r="G1302" s="98"/>
      <c r="H1302" s="98"/>
      <c r="I1302" s="98"/>
      <c r="J1302" s="98"/>
      <c r="K1302" s="98"/>
      <c r="L1302" s="98"/>
      <c r="M1302" s="98"/>
      <c r="N1302" s="98"/>
      <c r="O1302" s="98"/>
      <c r="P1302" s="98"/>
      <c r="Q1302" s="98"/>
      <c r="R1302" s="98"/>
      <c r="S1302" s="98" t="str">
        <f>IFERROR(__xludf.DUMMYFUNCTION("""COMPUTED_VALUE"""),"-")</f>
        <v>-</v>
      </c>
      <c r="T1302" s="98"/>
    </row>
    <row r="1303">
      <c r="A1303" s="98"/>
      <c r="B1303" s="98"/>
      <c r="C1303" s="98"/>
      <c r="D1303" s="98"/>
      <c r="E1303" s="98"/>
      <c r="F1303" s="98"/>
      <c r="G1303" s="98"/>
      <c r="H1303" s="98"/>
      <c r="I1303" s="98"/>
      <c r="J1303" s="98"/>
      <c r="K1303" s="98"/>
      <c r="L1303" s="98"/>
      <c r="M1303" s="98"/>
      <c r="N1303" s="98"/>
      <c r="O1303" s="98"/>
      <c r="P1303" s="98"/>
      <c r="Q1303" s="98"/>
      <c r="R1303" s="98"/>
      <c r="S1303" s="98" t="str">
        <f>IFERROR(__xludf.DUMMYFUNCTION("""COMPUTED_VALUE"""),"-")</f>
        <v>-</v>
      </c>
      <c r="T1303" s="98"/>
    </row>
    <row r="1304">
      <c r="A1304" s="98"/>
      <c r="B1304" s="98"/>
      <c r="C1304" s="98"/>
      <c r="D1304" s="98"/>
      <c r="E1304" s="98"/>
      <c r="F1304" s="98"/>
      <c r="G1304" s="98"/>
      <c r="H1304" s="98"/>
      <c r="I1304" s="98"/>
      <c r="J1304" s="98"/>
      <c r="K1304" s="98"/>
      <c r="L1304" s="98"/>
      <c r="M1304" s="98"/>
      <c r="N1304" s="98"/>
      <c r="O1304" s="98"/>
      <c r="P1304" s="98"/>
      <c r="Q1304" s="98"/>
      <c r="R1304" s="98"/>
      <c r="S1304" s="98" t="str">
        <f>IFERROR(__xludf.DUMMYFUNCTION("""COMPUTED_VALUE"""),"-")</f>
        <v>-</v>
      </c>
      <c r="T1304" s="98"/>
    </row>
    <row r="1305">
      <c r="A1305" s="98"/>
      <c r="B1305" s="98"/>
      <c r="C1305" s="98"/>
      <c r="D1305" s="98"/>
      <c r="E1305" s="98"/>
      <c r="F1305" s="98"/>
      <c r="G1305" s="98"/>
      <c r="H1305" s="98"/>
      <c r="I1305" s="98"/>
      <c r="J1305" s="98"/>
      <c r="K1305" s="98"/>
      <c r="L1305" s="98"/>
      <c r="M1305" s="98"/>
      <c r="N1305" s="98"/>
      <c r="O1305" s="98"/>
      <c r="P1305" s="98"/>
      <c r="Q1305" s="98"/>
      <c r="R1305" s="98"/>
      <c r="S1305" s="98" t="str">
        <f>IFERROR(__xludf.DUMMYFUNCTION("""COMPUTED_VALUE"""),"-")</f>
        <v>-</v>
      </c>
      <c r="T1305" s="98"/>
    </row>
    <row r="1306">
      <c r="A1306" s="98"/>
      <c r="B1306" s="98"/>
      <c r="C1306" s="98"/>
      <c r="D1306" s="98"/>
      <c r="E1306" s="98"/>
      <c r="F1306" s="98"/>
      <c r="G1306" s="98"/>
      <c r="H1306" s="98"/>
      <c r="I1306" s="98"/>
      <c r="J1306" s="98"/>
      <c r="K1306" s="98"/>
      <c r="L1306" s="98"/>
      <c r="M1306" s="98"/>
      <c r="N1306" s="98"/>
      <c r="O1306" s="98"/>
      <c r="P1306" s="98"/>
      <c r="Q1306" s="98"/>
      <c r="R1306" s="98"/>
      <c r="S1306" s="98" t="str">
        <f>IFERROR(__xludf.DUMMYFUNCTION("""COMPUTED_VALUE"""),"-")</f>
        <v>-</v>
      </c>
      <c r="T1306" s="98"/>
    </row>
    <row r="1307">
      <c r="A1307" s="98"/>
      <c r="B1307" s="98"/>
      <c r="C1307" s="98"/>
      <c r="D1307" s="98"/>
      <c r="E1307" s="98"/>
      <c r="F1307" s="98"/>
      <c r="G1307" s="98"/>
      <c r="H1307" s="98"/>
      <c r="I1307" s="98"/>
      <c r="J1307" s="98"/>
      <c r="K1307" s="98"/>
      <c r="L1307" s="98"/>
      <c r="M1307" s="98"/>
      <c r="N1307" s="98"/>
      <c r="O1307" s="98"/>
      <c r="P1307" s="98"/>
      <c r="Q1307" s="98"/>
      <c r="R1307" s="98"/>
      <c r="S1307" s="98" t="str">
        <f>IFERROR(__xludf.DUMMYFUNCTION("""COMPUTED_VALUE"""),"-")</f>
        <v>-</v>
      </c>
      <c r="T1307" s="98"/>
    </row>
    <row r="1308">
      <c r="A1308" s="98"/>
      <c r="B1308" s="98"/>
      <c r="C1308" s="98"/>
      <c r="D1308" s="98"/>
      <c r="E1308" s="98"/>
      <c r="F1308" s="98"/>
      <c r="G1308" s="98"/>
      <c r="H1308" s="98"/>
      <c r="I1308" s="98"/>
      <c r="J1308" s="98"/>
      <c r="K1308" s="98"/>
      <c r="L1308" s="98"/>
      <c r="M1308" s="98"/>
      <c r="N1308" s="98"/>
      <c r="O1308" s="98"/>
      <c r="P1308" s="98"/>
      <c r="Q1308" s="98"/>
      <c r="R1308" s="98"/>
      <c r="S1308" s="98" t="str">
        <f>IFERROR(__xludf.DUMMYFUNCTION("""COMPUTED_VALUE"""),"-")</f>
        <v>-</v>
      </c>
      <c r="T1308" s="98"/>
    </row>
    <row r="1309">
      <c r="A1309" s="98"/>
      <c r="B1309" s="98"/>
      <c r="C1309" s="98"/>
      <c r="D1309" s="98"/>
      <c r="E1309" s="98"/>
      <c r="F1309" s="98"/>
      <c r="G1309" s="98"/>
      <c r="H1309" s="98"/>
      <c r="I1309" s="98"/>
      <c r="J1309" s="98"/>
      <c r="K1309" s="98"/>
      <c r="L1309" s="98"/>
      <c r="M1309" s="98"/>
      <c r="N1309" s="98"/>
      <c r="O1309" s="98"/>
      <c r="P1309" s="98"/>
      <c r="Q1309" s="98"/>
      <c r="R1309" s="98"/>
      <c r="S1309" s="98" t="str">
        <f>IFERROR(__xludf.DUMMYFUNCTION("""COMPUTED_VALUE"""),"-")</f>
        <v>-</v>
      </c>
      <c r="T1309" s="98"/>
    </row>
    <row r="1310">
      <c r="A1310" s="98"/>
      <c r="B1310" s="98"/>
      <c r="C1310" s="98"/>
      <c r="D1310" s="98"/>
      <c r="E1310" s="98"/>
      <c r="F1310" s="98"/>
      <c r="G1310" s="98"/>
      <c r="H1310" s="98"/>
      <c r="I1310" s="98"/>
      <c r="J1310" s="98"/>
      <c r="K1310" s="98"/>
      <c r="L1310" s="98"/>
      <c r="M1310" s="98"/>
      <c r="N1310" s="98"/>
      <c r="O1310" s="98"/>
      <c r="P1310" s="98"/>
      <c r="Q1310" s="98"/>
      <c r="R1310" s="98"/>
      <c r="S1310" s="98" t="str">
        <f>IFERROR(__xludf.DUMMYFUNCTION("""COMPUTED_VALUE"""),"-")</f>
        <v>-</v>
      </c>
      <c r="T1310" s="98"/>
    </row>
    <row r="1311">
      <c r="A1311" s="98"/>
      <c r="B1311" s="98"/>
      <c r="C1311" s="98"/>
      <c r="D1311" s="98"/>
      <c r="E1311" s="98"/>
      <c r="F1311" s="98"/>
      <c r="G1311" s="98"/>
      <c r="H1311" s="98"/>
      <c r="I1311" s="98"/>
      <c r="J1311" s="98"/>
      <c r="K1311" s="98"/>
      <c r="L1311" s="98"/>
      <c r="M1311" s="98"/>
      <c r="N1311" s="98"/>
      <c r="O1311" s="98"/>
      <c r="P1311" s="98"/>
      <c r="Q1311" s="98"/>
      <c r="R1311" s="98"/>
      <c r="S1311" s="98" t="str">
        <f>IFERROR(__xludf.DUMMYFUNCTION("""COMPUTED_VALUE"""),"-")</f>
        <v>-</v>
      </c>
      <c r="T1311" s="98"/>
    </row>
    <row r="1312">
      <c r="A1312" s="98"/>
      <c r="B1312" s="98"/>
      <c r="C1312" s="98"/>
      <c r="D1312" s="98"/>
      <c r="E1312" s="98"/>
      <c r="F1312" s="98"/>
      <c r="G1312" s="98"/>
      <c r="H1312" s="98"/>
      <c r="I1312" s="98"/>
      <c r="J1312" s="98"/>
      <c r="K1312" s="98"/>
      <c r="L1312" s="98"/>
      <c r="M1312" s="98"/>
      <c r="N1312" s="98"/>
      <c r="O1312" s="98"/>
      <c r="P1312" s="98"/>
      <c r="Q1312" s="98"/>
      <c r="R1312" s="98"/>
      <c r="S1312" s="98" t="str">
        <f>IFERROR(__xludf.DUMMYFUNCTION("""COMPUTED_VALUE"""),"-")</f>
        <v>-</v>
      </c>
      <c r="T1312" s="98"/>
    </row>
    <row r="1313">
      <c r="A1313" s="98"/>
      <c r="B1313" s="98"/>
      <c r="C1313" s="98"/>
      <c r="D1313" s="98"/>
      <c r="E1313" s="98"/>
      <c r="F1313" s="98"/>
      <c r="G1313" s="98"/>
      <c r="H1313" s="98"/>
      <c r="I1313" s="98"/>
      <c r="J1313" s="98"/>
      <c r="K1313" s="98"/>
      <c r="L1313" s="98"/>
      <c r="M1313" s="98"/>
      <c r="N1313" s="98"/>
      <c r="O1313" s="98"/>
      <c r="P1313" s="98"/>
      <c r="Q1313" s="98"/>
      <c r="R1313" s="98"/>
      <c r="S1313" s="98" t="str">
        <f>IFERROR(__xludf.DUMMYFUNCTION("""COMPUTED_VALUE"""),"-")</f>
        <v>-</v>
      </c>
      <c r="T1313" s="98"/>
    </row>
    <row r="1314">
      <c r="A1314" s="98"/>
      <c r="B1314" s="98"/>
      <c r="C1314" s="98"/>
      <c r="D1314" s="98"/>
      <c r="E1314" s="98"/>
      <c r="F1314" s="98"/>
      <c r="G1314" s="98"/>
      <c r="H1314" s="98"/>
      <c r="I1314" s="98"/>
      <c r="J1314" s="98"/>
      <c r="K1314" s="98"/>
      <c r="L1314" s="98"/>
      <c r="M1314" s="98"/>
      <c r="N1314" s="98"/>
      <c r="O1314" s="98"/>
      <c r="P1314" s="98"/>
      <c r="Q1314" s="98"/>
      <c r="R1314" s="98"/>
      <c r="S1314" s="98" t="str">
        <f>IFERROR(__xludf.DUMMYFUNCTION("""COMPUTED_VALUE"""),"-")</f>
        <v>-</v>
      </c>
      <c r="T1314" s="98"/>
    </row>
    <row r="1315">
      <c r="A1315" s="98"/>
      <c r="B1315" s="98"/>
      <c r="C1315" s="98"/>
      <c r="D1315" s="98"/>
      <c r="E1315" s="98"/>
      <c r="F1315" s="98"/>
      <c r="G1315" s="98"/>
      <c r="H1315" s="98"/>
      <c r="I1315" s="98"/>
      <c r="J1315" s="98"/>
      <c r="K1315" s="98"/>
      <c r="L1315" s="98"/>
      <c r="M1315" s="98"/>
      <c r="N1315" s="98"/>
      <c r="O1315" s="98"/>
      <c r="P1315" s="98"/>
      <c r="Q1315" s="98"/>
      <c r="R1315" s="98"/>
      <c r="S1315" s="98" t="str">
        <f>IFERROR(__xludf.DUMMYFUNCTION("""COMPUTED_VALUE"""),"-")</f>
        <v>-</v>
      </c>
      <c r="T1315" s="98"/>
    </row>
    <row r="1316">
      <c r="A1316" s="98"/>
      <c r="B1316" s="98"/>
      <c r="C1316" s="98"/>
      <c r="D1316" s="98"/>
      <c r="E1316" s="98"/>
      <c r="F1316" s="98"/>
      <c r="G1316" s="98"/>
      <c r="H1316" s="98"/>
      <c r="I1316" s="98"/>
      <c r="J1316" s="98"/>
      <c r="K1316" s="98"/>
      <c r="L1316" s="98"/>
      <c r="M1316" s="98"/>
      <c r="N1316" s="98"/>
      <c r="O1316" s="98"/>
      <c r="P1316" s="98"/>
      <c r="Q1316" s="98"/>
      <c r="R1316" s="98"/>
      <c r="S1316" s="98" t="str">
        <f>IFERROR(__xludf.DUMMYFUNCTION("""COMPUTED_VALUE"""),"-")</f>
        <v>-</v>
      </c>
      <c r="T1316" s="98"/>
    </row>
    <row r="1317">
      <c r="A1317" s="98"/>
      <c r="B1317" s="98"/>
      <c r="C1317" s="98"/>
      <c r="D1317" s="98"/>
      <c r="E1317" s="98"/>
      <c r="F1317" s="98"/>
      <c r="G1317" s="98"/>
      <c r="H1317" s="98"/>
      <c r="I1317" s="98"/>
      <c r="J1317" s="98"/>
      <c r="K1317" s="98"/>
      <c r="L1317" s="98"/>
      <c r="M1317" s="98"/>
      <c r="N1317" s="98"/>
      <c r="O1317" s="98"/>
      <c r="P1317" s="98"/>
      <c r="Q1317" s="98"/>
      <c r="R1317" s="98"/>
      <c r="S1317" s="98" t="str">
        <f>IFERROR(__xludf.DUMMYFUNCTION("""COMPUTED_VALUE"""),"-")</f>
        <v>-</v>
      </c>
      <c r="T1317" s="98"/>
    </row>
    <row r="1318">
      <c r="A1318" s="98"/>
      <c r="B1318" s="98"/>
      <c r="C1318" s="98"/>
      <c r="D1318" s="98"/>
      <c r="E1318" s="98"/>
      <c r="F1318" s="98"/>
      <c r="G1318" s="98"/>
      <c r="H1318" s="98"/>
      <c r="I1318" s="98"/>
      <c r="J1318" s="98"/>
      <c r="K1318" s="98"/>
      <c r="L1318" s="98"/>
      <c r="M1318" s="98"/>
      <c r="N1318" s="98"/>
      <c r="O1318" s="98"/>
      <c r="P1318" s="98"/>
      <c r="Q1318" s="98"/>
      <c r="R1318" s="98"/>
      <c r="S1318" s="98" t="str">
        <f>IFERROR(__xludf.DUMMYFUNCTION("""COMPUTED_VALUE"""),"-")</f>
        <v>-</v>
      </c>
      <c r="T1318" s="98"/>
    </row>
    <row r="1319">
      <c r="A1319" s="98"/>
      <c r="B1319" s="98"/>
      <c r="C1319" s="98"/>
      <c r="D1319" s="98"/>
      <c r="E1319" s="98"/>
      <c r="F1319" s="98"/>
      <c r="G1319" s="98"/>
      <c r="H1319" s="98"/>
      <c r="I1319" s="98"/>
      <c r="J1319" s="98"/>
      <c r="K1319" s="98"/>
      <c r="L1319" s="98"/>
      <c r="M1319" s="98"/>
      <c r="N1319" s="98"/>
      <c r="O1319" s="98"/>
      <c r="P1319" s="98"/>
      <c r="Q1319" s="98"/>
      <c r="R1319" s="98"/>
      <c r="S1319" s="98" t="str">
        <f>IFERROR(__xludf.DUMMYFUNCTION("""COMPUTED_VALUE"""),"-")</f>
        <v>-</v>
      </c>
      <c r="T1319" s="98"/>
    </row>
    <row r="1320">
      <c r="A1320" s="98"/>
      <c r="B1320" s="98"/>
      <c r="C1320" s="98"/>
      <c r="D1320" s="98"/>
      <c r="E1320" s="98"/>
      <c r="F1320" s="98"/>
      <c r="G1320" s="98"/>
      <c r="H1320" s="98"/>
      <c r="I1320" s="98"/>
      <c r="J1320" s="98"/>
      <c r="K1320" s="98"/>
      <c r="L1320" s="98"/>
      <c r="M1320" s="98"/>
      <c r="N1320" s="98"/>
      <c r="O1320" s="98"/>
      <c r="P1320" s="98"/>
      <c r="Q1320" s="98"/>
      <c r="R1320" s="98"/>
      <c r="S1320" s="98" t="str">
        <f>IFERROR(__xludf.DUMMYFUNCTION("""COMPUTED_VALUE"""),"-")</f>
        <v>-</v>
      </c>
      <c r="T1320" s="98"/>
    </row>
    <row r="1321">
      <c r="A1321" s="98"/>
      <c r="B1321" s="98"/>
      <c r="C1321" s="98"/>
      <c r="D1321" s="98"/>
      <c r="E1321" s="98"/>
      <c r="F1321" s="98"/>
      <c r="G1321" s="98"/>
      <c r="H1321" s="98"/>
      <c r="I1321" s="98"/>
      <c r="J1321" s="98"/>
      <c r="K1321" s="98"/>
      <c r="L1321" s="98"/>
      <c r="M1321" s="98"/>
      <c r="N1321" s="98"/>
      <c r="O1321" s="98"/>
      <c r="P1321" s="98"/>
      <c r="Q1321" s="98"/>
      <c r="R1321" s="98"/>
      <c r="S1321" s="98" t="str">
        <f>IFERROR(__xludf.DUMMYFUNCTION("""COMPUTED_VALUE"""),"-")</f>
        <v>-</v>
      </c>
      <c r="T1321" s="98"/>
    </row>
    <row r="1322">
      <c r="A1322" s="98"/>
      <c r="B1322" s="98"/>
      <c r="C1322" s="98"/>
      <c r="D1322" s="98"/>
      <c r="E1322" s="98"/>
      <c r="F1322" s="98"/>
      <c r="G1322" s="98"/>
      <c r="H1322" s="98"/>
      <c r="I1322" s="98"/>
      <c r="J1322" s="98"/>
      <c r="K1322" s="98"/>
      <c r="L1322" s="98"/>
      <c r="M1322" s="98"/>
      <c r="N1322" s="98"/>
      <c r="O1322" s="98"/>
      <c r="P1322" s="98"/>
      <c r="Q1322" s="98"/>
      <c r="R1322" s="98"/>
      <c r="S1322" s="98" t="str">
        <f>IFERROR(__xludf.DUMMYFUNCTION("""COMPUTED_VALUE"""),"-")</f>
        <v>-</v>
      </c>
      <c r="T1322" s="98"/>
    </row>
    <row r="1323">
      <c r="A1323" s="98"/>
      <c r="B1323" s="98"/>
      <c r="C1323" s="98"/>
      <c r="D1323" s="98"/>
      <c r="E1323" s="98"/>
      <c r="F1323" s="98"/>
      <c r="G1323" s="98"/>
      <c r="H1323" s="98"/>
      <c r="I1323" s="98"/>
      <c r="J1323" s="98"/>
      <c r="K1323" s="98"/>
      <c r="L1323" s="98"/>
      <c r="M1323" s="98"/>
      <c r="N1323" s="98"/>
      <c r="O1323" s="98"/>
      <c r="P1323" s="98"/>
      <c r="Q1323" s="98"/>
      <c r="R1323" s="98"/>
      <c r="S1323" s="98" t="str">
        <f>IFERROR(__xludf.DUMMYFUNCTION("""COMPUTED_VALUE"""),"-")</f>
        <v>-</v>
      </c>
      <c r="T1323" s="98"/>
    </row>
    <row r="1324">
      <c r="A1324" s="98"/>
      <c r="B1324" s="98"/>
      <c r="C1324" s="98"/>
      <c r="D1324" s="98"/>
      <c r="E1324" s="98"/>
      <c r="F1324" s="98"/>
      <c r="G1324" s="98"/>
      <c r="H1324" s="98"/>
      <c r="I1324" s="98"/>
      <c r="J1324" s="98"/>
      <c r="K1324" s="98"/>
      <c r="L1324" s="98"/>
      <c r="M1324" s="98"/>
      <c r="N1324" s="98"/>
      <c r="O1324" s="98"/>
      <c r="P1324" s="98"/>
      <c r="Q1324" s="98"/>
      <c r="R1324" s="98"/>
      <c r="S1324" s="98" t="str">
        <f>IFERROR(__xludf.DUMMYFUNCTION("""COMPUTED_VALUE"""),"-")</f>
        <v>-</v>
      </c>
      <c r="T1324" s="98"/>
    </row>
    <row r="1325">
      <c r="A1325" s="98"/>
      <c r="B1325" s="98"/>
      <c r="C1325" s="98"/>
      <c r="D1325" s="98"/>
      <c r="E1325" s="98"/>
      <c r="F1325" s="98"/>
      <c r="G1325" s="98"/>
      <c r="H1325" s="98"/>
      <c r="I1325" s="98"/>
      <c r="J1325" s="98"/>
      <c r="K1325" s="98"/>
      <c r="L1325" s="98"/>
      <c r="M1325" s="98"/>
      <c r="N1325" s="98"/>
      <c r="O1325" s="98"/>
      <c r="P1325" s="98"/>
      <c r="Q1325" s="98"/>
      <c r="R1325" s="98"/>
      <c r="S1325" s="98" t="str">
        <f>IFERROR(__xludf.DUMMYFUNCTION("""COMPUTED_VALUE"""),"-")</f>
        <v>-</v>
      </c>
      <c r="T1325" s="98"/>
    </row>
    <row r="1326">
      <c r="A1326" s="98"/>
      <c r="B1326" s="98"/>
      <c r="C1326" s="98"/>
      <c r="D1326" s="98"/>
      <c r="E1326" s="98"/>
      <c r="F1326" s="98"/>
      <c r="G1326" s="98"/>
      <c r="H1326" s="98"/>
      <c r="I1326" s="98"/>
      <c r="J1326" s="98"/>
      <c r="K1326" s="98"/>
      <c r="L1326" s="98"/>
      <c r="M1326" s="98"/>
      <c r="N1326" s="98"/>
      <c r="O1326" s="98"/>
      <c r="P1326" s="98"/>
      <c r="Q1326" s="98"/>
      <c r="R1326" s="98"/>
      <c r="S1326" s="98" t="str">
        <f>IFERROR(__xludf.DUMMYFUNCTION("""COMPUTED_VALUE"""),"-")</f>
        <v>-</v>
      </c>
      <c r="T1326" s="98"/>
    </row>
    <row r="1327">
      <c r="A1327" s="98"/>
      <c r="B1327" s="98"/>
      <c r="C1327" s="98"/>
      <c r="D1327" s="98"/>
      <c r="E1327" s="98"/>
      <c r="F1327" s="98"/>
      <c r="G1327" s="98"/>
      <c r="H1327" s="98"/>
      <c r="I1327" s="98"/>
      <c r="J1327" s="98"/>
      <c r="K1327" s="98"/>
      <c r="L1327" s="98"/>
      <c r="M1327" s="98"/>
      <c r="N1327" s="98"/>
      <c r="O1327" s="98"/>
      <c r="P1327" s="98"/>
      <c r="Q1327" s="98"/>
      <c r="R1327" s="98"/>
      <c r="S1327" s="98" t="str">
        <f>IFERROR(__xludf.DUMMYFUNCTION("""COMPUTED_VALUE"""),"-")</f>
        <v>-</v>
      </c>
      <c r="T1327" s="98"/>
    </row>
    <row r="1328">
      <c r="A1328" s="98"/>
      <c r="B1328" s="98"/>
      <c r="C1328" s="98"/>
      <c r="D1328" s="98"/>
      <c r="E1328" s="98"/>
      <c r="F1328" s="98"/>
      <c r="G1328" s="98"/>
      <c r="H1328" s="98"/>
      <c r="I1328" s="98"/>
      <c r="J1328" s="98"/>
      <c r="K1328" s="98"/>
      <c r="L1328" s="98"/>
      <c r="M1328" s="98"/>
      <c r="N1328" s="98"/>
      <c r="O1328" s="98"/>
      <c r="P1328" s="98"/>
      <c r="Q1328" s="98"/>
      <c r="R1328" s="98"/>
      <c r="S1328" s="98" t="str">
        <f>IFERROR(__xludf.DUMMYFUNCTION("""COMPUTED_VALUE"""),"-")</f>
        <v>-</v>
      </c>
      <c r="T1328" s="98"/>
    </row>
    <row r="1329">
      <c r="A1329" s="98"/>
      <c r="B1329" s="98"/>
      <c r="C1329" s="98"/>
      <c r="D1329" s="98"/>
      <c r="E1329" s="98"/>
      <c r="F1329" s="98"/>
      <c r="G1329" s="98"/>
      <c r="H1329" s="98"/>
      <c r="I1329" s="98"/>
      <c r="J1329" s="98"/>
      <c r="K1329" s="98"/>
      <c r="L1329" s="98"/>
      <c r="M1329" s="98"/>
      <c r="N1329" s="98"/>
      <c r="O1329" s="98"/>
      <c r="P1329" s="98"/>
      <c r="Q1329" s="98"/>
      <c r="R1329" s="98"/>
      <c r="S1329" s="98" t="str">
        <f>IFERROR(__xludf.DUMMYFUNCTION("""COMPUTED_VALUE"""),"-")</f>
        <v>-</v>
      </c>
      <c r="T1329" s="98"/>
    </row>
    <row r="1330">
      <c r="A1330" s="98"/>
      <c r="B1330" s="98"/>
      <c r="C1330" s="98"/>
      <c r="D1330" s="98"/>
      <c r="E1330" s="98"/>
      <c r="F1330" s="98"/>
      <c r="G1330" s="98"/>
      <c r="H1330" s="98"/>
      <c r="I1330" s="98"/>
      <c r="J1330" s="98"/>
      <c r="K1330" s="98"/>
      <c r="L1330" s="98"/>
      <c r="M1330" s="98"/>
      <c r="N1330" s="98"/>
      <c r="O1330" s="98"/>
      <c r="P1330" s="98"/>
      <c r="Q1330" s="98"/>
      <c r="R1330" s="98"/>
      <c r="S1330" s="98" t="str">
        <f>IFERROR(__xludf.DUMMYFUNCTION("""COMPUTED_VALUE"""),"-")</f>
        <v>-</v>
      </c>
      <c r="T1330" s="98"/>
    </row>
    <row r="1331">
      <c r="A1331" s="98"/>
      <c r="B1331" s="98"/>
      <c r="C1331" s="98"/>
      <c r="D1331" s="98"/>
      <c r="E1331" s="98"/>
      <c r="F1331" s="98"/>
      <c r="G1331" s="98"/>
      <c r="H1331" s="98"/>
      <c r="I1331" s="98"/>
      <c r="J1331" s="98"/>
      <c r="K1331" s="98"/>
      <c r="L1331" s="98"/>
      <c r="M1331" s="98"/>
      <c r="N1331" s="98"/>
      <c r="O1331" s="98"/>
      <c r="P1331" s="98"/>
      <c r="Q1331" s="98"/>
      <c r="R1331" s="98"/>
      <c r="S1331" s="98" t="str">
        <f>IFERROR(__xludf.DUMMYFUNCTION("""COMPUTED_VALUE"""),"-")</f>
        <v>-</v>
      </c>
      <c r="T1331" s="98"/>
    </row>
    <row r="1332">
      <c r="A1332" s="98"/>
      <c r="B1332" s="98"/>
      <c r="C1332" s="98"/>
      <c r="D1332" s="98"/>
      <c r="E1332" s="98"/>
      <c r="F1332" s="98"/>
      <c r="G1332" s="98"/>
      <c r="H1332" s="98"/>
      <c r="I1332" s="98"/>
      <c r="J1332" s="98"/>
      <c r="K1332" s="98"/>
      <c r="L1332" s="98"/>
      <c r="M1332" s="98"/>
      <c r="N1332" s="98"/>
      <c r="O1332" s="98"/>
      <c r="P1332" s="98"/>
      <c r="Q1332" s="98"/>
      <c r="R1332" s="98"/>
      <c r="S1332" s="98" t="str">
        <f>IFERROR(__xludf.DUMMYFUNCTION("""COMPUTED_VALUE"""),"-")</f>
        <v>-</v>
      </c>
      <c r="T1332" s="98"/>
    </row>
    <row r="1333">
      <c r="A1333" s="98"/>
      <c r="B1333" s="98"/>
      <c r="C1333" s="98"/>
      <c r="D1333" s="98"/>
      <c r="E1333" s="98"/>
      <c r="F1333" s="98"/>
      <c r="G1333" s="98"/>
      <c r="H1333" s="98"/>
      <c r="I1333" s="98"/>
      <c r="J1333" s="98"/>
      <c r="K1333" s="98"/>
      <c r="L1333" s="98"/>
      <c r="M1333" s="98"/>
      <c r="N1333" s="98"/>
      <c r="O1333" s="98"/>
      <c r="P1333" s="98"/>
      <c r="Q1333" s="98"/>
      <c r="R1333" s="98"/>
      <c r="S1333" s="98" t="str">
        <f>IFERROR(__xludf.DUMMYFUNCTION("""COMPUTED_VALUE"""),"-")</f>
        <v>-</v>
      </c>
      <c r="T1333" s="98"/>
    </row>
    <row r="1334">
      <c r="A1334" s="98"/>
      <c r="B1334" s="98"/>
      <c r="C1334" s="98"/>
      <c r="D1334" s="98"/>
      <c r="E1334" s="98"/>
      <c r="F1334" s="98"/>
      <c r="G1334" s="98"/>
      <c r="H1334" s="98"/>
      <c r="I1334" s="98"/>
      <c r="J1334" s="98"/>
      <c r="K1334" s="98"/>
      <c r="L1334" s="98"/>
      <c r="M1334" s="98"/>
      <c r="N1334" s="98"/>
      <c r="O1334" s="98"/>
      <c r="P1334" s="98"/>
      <c r="Q1334" s="98"/>
      <c r="R1334" s="98"/>
      <c r="S1334" s="98" t="str">
        <f>IFERROR(__xludf.DUMMYFUNCTION("""COMPUTED_VALUE"""),"-")</f>
        <v>-</v>
      </c>
      <c r="T1334" s="98"/>
    </row>
    <row r="1335">
      <c r="A1335" s="98"/>
      <c r="B1335" s="98"/>
      <c r="C1335" s="98"/>
      <c r="D1335" s="98"/>
      <c r="E1335" s="98"/>
      <c r="F1335" s="98"/>
      <c r="G1335" s="98"/>
      <c r="H1335" s="98"/>
      <c r="I1335" s="98"/>
      <c r="J1335" s="98"/>
      <c r="K1335" s="98"/>
      <c r="L1335" s="98"/>
      <c r="M1335" s="98"/>
      <c r="N1335" s="98"/>
      <c r="O1335" s="98"/>
      <c r="P1335" s="98"/>
      <c r="Q1335" s="98"/>
      <c r="R1335" s="98"/>
      <c r="S1335" s="98" t="str">
        <f>IFERROR(__xludf.DUMMYFUNCTION("""COMPUTED_VALUE"""),"-")</f>
        <v>-</v>
      </c>
      <c r="T1335" s="98"/>
    </row>
    <row r="1336">
      <c r="A1336" s="98"/>
      <c r="B1336" s="98"/>
      <c r="C1336" s="98"/>
      <c r="D1336" s="98"/>
      <c r="E1336" s="98"/>
      <c r="F1336" s="98"/>
      <c r="G1336" s="98"/>
      <c r="H1336" s="98"/>
      <c r="I1336" s="98"/>
      <c r="J1336" s="98"/>
      <c r="K1336" s="98"/>
      <c r="L1336" s="98"/>
      <c r="M1336" s="98"/>
      <c r="N1336" s="98"/>
      <c r="O1336" s="98"/>
      <c r="P1336" s="98"/>
      <c r="Q1336" s="98"/>
      <c r="R1336" s="98"/>
      <c r="S1336" s="98" t="str">
        <f>IFERROR(__xludf.DUMMYFUNCTION("""COMPUTED_VALUE"""),"-")</f>
        <v>-</v>
      </c>
      <c r="T1336" s="98"/>
    </row>
    <row r="1337">
      <c r="A1337" s="98"/>
      <c r="B1337" s="98"/>
      <c r="C1337" s="98"/>
      <c r="D1337" s="98"/>
      <c r="E1337" s="98"/>
      <c r="F1337" s="98"/>
      <c r="G1337" s="98"/>
      <c r="H1337" s="98"/>
      <c r="I1337" s="98"/>
      <c r="J1337" s="98"/>
      <c r="K1337" s="98"/>
      <c r="L1337" s="98"/>
      <c r="M1337" s="98"/>
      <c r="N1337" s="98"/>
      <c r="O1337" s="98"/>
      <c r="P1337" s="98"/>
      <c r="Q1337" s="98"/>
      <c r="R1337" s="98"/>
      <c r="S1337" s="98" t="str">
        <f>IFERROR(__xludf.DUMMYFUNCTION("""COMPUTED_VALUE"""),"-")</f>
        <v>-</v>
      </c>
      <c r="T1337" s="98"/>
    </row>
    <row r="1338">
      <c r="A1338" s="98"/>
      <c r="B1338" s="98"/>
      <c r="C1338" s="98"/>
      <c r="D1338" s="98"/>
      <c r="E1338" s="98"/>
      <c r="F1338" s="98"/>
      <c r="G1338" s="98"/>
      <c r="H1338" s="98"/>
      <c r="I1338" s="98"/>
      <c r="J1338" s="98"/>
      <c r="K1338" s="98"/>
      <c r="L1338" s="98"/>
      <c r="M1338" s="98"/>
      <c r="N1338" s="98"/>
      <c r="O1338" s="98"/>
      <c r="P1338" s="98"/>
      <c r="Q1338" s="98"/>
      <c r="R1338" s="98"/>
      <c r="S1338" s="98" t="str">
        <f>IFERROR(__xludf.DUMMYFUNCTION("""COMPUTED_VALUE"""),"-")</f>
        <v>-</v>
      </c>
      <c r="T1338" s="98"/>
    </row>
    <row r="1339">
      <c r="A1339" s="98"/>
      <c r="B1339" s="98"/>
      <c r="C1339" s="98"/>
      <c r="D1339" s="98"/>
      <c r="E1339" s="98"/>
      <c r="F1339" s="98"/>
      <c r="G1339" s="98"/>
      <c r="H1339" s="98"/>
      <c r="I1339" s="98"/>
      <c r="J1339" s="98"/>
      <c r="K1339" s="98"/>
      <c r="L1339" s="98"/>
      <c r="M1339" s="98"/>
      <c r="N1339" s="98"/>
      <c r="O1339" s="98"/>
      <c r="P1339" s="98"/>
      <c r="Q1339" s="98"/>
      <c r="R1339" s="98"/>
      <c r="S1339" s="98" t="str">
        <f>IFERROR(__xludf.DUMMYFUNCTION("""COMPUTED_VALUE"""),"-")</f>
        <v>-</v>
      </c>
      <c r="T1339" s="98"/>
    </row>
    <row r="1340">
      <c r="A1340" s="98"/>
      <c r="B1340" s="98"/>
      <c r="C1340" s="98"/>
      <c r="D1340" s="98"/>
      <c r="E1340" s="98"/>
      <c r="F1340" s="98"/>
      <c r="G1340" s="98"/>
      <c r="H1340" s="98"/>
      <c r="I1340" s="98"/>
      <c r="J1340" s="98"/>
      <c r="K1340" s="98"/>
      <c r="L1340" s="98"/>
      <c r="M1340" s="98"/>
      <c r="N1340" s="98"/>
      <c r="O1340" s="98"/>
      <c r="P1340" s="98"/>
      <c r="Q1340" s="98"/>
      <c r="R1340" s="98"/>
      <c r="S1340" s="98" t="str">
        <f>IFERROR(__xludf.DUMMYFUNCTION("""COMPUTED_VALUE"""),"-")</f>
        <v>-</v>
      </c>
      <c r="T1340" s="98"/>
    </row>
    <row r="1341">
      <c r="A1341" s="98"/>
      <c r="B1341" s="98"/>
      <c r="C1341" s="98"/>
      <c r="D1341" s="98"/>
      <c r="E1341" s="98"/>
      <c r="F1341" s="98"/>
      <c r="G1341" s="98"/>
      <c r="H1341" s="98"/>
      <c r="I1341" s="98"/>
      <c r="J1341" s="98"/>
      <c r="K1341" s="98"/>
      <c r="L1341" s="98"/>
      <c r="M1341" s="98"/>
      <c r="N1341" s="98"/>
      <c r="O1341" s="98"/>
      <c r="P1341" s="98"/>
      <c r="Q1341" s="98"/>
      <c r="R1341" s="98"/>
      <c r="S1341" s="98" t="str">
        <f>IFERROR(__xludf.DUMMYFUNCTION("""COMPUTED_VALUE"""),"-")</f>
        <v>-</v>
      </c>
      <c r="T1341" s="98"/>
    </row>
    <row r="1342">
      <c r="A1342" s="98"/>
      <c r="B1342" s="98"/>
      <c r="C1342" s="98"/>
      <c r="D1342" s="98"/>
      <c r="E1342" s="98"/>
      <c r="F1342" s="98"/>
      <c r="G1342" s="98"/>
      <c r="H1342" s="98"/>
      <c r="I1342" s="98"/>
      <c r="J1342" s="98"/>
      <c r="K1342" s="98"/>
      <c r="L1342" s="98"/>
      <c r="M1342" s="98"/>
      <c r="N1342" s="98"/>
      <c r="O1342" s="98"/>
      <c r="P1342" s="98"/>
      <c r="Q1342" s="98"/>
      <c r="R1342" s="98"/>
      <c r="S1342" s="98" t="str">
        <f>IFERROR(__xludf.DUMMYFUNCTION("""COMPUTED_VALUE"""),"-")</f>
        <v>-</v>
      </c>
      <c r="T1342" s="98"/>
    </row>
    <row r="1343">
      <c r="A1343" s="98"/>
      <c r="B1343" s="98"/>
      <c r="C1343" s="98"/>
      <c r="D1343" s="98"/>
      <c r="E1343" s="98"/>
      <c r="F1343" s="98"/>
      <c r="G1343" s="98"/>
      <c r="H1343" s="98"/>
      <c r="I1343" s="98"/>
      <c r="J1343" s="98"/>
      <c r="K1343" s="98"/>
      <c r="L1343" s="98"/>
      <c r="M1343" s="98"/>
      <c r="N1343" s="98"/>
      <c r="O1343" s="98"/>
      <c r="P1343" s="98"/>
      <c r="Q1343" s="98"/>
      <c r="R1343" s="98"/>
      <c r="S1343" s="98" t="str">
        <f>IFERROR(__xludf.DUMMYFUNCTION("""COMPUTED_VALUE"""),"-")</f>
        <v>-</v>
      </c>
      <c r="T1343" s="98"/>
    </row>
    <row r="1344">
      <c r="A1344" s="98"/>
      <c r="B1344" s="98"/>
      <c r="C1344" s="98"/>
      <c r="D1344" s="98"/>
      <c r="E1344" s="98"/>
      <c r="F1344" s="98"/>
      <c r="G1344" s="98"/>
      <c r="H1344" s="98"/>
      <c r="I1344" s="98"/>
      <c r="J1344" s="98"/>
      <c r="K1344" s="98"/>
      <c r="L1344" s="98"/>
      <c r="M1344" s="98"/>
      <c r="N1344" s="98"/>
      <c r="O1344" s="98"/>
      <c r="P1344" s="98"/>
      <c r="Q1344" s="98"/>
      <c r="R1344" s="98"/>
      <c r="S1344" s="98" t="str">
        <f>IFERROR(__xludf.DUMMYFUNCTION("""COMPUTED_VALUE"""),"-")</f>
        <v>-</v>
      </c>
      <c r="T1344" s="98"/>
    </row>
    <row r="1345">
      <c r="A1345" s="98"/>
      <c r="B1345" s="98"/>
      <c r="C1345" s="98"/>
      <c r="D1345" s="98"/>
      <c r="E1345" s="98"/>
      <c r="F1345" s="98"/>
      <c r="G1345" s="98"/>
      <c r="H1345" s="98"/>
      <c r="I1345" s="98"/>
      <c r="J1345" s="98"/>
      <c r="K1345" s="98"/>
      <c r="L1345" s="98"/>
      <c r="M1345" s="98"/>
      <c r="N1345" s="98"/>
      <c r="O1345" s="98"/>
      <c r="P1345" s="98"/>
      <c r="Q1345" s="98"/>
      <c r="R1345" s="98"/>
      <c r="S1345" s="98" t="str">
        <f>IFERROR(__xludf.DUMMYFUNCTION("""COMPUTED_VALUE"""),"-")</f>
        <v>-</v>
      </c>
      <c r="T1345" s="98"/>
    </row>
    <row r="1346">
      <c r="A1346" s="98"/>
      <c r="B1346" s="98"/>
      <c r="C1346" s="98"/>
      <c r="D1346" s="98"/>
      <c r="E1346" s="98"/>
      <c r="F1346" s="98"/>
      <c r="G1346" s="98"/>
      <c r="H1346" s="98"/>
      <c r="I1346" s="98"/>
      <c r="J1346" s="98"/>
      <c r="K1346" s="98"/>
      <c r="L1346" s="98"/>
      <c r="M1346" s="98"/>
      <c r="N1346" s="98"/>
      <c r="O1346" s="98"/>
      <c r="P1346" s="98"/>
      <c r="Q1346" s="98"/>
      <c r="R1346" s="98"/>
      <c r="S1346" s="98" t="str">
        <f>IFERROR(__xludf.DUMMYFUNCTION("""COMPUTED_VALUE"""),"-")</f>
        <v>-</v>
      </c>
      <c r="T1346" s="98"/>
    </row>
    <row r="1347">
      <c r="A1347" s="98"/>
      <c r="B1347" s="98"/>
      <c r="C1347" s="98"/>
      <c r="D1347" s="98"/>
      <c r="E1347" s="98"/>
      <c r="F1347" s="98"/>
      <c r="G1347" s="98"/>
      <c r="H1347" s="98"/>
      <c r="I1347" s="98"/>
      <c r="J1347" s="98"/>
      <c r="K1347" s="98"/>
      <c r="L1347" s="98"/>
      <c r="M1347" s="98"/>
      <c r="N1347" s="98"/>
      <c r="O1347" s="98"/>
      <c r="P1347" s="98"/>
      <c r="Q1347" s="98"/>
      <c r="R1347" s="98"/>
      <c r="S1347" s="98" t="str">
        <f>IFERROR(__xludf.DUMMYFUNCTION("""COMPUTED_VALUE"""),"-")</f>
        <v>-</v>
      </c>
      <c r="T1347" s="98"/>
    </row>
    <row r="1348">
      <c r="A1348" s="98"/>
      <c r="B1348" s="98"/>
      <c r="C1348" s="98"/>
      <c r="D1348" s="98"/>
      <c r="E1348" s="98"/>
      <c r="F1348" s="98"/>
      <c r="G1348" s="98"/>
      <c r="H1348" s="98"/>
      <c r="I1348" s="98"/>
      <c r="J1348" s="98"/>
      <c r="K1348" s="98"/>
      <c r="L1348" s="98"/>
      <c r="M1348" s="98"/>
      <c r="N1348" s="98"/>
      <c r="O1348" s="98"/>
      <c r="P1348" s="98"/>
      <c r="Q1348" s="98"/>
      <c r="R1348" s="98"/>
      <c r="S1348" s="98" t="str">
        <f>IFERROR(__xludf.DUMMYFUNCTION("""COMPUTED_VALUE"""),"-")</f>
        <v>-</v>
      </c>
      <c r="T1348" s="98"/>
    </row>
    <row r="1349">
      <c r="A1349" s="98"/>
      <c r="B1349" s="98"/>
      <c r="C1349" s="98"/>
      <c r="D1349" s="98"/>
      <c r="E1349" s="98"/>
      <c r="F1349" s="98"/>
      <c r="G1349" s="98"/>
      <c r="H1349" s="98"/>
      <c r="I1349" s="98"/>
      <c r="J1349" s="98"/>
      <c r="K1349" s="98"/>
      <c r="L1349" s="98"/>
      <c r="M1349" s="98"/>
      <c r="N1349" s="98"/>
      <c r="O1349" s="98"/>
      <c r="P1349" s="98"/>
      <c r="Q1349" s="98"/>
      <c r="R1349" s="98"/>
      <c r="S1349" s="98" t="str">
        <f>IFERROR(__xludf.DUMMYFUNCTION("""COMPUTED_VALUE"""),"-")</f>
        <v>-</v>
      </c>
      <c r="T1349" s="98"/>
    </row>
    <row r="1350">
      <c r="A1350" s="98"/>
      <c r="B1350" s="98"/>
      <c r="C1350" s="98"/>
      <c r="D1350" s="98"/>
      <c r="E1350" s="98"/>
      <c r="F1350" s="98"/>
      <c r="G1350" s="98"/>
      <c r="H1350" s="98"/>
      <c r="I1350" s="98"/>
      <c r="J1350" s="98"/>
      <c r="K1350" s="98"/>
      <c r="L1350" s="98"/>
      <c r="M1350" s="98"/>
      <c r="N1350" s="98"/>
      <c r="O1350" s="98"/>
      <c r="P1350" s="98"/>
      <c r="Q1350" s="98"/>
      <c r="R1350" s="98"/>
      <c r="S1350" s="98" t="str">
        <f>IFERROR(__xludf.DUMMYFUNCTION("""COMPUTED_VALUE"""),"-")</f>
        <v>-</v>
      </c>
      <c r="T1350" s="98"/>
    </row>
    <row r="1351">
      <c r="A1351" s="98"/>
      <c r="B1351" s="98"/>
      <c r="C1351" s="98"/>
      <c r="D1351" s="98"/>
      <c r="E1351" s="98"/>
      <c r="F1351" s="98"/>
      <c r="G1351" s="98"/>
      <c r="H1351" s="98"/>
      <c r="I1351" s="98"/>
      <c r="J1351" s="98"/>
      <c r="K1351" s="98"/>
      <c r="L1351" s="98"/>
      <c r="M1351" s="98"/>
      <c r="N1351" s="98"/>
      <c r="O1351" s="98"/>
      <c r="P1351" s="98"/>
      <c r="Q1351" s="98"/>
      <c r="R1351" s="98"/>
      <c r="S1351" s="98" t="str">
        <f>IFERROR(__xludf.DUMMYFUNCTION("""COMPUTED_VALUE"""),"-")</f>
        <v>-</v>
      </c>
      <c r="T1351" s="98"/>
    </row>
    <row r="1352">
      <c r="A1352" s="98"/>
      <c r="B1352" s="98"/>
      <c r="C1352" s="98"/>
      <c r="D1352" s="98"/>
      <c r="E1352" s="98"/>
      <c r="F1352" s="98"/>
      <c r="G1352" s="98"/>
      <c r="H1352" s="98"/>
      <c r="I1352" s="98"/>
      <c r="J1352" s="98"/>
      <c r="K1352" s="98"/>
      <c r="L1352" s="98"/>
      <c r="M1352" s="98"/>
      <c r="N1352" s="98"/>
      <c r="O1352" s="98"/>
      <c r="P1352" s="98"/>
      <c r="Q1352" s="98"/>
      <c r="R1352" s="98"/>
      <c r="S1352" s="98" t="str">
        <f>IFERROR(__xludf.DUMMYFUNCTION("""COMPUTED_VALUE"""),"-")</f>
        <v>-</v>
      </c>
      <c r="T1352" s="98"/>
    </row>
    <row r="1353">
      <c r="A1353" s="98"/>
      <c r="B1353" s="98"/>
      <c r="C1353" s="98"/>
      <c r="D1353" s="98"/>
      <c r="E1353" s="98"/>
      <c r="F1353" s="98"/>
      <c r="G1353" s="98"/>
      <c r="H1353" s="98"/>
      <c r="I1353" s="98"/>
      <c r="J1353" s="98"/>
      <c r="K1353" s="98"/>
      <c r="L1353" s="98"/>
      <c r="M1353" s="98"/>
      <c r="N1353" s="98"/>
      <c r="O1353" s="98"/>
      <c r="P1353" s="98"/>
      <c r="Q1353" s="98"/>
      <c r="R1353" s="98"/>
      <c r="S1353" s="98" t="str">
        <f>IFERROR(__xludf.DUMMYFUNCTION("""COMPUTED_VALUE"""),"-")</f>
        <v>-</v>
      </c>
      <c r="T1353" s="98"/>
    </row>
    <row r="1354">
      <c r="A1354" s="98"/>
      <c r="B1354" s="98"/>
      <c r="C1354" s="98"/>
      <c r="D1354" s="98"/>
      <c r="E1354" s="98"/>
      <c r="F1354" s="98"/>
      <c r="G1354" s="98"/>
      <c r="H1354" s="98"/>
      <c r="I1354" s="98"/>
      <c r="J1354" s="98"/>
      <c r="K1354" s="98"/>
      <c r="L1354" s="98"/>
      <c r="M1354" s="98"/>
      <c r="N1354" s="98"/>
      <c r="O1354" s="98"/>
      <c r="P1354" s="98"/>
      <c r="Q1354" s="98"/>
      <c r="R1354" s="98"/>
      <c r="S1354" s="98" t="str">
        <f>IFERROR(__xludf.DUMMYFUNCTION("""COMPUTED_VALUE"""),"-")</f>
        <v>-</v>
      </c>
      <c r="T1354" s="98"/>
    </row>
    <row r="1355">
      <c r="A1355" s="98"/>
      <c r="B1355" s="98"/>
      <c r="C1355" s="98"/>
      <c r="D1355" s="98"/>
      <c r="E1355" s="98"/>
      <c r="F1355" s="98"/>
      <c r="G1355" s="98"/>
      <c r="H1355" s="98"/>
      <c r="I1355" s="98"/>
      <c r="J1355" s="98"/>
      <c r="K1355" s="98"/>
      <c r="L1355" s="98"/>
      <c r="M1355" s="98"/>
      <c r="N1355" s="98"/>
      <c r="O1355" s="98"/>
      <c r="P1355" s="98"/>
      <c r="Q1355" s="98"/>
      <c r="R1355" s="98"/>
      <c r="S1355" s="98" t="str">
        <f>IFERROR(__xludf.DUMMYFUNCTION("""COMPUTED_VALUE"""),"-")</f>
        <v>-</v>
      </c>
      <c r="T1355" s="98"/>
    </row>
    <row r="1356">
      <c r="A1356" s="98"/>
      <c r="B1356" s="98"/>
      <c r="C1356" s="98"/>
      <c r="D1356" s="98"/>
      <c r="E1356" s="98"/>
      <c r="F1356" s="98"/>
      <c r="G1356" s="98"/>
      <c r="H1356" s="98"/>
      <c r="I1356" s="98"/>
      <c r="J1356" s="98"/>
      <c r="K1356" s="98"/>
      <c r="L1356" s="98"/>
      <c r="M1356" s="98"/>
      <c r="N1356" s="98"/>
      <c r="O1356" s="98"/>
      <c r="P1356" s="98"/>
      <c r="Q1356" s="98"/>
      <c r="R1356" s="98"/>
      <c r="S1356" s="98" t="str">
        <f>IFERROR(__xludf.DUMMYFUNCTION("""COMPUTED_VALUE"""),"-")</f>
        <v>-</v>
      </c>
      <c r="T1356" s="98"/>
    </row>
    <row r="1357">
      <c r="A1357" s="98"/>
      <c r="B1357" s="98"/>
      <c r="C1357" s="98"/>
      <c r="D1357" s="98"/>
      <c r="E1357" s="98"/>
      <c r="F1357" s="98"/>
      <c r="G1357" s="98"/>
      <c r="H1357" s="98"/>
      <c r="I1357" s="98"/>
      <c r="J1357" s="98"/>
      <c r="K1357" s="98"/>
      <c r="L1357" s="98"/>
      <c r="M1357" s="98"/>
      <c r="N1357" s="98"/>
      <c r="O1357" s="98"/>
      <c r="P1357" s="98"/>
      <c r="Q1357" s="98"/>
      <c r="R1357" s="98"/>
      <c r="S1357" s="98" t="str">
        <f>IFERROR(__xludf.DUMMYFUNCTION("""COMPUTED_VALUE"""),"-")</f>
        <v>-</v>
      </c>
      <c r="T1357" s="98"/>
    </row>
    <row r="1358">
      <c r="A1358" s="98"/>
      <c r="B1358" s="98"/>
      <c r="C1358" s="98"/>
      <c r="D1358" s="98"/>
      <c r="E1358" s="98"/>
      <c r="F1358" s="98"/>
      <c r="G1358" s="98"/>
      <c r="H1358" s="98"/>
      <c r="I1358" s="98"/>
      <c r="J1358" s="98"/>
      <c r="K1358" s="98"/>
      <c r="L1358" s="98"/>
      <c r="M1358" s="98"/>
      <c r="N1358" s="98"/>
      <c r="O1358" s="98"/>
      <c r="P1358" s="98"/>
      <c r="Q1358" s="98"/>
      <c r="R1358" s="98"/>
      <c r="S1358" s="98" t="str">
        <f>IFERROR(__xludf.DUMMYFUNCTION("""COMPUTED_VALUE"""),"-")</f>
        <v>-</v>
      </c>
      <c r="T1358" s="98"/>
    </row>
    <row r="1359">
      <c r="A1359" s="98"/>
      <c r="B1359" s="98"/>
      <c r="C1359" s="98"/>
      <c r="D1359" s="98"/>
      <c r="E1359" s="98"/>
      <c r="F1359" s="98"/>
      <c r="G1359" s="98"/>
      <c r="H1359" s="98"/>
      <c r="I1359" s="98"/>
      <c r="J1359" s="98"/>
      <c r="K1359" s="98"/>
      <c r="L1359" s="98"/>
      <c r="M1359" s="98"/>
      <c r="N1359" s="98"/>
      <c r="O1359" s="98"/>
      <c r="P1359" s="98"/>
      <c r="Q1359" s="98"/>
      <c r="R1359" s="98"/>
      <c r="S1359" s="98" t="str">
        <f>IFERROR(__xludf.DUMMYFUNCTION("""COMPUTED_VALUE"""),"-")</f>
        <v>-</v>
      </c>
      <c r="T1359" s="98"/>
    </row>
    <row r="1360">
      <c r="A1360" s="98"/>
      <c r="B1360" s="98"/>
      <c r="C1360" s="98"/>
      <c r="D1360" s="98"/>
      <c r="E1360" s="98"/>
      <c r="F1360" s="98"/>
      <c r="G1360" s="98"/>
      <c r="H1360" s="98"/>
      <c r="I1360" s="98"/>
      <c r="J1360" s="98"/>
      <c r="K1360" s="98"/>
      <c r="L1360" s="98"/>
      <c r="M1360" s="98"/>
      <c r="N1360" s="98"/>
      <c r="O1360" s="98"/>
      <c r="P1360" s="98"/>
      <c r="Q1360" s="98"/>
      <c r="R1360" s="98"/>
      <c r="S1360" s="98" t="str">
        <f>IFERROR(__xludf.DUMMYFUNCTION("""COMPUTED_VALUE"""),"-")</f>
        <v>-</v>
      </c>
      <c r="T1360" s="98"/>
    </row>
    <row r="1361">
      <c r="A1361" s="98"/>
      <c r="B1361" s="98"/>
      <c r="C1361" s="98"/>
      <c r="D1361" s="98"/>
      <c r="E1361" s="98"/>
      <c r="F1361" s="98"/>
      <c r="G1361" s="98"/>
      <c r="H1361" s="98"/>
      <c r="I1361" s="98"/>
      <c r="J1361" s="98"/>
      <c r="K1361" s="98"/>
      <c r="L1361" s="98"/>
      <c r="M1361" s="98"/>
      <c r="N1361" s="98"/>
      <c r="O1361" s="98"/>
      <c r="P1361" s="98"/>
      <c r="Q1361" s="98"/>
      <c r="R1361" s="98"/>
      <c r="S1361" s="98" t="str">
        <f>IFERROR(__xludf.DUMMYFUNCTION("""COMPUTED_VALUE"""),"-")</f>
        <v>-</v>
      </c>
      <c r="T1361" s="98"/>
    </row>
    <row r="1362">
      <c r="A1362" s="98"/>
      <c r="B1362" s="98"/>
      <c r="C1362" s="98"/>
      <c r="D1362" s="98"/>
      <c r="E1362" s="98"/>
      <c r="F1362" s="98"/>
      <c r="G1362" s="98"/>
      <c r="H1362" s="98"/>
      <c r="I1362" s="98"/>
      <c r="J1362" s="98"/>
      <c r="K1362" s="98"/>
      <c r="L1362" s="98"/>
      <c r="M1362" s="98"/>
      <c r="N1362" s="98"/>
      <c r="O1362" s="98"/>
      <c r="P1362" s="98"/>
      <c r="Q1362" s="98"/>
      <c r="R1362" s="98"/>
      <c r="S1362" s="98" t="str">
        <f>IFERROR(__xludf.DUMMYFUNCTION("""COMPUTED_VALUE"""),"-")</f>
        <v>-</v>
      </c>
      <c r="T1362" s="98"/>
    </row>
    <row r="1363">
      <c r="A1363" s="98"/>
      <c r="B1363" s="98"/>
      <c r="C1363" s="98"/>
      <c r="D1363" s="98"/>
      <c r="E1363" s="98"/>
      <c r="F1363" s="98"/>
      <c r="G1363" s="98"/>
      <c r="H1363" s="98"/>
      <c r="I1363" s="98"/>
      <c r="J1363" s="98"/>
      <c r="K1363" s="98"/>
      <c r="L1363" s="98"/>
      <c r="M1363" s="98"/>
      <c r="N1363" s="98"/>
      <c r="O1363" s="98"/>
      <c r="P1363" s="98"/>
      <c r="Q1363" s="98"/>
      <c r="R1363" s="98"/>
      <c r="S1363" s="98" t="str">
        <f>IFERROR(__xludf.DUMMYFUNCTION("""COMPUTED_VALUE"""),"-")</f>
        <v>-</v>
      </c>
      <c r="T1363" s="98"/>
    </row>
    <row r="1364">
      <c r="A1364" s="98"/>
      <c r="B1364" s="98"/>
      <c r="C1364" s="98"/>
      <c r="D1364" s="98"/>
      <c r="E1364" s="98"/>
      <c r="F1364" s="98"/>
      <c r="G1364" s="98"/>
      <c r="H1364" s="98"/>
      <c r="I1364" s="98"/>
      <c r="J1364" s="98"/>
      <c r="K1364" s="98"/>
      <c r="L1364" s="98"/>
      <c r="M1364" s="98"/>
      <c r="N1364" s="98"/>
      <c r="O1364" s="98"/>
      <c r="P1364" s="98"/>
      <c r="Q1364" s="98"/>
      <c r="R1364" s="98"/>
      <c r="S1364" s="98" t="str">
        <f>IFERROR(__xludf.DUMMYFUNCTION("""COMPUTED_VALUE"""),"-")</f>
        <v>-</v>
      </c>
      <c r="T1364" s="98"/>
    </row>
    <row r="1365">
      <c r="A1365" s="98"/>
      <c r="B1365" s="98"/>
      <c r="C1365" s="98"/>
      <c r="D1365" s="98"/>
      <c r="E1365" s="98"/>
      <c r="F1365" s="98"/>
      <c r="G1365" s="98"/>
      <c r="H1365" s="98"/>
      <c r="I1365" s="98"/>
      <c r="J1365" s="98"/>
      <c r="K1365" s="98"/>
      <c r="L1365" s="98"/>
      <c r="M1365" s="98"/>
      <c r="N1365" s="98"/>
      <c r="O1365" s="98"/>
      <c r="P1365" s="98"/>
      <c r="Q1365" s="98"/>
      <c r="R1365" s="98"/>
      <c r="S1365" s="98" t="str">
        <f>IFERROR(__xludf.DUMMYFUNCTION("""COMPUTED_VALUE"""),"-")</f>
        <v>-</v>
      </c>
      <c r="T1365" s="98"/>
    </row>
    <row r="1366">
      <c r="A1366" s="98"/>
      <c r="B1366" s="98"/>
      <c r="C1366" s="98"/>
      <c r="D1366" s="98"/>
      <c r="E1366" s="98"/>
      <c r="F1366" s="98"/>
      <c r="G1366" s="98"/>
      <c r="H1366" s="98"/>
      <c r="I1366" s="98"/>
      <c r="J1366" s="98"/>
      <c r="K1366" s="98"/>
      <c r="L1366" s="98"/>
      <c r="M1366" s="98"/>
      <c r="N1366" s="98"/>
      <c r="O1366" s="98"/>
      <c r="P1366" s="98"/>
      <c r="Q1366" s="98"/>
      <c r="R1366" s="98"/>
      <c r="S1366" s="98" t="str">
        <f>IFERROR(__xludf.DUMMYFUNCTION("""COMPUTED_VALUE"""),"-")</f>
        <v>-</v>
      </c>
      <c r="T1366" s="98"/>
    </row>
    <row r="1367">
      <c r="A1367" s="98"/>
      <c r="B1367" s="98"/>
      <c r="C1367" s="98"/>
      <c r="D1367" s="98"/>
      <c r="E1367" s="98"/>
      <c r="F1367" s="98"/>
      <c r="G1367" s="98"/>
      <c r="H1367" s="98"/>
      <c r="I1367" s="98"/>
      <c r="J1367" s="98"/>
      <c r="K1367" s="98"/>
      <c r="L1367" s="98"/>
      <c r="M1367" s="98"/>
      <c r="N1367" s="98"/>
      <c r="O1367" s="98"/>
      <c r="P1367" s="98"/>
      <c r="Q1367" s="98"/>
      <c r="R1367" s="98"/>
      <c r="S1367" s="98" t="str">
        <f>IFERROR(__xludf.DUMMYFUNCTION("""COMPUTED_VALUE"""),"-")</f>
        <v>-</v>
      </c>
      <c r="T1367" s="98"/>
    </row>
    <row r="1368">
      <c r="A1368" s="98"/>
      <c r="B1368" s="98"/>
      <c r="C1368" s="98"/>
      <c r="D1368" s="98"/>
      <c r="E1368" s="98"/>
      <c r="F1368" s="98"/>
      <c r="G1368" s="98"/>
      <c r="H1368" s="98"/>
      <c r="I1368" s="98"/>
      <c r="J1368" s="98"/>
      <c r="K1368" s="98"/>
      <c r="L1368" s="98"/>
      <c r="M1368" s="98"/>
      <c r="N1368" s="98"/>
      <c r="O1368" s="98"/>
      <c r="P1368" s="98"/>
      <c r="Q1368" s="98"/>
      <c r="R1368" s="98"/>
      <c r="S1368" s="98" t="str">
        <f>IFERROR(__xludf.DUMMYFUNCTION("""COMPUTED_VALUE"""),"-")</f>
        <v>-</v>
      </c>
      <c r="T1368" s="98"/>
    </row>
    <row r="1369">
      <c r="A1369" s="98"/>
      <c r="B1369" s="98"/>
      <c r="C1369" s="98"/>
      <c r="D1369" s="98"/>
      <c r="E1369" s="98"/>
      <c r="F1369" s="98"/>
      <c r="G1369" s="98"/>
      <c r="H1369" s="98"/>
      <c r="I1369" s="98"/>
      <c r="J1369" s="98"/>
      <c r="K1369" s="98"/>
      <c r="L1369" s="98"/>
      <c r="M1369" s="98"/>
      <c r="N1369" s="98"/>
      <c r="O1369" s="98"/>
      <c r="P1369" s="98"/>
      <c r="Q1369" s="98"/>
      <c r="R1369" s="98"/>
      <c r="S1369" s="98" t="str">
        <f>IFERROR(__xludf.DUMMYFUNCTION("""COMPUTED_VALUE"""),"-")</f>
        <v>-</v>
      </c>
      <c r="T1369" s="98"/>
    </row>
    <row r="1370">
      <c r="A1370" s="98"/>
      <c r="B1370" s="98"/>
      <c r="C1370" s="98"/>
      <c r="D1370" s="98"/>
      <c r="E1370" s="98"/>
      <c r="F1370" s="98"/>
      <c r="G1370" s="98"/>
      <c r="H1370" s="98"/>
      <c r="I1370" s="98"/>
      <c r="J1370" s="98"/>
      <c r="K1370" s="98"/>
      <c r="L1370" s="98"/>
      <c r="M1370" s="98"/>
      <c r="N1370" s="98"/>
      <c r="O1370" s="98"/>
      <c r="P1370" s="98"/>
      <c r="Q1370" s="98"/>
      <c r="R1370" s="98"/>
      <c r="S1370" s="98" t="str">
        <f>IFERROR(__xludf.DUMMYFUNCTION("""COMPUTED_VALUE"""),"-")</f>
        <v>-</v>
      </c>
      <c r="T1370" s="98"/>
    </row>
    <row r="1371">
      <c r="A1371" s="98"/>
      <c r="B1371" s="98"/>
      <c r="C1371" s="98"/>
      <c r="D1371" s="98"/>
      <c r="E1371" s="98"/>
      <c r="F1371" s="98"/>
      <c r="G1371" s="98"/>
      <c r="H1371" s="98"/>
      <c r="I1371" s="98"/>
      <c r="J1371" s="98"/>
      <c r="K1371" s="98"/>
      <c r="L1371" s="98"/>
      <c r="M1371" s="98"/>
      <c r="N1371" s="98"/>
      <c r="O1371" s="98"/>
      <c r="P1371" s="98"/>
      <c r="Q1371" s="98"/>
      <c r="R1371" s="98"/>
      <c r="S1371" s="98" t="str">
        <f>IFERROR(__xludf.DUMMYFUNCTION("""COMPUTED_VALUE"""),"-")</f>
        <v>-</v>
      </c>
      <c r="T1371" s="98"/>
    </row>
    <row r="1372">
      <c r="A1372" s="98"/>
      <c r="B1372" s="98"/>
      <c r="C1372" s="98"/>
      <c r="D1372" s="98"/>
      <c r="E1372" s="98"/>
      <c r="F1372" s="98"/>
      <c r="G1372" s="98"/>
      <c r="H1372" s="98"/>
      <c r="I1372" s="98"/>
      <c r="J1372" s="98"/>
      <c r="K1372" s="98"/>
      <c r="L1372" s="98"/>
      <c r="M1372" s="98"/>
      <c r="N1372" s="98"/>
      <c r="O1372" s="98"/>
      <c r="P1372" s="98"/>
      <c r="Q1372" s="98"/>
      <c r="R1372" s="98"/>
      <c r="S1372" s="98" t="str">
        <f>IFERROR(__xludf.DUMMYFUNCTION("""COMPUTED_VALUE"""),"-")</f>
        <v>-</v>
      </c>
      <c r="T1372" s="98"/>
    </row>
    <row r="1373">
      <c r="A1373" s="98"/>
      <c r="B1373" s="98"/>
      <c r="C1373" s="98"/>
      <c r="D1373" s="98"/>
      <c r="E1373" s="98"/>
      <c r="F1373" s="98"/>
      <c r="G1373" s="98"/>
      <c r="H1373" s="98"/>
      <c r="I1373" s="98"/>
      <c r="J1373" s="98"/>
      <c r="K1373" s="98"/>
      <c r="L1373" s="98"/>
      <c r="M1373" s="98"/>
      <c r="N1373" s="98"/>
      <c r="O1373" s="98"/>
      <c r="P1373" s="98"/>
      <c r="Q1373" s="98"/>
      <c r="R1373" s="98"/>
      <c r="S1373" s="98" t="str">
        <f>IFERROR(__xludf.DUMMYFUNCTION("""COMPUTED_VALUE"""),"-")</f>
        <v>-</v>
      </c>
      <c r="T1373" s="98"/>
    </row>
    <row r="1374">
      <c r="A1374" s="98"/>
      <c r="B1374" s="98"/>
      <c r="C1374" s="98"/>
      <c r="D1374" s="98"/>
      <c r="E1374" s="98"/>
      <c r="F1374" s="98"/>
      <c r="G1374" s="98"/>
      <c r="H1374" s="98"/>
      <c r="I1374" s="98"/>
      <c r="J1374" s="98"/>
      <c r="K1374" s="98"/>
      <c r="L1374" s="98"/>
      <c r="M1374" s="98"/>
      <c r="N1374" s="98"/>
      <c r="O1374" s="98"/>
      <c r="P1374" s="98"/>
      <c r="Q1374" s="98"/>
      <c r="R1374" s="98"/>
      <c r="S1374" s="98" t="str">
        <f>IFERROR(__xludf.DUMMYFUNCTION("""COMPUTED_VALUE"""),"-")</f>
        <v>-</v>
      </c>
      <c r="T1374" s="98"/>
    </row>
    <row r="1375">
      <c r="A1375" s="98"/>
      <c r="B1375" s="98"/>
      <c r="C1375" s="98"/>
      <c r="D1375" s="98"/>
      <c r="E1375" s="98"/>
      <c r="F1375" s="98"/>
      <c r="G1375" s="98"/>
      <c r="H1375" s="98"/>
      <c r="I1375" s="98"/>
      <c r="J1375" s="98"/>
      <c r="K1375" s="98"/>
      <c r="L1375" s="98"/>
      <c r="M1375" s="98"/>
      <c r="N1375" s="98"/>
      <c r="O1375" s="98"/>
      <c r="P1375" s="98"/>
      <c r="Q1375" s="98"/>
      <c r="R1375" s="98"/>
      <c r="S1375" s="98" t="str">
        <f>IFERROR(__xludf.DUMMYFUNCTION("""COMPUTED_VALUE"""),"-")</f>
        <v>-</v>
      </c>
      <c r="T1375" s="98"/>
    </row>
    <row r="1376">
      <c r="A1376" s="98"/>
      <c r="B1376" s="98"/>
      <c r="C1376" s="98"/>
      <c r="D1376" s="98"/>
      <c r="E1376" s="98"/>
      <c r="F1376" s="98"/>
      <c r="G1376" s="98"/>
      <c r="H1376" s="98"/>
      <c r="I1376" s="98"/>
      <c r="J1376" s="98"/>
      <c r="K1376" s="98"/>
      <c r="L1376" s="98"/>
      <c r="M1376" s="98"/>
      <c r="N1376" s="98"/>
      <c r="O1376" s="98"/>
      <c r="P1376" s="98"/>
      <c r="Q1376" s="98"/>
      <c r="R1376" s="98"/>
      <c r="S1376" s="98" t="str">
        <f>IFERROR(__xludf.DUMMYFUNCTION("""COMPUTED_VALUE"""),"-")</f>
        <v>-</v>
      </c>
      <c r="T1376" s="98"/>
    </row>
    <row r="1377">
      <c r="A1377" s="98"/>
      <c r="B1377" s="98"/>
      <c r="C1377" s="98"/>
      <c r="D1377" s="98"/>
      <c r="E1377" s="98"/>
      <c r="F1377" s="98"/>
      <c r="G1377" s="98"/>
      <c r="H1377" s="98"/>
      <c r="I1377" s="98"/>
      <c r="J1377" s="98"/>
      <c r="K1377" s="98"/>
      <c r="L1377" s="98"/>
      <c r="M1377" s="98"/>
      <c r="N1377" s="98"/>
      <c r="O1377" s="98"/>
      <c r="P1377" s="98"/>
      <c r="Q1377" s="98"/>
      <c r="R1377" s="98"/>
      <c r="S1377" s="98" t="str">
        <f>IFERROR(__xludf.DUMMYFUNCTION("""COMPUTED_VALUE"""),"-")</f>
        <v>-</v>
      </c>
      <c r="T1377" s="98"/>
    </row>
    <row r="1378">
      <c r="A1378" s="98"/>
      <c r="B1378" s="98"/>
      <c r="C1378" s="98"/>
      <c r="D1378" s="98"/>
      <c r="E1378" s="98"/>
      <c r="F1378" s="98"/>
      <c r="G1378" s="98"/>
      <c r="H1378" s="98"/>
      <c r="I1378" s="98"/>
      <c r="J1378" s="98"/>
      <c r="K1378" s="98"/>
      <c r="L1378" s="98"/>
      <c r="M1378" s="98"/>
      <c r="N1378" s="98"/>
      <c r="O1378" s="98"/>
      <c r="P1378" s="98"/>
      <c r="Q1378" s="98"/>
      <c r="R1378" s="98"/>
      <c r="S1378" s="98" t="str">
        <f>IFERROR(__xludf.DUMMYFUNCTION("""COMPUTED_VALUE"""),"-")</f>
        <v>-</v>
      </c>
      <c r="T1378" s="98"/>
    </row>
    <row r="1379">
      <c r="A1379" s="98"/>
      <c r="B1379" s="98"/>
      <c r="C1379" s="98"/>
      <c r="D1379" s="98"/>
      <c r="E1379" s="98"/>
      <c r="F1379" s="98"/>
      <c r="G1379" s="98"/>
      <c r="H1379" s="98"/>
      <c r="I1379" s="98"/>
      <c r="J1379" s="98"/>
      <c r="K1379" s="98"/>
      <c r="L1379" s="98"/>
      <c r="M1379" s="98"/>
      <c r="N1379" s="98"/>
      <c r="O1379" s="98"/>
      <c r="P1379" s="98"/>
      <c r="Q1379" s="98"/>
      <c r="R1379" s="98"/>
      <c r="S1379" s="98" t="str">
        <f>IFERROR(__xludf.DUMMYFUNCTION("""COMPUTED_VALUE"""),"-")</f>
        <v>-</v>
      </c>
      <c r="T1379" s="98"/>
    </row>
    <row r="1380">
      <c r="A1380" s="98"/>
      <c r="B1380" s="98"/>
      <c r="C1380" s="98"/>
      <c r="D1380" s="98"/>
      <c r="E1380" s="98"/>
      <c r="F1380" s="98"/>
      <c r="G1380" s="98"/>
      <c r="H1380" s="98"/>
      <c r="I1380" s="98"/>
      <c r="J1380" s="98"/>
      <c r="K1380" s="98"/>
      <c r="L1380" s="98"/>
      <c r="M1380" s="98"/>
      <c r="N1380" s="98"/>
      <c r="O1380" s="98"/>
      <c r="P1380" s="98"/>
      <c r="Q1380" s="98"/>
      <c r="R1380" s="98"/>
      <c r="S1380" s="98" t="str">
        <f>IFERROR(__xludf.DUMMYFUNCTION("""COMPUTED_VALUE"""),"-")</f>
        <v>-</v>
      </c>
      <c r="T1380" s="98"/>
    </row>
    <row r="1381">
      <c r="A1381" s="98"/>
      <c r="B1381" s="98"/>
      <c r="C1381" s="98"/>
      <c r="D1381" s="98"/>
      <c r="E1381" s="98"/>
      <c r="F1381" s="98"/>
      <c r="G1381" s="98"/>
      <c r="H1381" s="98"/>
      <c r="I1381" s="98"/>
      <c r="J1381" s="98"/>
      <c r="K1381" s="98"/>
      <c r="L1381" s="98"/>
      <c r="M1381" s="98"/>
      <c r="N1381" s="98"/>
      <c r="O1381" s="98"/>
      <c r="P1381" s="98"/>
      <c r="Q1381" s="98"/>
      <c r="R1381" s="98"/>
      <c r="S1381" s="98" t="str">
        <f>IFERROR(__xludf.DUMMYFUNCTION("""COMPUTED_VALUE"""),"-")</f>
        <v>-</v>
      </c>
      <c r="T1381" s="98"/>
    </row>
    <row r="1382">
      <c r="A1382" s="98"/>
      <c r="B1382" s="98"/>
      <c r="C1382" s="98"/>
      <c r="D1382" s="98"/>
      <c r="E1382" s="98"/>
      <c r="F1382" s="98"/>
      <c r="G1382" s="98"/>
      <c r="H1382" s="98"/>
      <c r="I1382" s="98"/>
      <c r="J1382" s="98"/>
      <c r="K1382" s="98"/>
      <c r="L1382" s="98"/>
      <c r="M1382" s="98"/>
      <c r="N1382" s="98"/>
      <c r="O1382" s="98"/>
      <c r="P1382" s="98"/>
      <c r="Q1382" s="98"/>
      <c r="R1382" s="98"/>
      <c r="S1382" s="98" t="str">
        <f>IFERROR(__xludf.DUMMYFUNCTION("""COMPUTED_VALUE"""),"-")</f>
        <v>-</v>
      </c>
      <c r="T1382" s="98"/>
    </row>
    <row r="1383">
      <c r="A1383" s="98"/>
      <c r="B1383" s="98"/>
      <c r="C1383" s="98"/>
      <c r="D1383" s="98"/>
      <c r="E1383" s="98"/>
      <c r="F1383" s="98"/>
      <c r="G1383" s="98"/>
      <c r="H1383" s="98"/>
      <c r="I1383" s="98"/>
      <c r="J1383" s="98"/>
      <c r="K1383" s="98"/>
      <c r="L1383" s="98"/>
      <c r="M1383" s="98"/>
      <c r="N1383" s="98"/>
      <c r="O1383" s="98"/>
      <c r="P1383" s="98"/>
      <c r="Q1383" s="98"/>
      <c r="R1383" s="98"/>
      <c r="S1383" s="98" t="str">
        <f>IFERROR(__xludf.DUMMYFUNCTION("""COMPUTED_VALUE"""),"-")</f>
        <v>-</v>
      </c>
      <c r="T1383" s="98"/>
    </row>
    <row r="1384">
      <c r="A1384" s="98"/>
      <c r="B1384" s="98"/>
      <c r="C1384" s="98"/>
      <c r="D1384" s="98"/>
      <c r="E1384" s="98"/>
      <c r="F1384" s="98"/>
      <c r="G1384" s="98"/>
      <c r="H1384" s="98"/>
      <c r="I1384" s="98"/>
      <c r="J1384" s="98"/>
      <c r="K1384" s="98"/>
      <c r="L1384" s="98"/>
      <c r="M1384" s="98"/>
      <c r="N1384" s="98"/>
      <c r="O1384" s="98"/>
      <c r="P1384" s="98"/>
      <c r="Q1384" s="98"/>
      <c r="R1384" s="98"/>
      <c r="S1384" s="98" t="str">
        <f>IFERROR(__xludf.DUMMYFUNCTION("""COMPUTED_VALUE"""),"-")</f>
        <v>-</v>
      </c>
      <c r="T1384" s="98"/>
    </row>
    <row r="1385">
      <c r="A1385" s="98"/>
      <c r="B1385" s="98"/>
      <c r="C1385" s="98"/>
      <c r="D1385" s="98"/>
      <c r="E1385" s="98"/>
      <c r="F1385" s="98"/>
      <c r="G1385" s="98"/>
      <c r="H1385" s="98"/>
      <c r="I1385" s="98"/>
      <c r="J1385" s="98"/>
      <c r="K1385" s="98"/>
      <c r="L1385" s="98"/>
      <c r="M1385" s="98"/>
      <c r="N1385" s="98"/>
      <c r="O1385" s="98"/>
      <c r="P1385" s="98"/>
      <c r="Q1385" s="98"/>
      <c r="R1385" s="98"/>
      <c r="S1385" s="98" t="str">
        <f>IFERROR(__xludf.DUMMYFUNCTION("""COMPUTED_VALUE"""),"-")</f>
        <v>-</v>
      </c>
      <c r="T1385" s="98"/>
    </row>
    <row r="1386">
      <c r="A1386" s="98"/>
      <c r="B1386" s="98"/>
      <c r="C1386" s="98"/>
      <c r="D1386" s="98"/>
      <c r="E1386" s="98"/>
      <c r="F1386" s="98"/>
      <c r="G1386" s="98"/>
      <c r="H1386" s="98"/>
      <c r="I1386" s="98"/>
      <c r="J1386" s="98"/>
      <c r="K1386" s="98"/>
      <c r="L1386" s="98"/>
      <c r="M1386" s="98"/>
      <c r="N1386" s="98"/>
      <c r="O1386" s="98"/>
      <c r="P1386" s="98"/>
      <c r="Q1386" s="98"/>
      <c r="R1386" s="98"/>
      <c r="S1386" s="98" t="str">
        <f>IFERROR(__xludf.DUMMYFUNCTION("""COMPUTED_VALUE"""),"-")</f>
        <v>-</v>
      </c>
      <c r="T1386" s="98"/>
    </row>
    <row r="1387">
      <c r="A1387" s="98"/>
      <c r="B1387" s="98"/>
      <c r="C1387" s="98"/>
      <c r="D1387" s="98"/>
      <c r="E1387" s="98"/>
      <c r="F1387" s="98"/>
      <c r="G1387" s="98"/>
      <c r="H1387" s="98"/>
      <c r="I1387" s="98"/>
      <c r="J1387" s="98"/>
      <c r="K1387" s="98"/>
      <c r="L1387" s="98"/>
      <c r="M1387" s="98"/>
      <c r="N1387" s="98"/>
      <c r="O1387" s="98"/>
      <c r="P1387" s="98"/>
      <c r="Q1387" s="98"/>
      <c r="R1387" s="98"/>
      <c r="S1387" s="98" t="str">
        <f>IFERROR(__xludf.DUMMYFUNCTION("""COMPUTED_VALUE"""),"-")</f>
        <v>-</v>
      </c>
      <c r="T1387" s="98"/>
    </row>
    <row r="1388">
      <c r="A1388" s="98"/>
      <c r="B1388" s="98"/>
      <c r="C1388" s="98"/>
      <c r="D1388" s="98"/>
      <c r="E1388" s="98"/>
      <c r="F1388" s="98"/>
      <c r="G1388" s="98"/>
      <c r="H1388" s="98"/>
      <c r="I1388" s="98"/>
      <c r="J1388" s="98"/>
      <c r="K1388" s="98"/>
      <c r="L1388" s="98"/>
      <c r="M1388" s="98"/>
      <c r="N1388" s="98"/>
      <c r="O1388" s="98"/>
      <c r="P1388" s="98"/>
      <c r="Q1388" s="98"/>
      <c r="R1388" s="98"/>
      <c r="S1388" s="98" t="str">
        <f>IFERROR(__xludf.DUMMYFUNCTION("""COMPUTED_VALUE"""),"-")</f>
        <v>-</v>
      </c>
      <c r="T1388" s="98"/>
    </row>
    <row r="1389">
      <c r="A1389" s="98"/>
      <c r="B1389" s="98"/>
      <c r="C1389" s="98"/>
      <c r="D1389" s="98"/>
      <c r="E1389" s="98"/>
      <c r="F1389" s="98"/>
      <c r="G1389" s="98"/>
      <c r="H1389" s="98"/>
      <c r="I1389" s="98"/>
      <c r="J1389" s="98"/>
      <c r="K1389" s="98"/>
      <c r="L1389" s="98"/>
      <c r="M1389" s="98"/>
      <c r="N1389" s="98"/>
      <c r="O1389" s="98"/>
      <c r="P1389" s="98"/>
      <c r="Q1389" s="98"/>
      <c r="R1389" s="98"/>
      <c r="S1389" s="98" t="str">
        <f>IFERROR(__xludf.DUMMYFUNCTION("""COMPUTED_VALUE"""),"-")</f>
        <v>-</v>
      </c>
      <c r="T1389" s="98"/>
    </row>
    <row r="1390">
      <c r="A1390" s="98"/>
      <c r="B1390" s="98"/>
      <c r="C1390" s="98"/>
      <c r="D1390" s="98"/>
      <c r="E1390" s="98"/>
      <c r="F1390" s="98"/>
      <c r="G1390" s="98"/>
      <c r="H1390" s="98"/>
      <c r="I1390" s="98"/>
      <c r="J1390" s="98"/>
      <c r="K1390" s="98"/>
      <c r="L1390" s="98"/>
      <c r="M1390" s="98"/>
      <c r="N1390" s="98"/>
      <c r="O1390" s="98"/>
      <c r="P1390" s="98"/>
      <c r="Q1390" s="98"/>
      <c r="R1390" s="98"/>
      <c r="S1390" s="98" t="str">
        <f>IFERROR(__xludf.DUMMYFUNCTION("""COMPUTED_VALUE"""),"-")</f>
        <v>-</v>
      </c>
      <c r="T1390" s="98"/>
    </row>
    <row r="1391">
      <c r="A1391" s="98"/>
      <c r="B1391" s="98"/>
      <c r="C1391" s="98"/>
      <c r="D1391" s="98"/>
      <c r="E1391" s="98"/>
      <c r="F1391" s="98"/>
      <c r="G1391" s="98"/>
      <c r="H1391" s="98"/>
      <c r="I1391" s="98"/>
      <c r="J1391" s="98"/>
      <c r="K1391" s="98"/>
      <c r="L1391" s="98"/>
      <c r="M1391" s="98"/>
      <c r="N1391" s="98"/>
      <c r="O1391" s="98"/>
      <c r="P1391" s="98"/>
      <c r="Q1391" s="98"/>
      <c r="R1391" s="98"/>
      <c r="S1391" s="98" t="str">
        <f>IFERROR(__xludf.DUMMYFUNCTION("""COMPUTED_VALUE"""),"-")</f>
        <v>-</v>
      </c>
      <c r="T1391" s="98"/>
    </row>
    <row r="1392">
      <c r="A1392" s="98"/>
      <c r="B1392" s="98"/>
      <c r="C1392" s="98"/>
      <c r="D1392" s="98"/>
      <c r="E1392" s="98"/>
      <c r="F1392" s="98"/>
      <c r="G1392" s="98"/>
      <c r="H1392" s="98"/>
      <c r="I1392" s="98"/>
      <c r="J1392" s="98"/>
      <c r="K1392" s="98"/>
      <c r="L1392" s="98"/>
      <c r="M1392" s="98"/>
      <c r="N1392" s="98"/>
      <c r="O1392" s="98"/>
      <c r="P1392" s="98"/>
      <c r="Q1392" s="98"/>
      <c r="R1392" s="98"/>
      <c r="S1392" s="98" t="str">
        <f>IFERROR(__xludf.DUMMYFUNCTION("""COMPUTED_VALUE"""),"-")</f>
        <v>-</v>
      </c>
      <c r="T1392" s="98"/>
    </row>
    <row r="1393">
      <c r="A1393" s="98"/>
      <c r="B1393" s="98"/>
      <c r="C1393" s="98"/>
      <c r="D1393" s="98"/>
      <c r="E1393" s="98"/>
      <c r="F1393" s="98"/>
      <c r="G1393" s="98"/>
      <c r="H1393" s="98"/>
      <c r="I1393" s="98"/>
      <c r="J1393" s="98"/>
      <c r="K1393" s="98"/>
      <c r="L1393" s="98"/>
      <c r="M1393" s="98"/>
      <c r="N1393" s="98"/>
      <c r="O1393" s="98"/>
      <c r="P1393" s="98"/>
      <c r="Q1393" s="98"/>
      <c r="R1393" s="98"/>
      <c r="S1393" s="98" t="str">
        <f>IFERROR(__xludf.DUMMYFUNCTION("""COMPUTED_VALUE"""),"-")</f>
        <v>-</v>
      </c>
      <c r="T1393" s="98"/>
    </row>
    <row r="1394">
      <c r="A1394" s="98"/>
      <c r="B1394" s="98"/>
      <c r="C1394" s="98"/>
      <c r="D1394" s="98"/>
      <c r="E1394" s="98"/>
      <c r="F1394" s="98"/>
      <c r="G1394" s="98"/>
      <c r="H1394" s="98"/>
      <c r="I1394" s="98"/>
      <c r="J1394" s="98"/>
      <c r="K1394" s="98"/>
      <c r="L1394" s="98"/>
      <c r="M1394" s="98"/>
      <c r="N1394" s="98"/>
      <c r="O1394" s="98"/>
      <c r="P1394" s="98"/>
      <c r="Q1394" s="98"/>
      <c r="R1394" s="98"/>
      <c r="S1394" s="98" t="str">
        <f>IFERROR(__xludf.DUMMYFUNCTION("""COMPUTED_VALUE"""),"-")</f>
        <v>-</v>
      </c>
      <c r="T1394" s="98"/>
    </row>
    <row r="1395">
      <c r="A1395" s="98"/>
      <c r="B1395" s="98"/>
      <c r="C1395" s="98"/>
      <c r="D1395" s="98"/>
      <c r="E1395" s="98"/>
      <c r="F1395" s="98"/>
      <c r="G1395" s="98"/>
      <c r="H1395" s="98"/>
      <c r="I1395" s="98"/>
      <c r="J1395" s="98"/>
      <c r="K1395" s="98"/>
      <c r="L1395" s="98"/>
      <c r="M1395" s="98"/>
      <c r="N1395" s="98"/>
      <c r="O1395" s="98"/>
      <c r="P1395" s="98"/>
      <c r="Q1395" s="98"/>
      <c r="R1395" s="98"/>
      <c r="S1395" s="98" t="str">
        <f>IFERROR(__xludf.DUMMYFUNCTION("""COMPUTED_VALUE"""),"-")</f>
        <v>-</v>
      </c>
      <c r="T1395" s="98"/>
    </row>
    <row r="1396">
      <c r="A1396" s="98"/>
      <c r="B1396" s="98"/>
      <c r="C1396" s="98"/>
      <c r="D1396" s="98"/>
      <c r="E1396" s="98"/>
      <c r="F1396" s="98"/>
      <c r="G1396" s="98"/>
      <c r="H1396" s="98"/>
      <c r="I1396" s="98"/>
      <c r="J1396" s="98"/>
      <c r="K1396" s="98"/>
      <c r="L1396" s="98"/>
      <c r="M1396" s="98"/>
      <c r="N1396" s="98"/>
      <c r="O1396" s="98"/>
      <c r="P1396" s="98"/>
      <c r="Q1396" s="98"/>
      <c r="R1396" s="98"/>
      <c r="S1396" s="98" t="str">
        <f>IFERROR(__xludf.DUMMYFUNCTION("""COMPUTED_VALUE"""),"-")</f>
        <v>-</v>
      </c>
      <c r="T1396" s="98"/>
    </row>
    <row r="1397">
      <c r="A1397" s="98"/>
      <c r="B1397" s="98"/>
      <c r="C1397" s="98"/>
      <c r="D1397" s="98"/>
      <c r="E1397" s="98"/>
      <c r="F1397" s="98"/>
      <c r="G1397" s="98"/>
      <c r="H1397" s="98"/>
      <c r="I1397" s="98"/>
      <c r="J1397" s="98"/>
      <c r="K1397" s="98"/>
      <c r="L1397" s="98"/>
      <c r="M1397" s="98"/>
      <c r="N1397" s="98"/>
      <c r="O1397" s="98"/>
      <c r="P1397" s="98"/>
      <c r="Q1397" s="98"/>
      <c r="R1397" s="98"/>
      <c r="S1397" s="98" t="str">
        <f>IFERROR(__xludf.DUMMYFUNCTION("""COMPUTED_VALUE"""),"-")</f>
        <v>-</v>
      </c>
      <c r="T1397" s="98"/>
    </row>
    <row r="1398">
      <c r="A1398" s="98"/>
      <c r="B1398" s="98"/>
      <c r="C1398" s="98"/>
      <c r="D1398" s="98"/>
      <c r="E1398" s="98"/>
      <c r="F1398" s="98"/>
      <c r="G1398" s="98"/>
      <c r="H1398" s="98"/>
      <c r="I1398" s="98"/>
      <c r="J1398" s="98"/>
      <c r="K1398" s="98"/>
      <c r="L1398" s="98"/>
      <c r="M1398" s="98"/>
      <c r="N1398" s="98"/>
      <c r="O1398" s="98"/>
      <c r="P1398" s="98"/>
      <c r="Q1398" s="98"/>
      <c r="R1398" s="98"/>
      <c r="S1398" s="98" t="str">
        <f>IFERROR(__xludf.DUMMYFUNCTION("""COMPUTED_VALUE"""),"-")</f>
        <v>-</v>
      </c>
      <c r="T1398" s="98"/>
    </row>
    <row r="1399">
      <c r="A1399" s="98"/>
      <c r="B1399" s="98"/>
      <c r="C1399" s="98"/>
      <c r="D1399" s="98"/>
      <c r="E1399" s="98"/>
      <c r="F1399" s="98"/>
      <c r="G1399" s="98"/>
      <c r="H1399" s="98"/>
      <c r="I1399" s="98"/>
      <c r="J1399" s="98"/>
      <c r="K1399" s="98"/>
      <c r="L1399" s="98"/>
      <c r="M1399" s="98"/>
      <c r="N1399" s="98"/>
      <c r="O1399" s="98"/>
      <c r="P1399" s="98"/>
      <c r="Q1399" s="98"/>
      <c r="R1399" s="98"/>
      <c r="S1399" s="98" t="str">
        <f>IFERROR(__xludf.DUMMYFUNCTION("""COMPUTED_VALUE"""),"-")</f>
        <v>-</v>
      </c>
      <c r="T1399" s="98"/>
    </row>
    <row r="1400">
      <c r="A1400" s="98"/>
      <c r="B1400" s="98"/>
      <c r="C1400" s="98"/>
      <c r="D1400" s="98"/>
      <c r="E1400" s="98"/>
      <c r="F1400" s="98"/>
      <c r="G1400" s="98"/>
      <c r="H1400" s="98"/>
      <c r="I1400" s="98"/>
      <c r="J1400" s="98"/>
      <c r="K1400" s="98"/>
      <c r="L1400" s="98"/>
      <c r="M1400" s="98"/>
      <c r="N1400" s="98"/>
      <c r="O1400" s="98"/>
      <c r="P1400" s="98"/>
      <c r="Q1400" s="98"/>
      <c r="R1400" s="98"/>
      <c r="S1400" s="98" t="str">
        <f>IFERROR(__xludf.DUMMYFUNCTION("""COMPUTED_VALUE"""),"-")</f>
        <v>-</v>
      </c>
      <c r="T1400" s="98"/>
    </row>
    <row r="1401">
      <c r="A1401" s="98"/>
      <c r="B1401" s="98"/>
      <c r="C1401" s="98"/>
      <c r="D1401" s="98"/>
      <c r="E1401" s="98"/>
      <c r="F1401" s="98"/>
      <c r="G1401" s="98"/>
      <c r="H1401" s="98"/>
      <c r="I1401" s="98"/>
      <c r="J1401" s="98"/>
      <c r="K1401" s="98"/>
      <c r="L1401" s="98"/>
      <c r="M1401" s="98"/>
      <c r="N1401" s="98"/>
      <c r="O1401" s="98"/>
      <c r="P1401" s="98"/>
      <c r="Q1401" s="98"/>
      <c r="R1401" s="98"/>
      <c r="S1401" s="98" t="str">
        <f>IFERROR(__xludf.DUMMYFUNCTION("""COMPUTED_VALUE"""),"-")</f>
        <v>-</v>
      </c>
      <c r="T1401" s="98"/>
    </row>
    <row r="1402">
      <c r="A1402" s="98"/>
      <c r="B1402" s="98"/>
      <c r="C1402" s="98"/>
      <c r="D1402" s="98"/>
      <c r="E1402" s="98"/>
      <c r="F1402" s="98"/>
      <c r="G1402" s="98"/>
      <c r="H1402" s="98"/>
      <c r="I1402" s="98"/>
      <c r="J1402" s="98"/>
      <c r="K1402" s="98"/>
      <c r="L1402" s="98"/>
      <c r="M1402" s="98"/>
      <c r="N1402" s="98"/>
      <c r="O1402" s="98"/>
      <c r="P1402" s="98"/>
      <c r="Q1402" s="98"/>
      <c r="R1402" s="98"/>
      <c r="S1402" s="98" t="str">
        <f>IFERROR(__xludf.DUMMYFUNCTION("""COMPUTED_VALUE"""),"-")</f>
        <v>-</v>
      </c>
      <c r="T1402" s="98"/>
    </row>
    <row r="1403">
      <c r="A1403" s="98"/>
      <c r="B1403" s="98"/>
      <c r="C1403" s="98"/>
      <c r="D1403" s="98"/>
      <c r="E1403" s="98"/>
      <c r="F1403" s="98"/>
      <c r="G1403" s="98"/>
      <c r="H1403" s="98"/>
      <c r="I1403" s="98"/>
      <c r="J1403" s="98"/>
      <c r="K1403" s="98"/>
      <c r="L1403" s="98"/>
      <c r="M1403" s="98"/>
      <c r="N1403" s="98"/>
      <c r="O1403" s="98"/>
      <c r="P1403" s="98"/>
      <c r="Q1403" s="98"/>
      <c r="R1403" s="98"/>
      <c r="S1403" s="98" t="str">
        <f>IFERROR(__xludf.DUMMYFUNCTION("""COMPUTED_VALUE"""),"-")</f>
        <v>-</v>
      </c>
      <c r="T1403" s="98"/>
    </row>
    <row r="1404">
      <c r="A1404" s="98"/>
      <c r="B1404" s="98"/>
      <c r="C1404" s="98"/>
      <c r="D1404" s="98"/>
      <c r="E1404" s="98"/>
      <c r="F1404" s="98"/>
      <c r="G1404" s="98"/>
      <c r="H1404" s="98"/>
      <c r="I1404" s="98"/>
      <c r="J1404" s="98"/>
      <c r="K1404" s="98"/>
      <c r="L1404" s="98"/>
      <c r="M1404" s="98"/>
      <c r="N1404" s="98"/>
      <c r="O1404" s="98"/>
      <c r="P1404" s="98"/>
      <c r="Q1404" s="98"/>
      <c r="R1404" s="98"/>
      <c r="S1404" s="98" t="str">
        <f>IFERROR(__xludf.DUMMYFUNCTION("""COMPUTED_VALUE"""),"-")</f>
        <v>-</v>
      </c>
      <c r="T1404" s="98"/>
    </row>
    <row r="1405">
      <c r="A1405" s="98"/>
      <c r="B1405" s="98"/>
      <c r="C1405" s="98"/>
      <c r="D1405" s="98"/>
      <c r="E1405" s="98"/>
      <c r="F1405" s="98"/>
      <c r="G1405" s="98"/>
      <c r="H1405" s="98"/>
      <c r="I1405" s="98"/>
      <c r="J1405" s="98"/>
      <c r="K1405" s="98"/>
      <c r="L1405" s="98"/>
      <c r="M1405" s="98"/>
      <c r="N1405" s="98"/>
      <c r="O1405" s="98"/>
      <c r="P1405" s="98"/>
      <c r="Q1405" s="98"/>
      <c r="R1405" s="98"/>
      <c r="S1405" s="98" t="str">
        <f>IFERROR(__xludf.DUMMYFUNCTION("""COMPUTED_VALUE"""),"-")</f>
        <v>-</v>
      </c>
      <c r="T1405" s="98"/>
    </row>
    <row r="1406">
      <c r="A1406" s="98"/>
      <c r="B1406" s="98"/>
      <c r="C1406" s="98"/>
      <c r="D1406" s="98"/>
      <c r="E1406" s="98"/>
      <c r="F1406" s="98"/>
      <c r="G1406" s="98"/>
      <c r="H1406" s="98"/>
      <c r="I1406" s="98"/>
      <c r="J1406" s="98"/>
      <c r="K1406" s="98"/>
      <c r="L1406" s="98"/>
      <c r="M1406" s="98"/>
      <c r="N1406" s="98"/>
      <c r="O1406" s="98"/>
      <c r="P1406" s="98"/>
      <c r="Q1406" s="98"/>
      <c r="R1406" s="98"/>
      <c r="S1406" s="98" t="str">
        <f>IFERROR(__xludf.DUMMYFUNCTION("""COMPUTED_VALUE"""),"-")</f>
        <v>-</v>
      </c>
      <c r="T1406" s="98"/>
    </row>
    <row r="1407">
      <c r="A1407" s="98"/>
      <c r="B1407" s="98"/>
      <c r="C1407" s="98"/>
      <c r="D1407" s="98"/>
      <c r="E1407" s="98"/>
      <c r="F1407" s="98"/>
      <c r="G1407" s="98"/>
      <c r="H1407" s="98"/>
      <c r="I1407" s="98"/>
      <c r="J1407" s="98"/>
      <c r="K1407" s="98"/>
      <c r="L1407" s="98"/>
      <c r="M1407" s="98"/>
      <c r="N1407" s="98"/>
      <c r="O1407" s="98"/>
      <c r="P1407" s="98"/>
      <c r="Q1407" s="98"/>
      <c r="R1407" s="98"/>
      <c r="S1407" s="98" t="str">
        <f>IFERROR(__xludf.DUMMYFUNCTION("""COMPUTED_VALUE"""),"-")</f>
        <v>-</v>
      </c>
      <c r="T1407" s="98"/>
    </row>
    <row r="1408">
      <c r="A1408" s="98"/>
      <c r="B1408" s="98"/>
      <c r="C1408" s="98"/>
      <c r="D1408" s="98"/>
      <c r="E1408" s="98"/>
      <c r="F1408" s="98"/>
      <c r="G1408" s="98"/>
      <c r="H1408" s="98"/>
      <c r="I1408" s="98"/>
      <c r="J1408" s="98"/>
      <c r="K1408" s="98"/>
      <c r="L1408" s="98"/>
      <c r="M1408" s="98"/>
      <c r="N1408" s="98"/>
      <c r="O1408" s="98"/>
      <c r="P1408" s="98"/>
      <c r="Q1408" s="98"/>
      <c r="R1408" s="98"/>
      <c r="S1408" s="98" t="str">
        <f>IFERROR(__xludf.DUMMYFUNCTION("""COMPUTED_VALUE"""),"-")</f>
        <v>-</v>
      </c>
      <c r="T1408" s="98"/>
    </row>
    <row r="1409">
      <c r="A1409" s="98"/>
      <c r="B1409" s="98"/>
      <c r="C1409" s="98"/>
      <c r="D1409" s="98"/>
      <c r="E1409" s="98"/>
      <c r="F1409" s="98"/>
      <c r="G1409" s="98"/>
      <c r="H1409" s="98"/>
      <c r="I1409" s="98"/>
      <c r="J1409" s="98"/>
      <c r="K1409" s="98"/>
      <c r="L1409" s="98"/>
      <c r="M1409" s="98"/>
      <c r="N1409" s="98"/>
      <c r="O1409" s="98"/>
      <c r="P1409" s="98"/>
      <c r="Q1409" s="98"/>
      <c r="R1409" s="98"/>
      <c r="S1409" s="98" t="str">
        <f>IFERROR(__xludf.DUMMYFUNCTION("""COMPUTED_VALUE"""),"-")</f>
        <v>-</v>
      </c>
      <c r="T1409" s="98"/>
    </row>
    <row r="1410">
      <c r="A1410" s="98"/>
      <c r="B1410" s="98"/>
      <c r="C1410" s="98"/>
      <c r="D1410" s="98"/>
      <c r="E1410" s="98"/>
      <c r="F1410" s="98"/>
      <c r="G1410" s="98"/>
      <c r="H1410" s="98"/>
      <c r="I1410" s="98"/>
      <c r="J1410" s="98"/>
      <c r="K1410" s="98"/>
      <c r="L1410" s="98"/>
      <c r="M1410" s="98"/>
      <c r="N1410" s="98"/>
      <c r="O1410" s="98"/>
      <c r="P1410" s="98"/>
      <c r="Q1410" s="98"/>
      <c r="R1410" s="98"/>
      <c r="S1410" s="98" t="str">
        <f>IFERROR(__xludf.DUMMYFUNCTION("""COMPUTED_VALUE"""),"-")</f>
        <v>-</v>
      </c>
      <c r="T1410" s="98"/>
    </row>
    <row r="1411">
      <c r="A1411" s="98"/>
      <c r="B1411" s="98"/>
      <c r="C1411" s="98"/>
      <c r="D1411" s="98"/>
      <c r="E1411" s="98"/>
      <c r="F1411" s="98"/>
      <c r="G1411" s="98"/>
      <c r="H1411" s="98"/>
      <c r="I1411" s="98"/>
      <c r="J1411" s="98"/>
      <c r="K1411" s="98"/>
      <c r="L1411" s="98"/>
      <c r="M1411" s="98"/>
      <c r="N1411" s="98"/>
      <c r="O1411" s="98"/>
      <c r="P1411" s="98"/>
      <c r="Q1411" s="98"/>
      <c r="R1411" s="98"/>
      <c r="S1411" s="98" t="str">
        <f>IFERROR(__xludf.DUMMYFUNCTION("""COMPUTED_VALUE"""),"-")</f>
        <v>-</v>
      </c>
      <c r="T1411" s="98"/>
    </row>
    <row r="1412">
      <c r="A1412" s="98"/>
      <c r="B1412" s="98"/>
      <c r="C1412" s="98"/>
      <c r="D1412" s="98"/>
      <c r="E1412" s="98"/>
      <c r="F1412" s="98"/>
      <c r="G1412" s="98"/>
      <c r="H1412" s="98"/>
      <c r="I1412" s="98"/>
      <c r="J1412" s="98"/>
      <c r="K1412" s="98"/>
      <c r="L1412" s="98"/>
      <c r="M1412" s="98"/>
      <c r="N1412" s="98"/>
      <c r="O1412" s="98"/>
      <c r="P1412" s="98"/>
      <c r="Q1412" s="98"/>
      <c r="R1412" s="98"/>
      <c r="S1412" s="98" t="str">
        <f>IFERROR(__xludf.DUMMYFUNCTION("""COMPUTED_VALUE"""),"-")</f>
        <v>-</v>
      </c>
      <c r="T1412" s="98"/>
    </row>
    <row r="1413">
      <c r="A1413" s="98"/>
      <c r="B1413" s="98"/>
      <c r="C1413" s="98"/>
      <c r="D1413" s="98"/>
      <c r="E1413" s="98"/>
      <c r="F1413" s="98"/>
      <c r="G1413" s="98"/>
      <c r="H1413" s="98"/>
      <c r="I1413" s="98"/>
      <c r="J1413" s="98"/>
      <c r="K1413" s="98"/>
      <c r="L1413" s="98"/>
      <c r="M1413" s="98"/>
      <c r="N1413" s="98"/>
      <c r="O1413" s="98"/>
      <c r="P1413" s="98"/>
      <c r="Q1413" s="98"/>
      <c r="R1413" s="98"/>
      <c r="S1413" s="98" t="str">
        <f>IFERROR(__xludf.DUMMYFUNCTION("""COMPUTED_VALUE"""),"-")</f>
        <v>-</v>
      </c>
      <c r="T1413" s="98"/>
    </row>
    <row r="1414">
      <c r="A1414" s="98"/>
      <c r="B1414" s="98"/>
      <c r="C1414" s="98"/>
      <c r="D1414" s="98"/>
      <c r="E1414" s="98"/>
      <c r="F1414" s="98"/>
      <c r="G1414" s="98"/>
      <c r="H1414" s="98"/>
      <c r="I1414" s="98"/>
      <c r="J1414" s="98"/>
      <c r="K1414" s="98"/>
      <c r="L1414" s="98"/>
      <c r="M1414" s="98"/>
      <c r="N1414" s="98"/>
      <c r="O1414" s="98"/>
      <c r="P1414" s="98"/>
      <c r="Q1414" s="98"/>
      <c r="R1414" s="98"/>
      <c r="S1414" s="98" t="str">
        <f>IFERROR(__xludf.DUMMYFUNCTION("""COMPUTED_VALUE"""),"-")</f>
        <v>-</v>
      </c>
      <c r="T1414" s="98"/>
    </row>
    <row r="1415">
      <c r="A1415" s="98"/>
      <c r="B1415" s="98"/>
      <c r="C1415" s="98"/>
      <c r="D1415" s="98"/>
      <c r="E1415" s="98"/>
      <c r="F1415" s="98"/>
      <c r="G1415" s="98"/>
      <c r="H1415" s="98"/>
      <c r="I1415" s="98"/>
      <c r="J1415" s="98"/>
      <c r="K1415" s="98"/>
      <c r="L1415" s="98"/>
      <c r="M1415" s="98"/>
      <c r="N1415" s="98"/>
      <c r="O1415" s="98"/>
      <c r="P1415" s="98"/>
      <c r="Q1415" s="98"/>
      <c r="R1415" s="98"/>
      <c r="S1415" s="98" t="str">
        <f>IFERROR(__xludf.DUMMYFUNCTION("""COMPUTED_VALUE"""),"-")</f>
        <v>-</v>
      </c>
      <c r="T1415" s="98"/>
    </row>
    <row r="1416">
      <c r="A1416" s="98"/>
      <c r="B1416" s="98"/>
      <c r="C1416" s="98"/>
      <c r="D1416" s="98"/>
      <c r="E1416" s="98"/>
      <c r="F1416" s="98"/>
      <c r="G1416" s="98"/>
      <c r="H1416" s="98"/>
      <c r="I1416" s="98"/>
      <c r="J1416" s="98"/>
      <c r="K1416" s="98"/>
      <c r="L1416" s="98"/>
      <c r="M1416" s="98"/>
      <c r="N1416" s="98"/>
      <c r="O1416" s="98"/>
      <c r="P1416" s="98"/>
      <c r="Q1416" s="98"/>
      <c r="R1416" s="98"/>
      <c r="S1416" s="98" t="str">
        <f>IFERROR(__xludf.DUMMYFUNCTION("""COMPUTED_VALUE"""),"-")</f>
        <v>-</v>
      </c>
      <c r="T1416" s="98"/>
    </row>
    <row r="1417">
      <c r="A1417" s="98"/>
      <c r="B1417" s="98"/>
      <c r="C1417" s="98"/>
      <c r="D1417" s="98"/>
      <c r="E1417" s="98"/>
      <c r="F1417" s="98"/>
      <c r="G1417" s="98"/>
      <c r="H1417" s="98"/>
      <c r="I1417" s="98"/>
      <c r="J1417" s="98"/>
      <c r="K1417" s="98"/>
      <c r="L1417" s="98"/>
      <c r="M1417" s="98"/>
      <c r="N1417" s="98"/>
      <c r="O1417" s="98"/>
      <c r="P1417" s="98"/>
      <c r="Q1417" s="98"/>
      <c r="R1417" s="98"/>
      <c r="S1417" s="98" t="str">
        <f>IFERROR(__xludf.DUMMYFUNCTION("""COMPUTED_VALUE"""),"-")</f>
        <v>-</v>
      </c>
      <c r="T1417" s="98"/>
    </row>
    <row r="1418">
      <c r="A1418" s="98"/>
      <c r="B1418" s="98"/>
      <c r="C1418" s="98"/>
      <c r="D1418" s="98"/>
      <c r="E1418" s="98"/>
      <c r="F1418" s="98"/>
      <c r="G1418" s="98"/>
      <c r="H1418" s="98"/>
      <c r="I1418" s="98"/>
      <c r="J1418" s="98"/>
      <c r="K1418" s="98"/>
      <c r="L1418" s="98"/>
      <c r="M1418" s="98"/>
      <c r="N1418" s="98"/>
      <c r="O1418" s="98"/>
      <c r="P1418" s="98"/>
      <c r="Q1418" s="98"/>
      <c r="R1418" s="98"/>
      <c r="S1418" s="98" t="str">
        <f>IFERROR(__xludf.DUMMYFUNCTION("""COMPUTED_VALUE"""),"-")</f>
        <v>-</v>
      </c>
      <c r="T1418" s="98"/>
    </row>
    <row r="1419">
      <c r="A1419" s="98"/>
      <c r="B1419" s="98"/>
      <c r="C1419" s="98"/>
      <c r="D1419" s="98"/>
      <c r="E1419" s="98"/>
      <c r="F1419" s="98"/>
      <c r="G1419" s="98"/>
      <c r="H1419" s="98"/>
      <c r="I1419" s="98"/>
      <c r="J1419" s="98"/>
      <c r="K1419" s="98"/>
      <c r="L1419" s="98"/>
      <c r="M1419" s="98"/>
      <c r="N1419" s="98"/>
      <c r="O1419" s="98"/>
      <c r="P1419" s="98"/>
      <c r="Q1419" s="98"/>
      <c r="R1419" s="98"/>
      <c r="S1419" s="98" t="str">
        <f>IFERROR(__xludf.DUMMYFUNCTION("""COMPUTED_VALUE"""),"-")</f>
        <v>-</v>
      </c>
      <c r="T1419" s="98"/>
    </row>
    <row r="1420">
      <c r="A1420" s="98"/>
      <c r="B1420" s="98"/>
      <c r="C1420" s="98"/>
      <c r="D1420" s="98"/>
      <c r="E1420" s="98"/>
      <c r="F1420" s="98"/>
      <c r="G1420" s="98"/>
      <c r="H1420" s="98"/>
      <c r="I1420" s="98"/>
      <c r="J1420" s="98"/>
      <c r="K1420" s="98"/>
      <c r="L1420" s="98"/>
      <c r="M1420" s="98"/>
      <c r="N1420" s="98"/>
      <c r="O1420" s="98"/>
      <c r="P1420" s="98"/>
      <c r="Q1420" s="98"/>
      <c r="R1420" s="98"/>
      <c r="S1420" s="98" t="str">
        <f>IFERROR(__xludf.DUMMYFUNCTION("""COMPUTED_VALUE"""),"-")</f>
        <v>-</v>
      </c>
      <c r="T1420" s="98"/>
    </row>
    <row r="1421">
      <c r="A1421" s="98"/>
      <c r="B1421" s="98"/>
      <c r="C1421" s="98"/>
      <c r="D1421" s="98"/>
      <c r="E1421" s="98"/>
      <c r="F1421" s="98"/>
      <c r="G1421" s="98"/>
      <c r="H1421" s="98"/>
      <c r="I1421" s="98"/>
      <c r="J1421" s="98"/>
      <c r="K1421" s="98"/>
      <c r="L1421" s="98"/>
      <c r="M1421" s="98"/>
      <c r="N1421" s="98"/>
      <c r="O1421" s="98"/>
      <c r="P1421" s="98"/>
      <c r="Q1421" s="98"/>
      <c r="R1421" s="98"/>
      <c r="S1421" s="98" t="str">
        <f>IFERROR(__xludf.DUMMYFUNCTION("""COMPUTED_VALUE"""),"-")</f>
        <v>-</v>
      </c>
      <c r="T1421" s="98"/>
    </row>
    <row r="1422">
      <c r="A1422" s="98"/>
      <c r="B1422" s="98"/>
      <c r="C1422" s="98"/>
      <c r="D1422" s="98"/>
      <c r="E1422" s="98"/>
      <c r="F1422" s="98"/>
      <c r="G1422" s="98"/>
      <c r="H1422" s="98"/>
      <c r="I1422" s="98"/>
      <c r="J1422" s="98"/>
      <c r="K1422" s="98"/>
      <c r="L1422" s="98"/>
      <c r="M1422" s="98"/>
      <c r="N1422" s="98"/>
      <c r="O1422" s="98"/>
      <c r="P1422" s="98"/>
      <c r="Q1422" s="98"/>
      <c r="R1422" s="98"/>
      <c r="S1422" s="98" t="str">
        <f>IFERROR(__xludf.DUMMYFUNCTION("""COMPUTED_VALUE"""),"-")</f>
        <v>-</v>
      </c>
      <c r="T1422" s="98"/>
    </row>
    <row r="1423">
      <c r="A1423" s="98"/>
      <c r="B1423" s="98"/>
      <c r="C1423" s="98"/>
      <c r="D1423" s="98"/>
      <c r="E1423" s="98"/>
      <c r="F1423" s="98"/>
      <c r="G1423" s="98"/>
      <c r="H1423" s="98"/>
      <c r="I1423" s="98"/>
      <c r="J1423" s="98"/>
      <c r="K1423" s="98"/>
      <c r="L1423" s="98"/>
      <c r="M1423" s="98"/>
      <c r="N1423" s="98"/>
      <c r="O1423" s="98"/>
      <c r="P1423" s="98"/>
      <c r="Q1423" s="98"/>
      <c r="R1423" s="98"/>
      <c r="S1423" s="98" t="str">
        <f>IFERROR(__xludf.DUMMYFUNCTION("""COMPUTED_VALUE"""),"-")</f>
        <v>-</v>
      </c>
      <c r="T1423" s="98"/>
    </row>
    <row r="1424">
      <c r="A1424" s="98"/>
      <c r="B1424" s="98"/>
      <c r="C1424" s="98"/>
      <c r="D1424" s="98"/>
      <c r="E1424" s="98"/>
      <c r="F1424" s="98"/>
      <c r="G1424" s="98"/>
      <c r="H1424" s="98"/>
      <c r="I1424" s="98"/>
      <c r="J1424" s="98"/>
      <c r="K1424" s="98"/>
      <c r="L1424" s="98"/>
      <c r="M1424" s="98"/>
      <c r="N1424" s="98"/>
      <c r="O1424" s="98"/>
      <c r="P1424" s="98"/>
      <c r="Q1424" s="98"/>
      <c r="R1424" s="98"/>
      <c r="S1424" s="98" t="str">
        <f>IFERROR(__xludf.DUMMYFUNCTION("""COMPUTED_VALUE"""),"-")</f>
        <v>-</v>
      </c>
      <c r="T1424" s="98"/>
    </row>
    <row r="1425">
      <c r="A1425" s="98"/>
      <c r="B1425" s="98"/>
      <c r="C1425" s="98"/>
      <c r="D1425" s="98"/>
      <c r="E1425" s="98"/>
      <c r="F1425" s="98"/>
      <c r="G1425" s="98"/>
      <c r="H1425" s="98"/>
      <c r="I1425" s="98"/>
      <c r="J1425" s="98"/>
      <c r="K1425" s="98"/>
      <c r="L1425" s="98"/>
      <c r="M1425" s="98"/>
      <c r="N1425" s="98"/>
      <c r="O1425" s="98"/>
      <c r="P1425" s="98"/>
      <c r="Q1425" s="98"/>
      <c r="R1425" s="98"/>
      <c r="S1425" s="98" t="str">
        <f>IFERROR(__xludf.DUMMYFUNCTION("""COMPUTED_VALUE"""),"-")</f>
        <v>-</v>
      </c>
      <c r="T1425" s="98"/>
    </row>
    <row r="1426">
      <c r="A1426" s="98"/>
      <c r="B1426" s="98"/>
      <c r="C1426" s="98"/>
      <c r="D1426" s="98"/>
      <c r="E1426" s="98"/>
      <c r="F1426" s="98"/>
      <c r="G1426" s="98"/>
      <c r="H1426" s="98"/>
      <c r="I1426" s="98"/>
      <c r="J1426" s="98"/>
      <c r="K1426" s="98"/>
      <c r="L1426" s="98"/>
      <c r="M1426" s="98"/>
      <c r="N1426" s="98"/>
      <c r="O1426" s="98"/>
      <c r="P1426" s="98"/>
      <c r="Q1426" s="98"/>
      <c r="R1426" s="98"/>
      <c r="S1426" s="98" t="str">
        <f>IFERROR(__xludf.DUMMYFUNCTION("""COMPUTED_VALUE"""),"-")</f>
        <v>-</v>
      </c>
      <c r="T1426" s="98"/>
    </row>
    <row r="1427">
      <c r="A1427" s="98"/>
      <c r="B1427" s="98"/>
      <c r="C1427" s="98"/>
      <c r="D1427" s="98"/>
      <c r="E1427" s="98"/>
      <c r="F1427" s="98"/>
      <c r="G1427" s="98"/>
      <c r="H1427" s="98"/>
      <c r="I1427" s="98"/>
      <c r="J1427" s="98"/>
      <c r="K1427" s="98"/>
      <c r="L1427" s="98"/>
      <c r="M1427" s="98"/>
      <c r="N1427" s="98"/>
      <c r="O1427" s="98"/>
      <c r="P1427" s="98"/>
      <c r="Q1427" s="98"/>
      <c r="R1427" s="98"/>
      <c r="S1427" s="98" t="str">
        <f>IFERROR(__xludf.DUMMYFUNCTION("""COMPUTED_VALUE"""),"-")</f>
        <v>-</v>
      </c>
      <c r="T1427" s="98"/>
    </row>
    <row r="1428">
      <c r="A1428" s="98"/>
      <c r="B1428" s="98"/>
      <c r="C1428" s="98"/>
      <c r="D1428" s="98"/>
      <c r="E1428" s="98"/>
      <c r="F1428" s="98"/>
      <c r="G1428" s="98"/>
      <c r="H1428" s="98"/>
      <c r="I1428" s="98"/>
      <c r="J1428" s="98"/>
      <c r="K1428" s="98"/>
      <c r="L1428" s="98"/>
      <c r="M1428" s="98"/>
      <c r="N1428" s="98"/>
      <c r="O1428" s="98"/>
      <c r="P1428" s="98"/>
      <c r="Q1428" s="98"/>
      <c r="R1428" s="98"/>
      <c r="S1428" s="98" t="str">
        <f>IFERROR(__xludf.DUMMYFUNCTION("""COMPUTED_VALUE"""),"-")</f>
        <v>-</v>
      </c>
      <c r="T1428" s="98"/>
    </row>
    <row r="1429">
      <c r="A1429" s="98"/>
      <c r="B1429" s="98"/>
      <c r="C1429" s="98"/>
      <c r="D1429" s="98"/>
      <c r="E1429" s="98"/>
      <c r="F1429" s="98"/>
      <c r="G1429" s="98"/>
      <c r="H1429" s="98"/>
      <c r="I1429" s="98"/>
      <c r="J1429" s="98"/>
      <c r="K1429" s="98"/>
      <c r="L1429" s="98"/>
      <c r="M1429" s="98"/>
      <c r="N1429" s="98"/>
      <c r="O1429" s="98"/>
      <c r="P1429" s="98"/>
      <c r="Q1429" s="98"/>
      <c r="R1429" s="98"/>
      <c r="S1429" s="98" t="str">
        <f>IFERROR(__xludf.DUMMYFUNCTION("""COMPUTED_VALUE"""),"-")</f>
        <v>-</v>
      </c>
      <c r="T1429" s="98"/>
    </row>
    <row r="1430">
      <c r="A1430" s="98"/>
      <c r="B1430" s="98"/>
      <c r="C1430" s="98"/>
      <c r="D1430" s="98"/>
      <c r="E1430" s="98"/>
      <c r="F1430" s="98"/>
      <c r="G1430" s="98"/>
      <c r="H1430" s="98"/>
      <c r="I1430" s="98"/>
      <c r="J1430" s="98"/>
      <c r="K1430" s="98"/>
      <c r="L1430" s="98"/>
      <c r="M1430" s="98"/>
      <c r="N1430" s="98"/>
      <c r="O1430" s="98"/>
      <c r="P1430" s="98"/>
      <c r="Q1430" s="98"/>
      <c r="R1430" s="98"/>
      <c r="S1430" s="98" t="str">
        <f>IFERROR(__xludf.DUMMYFUNCTION("""COMPUTED_VALUE"""),"-")</f>
        <v>-</v>
      </c>
      <c r="T1430" s="98"/>
    </row>
    <row r="1431">
      <c r="A1431" s="98"/>
      <c r="B1431" s="98"/>
      <c r="C1431" s="98"/>
      <c r="D1431" s="98"/>
      <c r="E1431" s="98"/>
      <c r="F1431" s="98"/>
      <c r="G1431" s="98"/>
      <c r="H1431" s="98"/>
      <c r="I1431" s="98"/>
      <c r="J1431" s="98"/>
      <c r="K1431" s="98"/>
      <c r="L1431" s="98"/>
      <c r="M1431" s="98"/>
      <c r="N1431" s="98"/>
      <c r="O1431" s="98"/>
      <c r="P1431" s="98"/>
      <c r="Q1431" s="98"/>
      <c r="R1431" s="98"/>
      <c r="S1431" s="98" t="str">
        <f>IFERROR(__xludf.DUMMYFUNCTION("""COMPUTED_VALUE"""),"-")</f>
        <v>-</v>
      </c>
      <c r="T1431" s="98"/>
    </row>
    <row r="1432">
      <c r="A1432" s="98"/>
      <c r="B1432" s="98"/>
      <c r="C1432" s="98"/>
      <c r="D1432" s="98"/>
      <c r="E1432" s="98"/>
      <c r="F1432" s="98"/>
      <c r="G1432" s="98"/>
      <c r="H1432" s="98"/>
      <c r="I1432" s="98"/>
      <c r="J1432" s="98"/>
      <c r="K1432" s="98"/>
      <c r="L1432" s="98"/>
      <c r="M1432" s="98"/>
      <c r="N1432" s="98"/>
      <c r="O1432" s="98"/>
      <c r="P1432" s="98"/>
      <c r="Q1432" s="98"/>
      <c r="R1432" s="98"/>
      <c r="S1432" s="98" t="str">
        <f>IFERROR(__xludf.DUMMYFUNCTION("""COMPUTED_VALUE"""),"-")</f>
        <v>-</v>
      </c>
      <c r="T1432" s="98"/>
    </row>
    <row r="1433">
      <c r="A1433" s="98"/>
      <c r="B1433" s="98"/>
      <c r="C1433" s="98"/>
      <c r="D1433" s="98"/>
      <c r="E1433" s="98"/>
      <c r="F1433" s="98"/>
      <c r="G1433" s="98"/>
      <c r="H1433" s="98"/>
      <c r="I1433" s="98"/>
      <c r="J1433" s="98"/>
      <c r="K1433" s="98"/>
      <c r="L1433" s="98"/>
      <c r="M1433" s="98"/>
      <c r="N1433" s="98"/>
      <c r="O1433" s="98"/>
      <c r="P1433" s="98"/>
      <c r="Q1433" s="98"/>
      <c r="R1433" s="98"/>
      <c r="S1433" s="98" t="str">
        <f>IFERROR(__xludf.DUMMYFUNCTION("""COMPUTED_VALUE"""),"-")</f>
        <v>-</v>
      </c>
      <c r="T1433" s="98"/>
    </row>
    <row r="1434">
      <c r="A1434" s="98"/>
      <c r="B1434" s="98"/>
      <c r="C1434" s="98"/>
      <c r="D1434" s="98"/>
      <c r="E1434" s="98"/>
      <c r="F1434" s="98"/>
      <c r="G1434" s="98"/>
      <c r="H1434" s="98"/>
      <c r="I1434" s="98"/>
      <c r="J1434" s="98"/>
      <c r="K1434" s="98"/>
      <c r="L1434" s="98"/>
      <c r="M1434" s="98"/>
      <c r="N1434" s="98"/>
      <c r="O1434" s="98"/>
      <c r="P1434" s="98"/>
      <c r="Q1434" s="98"/>
      <c r="R1434" s="98"/>
      <c r="S1434" s="98" t="str">
        <f>IFERROR(__xludf.DUMMYFUNCTION("""COMPUTED_VALUE"""),"-")</f>
        <v>-</v>
      </c>
      <c r="T1434" s="98"/>
    </row>
    <row r="1435">
      <c r="A1435" s="98"/>
      <c r="B1435" s="98"/>
      <c r="C1435" s="98"/>
      <c r="D1435" s="98"/>
      <c r="E1435" s="98"/>
      <c r="F1435" s="98"/>
      <c r="G1435" s="98"/>
      <c r="H1435" s="98"/>
      <c r="I1435" s="98"/>
      <c r="J1435" s="98"/>
      <c r="K1435" s="98"/>
      <c r="L1435" s="98"/>
      <c r="M1435" s="98"/>
      <c r="N1435" s="98"/>
      <c r="O1435" s="98"/>
      <c r="P1435" s="98"/>
      <c r="Q1435" s="98"/>
      <c r="R1435" s="98"/>
      <c r="S1435" s="98" t="str">
        <f>IFERROR(__xludf.DUMMYFUNCTION("""COMPUTED_VALUE"""),"-")</f>
        <v>-</v>
      </c>
      <c r="T1435" s="98"/>
    </row>
    <row r="1436">
      <c r="A1436" s="98"/>
      <c r="B1436" s="98"/>
      <c r="C1436" s="98"/>
      <c r="D1436" s="98"/>
      <c r="E1436" s="98"/>
      <c r="F1436" s="98"/>
      <c r="G1436" s="98"/>
      <c r="H1436" s="98"/>
      <c r="I1436" s="98"/>
      <c r="J1436" s="98"/>
      <c r="K1436" s="98"/>
      <c r="L1436" s="98"/>
      <c r="M1436" s="98"/>
      <c r="N1436" s="98"/>
      <c r="O1436" s="98"/>
      <c r="P1436" s="98"/>
      <c r="Q1436" s="98"/>
      <c r="R1436" s="98"/>
      <c r="S1436" s="98" t="str">
        <f>IFERROR(__xludf.DUMMYFUNCTION("""COMPUTED_VALUE"""),"-")</f>
        <v>-</v>
      </c>
      <c r="T1436" s="98"/>
    </row>
    <row r="1437">
      <c r="A1437" s="98"/>
      <c r="B1437" s="98"/>
      <c r="C1437" s="98"/>
      <c r="D1437" s="98"/>
      <c r="E1437" s="98"/>
      <c r="F1437" s="98"/>
      <c r="G1437" s="98"/>
      <c r="H1437" s="98"/>
      <c r="I1437" s="98"/>
      <c r="J1437" s="98"/>
      <c r="K1437" s="98"/>
      <c r="L1437" s="98"/>
      <c r="M1437" s="98"/>
      <c r="N1437" s="98"/>
      <c r="O1437" s="98"/>
      <c r="P1437" s="98"/>
      <c r="Q1437" s="98"/>
      <c r="R1437" s="98"/>
      <c r="S1437" s="98" t="str">
        <f>IFERROR(__xludf.DUMMYFUNCTION("""COMPUTED_VALUE"""),"-")</f>
        <v>-</v>
      </c>
      <c r="T1437" s="98"/>
    </row>
    <row r="1438">
      <c r="A1438" s="98"/>
      <c r="B1438" s="98"/>
      <c r="C1438" s="98"/>
      <c r="D1438" s="98"/>
      <c r="E1438" s="98"/>
      <c r="F1438" s="98"/>
      <c r="G1438" s="98"/>
      <c r="H1438" s="98"/>
      <c r="I1438" s="98"/>
      <c r="J1438" s="98"/>
      <c r="K1438" s="98"/>
      <c r="L1438" s="98"/>
      <c r="M1438" s="98"/>
      <c r="N1438" s="98"/>
      <c r="O1438" s="98"/>
      <c r="P1438" s="98"/>
      <c r="Q1438" s="98"/>
      <c r="R1438" s="98"/>
      <c r="S1438" s="98" t="str">
        <f>IFERROR(__xludf.DUMMYFUNCTION("""COMPUTED_VALUE"""),"-")</f>
        <v>-</v>
      </c>
      <c r="T1438" s="98"/>
    </row>
    <row r="1439">
      <c r="A1439" s="98"/>
      <c r="B1439" s="98"/>
      <c r="C1439" s="98"/>
      <c r="D1439" s="98"/>
      <c r="E1439" s="98"/>
      <c r="F1439" s="98"/>
      <c r="G1439" s="98"/>
      <c r="H1439" s="98"/>
      <c r="I1439" s="98"/>
      <c r="J1439" s="98"/>
      <c r="K1439" s="98"/>
      <c r="L1439" s="98"/>
      <c r="M1439" s="98"/>
      <c r="N1439" s="98"/>
      <c r="O1439" s="98"/>
      <c r="P1439" s="98"/>
      <c r="Q1439" s="98"/>
      <c r="R1439" s="98"/>
      <c r="S1439" s="98" t="str">
        <f>IFERROR(__xludf.DUMMYFUNCTION("""COMPUTED_VALUE"""),"-")</f>
        <v>-</v>
      </c>
      <c r="T1439" s="98"/>
    </row>
    <row r="1440">
      <c r="A1440" s="98"/>
      <c r="B1440" s="98"/>
      <c r="C1440" s="98"/>
      <c r="D1440" s="98"/>
      <c r="E1440" s="98"/>
      <c r="F1440" s="98"/>
      <c r="G1440" s="98"/>
      <c r="H1440" s="98"/>
      <c r="I1440" s="98"/>
      <c r="J1440" s="98"/>
      <c r="K1440" s="98"/>
      <c r="L1440" s="98"/>
      <c r="M1440" s="98"/>
      <c r="N1440" s="98"/>
      <c r="O1440" s="98"/>
      <c r="P1440" s="98"/>
      <c r="Q1440" s="98"/>
      <c r="R1440" s="98"/>
      <c r="S1440" s="98" t="str">
        <f>IFERROR(__xludf.DUMMYFUNCTION("""COMPUTED_VALUE"""),"-")</f>
        <v>-</v>
      </c>
      <c r="T1440" s="98"/>
    </row>
    <row r="1441">
      <c r="A1441" s="98"/>
      <c r="B1441" s="98"/>
      <c r="C1441" s="98"/>
      <c r="D1441" s="98"/>
      <c r="E1441" s="98"/>
      <c r="F1441" s="98"/>
      <c r="G1441" s="98"/>
      <c r="H1441" s="98"/>
      <c r="I1441" s="98"/>
      <c r="J1441" s="98"/>
      <c r="K1441" s="98"/>
      <c r="L1441" s="98"/>
      <c r="M1441" s="98"/>
      <c r="N1441" s="98"/>
      <c r="O1441" s="98"/>
      <c r="P1441" s="98"/>
      <c r="Q1441" s="98"/>
      <c r="R1441" s="98"/>
      <c r="S1441" s="98" t="str">
        <f>IFERROR(__xludf.DUMMYFUNCTION("""COMPUTED_VALUE"""),"-")</f>
        <v>-</v>
      </c>
      <c r="T1441" s="98"/>
    </row>
    <row r="1442">
      <c r="A1442" s="98"/>
      <c r="B1442" s="98"/>
      <c r="C1442" s="98"/>
      <c r="D1442" s="98"/>
      <c r="E1442" s="98"/>
      <c r="F1442" s="98"/>
      <c r="G1442" s="98"/>
      <c r="H1442" s="98"/>
      <c r="I1442" s="98"/>
      <c r="J1442" s="98"/>
      <c r="K1442" s="98"/>
      <c r="L1442" s="98"/>
      <c r="M1442" s="98"/>
      <c r="N1442" s="98"/>
      <c r="O1442" s="98"/>
      <c r="P1442" s="98"/>
      <c r="Q1442" s="98"/>
      <c r="R1442" s="98"/>
      <c r="S1442" s="98" t="str">
        <f>IFERROR(__xludf.DUMMYFUNCTION("""COMPUTED_VALUE"""),"-")</f>
        <v>-</v>
      </c>
      <c r="T1442" s="98"/>
    </row>
    <row r="1443">
      <c r="A1443" s="98"/>
      <c r="B1443" s="98"/>
      <c r="C1443" s="98"/>
      <c r="D1443" s="98"/>
      <c r="E1443" s="98"/>
      <c r="F1443" s="98"/>
      <c r="G1443" s="98"/>
      <c r="H1443" s="98"/>
      <c r="I1443" s="98"/>
      <c r="J1443" s="98"/>
      <c r="K1443" s="98"/>
      <c r="L1443" s="98"/>
      <c r="M1443" s="98"/>
      <c r="N1443" s="98"/>
      <c r="O1443" s="98"/>
      <c r="P1443" s="98"/>
      <c r="Q1443" s="98"/>
      <c r="R1443" s="98"/>
      <c r="S1443" s="98" t="str">
        <f>IFERROR(__xludf.DUMMYFUNCTION("""COMPUTED_VALUE"""),"-")</f>
        <v>-</v>
      </c>
      <c r="T1443" s="98"/>
    </row>
    <row r="1444">
      <c r="A1444" s="98"/>
      <c r="B1444" s="98"/>
      <c r="C1444" s="98"/>
      <c r="D1444" s="98"/>
      <c r="E1444" s="98"/>
      <c r="F1444" s="98"/>
      <c r="G1444" s="98"/>
      <c r="H1444" s="98"/>
      <c r="I1444" s="98"/>
      <c r="J1444" s="98"/>
      <c r="K1444" s="98"/>
      <c r="L1444" s="98"/>
      <c r="M1444" s="98"/>
      <c r="N1444" s="98"/>
      <c r="O1444" s="98"/>
      <c r="P1444" s="98"/>
      <c r="Q1444" s="98"/>
      <c r="R1444" s="98"/>
      <c r="S1444" s="98" t="str">
        <f>IFERROR(__xludf.DUMMYFUNCTION("""COMPUTED_VALUE"""),"-")</f>
        <v>-</v>
      </c>
      <c r="T1444" s="98"/>
    </row>
    <row r="1445">
      <c r="A1445" s="98"/>
      <c r="B1445" s="98"/>
      <c r="C1445" s="98"/>
      <c r="D1445" s="98"/>
      <c r="E1445" s="98"/>
      <c r="F1445" s="98"/>
      <c r="G1445" s="98"/>
      <c r="H1445" s="98"/>
      <c r="I1445" s="98"/>
      <c r="J1445" s="98"/>
      <c r="K1445" s="98"/>
      <c r="L1445" s="98"/>
      <c r="M1445" s="98"/>
      <c r="N1445" s="98"/>
      <c r="O1445" s="98"/>
      <c r="P1445" s="98"/>
      <c r="Q1445" s="98"/>
      <c r="R1445" s="98"/>
      <c r="S1445" s="98" t="str">
        <f>IFERROR(__xludf.DUMMYFUNCTION("""COMPUTED_VALUE"""),"-")</f>
        <v>-</v>
      </c>
      <c r="T1445" s="98"/>
    </row>
    <row r="1446">
      <c r="A1446" s="98"/>
      <c r="B1446" s="98"/>
      <c r="C1446" s="98"/>
      <c r="D1446" s="98"/>
      <c r="E1446" s="98"/>
      <c r="F1446" s="98"/>
      <c r="G1446" s="98"/>
      <c r="H1446" s="98"/>
      <c r="I1446" s="98"/>
      <c r="J1446" s="98"/>
      <c r="K1446" s="98"/>
      <c r="L1446" s="98"/>
      <c r="M1446" s="98"/>
      <c r="N1446" s="98"/>
      <c r="O1446" s="98"/>
      <c r="P1446" s="98"/>
      <c r="Q1446" s="98"/>
      <c r="R1446" s="98"/>
      <c r="S1446" s="98" t="str">
        <f>IFERROR(__xludf.DUMMYFUNCTION("""COMPUTED_VALUE"""),"-")</f>
        <v>-</v>
      </c>
      <c r="T1446" s="98"/>
    </row>
    <row r="1447">
      <c r="A1447" s="98"/>
      <c r="B1447" s="98"/>
      <c r="C1447" s="98"/>
      <c r="D1447" s="98"/>
      <c r="E1447" s="98"/>
      <c r="F1447" s="98"/>
      <c r="G1447" s="98"/>
      <c r="H1447" s="98"/>
      <c r="I1447" s="98"/>
      <c r="J1447" s="98"/>
      <c r="K1447" s="98"/>
      <c r="L1447" s="98"/>
      <c r="M1447" s="98"/>
      <c r="N1447" s="98"/>
      <c r="O1447" s="98"/>
      <c r="P1447" s="98"/>
      <c r="Q1447" s="98"/>
      <c r="R1447" s="98"/>
      <c r="S1447" s="98" t="str">
        <f>IFERROR(__xludf.DUMMYFUNCTION("""COMPUTED_VALUE"""),"-")</f>
        <v>-</v>
      </c>
      <c r="T1447" s="98"/>
    </row>
    <row r="1448">
      <c r="A1448" s="98"/>
      <c r="B1448" s="98"/>
      <c r="C1448" s="98"/>
      <c r="D1448" s="98"/>
      <c r="E1448" s="98"/>
      <c r="F1448" s="98"/>
      <c r="G1448" s="98"/>
      <c r="H1448" s="98"/>
      <c r="I1448" s="98"/>
      <c r="J1448" s="98"/>
      <c r="K1448" s="98"/>
      <c r="L1448" s="98"/>
      <c r="M1448" s="98"/>
      <c r="N1448" s="98"/>
      <c r="O1448" s="98"/>
      <c r="P1448" s="98"/>
      <c r="Q1448" s="98"/>
      <c r="R1448" s="98"/>
      <c r="S1448" s="98" t="str">
        <f>IFERROR(__xludf.DUMMYFUNCTION("""COMPUTED_VALUE"""),"-")</f>
        <v>-</v>
      </c>
      <c r="T1448" s="98"/>
    </row>
    <row r="1449">
      <c r="A1449" s="98"/>
      <c r="B1449" s="98"/>
      <c r="C1449" s="98"/>
      <c r="D1449" s="98"/>
      <c r="E1449" s="98"/>
      <c r="F1449" s="98"/>
      <c r="G1449" s="98"/>
      <c r="H1449" s="98"/>
      <c r="I1449" s="98"/>
      <c r="J1449" s="98"/>
      <c r="K1449" s="98"/>
      <c r="L1449" s="98"/>
      <c r="M1449" s="98"/>
      <c r="N1449" s="98"/>
      <c r="O1449" s="98"/>
      <c r="P1449" s="98"/>
      <c r="Q1449" s="98"/>
      <c r="R1449" s="98"/>
      <c r="S1449" s="98" t="str">
        <f>IFERROR(__xludf.DUMMYFUNCTION("""COMPUTED_VALUE"""),"-")</f>
        <v>-</v>
      </c>
      <c r="T1449" s="98"/>
    </row>
    <row r="1450">
      <c r="A1450" s="98"/>
      <c r="B1450" s="98"/>
      <c r="C1450" s="98"/>
      <c r="D1450" s="98"/>
      <c r="E1450" s="98"/>
      <c r="F1450" s="98"/>
      <c r="G1450" s="98"/>
      <c r="H1450" s="98"/>
      <c r="I1450" s="98"/>
      <c r="J1450" s="98"/>
      <c r="K1450" s="98"/>
      <c r="L1450" s="98"/>
      <c r="M1450" s="98"/>
      <c r="N1450" s="98"/>
      <c r="O1450" s="98"/>
      <c r="P1450" s="98"/>
      <c r="Q1450" s="98"/>
      <c r="R1450" s="98"/>
      <c r="S1450" s="98" t="str">
        <f>IFERROR(__xludf.DUMMYFUNCTION("""COMPUTED_VALUE"""),"-")</f>
        <v>-</v>
      </c>
      <c r="T1450" s="98"/>
    </row>
    <row r="1451">
      <c r="A1451" s="98"/>
      <c r="B1451" s="98"/>
      <c r="C1451" s="98"/>
      <c r="D1451" s="98"/>
      <c r="E1451" s="98"/>
      <c r="F1451" s="98"/>
      <c r="G1451" s="98"/>
      <c r="H1451" s="98"/>
      <c r="I1451" s="98"/>
      <c r="J1451" s="98"/>
      <c r="K1451" s="98"/>
      <c r="L1451" s="98"/>
      <c r="M1451" s="98"/>
      <c r="N1451" s="98"/>
      <c r="O1451" s="98"/>
      <c r="P1451" s="98"/>
      <c r="Q1451" s="98"/>
      <c r="R1451" s="98"/>
      <c r="S1451" s="98" t="str">
        <f>IFERROR(__xludf.DUMMYFUNCTION("""COMPUTED_VALUE"""),"-")</f>
        <v>-</v>
      </c>
      <c r="T1451" s="98"/>
    </row>
    <row r="1452">
      <c r="A1452" s="98"/>
      <c r="B1452" s="98"/>
      <c r="C1452" s="98"/>
      <c r="D1452" s="98"/>
      <c r="E1452" s="98"/>
      <c r="F1452" s="98"/>
      <c r="G1452" s="98"/>
      <c r="H1452" s="98"/>
      <c r="I1452" s="98"/>
      <c r="J1452" s="98"/>
      <c r="K1452" s="98"/>
      <c r="L1452" s="98"/>
      <c r="M1452" s="98"/>
      <c r="N1452" s="98"/>
      <c r="O1452" s="98"/>
      <c r="P1452" s="98"/>
      <c r="Q1452" s="98"/>
      <c r="R1452" s="98"/>
      <c r="S1452" s="98" t="str">
        <f>IFERROR(__xludf.DUMMYFUNCTION("""COMPUTED_VALUE"""),"-")</f>
        <v>-</v>
      </c>
      <c r="T1452" s="98"/>
    </row>
    <row r="1453">
      <c r="A1453" s="98"/>
      <c r="B1453" s="98"/>
      <c r="C1453" s="98"/>
      <c r="D1453" s="98"/>
      <c r="E1453" s="98"/>
      <c r="F1453" s="98"/>
      <c r="G1453" s="98"/>
      <c r="H1453" s="98"/>
      <c r="I1453" s="98"/>
      <c r="J1453" s="98"/>
      <c r="K1453" s="98"/>
      <c r="L1453" s="98"/>
      <c r="M1453" s="98"/>
      <c r="N1453" s="98"/>
      <c r="O1453" s="98"/>
      <c r="P1453" s="98"/>
      <c r="Q1453" s="98"/>
      <c r="R1453" s="98"/>
      <c r="S1453" s="98" t="str">
        <f>IFERROR(__xludf.DUMMYFUNCTION("""COMPUTED_VALUE"""),"-")</f>
        <v>-</v>
      </c>
      <c r="T1453" s="98"/>
    </row>
    <row r="1454">
      <c r="A1454" s="98"/>
      <c r="B1454" s="98"/>
      <c r="C1454" s="98"/>
      <c r="D1454" s="98"/>
      <c r="E1454" s="98"/>
      <c r="F1454" s="98"/>
      <c r="G1454" s="98"/>
      <c r="H1454" s="98"/>
      <c r="I1454" s="98"/>
      <c r="J1454" s="98"/>
      <c r="K1454" s="98"/>
      <c r="L1454" s="98"/>
      <c r="M1454" s="98"/>
      <c r="N1454" s="98"/>
      <c r="O1454" s="98"/>
      <c r="P1454" s="98"/>
      <c r="Q1454" s="98"/>
      <c r="R1454" s="98"/>
      <c r="S1454" s="98" t="str">
        <f>IFERROR(__xludf.DUMMYFUNCTION("""COMPUTED_VALUE"""),"-")</f>
        <v>-</v>
      </c>
      <c r="T1454" s="98"/>
    </row>
    <row r="1455">
      <c r="A1455" s="98"/>
      <c r="B1455" s="98"/>
      <c r="C1455" s="98"/>
      <c r="D1455" s="98"/>
      <c r="E1455" s="98"/>
      <c r="F1455" s="98"/>
      <c r="G1455" s="98"/>
      <c r="H1455" s="98"/>
      <c r="I1455" s="98"/>
      <c r="J1455" s="98"/>
      <c r="K1455" s="98"/>
      <c r="L1455" s="98"/>
      <c r="M1455" s="98"/>
      <c r="N1455" s="98"/>
      <c r="O1455" s="98"/>
      <c r="P1455" s="98"/>
      <c r="Q1455" s="98"/>
      <c r="R1455" s="98"/>
      <c r="S1455" s="98" t="str">
        <f>IFERROR(__xludf.DUMMYFUNCTION("""COMPUTED_VALUE"""),"-")</f>
        <v>-</v>
      </c>
      <c r="T1455" s="98"/>
    </row>
    <row r="1456">
      <c r="A1456" s="98"/>
      <c r="B1456" s="98"/>
      <c r="C1456" s="98"/>
      <c r="D1456" s="98"/>
      <c r="E1456" s="98"/>
      <c r="F1456" s="98"/>
      <c r="G1456" s="98"/>
      <c r="H1456" s="98"/>
      <c r="I1456" s="98"/>
      <c r="J1456" s="98"/>
      <c r="K1456" s="98"/>
      <c r="L1456" s="98"/>
      <c r="M1456" s="98"/>
      <c r="N1456" s="98"/>
      <c r="O1456" s="98"/>
      <c r="P1456" s="98"/>
      <c r="Q1456" s="98"/>
      <c r="R1456" s="98"/>
      <c r="S1456" s="98" t="str">
        <f>IFERROR(__xludf.DUMMYFUNCTION("""COMPUTED_VALUE"""),"-")</f>
        <v>-</v>
      </c>
      <c r="T1456" s="98"/>
    </row>
    <row r="1457">
      <c r="A1457" s="98"/>
      <c r="B1457" s="98"/>
      <c r="C1457" s="98"/>
      <c r="D1457" s="98"/>
      <c r="E1457" s="98"/>
      <c r="F1457" s="98"/>
      <c r="G1457" s="98"/>
      <c r="H1457" s="98"/>
      <c r="I1457" s="98"/>
      <c r="J1457" s="98"/>
      <c r="K1457" s="98"/>
      <c r="L1457" s="98"/>
      <c r="M1457" s="98"/>
      <c r="N1457" s="98"/>
      <c r="O1457" s="98"/>
      <c r="P1457" s="98"/>
      <c r="Q1457" s="98"/>
      <c r="R1457" s="98"/>
      <c r="S1457" s="98" t="str">
        <f>IFERROR(__xludf.DUMMYFUNCTION("""COMPUTED_VALUE"""),"-")</f>
        <v>-</v>
      </c>
      <c r="T1457" s="98"/>
    </row>
    <row r="1458">
      <c r="A1458" s="98"/>
      <c r="B1458" s="98"/>
      <c r="C1458" s="98"/>
      <c r="D1458" s="98"/>
      <c r="E1458" s="98"/>
      <c r="F1458" s="98"/>
      <c r="G1458" s="98"/>
      <c r="H1458" s="98"/>
      <c r="I1458" s="98"/>
      <c r="J1458" s="98"/>
      <c r="K1458" s="98"/>
      <c r="L1458" s="98"/>
      <c r="M1458" s="98"/>
      <c r="N1458" s="98"/>
      <c r="O1458" s="98"/>
      <c r="P1458" s="98"/>
      <c r="Q1458" s="98"/>
      <c r="R1458" s="98"/>
      <c r="S1458" s="98" t="str">
        <f>IFERROR(__xludf.DUMMYFUNCTION("""COMPUTED_VALUE"""),"-")</f>
        <v>-</v>
      </c>
      <c r="T1458" s="98"/>
    </row>
    <row r="1459">
      <c r="A1459" s="98"/>
      <c r="B1459" s="98"/>
      <c r="C1459" s="98"/>
      <c r="D1459" s="98"/>
      <c r="E1459" s="98"/>
      <c r="F1459" s="98"/>
      <c r="G1459" s="98"/>
      <c r="H1459" s="98"/>
      <c r="I1459" s="98"/>
      <c r="J1459" s="98"/>
      <c r="K1459" s="98"/>
      <c r="L1459" s="98"/>
      <c r="M1459" s="98"/>
      <c r="N1459" s="98"/>
      <c r="O1459" s="98"/>
      <c r="P1459" s="98"/>
      <c r="Q1459" s="98"/>
      <c r="R1459" s="98"/>
      <c r="S1459" s="98" t="str">
        <f>IFERROR(__xludf.DUMMYFUNCTION("""COMPUTED_VALUE"""),"-")</f>
        <v>-</v>
      </c>
      <c r="T1459" s="98"/>
    </row>
    <row r="1460">
      <c r="A1460" s="98"/>
      <c r="B1460" s="98"/>
      <c r="C1460" s="98"/>
      <c r="D1460" s="98"/>
      <c r="E1460" s="98"/>
      <c r="F1460" s="98"/>
      <c r="G1460" s="98"/>
      <c r="H1460" s="98"/>
      <c r="I1460" s="98"/>
      <c r="J1460" s="98"/>
      <c r="K1460" s="98"/>
      <c r="L1460" s="98"/>
      <c r="M1460" s="98"/>
      <c r="N1460" s="98"/>
      <c r="O1460" s="98"/>
      <c r="P1460" s="98"/>
      <c r="Q1460" s="98"/>
      <c r="R1460" s="98"/>
      <c r="S1460" s="98" t="str">
        <f>IFERROR(__xludf.DUMMYFUNCTION("""COMPUTED_VALUE"""),"-")</f>
        <v>-</v>
      </c>
      <c r="T1460" s="98"/>
    </row>
    <row r="1461">
      <c r="A1461" s="98"/>
      <c r="B1461" s="98"/>
      <c r="C1461" s="98"/>
      <c r="D1461" s="98"/>
      <c r="E1461" s="98"/>
      <c r="F1461" s="98"/>
      <c r="G1461" s="98"/>
      <c r="H1461" s="98"/>
      <c r="I1461" s="98"/>
      <c r="J1461" s="98"/>
      <c r="K1461" s="98"/>
      <c r="L1461" s="98"/>
      <c r="M1461" s="98"/>
      <c r="N1461" s="98"/>
      <c r="O1461" s="98"/>
      <c r="P1461" s="98"/>
      <c r="Q1461" s="98"/>
      <c r="R1461" s="98"/>
      <c r="S1461" s="98" t="str">
        <f>IFERROR(__xludf.DUMMYFUNCTION("""COMPUTED_VALUE"""),"-")</f>
        <v>-</v>
      </c>
      <c r="T1461" s="98"/>
    </row>
    <row r="1462">
      <c r="A1462" s="98"/>
      <c r="B1462" s="98"/>
      <c r="C1462" s="98"/>
      <c r="D1462" s="98"/>
      <c r="E1462" s="98"/>
      <c r="F1462" s="98"/>
      <c r="G1462" s="98"/>
      <c r="H1462" s="98"/>
      <c r="I1462" s="98"/>
      <c r="J1462" s="98"/>
      <c r="K1462" s="98"/>
      <c r="L1462" s="98"/>
      <c r="M1462" s="98"/>
      <c r="N1462" s="98"/>
      <c r="O1462" s="98"/>
      <c r="P1462" s="98"/>
      <c r="Q1462" s="98"/>
      <c r="R1462" s="98"/>
      <c r="S1462" s="98" t="str">
        <f>IFERROR(__xludf.DUMMYFUNCTION("""COMPUTED_VALUE"""),"-")</f>
        <v>-</v>
      </c>
      <c r="T1462" s="98"/>
    </row>
    <row r="1463">
      <c r="A1463" s="98"/>
      <c r="B1463" s="98"/>
      <c r="C1463" s="98"/>
      <c r="D1463" s="98"/>
      <c r="E1463" s="98"/>
      <c r="F1463" s="98"/>
      <c r="G1463" s="98"/>
      <c r="H1463" s="98"/>
      <c r="I1463" s="98"/>
      <c r="J1463" s="98"/>
      <c r="K1463" s="98"/>
      <c r="L1463" s="98"/>
      <c r="M1463" s="98"/>
      <c r="N1463" s="98"/>
      <c r="O1463" s="98"/>
      <c r="P1463" s="98"/>
      <c r="Q1463" s="98"/>
      <c r="R1463" s="98"/>
      <c r="S1463" s="98" t="str">
        <f>IFERROR(__xludf.DUMMYFUNCTION("""COMPUTED_VALUE"""),"-")</f>
        <v>-</v>
      </c>
      <c r="T1463" s="98"/>
    </row>
    <row r="1464">
      <c r="A1464" s="98"/>
      <c r="B1464" s="98"/>
      <c r="C1464" s="98"/>
      <c r="D1464" s="98"/>
      <c r="E1464" s="98"/>
      <c r="F1464" s="98"/>
      <c r="G1464" s="98"/>
      <c r="H1464" s="98"/>
      <c r="I1464" s="98"/>
      <c r="J1464" s="98"/>
      <c r="K1464" s="98"/>
      <c r="L1464" s="98"/>
      <c r="M1464" s="98"/>
      <c r="N1464" s="98"/>
      <c r="O1464" s="98"/>
      <c r="P1464" s="98"/>
      <c r="Q1464" s="98"/>
      <c r="R1464" s="98"/>
      <c r="S1464" s="98" t="str">
        <f>IFERROR(__xludf.DUMMYFUNCTION("""COMPUTED_VALUE"""),"-")</f>
        <v>-</v>
      </c>
      <c r="T1464" s="98"/>
    </row>
    <row r="1465">
      <c r="A1465" s="98"/>
      <c r="B1465" s="98"/>
      <c r="C1465" s="98"/>
      <c r="D1465" s="98"/>
      <c r="E1465" s="98"/>
      <c r="F1465" s="98"/>
      <c r="G1465" s="98"/>
      <c r="H1465" s="98"/>
      <c r="I1465" s="98"/>
      <c r="J1465" s="98"/>
      <c r="K1465" s="98"/>
      <c r="L1465" s="98"/>
      <c r="M1465" s="98"/>
      <c r="N1465" s="98"/>
      <c r="O1465" s="98"/>
      <c r="P1465" s="98"/>
      <c r="Q1465" s="98"/>
      <c r="R1465" s="98"/>
      <c r="S1465" s="98" t="str">
        <f>IFERROR(__xludf.DUMMYFUNCTION("""COMPUTED_VALUE"""),"-")</f>
        <v>-</v>
      </c>
      <c r="T1465" s="98"/>
    </row>
    <row r="1466">
      <c r="A1466" s="98"/>
      <c r="B1466" s="98"/>
      <c r="C1466" s="98"/>
      <c r="D1466" s="98"/>
      <c r="E1466" s="98"/>
      <c r="F1466" s="98"/>
      <c r="G1466" s="98"/>
      <c r="H1466" s="98"/>
      <c r="I1466" s="98"/>
      <c r="J1466" s="98"/>
      <c r="K1466" s="98"/>
      <c r="L1466" s="98"/>
      <c r="M1466" s="98"/>
      <c r="N1466" s="98"/>
      <c r="O1466" s="98"/>
      <c r="P1466" s="98"/>
      <c r="Q1466" s="98"/>
      <c r="R1466" s="98"/>
      <c r="S1466" s="98" t="str">
        <f>IFERROR(__xludf.DUMMYFUNCTION("""COMPUTED_VALUE"""),"-")</f>
        <v>-</v>
      </c>
      <c r="T1466" s="98"/>
    </row>
    <row r="1467">
      <c r="A1467" s="98"/>
      <c r="B1467" s="98"/>
      <c r="C1467" s="98"/>
      <c r="D1467" s="98"/>
      <c r="E1467" s="98"/>
      <c r="F1467" s="98"/>
      <c r="G1467" s="98"/>
      <c r="H1467" s="98"/>
      <c r="I1467" s="98"/>
      <c r="J1467" s="98"/>
      <c r="K1467" s="98"/>
      <c r="L1467" s="98"/>
      <c r="M1467" s="98"/>
      <c r="N1467" s="98"/>
      <c r="O1467" s="98"/>
      <c r="P1467" s="98"/>
      <c r="Q1467" s="98"/>
      <c r="R1467" s="98"/>
      <c r="S1467" s="98" t="str">
        <f>IFERROR(__xludf.DUMMYFUNCTION("""COMPUTED_VALUE"""),"-")</f>
        <v>-</v>
      </c>
      <c r="T1467" s="98"/>
    </row>
    <row r="1468">
      <c r="A1468" s="98"/>
      <c r="B1468" s="98"/>
      <c r="C1468" s="98"/>
      <c r="D1468" s="98"/>
      <c r="E1468" s="98"/>
      <c r="F1468" s="98"/>
      <c r="G1468" s="98"/>
      <c r="H1468" s="98"/>
      <c r="I1468" s="98"/>
      <c r="J1468" s="98"/>
      <c r="K1468" s="98"/>
      <c r="L1468" s="98"/>
      <c r="M1468" s="98"/>
      <c r="N1468" s="98"/>
      <c r="O1468" s="98"/>
      <c r="P1468" s="98"/>
      <c r="Q1468" s="98"/>
      <c r="R1468" s="98"/>
      <c r="S1468" s="98" t="str">
        <f>IFERROR(__xludf.DUMMYFUNCTION("""COMPUTED_VALUE"""),"-")</f>
        <v>-</v>
      </c>
      <c r="T1468" s="98"/>
    </row>
    <row r="1469">
      <c r="A1469" s="98"/>
      <c r="B1469" s="98"/>
      <c r="C1469" s="98"/>
      <c r="D1469" s="98"/>
      <c r="E1469" s="98"/>
      <c r="F1469" s="98"/>
      <c r="G1469" s="98"/>
      <c r="H1469" s="98"/>
      <c r="I1469" s="98"/>
      <c r="J1469" s="98"/>
      <c r="K1469" s="98"/>
      <c r="L1469" s="98"/>
      <c r="M1469" s="98"/>
      <c r="N1469" s="98"/>
      <c r="O1469" s="98"/>
      <c r="P1469" s="98"/>
      <c r="Q1469" s="98"/>
      <c r="R1469" s="98"/>
      <c r="S1469" s="98" t="str">
        <f>IFERROR(__xludf.DUMMYFUNCTION("""COMPUTED_VALUE"""),"-")</f>
        <v>-</v>
      </c>
      <c r="T1469" s="98"/>
    </row>
    <row r="1470">
      <c r="A1470" s="98"/>
      <c r="B1470" s="98"/>
      <c r="C1470" s="98"/>
      <c r="D1470" s="98"/>
      <c r="E1470" s="98"/>
      <c r="F1470" s="98"/>
      <c r="G1470" s="98"/>
      <c r="H1470" s="98"/>
      <c r="I1470" s="98"/>
      <c r="J1470" s="98"/>
      <c r="K1470" s="98"/>
      <c r="L1470" s="98"/>
      <c r="M1470" s="98"/>
      <c r="N1470" s="98"/>
      <c r="O1470" s="98"/>
      <c r="P1470" s="98"/>
      <c r="Q1470" s="98"/>
      <c r="R1470" s="98"/>
      <c r="S1470" s="98" t="str">
        <f>IFERROR(__xludf.DUMMYFUNCTION("""COMPUTED_VALUE"""),"-")</f>
        <v>-</v>
      </c>
      <c r="T1470" s="98"/>
    </row>
    <row r="1471">
      <c r="A1471" s="98"/>
      <c r="B1471" s="98"/>
      <c r="C1471" s="98"/>
      <c r="D1471" s="98"/>
      <c r="E1471" s="98"/>
      <c r="F1471" s="98"/>
      <c r="G1471" s="98"/>
      <c r="H1471" s="98"/>
      <c r="I1471" s="98"/>
      <c r="J1471" s="98"/>
      <c r="K1471" s="98"/>
      <c r="L1471" s="98"/>
      <c r="M1471" s="98"/>
      <c r="N1471" s="98"/>
      <c r="O1471" s="98"/>
      <c r="P1471" s="98"/>
      <c r="Q1471" s="98"/>
      <c r="R1471" s="98"/>
      <c r="S1471" s="98" t="str">
        <f>IFERROR(__xludf.DUMMYFUNCTION("""COMPUTED_VALUE"""),"-")</f>
        <v>-</v>
      </c>
      <c r="T1471" s="98"/>
    </row>
    <row r="1472">
      <c r="A1472" s="98"/>
      <c r="B1472" s="98"/>
      <c r="C1472" s="98"/>
      <c r="D1472" s="98"/>
      <c r="E1472" s="98"/>
      <c r="F1472" s="98"/>
      <c r="G1472" s="98"/>
      <c r="H1472" s="98"/>
      <c r="I1472" s="98"/>
      <c r="J1472" s="98"/>
      <c r="K1472" s="98"/>
      <c r="L1472" s="98"/>
      <c r="M1472" s="98"/>
      <c r="N1472" s="98"/>
      <c r="O1472" s="98"/>
      <c r="P1472" s="98"/>
      <c r="Q1472" s="98"/>
      <c r="R1472" s="98"/>
      <c r="S1472" s="98" t="str">
        <f>IFERROR(__xludf.DUMMYFUNCTION("""COMPUTED_VALUE"""),"-")</f>
        <v>-</v>
      </c>
      <c r="T1472" s="98"/>
    </row>
    <row r="1473">
      <c r="A1473" s="98"/>
      <c r="B1473" s="98"/>
      <c r="C1473" s="98"/>
      <c r="D1473" s="98"/>
      <c r="E1473" s="98"/>
      <c r="F1473" s="98"/>
      <c r="G1473" s="98"/>
      <c r="H1473" s="98"/>
      <c r="I1473" s="98"/>
      <c r="J1473" s="98"/>
      <c r="K1473" s="98"/>
      <c r="L1473" s="98"/>
      <c r="M1473" s="98"/>
      <c r="N1473" s="98"/>
      <c r="O1473" s="98"/>
      <c r="P1473" s="98"/>
      <c r="Q1473" s="98"/>
      <c r="R1473" s="98"/>
      <c r="S1473" s="98" t="str">
        <f>IFERROR(__xludf.DUMMYFUNCTION("""COMPUTED_VALUE"""),"-")</f>
        <v>-</v>
      </c>
      <c r="T1473" s="98"/>
    </row>
    <row r="1474">
      <c r="A1474" s="98"/>
      <c r="B1474" s="98"/>
      <c r="C1474" s="98"/>
      <c r="D1474" s="98"/>
      <c r="E1474" s="98"/>
      <c r="F1474" s="98"/>
      <c r="G1474" s="98"/>
      <c r="H1474" s="98"/>
      <c r="I1474" s="98"/>
      <c r="J1474" s="98"/>
      <c r="K1474" s="98"/>
      <c r="L1474" s="98"/>
      <c r="M1474" s="98"/>
      <c r="N1474" s="98"/>
      <c r="O1474" s="98"/>
      <c r="P1474" s="98"/>
      <c r="Q1474" s="98"/>
      <c r="R1474" s="98"/>
      <c r="S1474" s="98" t="str">
        <f>IFERROR(__xludf.DUMMYFUNCTION("""COMPUTED_VALUE"""),"-")</f>
        <v>-</v>
      </c>
      <c r="T1474" s="98"/>
    </row>
    <row r="1475">
      <c r="A1475" s="98"/>
      <c r="B1475" s="98"/>
      <c r="C1475" s="98"/>
      <c r="D1475" s="98"/>
      <c r="E1475" s="98"/>
      <c r="F1475" s="98"/>
      <c r="G1475" s="98"/>
      <c r="H1475" s="98"/>
      <c r="I1475" s="98"/>
      <c r="J1475" s="98"/>
      <c r="K1475" s="98"/>
      <c r="L1475" s="98"/>
      <c r="M1475" s="98"/>
      <c r="N1475" s="98"/>
      <c r="O1475" s="98"/>
      <c r="P1475" s="98"/>
      <c r="Q1475" s="98"/>
      <c r="R1475" s="98"/>
      <c r="S1475" s="98" t="str">
        <f>IFERROR(__xludf.DUMMYFUNCTION("""COMPUTED_VALUE"""),"-")</f>
        <v>-</v>
      </c>
      <c r="T1475" s="98"/>
    </row>
    <row r="1476">
      <c r="A1476" s="98"/>
      <c r="B1476" s="98"/>
      <c r="C1476" s="98"/>
      <c r="D1476" s="98"/>
      <c r="E1476" s="98"/>
      <c r="F1476" s="98"/>
      <c r="G1476" s="98"/>
      <c r="H1476" s="98"/>
      <c r="I1476" s="98"/>
      <c r="J1476" s="98"/>
      <c r="K1476" s="98"/>
      <c r="L1476" s="98"/>
      <c r="M1476" s="98"/>
      <c r="N1476" s="98"/>
      <c r="O1476" s="98"/>
      <c r="P1476" s="98"/>
      <c r="Q1476" s="98"/>
      <c r="R1476" s="98"/>
      <c r="S1476" s="98" t="str">
        <f>IFERROR(__xludf.DUMMYFUNCTION("""COMPUTED_VALUE"""),"-")</f>
        <v>-</v>
      </c>
      <c r="T1476" s="98"/>
    </row>
    <row r="1477">
      <c r="A1477" s="98"/>
      <c r="B1477" s="98"/>
      <c r="C1477" s="98"/>
      <c r="D1477" s="98"/>
      <c r="E1477" s="98"/>
      <c r="F1477" s="98"/>
      <c r="G1477" s="98"/>
      <c r="H1477" s="98"/>
      <c r="I1477" s="98"/>
      <c r="J1477" s="98"/>
      <c r="K1477" s="98"/>
      <c r="L1477" s="98"/>
      <c r="M1477" s="98"/>
      <c r="N1477" s="98"/>
      <c r="O1477" s="98"/>
      <c r="P1477" s="98"/>
      <c r="Q1477" s="98"/>
      <c r="R1477" s="98"/>
      <c r="S1477" s="98" t="str">
        <f>IFERROR(__xludf.DUMMYFUNCTION("""COMPUTED_VALUE"""),"-")</f>
        <v>-</v>
      </c>
      <c r="T1477" s="98"/>
    </row>
    <row r="1478">
      <c r="A1478" s="98"/>
      <c r="B1478" s="98"/>
      <c r="C1478" s="98"/>
      <c r="D1478" s="98"/>
      <c r="E1478" s="98"/>
      <c r="F1478" s="98"/>
      <c r="G1478" s="98"/>
      <c r="H1478" s="98"/>
      <c r="I1478" s="98"/>
      <c r="J1478" s="98"/>
      <c r="K1478" s="98"/>
      <c r="L1478" s="98"/>
      <c r="M1478" s="98"/>
      <c r="N1478" s="98"/>
      <c r="O1478" s="98"/>
      <c r="P1478" s="98"/>
      <c r="Q1478" s="98"/>
      <c r="R1478" s="98"/>
      <c r="S1478" s="98" t="str">
        <f>IFERROR(__xludf.DUMMYFUNCTION("""COMPUTED_VALUE"""),"-")</f>
        <v>-</v>
      </c>
      <c r="T1478" s="98"/>
    </row>
    <row r="1479">
      <c r="A1479" s="98"/>
      <c r="B1479" s="98"/>
      <c r="C1479" s="98"/>
      <c r="D1479" s="98"/>
      <c r="E1479" s="98"/>
      <c r="F1479" s="98"/>
      <c r="G1479" s="98"/>
      <c r="H1479" s="98"/>
      <c r="I1479" s="98"/>
      <c r="J1479" s="98"/>
      <c r="K1479" s="98"/>
      <c r="L1479" s="98"/>
      <c r="M1479" s="98"/>
      <c r="N1479" s="98"/>
      <c r="O1479" s="98"/>
      <c r="P1479" s="98"/>
      <c r="Q1479" s="98"/>
      <c r="R1479" s="98"/>
      <c r="S1479" s="98" t="str">
        <f>IFERROR(__xludf.DUMMYFUNCTION("""COMPUTED_VALUE"""),"-")</f>
        <v>-</v>
      </c>
      <c r="T1479" s="98"/>
    </row>
    <row r="1480">
      <c r="A1480" s="98"/>
      <c r="B1480" s="98"/>
      <c r="C1480" s="98"/>
      <c r="D1480" s="98"/>
      <c r="E1480" s="98"/>
      <c r="F1480" s="98"/>
      <c r="G1480" s="98"/>
      <c r="H1480" s="98"/>
      <c r="I1480" s="98"/>
      <c r="J1480" s="98"/>
      <c r="K1480" s="98"/>
      <c r="L1480" s="98"/>
      <c r="M1480" s="98"/>
      <c r="N1480" s="98"/>
      <c r="O1480" s="98"/>
      <c r="P1480" s="98"/>
      <c r="Q1480" s="98"/>
      <c r="R1480" s="98"/>
      <c r="S1480" s="98" t="str">
        <f>IFERROR(__xludf.DUMMYFUNCTION("""COMPUTED_VALUE"""),"-")</f>
        <v>-</v>
      </c>
      <c r="T1480" s="98"/>
    </row>
    <row r="1481">
      <c r="A1481" s="98"/>
      <c r="B1481" s="98"/>
      <c r="C1481" s="98"/>
      <c r="D1481" s="98"/>
      <c r="E1481" s="98"/>
      <c r="F1481" s="98"/>
      <c r="G1481" s="98"/>
      <c r="H1481" s="98"/>
      <c r="I1481" s="98"/>
      <c r="J1481" s="98"/>
      <c r="K1481" s="98"/>
      <c r="L1481" s="98"/>
      <c r="M1481" s="98"/>
      <c r="N1481" s="98"/>
      <c r="O1481" s="98"/>
      <c r="P1481" s="98"/>
      <c r="Q1481" s="98"/>
      <c r="R1481" s="98"/>
      <c r="S1481" s="98" t="str">
        <f>IFERROR(__xludf.DUMMYFUNCTION("""COMPUTED_VALUE"""),"-")</f>
        <v>-</v>
      </c>
      <c r="T1481" s="98"/>
    </row>
    <row r="1482">
      <c r="A1482" s="98"/>
      <c r="B1482" s="98"/>
      <c r="C1482" s="98"/>
      <c r="D1482" s="98"/>
      <c r="E1482" s="98"/>
      <c r="F1482" s="98"/>
      <c r="G1482" s="98"/>
      <c r="H1482" s="98"/>
      <c r="I1482" s="98"/>
      <c r="J1482" s="98"/>
      <c r="K1482" s="98"/>
      <c r="L1482" s="98"/>
      <c r="M1482" s="98"/>
      <c r="N1482" s="98"/>
      <c r="O1482" s="98"/>
      <c r="P1482" s="98"/>
      <c r="Q1482" s="98"/>
      <c r="R1482" s="98"/>
      <c r="S1482" s="98" t="str">
        <f>IFERROR(__xludf.DUMMYFUNCTION("""COMPUTED_VALUE"""),"-")</f>
        <v>-</v>
      </c>
      <c r="T1482" s="98"/>
    </row>
    <row r="1483">
      <c r="A1483" s="98"/>
      <c r="B1483" s="98"/>
      <c r="C1483" s="98"/>
      <c r="D1483" s="98"/>
      <c r="E1483" s="98"/>
      <c r="F1483" s="98"/>
      <c r="G1483" s="98"/>
      <c r="H1483" s="98"/>
      <c r="I1483" s="98"/>
      <c r="J1483" s="98"/>
      <c r="K1483" s="98"/>
      <c r="L1483" s="98"/>
      <c r="M1483" s="98"/>
      <c r="N1483" s="98"/>
      <c r="O1483" s="98"/>
      <c r="P1483" s="98"/>
      <c r="Q1483" s="98"/>
      <c r="R1483" s="98"/>
      <c r="S1483" s="98" t="str">
        <f>IFERROR(__xludf.DUMMYFUNCTION("""COMPUTED_VALUE"""),"-")</f>
        <v>-</v>
      </c>
      <c r="T1483" s="98"/>
    </row>
    <row r="1484">
      <c r="A1484" s="98"/>
      <c r="B1484" s="98"/>
      <c r="C1484" s="98"/>
      <c r="D1484" s="98"/>
      <c r="E1484" s="98"/>
      <c r="F1484" s="98"/>
      <c r="G1484" s="98"/>
      <c r="H1484" s="98"/>
      <c r="I1484" s="98"/>
      <c r="J1484" s="98"/>
      <c r="K1484" s="98"/>
      <c r="L1484" s="98"/>
      <c r="M1484" s="98"/>
      <c r="N1484" s="98"/>
      <c r="O1484" s="98"/>
      <c r="P1484" s="98"/>
      <c r="Q1484" s="98"/>
      <c r="R1484" s="98"/>
      <c r="S1484" s="98" t="str">
        <f>IFERROR(__xludf.DUMMYFUNCTION("""COMPUTED_VALUE"""),"-")</f>
        <v>-</v>
      </c>
      <c r="T1484" s="98"/>
    </row>
    <row r="1485">
      <c r="A1485" s="98"/>
      <c r="B1485" s="98"/>
      <c r="C1485" s="98"/>
      <c r="D1485" s="98"/>
      <c r="E1485" s="98"/>
      <c r="F1485" s="98"/>
      <c r="G1485" s="98"/>
      <c r="H1485" s="98"/>
      <c r="I1485" s="98"/>
      <c r="J1485" s="98"/>
      <c r="K1485" s="98"/>
      <c r="L1485" s="98"/>
      <c r="M1485" s="98"/>
      <c r="N1485" s="98"/>
      <c r="O1485" s="98"/>
      <c r="P1485" s="98"/>
      <c r="Q1485" s="98"/>
      <c r="R1485" s="98"/>
      <c r="S1485" s="98" t="str">
        <f>IFERROR(__xludf.DUMMYFUNCTION("""COMPUTED_VALUE"""),"-")</f>
        <v>-</v>
      </c>
      <c r="T1485" s="98"/>
    </row>
    <row r="1486">
      <c r="A1486" s="98"/>
      <c r="B1486" s="98"/>
      <c r="C1486" s="98"/>
      <c r="D1486" s="98"/>
      <c r="E1486" s="98"/>
      <c r="F1486" s="98"/>
      <c r="G1486" s="98"/>
      <c r="H1486" s="98"/>
      <c r="I1486" s="98"/>
      <c r="J1486" s="98"/>
      <c r="K1486" s="98"/>
      <c r="L1486" s="98"/>
      <c r="M1486" s="98"/>
      <c r="N1486" s="98"/>
      <c r="O1486" s="98"/>
      <c r="P1486" s="98"/>
      <c r="Q1486" s="98"/>
      <c r="R1486" s="98"/>
      <c r="S1486" s="98" t="str">
        <f>IFERROR(__xludf.DUMMYFUNCTION("""COMPUTED_VALUE"""),"-")</f>
        <v>-</v>
      </c>
      <c r="T1486" s="98"/>
    </row>
    <row r="1487">
      <c r="A1487" s="98"/>
      <c r="B1487" s="98"/>
      <c r="C1487" s="98"/>
      <c r="D1487" s="98"/>
      <c r="E1487" s="98"/>
      <c r="F1487" s="98"/>
      <c r="G1487" s="98"/>
      <c r="H1487" s="98"/>
      <c r="I1487" s="98"/>
      <c r="J1487" s="98"/>
      <c r="K1487" s="98"/>
      <c r="L1487" s="98"/>
      <c r="M1487" s="98"/>
      <c r="N1487" s="98"/>
      <c r="O1487" s="98"/>
      <c r="P1487" s="98"/>
      <c r="Q1487" s="98"/>
      <c r="R1487" s="98"/>
      <c r="S1487" s="98" t="str">
        <f>IFERROR(__xludf.DUMMYFUNCTION("""COMPUTED_VALUE"""),"-")</f>
        <v>-</v>
      </c>
      <c r="T1487" s="98"/>
    </row>
    <row r="1488">
      <c r="A1488" s="98"/>
      <c r="B1488" s="98"/>
      <c r="C1488" s="98"/>
      <c r="D1488" s="98"/>
      <c r="E1488" s="98"/>
      <c r="F1488" s="98"/>
      <c r="G1488" s="98"/>
      <c r="H1488" s="98"/>
      <c r="I1488" s="98"/>
      <c r="J1488" s="98"/>
      <c r="K1488" s="98"/>
      <c r="L1488" s="98"/>
      <c r="M1488" s="98"/>
      <c r="N1488" s="98"/>
      <c r="O1488" s="98"/>
      <c r="P1488" s="98"/>
      <c r="Q1488" s="98"/>
      <c r="R1488" s="98"/>
      <c r="S1488" s="98" t="str">
        <f>IFERROR(__xludf.DUMMYFUNCTION("""COMPUTED_VALUE"""),"-")</f>
        <v>-</v>
      </c>
      <c r="T1488" s="98"/>
    </row>
    <row r="1489">
      <c r="A1489" s="98"/>
      <c r="B1489" s="98"/>
      <c r="C1489" s="98"/>
      <c r="D1489" s="98"/>
      <c r="E1489" s="98"/>
      <c r="F1489" s="98"/>
      <c r="G1489" s="98"/>
      <c r="H1489" s="98"/>
      <c r="I1489" s="98"/>
      <c r="J1489" s="98"/>
      <c r="K1489" s="98"/>
      <c r="L1489" s="98"/>
      <c r="M1489" s="98"/>
      <c r="N1489" s="98"/>
      <c r="O1489" s="98"/>
      <c r="P1489" s="98"/>
      <c r="Q1489" s="98"/>
      <c r="R1489" s="98"/>
      <c r="S1489" s="98" t="str">
        <f>IFERROR(__xludf.DUMMYFUNCTION("""COMPUTED_VALUE"""),"-")</f>
        <v>-</v>
      </c>
      <c r="T1489" s="98"/>
    </row>
  </sheetData>
  <autoFilter ref="$A$2:$AI$1489"/>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38"/>
    <col customWidth="1" min="2" max="2" width="20.13"/>
    <col customWidth="1" min="3" max="3" width="47.63"/>
    <col customWidth="1" min="4" max="4" width="15.25"/>
    <col customWidth="1" min="5" max="5" width="26.88"/>
    <col customWidth="1" min="6" max="6" width="2.63"/>
    <col customWidth="1" min="7" max="8" width="18.25"/>
  </cols>
  <sheetData>
    <row r="1" ht="33.75" customHeight="1">
      <c r="A1" s="426" t="s">
        <v>741</v>
      </c>
      <c r="G1" s="427" t="s">
        <v>742</v>
      </c>
      <c r="H1" s="428"/>
    </row>
    <row r="2" ht="22.5" customHeight="1">
      <c r="A2" s="429" t="s">
        <v>743</v>
      </c>
      <c r="G2" s="430"/>
      <c r="H2" s="431"/>
    </row>
    <row r="3" ht="21.0" customHeight="1">
      <c r="A3" s="432" t="s">
        <v>4</v>
      </c>
      <c r="B3" s="432" t="s">
        <v>744</v>
      </c>
      <c r="C3" s="432" t="s">
        <v>745</v>
      </c>
      <c r="D3" s="432" t="s">
        <v>746</v>
      </c>
      <c r="E3" s="432" t="s">
        <v>747</v>
      </c>
      <c r="G3" s="433" t="s">
        <v>748</v>
      </c>
    </row>
    <row r="4">
      <c r="A4" s="434">
        <v>1.0</v>
      </c>
      <c r="B4" s="435"/>
      <c r="C4" s="436" t="s">
        <v>749</v>
      </c>
      <c r="D4" s="98">
        <v>5.779222454E9</v>
      </c>
      <c r="E4" s="437" t="s">
        <v>750</v>
      </c>
      <c r="G4" s="438" t="s">
        <v>751</v>
      </c>
    </row>
    <row r="5">
      <c r="A5" s="434">
        <v>2.0</v>
      </c>
      <c r="B5" s="435"/>
      <c r="C5" s="436" t="s">
        <v>749</v>
      </c>
      <c r="D5" s="98">
        <v>5.779222454E9</v>
      </c>
      <c r="E5" s="437" t="s">
        <v>750</v>
      </c>
      <c r="G5" s="439" t="s">
        <v>752</v>
      </c>
      <c r="H5" s="440">
        <f>COUNTIF(E4:E103,"✅*")</f>
        <v>22</v>
      </c>
    </row>
    <row r="6">
      <c r="A6" s="434">
        <v>3.0</v>
      </c>
      <c r="B6" s="441"/>
      <c r="C6" s="436" t="s">
        <v>749</v>
      </c>
      <c r="D6" s="98">
        <v>8.540261626E9</v>
      </c>
      <c r="E6" s="437" t="s">
        <v>750</v>
      </c>
      <c r="G6" s="442" t="s">
        <v>753</v>
      </c>
      <c r="H6" s="443">
        <f>COUNTIF(E4:E103,"❌*")</f>
        <v>26</v>
      </c>
    </row>
    <row r="7">
      <c r="A7" s="434">
        <v>4.0</v>
      </c>
      <c r="B7" s="435"/>
      <c r="C7" s="436" t="s">
        <v>749</v>
      </c>
      <c r="E7" s="444" t="s">
        <v>754</v>
      </c>
      <c r="G7" s="445" t="s">
        <v>755</v>
      </c>
      <c r="H7" s="446">
        <f>COUNTA(D4:D103)</f>
        <v>50</v>
      </c>
    </row>
    <row r="8">
      <c r="A8" s="434">
        <v>5.0</v>
      </c>
      <c r="B8" s="441"/>
      <c r="C8" s="436" t="s">
        <v>749</v>
      </c>
      <c r="D8" s="98">
        <v>8.296243972E9</v>
      </c>
      <c r="E8" s="437" t="s">
        <v>750</v>
      </c>
    </row>
    <row r="9">
      <c r="A9" s="434">
        <v>6.0</v>
      </c>
      <c r="B9" s="435"/>
      <c r="C9" s="436" t="s">
        <v>749</v>
      </c>
      <c r="D9" s="98">
        <v>6.132505154E9</v>
      </c>
      <c r="E9" s="437" t="s">
        <v>750</v>
      </c>
    </row>
    <row r="10">
      <c r="A10" s="434">
        <v>7.0</v>
      </c>
      <c r="B10" s="441"/>
      <c r="C10" s="436" t="s">
        <v>749</v>
      </c>
      <c r="D10" s="98">
        <v>5.779222454E9</v>
      </c>
      <c r="E10" s="437" t="s">
        <v>750</v>
      </c>
    </row>
    <row r="11">
      <c r="A11" s="434">
        <v>8.0</v>
      </c>
      <c r="B11" s="435"/>
      <c r="C11" s="436" t="s">
        <v>749</v>
      </c>
      <c r="D11" s="98">
        <v>6.555381983E9</v>
      </c>
      <c r="E11" s="437" t="s">
        <v>750</v>
      </c>
    </row>
    <row r="12">
      <c r="A12" s="434">
        <v>9.0</v>
      </c>
      <c r="B12" s="441"/>
      <c r="C12" s="436" t="s">
        <v>749</v>
      </c>
      <c r="E12" s="444" t="s">
        <v>754</v>
      </c>
    </row>
    <row r="13">
      <c r="A13" s="434">
        <v>10.0</v>
      </c>
      <c r="B13" s="435"/>
      <c r="C13" s="436" t="s">
        <v>749</v>
      </c>
      <c r="D13" s="98">
        <v>6.555381983E9</v>
      </c>
      <c r="E13" s="437" t="s">
        <v>750</v>
      </c>
    </row>
    <row r="14">
      <c r="A14" s="434">
        <v>11.0</v>
      </c>
      <c r="B14" s="441"/>
      <c r="C14" s="436" t="s">
        <v>749</v>
      </c>
      <c r="D14" s="98">
        <v>5.60223739E9</v>
      </c>
      <c r="E14" s="437" t="s">
        <v>750</v>
      </c>
    </row>
    <row r="15">
      <c r="A15" s="434">
        <v>12.0</v>
      </c>
      <c r="B15" s="435"/>
      <c r="C15" s="436" t="s">
        <v>749</v>
      </c>
      <c r="D15" s="98">
        <v>7.623623114E9</v>
      </c>
      <c r="E15" s="408" t="s">
        <v>710</v>
      </c>
    </row>
    <row r="16">
      <c r="A16" s="434">
        <v>13.0</v>
      </c>
      <c r="B16" s="441"/>
      <c r="C16" s="436" t="s">
        <v>749</v>
      </c>
      <c r="D16" s="98">
        <v>2.01081058E9</v>
      </c>
      <c r="E16" s="437" t="s">
        <v>750</v>
      </c>
    </row>
    <row r="17">
      <c r="A17" s="434">
        <v>14.0</v>
      </c>
      <c r="B17" s="435"/>
      <c r="C17" s="436" t="s">
        <v>749</v>
      </c>
      <c r="E17" s="444" t="s">
        <v>754</v>
      </c>
    </row>
    <row r="18">
      <c r="A18" s="434">
        <v>15.0</v>
      </c>
      <c r="B18" s="441"/>
      <c r="C18" s="436" t="s">
        <v>749</v>
      </c>
      <c r="D18" s="98">
        <v>7.623623114E9</v>
      </c>
      <c r="E18" s="408" t="s">
        <v>710</v>
      </c>
    </row>
    <row r="19">
      <c r="A19" s="447">
        <v>16.0</v>
      </c>
      <c r="B19" s="435"/>
      <c r="C19" s="436" t="s">
        <v>749</v>
      </c>
      <c r="D19" s="98">
        <v>5.60223739E9</v>
      </c>
      <c r="E19" s="437" t="s">
        <v>750</v>
      </c>
    </row>
    <row r="20">
      <c r="A20" s="448">
        <v>17.0</v>
      </c>
      <c r="B20" s="441"/>
      <c r="C20" s="436" t="s">
        <v>749</v>
      </c>
      <c r="D20" s="98">
        <v>6.681796896E9</v>
      </c>
      <c r="E20" s="437" t="s">
        <v>750</v>
      </c>
    </row>
    <row r="21">
      <c r="A21" s="447">
        <v>18.0</v>
      </c>
      <c r="B21" s="435"/>
      <c r="C21" s="436" t="s">
        <v>749</v>
      </c>
      <c r="D21" s="98" t="s">
        <v>30</v>
      </c>
      <c r="E21" s="408" t="s">
        <v>710</v>
      </c>
    </row>
    <row r="22">
      <c r="A22" s="448">
        <v>19.0</v>
      </c>
      <c r="B22" s="441"/>
      <c r="C22" s="436" t="s">
        <v>749</v>
      </c>
      <c r="D22" s="98">
        <v>6.681796896E9</v>
      </c>
      <c r="E22" s="437" t="s">
        <v>750</v>
      </c>
    </row>
    <row r="23">
      <c r="A23" s="447">
        <v>20.0</v>
      </c>
      <c r="B23" s="435"/>
      <c r="C23" s="436" t="s">
        <v>749</v>
      </c>
      <c r="E23" s="444" t="s">
        <v>754</v>
      </c>
    </row>
    <row r="24">
      <c r="A24" s="448">
        <v>21.0</v>
      </c>
      <c r="B24" s="441"/>
      <c r="C24" s="436" t="s">
        <v>749</v>
      </c>
      <c r="E24" s="444" t="s">
        <v>754</v>
      </c>
    </row>
    <row r="25">
      <c r="A25" s="447">
        <v>22.0</v>
      </c>
      <c r="B25" s="435"/>
      <c r="C25" s="436" t="s">
        <v>749</v>
      </c>
      <c r="E25" s="444" t="s">
        <v>754</v>
      </c>
    </row>
    <row r="26">
      <c r="A26" s="448">
        <v>23.0</v>
      </c>
      <c r="B26" s="441"/>
      <c r="C26" s="436" t="s">
        <v>749</v>
      </c>
      <c r="E26" s="444" t="s">
        <v>754</v>
      </c>
    </row>
    <row r="27">
      <c r="A27" s="447">
        <v>24.0</v>
      </c>
      <c r="B27" s="435"/>
      <c r="C27" s="436" t="s">
        <v>749</v>
      </c>
      <c r="D27" s="98" t="s">
        <v>30</v>
      </c>
      <c r="E27" s="408" t="s">
        <v>710</v>
      </c>
    </row>
    <row r="28">
      <c r="A28" s="448">
        <v>25.0</v>
      </c>
      <c r="B28" s="441"/>
      <c r="C28" s="436" t="s">
        <v>749</v>
      </c>
      <c r="D28" s="98">
        <v>7.772056124E9</v>
      </c>
      <c r="E28" s="437" t="s">
        <v>750</v>
      </c>
    </row>
    <row r="29">
      <c r="A29" s="447">
        <v>26.0</v>
      </c>
      <c r="B29" s="435"/>
      <c r="C29" s="436" t="s">
        <v>749</v>
      </c>
      <c r="D29" s="98" t="s">
        <v>30</v>
      </c>
      <c r="E29" s="408" t="s">
        <v>710</v>
      </c>
    </row>
    <row r="30">
      <c r="A30" s="448">
        <v>27.0</v>
      </c>
      <c r="B30" s="441"/>
      <c r="C30" s="436" t="s">
        <v>749</v>
      </c>
      <c r="D30" s="98" t="s">
        <v>30</v>
      </c>
      <c r="E30" s="408" t="s">
        <v>710</v>
      </c>
    </row>
    <row r="31">
      <c r="A31" s="447">
        <v>28.0</v>
      </c>
      <c r="B31" s="435"/>
      <c r="C31" s="436" t="s">
        <v>749</v>
      </c>
      <c r="D31" s="98" t="s">
        <v>30</v>
      </c>
      <c r="E31" s="408" t="s">
        <v>710</v>
      </c>
    </row>
    <row r="32">
      <c r="A32" s="448">
        <v>29.0</v>
      </c>
      <c r="B32" s="441"/>
      <c r="C32" s="436" t="s">
        <v>749</v>
      </c>
      <c r="D32" s="98" t="s">
        <v>30</v>
      </c>
      <c r="E32" s="408" t="s">
        <v>710</v>
      </c>
    </row>
    <row r="33">
      <c r="A33" s="447">
        <v>30.0</v>
      </c>
      <c r="B33" s="435"/>
      <c r="C33" s="436" t="s">
        <v>749</v>
      </c>
      <c r="D33" s="98" t="s">
        <v>30</v>
      </c>
      <c r="E33" s="408" t="s">
        <v>710</v>
      </c>
    </row>
    <row r="34">
      <c r="A34" s="448">
        <v>31.0</v>
      </c>
      <c r="B34" s="441"/>
      <c r="C34" s="436" t="s">
        <v>749</v>
      </c>
      <c r="D34" s="98" t="s">
        <v>30</v>
      </c>
      <c r="E34" s="408" t="s">
        <v>710</v>
      </c>
    </row>
    <row r="35">
      <c r="A35" s="447">
        <v>32.0</v>
      </c>
      <c r="B35" s="435"/>
      <c r="C35" s="436" t="s">
        <v>749</v>
      </c>
      <c r="D35" s="98" t="s">
        <v>30</v>
      </c>
      <c r="E35" s="408" t="s">
        <v>710</v>
      </c>
    </row>
    <row r="36">
      <c r="A36" s="448">
        <v>33.0</v>
      </c>
      <c r="B36" s="441"/>
      <c r="C36" s="436" t="s">
        <v>749</v>
      </c>
      <c r="D36" s="98" t="s">
        <v>30</v>
      </c>
      <c r="E36" s="408" t="s">
        <v>710</v>
      </c>
    </row>
    <row r="37">
      <c r="A37" s="447">
        <v>34.0</v>
      </c>
      <c r="B37" s="435"/>
      <c r="C37" s="436" t="s">
        <v>749</v>
      </c>
      <c r="D37" s="98" t="s">
        <v>30</v>
      </c>
      <c r="E37" s="408" t="s">
        <v>710</v>
      </c>
    </row>
    <row r="38">
      <c r="A38" s="448">
        <v>35.0</v>
      </c>
      <c r="B38" s="441"/>
      <c r="C38" s="436" t="s">
        <v>749</v>
      </c>
      <c r="D38" s="98" t="s">
        <v>30</v>
      </c>
      <c r="E38" s="408" t="s">
        <v>710</v>
      </c>
    </row>
    <row r="39">
      <c r="A39" s="447">
        <v>36.0</v>
      </c>
      <c r="B39" s="435"/>
      <c r="C39" s="436" t="s">
        <v>749</v>
      </c>
      <c r="D39" s="98" t="s">
        <v>30</v>
      </c>
      <c r="E39" s="408" t="s">
        <v>710</v>
      </c>
    </row>
    <row r="40">
      <c r="A40" s="448">
        <v>37.0</v>
      </c>
      <c r="B40" s="441"/>
      <c r="C40" s="436" t="s">
        <v>749</v>
      </c>
      <c r="D40" s="98" t="s">
        <v>30</v>
      </c>
      <c r="E40" s="408" t="s">
        <v>710</v>
      </c>
    </row>
    <row r="41">
      <c r="A41" s="447">
        <v>38.0</v>
      </c>
      <c r="B41" s="435"/>
      <c r="C41" s="436" t="s">
        <v>749</v>
      </c>
      <c r="D41" s="98" t="s">
        <v>30</v>
      </c>
      <c r="E41" s="408" t="s">
        <v>710</v>
      </c>
    </row>
    <row r="42">
      <c r="A42" s="448">
        <v>39.0</v>
      </c>
      <c r="B42" s="441"/>
      <c r="C42" s="436" t="s">
        <v>749</v>
      </c>
      <c r="D42" s="98" t="s">
        <v>30</v>
      </c>
      <c r="E42" s="408" t="s">
        <v>710</v>
      </c>
    </row>
    <row r="43">
      <c r="A43" s="447">
        <v>40.0</v>
      </c>
      <c r="B43" s="435"/>
      <c r="C43" s="436" t="s">
        <v>749</v>
      </c>
      <c r="D43" s="98" t="s">
        <v>30</v>
      </c>
      <c r="E43" s="408" t="s">
        <v>710</v>
      </c>
    </row>
    <row r="44">
      <c r="A44" s="448">
        <v>41.0</v>
      </c>
      <c r="B44" s="441"/>
      <c r="C44" s="436" t="s">
        <v>749</v>
      </c>
      <c r="D44" s="98" t="s">
        <v>30</v>
      </c>
      <c r="E44" s="408" t="s">
        <v>710</v>
      </c>
    </row>
    <row r="45">
      <c r="A45" s="447">
        <v>42.0</v>
      </c>
      <c r="B45" s="435"/>
      <c r="C45" s="436" t="s">
        <v>749</v>
      </c>
      <c r="D45" s="98" t="s">
        <v>30</v>
      </c>
      <c r="E45" s="408" t="s">
        <v>710</v>
      </c>
    </row>
    <row r="46">
      <c r="A46" s="448">
        <v>43.0</v>
      </c>
      <c r="B46" s="441"/>
      <c r="C46" s="436" t="s">
        <v>749</v>
      </c>
      <c r="D46" s="98" t="s">
        <v>30</v>
      </c>
      <c r="E46" s="408" t="s">
        <v>710</v>
      </c>
    </row>
    <row r="47">
      <c r="A47" s="447">
        <v>44.0</v>
      </c>
      <c r="B47" s="435"/>
      <c r="C47" s="436" t="s">
        <v>749</v>
      </c>
      <c r="D47" s="98" t="s">
        <v>30</v>
      </c>
      <c r="E47" s="408" t="s">
        <v>710</v>
      </c>
    </row>
    <row r="48">
      <c r="A48" s="448">
        <v>45.0</v>
      </c>
      <c r="B48" s="441"/>
      <c r="C48" s="436" t="s">
        <v>749</v>
      </c>
      <c r="D48" s="98" t="s">
        <v>30</v>
      </c>
      <c r="E48" s="408" t="s">
        <v>710</v>
      </c>
    </row>
    <row r="49">
      <c r="A49" s="447">
        <v>46.0</v>
      </c>
      <c r="B49" s="435"/>
      <c r="C49" s="436" t="s">
        <v>749</v>
      </c>
      <c r="D49" s="98">
        <v>0.0</v>
      </c>
      <c r="E49" s="444" t="s">
        <v>754</v>
      </c>
    </row>
    <row r="50">
      <c r="A50" s="448">
        <v>47.0</v>
      </c>
      <c r="B50" s="441"/>
      <c r="C50" s="436" t="s">
        <v>749</v>
      </c>
      <c r="D50" s="98">
        <v>0.0</v>
      </c>
      <c r="E50" s="444" t="s">
        <v>754</v>
      </c>
    </row>
    <row r="51">
      <c r="A51" s="447">
        <v>48.0</v>
      </c>
      <c r="B51" s="435"/>
      <c r="C51" s="436" t="s">
        <v>749</v>
      </c>
      <c r="D51" s="98" t="s">
        <v>30</v>
      </c>
      <c r="E51" s="408" t="s">
        <v>710</v>
      </c>
    </row>
    <row r="52">
      <c r="A52" s="448">
        <v>49.0</v>
      </c>
      <c r="B52" s="441"/>
      <c r="C52" s="436" t="s">
        <v>749</v>
      </c>
      <c r="D52" s="98">
        <v>5.291733181E9</v>
      </c>
      <c r="E52" s="437" t="s">
        <v>750</v>
      </c>
    </row>
    <row r="53">
      <c r="A53" s="447">
        <v>50.0</v>
      </c>
      <c r="B53" s="435"/>
      <c r="C53" s="436" t="s">
        <v>749</v>
      </c>
      <c r="D53" s="98">
        <v>1.957172852E9</v>
      </c>
      <c r="E53" s="437" t="s">
        <v>750</v>
      </c>
    </row>
    <row r="54">
      <c r="A54" s="448">
        <v>51.0</v>
      </c>
      <c r="B54" s="441"/>
      <c r="C54" s="436" t="s">
        <v>749</v>
      </c>
      <c r="D54" s="98">
        <v>1.83227873E9</v>
      </c>
      <c r="E54" s="437" t="s">
        <v>750</v>
      </c>
    </row>
    <row r="55">
      <c r="A55" s="447">
        <v>52.0</v>
      </c>
      <c r="B55" s="435"/>
      <c r="C55" s="436" t="s">
        <v>749</v>
      </c>
      <c r="D55" s="98">
        <v>6.558915011E9</v>
      </c>
      <c r="E55" s="437" t="s">
        <v>750</v>
      </c>
    </row>
    <row r="56">
      <c r="A56" s="448">
        <v>53.0</v>
      </c>
      <c r="B56" s="441"/>
      <c r="C56" s="436" t="s">
        <v>749</v>
      </c>
      <c r="D56" s="98" t="s">
        <v>30</v>
      </c>
      <c r="E56" s="408" t="s">
        <v>710</v>
      </c>
    </row>
    <row r="57">
      <c r="A57" s="447">
        <v>54.0</v>
      </c>
      <c r="B57" s="435"/>
      <c r="C57" s="436" t="s">
        <v>749</v>
      </c>
      <c r="E57" s="444" t="s">
        <v>754</v>
      </c>
    </row>
    <row r="58">
      <c r="A58" s="448">
        <v>55.0</v>
      </c>
      <c r="B58" s="441"/>
      <c r="C58" s="436" t="s">
        <v>749</v>
      </c>
      <c r="E58" s="444" t="s">
        <v>754</v>
      </c>
    </row>
    <row r="59">
      <c r="A59" s="447">
        <v>56.0</v>
      </c>
      <c r="B59" s="435"/>
      <c r="C59" s="436" t="s">
        <v>749</v>
      </c>
      <c r="E59" s="444" t="s">
        <v>754</v>
      </c>
    </row>
    <row r="60">
      <c r="A60" s="448">
        <v>57.0</v>
      </c>
      <c r="B60" s="441"/>
      <c r="C60" s="436" t="s">
        <v>749</v>
      </c>
      <c r="E60" s="444" t="s">
        <v>754</v>
      </c>
    </row>
    <row r="61">
      <c r="A61" s="447">
        <v>58.0</v>
      </c>
      <c r="B61" s="435"/>
      <c r="C61" s="436" t="s">
        <v>749</v>
      </c>
      <c r="E61" s="444" t="s">
        <v>754</v>
      </c>
    </row>
    <row r="62">
      <c r="A62" s="448">
        <v>59.0</v>
      </c>
      <c r="B62" s="441"/>
      <c r="C62" s="436" t="s">
        <v>749</v>
      </c>
      <c r="E62" s="444" t="s">
        <v>754</v>
      </c>
    </row>
    <row r="63">
      <c r="A63" s="447">
        <v>60.0</v>
      </c>
      <c r="B63" s="435"/>
      <c r="C63" s="436" t="s">
        <v>749</v>
      </c>
      <c r="D63" s="285">
        <v>6.85979068E9</v>
      </c>
      <c r="E63" s="437" t="s">
        <v>750</v>
      </c>
    </row>
    <row r="64">
      <c r="A64" s="448">
        <v>61.0</v>
      </c>
      <c r="B64" s="441"/>
      <c r="C64" s="436" t="s">
        <v>749</v>
      </c>
      <c r="D64" s="287"/>
      <c r="E64" s="444" t="s">
        <v>754</v>
      </c>
    </row>
    <row r="65">
      <c r="A65" s="447">
        <v>62.0</v>
      </c>
      <c r="B65" s="435"/>
      <c r="C65" s="436" t="s">
        <v>749</v>
      </c>
      <c r="D65" s="285">
        <v>1.728528589E9</v>
      </c>
      <c r="E65" s="437" t="s">
        <v>750</v>
      </c>
    </row>
    <row r="66">
      <c r="A66" s="448">
        <v>63.0</v>
      </c>
      <c r="B66" s="441"/>
      <c r="C66" s="436" t="s">
        <v>749</v>
      </c>
      <c r="D66" s="285"/>
      <c r="E66" s="444" t="s">
        <v>754</v>
      </c>
    </row>
    <row r="67">
      <c r="A67" s="447">
        <v>64.0</v>
      </c>
      <c r="B67" s="435"/>
      <c r="C67" s="436" t="s">
        <v>749</v>
      </c>
      <c r="D67" s="285"/>
      <c r="E67" s="444" t="s">
        <v>754</v>
      </c>
    </row>
    <row r="68">
      <c r="A68" s="448">
        <v>65.0</v>
      </c>
      <c r="B68" s="441"/>
      <c r="C68" s="436" t="s">
        <v>749</v>
      </c>
      <c r="D68" s="287"/>
      <c r="E68" s="444" t="s">
        <v>754</v>
      </c>
    </row>
    <row r="69">
      <c r="A69" s="447">
        <v>66.0</v>
      </c>
      <c r="B69" s="435"/>
      <c r="C69" s="436" t="s">
        <v>749</v>
      </c>
      <c r="D69" s="287"/>
      <c r="E69" s="444" t="s">
        <v>754</v>
      </c>
    </row>
    <row r="70">
      <c r="A70" s="448">
        <v>67.0</v>
      </c>
      <c r="B70" s="441"/>
      <c r="C70" s="436" t="s">
        <v>749</v>
      </c>
      <c r="E70" s="444" t="s">
        <v>754</v>
      </c>
    </row>
    <row r="71">
      <c r="A71" s="447">
        <v>68.0</v>
      </c>
      <c r="B71" s="435"/>
      <c r="C71" s="436" t="s">
        <v>749</v>
      </c>
      <c r="E71" s="444" t="s">
        <v>754</v>
      </c>
    </row>
    <row r="72">
      <c r="A72" s="448">
        <v>69.0</v>
      </c>
      <c r="B72" s="441"/>
      <c r="C72" s="436" t="s">
        <v>749</v>
      </c>
      <c r="E72" s="444" t="s">
        <v>754</v>
      </c>
    </row>
    <row r="73">
      <c r="A73" s="447">
        <v>70.0</v>
      </c>
      <c r="B73" s="435"/>
      <c r="C73" s="436" t="s">
        <v>749</v>
      </c>
      <c r="E73" s="444" t="s">
        <v>754</v>
      </c>
    </row>
    <row r="74">
      <c r="A74" s="448">
        <v>71.0</v>
      </c>
      <c r="B74" s="441"/>
      <c r="C74" s="436" t="s">
        <v>749</v>
      </c>
      <c r="E74" s="444" t="s">
        <v>754</v>
      </c>
    </row>
    <row r="75">
      <c r="A75" s="447">
        <v>72.0</v>
      </c>
      <c r="B75" s="435"/>
      <c r="C75" s="436" t="s">
        <v>749</v>
      </c>
      <c r="D75" s="289">
        <v>8.261210151E9</v>
      </c>
      <c r="E75" s="437" t="s">
        <v>750</v>
      </c>
    </row>
    <row r="76">
      <c r="A76" s="448">
        <v>73.0</v>
      </c>
      <c r="B76" s="441"/>
      <c r="C76" s="436" t="s">
        <v>749</v>
      </c>
      <c r="D76" s="289"/>
      <c r="E76" s="444" t="s">
        <v>754</v>
      </c>
    </row>
    <row r="77">
      <c r="A77" s="447">
        <v>74.0</v>
      </c>
      <c r="B77" s="435"/>
      <c r="C77" s="436" t="s">
        <v>749</v>
      </c>
      <c r="D77" s="289">
        <v>1.728528589E9</v>
      </c>
      <c r="E77" s="437" t="s">
        <v>750</v>
      </c>
    </row>
    <row r="78">
      <c r="A78" s="448">
        <v>75.0</v>
      </c>
      <c r="B78" s="441"/>
      <c r="C78" s="436" t="s">
        <v>749</v>
      </c>
      <c r="D78" s="449"/>
      <c r="E78" s="444" t="s">
        <v>754</v>
      </c>
    </row>
    <row r="79">
      <c r="A79" s="447">
        <v>76.0</v>
      </c>
      <c r="B79" s="435"/>
      <c r="C79" s="436" t="s">
        <v>749</v>
      </c>
      <c r="D79" s="450"/>
      <c r="E79" s="444" t="s">
        <v>754</v>
      </c>
    </row>
    <row r="80">
      <c r="A80" s="448">
        <v>77.0</v>
      </c>
      <c r="B80" s="441"/>
      <c r="C80" s="436" t="s">
        <v>749</v>
      </c>
      <c r="D80" s="449"/>
      <c r="E80" s="444" t="s">
        <v>754</v>
      </c>
    </row>
    <row r="81">
      <c r="A81" s="447">
        <v>78.0</v>
      </c>
      <c r="B81" s="435"/>
      <c r="C81" s="436" t="s">
        <v>749</v>
      </c>
      <c r="D81" s="450"/>
      <c r="E81" s="444" t="s">
        <v>754</v>
      </c>
    </row>
    <row r="82">
      <c r="A82" s="448">
        <v>79.0</v>
      </c>
      <c r="B82" s="441"/>
      <c r="C82" s="451"/>
      <c r="D82" s="449"/>
      <c r="E82" s="452"/>
    </row>
    <row r="83">
      <c r="A83" s="447">
        <v>80.0</v>
      </c>
      <c r="B83" s="435"/>
      <c r="C83" s="453"/>
      <c r="D83" s="450"/>
      <c r="E83" s="452"/>
    </row>
    <row r="84">
      <c r="A84" s="448">
        <v>81.0</v>
      </c>
      <c r="B84" s="441"/>
      <c r="C84" s="451"/>
      <c r="D84" s="449"/>
      <c r="E84" s="452"/>
    </row>
    <row r="85">
      <c r="A85" s="447">
        <v>82.0</v>
      </c>
      <c r="B85" s="435"/>
      <c r="C85" s="453"/>
      <c r="D85" s="450"/>
      <c r="E85" s="452"/>
    </row>
    <row r="86">
      <c r="A86" s="448">
        <v>83.0</v>
      </c>
      <c r="B86" s="441"/>
      <c r="C86" s="451"/>
      <c r="D86" s="449"/>
      <c r="E86" s="452"/>
    </row>
    <row r="87">
      <c r="A87" s="447">
        <v>84.0</v>
      </c>
      <c r="B87" s="435"/>
      <c r="C87" s="453"/>
      <c r="D87" s="450"/>
      <c r="E87" s="452"/>
    </row>
    <row r="88">
      <c r="A88" s="448">
        <v>85.0</v>
      </c>
      <c r="B88" s="441"/>
      <c r="C88" s="451"/>
      <c r="D88" s="449"/>
      <c r="E88" s="452"/>
    </row>
    <row r="89">
      <c r="A89" s="447">
        <v>86.0</v>
      </c>
      <c r="B89" s="435"/>
      <c r="C89" s="453"/>
      <c r="D89" s="450"/>
      <c r="E89" s="452"/>
    </row>
    <row r="90">
      <c r="A90" s="448">
        <v>87.0</v>
      </c>
      <c r="B90" s="441"/>
      <c r="C90" s="451"/>
      <c r="D90" s="449"/>
      <c r="E90" s="452"/>
    </row>
    <row r="91">
      <c r="A91" s="447">
        <v>88.0</v>
      </c>
      <c r="B91" s="435"/>
      <c r="C91" s="453"/>
      <c r="D91" s="450"/>
      <c r="E91" s="452"/>
    </row>
    <row r="92">
      <c r="A92" s="448">
        <v>89.0</v>
      </c>
      <c r="B92" s="441"/>
      <c r="C92" s="451"/>
      <c r="D92" s="449"/>
      <c r="E92" s="452"/>
    </row>
    <row r="93">
      <c r="A93" s="447">
        <v>90.0</v>
      </c>
      <c r="B93" s="435"/>
      <c r="C93" s="453"/>
      <c r="D93" s="450"/>
      <c r="E93" s="452"/>
    </row>
    <row r="94">
      <c r="A94" s="448">
        <v>91.0</v>
      </c>
      <c r="B94" s="441"/>
      <c r="C94" s="451"/>
      <c r="D94" s="449"/>
      <c r="E94" s="452"/>
    </row>
    <row r="95">
      <c r="A95" s="447">
        <v>92.0</v>
      </c>
      <c r="B95" s="435"/>
      <c r="C95" s="453"/>
      <c r="D95" s="450"/>
      <c r="E95" s="452"/>
    </row>
    <row r="96">
      <c r="A96" s="448">
        <v>93.0</v>
      </c>
      <c r="B96" s="441"/>
      <c r="C96" s="451"/>
      <c r="D96" s="449"/>
      <c r="E96" s="452"/>
    </row>
    <row r="97">
      <c r="A97" s="447">
        <v>94.0</v>
      </c>
      <c r="B97" s="435"/>
      <c r="C97" s="453"/>
      <c r="D97" s="450"/>
      <c r="E97" s="452"/>
    </row>
    <row r="98">
      <c r="A98" s="448">
        <v>95.0</v>
      </c>
      <c r="B98" s="441"/>
      <c r="C98" s="451"/>
      <c r="D98" s="449"/>
      <c r="E98" s="452"/>
    </row>
    <row r="99">
      <c r="A99" s="447">
        <v>96.0</v>
      </c>
      <c r="B99" s="435"/>
      <c r="C99" s="453"/>
      <c r="D99" s="450"/>
      <c r="E99" s="452"/>
    </row>
    <row r="100">
      <c r="A100" s="448">
        <v>97.0</v>
      </c>
      <c r="B100" s="441"/>
      <c r="C100" s="451"/>
      <c r="D100" s="449"/>
      <c r="E100" s="452"/>
    </row>
    <row r="101">
      <c r="A101" s="447">
        <v>98.0</v>
      </c>
      <c r="B101" s="435"/>
      <c r="C101" s="453"/>
      <c r="D101" s="450"/>
      <c r="E101" s="452"/>
    </row>
    <row r="102">
      <c r="A102" s="448">
        <v>99.0</v>
      </c>
      <c r="B102" s="441"/>
      <c r="C102" s="451"/>
      <c r="D102" s="449"/>
      <c r="E102" s="452"/>
    </row>
    <row r="103">
      <c r="A103" s="447">
        <v>100.0</v>
      </c>
      <c r="B103" s="435"/>
      <c r="C103" s="453"/>
      <c r="D103" s="450"/>
      <c r="E103" s="452"/>
    </row>
  </sheetData>
  <mergeCells count="4">
    <mergeCell ref="A1:E1"/>
    <mergeCell ref="G1:H2"/>
    <mergeCell ref="A2:E2"/>
    <mergeCell ref="G3:H3"/>
  </mergeCells>
  <drawing r:id="rId1"/>
</worksheet>
</file>